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lsaprod01\home$\slsajoannad\My Documents\GovHack\2019\"/>
    </mc:Choice>
  </mc:AlternateContent>
  <bookViews>
    <workbookView xWindow="0" yWindow="0" windowWidth="28800" windowHeight="11700"/>
  </bookViews>
  <sheets>
    <sheet name="Sheet1" sheetId="1" r:id="rId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2841" i="1" l="1"/>
  <c r="C12841" i="1"/>
  <c r="B12841" i="1"/>
  <c r="K12840" i="1"/>
  <c r="C12840" i="1"/>
  <c r="B12840" i="1"/>
  <c r="K12839" i="1"/>
  <c r="C12839" i="1"/>
  <c r="B12839" i="1"/>
  <c r="K12838" i="1"/>
  <c r="C12838" i="1"/>
  <c r="B12838" i="1"/>
  <c r="K12837" i="1"/>
  <c r="C12837" i="1"/>
  <c r="B12837" i="1"/>
  <c r="K12836" i="1"/>
  <c r="C12836" i="1"/>
  <c r="B12836" i="1"/>
  <c r="K12835" i="1"/>
  <c r="C12835" i="1"/>
  <c r="B12835" i="1"/>
  <c r="K12834" i="1"/>
  <c r="C12834" i="1"/>
  <c r="B12834" i="1"/>
  <c r="K12833" i="1"/>
  <c r="C12833" i="1"/>
  <c r="B12833" i="1"/>
  <c r="K12832" i="1"/>
  <c r="C12832" i="1"/>
  <c r="B12832" i="1"/>
  <c r="K12831" i="1"/>
  <c r="C12831" i="1"/>
  <c r="B12831" i="1"/>
  <c r="K12830" i="1"/>
  <c r="C12830" i="1"/>
  <c r="B12830" i="1"/>
  <c r="K12829" i="1"/>
  <c r="C12829" i="1"/>
  <c r="B12829" i="1"/>
  <c r="K12828" i="1"/>
  <c r="C12828" i="1"/>
  <c r="B12828" i="1"/>
  <c r="K12827" i="1"/>
  <c r="C12827" i="1"/>
  <c r="B12827" i="1"/>
  <c r="K12826" i="1"/>
  <c r="C12826" i="1"/>
  <c r="B12826" i="1"/>
  <c r="K12825" i="1"/>
  <c r="C12825" i="1"/>
  <c r="B12825" i="1"/>
  <c r="K12824" i="1"/>
  <c r="C12824" i="1"/>
  <c r="B12824" i="1"/>
  <c r="K12823" i="1"/>
  <c r="C12823" i="1"/>
  <c r="B12823" i="1"/>
  <c r="K12822" i="1"/>
  <c r="C12822" i="1"/>
  <c r="B12822" i="1"/>
  <c r="K12821" i="1"/>
  <c r="C12821" i="1"/>
  <c r="B12821" i="1"/>
  <c r="K12820" i="1"/>
  <c r="C12820" i="1"/>
  <c r="B12820" i="1"/>
  <c r="K12819" i="1"/>
  <c r="C12819" i="1"/>
  <c r="B12819" i="1"/>
  <c r="K12818" i="1"/>
  <c r="C12818" i="1"/>
  <c r="B12818" i="1"/>
  <c r="K12817" i="1"/>
  <c r="C12817" i="1"/>
  <c r="B12817" i="1"/>
  <c r="K12816" i="1"/>
  <c r="C12816" i="1"/>
  <c r="B12816" i="1"/>
  <c r="K12815" i="1"/>
  <c r="C12815" i="1"/>
  <c r="B12815" i="1"/>
  <c r="K12814" i="1"/>
  <c r="C12814" i="1"/>
  <c r="B12814" i="1"/>
  <c r="K12813" i="1"/>
  <c r="C12813" i="1"/>
  <c r="B12813" i="1"/>
  <c r="K12812" i="1"/>
  <c r="C12812" i="1"/>
  <c r="B12812" i="1"/>
  <c r="K12811" i="1"/>
  <c r="C12811" i="1"/>
  <c r="B12811" i="1"/>
  <c r="K12810" i="1"/>
  <c r="C12810" i="1"/>
  <c r="B12810" i="1"/>
  <c r="K12809" i="1"/>
  <c r="C12809" i="1"/>
  <c r="B12809" i="1"/>
  <c r="K12808" i="1"/>
  <c r="C12808" i="1"/>
  <c r="B12808" i="1"/>
  <c r="K12807" i="1"/>
  <c r="C12807" i="1"/>
  <c r="B12807" i="1"/>
  <c r="K12806" i="1"/>
  <c r="C12806" i="1"/>
  <c r="B12806" i="1"/>
  <c r="K12805" i="1"/>
  <c r="C12805" i="1"/>
  <c r="B12805" i="1"/>
  <c r="K12804" i="1"/>
  <c r="C12804" i="1"/>
  <c r="B12804" i="1"/>
  <c r="K12803" i="1"/>
  <c r="C12803" i="1"/>
  <c r="B12803" i="1"/>
  <c r="K12802" i="1"/>
  <c r="C12802" i="1"/>
  <c r="B12802" i="1"/>
  <c r="K12801" i="1"/>
  <c r="C12801" i="1"/>
  <c r="B12801" i="1"/>
  <c r="K12800" i="1"/>
  <c r="C12800" i="1"/>
  <c r="B12800" i="1"/>
  <c r="K12799" i="1"/>
  <c r="C12799" i="1"/>
  <c r="B12799" i="1"/>
  <c r="K12798" i="1"/>
  <c r="C12798" i="1"/>
  <c r="B12798" i="1"/>
  <c r="K12797" i="1"/>
  <c r="C12797" i="1"/>
  <c r="B12797" i="1"/>
  <c r="K12796" i="1"/>
  <c r="C12796" i="1"/>
  <c r="B12796" i="1"/>
  <c r="K12795" i="1"/>
  <c r="C12795" i="1"/>
  <c r="B12795" i="1"/>
  <c r="K12794" i="1"/>
  <c r="C12794" i="1"/>
  <c r="B12794" i="1"/>
  <c r="K12793" i="1"/>
  <c r="C12793" i="1"/>
  <c r="B12793" i="1"/>
  <c r="K12792" i="1"/>
  <c r="C12792" i="1"/>
  <c r="B12792" i="1"/>
  <c r="K12791" i="1"/>
  <c r="C12791" i="1"/>
  <c r="B12791" i="1"/>
  <c r="K12790" i="1"/>
  <c r="C12790" i="1"/>
  <c r="B12790" i="1"/>
  <c r="K12789" i="1"/>
  <c r="C12789" i="1"/>
  <c r="B12789" i="1"/>
  <c r="K12788" i="1"/>
  <c r="C12788" i="1"/>
  <c r="B12788" i="1"/>
  <c r="K12787" i="1"/>
  <c r="C12787" i="1"/>
  <c r="B12787" i="1"/>
  <c r="K12786" i="1"/>
  <c r="C12786" i="1"/>
  <c r="B12786" i="1"/>
  <c r="K12785" i="1"/>
  <c r="C12785" i="1"/>
  <c r="B12785" i="1"/>
  <c r="K12784" i="1"/>
  <c r="C12784" i="1"/>
  <c r="B12784" i="1"/>
  <c r="K12783" i="1"/>
  <c r="C12783" i="1"/>
  <c r="B12783" i="1"/>
  <c r="K12782" i="1"/>
  <c r="C12782" i="1"/>
  <c r="B12782" i="1"/>
  <c r="K12781" i="1"/>
  <c r="C12781" i="1"/>
  <c r="B12781" i="1"/>
  <c r="K12780" i="1"/>
  <c r="C12780" i="1"/>
  <c r="B12780" i="1"/>
  <c r="K12779" i="1"/>
  <c r="C12779" i="1"/>
  <c r="B12779" i="1"/>
  <c r="K12778" i="1"/>
  <c r="C12778" i="1"/>
  <c r="B12778" i="1"/>
  <c r="K12777" i="1"/>
  <c r="C12777" i="1"/>
  <c r="B12777" i="1"/>
  <c r="K12776" i="1"/>
  <c r="C12776" i="1"/>
  <c r="B12776" i="1"/>
  <c r="K12775" i="1"/>
  <c r="C12775" i="1"/>
  <c r="B12775" i="1"/>
  <c r="K12774" i="1"/>
  <c r="C12774" i="1"/>
  <c r="B12774" i="1"/>
  <c r="K12773" i="1"/>
  <c r="C12773" i="1"/>
  <c r="B12773" i="1"/>
  <c r="K12772" i="1"/>
  <c r="C12772" i="1"/>
  <c r="B12772" i="1"/>
  <c r="K12771" i="1"/>
  <c r="C12771" i="1"/>
  <c r="B12771" i="1"/>
  <c r="K12770" i="1"/>
  <c r="C12770" i="1"/>
  <c r="B12770" i="1"/>
  <c r="K12769" i="1"/>
  <c r="C12769" i="1"/>
  <c r="B12769" i="1"/>
  <c r="K12768" i="1"/>
  <c r="C12768" i="1"/>
  <c r="B12768" i="1"/>
  <c r="K12767" i="1"/>
  <c r="C12767" i="1"/>
  <c r="B12767" i="1"/>
  <c r="K12766" i="1"/>
  <c r="C12766" i="1"/>
  <c r="B12766" i="1"/>
  <c r="K12765" i="1"/>
  <c r="C12765" i="1"/>
  <c r="B12765" i="1"/>
  <c r="K12764" i="1"/>
  <c r="C12764" i="1"/>
  <c r="B12764" i="1"/>
  <c r="K12763" i="1"/>
  <c r="C12763" i="1"/>
  <c r="B12763" i="1"/>
  <c r="K12762" i="1"/>
  <c r="C12762" i="1"/>
  <c r="B12762" i="1"/>
  <c r="K12761" i="1"/>
  <c r="C12761" i="1"/>
  <c r="B12761" i="1"/>
  <c r="K12760" i="1"/>
  <c r="C12760" i="1"/>
  <c r="B12760" i="1"/>
  <c r="K12759" i="1"/>
  <c r="C12759" i="1"/>
  <c r="B12759" i="1"/>
  <c r="K12758" i="1"/>
  <c r="C12758" i="1"/>
  <c r="B12758" i="1"/>
  <c r="K12757" i="1"/>
  <c r="C12757" i="1"/>
  <c r="B12757" i="1"/>
  <c r="K12756" i="1"/>
  <c r="C12756" i="1"/>
  <c r="B12756" i="1"/>
  <c r="K12755" i="1"/>
  <c r="C12755" i="1"/>
  <c r="B12755" i="1"/>
  <c r="K12754" i="1"/>
  <c r="C12754" i="1"/>
  <c r="B12754" i="1"/>
  <c r="K12753" i="1"/>
  <c r="C12753" i="1"/>
  <c r="B12753" i="1"/>
  <c r="K12752" i="1"/>
  <c r="C12752" i="1"/>
  <c r="B12752" i="1"/>
  <c r="K12751" i="1"/>
  <c r="C12751" i="1"/>
  <c r="B12751" i="1"/>
  <c r="K12750" i="1"/>
  <c r="C12750" i="1"/>
  <c r="B12750" i="1"/>
  <c r="K12749" i="1"/>
  <c r="C12749" i="1"/>
  <c r="B12749" i="1"/>
  <c r="K12748" i="1"/>
  <c r="C12748" i="1"/>
  <c r="B12748" i="1"/>
  <c r="K12747" i="1"/>
  <c r="C12747" i="1"/>
  <c r="B12747" i="1"/>
  <c r="K12746" i="1"/>
  <c r="C12746" i="1"/>
  <c r="B12746" i="1"/>
  <c r="K12745" i="1"/>
  <c r="C12745" i="1"/>
  <c r="B12745" i="1"/>
  <c r="K12744" i="1"/>
  <c r="C12744" i="1"/>
  <c r="B12744" i="1"/>
  <c r="K12743" i="1"/>
  <c r="C12743" i="1"/>
  <c r="B12743" i="1"/>
  <c r="K12742" i="1"/>
  <c r="C12742" i="1"/>
  <c r="B12742" i="1"/>
  <c r="K12741" i="1"/>
  <c r="C12741" i="1"/>
  <c r="B12741" i="1"/>
  <c r="K12740" i="1"/>
  <c r="C12740" i="1"/>
  <c r="B12740" i="1"/>
  <c r="K12739" i="1"/>
  <c r="C12739" i="1"/>
  <c r="B12739" i="1"/>
  <c r="K12738" i="1"/>
  <c r="C12738" i="1"/>
  <c r="B12738" i="1"/>
  <c r="K12737" i="1"/>
  <c r="C12737" i="1"/>
  <c r="B12737" i="1"/>
  <c r="K12736" i="1"/>
  <c r="C12736" i="1"/>
  <c r="B12736" i="1"/>
  <c r="K12735" i="1"/>
  <c r="C12735" i="1"/>
  <c r="B12735" i="1"/>
  <c r="K12734" i="1"/>
  <c r="C12734" i="1"/>
  <c r="B12734" i="1"/>
  <c r="K12733" i="1"/>
  <c r="C12733" i="1"/>
  <c r="B12733" i="1"/>
  <c r="K12732" i="1"/>
  <c r="C12732" i="1"/>
  <c r="B12732" i="1"/>
  <c r="K12731" i="1"/>
  <c r="C12731" i="1"/>
  <c r="B12731" i="1"/>
  <c r="K12730" i="1"/>
  <c r="C12730" i="1"/>
  <c r="B12730" i="1"/>
  <c r="K12729" i="1"/>
  <c r="C12729" i="1"/>
  <c r="B12729" i="1"/>
  <c r="K12728" i="1"/>
  <c r="C12728" i="1"/>
  <c r="B12728" i="1"/>
  <c r="K12727" i="1"/>
  <c r="C12727" i="1"/>
  <c r="B12727" i="1"/>
  <c r="K12726" i="1"/>
  <c r="C12726" i="1"/>
  <c r="B12726" i="1"/>
  <c r="K12725" i="1"/>
  <c r="C12725" i="1"/>
  <c r="B12725" i="1"/>
  <c r="K12724" i="1"/>
  <c r="C12724" i="1"/>
  <c r="B12724" i="1"/>
  <c r="K12723" i="1"/>
  <c r="C12723" i="1"/>
  <c r="B12723" i="1"/>
  <c r="K12722" i="1"/>
  <c r="C12722" i="1"/>
  <c r="B12722" i="1"/>
  <c r="K12721" i="1"/>
  <c r="C12721" i="1"/>
  <c r="B12721" i="1"/>
  <c r="K12720" i="1"/>
  <c r="C12720" i="1"/>
  <c r="B12720" i="1"/>
  <c r="K12719" i="1"/>
  <c r="C12719" i="1"/>
  <c r="B12719" i="1"/>
  <c r="K12718" i="1"/>
  <c r="C12718" i="1"/>
  <c r="B12718" i="1"/>
  <c r="K12717" i="1"/>
  <c r="C12717" i="1"/>
  <c r="B12717" i="1"/>
  <c r="K12716" i="1"/>
  <c r="C12716" i="1"/>
  <c r="B12716" i="1"/>
  <c r="K12715" i="1"/>
  <c r="C12715" i="1"/>
  <c r="B12715" i="1"/>
  <c r="K12714" i="1"/>
  <c r="C12714" i="1"/>
  <c r="B12714" i="1"/>
  <c r="K12713" i="1"/>
  <c r="C12713" i="1"/>
  <c r="B12713" i="1"/>
  <c r="K12712" i="1"/>
  <c r="C12712" i="1"/>
  <c r="B12712" i="1"/>
  <c r="K12711" i="1"/>
  <c r="C12711" i="1"/>
  <c r="B12711" i="1"/>
  <c r="K12710" i="1"/>
  <c r="C12710" i="1"/>
  <c r="B12710" i="1"/>
  <c r="K12709" i="1"/>
  <c r="C12709" i="1"/>
  <c r="B12709" i="1"/>
  <c r="K12708" i="1"/>
  <c r="C12708" i="1"/>
  <c r="B12708" i="1"/>
  <c r="K12707" i="1"/>
  <c r="C12707" i="1"/>
  <c r="B12707" i="1"/>
  <c r="K12706" i="1"/>
  <c r="C12706" i="1"/>
  <c r="B12706" i="1"/>
  <c r="K12705" i="1"/>
  <c r="C12705" i="1"/>
  <c r="B12705" i="1"/>
  <c r="K12704" i="1"/>
  <c r="C12704" i="1"/>
  <c r="B12704" i="1"/>
  <c r="K12703" i="1"/>
  <c r="C12703" i="1"/>
  <c r="B12703" i="1"/>
  <c r="K12702" i="1"/>
  <c r="C12702" i="1"/>
  <c r="B12702" i="1"/>
  <c r="K12701" i="1"/>
  <c r="C12701" i="1"/>
  <c r="B12701" i="1"/>
  <c r="K12700" i="1"/>
  <c r="C12700" i="1"/>
  <c r="B12700" i="1"/>
  <c r="K12699" i="1"/>
  <c r="C12699" i="1"/>
  <c r="B12699" i="1"/>
  <c r="K12698" i="1"/>
  <c r="C12698" i="1"/>
  <c r="B12698" i="1"/>
  <c r="K12697" i="1"/>
  <c r="C12697" i="1"/>
  <c r="B12697" i="1"/>
  <c r="K12696" i="1"/>
  <c r="C12696" i="1"/>
  <c r="B12696" i="1"/>
  <c r="K12695" i="1"/>
  <c r="C12695" i="1"/>
  <c r="B12695" i="1"/>
  <c r="K12694" i="1"/>
  <c r="C12694" i="1"/>
  <c r="B12694" i="1"/>
  <c r="K12693" i="1"/>
  <c r="C12693" i="1"/>
  <c r="B12693" i="1"/>
  <c r="K12692" i="1"/>
  <c r="C12692" i="1"/>
  <c r="B12692" i="1"/>
  <c r="K12691" i="1"/>
  <c r="C12691" i="1"/>
  <c r="B12691" i="1"/>
  <c r="K12690" i="1"/>
  <c r="C12690" i="1"/>
  <c r="B12690" i="1"/>
  <c r="K12689" i="1"/>
  <c r="C12689" i="1"/>
  <c r="B12689" i="1"/>
  <c r="K12688" i="1"/>
  <c r="C12688" i="1"/>
  <c r="B12688" i="1"/>
  <c r="K12687" i="1"/>
  <c r="C12687" i="1"/>
  <c r="B12687" i="1"/>
  <c r="K12686" i="1"/>
  <c r="C12686" i="1"/>
  <c r="B12686" i="1"/>
  <c r="K12685" i="1"/>
  <c r="C12685" i="1"/>
  <c r="B12685" i="1"/>
  <c r="K12684" i="1"/>
  <c r="C12684" i="1"/>
  <c r="B12684" i="1"/>
  <c r="K12683" i="1"/>
  <c r="C12683" i="1"/>
  <c r="B12683" i="1"/>
  <c r="K12682" i="1"/>
  <c r="C12682" i="1"/>
  <c r="B12682" i="1"/>
  <c r="K12681" i="1"/>
  <c r="C12681" i="1"/>
  <c r="B12681" i="1"/>
  <c r="K12680" i="1"/>
  <c r="C12680" i="1"/>
  <c r="B12680" i="1"/>
  <c r="K12679" i="1"/>
  <c r="C12679" i="1"/>
  <c r="B12679" i="1"/>
  <c r="K12678" i="1"/>
  <c r="C12678" i="1"/>
  <c r="B12678" i="1"/>
  <c r="K12677" i="1"/>
  <c r="C12677" i="1"/>
  <c r="B12677" i="1"/>
  <c r="K12676" i="1"/>
  <c r="C12676" i="1"/>
  <c r="B12676" i="1"/>
  <c r="K12675" i="1"/>
  <c r="C12675" i="1"/>
  <c r="B12675" i="1"/>
  <c r="K12674" i="1"/>
  <c r="C12674" i="1"/>
  <c r="B12674" i="1"/>
  <c r="K12673" i="1"/>
  <c r="C12673" i="1"/>
  <c r="B12673" i="1"/>
  <c r="K12672" i="1"/>
  <c r="C12672" i="1"/>
  <c r="B12672" i="1"/>
  <c r="K12671" i="1"/>
  <c r="C12671" i="1"/>
  <c r="B12671" i="1"/>
  <c r="K12670" i="1"/>
  <c r="C12670" i="1"/>
  <c r="B12670" i="1"/>
  <c r="K12669" i="1"/>
  <c r="C12669" i="1"/>
  <c r="B12669" i="1"/>
  <c r="K12668" i="1"/>
  <c r="C12668" i="1"/>
  <c r="B12668" i="1"/>
  <c r="K12667" i="1"/>
  <c r="C12667" i="1"/>
  <c r="B12667" i="1"/>
  <c r="K12666" i="1"/>
  <c r="C12666" i="1"/>
  <c r="B12666" i="1"/>
  <c r="K12665" i="1"/>
  <c r="C12665" i="1"/>
  <c r="B12665" i="1"/>
  <c r="K12664" i="1"/>
  <c r="C12664" i="1"/>
  <c r="B12664" i="1"/>
  <c r="K12663" i="1"/>
  <c r="C12663" i="1"/>
  <c r="B12663" i="1"/>
  <c r="K12662" i="1"/>
  <c r="C12662" i="1"/>
  <c r="B12662" i="1"/>
  <c r="K12661" i="1"/>
  <c r="C12661" i="1"/>
  <c r="B12661" i="1"/>
  <c r="K12660" i="1"/>
  <c r="C12660" i="1"/>
  <c r="B12660" i="1"/>
  <c r="K12659" i="1"/>
  <c r="C12659" i="1"/>
  <c r="B12659" i="1"/>
  <c r="K12658" i="1"/>
  <c r="C12658" i="1"/>
  <c r="B12658" i="1"/>
  <c r="K12657" i="1"/>
  <c r="C12657" i="1"/>
  <c r="B12657" i="1"/>
  <c r="K12656" i="1"/>
  <c r="C12656" i="1"/>
  <c r="B12656" i="1"/>
  <c r="K12655" i="1"/>
  <c r="C12655" i="1"/>
  <c r="B12655" i="1"/>
  <c r="K12654" i="1"/>
  <c r="C12654" i="1"/>
  <c r="B12654" i="1"/>
  <c r="K12653" i="1"/>
  <c r="C12653" i="1"/>
  <c r="B12653" i="1"/>
  <c r="K12652" i="1"/>
  <c r="C12652" i="1"/>
  <c r="B12652" i="1"/>
  <c r="K12651" i="1"/>
  <c r="C12651" i="1"/>
  <c r="B12651" i="1"/>
  <c r="K12650" i="1"/>
  <c r="C12650" i="1"/>
  <c r="B12650" i="1"/>
  <c r="K12649" i="1"/>
  <c r="C12649" i="1"/>
  <c r="B12649" i="1"/>
  <c r="K12648" i="1"/>
  <c r="C12648" i="1"/>
  <c r="B12648" i="1"/>
  <c r="K12647" i="1"/>
  <c r="C12647" i="1"/>
  <c r="B12647" i="1"/>
  <c r="K12646" i="1"/>
  <c r="C12646" i="1"/>
  <c r="B12646" i="1"/>
  <c r="K12645" i="1"/>
  <c r="C12645" i="1"/>
  <c r="B12645" i="1"/>
  <c r="K12644" i="1"/>
  <c r="C12644" i="1"/>
  <c r="B12644" i="1"/>
  <c r="K12643" i="1"/>
  <c r="C12643" i="1"/>
  <c r="B12643" i="1"/>
  <c r="K12642" i="1"/>
  <c r="C12642" i="1"/>
  <c r="B12642" i="1"/>
  <c r="K12641" i="1"/>
  <c r="C12641" i="1"/>
  <c r="B12641" i="1"/>
  <c r="K12640" i="1"/>
  <c r="C12640" i="1"/>
  <c r="B12640" i="1"/>
  <c r="K12639" i="1"/>
  <c r="C12639" i="1"/>
  <c r="B12639" i="1"/>
  <c r="K12638" i="1"/>
  <c r="C12638" i="1"/>
  <c r="B12638" i="1"/>
  <c r="K12637" i="1"/>
  <c r="C12637" i="1"/>
  <c r="B12637" i="1"/>
  <c r="K12636" i="1"/>
  <c r="C12636" i="1"/>
  <c r="B12636" i="1"/>
  <c r="K12635" i="1"/>
  <c r="C12635" i="1"/>
  <c r="B12635" i="1"/>
  <c r="K12634" i="1"/>
  <c r="C12634" i="1"/>
  <c r="B12634" i="1"/>
  <c r="K12633" i="1"/>
  <c r="C12633" i="1"/>
  <c r="B12633" i="1"/>
  <c r="K12632" i="1"/>
  <c r="C12632" i="1"/>
  <c r="B12632" i="1"/>
  <c r="K12631" i="1"/>
  <c r="C12631" i="1"/>
  <c r="B12631" i="1"/>
  <c r="K12630" i="1"/>
  <c r="C12630" i="1"/>
  <c r="B12630" i="1"/>
  <c r="K12629" i="1"/>
  <c r="C12629" i="1"/>
  <c r="B12629" i="1"/>
  <c r="K12628" i="1"/>
  <c r="C12628" i="1"/>
  <c r="B12628" i="1"/>
  <c r="K12627" i="1"/>
  <c r="C12627" i="1"/>
  <c r="B12627" i="1"/>
  <c r="K12626" i="1"/>
  <c r="C12626" i="1"/>
  <c r="B12626" i="1"/>
  <c r="K12625" i="1"/>
  <c r="C12625" i="1"/>
  <c r="B12625" i="1"/>
  <c r="K12624" i="1"/>
  <c r="C12624" i="1"/>
  <c r="B12624" i="1"/>
  <c r="K12623" i="1"/>
  <c r="C12623" i="1"/>
  <c r="B12623" i="1"/>
  <c r="K12622" i="1"/>
  <c r="C12622" i="1"/>
  <c r="B12622" i="1"/>
  <c r="K12621" i="1"/>
  <c r="C12621" i="1"/>
  <c r="B12621" i="1"/>
  <c r="K12620" i="1"/>
  <c r="C12620" i="1"/>
  <c r="B12620" i="1"/>
  <c r="K12619" i="1"/>
  <c r="C12619" i="1"/>
  <c r="B12619" i="1"/>
  <c r="K12618" i="1"/>
  <c r="C12618" i="1"/>
  <c r="B12618" i="1"/>
  <c r="K12617" i="1"/>
  <c r="C12617" i="1"/>
  <c r="B12617" i="1"/>
  <c r="K12616" i="1"/>
  <c r="C12616" i="1"/>
  <c r="B12616" i="1"/>
  <c r="K12615" i="1"/>
  <c r="C12615" i="1"/>
  <c r="B12615" i="1"/>
  <c r="K12614" i="1"/>
  <c r="C12614" i="1"/>
  <c r="B12614" i="1"/>
  <c r="K12613" i="1"/>
  <c r="C12613" i="1"/>
  <c r="B12613" i="1"/>
  <c r="K12612" i="1"/>
  <c r="C12612" i="1"/>
  <c r="B12612" i="1"/>
  <c r="K12611" i="1"/>
  <c r="C12611" i="1"/>
  <c r="B12611" i="1"/>
  <c r="K12610" i="1"/>
  <c r="C12610" i="1"/>
  <c r="B12610" i="1"/>
  <c r="K12609" i="1"/>
  <c r="C12609" i="1"/>
  <c r="B12609" i="1"/>
  <c r="K12608" i="1"/>
  <c r="C12608" i="1"/>
  <c r="B12608" i="1"/>
  <c r="K12607" i="1"/>
  <c r="C12607" i="1"/>
  <c r="B12607" i="1"/>
  <c r="K12606" i="1"/>
  <c r="C12606" i="1"/>
  <c r="B12606" i="1"/>
  <c r="K12605" i="1"/>
  <c r="C12605" i="1"/>
  <c r="B12605" i="1"/>
  <c r="K12604" i="1"/>
  <c r="C12604" i="1"/>
  <c r="B12604" i="1"/>
  <c r="K12603" i="1"/>
  <c r="C12603" i="1"/>
  <c r="B12603" i="1"/>
  <c r="K12602" i="1"/>
  <c r="C12602" i="1"/>
  <c r="B12602" i="1"/>
  <c r="K12601" i="1"/>
  <c r="C12601" i="1"/>
  <c r="B12601" i="1"/>
  <c r="K12600" i="1"/>
  <c r="C12600" i="1"/>
  <c r="B12600" i="1"/>
  <c r="K12599" i="1"/>
  <c r="C12599" i="1"/>
  <c r="B12599" i="1"/>
  <c r="K12598" i="1"/>
  <c r="C12598" i="1"/>
  <c r="B12598" i="1"/>
  <c r="K12597" i="1"/>
  <c r="C12597" i="1"/>
  <c r="B12597" i="1"/>
  <c r="K12596" i="1"/>
  <c r="C12596" i="1"/>
  <c r="B12596" i="1"/>
  <c r="K12595" i="1"/>
  <c r="C12595" i="1"/>
  <c r="B12595" i="1"/>
  <c r="K12594" i="1"/>
  <c r="C12594" i="1"/>
  <c r="B12594" i="1"/>
  <c r="K12593" i="1"/>
  <c r="C12593" i="1"/>
  <c r="B12593" i="1"/>
  <c r="K12592" i="1"/>
  <c r="C12592" i="1"/>
  <c r="B12592" i="1"/>
  <c r="K12591" i="1"/>
  <c r="C12591" i="1"/>
  <c r="B12591" i="1"/>
  <c r="K12590" i="1"/>
  <c r="C12590" i="1"/>
  <c r="B12590" i="1"/>
  <c r="K12589" i="1"/>
  <c r="C12589" i="1"/>
  <c r="B12589" i="1"/>
  <c r="K12588" i="1"/>
  <c r="C12588" i="1"/>
  <c r="B12588" i="1"/>
  <c r="K12587" i="1"/>
  <c r="C12587" i="1"/>
  <c r="B12587" i="1"/>
  <c r="K12586" i="1"/>
  <c r="C12586" i="1"/>
  <c r="B12586" i="1"/>
  <c r="K12585" i="1"/>
  <c r="C12585" i="1"/>
  <c r="B12585" i="1"/>
  <c r="K12584" i="1"/>
  <c r="C12584" i="1"/>
  <c r="B12584" i="1"/>
  <c r="K12583" i="1"/>
  <c r="C12583" i="1"/>
  <c r="B12583" i="1"/>
  <c r="K12582" i="1"/>
  <c r="C12582" i="1"/>
  <c r="B12582" i="1"/>
  <c r="K12581" i="1"/>
  <c r="C12581" i="1"/>
  <c r="B12581" i="1"/>
  <c r="K12580" i="1"/>
  <c r="C12580" i="1"/>
  <c r="B12580" i="1"/>
  <c r="K12579" i="1"/>
  <c r="C12579" i="1"/>
  <c r="B12579" i="1"/>
  <c r="K12578" i="1"/>
  <c r="C12578" i="1"/>
  <c r="B12578" i="1"/>
  <c r="K12577" i="1"/>
  <c r="C12577" i="1"/>
  <c r="B12577" i="1"/>
  <c r="K12576" i="1"/>
  <c r="C12576" i="1"/>
  <c r="B12576" i="1"/>
  <c r="K12575" i="1"/>
  <c r="C12575" i="1"/>
  <c r="B12575" i="1"/>
  <c r="K12574" i="1"/>
  <c r="C12574" i="1"/>
  <c r="B12574" i="1"/>
  <c r="K12573" i="1"/>
  <c r="C12573" i="1"/>
  <c r="B12573" i="1"/>
  <c r="K12572" i="1"/>
  <c r="C12572" i="1"/>
  <c r="B12572" i="1"/>
  <c r="K12571" i="1"/>
  <c r="C12571" i="1"/>
  <c r="B12571" i="1"/>
  <c r="K12570" i="1"/>
  <c r="C12570" i="1"/>
  <c r="B12570" i="1"/>
  <c r="K12569" i="1"/>
  <c r="C12569" i="1"/>
  <c r="B12569" i="1"/>
  <c r="K12568" i="1"/>
  <c r="C12568" i="1"/>
  <c r="B12568" i="1"/>
  <c r="K12567" i="1"/>
  <c r="C12567" i="1"/>
  <c r="B12567" i="1"/>
  <c r="K12566" i="1"/>
  <c r="C12566" i="1"/>
  <c r="B12566" i="1"/>
  <c r="K12565" i="1"/>
  <c r="C12565" i="1"/>
  <c r="B12565" i="1"/>
  <c r="K12564" i="1"/>
  <c r="C12564" i="1"/>
  <c r="B12564" i="1"/>
  <c r="K12563" i="1"/>
  <c r="C12563" i="1"/>
  <c r="B12563" i="1"/>
  <c r="K12562" i="1"/>
  <c r="C12562" i="1"/>
  <c r="B12562" i="1"/>
  <c r="K12561" i="1"/>
  <c r="C12561" i="1"/>
  <c r="B12561" i="1"/>
  <c r="K12560" i="1"/>
  <c r="C12560" i="1"/>
  <c r="B12560" i="1"/>
  <c r="K12559" i="1"/>
  <c r="C12559" i="1"/>
  <c r="B12559" i="1"/>
  <c r="K12558" i="1"/>
  <c r="C12558" i="1"/>
  <c r="B12558" i="1"/>
  <c r="K12557" i="1"/>
  <c r="C12557" i="1"/>
  <c r="B12557" i="1"/>
  <c r="K12556" i="1"/>
  <c r="C12556" i="1"/>
  <c r="B12556" i="1"/>
  <c r="K12555" i="1"/>
  <c r="C12555" i="1"/>
  <c r="B12555" i="1"/>
  <c r="K12554" i="1"/>
  <c r="C12554" i="1"/>
  <c r="B12554" i="1"/>
  <c r="K12553" i="1"/>
  <c r="C12553" i="1"/>
  <c r="B12553" i="1"/>
  <c r="K12552" i="1"/>
  <c r="C12552" i="1"/>
  <c r="B12552" i="1"/>
  <c r="K12551" i="1"/>
  <c r="C12551" i="1"/>
  <c r="B12551" i="1"/>
  <c r="K12550" i="1"/>
  <c r="C12550" i="1"/>
  <c r="B12550" i="1"/>
  <c r="K12549" i="1"/>
  <c r="C12549" i="1"/>
  <c r="B12549" i="1"/>
  <c r="K12548" i="1"/>
  <c r="C12548" i="1"/>
  <c r="B12548" i="1"/>
  <c r="K12547" i="1"/>
  <c r="C12547" i="1"/>
  <c r="B12547" i="1"/>
  <c r="K12546" i="1"/>
  <c r="C12546" i="1"/>
  <c r="B12546" i="1"/>
  <c r="K12545" i="1"/>
  <c r="C12545" i="1"/>
  <c r="B12545" i="1"/>
  <c r="K12544" i="1"/>
  <c r="C12544" i="1"/>
  <c r="B12544" i="1"/>
  <c r="K12543" i="1"/>
  <c r="C12543" i="1"/>
  <c r="B12543" i="1"/>
  <c r="K12542" i="1"/>
  <c r="C12542" i="1"/>
  <c r="B12542" i="1"/>
  <c r="K12541" i="1"/>
  <c r="C12541" i="1"/>
  <c r="B12541" i="1"/>
  <c r="K12540" i="1"/>
  <c r="C12540" i="1"/>
  <c r="B12540" i="1"/>
  <c r="K12539" i="1"/>
  <c r="C12539" i="1"/>
  <c r="B12539" i="1"/>
  <c r="K12538" i="1"/>
  <c r="C12538" i="1"/>
  <c r="B12538" i="1"/>
  <c r="K12537" i="1"/>
  <c r="C12537" i="1"/>
  <c r="B12537" i="1"/>
  <c r="K12536" i="1"/>
  <c r="C12536" i="1"/>
  <c r="B12536" i="1"/>
  <c r="K12535" i="1"/>
  <c r="C12535" i="1"/>
  <c r="B12535" i="1"/>
  <c r="K12534" i="1"/>
  <c r="C12534" i="1"/>
  <c r="B12534" i="1"/>
  <c r="K12533" i="1"/>
  <c r="C12533" i="1"/>
  <c r="B12533" i="1"/>
  <c r="K12532" i="1"/>
  <c r="C12532" i="1"/>
  <c r="B12532" i="1"/>
  <c r="K12531" i="1"/>
  <c r="C12531" i="1"/>
  <c r="B12531" i="1"/>
  <c r="K12530" i="1"/>
  <c r="C12530" i="1"/>
  <c r="B12530" i="1"/>
  <c r="K12529" i="1"/>
  <c r="C12529" i="1"/>
  <c r="B12529" i="1"/>
  <c r="K12528" i="1"/>
  <c r="C12528" i="1"/>
  <c r="B12528" i="1"/>
  <c r="K12527" i="1"/>
  <c r="C12527" i="1"/>
  <c r="B12527" i="1"/>
  <c r="K12526" i="1"/>
  <c r="C12526" i="1"/>
  <c r="B12526" i="1"/>
  <c r="K12525" i="1"/>
  <c r="C12525" i="1"/>
  <c r="B12525" i="1"/>
  <c r="K12524" i="1"/>
  <c r="C12524" i="1"/>
  <c r="B12524" i="1"/>
  <c r="K12523" i="1"/>
  <c r="C12523" i="1"/>
  <c r="B12523" i="1"/>
  <c r="K12522" i="1"/>
  <c r="C12522" i="1"/>
  <c r="B12522" i="1"/>
  <c r="K12521" i="1"/>
  <c r="C12521" i="1"/>
  <c r="B12521" i="1"/>
  <c r="K12520" i="1"/>
  <c r="C12520" i="1"/>
  <c r="B12520" i="1"/>
  <c r="K12519" i="1"/>
  <c r="C12519" i="1"/>
  <c r="B12519" i="1"/>
  <c r="K12518" i="1"/>
  <c r="C12518" i="1"/>
  <c r="B12518" i="1"/>
  <c r="K12517" i="1"/>
  <c r="C12517" i="1"/>
  <c r="B12517" i="1"/>
  <c r="K12516" i="1"/>
  <c r="C12516" i="1"/>
  <c r="B12516" i="1"/>
  <c r="K12515" i="1"/>
  <c r="C12515" i="1"/>
  <c r="B12515" i="1"/>
  <c r="K12514" i="1"/>
  <c r="C12514" i="1"/>
  <c r="B12514" i="1"/>
  <c r="K12513" i="1"/>
  <c r="C12513" i="1"/>
  <c r="B12513" i="1"/>
  <c r="K12512" i="1"/>
  <c r="C12512" i="1"/>
  <c r="B12512" i="1"/>
  <c r="K12511" i="1"/>
  <c r="C12511" i="1"/>
  <c r="B12511" i="1"/>
  <c r="K12510" i="1"/>
  <c r="C12510" i="1"/>
  <c r="B12510" i="1"/>
  <c r="K12509" i="1"/>
  <c r="C12509" i="1"/>
  <c r="B12509" i="1"/>
  <c r="K12508" i="1"/>
  <c r="C12508" i="1"/>
  <c r="B12508" i="1"/>
  <c r="K12507" i="1"/>
  <c r="C12507" i="1"/>
  <c r="B12507" i="1"/>
  <c r="K12506" i="1"/>
  <c r="C12506" i="1"/>
  <c r="B12506" i="1"/>
  <c r="K12505" i="1"/>
  <c r="C12505" i="1"/>
  <c r="B12505" i="1"/>
  <c r="K12504" i="1"/>
  <c r="C12504" i="1"/>
  <c r="B12504" i="1"/>
  <c r="K12503" i="1"/>
  <c r="C12503" i="1"/>
  <c r="B12503" i="1"/>
  <c r="K12502" i="1"/>
  <c r="C12502" i="1"/>
  <c r="B12502" i="1"/>
  <c r="K12501" i="1"/>
  <c r="C12501" i="1"/>
  <c r="B12501" i="1"/>
  <c r="K12500" i="1"/>
  <c r="C12500" i="1"/>
  <c r="B12500" i="1"/>
  <c r="K12499" i="1"/>
  <c r="C12499" i="1"/>
  <c r="B12499" i="1"/>
  <c r="K12498" i="1"/>
  <c r="C12498" i="1"/>
  <c r="B12498" i="1"/>
  <c r="K12497" i="1"/>
  <c r="C12497" i="1"/>
  <c r="B12497" i="1"/>
  <c r="K12496" i="1"/>
  <c r="C12496" i="1"/>
  <c r="B12496" i="1"/>
  <c r="K12495" i="1"/>
  <c r="C12495" i="1"/>
  <c r="B12495" i="1"/>
  <c r="K12494" i="1"/>
  <c r="C12494" i="1"/>
  <c r="B12494" i="1"/>
  <c r="K12493" i="1"/>
  <c r="C12493" i="1"/>
  <c r="B12493" i="1"/>
  <c r="K12492" i="1"/>
  <c r="C12492" i="1"/>
  <c r="B12492" i="1"/>
  <c r="K12491" i="1"/>
  <c r="C12491" i="1"/>
  <c r="B12491" i="1"/>
  <c r="K12490" i="1"/>
  <c r="C12490" i="1"/>
  <c r="B12490" i="1"/>
  <c r="K12489" i="1"/>
  <c r="C12489" i="1"/>
  <c r="B12489" i="1"/>
  <c r="K12488" i="1"/>
  <c r="C12488" i="1"/>
  <c r="B12488" i="1"/>
  <c r="K12487" i="1"/>
  <c r="C12487" i="1"/>
  <c r="B12487" i="1"/>
  <c r="K12486" i="1"/>
  <c r="C12486" i="1"/>
  <c r="B12486" i="1"/>
  <c r="K12485" i="1"/>
  <c r="C12485" i="1"/>
  <c r="B12485" i="1"/>
  <c r="K12484" i="1"/>
  <c r="C12484" i="1"/>
  <c r="B12484" i="1"/>
  <c r="K12483" i="1"/>
  <c r="C12483" i="1"/>
  <c r="B12483" i="1"/>
  <c r="K12482" i="1"/>
  <c r="C12482" i="1"/>
  <c r="B12482" i="1"/>
  <c r="K12481" i="1"/>
  <c r="C12481" i="1"/>
  <c r="B12481" i="1"/>
  <c r="K12480" i="1"/>
  <c r="C12480" i="1"/>
  <c r="B12480" i="1"/>
  <c r="K12479" i="1"/>
  <c r="C12479" i="1"/>
  <c r="B12479" i="1"/>
  <c r="K12478" i="1"/>
  <c r="C12478" i="1"/>
  <c r="B12478" i="1"/>
  <c r="K12477" i="1"/>
  <c r="C12477" i="1"/>
  <c r="B12477" i="1"/>
  <c r="K12476" i="1"/>
  <c r="C12476" i="1"/>
  <c r="B12476" i="1"/>
  <c r="K12475" i="1"/>
  <c r="C12475" i="1"/>
  <c r="B12475" i="1"/>
  <c r="K12474" i="1"/>
  <c r="C12474" i="1"/>
  <c r="B12474" i="1"/>
  <c r="K12473" i="1"/>
  <c r="C12473" i="1"/>
  <c r="B12473" i="1"/>
  <c r="K12472" i="1"/>
  <c r="C12472" i="1"/>
  <c r="B12472" i="1"/>
  <c r="K12471" i="1"/>
  <c r="C12471" i="1"/>
  <c r="B12471" i="1"/>
  <c r="K12470" i="1"/>
  <c r="C12470" i="1"/>
  <c r="B12470" i="1"/>
  <c r="K12469" i="1"/>
  <c r="C12469" i="1"/>
  <c r="B12469" i="1"/>
  <c r="K12468" i="1"/>
  <c r="C12468" i="1"/>
  <c r="B12468" i="1"/>
  <c r="K12467" i="1"/>
  <c r="C12467" i="1"/>
  <c r="B12467" i="1"/>
  <c r="K12466" i="1"/>
  <c r="C12466" i="1"/>
  <c r="B12466" i="1"/>
  <c r="K12465" i="1"/>
  <c r="C12465" i="1"/>
  <c r="B12465" i="1"/>
  <c r="K12464" i="1"/>
  <c r="C12464" i="1"/>
  <c r="B12464" i="1"/>
  <c r="K12463" i="1"/>
  <c r="C12463" i="1"/>
  <c r="B12463" i="1"/>
  <c r="K12462" i="1"/>
  <c r="C12462" i="1"/>
  <c r="B12462" i="1"/>
  <c r="K12461" i="1"/>
  <c r="C12461" i="1"/>
  <c r="B12461" i="1"/>
  <c r="K12460" i="1"/>
  <c r="C12460" i="1"/>
  <c r="B12460" i="1"/>
  <c r="K12459" i="1"/>
  <c r="C12459" i="1"/>
  <c r="B12459" i="1"/>
  <c r="K12458" i="1"/>
  <c r="C12458" i="1"/>
  <c r="B12458" i="1"/>
  <c r="K12457" i="1"/>
  <c r="C12457" i="1"/>
  <c r="B12457" i="1"/>
  <c r="K12456" i="1"/>
  <c r="C12456" i="1"/>
  <c r="B12456" i="1"/>
  <c r="K12455" i="1"/>
  <c r="C12455" i="1"/>
  <c r="B12455" i="1"/>
  <c r="K12454" i="1"/>
  <c r="C12454" i="1"/>
  <c r="B12454" i="1"/>
  <c r="K12453" i="1"/>
  <c r="C12453" i="1"/>
  <c r="B12453" i="1"/>
  <c r="K12452" i="1"/>
  <c r="C12452" i="1"/>
  <c r="B12452" i="1"/>
  <c r="K12451" i="1"/>
  <c r="C12451" i="1"/>
  <c r="B12451" i="1"/>
  <c r="K12450" i="1"/>
  <c r="C12450" i="1"/>
  <c r="B12450" i="1"/>
  <c r="K12449" i="1"/>
  <c r="C12449" i="1"/>
  <c r="B12449" i="1"/>
  <c r="K12448" i="1"/>
  <c r="C12448" i="1"/>
  <c r="B12448" i="1"/>
  <c r="K12447" i="1"/>
  <c r="C12447" i="1"/>
  <c r="B12447" i="1"/>
  <c r="K12446" i="1"/>
  <c r="C12446" i="1"/>
  <c r="B12446" i="1"/>
  <c r="K12445" i="1"/>
  <c r="C12445" i="1"/>
  <c r="B12445" i="1"/>
  <c r="K12444" i="1"/>
  <c r="C12444" i="1"/>
  <c r="B12444" i="1"/>
  <c r="K12443" i="1"/>
  <c r="C12443" i="1"/>
  <c r="B12443" i="1"/>
  <c r="K12442" i="1"/>
  <c r="C12442" i="1"/>
  <c r="B12442" i="1"/>
  <c r="K12441" i="1"/>
  <c r="C12441" i="1"/>
  <c r="B12441" i="1"/>
  <c r="K12440" i="1"/>
  <c r="C12440" i="1"/>
  <c r="B12440" i="1"/>
  <c r="K12439" i="1"/>
  <c r="C12439" i="1"/>
  <c r="B12439" i="1"/>
  <c r="K12438" i="1"/>
  <c r="C12438" i="1"/>
  <c r="B12438" i="1"/>
  <c r="K12437" i="1"/>
  <c r="C12437" i="1"/>
  <c r="B12437" i="1"/>
  <c r="K12436" i="1"/>
  <c r="C12436" i="1"/>
  <c r="B12436" i="1"/>
  <c r="K12435" i="1"/>
  <c r="C12435" i="1"/>
  <c r="B12435" i="1"/>
  <c r="K12434" i="1"/>
  <c r="C12434" i="1"/>
  <c r="B12434" i="1"/>
  <c r="K12433" i="1"/>
  <c r="C12433" i="1"/>
  <c r="B12433" i="1"/>
  <c r="K12432" i="1"/>
  <c r="C12432" i="1"/>
  <c r="B12432" i="1"/>
  <c r="K12431" i="1"/>
  <c r="C12431" i="1"/>
  <c r="B12431" i="1"/>
  <c r="K12430" i="1"/>
  <c r="C12430" i="1"/>
  <c r="B12430" i="1"/>
  <c r="K12429" i="1"/>
  <c r="C12429" i="1"/>
  <c r="B12429" i="1"/>
  <c r="K12428" i="1"/>
  <c r="C12428" i="1"/>
  <c r="B12428" i="1"/>
  <c r="K12427" i="1"/>
  <c r="C12427" i="1"/>
  <c r="B12427" i="1"/>
  <c r="K12426" i="1"/>
  <c r="C12426" i="1"/>
  <c r="B12426" i="1"/>
  <c r="K12425" i="1"/>
  <c r="C12425" i="1"/>
  <c r="B12425" i="1"/>
  <c r="K12424" i="1"/>
  <c r="C12424" i="1"/>
  <c r="B12424" i="1"/>
  <c r="K12423" i="1"/>
  <c r="C12423" i="1"/>
  <c r="B12423" i="1"/>
  <c r="K12422" i="1"/>
  <c r="C12422" i="1"/>
  <c r="B12422" i="1"/>
  <c r="K12421" i="1"/>
  <c r="C12421" i="1"/>
  <c r="B12421" i="1"/>
  <c r="K12420" i="1"/>
  <c r="C12420" i="1"/>
  <c r="B12420" i="1"/>
  <c r="K12419" i="1"/>
  <c r="C12419" i="1"/>
  <c r="B12419" i="1"/>
  <c r="K12418" i="1"/>
  <c r="C12418" i="1"/>
  <c r="B12418" i="1"/>
  <c r="K12417" i="1"/>
  <c r="C12417" i="1"/>
  <c r="B12417" i="1"/>
  <c r="K12416" i="1"/>
  <c r="C12416" i="1"/>
  <c r="B12416" i="1"/>
  <c r="K12415" i="1"/>
  <c r="C12415" i="1"/>
  <c r="B12415" i="1"/>
  <c r="K12414" i="1"/>
  <c r="C12414" i="1"/>
  <c r="B12414" i="1"/>
  <c r="K12413" i="1"/>
  <c r="C12413" i="1"/>
  <c r="B12413" i="1"/>
  <c r="K12412" i="1"/>
  <c r="C12412" i="1"/>
  <c r="B12412" i="1"/>
  <c r="K12411" i="1"/>
  <c r="C12411" i="1"/>
  <c r="B12411" i="1"/>
  <c r="K12410" i="1"/>
  <c r="C12410" i="1"/>
  <c r="B12410" i="1"/>
  <c r="K12409" i="1"/>
  <c r="C12409" i="1"/>
  <c r="B12409" i="1"/>
  <c r="K12408" i="1"/>
  <c r="C12408" i="1"/>
  <c r="B12408" i="1"/>
  <c r="K12407" i="1"/>
  <c r="C12407" i="1"/>
  <c r="B12407" i="1"/>
  <c r="K12406" i="1"/>
  <c r="C12406" i="1"/>
  <c r="B12406" i="1"/>
  <c r="K12405" i="1"/>
  <c r="C12405" i="1"/>
  <c r="B12405" i="1"/>
  <c r="K12404" i="1"/>
  <c r="C12404" i="1"/>
  <c r="B12404" i="1"/>
  <c r="K12403" i="1"/>
  <c r="C12403" i="1"/>
  <c r="B12403" i="1"/>
  <c r="K12402" i="1"/>
  <c r="C12402" i="1"/>
  <c r="B12402" i="1"/>
  <c r="K12401" i="1"/>
  <c r="C12401" i="1"/>
  <c r="B12401" i="1"/>
  <c r="K12400" i="1"/>
  <c r="C12400" i="1"/>
  <c r="B12400" i="1"/>
  <c r="K12399" i="1"/>
  <c r="C12399" i="1"/>
  <c r="B12399" i="1"/>
  <c r="K12398" i="1"/>
  <c r="C12398" i="1"/>
  <c r="B12398" i="1"/>
  <c r="K12397" i="1"/>
  <c r="C12397" i="1"/>
  <c r="B12397" i="1"/>
  <c r="K12396" i="1"/>
  <c r="C12396" i="1"/>
  <c r="B12396" i="1"/>
  <c r="K12395" i="1"/>
  <c r="C12395" i="1"/>
  <c r="B12395" i="1"/>
  <c r="K12394" i="1"/>
  <c r="C12394" i="1"/>
  <c r="B12394" i="1"/>
  <c r="K12393" i="1"/>
  <c r="C12393" i="1"/>
  <c r="B12393" i="1"/>
  <c r="K12392" i="1"/>
  <c r="C12392" i="1"/>
  <c r="B12392" i="1"/>
  <c r="K12391" i="1"/>
  <c r="C12391" i="1"/>
  <c r="B12391" i="1"/>
  <c r="K12390" i="1"/>
  <c r="C12390" i="1"/>
  <c r="B12390" i="1"/>
  <c r="K12389" i="1"/>
  <c r="C12389" i="1"/>
  <c r="B12389" i="1"/>
  <c r="K12388" i="1"/>
  <c r="C12388" i="1"/>
  <c r="B12388" i="1"/>
  <c r="K12387" i="1"/>
  <c r="C12387" i="1"/>
  <c r="B12387" i="1"/>
  <c r="K12386" i="1"/>
  <c r="C12386" i="1"/>
  <c r="B12386" i="1"/>
  <c r="K12385" i="1"/>
  <c r="C12385" i="1"/>
  <c r="B12385" i="1"/>
  <c r="K12384" i="1"/>
  <c r="C12384" i="1"/>
  <c r="B12384" i="1"/>
  <c r="K12383" i="1"/>
  <c r="C12383" i="1"/>
  <c r="B12383" i="1"/>
  <c r="K12382" i="1"/>
  <c r="C12382" i="1"/>
  <c r="B12382" i="1"/>
  <c r="K12381" i="1"/>
  <c r="C12381" i="1"/>
  <c r="B12381" i="1"/>
  <c r="K12380" i="1"/>
  <c r="C12380" i="1"/>
  <c r="B12380" i="1"/>
  <c r="K12379" i="1"/>
  <c r="C12379" i="1"/>
  <c r="B12379" i="1"/>
  <c r="K12378" i="1"/>
  <c r="C12378" i="1"/>
  <c r="B12378" i="1"/>
  <c r="K12377" i="1"/>
  <c r="C12377" i="1"/>
  <c r="B12377" i="1"/>
  <c r="K12376" i="1"/>
  <c r="C12376" i="1"/>
  <c r="B12376" i="1"/>
  <c r="K12375" i="1"/>
  <c r="C12375" i="1"/>
  <c r="B12375" i="1"/>
  <c r="K12374" i="1"/>
  <c r="C12374" i="1"/>
  <c r="B12374" i="1"/>
  <c r="K12373" i="1"/>
  <c r="C12373" i="1"/>
  <c r="B12373" i="1"/>
  <c r="K12372" i="1"/>
  <c r="C12372" i="1"/>
  <c r="B12372" i="1"/>
  <c r="K12371" i="1"/>
  <c r="C12371" i="1"/>
  <c r="B12371" i="1"/>
  <c r="K12370" i="1"/>
  <c r="C12370" i="1"/>
  <c r="B12370" i="1"/>
  <c r="K12369" i="1"/>
  <c r="C12369" i="1"/>
  <c r="B12369" i="1"/>
  <c r="K12368" i="1"/>
  <c r="C12368" i="1"/>
  <c r="B12368" i="1"/>
  <c r="K12367" i="1"/>
  <c r="C12367" i="1"/>
  <c r="B12367" i="1"/>
  <c r="K12366" i="1"/>
  <c r="C12366" i="1"/>
  <c r="B12366" i="1"/>
  <c r="K12365" i="1"/>
  <c r="C12365" i="1"/>
  <c r="B12365" i="1"/>
  <c r="K12364" i="1"/>
  <c r="C12364" i="1"/>
  <c r="B12364" i="1"/>
  <c r="K12363" i="1"/>
  <c r="C12363" i="1"/>
  <c r="B12363" i="1"/>
  <c r="K12362" i="1"/>
  <c r="C12362" i="1"/>
  <c r="B12362" i="1"/>
  <c r="K12361" i="1"/>
  <c r="C12361" i="1"/>
  <c r="B12361" i="1"/>
  <c r="K12360" i="1"/>
  <c r="C12360" i="1"/>
  <c r="B12360" i="1"/>
  <c r="K12359" i="1"/>
  <c r="C12359" i="1"/>
  <c r="B12359" i="1"/>
  <c r="K12358" i="1"/>
  <c r="C12358" i="1"/>
  <c r="B12358" i="1"/>
  <c r="K12357" i="1"/>
  <c r="C12357" i="1"/>
  <c r="B12357" i="1"/>
  <c r="K12356" i="1"/>
  <c r="C12356" i="1"/>
  <c r="B12356" i="1"/>
  <c r="K12355" i="1"/>
  <c r="C12355" i="1"/>
  <c r="B12355" i="1"/>
  <c r="K12354" i="1"/>
  <c r="C12354" i="1"/>
  <c r="B12354" i="1"/>
  <c r="K12353" i="1"/>
  <c r="C12353" i="1"/>
  <c r="B12353" i="1"/>
  <c r="K12352" i="1"/>
  <c r="C12352" i="1"/>
  <c r="B12352" i="1"/>
  <c r="K12351" i="1"/>
  <c r="C12351" i="1"/>
  <c r="B12351" i="1"/>
  <c r="K12350" i="1"/>
  <c r="C12350" i="1"/>
  <c r="B12350" i="1"/>
  <c r="K12349" i="1"/>
  <c r="C12349" i="1"/>
  <c r="B12349" i="1"/>
  <c r="K12348" i="1"/>
  <c r="C12348" i="1"/>
  <c r="B12348" i="1"/>
  <c r="K12347" i="1"/>
  <c r="C12347" i="1"/>
  <c r="B12347" i="1"/>
  <c r="K12346" i="1"/>
  <c r="C12346" i="1"/>
  <c r="B12346" i="1"/>
  <c r="K12345" i="1"/>
  <c r="C12345" i="1"/>
  <c r="B12345" i="1"/>
  <c r="K12344" i="1"/>
  <c r="C12344" i="1"/>
  <c r="B12344" i="1"/>
  <c r="K12343" i="1"/>
  <c r="C12343" i="1"/>
  <c r="B12343" i="1"/>
  <c r="K12342" i="1"/>
  <c r="C12342" i="1"/>
  <c r="B12342" i="1"/>
  <c r="K12341" i="1"/>
  <c r="C12341" i="1"/>
  <c r="B12341" i="1"/>
  <c r="K12340" i="1"/>
  <c r="C12340" i="1"/>
  <c r="B12340" i="1"/>
  <c r="K12339" i="1"/>
  <c r="C12339" i="1"/>
  <c r="B12339" i="1"/>
  <c r="K12338" i="1"/>
  <c r="C12338" i="1"/>
  <c r="B12338" i="1"/>
  <c r="K12337" i="1"/>
  <c r="C12337" i="1"/>
  <c r="B12337" i="1"/>
  <c r="K12336" i="1"/>
  <c r="C12336" i="1"/>
  <c r="B12336" i="1"/>
  <c r="K12335" i="1"/>
  <c r="C12335" i="1"/>
  <c r="B12335" i="1"/>
  <c r="K12334" i="1"/>
  <c r="C12334" i="1"/>
  <c r="B12334" i="1"/>
  <c r="K12333" i="1"/>
  <c r="C12333" i="1"/>
  <c r="B12333" i="1"/>
  <c r="K12332" i="1"/>
  <c r="C12332" i="1"/>
  <c r="B12332" i="1"/>
  <c r="K12331" i="1"/>
  <c r="C12331" i="1"/>
  <c r="B12331" i="1"/>
  <c r="K12330" i="1"/>
  <c r="C12330" i="1"/>
  <c r="B12330" i="1"/>
  <c r="K12329" i="1"/>
  <c r="C12329" i="1"/>
  <c r="B12329" i="1"/>
  <c r="K12328" i="1"/>
  <c r="C12328" i="1"/>
  <c r="B12328" i="1"/>
  <c r="K12327" i="1"/>
  <c r="C12327" i="1"/>
  <c r="B12327" i="1"/>
  <c r="K12326" i="1"/>
  <c r="C12326" i="1"/>
  <c r="B12326" i="1"/>
  <c r="K12325" i="1"/>
  <c r="C12325" i="1"/>
  <c r="B12325" i="1"/>
  <c r="K12324" i="1"/>
  <c r="C12324" i="1"/>
  <c r="B12324" i="1"/>
  <c r="K12323" i="1"/>
  <c r="C12323" i="1"/>
  <c r="B12323" i="1"/>
  <c r="K12322" i="1"/>
  <c r="C12322" i="1"/>
  <c r="B12322" i="1"/>
  <c r="K12321" i="1"/>
  <c r="C12321" i="1"/>
  <c r="B12321" i="1"/>
  <c r="K12320" i="1"/>
  <c r="C12320" i="1"/>
  <c r="B12320" i="1"/>
  <c r="K12319" i="1"/>
  <c r="C12319" i="1"/>
  <c r="B12319" i="1"/>
  <c r="K12318" i="1"/>
  <c r="C12318" i="1"/>
  <c r="B12318" i="1"/>
  <c r="K12317" i="1"/>
  <c r="C12317" i="1"/>
  <c r="B12317" i="1"/>
  <c r="K12316" i="1"/>
  <c r="C12316" i="1"/>
  <c r="B12316" i="1"/>
  <c r="K12315" i="1"/>
  <c r="C12315" i="1"/>
  <c r="B12315" i="1"/>
  <c r="K12314" i="1"/>
  <c r="C12314" i="1"/>
  <c r="B12314" i="1"/>
  <c r="K12313" i="1"/>
  <c r="C12313" i="1"/>
  <c r="B12313" i="1"/>
  <c r="K12312" i="1"/>
  <c r="C12312" i="1"/>
  <c r="B12312" i="1"/>
  <c r="K12311" i="1"/>
  <c r="C12311" i="1"/>
  <c r="B12311" i="1"/>
  <c r="K12310" i="1"/>
  <c r="C12310" i="1"/>
  <c r="B12310" i="1"/>
  <c r="K12309" i="1"/>
  <c r="C12309" i="1"/>
  <c r="B12309" i="1"/>
  <c r="K12308" i="1"/>
  <c r="C12308" i="1"/>
  <c r="B12308" i="1"/>
  <c r="K12307" i="1"/>
  <c r="C12307" i="1"/>
  <c r="B12307" i="1"/>
  <c r="K12306" i="1"/>
  <c r="C12306" i="1"/>
  <c r="B12306" i="1"/>
  <c r="K12305" i="1"/>
  <c r="C12305" i="1"/>
  <c r="B12305" i="1"/>
  <c r="K12304" i="1"/>
  <c r="C12304" i="1"/>
  <c r="B12304" i="1"/>
  <c r="K12303" i="1"/>
  <c r="C12303" i="1"/>
  <c r="B12303" i="1"/>
  <c r="K12302" i="1"/>
  <c r="C12302" i="1"/>
  <c r="B12302" i="1"/>
  <c r="K12301" i="1"/>
  <c r="C12301" i="1"/>
  <c r="B12301" i="1"/>
  <c r="K12300" i="1"/>
  <c r="C12300" i="1"/>
  <c r="B12300" i="1"/>
  <c r="K12299" i="1"/>
  <c r="C12299" i="1"/>
  <c r="B12299" i="1"/>
  <c r="K12298" i="1"/>
  <c r="C12298" i="1"/>
  <c r="B12298" i="1"/>
  <c r="K12297" i="1"/>
  <c r="C12297" i="1"/>
  <c r="B12297" i="1"/>
  <c r="K12296" i="1"/>
  <c r="C12296" i="1"/>
  <c r="B12296" i="1"/>
  <c r="K12295" i="1"/>
  <c r="C12295" i="1"/>
  <c r="B12295" i="1"/>
  <c r="K12294" i="1"/>
  <c r="C12294" i="1"/>
  <c r="B12294" i="1"/>
  <c r="K12293" i="1"/>
  <c r="C12293" i="1"/>
  <c r="B12293" i="1"/>
  <c r="K12292" i="1"/>
  <c r="C12292" i="1"/>
  <c r="B12292" i="1"/>
  <c r="K12291" i="1"/>
  <c r="C12291" i="1"/>
  <c r="B12291" i="1"/>
  <c r="K12290" i="1"/>
  <c r="C12290" i="1"/>
  <c r="B12290" i="1"/>
  <c r="K12289" i="1"/>
  <c r="C12289" i="1"/>
  <c r="B12289" i="1"/>
  <c r="K12288" i="1"/>
  <c r="C12288" i="1"/>
  <c r="B12288" i="1"/>
  <c r="K12287" i="1"/>
  <c r="C12287" i="1"/>
  <c r="B12287" i="1"/>
  <c r="K12286" i="1"/>
  <c r="C12286" i="1"/>
  <c r="B12286" i="1"/>
  <c r="K12285" i="1"/>
  <c r="C12285" i="1"/>
  <c r="B12285" i="1"/>
  <c r="K12284" i="1"/>
  <c r="C12284" i="1"/>
  <c r="B12284" i="1"/>
  <c r="K12283" i="1"/>
  <c r="C12283" i="1"/>
  <c r="B12283" i="1"/>
  <c r="K12282" i="1"/>
  <c r="C12282" i="1"/>
  <c r="B12282" i="1"/>
  <c r="K12281" i="1"/>
  <c r="C12281" i="1"/>
  <c r="B12281" i="1"/>
  <c r="K12280" i="1"/>
  <c r="C12280" i="1"/>
  <c r="B12280" i="1"/>
  <c r="K12279" i="1"/>
  <c r="C12279" i="1"/>
  <c r="B12279" i="1"/>
  <c r="K12278" i="1"/>
  <c r="C12278" i="1"/>
  <c r="B12278" i="1"/>
  <c r="K12277" i="1"/>
  <c r="C12277" i="1"/>
  <c r="B12277" i="1"/>
  <c r="K12276" i="1"/>
  <c r="C12276" i="1"/>
  <c r="B12276" i="1"/>
  <c r="K12275" i="1"/>
  <c r="C12275" i="1"/>
  <c r="B12275" i="1"/>
  <c r="K12274" i="1"/>
  <c r="C12274" i="1"/>
  <c r="B12274" i="1"/>
  <c r="K12273" i="1"/>
  <c r="C12273" i="1"/>
  <c r="B12273" i="1"/>
  <c r="K12272" i="1"/>
  <c r="C12272" i="1"/>
  <c r="B12272" i="1"/>
  <c r="K12271" i="1"/>
  <c r="C12271" i="1"/>
  <c r="B12271" i="1"/>
  <c r="K12270" i="1"/>
  <c r="C12270" i="1"/>
  <c r="B12270" i="1"/>
  <c r="K12269" i="1"/>
  <c r="C12269" i="1"/>
  <c r="B12269" i="1"/>
  <c r="K12268" i="1"/>
  <c r="C12268" i="1"/>
  <c r="B12268" i="1"/>
  <c r="K12267" i="1"/>
  <c r="C12267" i="1"/>
  <c r="B12267" i="1"/>
  <c r="K12266" i="1"/>
  <c r="C12266" i="1"/>
  <c r="B12266" i="1"/>
  <c r="K12265" i="1"/>
  <c r="C12265" i="1"/>
  <c r="B12265" i="1"/>
  <c r="K12264" i="1"/>
  <c r="C12264" i="1"/>
  <c r="B12264" i="1"/>
  <c r="K12263" i="1"/>
  <c r="C12263" i="1"/>
  <c r="B12263" i="1"/>
  <c r="K12262" i="1"/>
  <c r="C12262" i="1"/>
  <c r="B12262" i="1"/>
  <c r="K12261" i="1"/>
  <c r="C12261" i="1"/>
  <c r="B12261" i="1"/>
  <c r="K12260" i="1"/>
  <c r="C12260" i="1"/>
  <c r="B12260" i="1"/>
  <c r="K12259" i="1"/>
  <c r="C12259" i="1"/>
  <c r="B12259" i="1"/>
  <c r="K12258" i="1"/>
  <c r="C12258" i="1"/>
  <c r="B12258" i="1"/>
  <c r="K12257" i="1"/>
  <c r="C12257" i="1"/>
  <c r="B12257" i="1"/>
  <c r="K12256" i="1"/>
  <c r="C12256" i="1"/>
  <c r="B12256" i="1"/>
  <c r="K12255" i="1"/>
  <c r="C12255" i="1"/>
  <c r="B12255" i="1"/>
  <c r="K12254" i="1"/>
  <c r="C12254" i="1"/>
  <c r="B12254" i="1"/>
  <c r="K12253" i="1"/>
  <c r="C12253" i="1"/>
  <c r="B12253" i="1"/>
  <c r="K12252" i="1"/>
  <c r="C12252" i="1"/>
  <c r="B12252" i="1"/>
  <c r="K12251" i="1"/>
  <c r="C12251" i="1"/>
  <c r="B12251" i="1"/>
  <c r="K12250" i="1"/>
  <c r="C12250" i="1"/>
  <c r="B12250" i="1"/>
  <c r="K12249" i="1"/>
  <c r="C12249" i="1"/>
  <c r="B12249" i="1"/>
  <c r="K12248" i="1"/>
  <c r="C12248" i="1"/>
  <c r="B12248" i="1"/>
  <c r="K12247" i="1"/>
  <c r="C12247" i="1"/>
  <c r="B12247" i="1"/>
  <c r="K12246" i="1"/>
  <c r="C12246" i="1"/>
  <c r="B12246" i="1"/>
  <c r="K12245" i="1"/>
  <c r="C12245" i="1"/>
  <c r="B12245" i="1"/>
  <c r="K12244" i="1"/>
  <c r="C12244" i="1"/>
  <c r="B12244" i="1"/>
  <c r="K12243" i="1"/>
  <c r="C12243" i="1"/>
  <c r="B12243" i="1"/>
  <c r="K12242" i="1"/>
  <c r="C12242" i="1"/>
  <c r="B12242" i="1"/>
  <c r="K12241" i="1"/>
  <c r="C12241" i="1"/>
  <c r="B12241" i="1"/>
  <c r="K12240" i="1"/>
  <c r="C12240" i="1"/>
  <c r="B12240" i="1"/>
  <c r="K12239" i="1"/>
  <c r="C12239" i="1"/>
  <c r="B12239" i="1"/>
  <c r="K12238" i="1"/>
  <c r="C12238" i="1"/>
  <c r="B12238" i="1"/>
  <c r="K12237" i="1"/>
  <c r="C12237" i="1"/>
  <c r="B12237" i="1"/>
  <c r="K12236" i="1"/>
  <c r="C12236" i="1"/>
  <c r="B12236" i="1"/>
  <c r="K12235" i="1"/>
  <c r="C12235" i="1"/>
  <c r="B12235" i="1"/>
  <c r="K12234" i="1"/>
  <c r="C12234" i="1"/>
  <c r="B12234" i="1"/>
  <c r="K12233" i="1"/>
  <c r="C12233" i="1"/>
  <c r="B12233" i="1"/>
  <c r="K12232" i="1"/>
  <c r="C12232" i="1"/>
  <c r="B12232" i="1"/>
  <c r="K12231" i="1"/>
  <c r="C12231" i="1"/>
  <c r="B12231" i="1"/>
  <c r="K12230" i="1"/>
  <c r="C12230" i="1"/>
  <c r="B12230" i="1"/>
  <c r="K12229" i="1"/>
  <c r="C12229" i="1"/>
  <c r="B12229" i="1"/>
  <c r="K12228" i="1"/>
  <c r="C12228" i="1"/>
  <c r="B12228" i="1"/>
  <c r="K12227" i="1"/>
  <c r="C12227" i="1"/>
  <c r="B12227" i="1"/>
  <c r="K12226" i="1"/>
  <c r="C12226" i="1"/>
  <c r="B12226" i="1"/>
  <c r="K12225" i="1"/>
  <c r="C12225" i="1"/>
  <c r="B12225" i="1"/>
  <c r="K12224" i="1"/>
  <c r="C12224" i="1"/>
  <c r="B12224" i="1"/>
  <c r="K12223" i="1"/>
  <c r="C12223" i="1"/>
  <c r="B12223" i="1"/>
  <c r="K12222" i="1"/>
  <c r="C12222" i="1"/>
  <c r="B12222" i="1"/>
  <c r="K12221" i="1"/>
  <c r="C12221" i="1"/>
  <c r="B12221" i="1"/>
  <c r="K12220" i="1"/>
  <c r="C12220" i="1"/>
  <c r="B12220" i="1"/>
  <c r="K12219" i="1"/>
  <c r="C12219" i="1"/>
  <c r="B12219" i="1"/>
  <c r="K12218" i="1"/>
  <c r="C12218" i="1"/>
  <c r="B12218" i="1"/>
  <c r="K12217" i="1"/>
  <c r="C12217" i="1"/>
  <c r="B12217" i="1"/>
  <c r="K12216" i="1"/>
  <c r="C12216" i="1"/>
  <c r="B12216" i="1"/>
  <c r="K12215" i="1"/>
  <c r="C12215" i="1"/>
  <c r="B12215" i="1"/>
  <c r="K12214" i="1"/>
  <c r="C12214" i="1"/>
  <c r="B12214" i="1"/>
  <c r="K12213" i="1"/>
  <c r="C12213" i="1"/>
  <c r="B12213" i="1"/>
  <c r="K12212" i="1"/>
  <c r="C12212" i="1"/>
  <c r="B12212" i="1"/>
  <c r="K12211" i="1"/>
  <c r="C12211" i="1"/>
  <c r="B12211" i="1"/>
  <c r="K12210" i="1"/>
  <c r="C12210" i="1"/>
  <c r="B12210" i="1"/>
  <c r="K12209" i="1"/>
  <c r="C12209" i="1"/>
  <c r="B12209" i="1"/>
  <c r="K12208" i="1"/>
  <c r="C12208" i="1"/>
  <c r="B12208" i="1"/>
  <c r="K12207" i="1"/>
  <c r="C12207" i="1"/>
  <c r="B12207" i="1"/>
  <c r="K12206" i="1"/>
  <c r="C12206" i="1"/>
  <c r="B12206" i="1"/>
  <c r="K12205" i="1"/>
  <c r="C12205" i="1"/>
  <c r="B12205" i="1"/>
  <c r="K12204" i="1"/>
  <c r="C12204" i="1"/>
  <c r="B12204" i="1"/>
  <c r="K12203" i="1"/>
  <c r="C12203" i="1"/>
  <c r="B12203" i="1"/>
  <c r="K12202" i="1"/>
  <c r="C12202" i="1"/>
  <c r="B12202" i="1"/>
  <c r="K12201" i="1"/>
  <c r="C12201" i="1"/>
  <c r="B12201" i="1"/>
  <c r="K12200" i="1"/>
  <c r="C12200" i="1"/>
  <c r="B12200" i="1"/>
  <c r="K12199" i="1"/>
  <c r="C12199" i="1"/>
  <c r="B12199" i="1"/>
  <c r="K12198" i="1"/>
  <c r="C12198" i="1"/>
  <c r="B12198" i="1"/>
  <c r="K12197" i="1"/>
  <c r="C12197" i="1"/>
  <c r="B12197" i="1"/>
  <c r="K12196" i="1"/>
  <c r="C12196" i="1"/>
  <c r="B12196" i="1"/>
  <c r="K12195" i="1"/>
  <c r="C12195" i="1"/>
  <c r="B12195" i="1"/>
  <c r="K12194" i="1"/>
  <c r="C12194" i="1"/>
  <c r="B12194" i="1"/>
  <c r="K12193" i="1"/>
  <c r="C12193" i="1"/>
  <c r="B12193" i="1"/>
  <c r="K12192" i="1"/>
  <c r="C12192" i="1"/>
  <c r="B12192" i="1"/>
  <c r="K12191" i="1"/>
  <c r="C12191" i="1"/>
  <c r="B12191" i="1"/>
  <c r="K12190" i="1"/>
  <c r="C12190" i="1"/>
  <c r="B12190" i="1"/>
  <c r="K12189" i="1"/>
  <c r="C12189" i="1"/>
  <c r="B12189" i="1"/>
  <c r="K12188" i="1"/>
  <c r="C12188" i="1"/>
  <c r="B12188" i="1"/>
  <c r="K12187" i="1"/>
  <c r="C12187" i="1"/>
  <c r="B12187" i="1"/>
  <c r="K12186" i="1"/>
  <c r="C12186" i="1"/>
  <c r="B12186" i="1"/>
  <c r="K12185" i="1"/>
  <c r="C12185" i="1"/>
  <c r="B12185" i="1"/>
  <c r="K12184" i="1"/>
  <c r="C12184" i="1"/>
  <c r="B12184" i="1"/>
  <c r="K12183" i="1"/>
  <c r="C12183" i="1"/>
  <c r="B12183" i="1"/>
  <c r="K12182" i="1"/>
  <c r="C12182" i="1"/>
  <c r="B12182" i="1"/>
  <c r="K12181" i="1"/>
  <c r="C12181" i="1"/>
  <c r="B12181" i="1"/>
  <c r="K12180" i="1"/>
  <c r="C12180" i="1"/>
  <c r="B12180" i="1"/>
  <c r="K12179" i="1"/>
  <c r="C12179" i="1"/>
  <c r="B12179" i="1"/>
  <c r="K12178" i="1"/>
  <c r="C12178" i="1"/>
  <c r="B12178" i="1"/>
  <c r="K12177" i="1"/>
  <c r="C12177" i="1"/>
  <c r="B12177" i="1"/>
  <c r="K12176" i="1"/>
  <c r="C12176" i="1"/>
  <c r="B12176" i="1"/>
  <c r="K12175" i="1"/>
  <c r="C12175" i="1"/>
  <c r="B12175" i="1"/>
  <c r="K12174" i="1"/>
  <c r="C12174" i="1"/>
  <c r="B12174" i="1"/>
  <c r="K12173" i="1"/>
  <c r="C12173" i="1"/>
  <c r="B12173" i="1"/>
  <c r="K12172" i="1"/>
  <c r="C12172" i="1"/>
  <c r="B12172" i="1"/>
  <c r="K12171" i="1"/>
  <c r="C12171" i="1"/>
  <c r="B12171" i="1"/>
  <c r="K12170" i="1"/>
  <c r="C12170" i="1"/>
  <c r="B12170" i="1"/>
  <c r="K12169" i="1"/>
  <c r="C12169" i="1"/>
  <c r="B12169" i="1"/>
  <c r="K12168" i="1"/>
  <c r="C12168" i="1"/>
  <c r="B12168" i="1"/>
  <c r="K12167" i="1"/>
  <c r="C12167" i="1"/>
  <c r="B12167" i="1"/>
  <c r="K12166" i="1"/>
  <c r="C12166" i="1"/>
  <c r="B12166" i="1"/>
  <c r="K12165" i="1"/>
  <c r="C12165" i="1"/>
  <c r="B12165" i="1"/>
  <c r="K12164" i="1"/>
  <c r="C12164" i="1"/>
  <c r="B12164" i="1"/>
  <c r="K12163" i="1"/>
  <c r="C12163" i="1"/>
  <c r="B12163" i="1"/>
  <c r="K12162" i="1"/>
  <c r="C12162" i="1"/>
  <c r="B12162" i="1"/>
  <c r="K12161" i="1"/>
  <c r="C12161" i="1"/>
  <c r="B12161" i="1"/>
  <c r="K12160" i="1"/>
  <c r="C12160" i="1"/>
  <c r="B12160" i="1"/>
  <c r="K12159" i="1"/>
  <c r="C12159" i="1"/>
  <c r="B12159" i="1"/>
  <c r="K12158" i="1"/>
  <c r="C12158" i="1"/>
  <c r="B12158" i="1"/>
  <c r="K12157" i="1"/>
  <c r="C12157" i="1"/>
  <c r="B12157" i="1"/>
  <c r="K12156" i="1"/>
  <c r="C12156" i="1"/>
  <c r="B12156" i="1"/>
  <c r="K12155" i="1"/>
  <c r="C12155" i="1"/>
  <c r="B12155" i="1"/>
  <c r="K12154" i="1"/>
  <c r="C12154" i="1"/>
  <c r="B12154" i="1"/>
  <c r="K12153" i="1"/>
  <c r="C12153" i="1"/>
  <c r="B12153" i="1"/>
  <c r="K12152" i="1"/>
  <c r="C12152" i="1"/>
  <c r="B12152" i="1"/>
  <c r="K12151" i="1"/>
  <c r="C12151" i="1"/>
  <c r="B12151" i="1"/>
  <c r="K12150" i="1"/>
  <c r="C12150" i="1"/>
  <c r="B12150" i="1"/>
  <c r="K12149" i="1"/>
  <c r="C12149" i="1"/>
  <c r="B12149" i="1"/>
  <c r="K12148" i="1"/>
  <c r="C12148" i="1"/>
  <c r="B12148" i="1"/>
  <c r="K12147" i="1"/>
  <c r="C12147" i="1"/>
  <c r="B12147" i="1"/>
  <c r="K12146" i="1"/>
  <c r="C12146" i="1"/>
  <c r="B12146" i="1"/>
  <c r="K12145" i="1"/>
  <c r="C12145" i="1"/>
  <c r="B12145" i="1"/>
  <c r="K12144" i="1"/>
  <c r="C12144" i="1"/>
  <c r="B12144" i="1"/>
  <c r="K12143" i="1"/>
  <c r="C12143" i="1"/>
  <c r="B12143" i="1"/>
  <c r="K12142" i="1"/>
  <c r="C12142" i="1"/>
  <c r="B12142" i="1"/>
  <c r="K12141" i="1"/>
  <c r="C12141" i="1"/>
  <c r="B12141" i="1"/>
  <c r="K12140" i="1"/>
  <c r="C12140" i="1"/>
  <c r="B12140" i="1"/>
  <c r="K12139" i="1"/>
  <c r="C12139" i="1"/>
  <c r="B12139" i="1"/>
  <c r="K12138" i="1"/>
  <c r="C12138" i="1"/>
  <c r="B12138" i="1"/>
  <c r="K12137" i="1"/>
  <c r="C12137" i="1"/>
  <c r="B12137" i="1"/>
  <c r="K12136" i="1"/>
  <c r="C12136" i="1"/>
  <c r="B12136" i="1"/>
  <c r="K12135" i="1"/>
  <c r="C12135" i="1"/>
  <c r="B12135" i="1"/>
  <c r="K12134" i="1"/>
  <c r="C12134" i="1"/>
  <c r="B12134" i="1"/>
  <c r="K12133" i="1"/>
  <c r="C12133" i="1"/>
  <c r="B12133" i="1"/>
  <c r="K12132" i="1"/>
  <c r="C12132" i="1"/>
  <c r="B12132" i="1"/>
  <c r="K12131" i="1"/>
  <c r="C12131" i="1"/>
  <c r="B12131" i="1"/>
  <c r="K12130" i="1"/>
  <c r="C12130" i="1"/>
  <c r="B12130" i="1"/>
  <c r="K12129" i="1"/>
  <c r="C12129" i="1"/>
  <c r="B12129" i="1"/>
  <c r="K12128" i="1"/>
  <c r="C12128" i="1"/>
  <c r="B12128" i="1"/>
  <c r="K12127" i="1"/>
  <c r="C12127" i="1"/>
  <c r="B12127" i="1"/>
  <c r="K12126" i="1"/>
  <c r="C12126" i="1"/>
  <c r="B12126" i="1"/>
  <c r="K12125" i="1"/>
  <c r="C12125" i="1"/>
  <c r="B12125" i="1"/>
  <c r="K12124" i="1"/>
  <c r="C12124" i="1"/>
  <c r="B12124" i="1"/>
  <c r="K12123" i="1"/>
  <c r="C12123" i="1"/>
  <c r="B12123" i="1"/>
  <c r="K12122" i="1"/>
  <c r="C12122" i="1"/>
  <c r="B12122" i="1"/>
  <c r="K12121" i="1"/>
  <c r="C12121" i="1"/>
  <c r="B12121" i="1"/>
  <c r="K12120" i="1"/>
  <c r="C12120" i="1"/>
  <c r="B12120" i="1"/>
  <c r="K12119" i="1"/>
  <c r="C12119" i="1"/>
  <c r="B12119" i="1"/>
  <c r="K12118" i="1"/>
  <c r="C12118" i="1"/>
  <c r="B12118" i="1"/>
  <c r="K12117" i="1"/>
  <c r="C12117" i="1"/>
  <c r="B12117" i="1"/>
  <c r="K12116" i="1"/>
  <c r="C12116" i="1"/>
  <c r="B12116" i="1"/>
  <c r="K12115" i="1"/>
  <c r="C12115" i="1"/>
  <c r="B12115" i="1"/>
  <c r="K12114" i="1"/>
  <c r="C12114" i="1"/>
  <c r="B12114" i="1"/>
  <c r="K12113" i="1"/>
  <c r="C12113" i="1"/>
  <c r="B12113" i="1"/>
  <c r="K12112" i="1"/>
  <c r="C12112" i="1"/>
  <c r="B12112" i="1"/>
  <c r="K12111" i="1"/>
  <c r="C12111" i="1"/>
  <c r="B12111" i="1"/>
  <c r="K12110" i="1"/>
  <c r="C12110" i="1"/>
  <c r="B12110" i="1"/>
  <c r="K12109" i="1"/>
  <c r="C12109" i="1"/>
  <c r="B12109" i="1"/>
  <c r="K12108" i="1"/>
  <c r="C12108" i="1"/>
  <c r="B12108" i="1"/>
  <c r="K12107" i="1"/>
  <c r="C12107" i="1"/>
  <c r="B12107" i="1"/>
  <c r="K12106" i="1"/>
  <c r="C12106" i="1"/>
  <c r="B12106" i="1"/>
  <c r="K12105" i="1"/>
  <c r="C12105" i="1"/>
  <c r="B12105" i="1"/>
  <c r="K12104" i="1"/>
  <c r="C12104" i="1"/>
  <c r="B12104" i="1"/>
  <c r="K12103" i="1"/>
  <c r="C12103" i="1"/>
  <c r="B12103" i="1"/>
  <c r="K12102" i="1"/>
  <c r="C12102" i="1"/>
  <c r="B12102" i="1"/>
  <c r="K12101" i="1"/>
  <c r="C12101" i="1"/>
  <c r="B12101" i="1"/>
  <c r="K12100" i="1"/>
  <c r="C12100" i="1"/>
  <c r="B12100" i="1"/>
  <c r="K12099" i="1"/>
  <c r="C12099" i="1"/>
  <c r="B12099" i="1"/>
  <c r="K12098" i="1"/>
  <c r="C12098" i="1"/>
  <c r="B12098" i="1"/>
  <c r="K12097" i="1"/>
  <c r="C12097" i="1"/>
  <c r="B12097" i="1"/>
  <c r="K12096" i="1"/>
  <c r="C12096" i="1"/>
  <c r="B12096" i="1"/>
  <c r="K12095" i="1"/>
  <c r="C12095" i="1"/>
  <c r="B12095" i="1"/>
  <c r="K12094" i="1"/>
  <c r="C12094" i="1"/>
  <c r="B12094" i="1"/>
  <c r="K12093" i="1"/>
  <c r="C12093" i="1"/>
  <c r="B12093" i="1"/>
  <c r="K12092" i="1"/>
  <c r="C12092" i="1"/>
  <c r="B12092" i="1"/>
  <c r="K12091" i="1"/>
  <c r="C12091" i="1"/>
  <c r="B12091" i="1"/>
  <c r="K12090" i="1"/>
  <c r="C12090" i="1"/>
  <c r="B12090" i="1"/>
  <c r="K12089" i="1"/>
  <c r="C12089" i="1"/>
  <c r="B12089" i="1"/>
  <c r="K12088" i="1"/>
  <c r="C12088" i="1"/>
  <c r="B12088" i="1"/>
  <c r="K12087" i="1"/>
  <c r="C12087" i="1"/>
  <c r="B12087" i="1"/>
  <c r="K12086" i="1"/>
  <c r="C12086" i="1"/>
  <c r="B12086" i="1"/>
  <c r="K12085" i="1"/>
  <c r="C12085" i="1"/>
  <c r="B12085" i="1"/>
  <c r="K12084" i="1"/>
  <c r="C12084" i="1"/>
  <c r="B12084" i="1"/>
  <c r="K12083" i="1"/>
  <c r="C12083" i="1"/>
  <c r="B12083" i="1"/>
  <c r="K12082" i="1"/>
  <c r="C12082" i="1"/>
  <c r="B12082" i="1"/>
  <c r="K12081" i="1"/>
  <c r="C12081" i="1"/>
  <c r="B12081" i="1"/>
  <c r="K12080" i="1"/>
  <c r="C12080" i="1"/>
  <c r="B12080" i="1"/>
  <c r="K12079" i="1"/>
  <c r="C12079" i="1"/>
  <c r="B12079" i="1"/>
  <c r="K12078" i="1"/>
  <c r="C12078" i="1"/>
  <c r="B12078" i="1"/>
  <c r="K12077" i="1"/>
  <c r="C12077" i="1"/>
  <c r="B12077" i="1"/>
  <c r="K12076" i="1"/>
  <c r="C12076" i="1"/>
  <c r="B12076" i="1"/>
  <c r="K12075" i="1"/>
  <c r="C12075" i="1"/>
  <c r="B12075" i="1"/>
  <c r="K12074" i="1"/>
  <c r="C12074" i="1"/>
  <c r="B12074" i="1"/>
  <c r="K12073" i="1"/>
  <c r="C12073" i="1"/>
  <c r="B12073" i="1"/>
  <c r="K12072" i="1"/>
  <c r="C12072" i="1"/>
  <c r="B12072" i="1"/>
  <c r="K12071" i="1"/>
  <c r="C12071" i="1"/>
  <c r="B12071" i="1"/>
  <c r="K12070" i="1"/>
  <c r="C12070" i="1"/>
  <c r="B12070" i="1"/>
  <c r="K12069" i="1"/>
  <c r="C12069" i="1"/>
  <c r="B12069" i="1"/>
  <c r="K12068" i="1"/>
  <c r="C12068" i="1"/>
  <c r="B12068" i="1"/>
  <c r="K12067" i="1"/>
  <c r="C12067" i="1"/>
  <c r="B12067" i="1"/>
  <c r="K12066" i="1"/>
  <c r="C12066" i="1"/>
  <c r="B12066" i="1"/>
  <c r="K12065" i="1"/>
  <c r="C12065" i="1"/>
  <c r="B12065" i="1"/>
  <c r="K12064" i="1"/>
  <c r="C12064" i="1"/>
  <c r="B12064" i="1"/>
  <c r="K12063" i="1"/>
  <c r="C12063" i="1"/>
  <c r="B12063" i="1"/>
  <c r="K12062" i="1"/>
  <c r="C12062" i="1"/>
  <c r="B12062" i="1"/>
  <c r="K12061" i="1"/>
  <c r="C12061" i="1"/>
  <c r="B12061" i="1"/>
  <c r="K12060" i="1"/>
  <c r="C12060" i="1"/>
  <c r="B12060" i="1"/>
  <c r="K12059" i="1"/>
  <c r="C12059" i="1"/>
  <c r="B12059" i="1"/>
  <c r="K12058" i="1"/>
  <c r="C12058" i="1"/>
  <c r="B12058" i="1"/>
  <c r="K12057" i="1"/>
  <c r="C12057" i="1"/>
  <c r="B12057" i="1"/>
  <c r="K12056" i="1"/>
  <c r="C12056" i="1"/>
  <c r="B12056" i="1"/>
  <c r="K12055" i="1"/>
  <c r="C12055" i="1"/>
  <c r="B12055" i="1"/>
  <c r="K12054" i="1"/>
  <c r="C12054" i="1"/>
  <c r="B12054" i="1"/>
  <c r="K12053" i="1"/>
  <c r="C12053" i="1"/>
  <c r="B12053" i="1"/>
  <c r="K12052" i="1"/>
  <c r="C12052" i="1"/>
  <c r="B12052" i="1"/>
  <c r="K12051" i="1"/>
  <c r="C12051" i="1"/>
  <c r="B12051" i="1"/>
  <c r="K12050" i="1"/>
  <c r="C12050" i="1"/>
  <c r="B12050" i="1"/>
  <c r="K12049" i="1"/>
  <c r="C12049" i="1"/>
  <c r="B12049" i="1"/>
  <c r="K12048" i="1"/>
  <c r="C12048" i="1"/>
  <c r="B12048" i="1"/>
  <c r="K12047" i="1"/>
  <c r="C12047" i="1"/>
  <c r="B12047" i="1"/>
  <c r="K12046" i="1"/>
  <c r="C12046" i="1"/>
  <c r="B12046" i="1"/>
  <c r="K12045" i="1"/>
  <c r="C12045" i="1"/>
  <c r="B12045" i="1"/>
  <c r="K12044" i="1"/>
  <c r="C12044" i="1"/>
  <c r="B12044" i="1"/>
  <c r="K12043" i="1"/>
  <c r="C12043" i="1"/>
  <c r="B12043" i="1"/>
  <c r="K12042" i="1"/>
  <c r="C12042" i="1"/>
  <c r="B12042" i="1"/>
  <c r="K12041" i="1"/>
  <c r="C12041" i="1"/>
  <c r="B12041" i="1"/>
  <c r="K12040" i="1"/>
  <c r="C12040" i="1"/>
  <c r="B12040" i="1"/>
  <c r="K12039" i="1"/>
  <c r="C12039" i="1"/>
  <c r="B12039" i="1"/>
  <c r="K12038" i="1"/>
  <c r="C12038" i="1"/>
  <c r="B12038" i="1"/>
  <c r="K12037" i="1"/>
  <c r="C12037" i="1"/>
  <c r="B12037" i="1"/>
  <c r="K12036" i="1"/>
  <c r="C12036" i="1"/>
  <c r="B12036" i="1"/>
  <c r="K12035" i="1"/>
  <c r="C12035" i="1"/>
  <c r="B12035" i="1"/>
  <c r="K12034" i="1"/>
  <c r="C12034" i="1"/>
  <c r="B12034" i="1"/>
  <c r="K12033" i="1"/>
  <c r="C12033" i="1"/>
  <c r="B12033" i="1"/>
  <c r="K12032" i="1"/>
  <c r="C12032" i="1"/>
  <c r="B12032" i="1"/>
  <c r="K12031" i="1"/>
  <c r="C12031" i="1"/>
  <c r="B12031" i="1"/>
  <c r="K12030" i="1"/>
  <c r="C12030" i="1"/>
  <c r="B12030" i="1"/>
  <c r="K12029" i="1"/>
  <c r="C12029" i="1"/>
  <c r="B12029" i="1"/>
  <c r="K12028" i="1"/>
  <c r="C12028" i="1"/>
  <c r="B12028" i="1"/>
  <c r="K12027" i="1"/>
  <c r="C12027" i="1"/>
  <c r="B12027" i="1"/>
  <c r="K12026" i="1"/>
  <c r="C12026" i="1"/>
  <c r="B12026" i="1"/>
  <c r="K12025" i="1"/>
  <c r="C12025" i="1"/>
  <c r="B12025" i="1"/>
  <c r="K12024" i="1"/>
  <c r="C12024" i="1"/>
  <c r="B12024" i="1"/>
  <c r="K12023" i="1"/>
  <c r="C12023" i="1"/>
  <c r="B12023" i="1"/>
  <c r="K12022" i="1"/>
  <c r="C12022" i="1"/>
  <c r="B12022" i="1"/>
  <c r="K12021" i="1"/>
  <c r="C12021" i="1"/>
  <c r="B12021" i="1"/>
  <c r="K12020" i="1"/>
  <c r="C12020" i="1"/>
  <c r="B12020" i="1"/>
  <c r="K12019" i="1"/>
  <c r="C12019" i="1"/>
  <c r="B12019" i="1"/>
  <c r="K12018" i="1"/>
  <c r="C12018" i="1"/>
  <c r="B12018" i="1"/>
  <c r="K12017" i="1"/>
  <c r="C12017" i="1"/>
  <c r="B12017" i="1"/>
  <c r="K12016" i="1"/>
  <c r="C12016" i="1"/>
  <c r="B12016" i="1"/>
  <c r="K12015" i="1"/>
  <c r="C12015" i="1"/>
  <c r="B12015" i="1"/>
  <c r="K12014" i="1"/>
  <c r="C12014" i="1"/>
  <c r="B12014" i="1"/>
  <c r="K12013" i="1"/>
  <c r="C12013" i="1"/>
  <c r="B12013" i="1"/>
  <c r="K12012" i="1"/>
  <c r="C12012" i="1"/>
  <c r="B12012" i="1"/>
  <c r="K12011" i="1"/>
  <c r="C12011" i="1"/>
  <c r="B12011" i="1"/>
  <c r="K12010" i="1"/>
  <c r="C12010" i="1"/>
  <c r="B12010" i="1"/>
  <c r="K12009" i="1"/>
  <c r="C12009" i="1"/>
  <c r="B12009" i="1"/>
  <c r="K12008" i="1"/>
  <c r="C12008" i="1"/>
  <c r="B12008" i="1"/>
  <c r="K12007" i="1"/>
  <c r="C12007" i="1"/>
  <c r="B12007" i="1"/>
  <c r="K12006" i="1"/>
  <c r="C12006" i="1"/>
  <c r="B12006" i="1"/>
  <c r="K12005" i="1"/>
  <c r="C12005" i="1"/>
  <c r="B12005" i="1"/>
  <c r="K12004" i="1"/>
  <c r="C12004" i="1"/>
  <c r="B12004" i="1"/>
  <c r="K12003" i="1"/>
  <c r="C12003" i="1"/>
  <c r="B12003" i="1"/>
  <c r="K12002" i="1"/>
  <c r="C12002" i="1"/>
  <c r="B12002" i="1"/>
  <c r="K12001" i="1"/>
  <c r="C12001" i="1"/>
  <c r="B12001" i="1"/>
  <c r="K12000" i="1"/>
  <c r="C12000" i="1"/>
  <c r="B12000" i="1"/>
  <c r="K11999" i="1"/>
  <c r="C11999" i="1"/>
  <c r="B11999" i="1"/>
  <c r="K11998" i="1"/>
  <c r="C11998" i="1"/>
  <c r="B11998" i="1"/>
  <c r="K11997" i="1"/>
  <c r="C11997" i="1"/>
  <c r="B11997" i="1"/>
  <c r="K11996" i="1"/>
  <c r="C11996" i="1"/>
  <c r="B11996" i="1"/>
  <c r="K11995" i="1"/>
  <c r="C11995" i="1"/>
  <c r="B11995" i="1"/>
  <c r="K11994" i="1"/>
  <c r="C11994" i="1"/>
  <c r="B11994" i="1"/>
  <c r="K11993" i="1"/>
  <c r="C11993" i="1"/>
  <c r="B11993" i="1"/>
  <c r="K11992" i="1"/>
  <c r="C11992" i="1"/>
  <c r="B11992" i="1"/>
  <c r="K11991" i="1"/>
  <c r="C11991" i="1"/>
  <c r="B11991" i="1"/>
  <c r="K11990" i="1"/>
  <c r="C11990" i="1"/>
  <c r="B11990" i="1"/>
  <c r="K11989" i="1"/>
  <c r="C11989" i="1"/>
  <c r="B11989" i="1"/>
  <c r="K11988" i="1"/>
  <c r="C11988" i="1"/>
  <c r="B11988" i="1"/>
  <c r="K11987" i="1"/>
  <c r="C11987" i="1"/>
  <c r="B11987" i="1"/>
  <c r="K11986" i="1"/>
  <c r="C11986" i="1"/>
  <c r="B11986" i="1"/>
  <c r="K11985" i="1"/>
  <c r="C11985" i="1"/>
  <c r="B11985" i="1"/>
  <c r="K11984" i="1"/>
  <c r="C11984" i="1"/>
  <c r="B11984" i="1"/>
  <c r="K11983" i="1"/>
  <c r="C11983" i="1"/>
  <c r="B11983" i="1"/>
  <c r="K11982" i="1"/>
  <c r="C11982" i="1"/>
  <c r="B11982" i="1"/>
  <c r="K11981" i="1"/>
  <c r="C11981" i="1"/>
  <c r="B11981" i="1"/>
  <c r="K11980" i="1"/>
  <c r="C11980" i="1"/>
  <c r="B11980" i="1"/>
  <c r="K11979" i="1"/>
  <c r="C11979" i="1"/>
  <c r="B11979" i="1"/>
  <c r="K11978" i="1"/>
  <c r="C11978" i="1"/>
  <c r="B11978" i="1"/>
  <c r="K11977" i="1"/>
  <c r="C11977" i="1"/>
  <c r="B11977" i="1"/>
  <c r="K11976" i="1"/>
  <c r="C11976" i="1"/>
  <c r="B11976" i="1"/>
  <c r="K11975" i="1"/>
  <c r="C11975" i="1"/>
  <c r="B11975" i="1"/>
  <c r="K11974" i="1"/>
  <c r="C11974" i="1"/>
  <c r="B11974" i="1"/>
  <c r="K11973" i="1"/>
  <c r="C11973" i="1"/>
  <c r="B11973" i="1"/>
  <c r="K11972" i="1"/>
  <c r="C11972" i="1"/>
  <c r="B11972" i="1"/>
  <c r="K11971" i="1"/>
  <c r="C11971" i="1"/>
  <c r="B11971" i="1"/>
  <c r="K11970" i="1"/>
  <c r="C11970" i="1"/>
  <c r="B11970" i="1"/>
  <c r="K11969" i="1"/>
  <c r="C11969" i="1"/>
  <c r="B11969" i="1"/>
  <c r="K11968" i="1"/>
  <c r="C11968" i="1"/>
  <c r="B11968" i="1"/>
  <c r="K11967" i="1"/>
  <c r="C11967" i="1"/>
  <c r="B11967" i="1"/>
  <c r="K11966" i="1"/>
  <c r="C11966" i="1"/>
  <c r="B11966" i="1"/>
  <c r="K11965" i="1"/>
  <c r="C11965" i="1"/>
  <c r="B11965" i="1"/>
  <c r="K11964" i="1"/>
  <c r="C11964" i="1"/>
  <c r="B11964" i="1"/>
  <c r="K11963" i="1"/>
  <c r="C11963" i="1"/>
  <c r="B11963" i="1"/>
  <c r="K11962" i="1"/>
  <c r="C11962" i="1"/>
  <c r="B11962" i="1"/>
  <c r="K11961" i="1"/>
  <c r="C11961" i="1"/>
  <c r="B11961" i="1"/>
  <c r="K11960" i="1"/>
  <c r="C11960" i="1"/>
  <c r="B11960" i="1"/>
  <c r="K11959" i="1"/>
  <c r="C11959" i="1"/>
  <c r="B11959" i="1"/>
  <c r="K11958" i="1"/>
  <c r="C11958" i="1"/>
  <c r="B11958" i="1"/>
  <c r="K11957" i="1"/>
  <c r="C11957" i="1"/>
  <c r="B11957" i="1"/>
  <c r="K11956" i="1"/>
  <c r="C11956" i="1"/>
  <c r="B11956" i="1"/>
  <c r="K11955" i="1"/>
  <c r="C11955" i="1"/>
  <c r="B11955" i="1"/>
  <c r="K11954" i="1"/>
  <c r="C11954" i="1"/>
  <c r="B11954" i="1"/>
  <c r="K11953" i="1"/>
  <c r="C11953" i="1"/>
  <c r="B11953" i="1"/>
  <c r="K11952" i="1"/>
  <c r="C11952" i="1"/>
  <c r="B11952" i="1"/>
  <c r="K11951" i="1"/>
  <c r="C11951" i="1"/>
  <c r="B11951" i="1"/>
  <c r="K11950" i="1"/>
  <c r="C11950" i="1"/>
  <c r="B11950" i="1"/>
  <c r="K11949" i="1"/>
  <c r="C11949" i="1"/>
  <c r="B11949" i="1"/>
  <c r="K11948" i="1"/>
  <c r="C11948" i="1"/>
  <c r="B11948" i="1"/>
  <c r="K11947" i="1"/>
  <c r="C11947" i="1"/>
  <c r="B11947" i="1"/>
  <c r="K11946" i="1"/>
  <c r="C11946" i="1"/>
  <c r="B11946" i="1"/>
  <c r="K11945" i="1"/>
  <c r="C11945" i="1"/>
  <c r="B11945" i="1"/>
  <c r="K11944" i="1"/>
  <c r="C11944" i="1"/>
  <c r="B11944" i="1"/>
  <c r="K11943" i="1"/>
  <c r="C11943" i="1"/>
  <c r="B11943" i="1"/>
  <c r="K11942" i="1"/>
  <c r="C11942" i="1"/>
  <c r="B11942" i="1"/>
  <c r="K11941" i="1"/>
  <c r="C11941" i="1"/>
  <c r="B11941" i="1"/>
  <c r="K11940" i="1"/>
  <c r="C11940" i="1"/>
  <c r="B11940" i="1"/>
  <c r="K11939" i="1"/>
  <c r="C11939" i="1"/>
  <c r="B11939" i="1"/>
  <c r="K11938" i="1"/>
  <c r="C11938" i="1"/>
  <c r="B11938" i="1"/>
  <c r="K11937" i="1"/>
  <c r="C11937" i="1"/>
  <c r="B11937" i="1"/>
  <c r="K11936" i="1"/>
  <c r="C11936" i="1"/>
  <c r="B11936" i="1"/>
  <c r="K11935" i="1"/>
  <c r="C11935" i="1"/>
  <c r="B11935" i="1"/>
  <c r="K11934" i="1"/>
  <c r="C11934" i="1"/>
  <c r="B11934" i="1"/>
  <c r="K11933" i="1"/>
  <c r="C11933" i="1"/>
  <c r="B11933" i="1"/>
  <c r="K11932" i="1"/>
  <c r="C11932" i="1"/>
  <c r="B11932" i="1"/>
  <c r="K11931" i="1"/>
  <c r="C11931" i="1"/>
  <c r="B11931" i="1"/>
  <c r="K11930" i="1"/>
  <c r="C11930" i="1"/>
  <c r="B11930" i="1"/>
  <c r="K11929" i="1"/>
  <c r="C11929" i="1"/>
  <c r="B11929" i="1"/>
  <c r="K11928" i="1"/>
  <c r="C11928" i="1"/>
  <c r="B11928" i="1"/>
  <c r="K11927" i="1"/>
  <c r="C11927" i="1"/>
  <c r="B11927" i="1"/>
  <c r="K11926" i="1"/>
  <c r="C11926" i="1"/>
  <c r="B11926" i="1"/>
  <c r="K11925" i="1"/>
  <c r="C11925" i="1"/>
  <c r="B11925" i="1"/>
  <c r="K11924" i="1"/>
  <c r="C11924" i="1"/>
  <c r="B11924" i="1"/>
  <c r="K11923" i="1"/>
  <c r="C11923" i="1"/>
  <c r="B11923" i="1"/>
  <c r="K11922" i="1"/>
  <c r="C11922" i="1"/>
  <c r="B11922" i="1"/>
  <c r="K11921" i="1"/>
  <c r="C11921" i="1"/>
  <c r="B11921" i="1"/>
  <c r="K11920" i="1"/>
  <c r="C11920" i="1"/>
  <c r="B11920" i="1"/>
  <c r="K11919" i="1"/>
  <c r="C11919" i="1"/>
  <c r="B11919" i="1"/>
  <c r="K11918" i="1"/>
  <c r="C11918" i="1"/>
  <c r="B11918" i="1"/>
  <c r="K11917" i="1"/>
  <c r="C11917" i="1"/>
  <c r="B11917" i="1"/>
  <c r="K11916" i="1"/>
  <c r="C11916" i="1"/>
  <c r="B11916" i="1"/>
  <c r="K11915" i="1"/>
  <c r="C11915" i="1"/>
  <c r="B11915" i="1"/>
  <c r="K11914" i="1"/>
  <c r="C11914" i="1"/>
  <c r="B11914" i="1"/>
  <c r="K11913" i="1"/>
  <c r="C11913" i="1"/>
  <c r="B11913" i="1"/>
  <c r="K11912" i="1"/>
  <c r="C11912" i="1"/>
  <c r="B11912" i="1"/>
  <c r="K11911" i="1"/>
  <c r="C11911" i="1"/>
  <c r="B11911" i="1"/>
  <c r="K11910" i="1"/>
  <c r="C11910" i="1"/>
  <c r="B11910" i="1"/>
  <c r="K11909" i="1"/>
  <c r="C11909" i="1"/>
  <c r="B11909" i="1"/>
  <c r="K11908" i="1"/>
  <c r="C11908" i="1"/>
  <c r="B11908" i="1"/>
  <c r="K11907" i="1"/>
  <c r="C11907" i="1"/>
  <c r="B11907" i="1"/>
  <c r="K11906" i="1"/>
  <c r="C11906" i="1"/>
  <c r="B11906" i="1"/>
  <c r="K11905" i="1"/>
  <c r="C11905" i="1"/>
  <c r="B11905" i="1"/>
  <c r="K11904" i="1"/>
  <c r="C11904" i="1"/>
  <c r="B11904" i="1"/>
  <c r="K11903" i="1"/>
  <c r="C11903" i="1"/>
  <c r="B11903" i="1"/>
  <c r="K11902" i="1"/>
  <c r="C11902" i="1"/>
  <c r="B11902" i="1"/>
  <c r="K11901" i="1"/>
  <c r="C11901" i="1"/>
  <c r="B11901" i="1"/>
  <c r="K11900" i="1"/>
  <c r="C11900" i="1"/>
  <c r="B11900" i="1"/>
  <c r="K11899" i="1"/>
  <c r="C11899" i="1"/>
  <c r="B11899" i="1"/>
  <c r="K11898" i="1"/>
  <c r="C11898" i="1"/>
  <c r="B11898" i="1"/>
  <c r="K11897" i="1"/>
  <c r="C11897" i="1"/>
  <c r="B11897" i="1"/>
  <c r="K11896" i="1"/>
  <c r="C11896" i="1"/>
  <c r="B11896" i="1"/>
  <c r="K11895" i="1"/>
  <c r="C11895" i="1"/>
  <c r="B11895" i="1"/>
  <c r="K11894" i="1"/>
  <c r="C11894" i="1"/>
  <c r="B11894" i="1"/>
  <c r="K11893" i="1"/>
  <c r="C11893" i="1"/>
  <c r="B11893" i="1"/>
  <c r="K11892" i="1"/>
  <c r="C11892" i="1"/>
  <c r="B11892" i="1"/>
  <c r="K11891" i="1"/>
  <c r="C11891" i="1"/>
  <c r="B11891" i="1"/>
  <c r="K11890" i="1"/>
  <c r="C11890" i="1"/>
  <c r="B11890" i="1"/>
  <c r="K11889" i="1"/>
  <c r="C11889" i="1"/>
  <c r="B11889" i="1"/>
  <c r="K11888" i="1"/>
  <c r="C11888" i="1"/>
  <c r="B11888" i="1"/>
  <c r="K11887" i="1"/>
  <c r="C11887" i="1"/>
  <c r="B11887" i="1"/>
  <c r="K11886" i="1"/>
  <c r="C11886" i="1"/>
  <c r="B11886" i="1"/>
  <c r="K11885" i="1"/>
  <c r="C11885" i="1"/>
  <c r="B11885" i="1"/>
  <c r="K11884" i="1"/>
  <c r="C11884" i="1"/>
  <c r="B11884" i="1"/>
  <c r="K11883" i="1"/>
  <c r="C11883" i="1"/>
  <c r="B11883" i="1"/>
  <c r="K11882" i="1"/>
  <c r="C11882" i="1"/>
  <c r="B11882" i="1"/>
  <c r="K11881" i="1"/>
  <c r="C11881" i="1"/>
  <c r="B11881" i="1"/>
  <c r="K11880" i="1"/>
  <c r="C11880" i="1"/>
  <c r="B11880" i="1"/>
  <c r="K11879" i="1"/>
  <c r="C11879" i="1"/>
  <c r="B11879" i="1"/>
  <c r="K11878" i="1"/>
  <c r="C11878" i="1"/>
  <c r="B11878" i="1"/>
  <c r="K11877" i="1"/>
  <c r="C11877" i="1"/>
  <c r="B11877" i="1"/>
  <c r="K11876" i="1"/>
  <c r="C11876" i="1"/>
  <c r="B11876" i="1"/>
  <c r="K11875" i="1"/>
  <c r="C11875" i="1"/>
  <c r="B11875" i="1"/>
  <c r="K11874" i="1"/>
  <c r="C11874" i="1"/>
  <c r="B11874" i="1"/>
  <c r="K11873" i="1"/>
  <c r="C11873" i="1"/>
  <c r="B11873" i="1"/>
  <c r="K11872" i="1"/>
  <c r="C11872" i="1"/>
  <c r="B11872" i="1"/>
  <c r="K11871" i="1"/>
  <c r="C11871" i="1"/>
  <c r="B11871" i="1"/>
  <c r="K11870" i="1"/>
  <c r="C11870" i="1"/>
  <c r="B11870" i="1"/>
  <c r="K11869" i="1"/>
  <c r="C11869" i="1"/>
  <c r="B11869" i="1"/>
  <c r="K11868" i="1"/>
  <c r="C11868" i="1"/>
  <c r="B11868" i="1"/>
  <c r="K11867" i="1"/>
  <c r="C11867" i="1"/>
  <c r="B11867" i="1"/>
  <c r="K11866" i="1"/>
  <c r="C11866" i="1"/>
  <c r="B11866" i="1"/>
  <c r="K11865" i="1"/>
  <c r="C11865" i="1"/>
  <c r="B11865" i="1"/>
  <c r="K11864" i="1"/>
  <c r="C11864" i="1"/>
  <c r="B11864" i="1"/>
  <c r="K11863" i="1"/>
  <c r="C11863" i="1"/>
  <c r="B11863" i="1"/>
  <c r="K11862" i="1"/>
  <c r="C11862" i="1"/>
  <c r="B11862" i="1"/>
  <c r="K11861" i="1"/>
  <c r="C11861" i="1"/>
  <c r="B11861" i="1"/>
  <c r="K11860" i="1"/>
  <c r="C11860" i="1"/>
  <c r="B11860" i="1"/>
  <c r="K11859" i="1"/>
  <c r="C11859" i="1"/>
  <c r="B11859" i="1"/>
  <c r="K11858" i="1"/>
  <c r="C11858" i="1"/>
  <c r="B11858" i="1"/>
  <c r="K11857" i="1"/>
  <c r="C11857" i="1"/>
  <c r="B11857" i="1"/>
  <c r="K11856" i="1"/>
  <c r="C11856" i="1"/>
  <c r="B11856" i="1"/>
  <c r="K11855" i="1"/>
  <c r="C11855" i="1"/>
  <c r="B11855" i="1"/>
  <c r="K11854" i="1"/>
  <c r="C11854" i="1"/>
  <c r="B11854" i="1"/>
  <c r="K11853" i="1"/>
  <c r="C11853" i="1"/>
  <c r="B11853" i="1"/>
  <c r="K11852" i="1"/>
  <c r="C11852" i="1"/>
  <c r="B11852" i="1"/>
  <c r="K11851" i="1"/>
  <c r="C11851" i="1"/>
  <c r="B11851" i="1"/>
  <c r="K11850" i="1"/>
  <c r="C11850" i="1"/>
  <c r="B11850" i="1"/>
  <c r="K11849" i="1"/>
  <c r="C11849" i="1"/>
  <c r="B11849" i="1"/>
  <c r="K11848" i="1"/>
  <c r="C11848" i="1"/>
  <c r="B11848" i="1"/>
  <c r="K11847" i="1"/>
  <c r="C11847" i="1"/>
  <c r="B11847" i="1"/>
  <c r="K11846" i="1"/>
  <c r="C11846" i="1"/>
  <c r="B11846" i="1"/>
  <c r="K11845" i="1"/>
  <c r="C11845" i="1"/>
  <c r="B11845" i="1"/>
  <c r="K11844" i="1"/>
  <c r="C11844" i="1"/>
  <c r="B11844" i="1"/>
  <c r="K11843" i="1"/>
  <c r="C11843" i="1"/>
  <c r="B11843" i="1"/>
  <c r="K11842" i="1"/>
  <c r="C11842" i="1"/>
  <c r="B11842" i="1"/>
  <c r="K11841" i="1"/>
  <c r="C11841" i="1"/>
  <c r="B11841" i="1"/>
  <c r="K11840" i="1"/>
  <c r="C11840" i="1"/>
  <c r="B11840" i="1"/>
  <c r="K11839" i="1"/>
  <c r="C11839" i="1"/>
  <c r="B11839" i="1"/>
  <c r="K11838" i="1"/>
  <c r="C11838" i="1"/>
  <c r="B11838" i="1"/>
  <c r="K11837" i="1"/>
  <c r="C11837" i="1"/>
  <c r="B11837" i="1"/>
  <c r="K11836" i="1"/>
  <c r="C11836" i="1"/>
  <c r="B11836" i="1"/>
  <c r="K11835" i="1"/>
  <c r="C11835" i="1"/>
  <c r="B11835" i="1"/>
  <c r="K11834" i="1"/>
  <c r="C11834" i="1"/>
  <c r="B11834" i="1"/>
  <c r="K11833" i="1"/>
  <c r="C11833" i="1"/>
  <c r="B11833" i="1"/>
  <c r="K11832" i="1"/>
  <c r="C11832" i="1"/>
  <c r="B11832" i="1"/>
  <c r="K11831" i="1"/>
  <c r="C11831" i="1"/>
  <c r="B11831" i="1"/>
  <c r="K11830" i="1"/>
  <c r="C11830" i="1"/>
  <c r="B11830" i="1"/>
  <c r="K11829" i="1"/>
  <c r="C11829" i="1"/>
  <c r="B11829" i="1"/>
  <c r="K11828" i="1"/>
  <c r="C11828" i="1"/>
  <c r="B11828" i="1"/>
  <c r="K11827" i="1"/>
  <c r="C11827" i="1"/>
  <c r="B11827" i="1"/>
  <c r="K11826" i="1"/>
  <c r="C11826" i="1"/>
  <c r="B11826" i="1"/>
  <c r="K11825" i="1"/>
  <c r="C11825" i="1"/>
  <c r="B11825" i="1"/>
  <c r="K11824" i="1"/>
  <c r="C11824" i="1"/>
  <c r="B11824" i="1"/>
  <c r="K11823" i="1"/>
  <c r="C11823" i="1"/>
  <c r="B11823" i="1"/>
  <c r="K11822" i="1"/>
  <c r="C11822" i="1"/>
  <c r="B11822" i="1"/>
  <c r="K11821" i="1"/>
  <c r="C11821" i="1"/>
  <c r="B11821" i="1"/>
  <c r="K11820" i="1"/>
  <c r="C11820" i="1"/>
  <c r="B11820" i="1"/>
  <c r="K11819" i="1"/>
  <c r="C11819" i="1"/>
  <c r="B11819" i="1"/>
  <c r="K11818" i="1"/>
  <c r="C11818" i="1"/>
  <c r="B11818" i="1"/>
  <c r="K11817" i="1"/>
  <c r="C11817" i="1"/>
  <c r="B11817" i="1"/>
  <c r="K11816" i="1"/>
  <c r="C11816" i="1"/>
  <c r="B11816" i="1"/>
  <c r="K11815" i="1"/>
  <c r="C11815" i="1"/>
  <c r="B11815" i="1"/>
  <c r="K11814" i="1"/>
  <c r="C11814" i="1"/>
  <c r="B11814" i="1"/>
  <c r="K11813" i="1"/>
  <c r="C11813" i="1"/>
  <c r="B11813" i="1"/>
  <c r="K11812" i="1"/>
  <c r="C11812" i="1"/>
  <c r="B11812" i="1"/>
  <c r="K11811" i="1"/>
  <c r="C11811" i="1"/>
  <c r="B11811" i="1"/>
  <c r="K11810" i="1"/>
  <c r="C11810" i="1"/>
  <c r="B11810" i="1"/>
  <c r="K11809" i="1"/>
  <c r="C11809" i="1"/>
  <c r="B11809" i="1"/>
  <c r="K11808" i="1"/>
  <c r="C11808" i="1"/>
  <c r="B11808" i="1"/>
  <c r="K11807" i="1"/>
  <c r="C11807" i="1"/>
  <c r="B11807" i="1"/>
  <c r="K11806" i="1"/>
  <c r="C11806" i="1"/>
  <c r="B11806" i="1"/>
  <c r="K11805" i="1"/>
  <c r="C11805" i="1"/>
  <c r="B11805" i="1"/>
  <c r="K11804" i="1"/>
  <c r="C11804" i="1"/>
  <c r="B11804" i="1"/>
  <c r="K11803" i="1"/>
  <c r="C11803" i="1"/>
  <c r="B11803" i="1"/>
  <c r="K11802" i="1"/>
  <c r="C11802" i="1"/>
  <c r="B11802" i="1"/>
  <c r="K11801" i="1"/>
  <c r="C11801" i="1"/>
  <c r="B11801" i="1"/>
  <c r="K11800" i="1"/>
  <c r="C11800" i="1"/>
  <c r="B11800" i="1"/>
  <c r="K11799" i="1"/>
  <c r="C11799" i="1"/>
  <c r="B11799" i="1"/>
  <c r="K11798" i="1"/>
  <c r="C11798" i="1"/>
  <c r="B11798" i="1"/>
  <c r="K11797" i="1"/>
  <c r="C11797" i="1"/>
  <c r="B11797" i="1"/>
  <c r="K11796" i="1"/>
  <c r="C11796" i="1"/>
  <c r="B11796" i="1"/>
  <c r="K11795" i="1"/>
  <c r="C11795" i="1"/>
  <c r="B11795" i="1"/>
  <c r="K11794" i="1"/>
  <c r="C11794" i="1"/>
  <c r="B11794" i="1"/>
  <c r="K11793" i="1"/>
  <c r="C11793" i="1"/>
  <c r="B11793" i="1"/>
  <c r="K11792" i="1"/>
  <c r="C11792" i="1"/>
  <c r="B11792" i="1"/>
  <c r="K11791" i="1"/>
  <c r="C11791" i="1"/>
  <c r="B11791" i="1"/>
  <c r="K11790" i="1"/>
  <c r="C11790" i="1"/>
  <c r="B11790" i="1"/>
  <c r="K11789" i="1"/>
  <c r="C11789" i="1"/>
  <c r="B11789" i="1"/>
  <c r="K11788" i="1"/>
  <c r="C11788" i="1"/>
  <c r="B11788" i="1"/>
  <c r="K11787" i="1"/>
  <c r="C11787" i="1"/>
  <c r="B11787" i="1"/>
  <c r="K11786" i="1"/>
  <c r="C11786" i="1"/>
  <c r="B11786" i="1"/>
  <c r="K11785" i="1"/>
  <c r="C11785" i="1"/>
  <c r="B11785" i="1"/>
  <c r="K11784" i="1"/>
  <c r="C11784" i="1"/>
  <c r="B11784" i="1"/>
  <c r="K11783" i="1"/>
  <c r="C11783" i="1"/>
  <c r="B11783" i="1"/>
  <c r="K11782" i="1"/>
  <c r="C11782" i="1"/>
  <c r="B11782" i="1"/>
  <c r="K11781" i="1"/>
  <c r="C11781" i="1"/>
  <c r="B11781" i="1"/>
  <c r="K11780" i="1"/>
  <c r="C11780" i="1"/>
  <c r="B11780" i="1"/>
  <c r="K11779" i="1"/>
  <c r="C11779" i="1"/>
  <c r="B11779" i="1"/>
  <c r="K11778" i="1"/>
  <c r="C11778" i="1"/>
  <c r="B11778" i="1"/>
  <c r="K11777" i="1"/>
  <c r="C11777" i="1"/>
  <c r="B11777" i="1"/>
  <c r="K11776" i="1"/>
  <c r="C11776" i="1"/>
  <c r="B11776" i="1"/>
  <c r="K11775" i="1"/>
  <c r="C11775" i="1"/>
  <c r="B11775" i="1"/>
  <c r="K11774" i="1"/>
  <c r="C11774" i="1"/>
  <c r="B11774" i="1"/>
  <c r="K11773" i="1"/>
  <c r="C11773" i="1"/>
  <c r="B11773" i="1"/>
  <c r="K11772" i="1"/>
  <c r="C11772" i="1"/>
  <c r="B11772" i="1"/>
  <c r="K11771" i="1"/>
  <c r="C11771" i="1"/>
  <c r="B11771" i="1"/>
  <c r="K11770" i="1"/>
  <c r="C11770" i="1"/>
  <c r="B11770" i="1"/>
  <c r="K11769" i="1"/>
  <c r="C11769" i="1"/>
  <c r="B11769" i="1"/>
  <c r="K11768" i="1"/>
  <c r="C11768" i="1"/>
  <c r="B11768" i="1"/>
  <c r="K11767" i="1"/>
  <c r="C11767" i="1"/>
  <c r="B11767" i="1"/>
  <c r="K11766" i="1"/>
  <c r="C11766" i="1"/>
  <c r="B11766" i="1"/>
  <c r="K11765" i="1"/>
  <c r="C11765" i="1"/>
  <c r="B11765" i="1"/>
  <c r="K11764" i="1"/>
  <c r="C11764" i="1"/>
  <c r="B11764" i="1"/>
  <c r="K11763" i="1"/>
  <c r="C11763" i="1"/>
  <c r="B11763" i="1"/>
  <c r="K11762" i="1"/>
  <c r="C11762" i="1"/>
  <c r="B11762" i="1"/>
  <c r="K11761" i="1"/>
  <c r="C11761" i="1"/>
  <c r="B11761" i="1"/>
  <c r="K11760" i="1"/>
  <c r="C11760" i="1"/>
  <c r="B11760" i="1"/>
  <c r="K11759" i="1"/>
  <c r="C11759" i="1"/>
  <c r="B11759" i="1"/>
  <c r="K11758" i="1"/>
  <c r="C11758" i="1"/>
  <c r="B11758" i="1"/>
  <c r="K11757" i="1"/>
  <c r="C11757" i="1"/>
  <c r="B11757" i="1"/>
  <c r="K11756" i="1"/>
  <c r="C11756" i="1"/>
  <c r="B11756" i="1"/>
  <c r="K11755" i="1"/>
  <c r="C11755" i="1"/>
  <c r="B11755" i="1"/>
  <c r="K11754" i="1"/>
  <c r="C11754" i="1"/>
  <c r="B11754" i="1"/>
  <c r="K11753" i="1"/>
  <c r="C11753" i="1"/>
  <c r="B11753" i="1"/>
  <c r="K11752" i="1"/>
  <c r="C11752" i="1"/>
  <c r="B11752" i="1"/>
  <c r="K11751" i="1"/>
  <c r="C11751" i="1"/>
  <c r="B11751" i="1"/>
  <c r="K11750" i="1"/>
  <c r="C11750" i="1"/>
  <c r="B11750" i="1"/>
  <c r="K11749" i="1"/>
  <c r="C11749" i="1"/>
  <c r="B11749" i="1"/>
  <c r="K11748" i="1"/>
  <c r="C11748" i="1"/>
  <c r="B11748" i="1"/>
  <c r="K11747" i="1"/>
  <c r="C11747" i="1"/>
  <c r="B11747" i="1"/>
  <c r="K11746" i="1"/>
  <c r="C11746" i="1"/>
  <c r="B11746" i="1"/>
  <c r="K11745" i="1"/>
  <c r="C11745" i="1"/>
  <c r="B11745" i="1"/>
  <c r="K11744" i="1"/>
  <c r="C11744" i="1"/>
  <c r="B11744" i="1"/>
  <c r="K11743" i="1"/>
  <c r="C11743" i="1"/>
  <c r="B11743" i="1"/>
  <c r="K11742" i="1"/>
  <c r="C11742" i="1"/>
  <c r="B11742" i="1"/>
  <c r="K11741" i="1"/>
  <c r="C11741" i="1"/>
  <c r="B11741" i="1"/>
  <c r="K11740" i="1"/>
  <c r="C11740" i="1"/>
  <c r="B11740" i="1"/>
  <c r="K11739" i="1"/>
  <c r="C11739" i="1"/>
  <c r="B11739" i="1"/>
  <c r="K11738" i="1"/>
  <c r="C11738" i="1"/>
  <c r="B11738" i="1"/>
  <c r="K11737" i="1"/>
  <c r="C11737" i="1"/>
  <c r="B11737" i="1"/>
  <c r="K11736" i="1"/>
  <c r="C11736" i="1"/>
  <c r="B11736" i="1"/>
  <c r="K11735" i="1"/>
  <c r="C11735" i="1"/>
  <c r="B11735" i="1"/>
  <c r="K11734" i="1"/>
  <c r="C11734" i="1"/>
  <c r="B11734" i="1"/>
  <c r="K11733" i="1"/>
  <c r="C11733" i="1"/>
  <c r="B11733" i="1"/>
  <c r="K11732" i="1"/>
  <c r="C11732" i="1"/>
  <c r="B11732" i="1"/>
  <c r="K11731" i="1"/>
  <c r="C11731" i="1"/>
  <c r="B11731" i="1"/>
  <c r="K11730" i="1"/>
  <c r="C11730" i="1"/>
  <c r="B11730" i="1"/>
  <c r="K11729" i="1"/>
  <c r="C11729" i="1"/>
  <c r="B11729" i="1"/>
  <c r="K11728" i="1"/>
  <c r="C11728" i="1"/>
  <c r="B11728" i="1"/>
  <c r="K11727" i="1"/>
  <c r="C11727" i="1"/>
  <c r="B11727" i="1"/>
  <c r="K11726" i="1"/>
  <c r="C11726" i="1"/>
  <c r="B11726" i="1"/>
  <c r="K11725" i="1"/>
  <c r="C11725" i="1"/>
  <c r="B11725" i="1"/>
  <c r="K11724" i="1"/>
  <c r="C11724" i="1"/>
  <c r="B11724" i="1"/>
  <c r="K11723" i="1"/>
  <c r="C11723" i="1"/>
  <c r="B11723" i="1"/>
  <c r="K11722" i="1"/>
  <c r="C11722" i="1"/>
  <c r="B11722" i="1"/>
  <c r="K11721" i="1"/>
  <c r="C11721" i="1"/>
  <c r="B11721" i="1"/>
  <c r="K11720" i="1"/>
  <c r="C11720" i="1"/>
  <c r="B11720" i="1"/>
  <c r="K11719" i="1"/>
  <c r="C11719" i="1"/>
  <c r="B11719" i="1"/>
  <c r="K11718" i="1"/>
  <c r="C11718" i="1"/>
  <c r="B11718" i="1"/>
  <c r="K11717" i="1"/>
  <c r="C11717" i="1"/>
  <c r="B11717" i="1"/>
  <c r="K11716" i="1"/>
  <c r="C11716" i="1"/>
  <c r="B11716" i="1"/>
  <c r="K11715" i="1"/>
  <c r="C11715" i="1"/>
  <c r="B11715" i="1"/>
  <c r="K11714" i="1"/>
  <c r="C11714" i="1"/>
  <c r="B11714" i="1"/>
  <c r="K11713" i="1"/>
  <c r="C11713" i="1"/>
  <c r="B11713" i="1"/>
  <c r="K11712" i="1"/>
  <c r="C11712" i="1"/>
  <c r="B11712" i="1"/>
  <c r="K11711" i="1"/>
  <c r="C11711" i="1"/>
  <c r="B11711" i="1"/>
  <c r="K11710" i="1"/>
  <c r="C11710" i="1"/>
  <c r="B11710" i="1"/>
  <c r="K11709" i="1"/>
  <c r="C11709" i="1"/>
  <c r="B11709" i="1"/>
  <c r="K11708" i="1"/>
  <c r="C11708" i="1"/>
  <c r="B11708" i="1"/>
  <c r="K11707" i="1"/>
  <c r="C11707" i="1"/>
  <c r="B11707" i="1"/>
  <c r="K11706" i="1"/>
  <c r="C11706" i="1"/>
  <c r="B11706" i="1"/>
  <c r="K11705" i="1"/>
  <c r="C11705" i="1"/>
  <c r="B11705" i="1"/>
  <c r="K11704" i="1"/>
  <c r="C11704" i="1"/>
  <c r="B11704" i="1"/>
  <c r="K11703" i="1"/>
  <c r="C11703" i="1"/>
  <c r="B11703" i="1"/>
  <c r="K11702" i="1"/>
  <c r="C11702" i="1"/>
  <c r="B11702" i="1"/>
  <c r="K11701" i="1"/>
  <c r="C11701" i="1"/>
  <c r="B11701" i="1"/>
  <c r="K11700" i="1"/>
  <c r="C11700" i="1"/>
  <c r="B11700" i="1"/>
  <c r="K11699" i="1"/>
  <c r="C11699" i="1"/>
  <c r="B11699" i="1"/>
  <c r="K11698" i="1"/>
  <c r="C11698" i="1"/>
  <c r="B11698" i="1"/>
  <c r="K11697" i="1"/>
  <c r="C11697" i="1"/>
  <c r="B11697" i="1"/>
  <c r="K11696" i="1"/>
  <c r="C11696" i="1"/>
  <c r="B11696" i="1"/>
  <c r="K11695" i="1"/>
  <c r="C11695" i="1"/>
  <c r="B11695" i="1"/>
  <c r="K11694" i="1"/>
  <c r="C11694" i="1"/>
  <c r="B11694" i="1"/>
  <c r="K11693" i="1"/>
  <c r="C11693" i="1"/>
  <c r="B11693" i="1"/>
  <c r="K11692" i="1"/>
  <c r="C11692" i="1"/>
  <c r="B11692" i="1"/>
  <c r="K11691" i="1"/>
  <c r="C11691" i="1"/>
  <c r="B11691" i="1"/>
  <c r="K11690" i="1"/>
  <c r="C11690" i="1"/>
  <c r="B11690" i="1"/>
  <c r="K11689" i="1"/>
  <c r="C11689" i="1"/>
  <c r="B11689" i="1"/>
  <c r="K11688" i="1"/>
  <c r="C11688" i="1"/>
  <c r="B11688" i="1"/>
  <c r="K11687" i="1"/>
  <c r="C11687" i="1"/>
  <c r="B11687" i="1"/>
  <c r="K11686" i="1"/>
  <c r="C11686" i="1"/>
  <c r="B11686" i="1"/>
  <c r="K11685" i="1"/>
  <c r="C11685" i="1"/>
  <c r="B11685" i="1"/>
  <c r="K11684" i="1"/>
  <c r="C11684" i="1"/>
  <c r="B11684" i="1"/>
  <c r="K11683" i="1"/>
  <c r="C11683" i="1"/>
  <c r="B11683" i="1"/>
  <c r="K11682" i="1"/>
  <c r="C11682" i="1"/>
  <c r="B11682" i="1"/>
  <c r="K11681" i="1"/>
  <c r="C11681" i="1"/>
  <c r="B11681" i="1"/>
  <c r="K11680" i="1"/>
  <c r="C11680" i="1"/>
  <c r="B11680" i="1"/>
  <c r="K11679" i="1"/>
  <c r="C11679" i="1"/>
  <c r="B11679" i="1"/>
  <c r="K11678" i="1"/>
  <c r="C11678" i="1"/>
  <c r="B11678" i="1"/>
  <c r="K11677" i="1"/>
  <c r="C11677" i="1"/>
  <c r="B11677" i="1"/>
  <c r="K11676" i="1"/>
  <c r="C11676" i="1"/>
  <c r="B11676" i="1"/>
  <c r="K11675" i="1"/>
  <c r="C11675" i="1"/>
  <c r="B11675" i="1"/>
  <c r="K11674" i="1"/>
  <c r="C11674" i="1"/>
  <c r="B11674" i="1"/>
  <c r="K11673" i="1"/>
  <c r="C11673" i="1"/>
  <c r="B11673" i="1"/>
  <c r="K11672" i="1"/>
  <c r="C11672" i="1"/>
  <c r="B11672" i="1"/>
  <c r="K11671" i="1"/>
  <c r="C11671" i="1"/>
  <c r="B11671" i="1"/>
  <c r="K11670" i="1"/>
  <c r="C11670" i="1"/>
  <c r="B11670" i="1"/>
  <c r="K11669" i="1"/>
  <c r="C11669" i="1"/>
  <c r="B11669" i="1"/>
  <c r="K11668" i="1"/>
  <c r="C11668" i="1"/>
  <c r="B11668" i="1"/>
  <c r="K11667" i="1"/>
  <c r="C11667" i="1"/>
  <c r="B11667" i="1"/>
  <c r="K11666" i="1"/>
  <c r="C11666" i="1"/>
  <c r="B11666" i="1"/>
  <c r="K11665" i="1"/>
  <c r="C11665" i="1"/>
  <c r="B11665" i="1"/>
  <c r="K11664" i="1"/>
  <c r="C11664" i="1"/>
  <c r="B11664" i="1"/>
  <c r="K11663" i="1"/>
  <c r="C11663" i="1"/>
  <c r="B11663" i="1"/>
  <c r="K11662" i="1"/>
  <c r="C11662" i="1"/>
  <c r="B11662" i="1"/>
  <c r="K11661" i="1"/>
  <c r="C11661" i="1"/>
  <c r="B11661" i="1"/>
  <c r="K11660" i="1"/>
  <c r="C11660" i="1"/>
  <c r="B11660" i="1"/>
  <c r="K11659" i="1"/>
  <c r="C11659" i="1"/>
  <c r="B11659" i="1"/>
  <c r="K11658" i="1"/>
  <c r="C11658" i="1"/>
  <c r="B11658" i="1"/>
  <c r="K11657" i="1"/>
  <c r="C11657" i="1"/>
  <c r="B11657" i="1"/>
  <c r="K11656" i="1"/>
  <c r="C11656" i="1"/>
  <c r="B11656" i="1"/>
  <c r="K11655" i="1"/>
  <c r="C11655" i="1"/>
  <c r="B11655" i="1"/>
  <c r="K11654" i="1"/>
  <c r="C11654" i="1"/>
  <c r="B11654" i="1"/>
  <c r="K11653" i="1"/>
  <c r="C11653" i="1"/>
  <c r="B11653" i="1"/>
  <c r="K11652" i="1"/>
  <c r="C11652" i="1"/>
  <c r="B11652" i="1"/>
  <c r="K11651" i="1"/>
  <c r="C11651" i="1"/>
  <c r="B11651" i="1"/>
  <c r="K11650" i="1"/>
  <c r="C11650" i="1"/>
  <c r="B11650" i="1"/>
  <c r="K11649" i="1"/>
  <c r="C11649" i="1"/>
  <c r="B11649" i="1"/>
  <c r="K11648" i="1"/>
  <c r="C11648" i="1"/>
  <c r="B11648" i="1"/>
  <c r="K11647" i="1"/>
  <c r="C11647" i="1"/>
  <c r="B11647" i="1"/>
  <c r="K11646" i="1"/>
  <c r="C11646" i="1"/>
  <c r="B11646" i="1"/>
  <c r="K11645" i="1"/>
  <c r="C11645" i="1"/>
  <c r="B11645" i="1"/>
  <c r="K11644" i="1"/>
  <c r="C11644" i="1"/>
  <c r="B11644" i="1"/>
  <c r="K11643" i="1"/>
  <c r="C11643" i="1"/>
  <c r="B11643" i="1"/>
  <c r="K11642" i="1"/>
  <c r="C11642" i="1"/>
  <c r="B11642" i="1"/>
  <c r="K11641" i="1"/>
  <c r="C11641" i="1"/>
  <c r="B11641" i="1"/>
  <c r="K11640" i="1"/>
  <c r="C11640" i="1"/>
  <c r="B11640" i="1"/>
  <c r="K11639" i="1"/>
  <c r="C11639" i="1"/>
  <c r="B11639" i="1"/>
  <c r="K11638" i="1"/>
  <c r="C11638" i="1"/>
  <c r="B11638" i="1"/>
  <c r="K11637" i="1"/>
  <c r="C11637" i="1"/>
  <c r="B11637" i="1"/>
  <c r="K11636" i="1"/>
  <c r="C11636" i="1"/>
  <c r="B11636" i="1"/>
  <c r="K11635" i="1"/>
  <c r="C11635" i="1"/>
  <c r="B11635" i="1"/>
  <c r="K11634" i="1"/>
  <c r="C11634" i="1"/>
  <c r="B11634" i="1"/>
  <c r="K11633" i="1"/>
  <c r="C11633" i="1"/>
  <c r="B11633" i="1"/>
  <c r="K11632" i="1"/>
  <c r="C11632" i="1"/>
  <c r="B11632" i="1"/>
  <c r="K11631" i="1"/>
  <c r="C11631" i="1"/>
  <c r="B11631" i="1"/>
  <c r="K11630" i="1"/>
  <c r="C11630" i="1"/>
  <c r="B11630" i="1"/>
  <c r="K11629" i="1"/>
  <c r="C11629" i="1"/>
  <c r="B11629" i="1"/>
  <c r="K11628" i="1"/>
  <c r="C11628" i="1"/>
  <c r="B11628" i="1"/>
  <c r="K11627" i="1"/>
  <c r="C11627" i="1"/>
  <c r="B11627" i="1"/>
  <c r="K11626" i="1"/>
  <c r="C11626" i="1"/>
  <c r="B11626" i="1"/>
  <c r="K11625" i="1"/>
  <c r="C11625" i="1"/>
  <c r="B11625" i="1"/>
  <c r="K11624" i="1"/>
  <c r="C11624" i="1"/>
  <c r="B11624" i="1"/>
  <c r="K11623" i="1"/>
  <c r="C11623" i="1"/>
  <c r="B11623" i="1"/>
  <c r="K11622" i="1"/>
  <c r="C11622" i="1"/>
  <c r="B11622" i="1"/>
  <c r="K11621" i="1"/>
  <c r="C11621" i="1"/>
  <c r="B11621" i="1"/>
  <c r="K11620" i="1"/>
  <c r="C11620" i="1"/>
  <c r="B11620" i="1"/>
  <c r="K11619" i="1"/>
  <c r="C11619" i="1"/>
  <c r="B11619" i="1"/>
  <c r="K11618" i="1"/>
  <c r="C11618" i="1"/>
  <c r="B11618" i="1"/>
  <c r="K11617" i="1"/>
  <c r="C11617" i="1"/>
  <c r="B11617" i="1"/>
  <c r="K11616" i="1"/>
  <c r="C11616" i="1"/>
  <c r="B11616" i="1"/>
  <c r="K11615" i="1"/>
  <c r="C11615" i="1"/>
  <c r="B11615" i="1"/>
  <c r="K11614" i="1"/>
  <c r="C11614" i="1"/>
  <c r="B11614" i="1"/>
  <c r="K11613" i="1"/>
  <c r="C11613" i="1"/>
  <c r="B11613" i="1"/>
  <c r="K11612" i="1"/>
  <c r="C11612" i="1"/>
  <c r="B11612" i="1"/>
  <c r="K11611" i="1"/>
  <c r="C11611" i="1"/>
  <c r="B11611" i="1"/>
  <c r="K11610" i="1"/>
  <c r="C11610" i="1"/>
  <c r="B11610" i="1"/>
  <c r="K11609" i="1"/>
  <c r="C11609" i="1"/>
  <c r="B11609" i="1"/>
  <c r="K11608" i="1"/>
  <c r="C11608" i="1"/>
  <c r="B11608" i="1"/>
  <c r="K11607" i="1"/>
  <c r="C11607" i="1"/>
  <c r="B11607" i="1"/>
  <c r="K11606" i="1"/>
  <c r="C11606" i="1"/>
  <c r="B11606" i="1"/>
  <c r="K11605" i="1"/>
  <c r="C11605" i="1"/>
  <c r="B11605" i="1"/>
  <c r="K11604" i="1"/>
  <c r="C11604" i="1"/>
  <c r="B11604" i="1"/>
  <c r="K11603" i="1"/>
  <c r="C11603" i="1"/>
  <c r="B11603" i="1"/>
  <c r="K11602" i="1"/>
  <c r="C11602" i="1"/>
  <c r="B11602" i="1"/>
  <c r="K11601" i="1"/>
  <c r="C11601" i="1"/>
  <c r="B11601" i="1"/>
  <c r="K11600" i="1"/>
  <c r="C11600" i="1"/>
  <c r="B11600" i="1"/>
  <c r="K11599" i="1"/>
  <c r="C11599" i="1"/>
  <c r="B11599" i="1"/>
  <c r="K11598" i="1"/>
  <c r="C11598" i="1"/>
  <c r="B11598" i="1"/>
  <c r="K11597" i="1"/>
  <c r="C11597" i="1"/>
  <c r="B11597" i="1"/>
  <c r="K11596" i="1"/>
  <c r="C11596" i="1"/>
  <c r="B11596" i="1"/>
  <c r="K11595" i="1"/>
  <c r="C11595" i="1"/>
  <c r="B11595" i="1"/>
  <c r="K11594" i="1"/>
  <c r="C11594" i="1"/>
  <c r="B11594" i="1"/>
  <c r="K11593" i="1"/>
  <c r="C11593" i="1"/>
  <c r="B11593" i="1"/>
  <c r="K11592" i="1"/>
  <c r="C11592" i="1"/>
  <c r="B11592" i="1"/>
  <c r="K11591" i="1"/>
  <c r="C11591" i="1"/>
  <c r="B11591" i="1"/>
  <c r="K11590" i="1"/>
  <c r="C11590" i="1"/>
  <c r="B11590" i="1"/>
  <c r="K11589" i="1"/>
  <c r="C11589" i="1"/>
  <c r="B11589" i="1"/>
  <c r="K11588" i="1"/>
  <c r="C11588" i="1"/>
  <c r="B11588" i="1"/>
  <c r="K11587" i="1"/>
  <c r="C11587" i="1"/>
  <c r="B11587" i="1"/>
  <c r="K11586" i="1"/>
  <c r="C11586" i="1"/>
  <c r="B11586" i="1"/>
  <c r="K11585" i="1"/>
  <c r="C11585" i="1"/>
  <c r="B11585" i="1"/>
  <c r="K11584" i="1"/>
  <c r="C11584" i="1"/>
  <c r="B11584" i="1"/>
  <c r="K11583" i="1"/>
  <c r="C11583" i="1"/>
  <c r="B11583" i="1"/>
  <c r="K11582" i="1"/>
  <c r="C11582" i="1"/>
  <c r="B11582" i="1"/>
  <c r="K11581" i="1"/>
  <c r="C11581" i="1"/>
  <c r="B11581" i="1"/>
  <c r="K11580" i="1"/>
  <c r="C11580" i="1"/>
  <c r="B11580" i="1"/>
  <c r="K11579" i="1"/>
  <c r="C11579" i="1"/>
  <c r="B11579" i="1"/>
  <c r="K11578" i="1"/>
  <c r="C11578" i="1"/>
  <c r="B11578" i="1"/>
  <c r="K11577" i="1"/>
  <c r="C11577" i="1"/>
  <c r="B11577" i="1"/>
  <c r="K11576" i="1"/>
  <c r="C11576" i="1"/>
  <c r="B11576" i="1"/>
  <c r="K11575" i="1"/>
  <c r="C11575" i="1"/>
  <c r="B11575" i="1"/>
  <c r="K11574" i="1"/>
  <c r="C11574" i="1"/>
  <c r="B11574" i="1"/>
  <c r="K11573" i="1"/>
  <c r="C11573" i="1"/>
  <c r="B11573" i="1"/>
  <c r="K11572" i="1"/>
  <c r="C11572" i="1"/>
  <c r="B11572" i="1"/>
  <c r="K11571" i="1"/>
  <c r="C11571" i="1"/>
  <c r="B11571" i="1"/>
  <c r="K11570" i="1"/>
  <c r="C11570" i="1"/>
  <c r="B11570" i="1"/>
  <c r="K11569" i="1"/>
  <c r="C11569" i="1"/>
  <c r="B11569" i="1"/>
  <c r="K11568" i="1"/>
  <c r="C11568" i="1"/>
  <c r="B11568" i="1"/>
  <c r="K11567" i="1"/>
  <c r="C11567" i="1"/>
  <c r="B11567" i="1"/>
  <c r="K11566" i="1"/>
  <c r="C11566" i="1"/>
  <c r="B11566" i="1"/>
  <c r="K11565" i="1"/>
  <c r="C11565" i="1"/>
  <c r="B11565" i="1"/>
  <c r="K11564" i="1"/>
  <c r="C11564" i="1"/>
  <c r="B11564" i="1"/>
  <c r="K11563" i="1"/>
  <c r="C11563" i="1"/>
  <c r="B11563" i="1"/>
  <c r="K11562" i="1"/>
  <c r="C11562" i="1"/>
  <c r="B11562" i="1"/>
  <c r="K11561" i="1"/>
  <c r="C11561" i="1"/>
  <c r="B11561" i="1"/>
  <c r="K11560" i="1"/>
  <c r="C11560" i="1"/>
  <c r="B11560" i="1"/>
  <c r="K11559" i="1"/>
  <c r="C11559" i="1"/>
  <c r="B11559" i="1"/>
  <c r="K11558" i="1"/>
  <c r="C11558" i="1"/>
  <c r="B11558" i="1"/>
  <c r="K11557" i="1"/>
  <c r="C11557" i="1"/>
  <c r="B11557" i="1"/>
  <c r="K11556" i="1"/>
  <c r="C11556" i="1"/>
  <c r="B11556" i="1"/>
  <c r="K11555" i="1"/>
  <c r="C11555" i="1"/>
  <c r="B11555" i="1"/>
  <c r="K11554" i="1"/>
  <c r="C11554" i="1"/>
  <c r="B11554" i="1"/>
  <c r="K11553" i="1"/>
  <c r="C11553" i="1"/>
  <c r="B11553" i="1"/>
  <c r="K11552" i="1"/>
  <c r="C11552" i="1"/>
  <c r="B11552" i="1"/>
  <c r="K11551" i="1"/>
  <c r="C11551" i="1"/>
  <c r="B11551" i="1"/>
  <c r="K11550" i="1"/>
  <c r="C11550" i="1"/>
  <c r="B11550" i="1"/>
  <c r="K11549" i="1"/>
  <c r="C11549" i="1"/>
  <c r="B11549" i="1"/>
  <c r="K11548" i="1"/>
  <c r="C11548" i="1"/>
  <c r="B11548" i="1"/>
  <c r="K11547" i="1"/>
  <c r="C11547" i="1"/>
  <c r="B11547" i="1"/>
  <c r="K11546" i="1"/>
  <c r="C11546" i="1"/>
  <c r="B11546" i="1"/>
  <c r="K11545" i="1"/>
  <c r="C11545" i="1"/>
  <c r="B11545" i="1"/>
  <c r="K11544" i="1"/>
  <c r="C11544" i="1"/>
  <c r="B11544" i="1"/>
  <c r="K11543" i="1"/>
  <c r="C11543" i="1"/>
  <c r="B11543" i="1"/>
  <c r="K11542" i="1"/>
  <c r="C11542" i="1"/>
  <c r="B11542" i="1"/>
  <c r="K11541" i="1"/>
  <c r="C11541" i="1"/>
  <c r="B11541" i="1"/>
  <c r="K11540" i="1"/>
  <c r="C11540" i="1"/>
  <c r="B11540" i="1"/>
  <c r="K11539" i="1"/>
  <c r="C11539" i="1"/>
  <c r="B11539" i="1"/>
  <c r="K11538" i="1"/>
  <c r="C11538" i="1"/>
  <c r="B11538" i="1"/>
  <c r="K11537" i="1"/>
  <c r="C11537" i="1"/>
  <c r="B11537" i="1"/>
  <c r="K11536" i="1"/>
  <c r="C11536" i="1"/>
  <c r="B11536" i="1"/>
  <c r="K11535" i="1"/>
  <c r="C11535" i="1"/>
  <c r="B11535" i="1"/>
  <c r="K11534" i="1"/>
  <c r="C11534" i="1"/>
  <c r="B11534" i="1"/>
  <c r="K11533" i="1"/>
  <c r="C11533" i="1"/>
  <c r="B11533" i="1"/>
  <c r="K11532" i="1"/>
  <c r="C11532" i="1"/>
  <c r="B11532" i="1"/>
  <c r="K11531" i="1"/>
  <c r="C11531" i="1"/>
  <c r="B11531" i="1"/>
  <c r="K11530" i="1"/>
  <c r="C11530" i="1"/>
  <c r="B11530" i="1"/>
  <c r="K11529" i="1"/>
  <c r="C11529" i="1"/>
  <c r="B11529" i="1"/>
  <c r="K11528" i="1"/>
  <c r="C11528" i="1"/>
  <c r="B11528" i="1"/>
  <c r="K11527" i="1"/>
  <c r="C11527" i="1"/>
  <c r="B11527" i="1"/>
  <c r="K11526" i="1"/>
  <c r="C11526" i="1"/>
  <c r="B11526" i="1"/>
  <c r="K11525" i="1"/>
  <c r="C11525" i="1"/>
  <c r="B11525" i="1"/>
  <c r="K11524" i="1"/>
  <c r="C11524" i="1"/>
  <c r="B11524" i="1"/>
  <c r="K11523" i="1"/>
  <c r="C11523" i="1"/>
  <c r="B11523" i="1"/>
  <c r="K11522" i="1"/>
  <c r="C11522" i="1"/>
  <c r="B11522" i="1"/>
  <c r="K11521" i="1"/>
  <c r="C11521" i="1"/>
  <c r="B11521" i="1"/>
  <c r="K11520" i="1"/>
  <c r="C11520" i="1"/>
  <c r="B11520" i="1"/>
  <c r="K11519" i="1"/>
  <c r="C11519" i="1"/>
  <c r="B11519" i="1"/>
  <c r="K11518" i="1"/>
  <c r="C11518" i="1"/>
  <c r="B11518" i="1"/>
  <c r="K11517" i="1"/>
  <c r="C11517" i="1"/>
  <c r="B11517" i="1"/>
  <c r="K11516" i="1"/>
  <c r="C11516" i="1"/>
  <c r="B11516" i="1"/>
  <c r="K11515" i="1"/>
  <c r="C11515" i="1"/>
  <c r="B11515" i="1"/>
  <c r="K11514" i="1"/>
  <c r="C11514" i="1"/>
  <c r="B11514" i="1"/>
  <c r="K11513" i="1"/>
  <c r="C11513" i="1"/>
  <c r="B11513" i="1"/>
  <c r="K11512" i="1"/>
  <c r="C11512" i="1"/>
  <c r="B11512" i="1"/>
  <c r="K11511" i="1"/>
  <c r="C11511" i="1"/>
  <c r="B11511" i="1"/>
  <c r="K11510" i="1"/>
  <c r="C11510" i="1"/>
  <c r="B11510" i="1"/>
  <c r="K11509" i="1"/>
  <c r="C11509" i="1"/>
  <c r="B11509" i="1"/>
  <c r="K11508" i="1"/>
  <c r="C11508" i="1"/>
  <c r="B11508" i="1"/>
  <c r="K11507" i="1"/>
  <c r="C11507" i="1"/>
  <c r="B11507" i="1"/>
  <c r="K11506" i="1"/>
  <c r="C11506" i="1"/>
  <c r="B11506" i="1"/>
  <c r="K11505" i="1"/>
  <c r="C11505" i="1"/>
  <c r="B11505" i="1"/>
  <c r="K11504" i="1"/>
  <c r="C11504" i="1"/>
  <c r="B11504" i="1"/>
  <c r="K11503" i="1"/>
  <c r="C11503" i="1"/>
  <c r="B11503" i="1"/>
  <c r="K11502" i="1"/>
  <c r="C11502" i="1"/>
  <c r="B11502" i="1"/>
  <c r="K11501" i="1"/>
  <c r="C11501" i="1"/>
  <c r="B11501" i="1"/>
  <c r="K11500" i="1"/>
  <c r="C11500" i="1"/>
  <c r="B11500" i="1"/>
  <c r="K11499" i="1"/>
  <c r="C11499" i="1"/>
  <c r="B11499" i="1"/>
  <c r="K11498" i="1"/>
  <c r="C11498" i="1"/>
  <c r="B11498" i="1"/>
  <c r="K11497" i="1"/>
  <c r="C11497" i="1"/>
  <c r="B11497" i="1"/>
  <c r="K11496" i="1"/>
  <c r="C11496" i="1"/>
  <c r="B11496" i="1"/>
  <c r="K11495" i="1"/>
  <c r="C11495" i="1"/>
  <c r="B11495" i="1"/>
  <c r="K11494" i="1"/>
  <c r="C11494" i="1"/>
  <c r="B11494" i="1"/>
  <c r="K11493" i="1"/>
  <c r="C11493" i="1"/>
  <c r="B11493" i="1"/>
  <c r="K11492" i="1"/>
  <c r="C11492" i="1"/>
  <c r="B11492" i="1"/>
  <c r="K11491" i="1"/>
  <c r="C11491" i="1"/>
  <c r="B11491" i="1"/>
  <c r="K11490" i="1"/>
  <c r="C11490" i="1"/>
  <c r="B11490" i="1"/>
  <c r="K11489" i="1"/>
  <c r="C11489" i="1"/>
  <c r="B11489" i="1"/>
  <c r="K11488" i="1"/>
  <c r="C11488" i="1"/>
  <c r="B11488" i="1"/>
  <c r="K11487" i="1"/>
  <c r="C11487" i="1"/>
  <c r="B11487" i="1"/>
  <c r="K11486" i="1"/>
  <c r="C11486" i="1"/>
  <c r="B11486" i="1"/>
  <c r="K11485" i="1"/>
  <c r="C11485" i="1"/>
  <c r="B11485" i="1"/>
  <c r="K11484" i="1"/>
  <c r="C11484" i="1"/>
  <c r="B11484" i="1"/>
  <c r="K11483" i="1"/>
  <c r="C11483" i="1"/>
  <c r="B11483" i="1"/>
  <c r="K11482" i="1"/>
  <c r="C11482" i="1"/>
  <c r="B11482" i="1"/>
  <c r="K11481" i="1"/>
  <c r="C11481" i="1"/>
  <c r="B11481" i="1"/>
  <c r="K11480" i="1"/>
  <c r="C11480" i="1"/>
  <c r="B11480" i="1"/>
  <c r="K11479" i="1"/>
  <c r="C11479" i="1"/>
  <c r="B11479" i="1"/>
  <c r="K11478" i="1"/>
  <c r="C11478" i="1"/>
  <c r="B11478" i="1"/>
  <c r="K11477" i="1"/>
  <c r="C11477" i="1"/>
  <c r="B11477" i="1"/>
  <c r="K11476" i="1"/>
  <c r="C11476" i="1"/>
  <c r="B11476" i="1"/>
  <c r="K11475" i="1"/>
  <c r="C11475" i="1"/>
  <c r="B11475" i="1"/>
  <c r="K11474" i="1"/>
  <c r="C11474" i="1"/>
  <c r="B11474" i="1"/>
  <c r="K11473" i="1"/>
  <c r="C11473" i="1"/>
  <c r="B11473" i="1"/>
  <c r="K11472" i="1"/>
  <c r="C11472" i="1"/>
  <c r="B11472" i="1"/>
  <c r="K11471" i="1"/>
  <c r="C11471" i="1"/>
  <c r="B11471" i="1"/>
  <c r="K11470" i="1"/>
  <c r="C11470" i="1"/>
  <c r="B11470" i="1"/>
  <c r="K11469" i="1"/>
  <c r="C11469" i="1"/>
  <c r="B11469" i="1"/>
  <c r="K11468" i="1"/>
  <c r="C11468" i="1"/>
  <c r="B11468" i="1"/>
  <c r="K11467" i="1"/>
  <c r="C11467" i="1"/>
  <c r="B11467" i="1"/>
  <c r="K11466" i="1"/>
  <c r="C11466" i="1"/>
  <c r="B11466" i="1"/>
  <c r="K11465" i="1"/>
  <c r="C11465" i="1"/>
  <c r="B11465" i="1"/>
  <c r="K11464" i="1"/>
  <c r="C11464" i="1"/>
  <c r="B11464" i="1"/>
  <c r="K11463" i="1"/>
  <c r="C11463" i="1"/>
  <c r="B11463" i="1"/>
  <c r="K11462" i="1"/>
  <c r="C11462" i="1"/>
  <c r="B11462" i="1"/>
  <c r="K11461" i="1"/>
  <c r="C11461" i="1"/>
  <c r="B11461" i="1"/>
  <c r="K11460" i="1"/>
  <c r="C11460" i="1"/>
  <c r="B11460" i="1"/>
  <c r="K11459" i="1"/>
  <c r="C11459" i="1"/>
  <c r="B11459" i="1"/>
  <c r="K11458" i="1"/>
  <c r="C11458" i="1"/>
  <c r="B11458" i="1"/>
  <c r="K11457" i="1"/>
  <c r="C11457" i="1"/>
  <c r="B11457" i="1"/>
  <c r="K11456" i="1"/>
  <c r="C11456" i="1"/>
  <c r="B11456" i="1"/>
  <c r="K11455" i="1"/>
  <c r="C11455" i="1"/>
  <c r="B11455" i="1"/>
  <c r="K11454" i="1"/>
  <c r="C11454" i="1"/>
  <c r="B11454" i="1"/>
  <c r="K11453" i="1"/>
  <c r="C11453" i="1"/>
  <c r="B11453" i="1"/>
  <c r="K11452" i="1"/>
  <c r="C11452" i="1"/>
  <c r="B11452" i="1"/>
  <c r="K11451" i="1"/>
  <c r="C11451" i="1"/>
  <c r="B11451" i="1"/>
  <c r="K11450" i="1"/>
  <c r="C11450" i="1"/>
  <c r="B11450" i="1"/>
  <c r="K11449" i="1"/>
  <c r="C11449" i="1"/>
  <c r="B11449" i="1"/>
  <c r="K11448" i="1"/>
  <c r="C11448" i="1"/>
  <c r="B11448" i="1"/>
  <c r="K11447" i="1"/>
  <c r="C11447" i="1"/>
  <c r="B11447" i="1"/>
  <c r="K11446" i="1"/>
  <c r="C11446" i="1"/>
  <c r="B11446" i="1"/>
  <c r="K11445" i="1"/>
  <c r="C11445" i="1"/>
  <c r="B11445" i="1"/>
  <c r="K11444" i="1"/>
  <c r="C11444" i="1"/>
  <c r="B11444" i="1"/>
  <c r="K11443" i="1"/>
  <c r="C11443" i="1"/>
  <c r="B11443" i="1"/>
  <c r="K11442" i="1"/>
  <c r="C11442" i="1"/>
  <c r="B11442" i="1"/>
  <c r="K11441" i="1"/>
  <c r="C11441" i="1"/>
  <c r="B11441" i="1"/>
  <c r="K11440" i="1"/>
  <c r="C11440" i="1"/>
  <c r="B11440" i="1"/>
  <c r="K11439" i="1"/>
  <c r="C11439" i="1"/>
  <c r="B11439" i="1"/>
  <c r="K11438" i="1"/>
  <c r="C11438" i="1"/>
  <c r="B11438" i="1"/>
  <c r="K11437" i="1"/>
  <c r="C11437" i="1"/>
  <c r="B11437" i="1"/>
  <c r="K11436" i="1"/>
  <c r="C11436" i="1"/>
  <c r="B11436" i="1"/>
  <c r="K11435" i="1"/>
  <c r="C11435" i="1"/>
  <c r="B11435" i="1"/>
  <c r="K11434" i="1"/>
  <c r="C11434" i="1"/>
  <c r="B11434" i="1"/>
  <c r="K11433" i="1"/>
  <c r="C11433" i="1"/>
  <c r="B11433" i="1"/>
  <c r="K11432" i="1"/>
  <c r="C11432" i="1"/>
  <c r="B11432" i="1"/>
  <c r="K11431" i="1"/>
  <c r="C11431" i="1"/>
  <c r="B11431" i="1"/>
  <c r="K11430" i="1"/>
  <c r="C11430" i="1"/>
  <c r="B11430" i="1"/>
  <c r="K11429" i="1"/>
  <c r="C11429" i="1"/>
  <c r="B11429" i="1"/>
  <c r="K11428" i="1"/>
  <c r="C11428" i="1"/>
  <c r="B11428" i="1"/>
  <c r="K11427" i="1"/>
  <c r="C11427" i="1"/>
  <c r="B11427" i="1"/>
  <c r="K11426" i="1"/>
  <c r="C11426" i="1"/>
  <c r="B11426" i="1"/>
  <c r="K11425" i="1"/>
  <c r="C11425" i="1"/>
  <c r="B11425" i="1"/>
  <c r="K11424" i="1"/>
  <c r="C11424" i="1"/>
  <c r="B11424" i="1"/>
  <c r="K11423" i="1"/>
  <c r="C11423" i="1"/>
  <c r="B11423" i="1"/>
  <c r="K11422" i="1"/>
  <c r="C11422" i="1"/>
  <c r="B11422" i="1"/>
  <c r="K11421" i="1"/>
  <c r="C11421" i="1"/>
  <c r="B11421" i="1"/>
  <c r="K11420" i="1"/>
  <c r="C11420" i="1"/>
  <c r="B11420" i="1"/>
  <c r="K11419" i="1"/>
  <c r="C11419" i="1"/>
  <c r="B11419" i="1"/>
  <c r="K11418" i="1"/>
  <c r="C11418" i="1"/>
  <c r="B11418" i="1"/>
  <c r="K11417" i="1"/>
  <c r="C11417" i="1"/>
  <c r="B11417" i="1"/>
  <c r="K11416" i="1"/>
  <c r="C11416" i="1"/>
  <c r="B11416" i="1"/>
  <c r="K11415" i="1"/>
  <c r="C11415" i="1"/>
  <c r="B11415" i="1"/>
  <c r="K11414" i="1"/>
  <c r="C11414" i="1"/>
  <c r="B11414" i="1"/>
  <c r="K11413" i="1"/>
  <c r="C11413" i="1"/>
  <c r="B11413" i="1"/>
  <c r="K11412" i="1"/>
  <c r="C11412" i="1"/>
  <c r="B11412" i="1"/>
  <c r="K11411" i="1"/>
  <c r="C11411" i="1"/>
  <c r="B11411" i="1"/>
  <c r="K11410" i="1"/>
  <c r="C11410" i="1"/>
  <c r="B11410" i="1"/>
  <c r="K11409" i="1"/>
  <c r="C11409" i="1"/>
  <c r="B11409" i="1"/>
  <c r="K11408" i="1"/>
  <c r="C11408" i="1"/>
  <c r="B11408" i="1"/>
  <c r="K11407" i="1"/>
  <c r="C11407" i="1"/>
  <c r="B11407" i="1"/>
  <c r="K11406" i="1"/>
  <c r="C11406" i="1"/>
  <c r="B11406" i="1"/>
  <c r="K11405" i="1"/>
  <c r="C11405" i="1"/>
  <c r="B11405" i="1"/>
  <c r="K11404" i="1"/>
  <c r="C11404" i="1"/>
  <c r="B11404" i="1"/>
  <c r="K11403" i="1"/>
  <c r="C11403" i="1"/>
  <c r="B11403" i="1"/>
  <c r="K11402" i="1"/>
  <c r="C11402" i="1"/>
  <c r="B11402" i="1"/>
  <c r="K11401" i="1"/>
  <c r="C11401" i="1"/>
  <c r="B11401" i="1"/>
  <c r="K11400" i="1"/>
  <c r="C11400" i="1"/>
  <c r="B11400" i="1"/>
  <c r="K11399" i="1"/>
  <c r="C11399" i="1"/>
  <c r="B11399" i="1"/>
  <c r="K11398" i="1"/>
  <c r="C11398" i="1"/>
  <c r="B11398" i="1"/>
  <c r="K11397" i="1"/>
  <c r="C11397" i="1"/>
  <c r="B11397" i="1"/>
  <c r="K11396" i="1"/>
  <c r="C11396" i="1"/>
  <c r="B11396" i="1"/>
  <c r="K11395" i="1"/>
  <c r="C11395" i="1"/>
  <c r="B11395" i="1"/>
  <c r="K11394" i="1"/>
  <c r="C11394" i="1"/>
  <c r="B11394" i="1"/>
  <c r="K11393" i="1"/>
  <c r="C11393" i="1"/>
  <c r="B11393" i="1"/>
  <c r="K11392" i="1"/>
  <c r="C11392" i="1"/>
  <c r="B11392" i="1"/>
  <c r="K11391" i="1"/>
  <c r="C11391" i="1"/>
  <c r="B11391" i="1"/>
  <c r="K11390" i="1"/>
  <c r="C11390" i="1"/>
  <c r="B11390" i="1"/>
  <c r="K11389" i="1"/>
  <c r="C11389" i="1"/>
  <c r="B11389" i="1"/>
  <c r="K11388" i="1"/>
  <c r="C11388" i="1"/>
  <c r="B11388" i="1"/>
  <c r="K11387" i="1"/>
  <c r="C11387" i="1"/>
  <c r="B11387" i="1"/>
  <c r="K11386" i="1"/>
  <c r="C11386" i="1"/>
  <c r="B11386" i="1"/>
  <c r="K11385" i="1"/>
  <c r="C11385" i="1"/>
  <c r="B11385" i="1"/>
  <c r="K11384" i="1"/>
  <c r="C11384" i="1"/>
  <c r="B11384" i="1"/>
  <c r="K11383" i="1"/>
  <c r="C11383" i="1"/>
  <c r="B11383" i="1"/>
  <c r="K11382" i="1"/>
  <c r="C11382" i="1"/>
  <c r="B11382" i="1"/>
  <c r="K11381" i="1"/>
  <c r="C11381" i="1"/>
  <c r="B11381" i="1"/>
  <c r="K11380" i="1"/>
  <c r="C11380" i="1"/>
  <c r="B11380" i="1"/>
  <c r="K11379" i="1"/>
  <c r="C11379" i="1"/>
  <c r="B11379" i="1"/>
  <c r="K11378" i="1"/>
  <c r="C11378" i="1"/>
  <c r="B11378" i="1"/>
  <c r="K11377" i="1"/>
  <c r="C11377" i="1"/>
  <c r="B11377" i="1"/>
  <c r="K11376" i="1"/>
  <c r="C11376" i="1"/>
  <c r="B11376" i="1"/>
  <c r="K11375" i="1"/>
  <c r="C11375" i="1"/>
  <c r="B11375" i="1"/>
  <c r="K11374" i="1"/>
  <c r="C11374" i="1"/>
  <c r="B11374" i="1"/>
  <c r="K11373" i="1"/>
  <c r="C11373" i="1"/>
  <c r="B11373" i="1"/>
  <c r="K11372" i="1"/>
  <c r="C11372" i="1"/>
  <c r="B11372" i="1"/>
  <c r="K11371" i="1"/>
  <c r="C11371" i="1"/>
  <c r="B11371" i="1"/>
  <c r="K11370" i="1"/>
  <c r="C11370" i="1"/>
  <c r="B11370" i="1"/>
  <c r="K11369" i="1"/>
  <c r="C11369" i="1"/>
  <c r="B11369" i="1"/>
  <c r="K11368" i="1"/>
  <c r="C11368" i="1"/>
  <c r="B11368" i="1"/>
  <c r="K11367" i="1"/>
  <c r="C11367" i="1"/>
  <c r="B11367" i="1"/>
  <c r="K11366" i="1"/>
  <c r="C11366" i="1"/>
  <c r="B11366" i="1"/>
  <c r="K11365" i="1"/>
  <c r="C11365" i="1"/>
  <c r="B11365" i="1"/>
  <c r="K11364" i="1"/>
  <c r="C11364" i="1"/>
  <c r="B11364" i="1"/>
  <c r="K11363" i="1"/>
  <c r="C11363" i="1"/>
  <c r="B11363" i="1"/>
  <c r="K11362" i="1"/>
  <c r="C11362" i="1"/>
  <c r="B11362" i="1"/>
  <c r="K11361" i="1"/>
  <c r="C11361" i="1"/>
  <c r="B11361" i="1"/>
  <c r="K11360" i="1"/>
  <c r="C11360" i="1"/>
  <c r="B11360" i="1"/>
  <c r="K11359" i="1"/>
  <c r="C11359" i="1"/>
  <c r="B11359" i="1"/>
  <c r="K11358" i="1"/>
  <c r="C11358" i="1"/>
  <c r="B11358" i="1"/>
  <c r="K11357" i="1"/>
  <c r="C11357" i="1"/>
  <c r="B11357" i="1"/>
  <c r="K11356" i="1"/>
  <c r="C11356" i="1"/>
  <c r="B11356" i="1"/>
  <c r="K11355" i="1"/>
  <c r="C11355" i="1"/>
  <c r="B11355" i="1"/>
  <c r="K11354" i="1"/>
  <c r="C11354" i="1"/>
  <c r="B11354" i="1"/>
  <c r="K11353" i="1"/>
  <c r="C11353" i="1"/>
  <c r="B11353" i="1"/>
  <c r="K11352" i="1"/>
  <c r="C11352" i="1"/>
  <c r="B11352" i="1"/>
  <c r="K11351" i="1"/>
  <c r="C11351" i="1"/>
  <c r="B11351" i="1"/>
  <c r="K11350" i="1"/>
  <c r="C11350" i="1"/>
  <c r="B11350" i="1"/>
  <c r="K11349" i="1"/>
  <c r="C11349" i="1"/>
  <c r="B11349" i="1"/>
  <c r="K11348" i="1"/>
  <c r="C11348" i="1"/>
  <c r="B11348" i="1"/>
  <c r="K11347" i="1"/>
  <c r="C11347" i="1"/>
  <c r="B11347" i="1"/>
  <c r="K11346" i="1"/>
  <c r="C11346" i="1"/>
  <c r="B11346" i="1"/>
  <c r="K11345" i="1"/>
  <c r="C11345" i="1"/>
  <c r="B11345" i="1"/>
  <c r="K11344" i="1"/>
  <c r="C11344" i="1"/>
  <c r="B11344" i="1"/>
  <c r="K11343" i="1"/>
  <c r="C11343" i="1"/>
  <c r="B11343" i="1"/>
  <c r="K11342" i="1"/>
  <c r="C11342" i="1"/>
  <c r="B11342" i="1"/>
  <c r="K11341" i="1"/>
  <c r="C11341" i="1"/>
  <c r="B11341" i="1"/>
  <c r="K11340" i="1"/>
  <c r="C11340" i="1"/>
  <c r="B11340" i="1"/>
  <c r="K11339" i="1"/>
  <c r="C11339" i="1"/>
  <c r="B11339" i="1"/>
  <c r="K11338" i="1"/>
  <c r="C11338" i="1"/>
  <c r="B11338" i="1"/>
  <c r="K11337" i="1"/>
  <c r="C11337" i="1"/>
  <c r="B11337" i="1"/>
  <c r="K11336" i="1"/>
  <c r="C11336" i="1"/>
  <c r="B11336" i="1"/>
  <c r="K11335" i="1"/>
  <c r="C11335" i="1"/>
  <c r="B11335" i="1"/>
  <c r="K11334" i="1"/>
  <c r="C11334" i="1"/>
  <c r="B11334" i="1"/>
  <c r="K11333" i="1"/>
  <c r="C11333" i="1"/>
  <c r="B11333" i="1"/>
  <c r="K11332" i="1"/>
  <c r="C11332" i="1"/>
  <c r="B11332" i="1"/>
  <c r="K11331" i="1"/>
  <c r="C11331" i="1"/>
  <c r="B11331" i="1"/>
  <c r="K11330" i="1"/>
  <c r="C11330" i="1"/>
  <c r="B11330" i="1"/>
  <c r="K11329" i="1"/>
  <c r="C11329" i="1"/>
  <c r="B11329" i="1"/>
  <c r="K11328" i="1"/>
  <c r="C11328" i="1"/>
  <c r="B11328" i="1"/>
  <c r="K11327" i="1"/>
  <c r="C11327" i="1"/>
  <c r="B11327" i="1"/>
  <c r="K11326" i="1"/>
  <c r="C11326" i="1"/>
  <c r="B11326" i="1"/>
  <c r="K11325" i="1"/>
  <c r="C11325" i="1"/>
  <c r="B11325" i="1"/>
  <c r="K11324" i="1"/>
  <c r="C11324" i="1"/>
  <c r="B11324" i="1"/>
  <c r="K11323" i="1"/>
  <c r="C11323" i="1"/>
  <c r="B11323" i="1"/>
  <c r="K11322" i="1"/>
  <c r="C11322" i="1"/>
  <c r="B11322" i="1"/>
  <c r="K11321" i="1"/>
  <c r="C11321" i="1"/>
  <c r="B11321" i="1"/>
  <c r="K11320" i="1"/>
  <c r="C11320" i="1"/>
  <c r="B11320" i="1"/>
  <c r="K11319" i="1"/>
  <c r="C11319" i="1"/>
  <c r="B11319" i="1"/>
  <c r="K11318" i="1"/>
  <c r="C11318" i="1"/>
  <c r="B11318" i="1"/>
  <c r="K11317" i="1"/>
  <c r="C11317" i="1"/>
  <c r="B11317" i="1"/>
  <c r="K11316" i="1"/>
  <c r="C11316" i="1"/>
  <c r="B11316" i="1"/>
  <c r="K11315" i="1"/>
  <c r="C11315" i="1"/>
  <c r="B11315" i="1"/>
  <c r="K11314" i="1"/>
  <c r="C11314" i="1"/>
  <c r="B11314" i="1"/>
  <c r="K11313" i="1"/>
  <c r="C11313" i="1"/>
  <c r="B11313" i="1"/>
  <c r="K11312" i="1"/>
  <c r="C11312" i="1"/>
  <c r="B11312" i="1"/>
  <c r="K11311" i="1"/>
  <c r="C11311" i="1"/>
  <c r="B11311" i="1"/>
  <c r="K11310" i="1"/>
  <c r="C11310" i="1"/>
  <c r="B11310" i="1"/>
  <c r="K11309" i="1"/>
  <c r="C11309" i="1"/>
  <c r="B11309" i="1"/>
  <c r="K11308" i="1"/>
  <c r="C11308" i="1"/>
  <c r="B11308" i="1"/>
  <c r="K11307" i="1"/>
  <c r="C11307" i="1"/>
  <c r="B11307" i="1"/>
  <c r="K11306" i="1"/>
  <c r="C11306" i="1"/>
  <c r="B11306" i="1"/>
  <c r="K11305" i="1"/>
  <c r="C11305" i="1"/>
  <c r="B11305" i="1"/>
  <c r="K11304" i="1"/>
  <c r="C11304" i="1"/>
  <c r="B11304" i="1"/>
  <c r="K11303" i="1"/>
  <c r="C11303" i="1"/>
  <c r="B11303" i="1"/>
  <c r="K11302" i="1"/>
  <c r="C11302" i="1"/>
  <c r="B11302" i="1"/>
  <c r="K11301" i="1"/>
  <c r="C11301" i="1"/>
  <c r="B11301" i="1"/>
  <c r="K11300" i="1"/>
  <c r="C11300" i="1"/>
  <c r="B11300" i="1"/>
  <c r="K11299" i="1"/>
  <c r="C11299" i="1"/>
  <c r="B11299" i="1"/>
  <c r="K11298" i="1"/>
  <c r="C11298" i="1"/>
  <c r="B11298" i="1"/>
  <c r="K11297" i="1"/>
  <c r="C11297" i="1"/>
  <c r="B11297" i="1"/>
  <c r="K11296" i="1"/>
  <c r="C11296" i="1"/>
  <c r="B11296" i="1"/>
  <c r="K11295" i="1"/>
  <c r="C11295" i="1"/>
  <c r="B11295" i="1"/>
  <c r="K11294" i="1"/>
  <c r="C11294" i="1"/>
  <c r="B11294" i="1"/>
  <c r="K11293" i="1"/>
  <c r="C11293" i="1"/>
  <c r="B11293" i="1"/>
  <c r="K11292" i="1"/>
  <c r="C11292" i="1"/>
  <c r="B11292" i="1"/>
  <c r="K11291" i="1"/>
  <c r="C11291" i="1"/>
  <c r="B11291" i="1"/>
  <c r="K11290" i="1"/>
  <c r="C11290" i="1"/>
  <c r="B11290" i="1"/>
  <c r="K11289" i="1"/>
  <c r="C11289" i="1"/>
  <c r="B11289" i="1"/>
  <c r="K11288" i="1"/>
  <c r="C11288" i="1"/>
  <c r="B11288" i="1"/>
  <c r="K11287" i="1"/>
  <c r="C11287" i="1"/>
  <c r="B11287" i="1"/>
  <c r="K11286" i="1"/>
  <c r="C11286" i="1"/>
  <c r="B11286" i="1"/>
  <c r="K11285" i="1"/>
  <c r="C11285" i="1"/>
  <c r="B11285" i="1"/>
  <c r="K11284" i="1"/>
  <c r="C11284" i="1"/>
  <c r="B11284" i="1"/>
  <c r="K11283" i="1"/>
  <c r="C11283" i="1"/>
  <c r="B11283" i="1"/>
  <c r="K11282" i="1"/>
  <c r="C11282" i="1"/>
  <c r="B11282" i="1"/>
  <c r="K11281" i="1"/>
  <c r="C11281" i="1"/>
  <c r="B11281" i="1"/>
  <c r="K11280" i="1"/>
  <c r="C11280" i="1"/>
  <c r="B11280" i="1"/>
  <c r="K11279" i="1"/>
  <c r="C11279" i="1"/>
  <c r="B11279" i="1"/>
  <c r="K11278" i="1"/>
  <c r="C11278" i="1"/>
  <c r="B11278" i="1"/>
  <c r="K11277" i="1"/>
  <c r="C11277" i="1"/>
  <c r="B11277" i="1"/>
  <c r="K11276" i="1"/>
  <c r="C11276" i="1"/>
  <c r="B11276" i="1"/>
  <c r="K11275" i="1"/>
  <c r="C11275" i="1"/>
  <c r="B11275" i="1"/>
  <c r="K11274" i="1"/>
  <c r="C11274" i="1"/>
  <c r="B11274" i="1"/>
  <c r="K11273" i="1"/>
  <c r="C11273" i="1"/>
  <c r="B11273" i="1"/>
  <c r="K11272" i="1"/>
  <c r="C11272" i="1"/>
  <c r="B11272" i="1"/>
  <c r="K11271" i="1"/>
  <c r="C11271" i="1"/>
  <c r="B11271" i="1"/>
  <c r="K11270" i="1"/>
  <c r="C11270" i="1"/>
  <c r="B11270" i="1"/>
  <c r="K11269" i="1"/>
  <c r="C11269" i="1"/>
  <c r="B11269" i="1"/>
  <c r="K11268" i="1"/>
  <c r="C11268" i="1"/>
  <c r="B11268" i="1"/>
  <c r="K11267" i="1"/>
  <c r="C11267" i="1"/>
  <c r="B11267" i="1"/>
  <c r="K11266" i="1"/>
  <c r="C11266" i="1"/>
  <c r="B11266" i="1"/>
  <c r="K11265" i="1"/>
  <c r="C11265" i="1"/>
  <c r="B11265" i="1"/>
  <c r="K11264" i="1"/>
  <c r="C11264" i="1"/>
  <c r="B11264" i="1"/>
  <c r="K11263" i="1"/>
  <c r="C11263" i="1"/>
  <c r="B11263" i="1"/>
  <c r="K11262" i="1"/>
  <c r="C11262" i="1"/>
  <c r="B11262" i="1"/>
  <c r="K11261" i="1"/>
  <c r="C11261" i="1"/>
  <c r="B11261" i="1"/>
  <c r="K11260" i="1"/>
  <c r="C11260" i="1"/>
  <c r="B11260" i="1"/>
  <c r="K11259" i="1"/>
  <c r="C11259" i="1"/>
  <c r="B11259" i="1"/>
  <c r="K11258" i="1"/>
  <c r="C11258" i="1"/>
  <c r="B11258" i="1"/>
  <c r="K11257" i="1"/>
  <c r="C11257" i="1"/>
  <c r="B11257" i="1"/>
  <c r="K11256" i="1"/>
  <c r="C11256" i="1"/>
  <c r="B11256" i="1"/>
  <c r="K11255" i="1"/>
  <c r="C11255" i="1"/>
  <c r="B11255" i="1"/>
  <c r="K11254" i="1"/>
  <c r="C11254" i="1"/>
  <c r="B11254" i="1"/>
  <c r="K11253" i="1"/>
  <c r="C11253" i="1"/>
  <c r="B11253" i="1"/>
  <c r="K11252" i="1"/>
  <c r="C11252" i="1"/>
  <c r="B11252" i="1"/>
  <c r="K11251" i="1"/>
  <c r="C11251" i="1"/>
  <c r="B11251" i="1"/>
  <c r="K11250" i="1"/>
  <c r="C11250" i="1"/>
  <c r="B11250" i="1"/>
  <c r="K11249" i="1"/>
  <c r="C11249" i="1"/>
  <c r="B11249" i="1"/>
  <c r="K11248" i="1"/>
  <c r="C11248" i="1"/>
  <c r="B11248" i="1"/>
  <c r="K11247" i="1"/>
  <c r="C11247" i="1"/>
  <c r="B11247" i="1"/>
  <c r="K11246" i="1"/>
  <c r="C11246" i="1"/>
  <c r="B11246" i="1"/>
  <c r="K11245" i="1"/>
  <c r="C11245" i="1"/>
  <c r="B11245" i="1"/>
  <c r="K11244" i="1"/>
  <c r="C11244" i="1"/>
  <c r="B11244" i="1"/>
  <c r="K11243" i="1"/>
  <c r="C11243" i="1"/>
  <c r="B11243" i="1"/>
  <c r="K11242" i="1"/>
  <c r="C11242" i="1"/>
  <c r="B11242" i="1"/>
  <c r="K11241" i="1"/>
  <c r="C11241" i="1"/>
  <c r="B11241" i="1"/>
  <c r="K11240" i="1"/>
  <c r="C11240" i="1"/>
  <c r="B11240" i="1"/>
  <c r="K11239" i="1"/>
  <c r="C11239" i="1"/>
  <c r="B11239" i="1"/>
  <c r="K11238" i="1"/>
  <c r="C11238" i="1"/>
  <c r="B11238" i="1"/>
  <c r="K11237" i="1"/>
  <c r="C11237" i="1"/>
  <c r="B11237" i="1"/>
  <c r="K11236" i="1"/>
  <c r="C11236" i="1"/>
  <c r="B11236" i="1"/>
  <c r="K11235" i="1"/>
  <c r="C11235" i="1"/>
  <c r="B11235" i="1"/>
  <c r="K11234" i="1"/>
  <c r="C11234" i="1"/>
  <c r="B11234" i="1"/>
  <c r="K11233" i="1"/>
  <c r="C11233" i="1"/>
  <c r="B11233" i="1"/>
  <c r="K11232" i="1"/>
  <c r="C11232" i="1"/>
  <c r="B11232" i="1"/>
  <c r="K11231" i="1"/>
  <c r="C11231" i="1"/>
  <c r="B11231" i="1"/>
  <c r="K11230" i="1"/>
  <c r="C11230" i="1"/>
  <c r="B11230" i="1"/>
  <c r="K11229" i="1"/>
  <c r="C11229" i="1"/>
  <c r="B11229" i="1"/>
  <c r="K11228" i="1"/>
  <c r="C11228" i="1"/>
  <c r="B11228" i="1"/>
  <c r="K11227" i="1"/>
  <c r="C11227" i="1"/>
  <c r="B11227" i="1"/>
  <c r="K11226" i="1"/>
  <c r="C11226" i="1"/>
  <c r="B11226" i="1"/>
  <c r="K11225" i="1"/>
  <c r="C11225" i="1"/>
  <c r="B11225" i="1"/>
  <c r="K11224" i="1"/>
  <c r="C11224" i="1"/>
  <c r="B11224" i="1"/>
  <c r="K11223" i="1"/>
  <c r="C11223" i="1"/>
  <c r="B11223" i="1"/>
  <c r="K11222" i="1"/>
  <c r="C11222" i="1"/>
  <c r="B11222" i="1"/>
  <c r="K11221" i="1"/>
  <c r="C11221" i="1"/>
  <c r="B11221" i="1"/>
  <c r="K11220" i="1"/>
  <c r="C11220" i="1"/>
  <c r="B11220" i="1"/>
  <c r="K11219" i="1"/>
  <c r="C11219" i="1"/>
  <c r="B11219" i="1"/>
  <c r="K11218" i="1"/>
  <c r="C11218" i="1"/>
  <c r="B11218" i="1"/>
  <c r="K11217" i="1"/>
  <c r="C11217" i="1"/>
  <c r="B11217" i="1"/>
  <c r="K11216" i="1"/>
  <c r="C11216" i="1"/>
  <c r="B11216" i="1"/>
  <c r="K11215" i="1"/>
  <c r="C11215" i="1"/>
  <c r="B11215" i="1"/>
  <c r="K11214" i="1"/>
  <c r="C11214" i="1"/>
  <c r="B11214" i="1"/>
  <c r="K11213" i="1"/>
  <c r="C11213" i="1"/>
  <c r="B11213" i="1"/>
  <c r="K11212" i="1"/>
  <c r="C11212" i="1"/>
  <c r="B11212" i="1"/>
  <c r="K11211" i="1"/>
  <c r="C11211" i="1"/>
  <c r="B11211" i="1"/>
  <c r="K11210" i="1"/>
  <c r="C11210" i="1"/>
  <c r="B11210" i="1"/>
  <c r="K11209" i="1"/>
  <c r="C11209" i="1"/>
  <c r="B11209" i="1"/>
  <c r="K11208" i="1"/>
  <c r="C11208" i="1"/>
  <c r="B11208" i="1"/>
  <c r="K11207" i="1"/>
  <c r="C11207" i="1"/>
  <c r="B11207" i="1"/>
  <c r="K11206" i="1"/>
  <c r="C11206" i="1"/>
  <c r="B11206" i="1"/>
  <c r="K11205" i="1"/>
  <c r="C11205" i="1"/>
  <c r="B11205" i="1"/>
  <c r="K11204" i="1"/>
  <c r="C11204" i="1"/>
  <c r="B11204" i="1"/>
  <c r="K11203" i="1"/>
  <c r="C11203" i="1"/>
  <c r="B11203" i="1"/>
  <c r="K11202" i="1"/>
  <c r="C11202" i="1"/>
  <c r="B11202" i="1"/>
  <c r="K11201" i="1"/>
  <c r="C11201" i="1"/>
  <c r="B11201" i="1"/>
  <c r="K11200" i="1"/>
  <c r="C11200" i="1"/>
  <c r="B11200" i="1"/>
  <c r="K11199" i="1"/>
  <c r="C11199" i="1"/>
  <c r="B11199" i="1"/>
  <c r="K11198" i="1"/>
  <c r="C11198" i="1"/>
  <c r="B11198" i="1"/>
  <c r="K11197" i="1"/>
  <c r="C11197" i="1"/>
  <c r="B11197" i="1"/>
  <c r="K11196" i="1"/>
  <c r="C11196" i="1"/>
  <c r="B11196" i="1"/>
  <c r="K11195" i="1"/>
  <c r="C11195" i="1"/>
  <c r="B11195" i="1"/>
  <c r="K11194" i="1"/>
  <c r="C11194" i="1"/>
  <c r="B11194" i="1"/>
  <c r="K11193" i="1"/>
  <c r="C11193" i="1"/>
  <c r="B11193" i="1"/>
  <c r="K11192" i="1"/>
  <c r="C11192" i="1"/>
  <c r="B11192" i="1"/>
  <c r="K11191" i="1"/>
  <c r="C11191" i="1"/>
  <c r="B11191" i="1"/>
  <c r="K11190" i="1"/>
  <c r="C11190" i="1"/>
  <c r="B11190" i="1"/>
  <c r="K11189" i="1"/>
  <c r="C11189" i="1"/>
  <c r="B11189" i="1"/>
  <c r="K11188" i="1"/>
  <c r="C11188" i="1"/>
  <c r="B11188" i="1"/>
  <c r="K11187" i="1"/>
  <c r="C11187" i="1"/>
  <c r="B11187" i="1"/>
  <c r="K11186" i="1"/>
  <c r="C11186" i="1"/>
  <c r="B11186" i="1"/>
  <c r="K11185" i="1"/>
  <c r="C11185" i="1"/>
  <c r="B11185" i="1"/>
  <c r="K11184" i="1"/>
  <c r="C11184" i="1"/>
  <c r="B11184" i="1"/>
  <c r="K11183" i="1"/>
  <c r="C11183" i="1"/>
  <c r="B11183" i="1"/>
  <c r="K11182" i="1"/>
  <c r="C11182" i="1"/>
  <c r="B11182" i="1"/>
  <c r="K11181" i="1"/>
  <c r="C11181" i="1"/>
  <c r="B11181" i="1"/>
  <c r="K11180" i="1"/>
  <c r="C11180" i="1"/>
  <c r="B11180" i="1"/>
  <c r="K11179" i="1"/>
  <c r="C11179" i="1"/>
  <c r="B11179" i="1"/>
  <c r="K11178" i="1"/>
  <c r="C11178" i="1"/>
  <c r="B11178" i="1"/>
  <c r="K11177" i="1"/>
  <c r="C11177" i="1"/>
  <c r="B11177" i="1"/>
  <c r="K11176" i="1"/>
  <c r="C11176" i="1"/>
  <c r="B11176" i="1"/>
  <c r="K11175" i="1"/>
  <c r="C11175" i="1"/>
  <c r="B11175" i="1"/>
  <c r="K11174" i="1"/>
  <c r="C11174" i="1"/>
  <c r="B11174" i="1"/>
  <c r="K11173" i="1"/>
  <c r="C11173" i="1"/>
  <c r="B11173" i="1"/>
  <c r="K11172" i="1"/>
  <c r="C11172" i="1"/>
  <c r="B11172" i="1"/>
  <c r="K11171" i="1"/>
  <c r="C11171" i="1"/>
  <c r="B11171" i="1"/>
  <c r="K11170" i="1"/>
  <c r="C11170" i="1"/>
  <c r="B11170" i="1"/>
  <c r="K11169" i="1"/>
  <c r="C11169" i="1"/>
  <c r="B11169" i="1"/>
  <c r="K11168" i="1"/>
  <c r="C11168" i="1"/>
  <c r="B11168" i="1"/>
  <c r="K11167" i="1"/>
  <c r="C11167" i="1"/>
  <c r="B11167" i="1"/>
  <c r="K11166" i="1"/>
  <c r="C11166" i="1"/>
  <c r="B11166" i="1"/>
  <c r="K11165" i="1"/>
  <c r="C11165" i="1"/>
  <c r="B11165" i="1"/>
  <c r="K11164" i="1"/>
  <c r="C11164" i="1"/>
  <c r="B11164" i="1"/>
  <c r="K11163" i="1"/>
  <c r="C11163" i="1"/>
  <c r="B11163" i="1"/>
  <c r="K11162" i="1"/>
  <c r="C11162" i="1"/>
  <c r="B11162" i="1"/>
  <c r="K11161" i="1"/>
  <c r="C11161" i="1"/>
  <c r="B11161" i="1"/>
  <c r="K11160" i="1"/>
  <c r="C11160" i="1"/>
  <c r="B11160" i="1"/>
  <c r="K11159" i="1"/>
  <c r="C11159" i="1"/>
  <c r="B11159" i="1"/>
  <c r="K11158" i="1"/>
  <c r="C11158" i="1"/>
  <c r="B11158" i="1"/>
  <c r="K11157" i="1"/>
  <c r="C11157" i="1"/>
  <c r="B11157" i="1"/>
  <c r="K11156" i="1"/>
  <c r="C11156" i="1"/>
  <c r="B11156" i="1"/>
  <c r="K11155" i="1"/>
  <c r="C11155" i="1"/>
  <c r="B11155" i="1"/>
  <c r="K11154" i="1"/>
  <c r="C11154" i="1"/>
  <c r="B11154" i="1"/>
  <c r="K11153" i="1"/>
  <c r="C11153" i="1"/>
  <c r="B11153" i="1"/>
  <c r="K11152" i="1"/>
  <c r="C11152" i="1"/>
  <c r="B11152" i="1"/>
  <c r="K11151" i="1"/>
  <c r="C11151" i="1"/>
  <c r="B11151" i="1"/>
  <c r="K11150" i="1"/>
  <c r="C11150" i="1"/>
  <c r="B11150" i="1"/>
  <c r="K11149" i="1"/>
  <c r="C11149" i="1"/>
  <c r="B11149" i="1"/>
  <c r="K11148" i="1"/>
  <c r="C11148" i="1"/>
  <c r="B11148" i="1"/>
  <c r="K11147" i="1"/>
  <c r="C11147" i="1"/>
  <c r="B11147" i="1"/>
  <c r="K11146" i="1"/>
  <c r="C11146" i="1"/>
  <c r="B11146" i="1"/>
  <c r="K11145" i="1"/>
  <c r="C11145" i="1"/>
  <c r="B11145" i="1"/>
  <c r="K11144" i="1"/>
  <c r="C11144" i="1"/>
  <c r="B11144" i="1"/>
  <c r="K11143" i="1"/>
  <c r="C11143" i="1"/>
  <c r="B11143" i="1"/>
  <c r="K11142" i="1"/>
  <c r="C11142" i="1"/>
  <c r="B11142" i="1"/>
  <c r="K11141" i="1"/>
  <c r="C11141" i="1"/>
  <c r="B11141" i="1"/>
  <c r="K11140" i="1"/>
  <c r="C11140" i="1"/>
  <c r="B11140" i="1"/>
  <c r="K11139" i="1"/>
  <c r="C11139" i="1"/>
  <c r="B11139" i="1"/>
  <c r="K11138" i="1"/>
  <c r="C11138" i="1"/>
  <c r="B11138" i="1"/>
  <c r="K11137" i="1"/>
  <c r="C11137" i="1"/>
  <c r="B11137" i="1"/>
  <c r="K11136" i="1"/>
  <c r="C11136" i="1"/>
  <c r="B11136" i="1"/>
  <c r="K11135" i="1"/>
  <c r="C11135" i="1"/>
  <c r="B11135" i="1"/>
  <c r="K11134" i="1"/>
  <c r="C11134" i="1"/>
  <c r="B11134" i="1"/>
  <c r="K11133" i="1"/>
  <c r="C11133" i="1"/>
  <c r="B11133" i="1"/>
  <c r="K11132" i="1"/>
  <c r="C11132" i="1"/>
  <c r="B11132" i="1"/>
  <c r="K11131" i="1"/>
  <c r="C11131" i="1"/>
  <c r="B11131" i="1"/>
  <c r="K11130" i="1"/>
  <c r="C11130" i="1"/>
  <c r="B11130" i="1"/>
  <c r="K11129" i="1"/>
  <c r="C11129" i="1"/>
  <c r="B11129" i="1"/>
  <c r="K11128" i="1"/>
  <c r="C11128" i="1"/>
  <c r="B11128" i="1"/>
  <c r="K11127" i="1"/>
  <c r="C11127" i="1"/>
  <c r="B11127" i="1"/>
  <c r="K11126" i="1"/>
  <c r="C11126" i="1"/>
  <c r="B11126" i="1"/>
  <c r="K11125" i="1"/>
  <c r="C11125" i="1"/>
  <c r="B11125" i="1"/>
  <c r="K11124" i="1"/>
  <c r="C11124" i="1"/>
  <c r="B11124" i="1"/>
  <c r="K11123" i="1"/>
  <c r="C11123" i="1"/>
  <c r="B11123" i="1"/>
  <c r="K11122" i="1"/>
  <c r="C11122" i="1"/>
  <c r="B11122" i="1"/>
  <c r="K11121" i="1"/>
  <c r="C11121" i="1"/>
  <c r="B11121" i="1"/>
  <c r="K11120" i="1"/>
  <c r="C11120" i="1"/>
  <c r="B11120" i="1"/>
  <c r="K11119" i="1"/>
  <c r="C11119" i="1"/>
  <c r="B11119" i="1"/>
  <c r="K11118" i="1"/>
  <c r="C11118" i="1"/>
  <c r="B11118" i="1"/>
  <c r="K11117" i="1"/>
  <c r="C11117" i="1"/>
  <c r="B11117" i="1"/>
  <c r="K11116" i="1"/>
  <c r="C11116" i="1"/>
  <c r="B11116" i="1"/>
  <c r="K11115" i="1"/>
  <c r="C11115" i="1"/>
  <c r="B11115" i="1"/>
  <c r="K11114" i="1"/>
  <c r="C11114" i="1"/>
  <c r="B11114" i="1"/>
  <c r="K11113" i="1"/>
  <c r="C11113" i="1"/>
  <c r="B11113" i="1"/>
  <c r="K11112" i="1"/>
  <c r="C11112" i="1"/>
  <c r="B11112" i="1"/>
  <c r="K11111" i="1"/>
  <c r="C11111" i="1"/>
  <c r="B11111" i="1"/>
  <c r="K11110" i="1"/>
  <c r="C11110" i="1"/>
  <c r="B11110" i="1"/>
  <c r="K11109" i="1"/>
  <c r="C11109" i="1"/>
  <c r="B11109" i="1"/>
  <c r="K11108" i="1"/>
  <c r="C11108" i="1"/>
  <c r="B11108" i="1"/>
  <c r="K11107" i="1"/>
  <c r="C11107" i="1"/>
  <c r="B11107" i="1"/>
  <c r="K11106" i="1"/>
  <c r="C11106" i="1"/>
  <c r="B11106" i="1"/>
  <c r="K11105" i="1"/>
  <c r="C11105" i="1"/>
  <c r="B11105" i="1"/>
  <c r="K11104" i="1"/>
  <c r="C11104" i="1"/>
  <c r="B11104" i="1"/>
  <c r="K11103" i="1"/>
  <c r="C11103" i="1"/>
  <c r="B11103" i="1"/>
  <c r="K11102" i="1"/>
  <c r="C11102" i="1"/>
  <c r="B11102" i="1"/>
  <c r="K11101" i="1"/>
  <c r="C11101" i="1"/>
  <c r="B11101" i="1"/>
  <c r="K11100" i="1"/>
  <c r="C11100" i="1"/>
  <c r="B11100" i="1"/>
  <c r="K11099" i="1"/>
  <c r="C11099" i="1"/>
  <c r="B11099" i="1"/>
  <c r="K11098" i="1"/>
  <c r="C11098" i="1"/>
  <c r="B11098" i="1"/>
  <c r="K11097" i="1"/>
  <c r="C11097" i="1"/>
  <c r="B11097" i="1"/>
  <c r="K11096" i="1"/>
  <c r="C11096" i="1"/>
  <c r="B11096" i="1"/>
  <c r="K11095" i="1"/>
  <c r="C11095" i="1"/>
  <c r="B11095" i="1"/>
  <c r="K11094" i="1"/>
  <c r="C11094" i="1"/>
  <c r="B11094" i="1"/>
  <c r="K11093" i="1"/>
  <c r="C11093" i="1"/>
  <c r="B11093" i="1"/>
  <c r="K11092" i="1"/>
  <c r="C11092" i="1"/>
  <c r="B11092" i="1"/>
  <c r="K11091" i="1"/>
  <c r="C11091" i="1"/>
  <c r="B11091" i="1"/>
  <c r="K11090" i="1"/>
  <c r="C11090" i="1"/>
  <c r="B11090" i="1"/>
  <c r="K11089" i="1"/>
  <c r="C11089" i="1"/>
  <c r="B11089" i="1"/>
  <c r="K11088" i="1"/>
  <c r="C11088" i="1"/>
  <c r="B11088" i="1"/>
  <c r="K11087" i="1"/>
  <c r="C11087" i="1"/>
  <c r="B11087" i="1"/>
  <c r="K11086" i="1"/>
  <c r="C11086" i="1"/>
  <c r="B11086" i="1"/>
  <c r="K11085" i="1"/>
  <c r="C11085" i="1"/>
  <c r="B11085" i="1"/>
  <c r="K11084" i="1"/>
  <c r="C11084" i="1"/>
  <c r="B11084" i="1"/>
  <c r="K11083" i="1"/>
  <c r="C11083" i="1"/>
  <c r="B11083" i="1"/>
  <c r="K11082" i="1"/>
  <c r="C11082" i="1"/>
  <c r="B11082" i="1"/>
  <c r="K11081" i="1"/>
  <c r="C11081" i="1"/>
  <c r="B11081" i="1"/>
  <c r="K11080" i="1"/>
  <c r="C11080" i="1"/>
  <c r="B11080" i="1"/>
  <c r="K11079" i="1"/>
  <c r="C11079" i="1"/>
  <c r="B11079" i="1"/>
  <c r="K11078" i="1"/>
  <c r="C11078" i="1"/>
  <c r="B11078" i="1"/>
  <c r="K11077" i="1"/>
  <c r="C11077" i="1"/>
  <c r="B11077" i="1"/>
  <c r="K11076" i="1"/>
  <c r="C11076" i="1"/>
  <c r="B11076" i="1"/>
  <c r="K11075" i="1"/>
  <c r="C11075" i="1"/>
  <c r="B11075" i="1"/>
  <c r="K11074" i="1"/>
  <c r="C11074" i="1"/>
  <c r="B11074" i="1"/>
  <c r="K11073" i="1"/>
  <c r="C11073" i="1"/>
  <c r="B11073" i="1"/>
  <c r="K11072" i="1"/>
  <c r="C11072" i="1"/>
  <c r="B11072" i="1"/>
  <c r="K11071" i="1"/>
  <c r="C11071" i="1"/>
  <c r="B11071" i="1"/>
  <c r="K11070" i="1"/>
  <c r="C11070" i="1"/>
  <c r="B11070" i="1"/>
  <c r="K11069" i="1"/>
  <c r="C11069" i="1"/>
  <c r="B11069" i="1"/>
  <c r="K11068" i="1"/>
  <c r="C11068" i="1"/>
  <c r="B11068" i="1"/>
  <c r="K11067" i="1"/>
  <c r="C11067" i="1"/>
  <c r="B11067" i="1"/>
  <c r="K11066" i="1"/>
  <c r="C11066" i="1"/>
  <c r="B11066" i="1"/>
  <c r="K11065" i="1"/>
  <c r="C11065" i="1"/>
  <c r="B11065" i="1"/>
  <c r="K11064" i="1"/>
  <c r="C11064" i="1"/>
  <c r="B11064" i="1"/>
  <c r="K11063" i="1"/>
  <c r="C11063" i="1"/>
  <c r="B11063" i="1"/>
  <c r="K11062" i="1"/>
  <c r="C11062" i="1"/>
  <c r="B11062" i="1"/>
  <c r="K11061" i="1"/>
  <c r="C11061" i="1"/>
  <c r="B11061" i="1"/>
  <c r="K11060" i="1"/>
  <c r="C11060" i="1"/>
  <c r="B11060" i="1"/>
  <c r="K11059" i="1"/>
  <c r="C11059" i="1"/>
  <c r="B11059" i="1"/>
  <c r="K11058" i="1"/>
  <c r="C11058" i="1"/>
  <c r="B11058" i="1"/>
  <c r="K11057" i="1"/>
  <c r="C11057" i="1"/>
  <c r="B11057" i="1"/>
  <c r="K11056" i="1"/>
  <c r="C11056" i="1"/>
  <c r="B11056" i="1"/>
  <c r="K11055" i="1"/>
  <c r="C11055" i="1"/>
  <c r="B11055" i="1"/>
  <c r="K11054" i="1"/>
  <c r="C11054" i="1"/>
  <c r="B11054" i="1"/>
  <c r="K11053" i="1"/>
  <c r="C11053" i="1"/>
  <c r="B11053" i="1"/>
  <c r="K11052" i="1"/>
  <c r="C11052" i="1"/>
  <c r="B11052" i="1"/>
  <c r="K11051" i="1"/>
  <c r="C11051" i="1"/>
  <c r="B11051" i="1"/>
  <c r="K11050" i="1"/>
  <c r="C11050" i="1"/>
  <c r="B11050" i="1"/>
  <c r="K11049" i="1"/>
  <c r="C11049" i="1"/>
  <c r="B11049" i="1"/>
  <c r="K11048" i="1"/>
  <c r="C11048" i="1"/>
  <c r="B11048" i="1"/>
  <c r="K11047" i="1"/>
  <c r="C11047" i="1"/>
  <c r="B11047" i="1"/>
  <c r="K11046" i="1"/>
  <c r="C11046" i="1"/>
  <c r="B11046" i="1"/>
  <c r="K11045" i="1"/>
  <c r="C11045" i="1"/>
  <c r="B11045" i="1"/>
  <c r="K11044" i="1"/>
  <c r="C11044" i="1"/>
  <c r="B11044" i="1"/>
  <c r="K11043" i="1"/>
  <c r="C11043" i="1"/>
  <c r="B11043" i="1"/>
  <c r="K11042" i="1"/>
  <c r="C11042" i="1"/>
  <c r="B11042" i="1"/>
  <c r="K11041" i="1"/>
  <c r="C11041" i="1"/>
  <c r="B11041" i="1"/>
  <c r="K11040" i="1"/>
  <c r="C11040" i="1"/>
  <c r="B11040" i="1"/>
  <c r="K11039" i="1"/>
  <c r="C11039" i="1"/>
  <c r="B11039" i="1"/>
  <c r="K11038" i="1"/>
  <c r="C11038" i="1"/>
  <c r="B11038" i="1"/>
  <c r="K11037" i="1"/>
  <c r="C11037" i="1"/>
  <c r="B11037" i="1"/>
  <c r="K11036" i="1"/>
  <c r="C11036" i="1"/>
  <c r="B11036" i="1"/>
  <c r="K11035" i="1"/>
  <c r="C11035" i="1"/>
  <c r="B11035" i="1"/>
  <c r="K11034" i="1"/>
  <c r="C11034" i="1"/>
  <c r="B11034" i="1"/>
  <c r="K11033" i="1"/>
  <c r="C11033" i="1"/>
  <c r="B11033" i="1"/>
  <c r="K11032" i="1"/>
  <c r="C11032" i="1"/>
  <c r="B11032" i="1"/>
  <c r="K11031" i="1"/>
  <c r="C11031" i="1"/>
  <c r="B11031" i="1"/>
  <c r="K11030" i="1"/>
  <c r="C11030" i="1"/>
  <c r="B11030" i="1"/>
  <c r="K11029" i="1"/>
  <c r="C11029" i="1"/>
  <c r="B11029" i="1"/>
  <c r="K11028" i="1"/>
  <c r="C11028" i="1"/>
  <c r="B11028" i="1"/>
  <c r="K11027" i="1"/>
  <c r="C11027" i="1"/>
  <c r="B11027" i="1"/>
  <c r="K11026" i="1"/>
  <c r="C11026" i="1"/>
  <c r="B11026" i="1"/>
  <c r="K11025" i="1"/>
  <c r="C11025" i="1"/>
  <c r="B11025" i="1"/>
  <c r="K11024" i="1"/>
  <c r="C11024" i="1"/>
  <c r="B11024" i="1"/>
  <c r="K11023" i="1"/>
  <c r="C11023" i="1"/>
  <c r="B11023" i="1"/>
  <c r="K11022" i="1"/>
  <c r="C11022" i="1"/>
  <c r="B11022" i="1"/>
  <c r="K11021" i="1"/>
  <c r="C11021" i="1"/>
  <c r="B11021" i="1"/>
  <c r="K11020" i="1"/>
  <c r="C11020" i="1"/>
  <c r="B11020" i="1"/>
  <c r="K11019" i="1"/>
  <c r="C11019" i="1"/>
  <c r="B11019" i="1"/>
  <c r="K11018" i="1"/>
  <c r="C11018" i="1"/>
  <c r="B11018" i="1"/>
  <c r="K11017" i="1"/>
  <c r="C11017" i="1"/>
  <c r="B11017" i="1"/>
  <c r="K11016" i="1"/>
  <c r="C11016" i="1"/>
  <c r="B11016" i="1"/>
  <c r="K11015" i="1"/>
  <c r="C11015" i="1"/>
  <c r="B11015" i="1"/>
  <c r="K11014" i="1"/>
  <c r="C11014" i="1"/>
  <c r="B11014" i="1"/>
  <c r="K11013" i="1"/>
  <c r="C11013" i="1"/>
  <c r="B11013" i="1"/>
  <c r="K11012" i="1"/>
  <c r="C11012" i="1"/>
  <c r="B11012" i="1"/>
  <c r="K11011" i="1"/>
  <c r="C11011" i="1"/>
  <c r="B11011" i="1"/>
  <c r="K11010" i="1"/>
  <c r="C11010" i="1"/>
  <c r="B11010" i="1"/>
  <c r="K11009" i="1"/>
  <c r="C11009" i="1"/>
  <c r="B11009" i="1"/>
  <c r="K11008" i="1"/>
  <c r="C11008" i="1"/>
  <c r="B11008" i="1"/>
  <c r="K11007" i="1"/>
  <c r="C11007" i="1"/>
  <c r="B11007" i="1"/>
  <c r="K11006" i="1"/>
  <c r="C11006" i="1"/>
  <c r="B11006" i="1"/>
  <c r="K11005" i="1"/>
  <c r="C11005" i="1"/>
  <c r="B11005" i="1"/>
  <c r="K11004" i="1"/>
  <c r="C11004" i="1"/>
  <c r="B11004" i="1"/>
  <c r="K11003" i="1"/>
  <c r="C11003" i="1"/>
  <c r="B11003" i="1"/>
  <c r="K11002" i="1"/>
  <c r="C11002" i="1"/>
  <c r="B11002" i="1"/>
  <c r="K11001" i="1"/>
  <c r="C11001" i="1"/>
  <c r="B11001" i="1"/>
  <c r="K11000" i="1"/>
  <c r="C11000" i="1"/>
  <c r="B11000" i="1"/>
  <c r="K10999" i="1"/>
  <c r="C10999" i="1"/>
  <c r="B10999" i="1"/>
  <c r="K10998" i="1"/>
  <c r="C10998" i="1"/>
  <c r="B10998" i="1"/>
  <c r="K10997" i="1"/>
  <c r="C10997" i="1"/>
  <c r="B10997" i="1"/>
  <c r="K10996" i="1"/>
  <c r="C10996" i="1"/>
  <c r="B10996" i="1"/>
  <c r="K10995" i="1"/>
  <c r="C10995" i="1"/>
  <c r="B10995" i="1"/>
  <c r="K10994" i="1"/>
  <c r="C10994" i="1"/>
  <c r="B10994" i="1"/>
  <c r="K10993" i="1"/>
  <c r="C10993" i="1"/>
  <c r="B10993" i="1"/>
  <c r="K10992" i="1"/>
  <c r="C10992" i="1"/>
  <c r="B10992" i="1"/>
  <c r="K10991" i="1"/>
  <c r="C10991" i="1"/>
  <c r="B10991" i="1"/>
  <c r="K10990" i="1"/>
  <c r="C10990" i="1"/>
  <c r="B10990" i="1"/>
  <c r="K10989" i="1"/>
  <c r="C10989" i="1"/>
  <c r="B10989" i="1"/>
  <c r="K10988" i="1"/>
  <c r="C10988" i="1"/>
  <c r="B10988" i="1"/>
  <c r="K10987" i="1"/>
  <c r="C10987" i="1"/>
  <c r="B10987" i="1"/>
  <c r="K10986" i="1"/>
  <c r="C10986" i="1"/>
  <c r="B10986" i="1"/>
  <c r="K10985" i="1"/>
  <c r="C10985" i="1"/>
  <c r="B10985" i="1"/>
  <c r="K10984" i="1"/>
  <c r="C10984" i="1"/>
  <c r="B10984" i="1"/>
  <c r="K10983" i="1"/>
  <c r="C10983" i="1"/>
  <c r="B10983" i="1"/>
  <c r="K10982" i="1"/>
  <c r="C10982" i="1"/>
  <c r="B10982" i="1"/>
  <c r="K10981" i="1"/>
  <c r="C10981" i="1"/>
  <c r="B10981" i="1"/>
  <c r="K10980" i="1"/>
  <c r="C10980" i="1"/>
  <c r="B10980" i="1"/>
  <c r="K10979" i="1"/>
  <c r="C10979" i="1"/>
  <c r="B10979" i="1"/>
  <c r="K10978" i="1"/>
  <c r="C10978" i="1"/>
  <c r="B10978" i="1"/>
  <c r="K10977" i="1"/>
  <c r="C10977" i="1"/>
  <c r="B10977" i="1"/>
  <c r="K10976" i="1"/>
  <c r="C10976" i="1"/>
  <c r="B10976" i="1"/>
  <c r="K10975" i="1"/>
  <c r="C10975" i="1"/>
  <c r="B10975" i="1"/>
  <c r="K10974" i="1"/>
  <c r="C10974" i="1"/>
  <c r="B10974" i="1"/>
  <c r="K10973" i="1"/>
  <c r="C10973" i="1"/>
  <c r="B10973" i="1"/>
  <c r="K10972" i="1"/>
  <c r="C10972" i="1"/>
  <c r="B10972" i="1"/>
  <c r="K10971" i="1"/>
  <c r="C10971" i="1"/>
  <c r="B10971" i="1"/>
  <c r="K10970" i="1"/>
  <c r="C10970" i="1"/>
  <c r="B10970" i="1"/>
  <c r="K10969" i="1"/>
  <c r="C10969" i="1"/>
  <c r="B10969" i="1"/>
  <c r="K10968" i="1"/>
  <c r="C10968" i="1"/>
  <c r="B10968" i="1"/>
  <c r="K10967" i="1"/>
  <c r="C10967" i="1"/>
  <c r="B10967" i="1"/>
  <c r="K10966" i="1"/>
  <c r="C10966" i="1"/>
  <c r="B10966" i="1"/>
  <c r="K10965" i="1"/>
  <c r="C10965" i="1"/>
  <c r="B10965" i="1"/>
  <c r="K10964" i="1"/>
  <c r="C10964" i="1"/>
  <c r="B10964" i="1"/>
  <c r="K10963" i="1"/>
  <c r="C10963" i="1"/>
  <c r="B10963" i="1"/>
  <c r="K10962" i="1"/>
  <c r="C10962" i="1"/>
  <c r="B10962" i="1"/>
  <c r="K10961" i="1"/>
  <c r="C10961" i="1"/>
  <c r="B10961" i="1"/>
  <c r="K10960" i="1"/>
  <c r="C10960" i="1"/>
  <c r="B10960" i="1"/>
  <c r="K10959" i="1"/>
  <c r="C10959" i="1"/>
  <c r="B10959" i="1"/>
  <c r="K10958" i="1"/>
  <c r="C10958" i="1"/>
  <c r="B10958" i="1"/>
  <c r="K10957" i="1"/>
  <c r="C10957" i="1"/>
  <c r="B10957" i="1"/>
  <c r="K10956" i="1"/>
  <c r="C10956" i="1"/>
  <c r="B10956" i="1"/>
  <c r="K10955" i="1"/>
  <c r="C10955" i="1"/>
  <c r="B10955" i="1"/>
  <c r="K10954" i="1"/>
  <c r="C10954" i="1"/>
  <c r="B10954" i="1"/>
  <c r="K10953" i="1"/>
  <c r="C10953" i="1"/>
  <c r="B10953" i="1"/>
  <c r="K10952" i="1"/>
  <c r="C10952" i="1"/>
  <c r="B10952" i="1"/>
  <c r="K10951" i="1"/>
  <c r="C10951" i="1"/>
  <c r="B10951" i="1"/>
  <c r="K10950" i="1"/>
  <c r="C10950" i="1"/>
  <c r="B10950" i="1"/>
  <c r="K10949" i="1"/>
  <c r="C10949" i="1"/>
  <c r="B10949" i="1"/>
  <c r="K10948" i="1"/>
  <c r="C10948" i="1"/>
  <c r="B10948" i="1"/>
  <c r="K10947" i="1"/>
  <c r="C10947" i="1"/>
  <c r="B10947" i="1"/>
  <c r="K10946" i="1"/>
  <c r="C10946" i="1"/>
  <c r="B10946" i="1"/>
  <c r="K10945" i="1"/>
  <c r="C10945" i="1"/>
  <c r="B10945" i="1"/>
  <c r="K10944" i="1"/>
  <c r="C10944" i="1"/>
  <c r="B10944" i="1"/>
  <c r="K10943" i="1"/>
  <c r="C10943" i="1"/>
  <c r="B10943" i="1"/>
  <c r="K10942" i="1"/>
  <c r="C10942" i="1"/>
  <c r="B10942" i="1"/>
  <c r="K10941" i="1"/>
  <c r="C10941" i="1"/>
  <c r="B10941" i="1"/>
  <c r="K10940" i="1"/>
  <c r="C10940" i="1"/>
  <c r="B10940" i="1"/>
  <c r="K10939" i="1"/>
  <c r="C10939" i="1"/>
  <c r="B10939" i="1"/>
  <c r="K10938" i="1"/>
  <c r="C10938" i="1"/>
  <c r="B10938" i="1"/>
  <c r="K10937" i="1"/>
  <c r="C10937" i="1"/>
  <c r="B10937" i="1"/>
  <c r="K10936" i="1"/>
  <c r="C10936" i="1"/>
  <c r="B10936" i="1"/>
  <c r="K10935" i="1"/>
  <c r="C10935" i="1"/>
  <c r="B10935" i="1"/>
  <c r="K10934" i="1"/>
  <c r="C10934" i="1"/>
  <c r="B10934" i="1"/>
  <c r="K10933" i="1"/>
  <c r="C10933" i="1"/>
  <c r="B10933" i="1"/>
  <c r="K10932" i="1"/>
  <c r="C10932" i="1"/>
  <c r="B10932" i="1"/>
  <c r="K10931" i="1"/>
  <c r="C10931" i="1"/>
  <c r="B10931" i="1"/>
  <c r="K10930" i="1"/>
  <c r="C10930" i="1"/>
  <c r="B10930" i="1"/>
  <c r="K10929" i="1"/>
  <c r="C10929" i="1"/>
  <c r="B10929" i="1"/>
  <c r="K10928" i="1"/>
  <c r="C10928" i="1"/>
  <c r="B10928" i="1"/>
  <c r="K10927" i="1"/>
  <c r="C10927" i="1"/>
  <c r="B10927" i="1"/>
  <c r="K10926" i="1"/>
  <c r="C10926" i="1"/>
  <c r="B10926" i="1"/>
  <c r="K10925" i="1"/>
  <c r="C10925" i="1"/>
  <c r="B10925" i="1"/>
  <c r="K10924" i="1"/>
  <c r="C10924" i="1"/>
  <c r="B10924" i="1"/>
  <c r="K10923" i="1"/>
  <c r="C10923" i="1"/>
  <c r="B10923" i="1"/>
  <c r="K10922" i="1"/>
  <c r="C10922" i="1"/>
  <c r="B10922" i="1"/>
  <c r="K10921" i="1"/>
  <c r="C10921" i="1"/>
  <c r="B10921" i="1"/>
  <c r="K10920" i="1"/>
  <c r="C10920" i="1"/>
  <c r="B10920" i="1"/>
  <c r="K10919" i="1"/>
  <c r="C10919" i="1"/>
  <c r="B10919" i="1"/>
  <c r="K10918" i="1"/>
  <c r="C10918" i="1"/>
  <c r="B10918" i="1"/>
  <c r="K10917" i="1"/>
  <c r="C10917" i="1"/>
  <c r="B10917" i="1"/>
  <c r="K10916" i="1"/>
  <c r="C10916" i="1"/>
  <c r="B10916" i="1"/>
  <c r="K10915" i="1"/>
  <c r="C10915" i="1"/>
  <c r="B10915" i="1"/>
  <c r="K10914" i="1"/>
  <c r="C10914" i="1"/>
  <c r="B10914" i="1"/>
  <c r="K10913" i="1"/>
  <c r="C10913" i="1"/>
  <c r="B10913" i="1"/>
  <c r="K10912" i="1"/>
  <c r="C10912" i="1"/>
  <c r="B10912" i="1"/>
  <c r="K10911" i="1"/>
  <c r="C10911" i="1"/>
  <c r="B10911" i="1"/>
  <c r="K10910" i="1"/>
  <c r="C10910" i="1"/>
  <c r="B10910" i="1"/>
  <c r="K10909" i="1"/>
  <c r="C10909" i="1"/>
  <c r="B10909" i="1"/>
  <c r="K10908" i="1"/>
  <c r="C10908" i="1"/>
  <c r="B10908" i="1"/>
  <c r="K10907" i="1"/>
  <c r="C10907" i="1"/>
  <c r="B10907" i="1"/>
  <c r="K10906" i="1"/>
  <c r="C10906" i="1"/>
  <c r="B10906" i="1"/>
  <c r="K10905" i="1"/>
  <c r="C10905" i="1"/>
  <c r="B10905" i="1"/>
  <c r="K10904" i="1"/>
  <c r="C10904" i="1"/>
  <c r="B10904" i="1"/>
  <c r="K10903" i="1"/>
  <c r="C10903" i="1"/>
  <c r="B10903" i="1"/>
  <c r="K10902" i="1"/>
  <c r="C10902" i="1"/>
  <c r="B10902" i="1"/>
  <c r="K10901" i="1"/>
  <c r="C10901" i="1"/>
  <c r="B10901" i="1"/>
  <c r="K10900" i="1"/>
  <c r="C10900" i="1"/>
  <c r="B10900" i="1"/>
  <c r="K10899" i="1"/>
  <c r="C10899" i="1"/>
  <c r="B10899" i="1"/>
  <c r="K10898" i="1"/>
  <c r="C10898" i="1"/>
  <c r="B10898" i="1"/>
  <c r="K10897" i="1"/>
  <c r="C10897" i="1"/>
  <c r="B10897" i="1"/>
  <c r="K10896" i="1"/>
  <c r="C10896" i="1"/>
  <c r="B10896" i="1"/>
  <c r="K10895" i="1"/>
  <c r="C10895" i="1"/>
  <c r="B10895" i="1"/>
  <c r="K10894" i="1"/>
  <c r="C10894" i="1"/>
  <c r="B10894" i="1"/>
  <c r="K10893" i="1"/>
  <c r="C10893" i="1"/>
  <c r="B10893" i="1"/>
  <c r="K10892" i="1"/>
  <c r="C10892" i="1"/>
  <c r="B10892" i="1"/>
  <c r="K10891" i="1"/>
  <c r="C10891" i="1"/>
  <c r="B10891" i="1"/>
  <c r="K10890" i="1"/>
  <c r="C10890" i="1"/>
  <c r="B10890" i="1"/>
  <c r="K10889" i="1"/>
  <c r="C10889" i="1"/>
  <c r="B10889" i="1"/>
  <c r="K10888" i="1"/>
  <c r="C10888" i="1"/>
  <c r="B10888" i="1"/>
  <c r="K10887" i="1"/>
  <c r="C10887" i="1"/>
  <c r="B10887" i="1"/>
  <c r="K10886" i="1"/>
  <c r="C10886" i="1"/>
  <c r="B10886" i="1"/>
  <c r="K10885" i="1"/>
  <c r="C10885" i="1"/>
  <c r="B10885" i="1"/>
  <c r="K10884" i="1"/>
  <c r="C10884" i="1"/>
  <c r="B10884" i="1"/>
  <c r="K10883" i="1"/>
  <c r="C10883" i="1"/>
  <c r="B10883" i="1"/>
  <c r="K10882" i="1"/>
  <c r="C10882" i="1"/>
  <c r="B10882" i="1"/>
  <c r="K10881" i="1"/>
  <c r="C10881" i="1"/>
  <c r="B10881" i="1"/>
  <c r="K10880" i="1"/>
  <c r="C10880" i="1"/>
  <c r="B10880" i="1"/>
  <c r="K10879" i="1"/>
  <c r="C10879" i="1"/>
  <c r="B10879" i="1"/>
  <c r="K10878" i="1"/>
  <c r="C10878" i="1"/>
  <c r="B10878" i="1"/>
  <c r="K10877" i="1"/>
  <c r="C10877" i="1"/>
  <c r="B10877" i="1"/>
  <c r="K10876" i="1"/>
  <c r="C10876" i="1"/>
  <c r="B10876" i="1"/>
  <c r="K10875" i="1"/>
  <c r="C10875" i="1"/>
  <c r="B10875" i="1"/>
  <c r="K10874" i="1"/>
  <c r="C10874" i="1"/>
  <c r="B10874" i="1"/>
  <c r="K10873" i="1"/>
  <c r="C10873" i="1"/>
  <c r="B10873" i="1"/>
  <c r="K10872" i="1"/>
  <c r="C10872" i="1"/>
  <c r="B10872" i="1"/>
  <c r="K10871" i="1"/>
  <c r="C10871" i="1"/>
  <c r="B10871" i="1"/>
  <c r="K10870" i="1"/>
  <c r="C10870" i="1"/>
  <c r="B10870" i="1"/>
  <c r="K10869" i="1"/>
  <c r="C10869" i="1"/>
  <c r="B10869" i="1"/>
  <c r="K10868" i="1"/>
  <c r="C10868" i="1"/>
  <c r="B10868" i="1"/>
  <c r="K10867" i="1"/>
  <c r="C10867" i="1"/>
  <c r="B10867" i="1"/>
  <c r="K10866" i="1"/>
  <c r="C10866" i="1"/>
  <c r="B10866" i="1"/>
  <c r="K10865" i="1"/>
  <c r="C10865" i="1"/>
  <c r="B10865" i="1"/>
  <c r="K10864" i="1"/>
  <c r="C10864" i="1"/>
  <c r="B10864" i="1"/>
  <c r="K10863" i="1"/>
  <c r="C10863" i="1"/>
  <c r="B10863" i="1"/>
  <c r="K10862" i="1"/>
  <c r="C10862" i="1"/>
  <c r="B10862" i="1"/>
  <c r="K10861" i="1"/>
  <c r="C10861" i="1"/>
  <c r="B10861" i="1"/>
  <c r="K10860" i="1"/>
  <c r="C10860" i="1"/>
  <c r="B10860" i="1"/>
  <c r="K10859" i="1"/>
  <c r="C10859" i="1"/>
  <c r="B10859" i="1"/>
  <c r="K10858" i="1"/>
  <c r="C10858" i="1"/>
  <c r="B10858" i="1"/>
  <c r="K10857" i="1"/>
  <c r="C10857" i="1"/>
  <c r="B10857" i="1"/>
  <c r="K10856" i="1"/>
  <c r="C10856" i="1"/>
  <c r="B10856" i="1"/>
  <c r="K10855" i="1"/>
  <c r="C10855" i="1"/>
  <c r="B10855" i="1"/>
  <c r="K10854" i="1"/>
  <c r="C10854" i="1"/>
  <c r="B10854" i="1"/>
  <c r="K10853" i="1"/>
  <c r="C10853" i="1"/>
  <c r="B10853" i="1"/>
  <c r="K10852" i="1"/>
  <c r="C10852" i="1"/>
  <c r="B10852" i="1"/>
  <c r="K10851" i="1"/>
  <c r="C10851" i="1"/>
  <c r="B10851" i="1"/>
  <c r="K10850" i="1"/>
  <c r="C10850" i="1"/>
  <c r="B10850" i="1"/>
  <c r="K10849" i="1"/>
  <c r="C10849" i="1"/>
  <c r="B10849" i="1"/>
  <c r="K10848" i="1"/>
  <c r="C10848" i="1"/>
  <c r="B10848" i="1"/>
  <c r="K10847" i="1"/>
  <c r="C10847" i="1"/>
  <c r="B10847" i="1"/>
  <c r="K10846" i="1"/>
  <c r="C10846" i="1"/>
  <c r="B10846" i="1"/>
  <c r="K10845" i="1"/>
  <c r="C10845" i="1"/>
  <c r="B10845" i="1"/>
  <c r="K10844" i="1"/>
  <c r="C10844" i="1"/>
  <c r="B10844" i="1"/>
  <c r="K10843" i="1"/>
  <c r="C10843" i="1"/>
  <c r="B10843" i="1"/>
  <c r="K10842" i="1"/>
  <c r="C10842" i="1"/>
  <c r="B10842" i="1"/>
  <c r="K10841" i="1"/>
  <c r="C10841" i="1"/>
  <c r="B10841" i="1"/>
  <c r="K10840" i="1"/>
  <c r="C10840" i="1"/>
  <c r="B10840" i="1"/>
  <c r="K10839" i="1"/>
  <c r="C10839" i="1"/>
  <c r="B10839" i="1"/>
  <c r="K10838" i="1"/>
  <c r="C10838" i="1"/>
  <c r="B10838" i="1"/>
  <c r="K10837" i="1"/>
  <c r="C10837" i="1"/>
  <c r="B10837" i="1"/>
  <c r="K10836" i="1"/>
  <c r="C10836" i="1"/>
  <c r="B10836" i="1"/>
  <c r="K10835" i="1"/>
  <c r="C10835" i="1"/>
  <c r="B10835" i="1"/>
  <c r="K10834" i="1"/>
  <c r="C10834" i="1"/>
  <c r="B10834" i="1"/>
  <c r="K10833" i="1"/>
  <c r="C10833" i="1"/>
  <c r="B10833" i="1"/>
  <c r="K10832" i="1"/>
  <c r="C10832" i="1"/>
  <c r="B10832" i="1"/>
  <c r="K10831" i="1"/>
  <c r="C10831" i="1"/>
  <c r="B10831" i="1"/>
  <c r="K10830" i="1"/>
  <c r="C10830" i="1"/>
  <c r="B10830" i="1"/>
  <c r="K10829" i="1"/>
  <c r="C10829" i="1"/>
  <c r="B10829" i="1"/>
  <c r="K10828" i="1"/>
  <c r="C10828" i="1"/>
  <c r="B10828" i="1"/>
  <c r="K10827" i="1"/>
  <c r="C10827" i="1"/>
  <c r="B10827" i="1"/>
  <c r="K10826" i="1"/>
  <c r="C10826" i="1"/>
  <c r="B10826" i="1"/>
  <c r="K10825" i="1"/>
  <c r="C10825" i="1"/>
  <c r="B10825" i="1"/>
  <c r="K10824" i="1"/>
  <c r="C10824" i="1"/>
  <c r="B10824" i="1"/>
  <c r="K10823" i="1"/>
  <c r="C10823" i="1"/>
  <c r="B10823" i="1"/>
  <c r="K10822" i="1"/>
  <c r="C10822" i="1"/>
  <c r="B10822" i="1"/>
  <c r="K10821" i="1"/>
  <c r="C10821" i="1"/>
  <c r="B10821" i="1"/>
  <c r="K10820" i="1"/>
  <c r="C10820" i="1"/>
  <c r="B10820" i="1"/>
  <c r="K10819" i="1"/>
  <c r="C10819" i="1"/>
  <c r="B10819" i="1"/>
  <c r="K10818" i="1"/>
  <c r="C10818" i="1"/>
  <c r="B10818" i="1"/>
  <c r="K10817" i="1"/>
  <c r="C10817" i="1"/>
  <c r="B10817" i="1"/>
  <c r="K10816" i="1"/>
  <c r="C10816" i="1"/>
  <c r="B10816" i="1"/>
  <c r="K10815" i="1"/>
  <c r="C10815" i="1"/>
  <c r="B10815" i="1"/>
  <c r="K10814" i="1"/>
  <c r="C10814" i="1"/>
  <c r="B10814" i="1"/>
  <c r="K10813" i="1"/>
  <c r="C10813" i="1"/>
  <c r="B10813" i="1"/>
  <c r="K10812" i="1"/>
  <c r="C10812" i="1"/>
  <c r="B10812" i="1"/>
  <c r="K10811" i="1"/>
  <c r="C10811" i="1"/>
  <c r="B10811" i="1"/>
  <c r="K10810" i="1"/>
  <c r="C10810" i="1"/>
  <c r="B10810" i="1"/>
  <c r="K10809" i="1"/>
  <c r="C10809" i="1"/>
  <c r="B10809" i="1"/>
  <c r="K10808" i="1"/>
  <c r="C10808" i="1"/>
  <c r="B10808" i="1"/>
  <c r="K10807" i="1"/>
  <c r="C10807" i="1"/>
  <c r="B10807" i="1"/>
  <c r="K10806" i="1"/>
  <c r="C10806" i="1"/>
  <c r="B10806" i="1"/>
  <c r="K10805" i="1"/>
  <c r="C10805" i="1"/>
  <c r="B10805" i="1"/>
  <c r="K10804" i="1"/>
  <c r="C10804" i="1"/>
  <c r="B10804" i="1"/>
  <c r="K10803" i="1"/>
  <c r="C10803" i="1"/>
  <c r="B10803" i="1"/>
  <c r="K10802" i="1"/>
  <c r="C10802" i="1"/>
  <c r="B10802" i="1"/>
  <c r="K10801" i="1"/>
  <c r="C10801" i="1"/>
  <c r="B10801" i="1"/>
  <c r="K10800" i="1"/>
  <c r="C10800" i="1"/>
  <c r="B10800" i="1"/>
  <c r="K10799" i="1"/>
  <c r="C10799" i="1"/>
  <c r="B10799" i="1"/>
  <c r="K10798" i="1"/>
  <c r="C10798" i="1"/>
  <c r="B10798" i="1"/>
  <c r="K10797" i="1"/>
  <c r="C10797" i="1"/>
  <c r="B10797" i="1"/>
  <c r="K10796" i="1"/>
  <c r="C10796" i="1"/>
  <c r="B10796" i="1"/>
  <c r="K10795" i="1"/>
  <c r="C10795" i="1"/>
  <c r="B10795" i="1"/>
  <c r="K10794" i="1"/>
  <c r="C10794" i="1"/>
  <c r="B10794" i="1"/>
  <c r="K10793" i="1"/>
  <c r="C10793" i="1"/>
  <c r="B10793" i="1"/>
  <c r="K10792" i="1"/>
  <c r="C10792" i="1"/>
  <c r="B10792" i="1"/>
  <c r="K10791" i="1"/>
  <c r="C10791" i="1"/>
  <c r="B10791" i="1"/>
  <c r="K10790" i="1"/>
  <c r="C10790" i="1"/>
  <c r="B10790" i="1"/>
  <c r="K10789" i="1"/>
  <c r="C10789" i="1"/>
  <c r="B10789" i="1"/>
  <c r="K10788" i="1"/>
  <c r="C10788" i="1"/>
  <c r="B10788" i="1"/>
  <c r="K10787" i="1"/>
  <c r="C10787" i="1"/>
  <c r="B10787" i="1"/>
  <c r="K10786" i="1"/>
  <c r="C10786" i="1"/>
  <c r="B10786" i="1"/>
  <c r="K10785" i="1"/>
  <c r="C10785" i="1"/>
  <c r="B10785" i="1"/>
  <c r="K10784" i="1"/>
  <c r="C10784" i="1"/>
  <c r="B10784" i="1"/>
  <c r="K10783" i="1"/>
  <c r="C10783" i="1"/>
  <c r="B10783" i="1"/>
  <c r="K10782" i="1"/>
  <c r="C10782" i="1"/>
  <c r="B10782" i="1"/>
  <c r="K10781" i="1"/>
  <c r="C10781" i="1"/>
  <c r="B10781" i="1"/>
  <c r="K10780" i="1"/>
  <c r="C10780" i="1"/>
  <c r="B10780" i="1"/>
  <c r="K10779" i="1"/>
  <c r="C10779" i="1"/>
  <c r="B10779" i="1"/>
  <c r="K10778" i="1"/>
  <c r="C10778" i="1"/>
  <c r="B10778" i="1"/>
  <c r="K10777" i="1"/>
  <c r="C10777" i="1"/>
  <c r="B10777" i="1"/>
  <c r="K10776" i="1"/>
  <c r="C10776" i="1"/>
  <c r="B10776" i="1"/>
  <c r="K10775" i="1"/>
  <c r="C10775" i="1"/>
  <c r="B10775" i="1"/>
  <c r="K10774" i="1"/>
  <c r="C10774" i="1"/>
  <c r="B10774" i="1"/>
  <c r="K10773" i="1"/>
  <c r="C10773" i="1"/>
  <c r="B10773" i="1"/>
  <c r="K10772" i="1"/>
  <c r="C10772" i="1"/>
  <c r="B10772" i="1"/>
  <c r="K10771" i="1"/>
  <c r="C10771" i="1"/>
  <c r="B10771" i="1"/>
  <c r="K10770" i="1"/>
  <c r="C10770" i="1"/>
  <c r="B10770" i="1"/>
  <c r="K10769" i="1"/>
  <c r="C10769" i="1"/>
  <c r="B10769" i="1"/>
  <c r="K10768" i="1"/>
  <c r="C10768" i="1"/>
  <c r="B10768" i="1"/>
  <c r="K10767" i="1"/>
  <c r="C10767" i="1"/>
  <c r="B10767" i="1"/>
  <c r="K10766" i="1"/>
  <c r="C10766" i="1"/>
  <c r="B10766" i="1"/>
  <c r="K10765" i="1"/>
  <c r="C10765" i="1"/>
  <c r="B10765" i="1"/>
  <c r="K10764" i="1"/>
  <c r="C10764" i="1"/>
  <c r="B10764" i="1"/>
  <c r="K10763" i="1"/>
  <c r="C10763" i="1"/>
  <c r="B10763" i="1"/>
  <c r="K10762" i="1"/>
  <c r="C10762" i="1"/>
  <c r="B10762" i="1"/>
  <c r="K10761" i="1"/>
  <c r="C10761" i="1"/>
  <c r="B10761" i="1"/>
  <c r="K10760" i="1"/>
  <c r="C10760" i="1"/>
  <c r="B10760" i="1"/>
  <c r="K10759" i="1"/>
  <c r="C10759" i="1"/>
  <c r="B10759" i="1"/>
  <c r="K10758" i="1"/>
  <c r="C10758" i="1"/>
  <c r="B10758" i="1"/>
  <c r="K10757" i="1"/>
  <c r="C10757" i="1"/>
  <c r="B10757" i="1"/>
  <c r="K10756" i="1"/>
  <c r="C10756" i="1"/>
  <c r="B10756" i="1"/>
  <c r="K10755" i="1"/>
  <c r="C10755" i="1"/>
  <c r="B10755" i="1"/>
  <c r="K10754" i="1"/>
  <c r="C10754" i="1"/>
  <c r="B10754" i="1"/>
  <c r="K10753" i="1"/>
  <c r="C10753" i="1"/>
  <c r="B10753" i="1"/>
  <c r="K10752" i="1"/>
  <c r="C10752" i="1"/>
  <c r="B10752" i="1"/>
  <c r="K10751" i="1"/>
  <c r="C10751" i="1"/>
  <c r="B10751" i="1"/>
  <c r="K10750" i="1"/>
  <c r="C10750" i="1"/>
  <c r="B10750" i="1"/>
  <c r="K10749" i="1"/>
  <c r="C10749" i="1"/>
  <c r="B10749" i="1"/>
  <c r="K10748" i="1"/>
  <c r="C10748" i="1"/>
  <c r="B10748" i="1"/>
  <c r="K10747" i="1"/>
  <c r="C10747" i="1"/>
  <c r="B10747" i="1"/>
  <c r="K10746" i="1"/>
  <c r="C10746" i="1"/>
  <c r="B10746" i="1"/>
  <c r="K10745" i="1"/>
  <c r="C10745" i="1"/>
  <c r="B10745" i="1"/>
  <c r="K10744" i="1"/>
  <c r="C10744" i="1"/>
  <c r="B10744" i="1"/>
  <c r="K10743" i="1"/>
  <c r="C10743" i="1"/>
  <c r="B10743" i="1"/>
  <c r="K10742" i="1"/>
  <c r="C10742" i="1"/>
  <c r="B10742" i="1"/>
  <c r="K10741" i="1"/>
  <c r="C10741" i="1"/>
  <c r="B10741" i="1"/>
  <c r="K10740" i="1"/>
  <c r="C10740" i="1"/>
  <c r="B10740" i="1"/>
  <c r="K10739" i="1"/>
  <c r="C10739" i="1"/>
  <c r="B10739" i="1"/>
  <c r="K10738" i="1"/>
  <c r="C10738" i="1"/>
  <c r="B10738" i="1"/>
  <c r="K10737" i="1"/>
  <c r="C10737" i="1"/>
  <c r="B10737" i="1"/>
  <c r="K10736" i="1"/>
  <c r="C10736" i="1"/>
  <c r="B10736" i="1"/>
  <c r="K10735" i="1"/>
  <c r="C10735" i="1"/>
  <c r="B10735" i="1"/>
  <c r="K10734" i="1"/>
  <c r="C10734" i="1"/>
  <c r="B10734" i="1"/>
  <c r="K10733" i="1"/>
  <c r="C10733" i="1"/>
  <c r="B10733" i="1"/>
  <c r="K10732" i="1"/>
  <c r="C10732" i="1"/>
  <c r="B10732" i="1"/>
  <c r="K10731" i="1"/>
  <c r="C10731" i="1"/>
  <c r="B10731" i="1"/>
  <c r="K10730" i="1"/>
  <c r="C10730" i="1"/>
  <c r="B10730" i="1"/>
  <c r="K10729" i="1"/>
  <c r="C10729" i="1"/>
  <c r="B10729" i="1"/>
  <c r="K10728" i="1"/>
  <c r="C10728" i="1"/>
  <c r="B10728" i="1"/>
  <c r="K10727" i="1"/>
  <c r="C10727" i="1"/>
  <c r="B10727" i="1"/>
  <c r="K10726" i="1"/>
  <c r="C10726" i="1"/>
  <c r="B10726" i="1"/>
  <c r="K10725" i="1"/>
  <c r="C10725" i="1"/>
  <c r="B10725" i="1"/>
  <c r="K10724" i="1"/>
  <c r="C10724" i="1"/>
  <c r="B10724" i="1"/>
  <c r="K10723" i="1"/>
  <c r="C10723" i="1"/>
  <c r="B10723" i="1"/>
  <c r="K10722" i="1"/>
  <c r="C10722" i="1"/>
  <c r="B10722" i="1"/>
  <c r="K10721" i="1"/>
  <c r="C10721" i="1"/>
  <c r="B10721" i="1"/>
  <c r="K10720" i="1"/>
  <c r="C10720" i="1"/>
  <c r="B10720" i="1"/>
  <c r="K10719" i="1"/>
  <c r="C10719" i="1"/>
  <c r="B10719" i="1"/>
  <c r="K10718" i="1"/>
  <c r="C10718" i="1"/>
  <c r="B10718" i="1"/>
  <c r="K10717" i="1"/>
  <c r="C10717" i="1"/>
  <c r="B10717" i="1"/>
  <c r="K10716" i="1"/>
  <c r="C10716" i="1"/>
  <c r="B10716" i="1"/>
  <c r="K10715" i="1"/>
  <c r="C10715" i="1"/>
  <c r="B10715" i="1"/>
  <c r="K10714" i="1"/>
  <c r="C10714" i="1"/>
  <c r="B10714" i="1"/>
  <c r="K10713" i="1"/>
  <c r="C10713" i="1"/>
  <c r="B10713" i="1"/>
  <c r="K10712" i="1"/>
  <c r="C10712" i="1"/>
  <c r="B10712" i="1"/>
  <c r="K10711" i="1"/>
  <c r="C10711" i="1"/>
  <c r="B10711" i="1"/>
  <c r="K10710" i="1"/>
  <c r="C10710" i="1"/>
  <c r="B10710" i="1"/>
  <c r="K10709" i="1"/>
  <c r="C10709" i="1"/>
  <c r="B10709" i="1"/>
  <c r="K10708" i="1"/>
  <c r="C10708" i="1"/>
  <c r="B10708" i="1"/>
  <c r="K10707" i="1"/>
  <c r="C10707" i="1"/>
  <c r="B10707" i="1"/>
  <c r="K10706" i="1"/>
  <c r="C10706" i="1"/>
  <c r="B10706" i="1"/>
  <c r="K10705" i="1"/>
  <c r="C10705" i="1"/>
  <c r="B10705" i="1"/>
  <c r="K10704" i="1"/>
  <c r="C10704" i="1"/>
  <c r="B10704" i="1"/>
  <c r="K10703" i="1"/>
  <c r="C10703" i="1"/>
  <c r="B10703" i="1"/>
  <c r="K10702" i="1"/>
  <c r="C10702" i="1"/>
  <c r="B10702" i="1"/>
  <c r="K10701" i="1"/>
  <c r="C10701" i="1"/>
  <c r="B10701" i="1"/>
  <c r="K10700" i="1"/>
  <c r="C10700" i="1"/>
  <c r="B10700" i="1"/>
  <c r="K10699" i="1"/>
  <c r="C10699" i="1"/>
  <c r="B10699" i="1"/>
  <c r="K10698" i="1"/>
  <c r="C10698" i="1"/>
  <c r="B10698" i="1"/>
  <c r="K10697" i="1"/>
  <c r="C10697" i="1"/>
  <c r="B10697" i="1"/>
  <c r="K10696" i="1"/>
  <c r="C10696" i="1"/>
  <c r="B10696" i="1"/>
  <c r="K10695" i="1"/>
  <c r="C10695" i="1"/>
  <c r="B10695" i="1"/>
  <c r="K10694" i="1"/>
  <c r="C10694" i="1"/>
  <c r="B10694" i="1"/>
  <c r="K10693" i="1"/>
  <c r="C10693" i="1"/>
  <c r="B10693" i="1"/>
  <c r="K10692" i="1"/>
  <c r="C10692" i="1"/>
  <c r="B10692" i="1"/>
  <c r="K10691" i="1"/>
  <c r="C10691" i="1"/>
  <c r="B10691" i="1"/>
  <c r="K10690" i="1"/>
  <c r="C10690" i="1"/>
  <c r="B10690" i="1"/>
  <c r="K10689" i="1"/>
  <c r="C10689" i="1"/>
  <c r="B10689" i="1"/>
  <c r="K10688" i="1"/>
  <c r="C10688" i="1"/>
  <c r="B10688" i="1"/>
  <c r="K10687" i="1"/>
  <c r="C10687" i="1"/>
  <c r="B10687" i="1"/>
  <c r="K10686" i="1"/>
  <c r="C10686" i="1"/>
  <c r="B10686" i="1"/>
  <c r="K10685" i="1"/>
  <c r="C10685" i="1"/>
  <c r="B10685" i="1"/>
  <c r="K10684" i="1"/>
  <c r="C10684" i="1"/>
  <c r="B10684" i="1"/>
  <c r="K10683" i="1"/>
  <c r="C10683" i="1"/>
  <c r="B10683" i="1"/>
  <c r="K10682" i="1"/>
  <c r="C10682" i="1"/>
  <c r="B10682" i="1"/>
  <c r="K10681" i="1"/>
  <c r="C10681" i="1"/>
  <c r="B10681" i="1"/>
  <c r="K10680" i="1"/>
  <c r="C10680" i="1"/>
  <c r="B10680" i="1"/>
  <c r="K10679" i="1"/>
  <c r="C10679" i="1"/>
  <c r="B10679" i="1"/>
  <c r="K10678" i="1"/>
  <c r="C10678" i="1"/>
  <c r="B10678" i="1"/>
  <c r="K10677" i="1"/>
  <c r="C10677" i="1"/>
  <c r="B10677" i="1"/>
  <c r="K10676" i="1"/>
  <c r="C10676" i="1"/>
  <c r="B10676" i="1"/>
  <c r="K10675" i="1"/>
  <c r="C10675" i="1"/>
  <c r="B10675" i="1"/>
  <c r="K10674" i="1"/>
  <c r="C10674" i="1"/>
  <c r="B10674" i="1"/>
  <c r="K10673" i="1"/>
  <c r="C10673" i="1"/>
  <c r="B10673" i="1"/>
  <c r="K10672" i="1"/>
  <c r="C10672" i="1"/>
  <c r="B10672" i="1"/>
  <c r="K10671" i="1"/>
  <c r="C10671" i="1"/>
  <c r="B10671" i="1"/>
  <c r="K10670" i="1"/>
  <c r="C10670" i="1"/>
  <c r="B10670" i="1"/>
  <c r="K10669" i="1"/>
  <c r="C10669" i="1"/>
  <c r="B10669" i="1"/>
  <c r="K10668" i="1"/>
  <c r="C10668" i="1"/>
  <c r="B10668" i="1"/>
  <c r="K10667" i="1"/>
  <c r="C10667" i="1"/>
  <c r="B10667" i="1"/>
  <c r="K10666" i="1"/>
  <c r="C10666" i="1"/>
  <c r="B10666" i="1"/>
  <c r="K10665" i="1"/>
  <c r="C10665" i="1"/>
  <c r="B10665" i="1"/>
  <c r="K10664" i="1"/>
  <c r="C10664" i="1"/>
  <c r="B10664" i="1"/>
  <c r="K10663" i="1"/>
  <c r="C10663" i="1"/>
  <c r="B10663" i="1"/>
  <c r="K10662" i="1"/>
  <c r="C10662" i="1"/>
  <c r="B10662" i="1"/>
  <c r="K10661" i="1"/>
  <c r="C10661" i="1"/>
  <c r="B10661" i="1"/>
  <c r="K10660" i="1"/>
  <c r="C10660" i="1"/>
  <c r="B10660" i="1"/>
  <c r="K10659" i="1"/>
  <c r="C10659" i="1"/>
  <c r="B10659" i="1"/>
  <c r="K10658" i="1"/>
  <c r="C10658" i="1"/>
  <c r="B10658" i="1"/>
  <c r="K10657" i="1"/>
  <c r="C10657" i="1"/>
  <c r="B10657" i="1"/>
  <c r="K10656" i="1"/>
  <c r="C10656" i="1"/>
  <c r="B10656" i="1"/>
  <c r="K10655" i="1"/>
  <c r="C10655" i="1"/>
  <c r="B10655" i="1"/>
  <c r="K10654" i="1"/>
  <c r="C10654" i="1"/>
  <c r="B10654" i="1"/>
  <c r="K10653" i="1"/>
  <c r="C10653" i="1"/>
  <c r="B10653" i="1"/>
  <c r="K10652" i="1"/>
  <c r="C10652" i="1"/>
  <c r="B10652" i="1"/>
  <c r="K10651" i="1"/>
  <c r="C10651" i="1"/>
  <c r="B10651" i="1"/>
  <c r="K10650" i="1"/>
  <c r="C10650" i="1"/>
  <c r="B10650" i="1"/>
  <c r="K10649" i="1"/>
  <c r="C10649" i="1"/>
  <c r="B10649" i="1"/>
  <c r="K10648" i="1"/>
  <c r="C10648" i="1"/>
  <c r="B10648" i="1"/>
  <c r="K10647" i="1"/>
  <c r="C10647" i="1"/>
  <c r="B10647" i="1"/>
  <c r="K10646" i="1"/>
  <c r="C10646" i="1"/>
  <c r="B10646" i="1"/>
  <c r="K10645" i="1"/>
  <c r="C10645" i="1"/>
  <c r="B10645" i="1"/>
  <c r="K10644" i="1"/>
  <c r="C10644" i="1"/>
  <c r="B10644" i="1"/>
  <c r="K10643" i="1"/>
  <c r="C10643" i="1"/>
  <c r="B10643" i="1"/>
  <c r="K10642" i="1"/>
  <c r="C10642" i="1"/>
  <c r="B10642" i="1"/>
  <c r="K10641" i="1"/>
  <c r="C10641" i="1"/>
  <c r="B10641" i="1"/>
  <c r="K10640" i="1"/>
  <c r="C10640" i="1"/>
  <c r="B10640" i="1"/>
  <c r="K10639" i="1"/>
  <c r="C10639" i="1"/>
  <c r="B10639" i="1"/>
  <c r="K10638" i="1"/>
  <c r="C10638" i="1"/>
  <c r="B10638" i="1"/>
  <c r="K10637" i="1"/>
  <c r="C10637" i="1"/>
  <c r="B10637" i="1"/>
  <c r="K10636" i="1"/>
  <c r="C10636" i="1"/>
  <c r="B10636" i="1"/>
  <c r="K10635" i="1"/>
  <c r="C10635" i="1"/>
  <c r="B10635" i="1"/>
  <c r="K10634" i="1"/>
  <c r="C10634" i="1"/>
  <c r="B10634" i="1"/>
  <c r="K10633" i="1"/>
  <c r="C10633" i="1"/>
  <c r="B10633" i="1"/>
  <c r="K10632" i="1"/>
  <c r="C10632" i="1"/>
  <c r="B10632" i="1"/>
  <c r="K10631" i="1"/>
  <c r="C10631" i="1"/>
  <c r="B10631" i="1"/>
  <c r="K10630" i="1"/>
  <c r="C10630" i="1"/>
  <c r="B10630" i="1"/>
  <c r="K10629" i="1"/>
  <c r="C10629" i="1"/>
  <c r="B10629" i="1"/>
  <c r="K10628" i="1"/>
  <c r="C10628" i="1"/>
  <c r="B10628" i="1"/>
  <c r="K10627" i="1"/>
  <c r="C10627" i="1"/>
  <c r="B10627" i="1"/>
  <c r="K10626" i="1"/>
  <c r="C10626" i="1"/>
  <c r="B10626" i="1"/>
  <c r="K10625" i="1"/>
  <c r="C10625" i="1"/>
  <c r="B10625" i="1"/>
  <c r="K10624" i="1"/>
  <c r="C10624" i="1"/>
  <c r="B10624" i="1"/>
  <c r="K10623" i="1"/>
  <c r="C10623" i="1"/>
  <c r="B10623" i="1"/>
  <c r="K10622" i="1"/>
  <c r="C10622" i="1"/>
  <c r="B10622" i="1"/>
  <c r="K10621" i="1"/>
  <c r="C10621" i="1"/>
  <c r="B10621" i="1"/>
  <c r="K10620" i="1"/>
  <c r="C10620" i="1"/>
  <c r="B10620" i="1"/>
  <c r="K10619" i="1"/>
  <c r="C10619" i="1"/>
  <c r="B10619" i="1"/>
  <c r="K10618" i="1"/>
  <c r="C10618" i="1"/>
  <c r="B10618" i="1"/>
  <c r="K10617" i="1"/>
  <c r="C10617" i="1"/>
  <c r="B10617" i="1"/>
  <c r="K10616" i="1"/>
  <c r="C10616" i="1"/>
  <c r="B10616" i="1"/>
  <c r="K10615" i="1"/>
  <c r="C10615" i="1"/>
  <c r="B10615" i="1"/>
  <c r="K10614" i="1"/>
  <c r="C10614" i="1"/>
  <c r="B10614" i="1"/>
  <c r="K10613" i="1"/>
  <c r="C10613" i="1"/>
  <c r="B10613" i="1"/>
  <c r="K10612" i="1"/>
  <c r="C10612" i="1"/>
  <c r="B10612" i="1"/>
  <c r="K10611" i="1"/>
  <c r="C10611" i="1"/>
  <c r="B10611" i="1"/>
  <c r="K10610" i="1"/>
  <c r="C10610" i="1"/>
  <c r="B10610" i="1"/>
  <c r="K10609" i="1"/>
  <c r="C10609" i="1"/>
  <c r="B10609" i="1"/>
  <c r="K10608" i="1"/>
  <c r="C10608" i="1"/>
  <c r="B10608" i="1"/>
  <c r="K10607" i="1"/>
  <c r="C10607" i="1"/>
  <c r="B10607" i="1"/>
  <c r="K10606" i="1"/>
  <c r="C10606" i="1"/>
  <c r="B10606" i="1"/>
  <c r="K10605" i="1"/>
  <c r="C10605" i="1"/>
  <c r="B10605" i="1"/>
  <c r="K10604" i="1"/>
  <c r="C10604" i="1"/>
  <c r="B10604" i="1"/>
  <c r="K10603" i="1"/>
  <c r="C10603" i="1"/>
  <c r="B10603" i="1"/>
  <c r="K10602" i="1"/>
  <c r="C10602" i="1"/>
  <c r="B10602" i="1"/>
  <c r="K10601" i="1"/>
  <c r="C10601" i="1"/>
  <c r="B10601" i="1"/>
  <c r="K10600" i="1"/>
  <c r="C10600" i="1"/>
  <c r="B10600" i="1"/>
  <c r="K10599" i="1"/>
  <c r="C10599" i="1"/>
  <c r="B10599" i="1"/>
  <c r="K10598" i="1"/>
  <c r="C10598" i="1"/>
  <c r="B10598" i="1"/>
  <c r="K10597" i="1"/>
  <c r="C10597" i="1"/>
  <c r="B10597" i="1"/>
  <c r="K10596" i="1"/>
  <c r="C10596" i="1"/>
  <c r="B10596" i="1"/>
  <c r="K10595" i="1"/>
  <c r="C10595" i="1"/>
  <c r="B10595" i="1"/>
  <c r="K10594" i="1"/>
  <c r="C10594" i="1"/>
  <c r="B10594" i="1"/>
  <c r="K10593" i="1"/>
  <c r="C10593" i="1"/>
  <c r="B10593" i="1"/>
  <c r="K10592" i="1"/>
  <c r="C10592" i="1"/>
  <c r="B10592" i="1"/>
  <c r="K10591" i="1"/>
  <c r="C10591" i="1"/>
  <c r="B10591" i="1"/>
  <c r="K10590" i="1"/>
  <c r="C10590" i="1"/>
  <c r="B10590" i="1"/>
  <c r="K10589" i="1"/>
  <c r="C10589" i="1"/>
  <c r="B10589" i="1"/>
  <c r="K10588" i="1"/>
  <c r="C10588" i="1"/>
  <c r="B10588" i="1"/>
  <c r="K10587" i="1"/>
  <c r="C10587" i="1"/>
  <c r="B10587" i="1"/>
  <c r="K10586" i="1"/>
  <c r="C10586" i="1"/>
  <c r="B10586" i="1"/>
  <c r="K10585" i="1"/>
  <c r="C10585" i="1"/>
  <c r="B10585" i="1"/>
  <c r="K10584" i="1"/>
  <c r="C10584" i="1"/>
  <c r="B10584" i="1"/>
  <c r="K10583" i="1"/>
  <c r="C10583" i="1"/>
  <c r="B10583" i="1"/>
  <c r="K10582" i="1"/>
  <c r="C10582" i="1"/>
  <c r="B10582" i="1"/>
  <c r="K10581" i="1"/>
  <c r="C10581" i="1"/>
  <c r="B10581" i="1"/>
  <c r="K10580" i="1"/>
  <c r="C10580" i="1"/>
  <c r="B10580" i="1"/>
  <c r="K10579" i="1"/>
  <c r="C10579" i="1"/>
  <c r="B10579" i="1"/>
  <c r="K10578" i="1"/>
  <c r="C10578" i="1"/>
  <c r="B10578" i="1"/>
  <c r="K10577" i="1"/>
  <c r="C10577" i="1"/>
  <c r="B10577" i="1"/>
  <c r="K10576" i="1"/>
  <c r="C10576" i="1"/>
  <c r="B10576" i="1"/>
  <c r="K10575" i="1"/>
  <c r="C10575" i="1"/>
  <c r="B10575" i="1"/>
  <c r="K10574" i="1"/>
  <c r="C10574" i="1"/>
  <c r="B10574" i="1"/>
  <c r="K10573" i="1"/>
  <c r="C10573" i="1"/>
  <c r="B10573" i="1"/>
  <c r="K10572" i="1"/>
  <c r="C10572" i="1"/>
  <c r="B10572" i="1"/>
  <c r="K10571" i="1"/>
  <c r="C10571" i="1"/>
  <c r="B10571" i="1"/>
  <c r="K10570" i="1"/>
  <c r="C10570" i="1"/>
  <c r="B10570" i="1"/>
  <c r="K10569" i="1"/>
  <c r="C10569" i="1"/>
  <c r="B10569" i="1"/>
  <c r="K10568" i="1"/>
  <c r="C10568" i="1"/>
  <c r="B10568" i="1"/>
  <c r="K10567" i="1"/>
  <c r="C10567" i="1"/>
  <c r="B10567" i="1"/>
  <c r="K10566" i="1"/>
  <c r="C10566" i="1"/>
  <c r="B10566" i="1"/>
  <c r="K10565" i="1"/>
  <c r="C10565" i="1"/>
  <c r="B10565" i="1"/>
  <c r="K10564" i="1"/>
  <c r="C10564" i="1"/>
  <c r="B10564" i="1"/>
  <c r="K10563" i="1"/>
  <c r="C10563" i="1"/>
  <c r="B10563" i="1"/>
  <c r="K10562" i="1"/>
  <c r="C10562" i="1"/>
  <c r="B10562" i="1"/>
  <c r="K10561" i="1"/>
  <c r="C10561" i="1"/>
  <c r="B10561" i="1"/>
  <c r="K10560" i="1"/>
  <c r="C10560" i="1"/>
  <c r="B10560" i="1"/>
  <c r="K10559" i="1"/>
  <c r="C10559" i="1"/>
  <c r="B10559" i="1"/>
  <c r="K10558" i="1"/>
  <c r="C10558" i="1"/>
  <c r="B10558" i="1"/>
  <c r="K10557" i="1"/>
  <c r="C10557" i="1"/>
  <c r="B10557" i="1"/>
  <c r="K10556" i="1"/>
  <c r="C10556" i="1"/>
  <c r="B10556" i="1"/>
  <c r="K10555" i="1"/>
  <c r="C10555" i="1"/>
  <c r="B10555" i="1"/>
  <c r="K10554" i="1"/>
  <c r="C10554" i="1"/>
  <c r="B10554" i="1"/>
  <c r="K10553" i="1"/>
  <c r="C10553" i="1"/>
  <c r="B10553" i="1"/>
  <c r="K10552" i="1"/>
  <c r="C10552" i="1"/>
  <c r="B10552" i="1"/>
  <c r="K10551" i="1"/>
  <c r="C10551" i="1"/>
  <c r="B10551" i="1"/>
  <c r="K10550" i="1"/>
  <c r="C10550" i="1"/>
  <c r="B10550" i="1"/>
  <c r="K10549" i="1"/>
  <c r="C10549" i="1"/>
  <c r="B10549" i="1"/>
  <c r="K10548" i="1"/>
  <c r="C10548" i="1"/>
  <c r="B10548" i="1"/>
  <c r="K10547" i="1"/>
  <c r="C10547" i="1"/>
  <c r="B10547" i="1"/>
  <c r="K10546" i="1"/>
  <c r="C10546" i="1"/>
  <c r="B10546" i="1"/>
  <c r="K10545" i="1"/>
  <c r="C10545" i="1"/>
  <c r="B10545" i="1"/>
  <c r="K10544" i="1"/>
  <c r="C10544" i="1"/>
  <c r="B10544" i="1"/>
  <c r="K10543" i="1"/>
  <c r="C10543" i="1"/>
  <c r="B10543" i="1"/>
  <c r="K10542" i="1"/>
  <c r="C10542" i="1"/>
  <c r="B10542" i="1"/>
  <c r="K10541" i="1"/>
  <c r="C10541" i="1"/>
  <c r="B10541" i="1"/>
  <c r="K10540" i="1"/>
  <c r="C10540" i="1"/>
  <c r="B10540" i="1"/>
  <c r="K10539" i="1"/>
  <c r="C10539" i="1"/>
  <c r="B10539" i="1"/>
  <c r="K10538" i="1"/>
  <c r="C10538" i="1"/>
  <c r="B10538" i="1"/>
  <c r="K10537" i="1"/>
  <c r="C10537" i="1"/>
  <c r="B10537" i="1"/>
  <c r="K10536" i="1"/>
  <c r="C10536" i="1"/>
  <c r="B10536" i="1"/>
  <c r="K10535" i="1"/>
  <c r="C10535" i="1"/>
  <c r="B10535" i="1"/>
  <c r="K10534" i="1"/>
  <c r="C10534" i="1"/>
  <c r="B10534" i="1"/>
  <c r="K10533" i="1"/>
  <c r="C10533" i="1"/>
  <c r="B10533" i="1"/>
  <c r="K10532" i="1"/>
  <c r="C10532" i="1"/>
  <c r="B10532" i="1"/>
  <c r="K10531" i="1"/>
  <c r="C10531" i="1"/>
  <c r="B10531" i="1"/>
  <c r="K10530" i="1"/>
  <c r="C10530" i="1"/>
  <c r="B10530" i="1"/>
  <c r="K10529" i="1"/>
  <c r="C10529" i="1"/>
  <c r="B10529" i="1"/>
  <c r="K10528" i="1"/>
  <c r="C10528" i="1"/>
  <c r="B10528" i="1"/>
  <c r="K10527" i="1"/>
  <c r="C10527" i="1"/>
  <c r="B10527" i="1"/>
  <c r="K10526" i="1"/>
  <c r="C10526" i="1"/>
  <c r="B10526" i="1"/>
  <c r="K10525" i="1"/>
  <c r="C10525" i="1"/>
  <c r="B10525" i="1"/>
  <c r="K10524" i="1"/>
  <c r="C10524" i="1"/>
  <c r="B10524" i="1"/>
  <c r="K10523" i="1"/>
  <c r="C10523" i="1"/>
  <c r="B10523" i="1"/>
  <c r="K10522" i="1"/>
  <c r="C10522" i="1"/>
  <c r="B10522" i="1"/>
  <c r="K10521" i="1"/>
  <c r="C10521" i="1"/>
  <c r="B10521" i="1"/>
  <c r="K10520" i="1"/>
  <c r="C10520" i="1"/>
  <c r="B10520" i="1"/>
  <c r="K10519" i="1"/>
  <c r="C10519" i="1"/>
  <c r="B10519" i="1"/>
  <c r="K10518" i="1"/>
  <c r="C10518" i="1"/>
  <c r="B10518" i="1"/>
  <c r="K10517" i="1"/>
  <c r="C10517" i="1"/>
  <c r="B10517" i="1"/>
  <c r="K10516" i="1"/>
  <c r="C10516" i="1"/>
  <c r="B10516" i="1"/>
  <c r="K10515" i="1"/>
  <c r="C10515" i="1"/>
  <c r="B10515" i="1"/>
  <c r="K10514" i="1"/>
  <c r="C10514" i="1"/>
  <c r="B10514" i="1"/>
  <c r="K10513" i="1"/>
  <c r="C10513" i="1"/>
  <c r="B10513" i="1"/>
  <c r="K10512" i="1"/>
  <c r="C10512" i="1"/>
  <c r="B10512" i="1"/>
  <c r="K10511" i="1"/>
  <c r="C10511" i="1"/>
  <c r="B10511" i="1"/>
  <c r="K10510" i="1"/>
  <c r="C10510" i="1"/>
  <c r="B10510" i="1"/>
  <c r="K10509" i="1"/>
  <c r="C10509" i="1"/>
  <c r="B10509" i="1"/>
  <c r="K10508" i="1"/>
  <c r="C10508" i="1"/>
  <c r="B10508" i="1"/>
  <c r="K10507" i="1"/>
  <c r="C10507" i="1"/>
  <c r="B10507" i="1"/>
  <c r="K10506" i="1"/>
  <c r="C10506" i="1"/>
  <c r="B10506" i="1"/>
  <c r="K10505" i="1"/>
  <c r="C10505" i="1"/>
  <c r="B10505" i="1"/>
  <c r="K10504" i="1"/>
  <c r="C10504" i="1"/>
  <c r="B10504" i="1"/>
  <c r="K10503" i="1"/>
  <c r="C10503" i="1"/>
  <c r="B10503" i="1"/>
  <c r="K10502" i="1"/>
  <c r="C10502" i="1"/>
  <c r="B10502" i="1"/>
  <c r="K10501" i="1"/>
  <c r="C10501" i="1"/>
  <c r="B10501" i="1"/>
  <c r="K10500" i="1"/>
  <c r="C10500" i="1"/>
  <c r="B10500" i="1"/>
  <c r="K10499" i="1"/>
  <c r="C10499" i="1"/>
  <c r="B10499" i="1"/>
  <c r="K10498" i="1"/>
  <c r="C10498" i="1"/>
  <c r="B10498" i="1"/>
  <c r="K10497" i="1"/>
  <c r="C10497" i="1"/>
  <c r="B10497" i="1"/>
  <c r="K10496" i="1"/>
  <c r="C10496" i="1"/>
  <c r="B10496" i="1"/>
  <c r="K10495" i="1"/>
  <c r="C10495" i="1"/>
  <c r="B10495" i="1"/>
  <c r="K10494" i="1"/>
  <c r="C10494" i="1"/>
  <c r="B10494" i="1"/>
  <c r="K10493" i="1"/>
  <c r="C10493" i="1"/>
  <c r="B10493" i="1"/>
  <c r="K10492" i="1"/>
  <c r="C10492" i="1"/>
  <c r="B10492" i="1"/>
  <c r="K10491" i="1"/>
  <c r="C10491" i="1"/>
  <c r="B10491" i="1"/>
  <c r="K10490" i="1"/>
  <c r="C10490" i="1"/>
  <c r="B10490" i="1"/>
  <c r="K10489" i="1"/>
  <c r="C10489" i="1"/>
  <c r="B10489" i="1"/>
  <c r="K10488" i="1"/>
  <c r="C10488" i="1"/>
  <c r="B10488" i="1"/>
  <c r="K10487" i="1"/>
  <c r="C10487" i="1"/>
  <c r="B10487" i="1"/>
  <c r="K10486" i="1"/>
  <c r="C10486" i="1"/>
  <c r="B10486" i="1"/>
  <c r="K10485" i="1"/>
  <c r="C10485" i="1"/>
  <c r="B10485" i="1"/>
  <c r="K10484" i="1"/>
  <c r="C10484" i="1"/>
  <c r="B10484" i="1"/>
  <c r="K10483" i="1"/>
  <c r="C10483" i="1"/>
  <c r="B10483" i="1"/>
  <c r="K10482" i="1"/>
  <c r="C10482" i="1"/>
  <c r="B10482" i="1"/>
  <c r="K10481" i="1"/>
  <c r="C10481" i="1"/>
  <c r="B10481" i="1"/>
  <c r="K10480" i="1"/>
  <c r="C10480" i="1"/>
  <c r="B10480" i="1"/>
  <c r="K10479" i="1"/>
  <c r="C10479" i="1"/>
  <c r="B10479" i="1"/>
  <c r="K10478" i="1"/>
  <c r="C10478" i="1"/>
  <c r="B10478" i="1"/>
  <c r="K10477" i="1"/>
  <c r="C10477" i="1"/>
  <c r="B10477" i="1"/>
  <c r="K10476" i="1"/>
  <c r="C10476" i="1"/>
  <c r="B10476" i="1"/>
  <c r="K10475" i="1"/>
  <c r="C10475" i="1"/>
  <c r="B10475" i="1"/>
  <c r="K10474" i="1"/>
  <c r="C10474" i="1"/>
  <c r="B10474" i="1"/>
  <c r="K10473" i="1"/>
  <c r="C10473" i="1"/>
  <c r="B10473" i="1"/>
  <c r="K10472" i="1"/>
  <c r="C10472" i="1"/>
  <c r="B10472" i="1"/>
  <c r="K10471" i="1"/>
  <c r="C10471" i="1"/>
  <c r="B10471" i="1"/>
  <c r="K10470" i="1"/>
  <c r="C10470" i="1"/>
  <c r="B10470" i="1"/>
  <c r="K10469" i="1"/>
  <c r="C10469" i="1"/>
  <c r="B10469" i="1"/>
  <c r="K10468" i="1"/>
  <c r="C10468" i="1"/>
  <c r="B10468" i="1"/>
  <c r="K10467" i="1"/>
  <c r="C10467" i="1"/>
  <c r="B10467" i="1"/>
  <c r="K10466" i="1"/>
  <c r="C10466" i="1"/>
  <c r="B10466" i="1"/>
  <c r="K10465" i="1"/>
  <c r="C10465" i="1"/>
  <c r="B10465" i="1"/>
  <c r="K10464" i="1"/>
  <c r="C10464" i="1"/>
  <c r="B10464" i="1"/>
  <c r="K10463" i="1"/>
  <c r="C10463" i="1"/>
  <c r="B10463" i="1"/>
  <c r="K10462" i="1"/>
  <c r="C10462" i="1"/>
  <c r="B10462" i="1"/>
  <c r="K10461" i="1"/>
  <c r="C10461" i="1"/>
  <c r="B10461" i="1"/>
  <c r="K10460" i="1"/>
  <c r="C10460" i="1"/>
  <c r="B10460" i="1"/>
  <c r="K10459" i="1"/>
  <c r="C10459" i="1"/>
  <c r="B10459" i="1"/>
  <c r="K10458" i="1"/>
  <c r="C10458" i="1"/>
  <c r="B10458" i="1"/>
  <c r="K10457" i="1"/>
  <c r="C10457" i="1"/>
  <c r="B10457" i="1"/>
  <c r="K10456" i="1"/>
  <c r="C10456" i="1"/>
  <c r="B10456" i="1"/>
  <c r="K10455" i="1"/>
  <c r="C10455" i="1"/>
  <c r="B10455" i="1"/>
  <c r="K10454" i="1"/>
  <c r="C10454" i="1"/>
  <c r="B10454" i="1"/>
  <c r="K10453" i="1"/>
  <c r="C10453" i="1"/>
  <c r="B10453" i="1"/>
  <c r="K10452" i="1"/>
  <c r="C10452" i="1"/>
  <c r="B10452" i="1"/>
  <c r="K10451" i="1"/>
  <c r="C10451" i="1"/>
  <c r="B10451" i="1"/>
  <c r="K10450" i="1"/>
  <c r="C10450" i="1"/>
  <c r="B10450" i="1"/>
  <c r="K10449" i="1"/>
  <c r="C10449" i="1"/>
  <c r="B10449" i="1"/>
  <c r="K10448" i="1"/>
  <c r="C10448" i="1"/>
  <c r="B10448" i="1"/>
  <c r="K10447" i="1"/>
  <c r="C10447" i="1"/>
  <c r="B10447" i="1"/>
  <c r="K10446" i="1"/>
  <c r="C10446" i="1"/>
  <c r="B10446" i="1"/>
  <c r="K10445" i="1"/>
  <c r="C10445" i="1"/>
  <c r="B10445" i="1"/>
  <c r="K10444" i="1"/>
  <c r="C10444" i="1"/>
  <c r="B10444" i="1"/>
  <c r="K10443" i="1"/>
  <c r="C10443" i="1"/>
  <c r="B10443" i="1"/>
  <c r="K10442" i="1"/>
  <c r="C10442" i="1"/>
  <c r="B10442" i="1"/>
  <c r="K10441" i="1"/>
  <c r="C10441" i="1"/>
  <c r="B10441" i="1"/>
  <c r="K10440" i="1"/>
  <c r="C10440" i="1"/>
  <c r="B10440" i="1"/>
  <c r="K10439" i="1"/>
  <c r="C10439" i="1"/>
  <c r="B10439" i="1"/>
  <c r="K10438" i="1"/>
  <c r="C10438" i="1"/>
  <c r="B10438" i="1"/>
  <c r="K10437" i="1"/>
  <c r="C10437" i="1"/>
  <c r="B10437" i="1"/>
  <c r="K10436" i="1"/>
  <c r="C10436" i="1"/>
  <c r="B10436" i="1"/>
  <c r="K10435" i="1"/>
  <c r="C10435" i="1"/>
  <c r="B10435" i="1"/>
  <c r="K10434" i="1"/>
  <c r="C10434" i="1"/>
  <c r="B10434" i="1"/>
  <c r="K10433" i="1"/>
  <c r="C10433" i="1"/>
  <c r="B10433" i="1"/>
  <c r="K10432" i="1"/>
  <c r="C10432" i="1"/>
  <c r="B10432" i="1"/>
  <c r="K10431" i="1"/>
  <c r="C10431" i="1"/>
  <c r="B10431" i="1"/>
  <c r="K10430" i="1"/>
  <c r="C10430" i="1"/>
  <c r="B10430" i="1"/>
  <c r="K10429" i="1"/>
  <c r="C10429" i="1"/>
  <c r="B10429" i="1"/>
  <c r="K10428" i="1"/>
  <c r="C10428" i="1"/>
  <c r="B10428" i="1"/>
  <c r="K10427" i="1"/>
  <c r="C10427" i="1"/>
  <c r="B10427" i="1"/>
  <c r="K10426" i="1"/>
  <c r="C10426" i="1"/>
  <c r="B10426" i="1"/>
  <c r="K10425" i="1"/>
  <c r="C10425" i="1"/>
  <c r="B10425" i="1"/>
  <c r="K10424" i="1"/>
  <c r="C10424" i="1"/>
  <c r="B10424" i="1"/>
  <c r="K10423" i="1"/>
  <c r="C10423" i="1"/>
  <c r="B10423" i="1"/>
  <c r="K10422" i="1"/>
  <c r="C10422" i="1"/>
  <c r="B10422" i="1"/>
  <c r="K10421" i="1"/>
  <c r="C10421" i="1"/>
  <c r="B10421" i="1"/>
  <c r="K10420" i="1"/>
  <c r="C10420" i="1"/>
  <c r="B10420" i="1"/>
  <c r="K10419" i="1"/>
  <c r="C10419" i="1"/>
  <c r="B10419" i="1"/>
  <c r="K10418" i="1"/>
  <c r="C10418" i="1"/>
  <c r="B10418" i="1"/>
  <c r="K10417" i="1"/>
  <c r="C10417" i="1"/>
  <c r="B10417" i="1"/>
  <c r="K10416" i="1"/>
  <c r="C10416" i="1"/>
  <c r="B10416" i="1"/>
  <c r="K10415" i="1"/>
  <c r="C10415" i="1"/>
  <c r="B10415" i="1"/>
  <c r="K10414" i="1"/>
  <c r="C10414" i="1"/>
  <c r="B10414" i="1"/>
  <c r="K10413" i="1"/>
  <c r="C10413" i="1"/>
  <c r="B10413" i="1"/>
  <c r="K10412" i="1"/>
  <c r="C10412" i="1"/>
  <c r="B10412" i="1"/>
  <c r="K10411" i="1"/>
  <c r="C10411" i="1"/>
  <c r="B10411" i="1"/>
  <c r="K10410" i="1"/>
  <c r="C10410" i="1"/>
  <c r="B10410" i="1"/>
  <c r="K10409" i="1"/>
  <c r="C10409" i="1"/>
  <c r="B10409" i="1"/>
  <c r="K10408" i="1"/>
  <c r="C10408" i="1"/>
  <c r="B10408" i="1"/>
  <c r="K10407" i="1"/>
  <c r="C10407" i="1"/>
  <c r="B10407" i="1"/>
  <c r="K10406" i="1"/>
  <c r="C10406" i="1"/>
  <c r="B10406" i="1"/>
  <c r="K10405" i="1"/>
  <c r="C10405" i="1"/>
  <c r="B10405" i="1"/>
  <c r="K10404" i="1"/>
  <c r="C10404" i="1"/>
  <c r="B10404" i="1"/>
  <c r="K10403" i="1"/>
  <c r="C10403" i="1"/>
  <c r="B10403" i="1"/>
  <c r="K10402" i="1"/>
  <c r="C10402" i="1"/>
  <c r="B10402" i="1"/>
  <c r="K10401" i="1"/>
  <c r="C10401" i="1"/>
  <c r="B10401" i="1"/>
  <c r="K10400" i="1"/>
  <c r="C10400" i="1"/>
  <c r="B10400" i="1"/>
  <c r="K10399" i="1"/>
  <c r="C10399" i="1"/>
  <c r="B10399" i="1"/>
  <c r="K10398" i="1"/>
  <c r="C10398" i="1"/>
  <c r="B10398" i="1"/>
  <c r="K10397" i="1"/>
  <c r="C10397" i="1"/>
  <c r="B10397" i="1"/>
  <c r="K10396" i="1"/>
  <c r="C10396" i="1"/>
  <c r="B10396" i="1"/>
  <c r="K10395" i="1"/>
  <c r="C10395" i="1"/>
  <c r="B10395" i="1"/>
  <c r="K10394" i="1"/>
  <c r="C10394" i="1"/>
  <c r="B10394" i="1"/>
  <c r="K10393" i="1"/>
  <c r="C10393" i="1"/>
  <c r="B10393" i="1"/>
  <c r="K10392" i="1"/>
  <c r="C10392" i="1"/>
  <c r="B10392" i="1"/>
  <c r="K10391" i="1"/>
  <c r="C10391" i="1"/>
  <c r="B10391" i="1"/>
  <c r="K10390" i="1"/>
  <c r="C10390" i="1"/>
  <c r="B10390" i="1"/>
  <c r="K10389" i="1"/>
  <c r="C10389" i="1"/>
  <c r="B10389" i="1"/>
  <c r="K10388" i="1"/>
  <c r="C10388" i="1"/>
  <c r="B10388" i="1"/>
  <c r="K10387" i="1"/>
  <c r="C10387" i="1"/>
  <c r="B10387" i="1"/>
  <c r="K10386" i="1"/>
  <c r="C10386" i="1"/>
  <c r="B10386" i="1"/>
  <c r="K10385" i="1"/>
  <c r="C10385" i="1"/>
  <c r="B10385" i="1"/>
  <c r="K10384" i="1"/>
  <c r="C10384" i="1"/>
  <c r="B10384" i="1"/>
  <c r="K10383" i="1"/>
  <c r="C10383" i="1"/>
  <c r="B10383" i="1"/>
  <c r="K10382" i="1"/>
  <c r="C10382" i="1"/>
  <c r="B10382" i="1"/>
  <c r="K10381" i="1"/>
  <c r="C10381" i="1"/>
  <c r="B10381" i="1"/>
  <c r="K10380" i="1"/>
  <c r="C10380" i="1"/>
  <c r="B10380" i="1"/>
  <c r="K10379" i="1"/>
  <c r="C10379" i="1"/>
  <c r="B10379" i="1"/>
  <c r="K10378" i="1"/>
  <c r="C10378" i="1"/>
  <c r="B10378" i="1"/>
  <c r="K10377" i="1"/>
  <c r="C10377" i="1"/>
  <c r="B10377" i="1"/>
  <c r="K10376" i="1"/>
  <c r="C10376" i="1"/>
  <c r="B10376" i="1"/>
  <c r="K10375" i="1"/>
  <c r="C10375" i="1"/>
  <c r="B10375" i="1"/>
  <c r="K10374" i="1"/>
  <c r="C10374" i="1"/>
  <c r="B10374" i="1"/>
  <c r="K10373" i="1"/>
  <c r="C10373" i="1"/>
  <c r="B10373" i="1"/>
  <c r="K10372" i="1"/>
  <c r="C10372" i="1"/>
  <c r="B10372" i="1"/>
  <c r="K10371" i="1"/>
  <c r="C10371" i="1"/>
  <c r="B10371" i="1"/>
  <c r="K10370" i="1"/>
  <c r="C10370" i="1"/>
  <c r="B10370" i="1"/>
  <c r="K10369" i="1"/>
  <c r="C10369" i="1"/>
  <c r="B10369" i="1"/>
  <c r="K10368" i="1"/>
  <c r="C10368" i="1"/>
  <c r="B10368" i="1"/>
  <c r="K10367" i="1"/>
  <c r="C10367" i="1"/>
  <c r="B10367" i="1"/>
  <c r="K10366" i="1"/>
  <c r="C10366" i="1"/>
  <c r="B10366" i="1"/>
  <c r="K10365" i="1"/>
  <c r="C10365" i="1"/>
  <c r="B10365" i="1"/>
  <c r="K10364" i="1"/>
  <c r="C10364" i="1"/>
  <c r="B10364" i="1"/>
  <c r="K10363" i="1"/>
  <c r="C10363" i="1"/>
  <c r="B10363" i="1"/>
  <c r="K10362" i="1"/>
  <c r="C10362" i="1"/>
  <c r="B10362" i="1"/>
  <c r="K10361" i="1"/>
  <c r="C10361" i="1"/>
  <c r="B10361" i="1"/>
  <c r="K10360" i="1"/>
  <c r="C10360" i="1"/>
  <c r="B10360" i="1"/>
  <c r="K10359" i="1"/>
  <c r="C10359" i="1"/>
  <c r="B10359" i="1"/>
  <c r="K10358" i="1"/>
  <c r="C10358" i="1"/>
  <c r="B10358" i="1"/>
  <c r="K10357" i="1"/>
  <c r="C10357" i="1"/>
  <c r="B10357" i="1"/>
  <c r="K10356" i="1"/>
  <c r="C10356" i="1"/>
  <c r="B10356" i="1"/>
  <c r="K10355" i="1"/>
  <c r="C10355" i="1"/>
  <c r="B10355" i="1"/>
  <c r="K10354" i="1"/>
  <c r="C10354" i="1"/>
  <c r="B10354" i="1"/>
  <c r="K10353" i="1"/>
  <c r="C10353" i="1"/>
  <c r="B10353" i="1"/>
  <c r="K10352" i="1"/>
  <c r="C10352" i="1"/>
  <c r="B10352" i="1"/>
  <c r="K10351" i="1"/>
  <c r="C10351" i="1"/>
  <c r="B10351" i="1"/>
  <c r="K10350" i="1"/>
  <c r="C10350" i="1"/>
  <c r="B10350" i="1"/>
  <c r="K10349" i="1"/>
  <c r="C10349" i="1"/>
  <c r="B10349" i="1"/>
  <c r="K10348" i="1"/>
  <c r="C10348" i="1"/>
  <c r="B10348" i="1"/>
  <c r="K10347" i="1"/>
  <c r="C10347" i="1"/>
  <c r="B10347" i="1"/>
  <c r="K10346" i="1"/>
  <c r="C10346" i="1"/>
  <c r="B10346" i="1"/>
  <c r="K10345" i="1"/>
  <c r="C10345" i="1"/>
  <c r="B10345" i="1"/>
  <c r="K10344" i="1"/>
  <c r="C10344" i="1"/>
  <c r="B10344" i="1"/>
  <c r="K10343" i="1"/>
  <c r="C10343" i="1"/>
  <c r="B10343" i="1"/>
  <c r="K10342" i="1"/>
  <c r="C10342" i="1"/>
  <c r="B10342" i="1"/>
  <c r="K10341" i="1"/>
  <c r="C10341" i="1"/>
  <c r="B10341" i="1"/>
  <c r="K10340" i="1"/>
  <c r="C10340" i="1"/>
  <c r="B10340" i="1"/>
  <c r="K10339" i="1"/>
  <c r="C10339" i="1"/>
  <c r="B10339" i="1"/>
  <c r="K10338" i="1"/>
  <c r="C10338" i="1"/>
  <c r="B10338" i="1"/>
  <c r="K10337" i="1"/>
  <c r="C10337" i="1"/>
  <c r="B10337" i="1"/>
  <c r="K10336" i="1"/>
  <c r="C10336" i="1"/>
  <c r="B10336" i="1"/>
  <c r="K10335" i="1"/>
  <c r="C10335" i="1"/>
  <c r="B10335" i="1"/>
  <c r="K10334" i="1"/>
  <c r="C10334" i="1"/>
  <c r="B10334" i="1"/>
  <c r="K10333" i="1"/>
  <c r="C10333" i="1"/>
  <c r="B10333" i="1"/>
  <c r="K10332" i="1"/>
  <c r="C10332" i="1"/>
  <c r="B10332" i="1"/>
  <c r="K10331" i="1"/>
  <c r="C10331" i="1"/>
  <c r="B10331" i="1"/>
  <c r="K10330" i="1"/>
  <c r="C10330" i="1"/>
  <c r="B10330" i="1"/>
  <c r="K10329" i="1"/>
  <c r="C10329" i="1"/>
  <c r="B10329" i="1"/>
  <c r="K10328" i="1"/>
  <c r="C10328" i="1"/>
  <c r="B10328" i="1"/>
  <c r="K10327" i="1"/>
  <c r="C10327" i="1"/>
  <c r="B10327" i="1"/>
  <c r="K10326" i="1"/>
  <c r="C10326" i="1"/>
  <c r="B10326" i="1"/>
  <c r="K10325" i="1"/>
  <c r="C10325" i="1"/>
  <c r="B10325" i="1"/>
  <c r="K10324" i="1"/>
  <c r="C10324" i="1"/>
  <c r="B10324" i="1"/>
  <c r="K10323" i="1"/>
  <c r="C10323" i="1"/>
  <c r="B10323" i="1"/>
  <c r="K10322" i="1"/>
  <c r="C10322" i="1"/>
  <c r="B10322" i="1"/>
  <c r="K10321" i="1"/>
  <c r="C10321" i="1"/>
  <c r="B10321" i="1"/>
  <c r="K10320" i="1"/>
  <c r="C10320" i="1"/>
  <c r="B10320" i="1"/>
  <c r="K10319" i="1"/>
  <c r="C10319" i="1"/>
  <c r="B10319" i="1"/>
  <c r="K10318" i="1"/>
  <c r="C10318" i="1"/>
  <c r="B10318" i="1"/>
  <c r="K10317" i="1"/>
  <c r="C10317" i="1"/>
  <c r="B10317" i="1"/>
  <c r="K10316" i="1"/>
  <c r="C10316" i="1"/>
  <c r="B10316" i="1"/>
  <c r="K10315" i="1"/>
  <c r="C10315" i="1"/>
  <c r="B10315" i="1"/>
  <c r="K10314" i="1"/>
  <c r="C10314" i="1"/>
  <c r="B10314" i="1"/>
  <c r="K10313" i="1"/>
  <c r="C10313" i="1"/>
  <c r="B10313" i="1"/>
  <c r="K10312" i="1"/>
  <c r="C10312" i="1"/>
  <c r="B10312" i="1"/>
  <c r="K10311" i="1"/>
  <c r="C10311" i="1"/>
  <c r="B10311" i="1"/>
  <c r="K10310" i="1"/>
  <c r="C10310" i="1"/>
  <c r="B10310" i="1"/>
  <c r="K10309" i="1"/>
  <c r="C10309" i="1"/>
  <c r="B10309" i="1"/>
  <c r="K10308" i="1"/>
  <c r="C10308" i="1"/>
  <c r="B10308" i="1"/>
  <c r="K10307" i="1"/>
  <c r="C10307" i="1"/>
  <c r="B10307" i="1"/>
  <c r="K10306" i="1"/>
  <c r="C10306" i="1"/>
  <c r="B10306" i="1"/>
  <c r="K10305" i="1"/>
  <c r="C10305" i="1"/>
  <c r="B10305" i="1"/>
  <c r="K10304" i="1"/>
  <c r="C10304" i="1"/>
  <c r="B10304" i="1"/>
  <c r="K10303" i="1"/>
  <c r="C10303" i="1"/>
  <c r="B10303" i="1"/>
  <c r="K10302" i="1"/>
  <c r="C10302" i="1"/>
  <c r="B10302" i="1"/>
  <c r="K10301" i="1"/>
  <c r="C10301" i="1"/>
  <c r="B10301" i="1"/>
  <c r="K10300" i="1"/>
  <c r="C10300" i="1"/>
  <c r="B10300" i="1"/>
  <c r="K10299" i="1"/>
  <c r="C10299" i="1"/>
  <c r="B10299" i="1"/>
  <c r="K10298" i="1"/>
  <c r="C10298" i="1"/>
  <c r="B10298" i="1"/>
  <c r="K10297" i="1"/>
  <c r="C10297" i="1"/>
  <c r="B10297" i="1"/>
  <c r="K10296" i="1"/>
  <c r="C10296" i="1"/>
  <c r="B10296" i="1"/>
  <c r="K10295" i="1"/>
  <c r="C10295" i="1"/>
  <c r="B10295" i="1"/>
  <c r="K10294" i="1"/>
  <c r="C10294" i="1"/>
  <c r="B10294" i="1"/>
  <c r="K10293" i="1"/>
  <c r="C10293" i="1"/>
  <c r="B10293" i="1"/>
  <c r="K10292" i="1"/>
  <c r="C10292" i="1"/>
  <c r="B10292" i="1"/>
  <c r="K10291" i="1"/>
  <c r="C10291" i="1"/>
  <c r="B10291" i="1"/>
  <c r="K10290" i="1"/>
  <c r="C10290" i="1"/>
  <c r="B10290" i="1"/>
  <c r="K10289" i="1"/>
  <c r="C10289" i="1"/>
  <c r="B10289" i="1"/>
  <c r="K10288" i="1"/>
  <c r="C10288" i="1"/>
  <c r="B10288" i="1"/>
  <c r="K10287" i="1"/>
  <c r="C10287" i="1"/>
  <c r="B10287" i="1"/>
  <c r="K10286" i="1"/>
  <c r="C10286" i="1"/>
  <c r="B10286" i="1"/>
  <c r="K10285" i="1"/>
  <c r="C10285" i="1"/>
  <c r="B10285" i="1"/>
  <c r="K10284" i="1"/>
  <c r="C10284" i="1"/>
  <c r="B10284" i="1"/>
  <c r="K10283" i="1"/>
  <c r="C10283" i="1"/>
  <c r="B10283" i="1"/>
  <c r="K10282" i="1"/>
  <c r="C10282" i="1"/>
  <c r="B10282" i="1"/>
  <c r="K10281" i="1"/>
  <c r="C10281" i="1"/>
  <c r="B10281" i="1"/>
  <c r="K10280" i="1"/>
  <c r="C10280" i="1"/>
  <c r="B10280" i="1"/>
  <c r="K10279" i="1"/>
  <c r="C10279" i="1"/>
  <c r="B10279" i="1"/>
  <c r="K10278" i="1"/>
  <c r="C10278" i="1"/>
  <c r="B10278" i="1"/>
  <c r="K10277" i="1"/>
  <c r="C10277" i="1"/>
  <c r="B10277" i="1"/>
  <c r="K10276" i="1"/>
  <c r="C10276" i="1"/>
  <c r="B10276" i="1"/>
  <c r="K10275" i="1"/>
  <c r="C10275" i="1"/>
  <c r="B10275" i="1"/>
  <c r="K10274" i="1"/>
  <c r="C10274" i="1"/>
  <c r="B10274" i="1"/>
  <c r="K10273" i="1"/>
  <c r="C10273" i="1"/>
  <c r="B10273" i="1"/>
  <c r="K10272" i="1"/>
  <c r="C10272" i="1"/>
  <c r="B10272" i="1"/>
  <c r="K10271" i="1"/>
  <c r="C10271" i="1"/>
  <c r="B10271" i="1"/>
  <c r="K10270" i="1"/>
  <c r="C10270" i="1"/>
  <c r="B10270" i="1"/>
  <c r="K10269" i="1"/>
  <c r="C10269" i="1"/>
  <c r="B10269" i="1"/>
  <c r="K10268" i="1"/>
  <c r="C10268" i="1"/>
  <c r="B10268" i="1"/>
  <c r="K10267" i="1"/>
  <c r="C10267" i="1"/>
  <c r="B10267" i="1"/>
  <c r="K10266" i="1"/>
  <c r="C10266" i="1"/>
  <c r="B10266" i="1"/>
  <c r="K10265" i="1"/>
  <c r="C10265" i="1"/>
  <c r="B10265" i="1"/>
  <c r="K10264" i="1"/>
  <c r="C10264" i="1"/>
  <c r="B10264" i="1"/>
  <c r="K10263" i="1"/>
  <c r="C10263" i="1"/>
  <c r="B10263" i="1"/>
  <c r="K10262" i="1"/>
  <c r="C10262" i="1"/>
  <c r="B10262" i="1"/>
  <c r="K10261" i="1"/>
  <c r="C10261" i="1"/>
  <c r="B10261" i="1"/>
  <c r="K10260" i="1"/>
  <c r="C10260" i="1"/>
  <c r="B10260" i="1"/>
  <c r="K10259" i="1"/>
  <c r="C10259" i="1"/>
  <c r="B10259" i="1"/>
  <c r="K10258" i="1"/>
  <c r="C10258" i="1"/>
  <c r="B10258" i="1"/>
  <c r="K10257" i="1"/>
  <c r="C10257" i="1"/>
  <c r="B10257" i="1"/>
  <c r="K10256" i="1"/>
  <c r="C10256" i="1"/>
  <c r="B10256" i="1"/>
  <c r="K10255" i="1"/>
  <c r="C10255" i="1"/>
  <c r="B10255" i="1"/>
  <c r="K10254" i="1"/>
  <c r="C10254" i="1"/>
  <c r="B10254" i="1"/>
  <c r="K10253" i="1"/>
  <c r="C10253" i="1"/>
  <c r="B10253" i="1"/>
  <c r="K10252" i="1"/>
  <c r="C10252" i="1"/>
  <c r="B10252" i="1"/>
  <c r="K10251" i="1"/>
  <c r="C10251" i="1"/>
  <c r="B10251" i="1"/>
  <c r="K10250" i="1"/>
  <c r="C10250" i="1"/>
  <c r="B10250" i="1"/>
  <c r="K10249" i="1"/>
  <c r="C10249" i="1"/>
  <c r="B10249" i="1"/>
  <c r="K10248" i="1"/>
  <c r="C10248" i="1"/>
  <c r="B10248" i="1"/>
  <c r="K10247" i="1"/>
  <c r="C10247" i="1"/>
  <c r="B10247" i="1"/>
  <c r="K10246" i="1"/>
  <c r="C10246" i="1"/>
  <c r="B10246" i="1"/>
  <c r="K10245" i="1"/>
  <c r="C10245" i="1"/>
  <c r="B10245" i="1"/>
  <c r="K10244" i="1"/>
  <c r="C10244" i="1"/>
  <c r="B10244" i="1"/>
  <c r="K10243" i="1"/>
  <c r="C10243" i="1"/>
  <c r="B10243" i="1"/>
  <c r="K10242" i="1"/>
  <c r="C10242" i="1"/>
  <c r="B10242" i="1"/>
  <c r="K10241" i="1"/>
  <c r="C10241" i="1"/>
  <c r="B10241" i="1"/>
  <c r="K10240" i="1"/>
  <c r="C10240" i="1"/>
  <c r="B10240" i="1"/>
  <c r="K10239" i="1"/>
  <c r="C10239" i="1"/>
  <c r="B10239" i="1"/>
  <c r="K10238" i="1"/>
  <c r="C10238" i="1"/>
  <c r="B10238" i="1"/>
  <c r="K10237" i="1"/>
  <c r="C10237" i="1"/>
  <c r="B10237" i="1"/>
  <c r="K10236" i="1"/>
  <c r="C10236" i="1"/>
  <c r="B10236" i="1"/>
  <c r="K10235" i="1"/>
  <c r="C10235" i="1"/>
  <c r="B10235" i="1"/>
  <c r="K10234" i="1"/>
  <c r="C10234" i="1"/>
  <c r="B10234" i="1"/>
  <c r="K10233" i="1"/>
  <c r="C10233" i="1"/>
  <c r="B10233" i="1"/>
  <c r="K10232" i="1"/>
  <c r="C10232" i="1"/>
  <c r="B10232" i="1"/>
  <c r="K10231" i="1"/>
  <c r="C10231" i="1"/>
  <c r="B10231" i="1"/>
  <c r="K10230" i="1"/>
  <c r="C10230" i="1"/>
  <c r="B10230" i="1"/>
  <c r="K10229" i="1"/>
  <c r="C10229" i="1"/>
  <c r="B10229" i="1"/>
  <c r="K10228" i="1"/>
  <c r="C10228" i="1"/>
  <c r="B10228" i="1"/>
  <c r="K10227" i="1"/>
  <c r="C10227" i="1"/>
  <c r="B10227" i="1"/>
  <c r="K10226" i="1"/>
  <c r="C10226" i="1"/>
  <c r="B10226" i="1"/>
  <c r="K10225" i="1"/>
  <c r="C10225" i="1"/>
  <c r="B10225" i="1"/>
  <c r="K10224" i="1"/>
  <c r="C10224" i="1"/>
  <c r="B10224" i="1"/>
  <c r="K10223" i="1"/>
  <c r="C10223" i="1"/>
  <c r="B10223" i="1"/>
  <c r="K10222" i="1"/>
  <c r="C10222" i="1"/>
  <c r="B10222" i="1"/>
  <c r="K10221" i="1"/>
  <c r="C10221" i="1"/>
  <c r="B10221" i="1"/>
  <c r="K10220" i="1"/>
  <c r="C10220" i="1"/>
  <c r="B10220" i="1"/>
  <c r="K10219" i="1"/>
  <c r="C10219" i="1"/>
  <c r="B10219" i="1"/>
  <c r="K10218" i="1"/>
  <c r="C10218" i="1"/>
  <c r="B10218" i="1"/>
  <c r="K10217" i="1"/>
  <c r="C10217" i="1"/>
  <c r="B10217" i="1"/>
  <c r="K10216" i="1"/>
  <c r="C10216" i="1"/>
  <c r="B10216" i="1"/>
  <c r="K10215" i="1"/>
  <c r="C10215" i="1"/>
  <c r="B10215" i="1"/>
  <c r="K10214" i="1"/>
  <c r="C10214" i="1"/>
  <c r="B10214" i="1"/>
  <c r="K10213" i="1"/>
  <c r="C10213" i="1"/>
  <c r="B10213" i="1"/>
  <c r="K10212" i="1"/>
  <c r="C10212" i="1"/>
  <c r="B10212" i="1"/>
  <c r="K10211" i="1"/>
  <c r="C10211" i="1"/>
  <c r="B10211" i="1"/>
  <c r="K10210" i="1"/>
  <c r="C10210" i="1"/>
  <c r="B10210" i="1"/>
  <c r="K10209" i="1"/>
  <c r="C10209" i="1"/>
  <c r="B10209" i="1"/>
  <c r="K10208" i="1"/>
  <c r="C10208" i="1"/>
  <c r="B10208" i="1"/>
  <c r="K10207" i="1"/>
  <c r="C10207" i="1"/>
  <c r="B10207" i="1"/>
  <c r="K10206" i="1"/>
  <c r="C10206" i="1"/>
  <c r="B10206" i="1"/>
  <c r="K10205" i="1"/>
  <c r="C10205" i="1"/>
  <c r="B10205" i="1"/>
  <c r="K10204" i="1"/>
  <c r="C10204" i="1"/>
  <c r="B10204" i="1"/>
  <c r="K10203" i="1"/>
  <c r="C10203" i="1"/>
  <c r="B10203" i="1"/>
  <c r="K10202" i="1"/>
  <c r="C10202" i="1"/>
  <c r="B10202" i="1"/>
  <c r="K10201" i="1"/>
  <c r="C10201" i="1"/>
  <c r="B10201" i="1"/>
  <c r="K10200" i="1"/>
  <c r="C10200" i="1"/>
  <c r="B10200" i="1"/>
  <c r="K10199" i="1"/>
  <c r="C10199" i="1"/>
  <c r="B10199" i="1"/>
  <c r="K10198" i="1"/>
  <c r="C10198" i="1"/>
  <c r="B10198" i="1"/>
  <c r="K10197" i="1"/>
  <c r="C10197" i="1"/>
  <c r="B10197" i="1"/>
  <c r="K10196" i="1"/>
  <c r="C10196" i="1"/>
  <c r="B10196" i="1"/>
  <c r="K10195" i="1"/>
  <c r="C10195" i="1"/>
  <c r="B10195" i="1"/>
  <c r="K10194" i="1"/>
  <c r="C10194" i="1"/>
  <c r="B10194" i="1"/>
  <c r="K10193" i="1"/>
  <c r="C10193" i="1"/>
  <c r="B10193" i="1"/>
  <c r="K10192" i="1"/>
  <c r="C10192" i="1"/>
  <c r="B10192" i="1"/>
  <c r="K10191" i="1"/>
  <c r="C10191" i="1"/>
  <c r="B10191" i="1"/>
  <c r="K10190" i="1"/>
  <c r="C10190" i="1"/>
  <c r="B10190" i="1"/>
  <c r="K10189" i="1"/>
  <c r="C10189" i="1"/>
  <c r="B10189" i="1"/>
  <c r="K10188" i="1"/>
  <c r="C10188" i="1"/>
  <c r="B10188" i="1"/>
  <c r="K10187" i="1"/>
  <c r="C10187" i="1"/>
  <c r="B10187" i="1"/>
  <c r="K10186" i="1"/>
  <c r="C10186" i="1"/>
  <c r="B10186" i="1"/>
  <c r="K10185" i="1"/>
  <c r="C10185" i="1"/>
  <c r="B10185" i="1"/>
  <c r="K10184" i="1"/>
  <c r="C10184" i="1"/>
  <c r="B10184" i="1"/>
  <c r="K10183" i="1"/>
  <c r="C10183" i="1"/>
  <c r="B10183" i="1"/>
  <c r="K10182" i="1"/>
  <c r="C10182" i="1"/>
  <c r="B10182" i="1"/>
  <c r="K10181" i="1"/>
  <c r="C10181" i="1"/>
  <c r="B10181" i="1"/>
  <c r="K10180" i="1"/>
  <c r="C10180" i="1"/>
  <c r="B10180" i="1"/>
  <c r="K10179" i="1"/>
  <c r="C10179" i="1"/>
  <c r="B10179" i="1"/>
  <c r="K10178" i="1"/>
  <c r="C10178" i="1"/>
  <c r="B10178" i="1"/>
  <c r="K10177" i="1"/>
  <c r="C10177" i="1"/>
  <c r="B10177" i="1"/>
  <c r="K10176" i="1"/>
  <c r="C10176" i="1"/>
  <c r="B10176" i="1"/>
  <c r="K10175" i="1"/>
  <c r="C10175" i="1"/>
  <c r="B10175" i="1"/>
  <c r="K10174" i="1"/>
  <c r="C10174" i="1"/>
  <c r="B10174" i="1"/>
  <c r="K10173" i="1"/>
  <c r="C10173" i="1"/>
  <c r="B10173" i="1"/>
  <c r="K10172" i="1"/>
  <c r="C10172" i="1"/>
  <c r="B10172" i="1"/>
  <c r="K10171" i="1"/>
  <c r="C10171" i="1"/>
  <c r="B10171" i="1"/>
  <c r="K10170" i="1"/>
  <c r="C10170" i="1"/>
  <c r="B10170" i="1"/>
  <c r="K10169" i="1"/>
  <c r="C10169" i="1"/>
  <c r="B10169" i="1"/>
  <c r="K10168" i="1"/>
  <c r="C10168" i="1"/>
  <c r="B10168" i="1"/>
  <c r="K10167" i="1"/>
  <c r="C10167" i="1"/>
  <c r="B10167" i="1"/>
  <c r="K10166" i="1"/>
  <c r="C10166" i="1"/>
  <c r="B10166" i="1"/>
  <c r="K10165" i="1"/>
  <c r="C10165" i="1"/>
  <c r="B10165" i="1"/>
  <c r="K10164" i="1"/>
  <c r="C10164" i="1"/>
  <c r="B10164" i="1"/>
  <c r="K10163" i="1"/>
  <c r="C10163" i="1"/>
  <c r="B10163" i="1"/>
  <c r="K10162" i="1"/>
  <c r="C10162" i="1"/>
  <c r="B10162" i="1"/>
  <c r="K10161" i="1"/>
  <c r="C10161" i="1"/>
  <c r="B10161" i="1"/>
  <c r="K10160" i="1"/>
  <c r="C10160" i="1"/>
  <c r="B10160" i="1"/>
  <c r="K10159" i="1"/>
  <c r="C10159" i="1"/>
  <c r="B10159" i="1"/>
  <c r="K10158" i="1"/>
  <c r="C10158" i="1"/>
  <c r="B10158" i="1"/>
  <c r="K10157" i="1"/>
  <c r="C10157" i="1"/>
  <c r="B10157" i="1"/>
  <c r="K10156" i="1"/>
  <c r="C10156" i="1"/>
  <c r="B10156" i="1"/>
  <c r="K10155" i="1"/>
  <c r="C10155" i="1"/>
  <c r="B10155" i="1"/>
  <c r="K10154" i="1"/>
  <c r="C10154" i="1"/>
  <c r="B10154" i="1"/>
  <c r="K10153" i="1"/>
  <c r="C10153" i="1"/>
  <c r="B10153" i="1"/>
  <c r="K10152" i="1"/>
  <c r="C10152" i="1"/>
  <c r="B10152" i="1"/>
  <c r="K10151" i="1"/>
  <c r="C10151" i="1"/>
  <c r="B10151" i="1"/>
  <c r="K10150" i="1"/>
  <c r="C10150" i="1"/>
  <c r="B10150" i="1"/>
  <c r="K10149" i="1"/>
  <c r="C10149" i="1"/>
  <c r="B10149" i="1"/>
  <c r="K10148" i="1"/>
  <c r="C10148" i="1"/>
  <c r="B10148" i="1"/>
  <c r="K10147" i="1"/>
  <c r="C10147" i="1"/>
  <c r="B10147" i="1"/>
  <c r="K10146" i="1"/>
  <c r="C10146" i="1"/>
  <c r="B10146" i="1"/>
  <c r="K10145" i="1"/>
  <c r="C10145" i="1"/>
  <c r="B10145" i="1"/>
  <c r="K10144" i="1"/>
  <c r="C10144" i="1"/>
  <c r="B10144" i="1"/>
  <c r="K10143" i="1"/>
  <c r="C10143" i="1"/>
  <c r="B10143" i="1"/>
  <c r="K10142" i="1"/>
  <c r="C10142" i="1"/>
  <c r="B10142" i="1"/>
  <c r="K10141" i="1"/>
  <c r="C10141" i="1"/>
  <c r="B10141" i="1"/>
  <c r="K10140" i="1"/>
  <c r="C10140" i="1"/>
  <c r="B10140" i="1"/>
  <c r="K10139" i="1"/>
  <c r="C10139" i="1"/>
  <c r="B10139" i="1"/>
  <c r="K10138" i="1"/>
  <c r="C10138" i="1"/>
  <c r="B10138" i="1"/>
  <c r="K10137" i="1"/>
  <c r="C10137" i="1"/>
  <c r="B10137" i="1"/>
  <c r="K10136" i="1"/>
  <c r="C10136" i="1"/>
  <c r="B10136" i="1"/>
  <c r="K10135" i="1"/>
  <c r="C10135" i="1"/>
  <c r="B10135" i="1"/>
  <c r="K10134" i="1"/>
  <c r="C10134" i="1"/>
  <c r="B10134" i="1"/>
  <c r="K10133" i="1"/>
  <c r="C10133" i="1"/>
  <c r="B10133" i="1"/>
  <c r="K10132" i="1"/>
  <c r="C10132" i="1"/>
  <c r="B10132" i="1"/>
  <c r="K10131" i="1"/>
  <c r="C10131" i="1"/>
  <c r="B10131" i="1"/>
  <c r="K10130" i="1"/>
  <c r="C10130" i="1"/>
  <c r="B10130" i="1"/>
  <c r="K10129" i="1"/>
  <c r="C10129" i="1"/>
  <c r="B10129" i="1"/>
  <c r="K10128" i="1"/>
  <c r="C10128" i="1"/>
  <c r="B10128" i="1"/>
  <c r="K10127" i="1"/>
  <c r="C10127" i="1"/>
  <c r="B10127" i="1"/>
  <c r="K10126" i="1"/>
  <c r="C10126" i="1"/>
  <c r="B10126" i="1"/>
  <c r="K10125" i="1"/>
  <c r="C10125" i="1"/>
  <c r="B10125" i="1"/>
  <c r="K10124" i="1"/>
  <c r="C10124" i="1"/>
  <c r="B10124" i="1"/>
  <c r="K10123" i="1"/>
  <c r="C10123" i="1"/>
  <c r="B10123" i="1"/>
  <c r="K10122" i="1"/>
  <c r="C10122" i="1"/>
  <c r="B10122" i="1"/>
  <c r="K10121" i="1"/>
  <c r="C10121" i="1"/>
  <c r="B10121" i="1"/>
  <c r="K10120" i="1"/>
  <c r="C10120" i="1"/>
  <c r="B10120" i="1"/>
  <c r="K10119" i="1"/>
  <c r="C10119" i="1"/>
  <c r="B10119" i="1"/>
  <c r="K10118" i="1"/>
  <c r="C10118" i="1"/>
  <c r="B10118" i="1"/>
  <c r="K10117" i="1"/>
  <c r="C10117" i="1"/>
  <c r="B10117" i="1"/>
  <c r="K10116" i="1"/>
  <c r="C10116" i="1"/>
  <c r="B10116" i="1"/>
  <c r="K10115" i="1"/>
  <c r="C10115" i="1"/>
  <c r="B10115" i="1"/>
  <c r="K10114" i="1"/>
  <c r="C10114" i="1"/>
  <c r="B10114" i="1"/>
  <c r="K10113" i="1"/>
  <c r="C10113" i="1"/>
  <c r="B10113" i="1"/>
  <c r="K10112" i="1"/>
  <c r="C10112" i="1"/>
  <c r="B10112" i="1"/>
  <c r="K10111" i="1"/>
  <c r="C10111" i="1"/>
  <c r="B10111" i="1"/>
  <c r="K10110" i="1"/>
  <c r="C10110" i="1"/>
  <c r="B10110" i="1"/>
  <c r="K10109" i="1"/>
  <c r="C10109" i="1"/>
  <c r="B10109" i="1"/>
  <c r="K10108" i="1"/>
  <c r="C10108" i="1"/>
  <c r="B10108" i="1"/>
  <c r="K10107" i="1"/>
  <c r="C10107" i="1"/>
  <c r="B10107" i="1"/>
  <c r="K10106" i="1"/>
  <c r="C10106" i="1"/>
  <c r="B10106" i="1"/>
  <c r="K10105" i="1"/>
  <c r="C10105" i="1"/>
  <c r="B10105" i="1"/>
  <c r="K10104" i="1"/>
  <c r="C10104" i="1"/>
  <c r="B10104" i="1"/>
  <c r="K10103" i="1"/>
  <c r="C10103" i="1"/>
  <c r="B10103" i="1"/>
  <c r="K10102" i="1"/>
  <c r="C10102" i="1"/>
  <c r="B10102" i="1"/>
  <c r="K10101" i="1"/>
  <c r="C10101" i="1"/>
  <c r="B10101" i="1"/>
  <c r="K10100" i="1"/>
  <c r="C10100" i="1"/>
  <c r="B10100" i="1"/>
  <c r="K10099" i="1"/>
  <c r="C10099" i="1"/>
  <c r="B10099" i="1"/>
  <c r="K10098" i="1"/>
  <c r="C10098" i="1"/>
  <c r="B10098" i="1"/>
  <c r="K10097" i="1"/>
  <c r="C10097" i="1"/>
  <c r="B10097" i="1"/>
  <c r="K10096" i="1"/>
  <c r="C10096" i="1"/>
  <c r="B10096" i="1"/>
  <c r="K10095" i="1"/>
  <c r="C10095" i="1"/>
  <c r="B10095" i="1"/>
  <c r="K10094" i="1"/>
  <c r="C10094" i="1"/>
  <c r="B10094" i="1"/>
  <c r="K10093" i="1"/>
  <c r="C10093" i="1"/>
  <c r="B10093" i="1"/>
  <c r="K10092" i="1"/>
  <c r="C10092" i="1"/>
  <c r="B10092" i="1"/>
  <c r="K10091" i="1"/>
  <c r="C10091" i="1"/>
  <c r="B10091" i="1"/>
  <c r="K10090" i="1"/>
  <c r="C10090" i="1"/>
  <c r="B10090" i="1"/>
  <c r="K10089" i="1"/>
  <c r="C10089" i="1"/>
  <c r="B10089" i="1"/>
  <c r="K10088" i="1"/>
  <c r="C10088" i="1"/>
  <c r="B10088" i="1"/>
  <c r="K10087" i="1"/>
  <c r="C10087" i="1"/>
  <c r="B10087" i="1"/>
  <c r="K10086" i="1"/>
  <c r="C10086" i="1"/>
  <c r="B10086" i="1"/>
  <c r="K10085" i="1"/>
  <c r="C10085" i="1"/>
  <c r="B10085" i="1"/>
  <c r="K10084" i="1"/>
  <c r="C10084" i="1"/>
  <c r="B10084" i="1"/>
  <c r="K10083" i="1"/>
  <c r="C10083" i="1"/>
  <c r="B10083" i="1"/>
  <c r="K10082" i="1"/>
  <c r="C10082" i="1"/>
  <c r="B10082" i="1"/>
  <c r="K10081" i="1"/>
  <c r="C10081" i="1"/>
  <c r="B10081" i="1"/>
  <c r="K10080" i="1"/>
  <c r="C10080" i="1"/>
  <c r="B10080" i="1"/>
  <c r="K10079" i="1"/>
  <c r="C10079" i="1"/>
  <c r="B10079" i="1"/>
  <c r="K10078" i="1"/>
  <c r="C10078" i="1"/>
  <c r="B10078" i="1"/>
  <c r="K10077" i="1"/>
  <c r="C10077" i="1"/>
  <c r="B10077" i="1"/>
  <c r="K10076" i="1"/>
  <c r="C10076" i="1"/>
  <c r="B10076" i="1"/>
  <c r="K10075" i="1"/>
  <c r="C10075" i="1"/>
  <c r="B10075" i="1"/>
  <c r="K10074" i="1"/>
  <c r="C10074" i="1"/>
  <c r="B10074" i="1"/>
  <c r="K10073" i="1"/>
  <c r="C10073" i="1"/>
  <c r="B10073" i="1"/>
  <c r="K10072" i="1"/>
  <c r="C10072" i="1"/>
  <c r="B10072" i="1"/>
  <c r="K10071" i="1"/>
  <c r="C10071" i="1"/>
  <c r="B10071" i="1"/>
  <c r="K10070" i="1"/>
  <c r="C10070" i="1"/>
  <c r="B10070" i="1"/>
  <c r="K10069" i="1"/>
  <c r="C10069" i="1"/>
  <c r="B10069" i="1"/>
  <c r="K10068" i="1"/>
  <c r="C10068" i="1"/>
  <c r="B10068" i="1"/>
  <c r="K10067" i="1"/>
  <c r="C10067" i="1"/>
  <c r="B10067" i="1"/>
  <c r="K10066" i="1"/>
  <c r="C10066" i="1"/>
  <c r="B10066" i="1"/>
  <c r="K10065" i="1"/>
  <c r="C10065" i="1"/>
  <c r="B10065" i="1"/>
  <c r="K10064" i="1"/>
  <c r="C10064" i="1"/>
  <c r="B10064" i="1"/>
  <c r="K10063" i="1"/>
  <c r="C10063" i="1"/>
  <c r="B10063" i="1"/>
  <c r="K10062" i="1"/>
  <c r="C10062" i="1"/>
  <c r="B10062" i="1"/>
  <c r="K10061" i="1"/>
  <c r="C10061" i="1"/>
  <c r="B10061" i="1"/>
  <c r="K10060" i="1"/>
  <c r="C10060" i="1"/>
  <c r="B10060" i="1"/>
  <c r="K10059" i="1"/>
  <c r="C10059" i="1"/>
  <c r="B10059" i="1"/>
  <c r="K10058" i="1"/>
  <c r="C10058" i="1"/>
  <c r="B10058" i="1"/>
  <c r="K10057" i="1"/>
  <c r="C10057" i="1"/>
  <c r="B10057" i="1"/>
  <c r="K10056" i="1"/>
  <c r="C10056" i="1"/>
  <c r="B10056" i="1"/>
  <c r="K10055" i="1"/>
  <c r="C10055" i="1"/>
  <c r="B10055" i="1"/>
  <c r="K10054" i="1"/>
  <c r="C10054" i="1"/>
  <c r="B10054" i="1"/>
  <c r="K10053" i="1"/>
  <c r="C10053" i="1"/>
  <c r="B10053" i="1"/>
  <c r="K10052" i="1"/>
  <c r="C10052" i="1"/>
  <c r="B10052" i="1"/>
  <c r="K10051" i="1"/>
  <c r="C10051" i="1"/>
  <c r="B10051" i="1"/>
  <c r="K10050" i="1"/>
  <c r="C10050" i="1"/>
  <c r="B10050" i="1"/>
  <c r="K10049" i="1"/>
  <c r="C10049" i="1"/>
  <c r="B10049" i="1"/>
  <c r="K10048" i="1"/>
  <c r="C10048" i="1"/>
  <c r="B10048" i="1"/>
  <c r="K10047" i="1"/>
  <c r="C10047" i="1"/>
  <c r="B10047" i="1"/>
  <c r="K10046" i="1"/>
  <c r="C10046" i="1"/>
  <c r="B10046" i="1"/>
  <c r="K10045" i="1"/>
  <c r="C10045" i="1"/>
  <c r="B10045" i="1"/>
  <c r="K10044" i="1"/>
  <c r="C10044" i="1"/>
  <c r="B10044" i="1"/>
  <c r="K10043" i="1"/>
  <c r="C10043" i="1"/>
  <c r="B10043" i="1"/>
  <c r="K10042" i="1"/>
  <c r="C10042" i="1"/>
  <c r="B10042" i="1"/>
  <c r="K10041" i="1"/>
  <c r="C10041" i="1"/>
  <c r="B10041" i="1"/>
  <c r="K10040" i="1"/>
  <c r="C10040" i="1"/>
  <c r="B10040" i="1"/>
  <c r="K10039" i="1"/>
  <c r="C10039" i="1"/>
  <c r="B10039" i="1"/>
  <c r="K10038" i="1"/>
  <c r="C10038" i="1"/>
  <c r="B10038" i="1"/>
  <c r="K10037" i="1"/>
  <c r="C10037" i="1"/>
  <c r="B10037" i="1"/>
  <c r="K10036" i="1"/>
  <c r="C10036" i="1"/>
  <c r="B10036" i="1"/>
  <c r="K10035" i="1"/>
  <c r="C10035" i="1"/>
  <c r="B10035" i="1"/>
  <c r="K10034" i="1"/>
  <c r="C10034" i="1"/>
  <c r="B10034" i="1"/>
  <c r="K10033" i="1"/>
  <c r="C10033" i="1"/>
  <c r="B10033" i="1"/>
  <c r="K10032" i="1"/>
  <c r="C10032" i="1"/>
  <c r="B10032" i="1"/>
  <c r="K10031" i="1"/>
  <c r="C10031" i="1"/>
  <c r="B10031" i="1"/>
  <c r="K10030" i="1"/>
  <c r="C10030" i="1"/>
  <c r="B10030" i="1"/>
  <c r="K10029" i="1"/>
  <c r="C10029" i="1"/>
  <c r="B10029" i="1"/>
  <c r="K10028" i="1"/>
  <c r="C10028" i="1"/>
  <c r="B10028" i="1"/>
  <c r="K10027" i="1"/>
  <c r="C10027" i="1"/>
  <c r="B10027" i="1"/>
  <c r="K10026" i="1"/>
  <c r="C10026" i="1"/>
  <c r="B10026" i="1"/>
  <c r="K10025" i="1"/>
  <c r="C10025" i="1"/>
  <c r="B10025" i="1"/>
  <c r="K10024" i="1"/>
  <c r="C10024" i="1"/>
  <c r="B10024" i="1"/>
  <c r="K10023" i="1"/>
  <c r="C10023" i="1"/>
  <c r="B10023" i="1"/>
  <c r="K10022" i="1"/>
  <c r="C10022" i="1"/>
  <c r="B10022" i="1"/>
  <c r="K10021" i="1"/>
  <c r="C10021" i="1"/>
  <c r="B10021" i="1"/>
  <c r="K10020" i="1"/>
  <c r="C10020" i="1"/>
  <c r="B10020" i="1"/>
  <c r="K10019" i="1"/>
  <c r="C10019" i="1"/>
  <c r="B10019" i="1"/>
  <c r="K10018" i="1"/>
  <c r="C10018" i="1"/>
  <c r="B10018" i="1"/>
  <c r="K10017" i="1"/>
  <c r="C10017" i="1"/>
  <c r="B10017" i="1"/>
  <c r="K10016" i="1"/>
  <c r="C10016" i="1"/>
  <c r="B10016" i="1"/>
  <c r="K10015" i="1"/>
  <c r="C10015" i="1"/>
  <c r="B10015" i="1"/>
  <c r="K10014" i="1"/>
  <c r="C10014" i="1"/>
  <c r="B10014" i="1"/>
  <c r="K10013" i="1"/>
  <c r="C10013" i="1"/>
  <c r="B10013" i="1"/>
  <c r="K10012" i="1"/>
  <c r="C10012" i="1"/>
  <c r="B10012" i="1"/>
  <c r="K10011" i="1"/>
  <c r="C10011" i="1"/>
  <c r="B10011" i="1"/>
  <c r="K10010" i="1"/>
  <c r="C10010" i="1"/>
  <c r="B10010" i="1"/>
  <c r="K10009" i="1"/>
  <c r="C10009" i="1"/>
  <c r="B10009" i="1"/>
  <c r="K10008" i="1"/>
  <c r="C10008" i="1"/>
  <c r="B10008" i="1"/>
  <c r="K10007" i="1"/>
  <c r="C10007" i="1"/>
  <c r="B10007" i="1"/>
  <c r="K10006" i="1"/>
  <c r="C10006" i="1"/>
  <c r="B10006" i="1"/>
  <c r="K10005" i="1"/>
  <c r="C10005" i="1"/>
  <c r="B10005" i="1"/>
  <c r="K10004" i="1"/>
  <c r="C10004" i="1"/>
  <c r="B10004" i="1"/>
  <c r="K10003" i="1"/>
  <c r="C10003" i="1"/>
  <c r="B10003" i="1"/>
  <c r="K10002" i="1"/>
  <c r="C10002" i="1"/>
  <c r="B10002" i="1"/>
  <c r="K10001" i="1"/>
  <c r="C10001" i="1"/>
  <c r="B10001" i="1"/>
  <c r="K10000" i="1"/>
  <c r="C10000" i="1"/>
  <c r="B10000" i="1"/>
  <c r="K9999" i="1"/>
  <c r="C9999" i="1"/>
  <c r="B9999" i="1"/>
  <c r="K9998" i="1"/>
  <c r="C9998" i="1"/>
  <c r="B9998" i="1"/>
  <c r="K9997" i="1"/>
  <c r="C9997" i="1"/>
  <c r="B9997" i="1"/>
  <c r="K9996" i="1"/>
  <c r="C9996" i="1"/>
  <c r="B9996" i="1"/>
  <c r="K9995" i="1"/>
  <c r="C9995" i="1"/>
  <c r="B9995" i="1"/>
  <c r="K9994" i="1"/>
  <c r="C9994" i="1"/>
  <c r="B9994" i="1"/>
  <c r="K9993" i="1"/>
  <c r="C9993" i="1"/>
  <c r="B9993" i="1"/>
  <c r="K9992" i="1"/>
  <c r="C9992" i="1"/>
  <c r="B9992" i="1"/>
  <c r="K9991" i="1"/>
  <c r="C9991" i="1"/>
  <c r="B9991" i="1"/>
  <c r="K9990" i="1"/>
  <c r="C9990" i="1"/>
  <c r="B9990" i="1"/>
  <c r="K9989" i="1"/>
  <c r="C9989" i="1"/>
  <c r="B9989" i="1"/>
  <c r="K9988" i="1"/>
  <c r="C9988" i="1"/>
  <c r="B9988" i="1"/>
  <c r="K9987" i="1"/>
  <c r="C9987" i="1"/>
  <c r="B9987" i="1"/>
  <c r="K9986" i="1"/>
  <c r="C9986" i="1"/>
  <c r="B9986" i="1"/>
  <c r="K9985" i="1"/>
  <c r="C9985" i="1"/>
  <c r="B9985" i="1"/>
  <c r="K9984" i="1"/>
  <c r="C9984" i="1"/>
  <c r="B9984" i="1"/>
  <c r="K9983" i="1"/>
  <c r="C9983" i="1"/>
  <c r="B9983" i="1"/>
  <c r="K9982" i="1"/>
  <c r="C9982" i="1"/>
  <c r="B9982" i="1"/>
  <c r="K9981" i="1"/>
  <c r="C9981" i="1"/>
  <c r="B9981" i="1"/>
  <c r="K9980" i="1"/>
  <c r="C9980" i="1"/>
  <c r="B9980" i="1"/>
  <c r="K9979" i="1"/>
  <c r="C9979" i="1"/>
  <c r="B9979" i="1"/>
  <c r="K9978" i="1"/>
  <c r="C9978" i="1"/>
  <c r="B9978" i="1"/>
  <c r="K9977" i="1"/>
  <c r="C9977" i="1"/>
  <c r="B9977" i="1"/>
  <c r="K9976" i="1"/>
  <c r="C9976" i="1"/>
  <c r="B9976" i="1"/>
  <c r="K9975" i="1"/>
  <c r="C9975" i="1"/>
  <c r="B9975" i="1"/>
  <c r="K9974" i="1"/>
  <c r="C9974" i="1"/>
  <c r="B9974" i="1"/>
  <c r="K9973" i="1"/>
  <c r="C9973" i="1"/>
  <c r="B9973" i="1"/>
  <c r="K9972" i="1"/>
  <c r="C9972" i="1"/>
  <c r="B9972" i="1"/>
  <c r="K9971" i="1"/>
  <c r="C9971" i="1"/>
  <c r="B9971" i="1"/>
  <c r="K9970" i="1"/>
  <c r="C9970" i="1"/>
  <c r="B9970" i="1"/>
  <c r="K9969" i="1"/>
  <c r="C9969" i="1"/>
  <c r="B9969" i="1"/>
  <c r="K9968" i="1"/>
  <c r="C9968" i="1"/>
  <c r="B9968" i="1"/>
  <c r="K9967" i="1"/>
  <c r="C9967" i="1"/>
  <c r="B9967" i="1"/>
  <c r="K9966" i="1"/>
  <c r="C9966" i="1"/>
  <c r="B9966" i="1"/>
  <c r="K9965" i="1"/>
  <c r="C9965" i="1"/>
  <c r="B9965" i="1"/>
  <c r="K9964" i="1"/>
  <c r="C9964" i="1"/>
  <c r="B9964" i="1"/>
  <c r="K9963" i="1"/>
  <c r="C9963" i="1"/>
  <c r="B9963" i="1"/>
  <c r="K9962" i="1"/>
  <c r="C9962" i="1"/>
  <c r="B9962" i="1"/>
  <c r="K9961" i="1"/>
  <c r="C9961" i="1"/>
  <c r="B9961" i="1"/>
  <c r="K9960" i="1"/>
  <c r="C9960" i="1"/>
  <c r="B9960" i="1"/>
  <c r="K9959" i="1"/>
  <c r="C9959" i="1"/>
  <c r="B9959" i="1"/>
  <c r="K9958" i="1"/>
  <c r="C9958" i="1"/>
  <c r="B9958" i="1"/>
  <c r="K9957" i="1"/>
  <c r="C9957" i="1"/>
  <c r="B9957" i="1"/>
  <c r="K9956" i="1"/>
  <c r="C9956" i="1"/>
  <c r="B9956" i="1"/>
  <c r="K9955" i="1"/>
  <c r="C9955" i="1"/>
  <c r="B9955" i="1"/>
  <c r="K9954" i="1"/>
  <c r="C9954" i="1"/>
  <c r="B9954" i="1"/>
  <c r="K9953" i="1"/>
  <c r="C9953" i="1"/>
  <c r="B9953" i="1"/>
  <c r="K9952" i="1"/>
  <c r="C9952" i="1"/>
  <c r="B9952" i="1"/>
  <c r="K9951" i="1"/>
  <c r="C9951" i="1"/>
  <c r="B9951" i="1"/>
  <c r="K9950" i="1"/>
  <c r="C9950" i="1"/>
  <c r="B9950" i="1"/>
  <c r="K9949" i="1"/>
  <c r="C9949" i="1"/>
  <c r="B9949" i="1"/>
  <c r="K9948" i="1"/>
  <c r="C9948" i="1"/>
  <c r="B9948" i="1"/>
  <c r="K9947" i="1"/>
  <c r="C9947" i="1"/>
  <c r="B9947" i="1"/>
  <c r="K9946" i="1"/>
  <c r="C9946" i="1"/>
  <c r="B9946" i="1"/>
  <c r="K9945" i="1"/>
  <c r="C9945" i="1"/>
  <c r="B9945" i="1"/>
  <c r="K9944" i="1"/>
  <c r="C9944" i="1"/>
  <c r="B9944" i="1"/>
  <c r="K9943" i="1"/>
  <c r="C9943" i="1"/>
  <c r="B9943" i="1"/>
  <c r="K9942" i="1"/>
  <c r="C9942" i="1"/>
  <c r="B9942" i="1"/>
  <c r="K9941" i="1"/>
  <c r="C9941" i="1"/>
  <c r="B9941" i="1"/>
  <c r="K9940" i="1"/>
  <c r="C9940" i="1"/>
  <c r="B9940" i="1"/>
  <c r="K9939" i="1"/>
  <c r="C9939" i="1"/>
  <c r="B9939" i="1"/>
  <c r="K9938" i="1"/>
  <c r="C9938" i="1"/>
  <c r="B9938" i="1"/>
  <c r="K9937" i="1"/>
  <c r="C9937" i="1"/>
  <c r="B9937" i="1"/>
  <c r="K9936" i="1"/>
  <c r="C9936" i="1"/>
  <c r="B9936" i="1"/>
  <c r="K9935" i="1"/>
  <c r="C9935" i="1"/>
  <c r="B9935" i="1"/>
  <c r="K9934" i="1"/>
  <c r="C9934" i="1"/>
  <c r="B9934" i="1"/>
  <c r="K9933" i="1"/>
  <c r="C9933" i="1"/>
  <c r="B9933" i="1"/>
  <c r="K9932" i="1"/>
  <c r="C9932" i="1"/>
  <c r="B9932" i="1"/>
  <c r="K9931" i="1"/>
  <c r="C9931" i="1"/>
  <c r="B9931" i="1"/>
  <c r="K9930" i="1"/>
  <c r="C9930" i="1"/>
  <c r="B9930" i="1"/>
  <c r="K9929" i="1"/>
  <c r="C9929" i="1"/>
  <c r="B9929" i="1"/>
  <c r="K9928" i="1"/>
  <c r="C9928" i="1"/>
  <c r="B9928" i="1"/>
  <c r="K9927" i="1"/>
  <c r="C9927" i="1"/>
  <c r="B9927" i="1"/>
  <c r="K9926" i="1"/>
  <c r="C9926" i="1"/>
  <c r="B9926" i="1"/>
  <c r="K9925" i="1"/>
  <c r="C9925" i="1"/>
  <c r="B9925" i="1"/>
  <c r="K9924" i="1"/>
  <c r="C9924" i="1"/>
  <c r="B9924" i="1"/>
  <c r="K9923" i="1"/>
  <c r="C9923" i="1"/>
  <c r="B9923" i="1"/>
  <c r="K9922" i="1"/>
  <c r="C9922" i="1"/>
  <c r="B9922" i="1"/>
  <c r="K9921" i="1"/>
  <c r="C9921" i="1"/>
  <c r="B9921" i="1"/>
  <c r="K9920" i="1"/>
  <c r="C9920" i="1"/>
  <c r="B9920" i="1"/>
  <c r="K9919" i="1"/>
  <c r="C9919" i="1"/>
  <c r="B9919" i="1"/>
  <c r="K9918" i="1"/>
  <c r="C9918" i="1"/>
  <c r="B9918" i="1"/>
  <c r="K9917" i="1"/>
  <c r="C9917" i="1"/>
  <c r="B9917" i="1"/>
  <c r="K9916" i="1"/>
  <c r="C9916" i="1"/>
  <c r="B9916" i="1"/>
  <c r="K9915" i="1"/>
  <c r="C9915" i="1"/>
  <c r="B9915" i="1"/>
  <c r="K9914" i="1"/>
  <c r="C9914" i="1"/>
  <c r="B9914" i="1"/>
  <c r="K9913" i="1"/>
  <c r="C9913" i="1"/>
  <c r="B9913" i="1"/>
  <c r="K9912" i="1"/>
  <c r="C9912" i="1"/>
  <c r="B9912" i="1"/>
  <c r="K9911" i="1"/>
  <c r="C9911" i="1"/>
  <c r="B9911" i="1"/>
  <c r="K9910" i="1"/>
  <c r="C9910" i="1"/>
  <c r="B9910" i="1"/>
  <c r="K9909" i="1"/>
  <c r="C9909" i="1"/>
  <c r="B9909" i="1"/>
  <c r="K9908" i="1"/>
  <c r="C9908" i="1"/>
  <c r="B9908" i="1"/>
  <c r="K9907" i="1"/>
  <c r="C9907" i="1"/>
  <c r="B9907" i="1"/>
  <c r="K9906" i="1"/>
  <c r="C9906" i="1"/>
  <c r="B9906" i="1"/>
  <c r="K9905" i="1"/>
  <c r="C9905" i="1"/>
  <c r="B9905" i="1"/>
  <c r="K9904" i="1"/>
  <c r="C9904" i="1"/>
  <c r="B9904" i="1"/>
  <c r="K9903" i="1"/>
  <c r="C9903" i="1"/>
  <c r="B9903" i="1"/>
  <c r="K9902" i="1"/>
  <c r="C9902" i="1"/>
  <c r="B9902" i="1"/>
  <c r="K9901" i="1"/>
  <c r="C9901" i="1"/>
  <c r="B9901" i="1"/>
  <c r="K9900" i="1"/>
  <c r="C9900" i="1"/>
  <c r="B9900" i="1"/>
  <c r="K9899" i="1"/>
  <c r="C9899" i="1"/>
  <c r="B9899" i="1"/>
  <c r="K9898" i="1"/>
  <c r="C9898" i="1"/>
  <c r="B9898" i="1"/>
  <c r="K9897" i="1"/>
  <c r="C9897" i="1"/>
  <c r="B9897" i="1"/>
  <c r="K9896" i="1"/>
  <c r="C9896" i="1"/>
  <c r="B9896" i="1"/>
  <c r="K9895" i="1"/>
  <c r="C9895" i="1"/>
  <c r="B9895" i="1"/>
  <c r="K9894" i="1"/>
  <c r="C9894" i="1"/>
  <c r="B9894" i="1"/>
  <c r="K9893" i="1"/>
  <c r="C9893" i="1"/>
  <c r="B9893" i="1"/>
  <c r="K9892" i="1"/>
  <c r="C9892" i="1"/>
  <c r="B9892" i="1"/>
  <c r="K9891" i="1"/>
  <c r="C9891" i="1"/>
  <c r="B9891" i="1"/>
  <c r="K9890" i="1"/>
  <c r="C9890" i="1"/>
  <c r="B9890" i="1"/>
  <c r="K9889" i="1"/>
  <c r="C9889" i="1"/>
  <c r="B9889" i="1"/>
  <c r="K9888" i="1"/>
  <c r="C9888" i="1"/>
  <c r="B9888" i="1"/>
  <c r="K9887" i="1"/>
  <c r="C9887" i="1"/>
  <c r="B9887" i="1"/>
  <c r="K9886" i="1"/>
  <c r="C9886" i="1"/>
  <c r="B9886" i="1"/>
  <c r="K9885" i="1"/>
  <c r="C9885" i="1"/>
  <c r="B9885" i="1"/>
  <c r="K9884" i="1"/>
  <c r="C9884" i="1"/>
  <c r="B9884" i="1"/>
  <c r="K9883" i="1"/>
  <c r="C9883" i="1"/>
  <c r="B9883" i="1"/>
  <c r="K9882" i="1"/>
  <c r="C9882" i="1"/>
  <c r="B9882" i="1"/>
  <c r="K9881" i="1"/>
  <c r="C9881" i="1"/>
  <c r="B9881" i="1"/>
  <c r="K9880" i="1"/>
  <c r="C9880" i="1"/>
  <c r="B9880" i="1"/>
  <c r="K9879" i="1"/>
  <c r="C9879" i="1"/>
  <c r="B9879" i="1"/>
  <c r="K9878" i="1"/>
  <c r="C9878" i="1"/>
  <c r="B9878" i="1"/>
  <c r="K9877" i="1"/>
  <c r="C9877" i="1"/>
  <c r="B9877" i="1"/>
  <c r="K9876" i="1"/>
  <c r="C9876" i="1"/>
  <c r="B9876" i="1"/>
  <c r="K9875" i="1"/>
  <c r="C9875" i="1"/>
  <c r="B9875" i="1"/>
  <c r="K9874" i="1"/>
  <c r="C9874" i="1"/>
  <c r="B9874" i="1"/>
  <c r="K9873" i="1"/>
  <c r="C9873" i="1"/>
  <c r="B9873" i="1"/>
  <c r="K9872" i="1"/>
  <c r="C9872" i="1"/>
  <c r="B9872" i="1"/>
  <c r="K9871" i="1"/>
  <c r="C9871" i="1"/>
  <c r="B9871" i="1"/>
  <c r="K9870" i="1"/>
  <c r="C9870" i="1"/>
  <c r="B9870" i="1"/>
  <c r="K9869" i="1"/>
  <c r="C9869" i="1"/>
  <c r="B9869" i="1"/>
  <c r="K9868" i="1"/>
  <c r="C9868" i="1"/>
  <c r="B9868" i="1"/>
  <c r="K9867" i="1"/>
  <c r="C9867" i="1"/>
  <c r="B9867" i="1"/>
  <c r="K9866" i="1"/>
  <c r="C9866" i="1"/>
  <c r="B9866" i="1"/>
  <c r="K9865" i="1"/>
  <c r="C9865" i="1"/>
  <c r="B9865" i="1"/>
  <c r="K9864" i="1"/>
  <c r="C9864" i="1"/>
  <c r="B9864" i="1"/>
  <c r="K9863" i="1"/>
  <c r="C9863" i="1"/>
  <c r="B9863" i="1"/>
  <c r="K9862" i="1"/>
  <c r="C9862" i="1"/>
  <c r="B9862" i="1"/>
  <c r="K9861" i="1"/>
  <c r="C9861" i="1"/>
  <c r="B9861" i="1"/>
  <c r="K9860" i="1"/>
  <c r="C9860" i="1"/>
  <c r="B9860" i="1"/>
  <c r="K9859" i="1"/>
  <c r="C9859" i="1"/>
  <c r="B9859" i="1"/>
  <c r="K9858" i="1"/>
  <c r="C9858" i="1"/>
  <c r="B9858" i="1"/>
  <c r="K9857" i="1"/>
  <c r="C9857" i="1"/>
  <c r="B9857" i="1"/>
  <c r="K9856" i="1"/>
  <c r="C9856" i="1"/>
  <c r="B9856" i="1"/>
  <c r="K9855" i="1"/>
  <c r="C9855" i="1"/>
  <c r="B9855" i="1"/>
  <c r="K9854" i="1"/>
  <c r="C9854" i="1"/>
  <c r="B9854" i="1"/>
  <c r="K9853" i="1"/>
  <c r="C9853" i="1"/>
  <c r="B9853" i="1"/>
  <c r="K9852" i="1"/>
  <c r="C9852" i="1"/>
  <c r="B9852" i="1"/>
  <c r="K9851" i="1"/>
  <c r="C9851" i="1"/>
  <c r="B9851" i="1"/>
  <c r="K9850" i="1"/>
  <c r="C9850" i="1"/>
  <c r="B9850" i="1"/>
  <c r="K9849" i="1"/>
  <c r="C9849" i="1"/>
  <c r="B9849" i="1"/>
  <c r="K9848" i="1"/>
  <c r="C9848" i="1"/>
  <c r="B9848" i="1"/>
  <c r="K9847" i="1"/>
  <c r="C9847" i="1"/>
  <c r="B9847" i="1"/>
  <c r="K9846" i="1"/>
  <c r="C9846" i="1"/>
  <c r="B9846" i="1"/>
  <c r="K9845" i="1"/>
  <c r="C9845" i="1"/>
  <c r="B9845" i="1"/>
  <c r="K9844" i="1"/>
  <c r="C9844" i="1"/>
  <c r="B9844" i="1"/>
  <c r="K9843" i="1"/>
  <c r="C9843" i="1"/>
  <c r="B9843" i="1"/>
  <c r="K9842" i="1"/>
  <c r="C9842" i="1"/>
  <c r="B9842" i="1"/>
  <c r="K9841" i="1"/>
  <c r="C9841" i="1"/>
  <c r="B9841" i="1"/>
  <c r="K9840" i="1"/>
  <c r="C9840" i="1"/>
  <c r="B9840" i="1"/>
  <c r="K9839" i="1"/>
  <c r="C9839" i="1"/>
  <c r="B9839" i="1"/>
  <c r="K9838" i="1"/>
  <c r="C9838" i="1"/>
  <c r="B9838" i="1"/>
  <c r="K9837" i="1"/>
  <c r="C9837" i="1"/>
  <c r="B9837" i="1"/>
  <c r="K9836" i="1"/>
  <c r="C9836" i="1"/>
  <c r="B9836" i="1"/>
  <c r="K9835" i="1"/>
  <c r="C9835" i="1"/>
  <c r="B9835" i="1"/>
  <c r="K9834" i="1"/>
  <c r="C9834" i="1"/>
  <c r="B9834" i="1"/>
  <c r="K9833" i="1"/>
  <c r="C9833" i="1"/>
  <c r="B9833" i="1"/>
  <c r="K9832" i="1"/>
  <c r="C9832" i="1"/>
  <c r="B9832" i="1"/>
  <c r="K9831" i="1"/>
  <c r="C9831" i="1"/>
  <c r="B9831" i="1"/>
  <c r="K9830" i="1"/>
  <c r="C9830" i="1"/>
  <c r="B9830" i="1"/>
  <c r="K9829" i="1"/>
  <c r="C9829" i="1"/>
  <c r="B9829" i="1"/>
  <c r="K9828" i="1"/>
  <c r="C9828" i="1"/>
  <c r="B9828" i="1"/>
  <c r="K9827" i="1"/>
  <c r="C9827" i="1"/>
  <c r="B9827" i="1"/>
  <c r="K9826" i="1"/>
  <c r="C9826" i="1"/>
  <c r="B9826" i="1"/>
  <c r="K9825" i="1"/>
  <c r="C9825" i="1"/>
  <c r="B9825" i="1"/>
  <c r="K9824" i="1"/>
  <c r="C9824" i="1"/>
  <c r="B9824" i="1"/>
  <c r="K9823" i="1"/>
  <c r="C9823" i="1"/>
  <c r="B9823" i="1"/>
  <c r="K9822" i="1"/>
  <c r="C9822" i="1"/>
  <c r="B9822" i="1"/>
  <c r="K9821" i="1"/>
  <c r="C9821" i="1"/>
  <c r="B9821" i="1"/>
  <c r="K9820" i="1"/>
  <c r="C9820" i="1"/>
  <c r="B9820" i="1"/>
  <c r="K9819" i="1"/>
  <c r="C9819" i="1"/>
  <c r="B9819" i="1"/>
  <c r="K9818" i="1"/>
  <c r="C9818" i="1"/>
  <c r="B9818" i="1"/>
  <c r="K9817" i="1"/>
  <c r="C9817" i="1"/>
  <c r="B9817" i="1"/>
  <c r="K9816" i="1"/>
  <c r="C9816" i="1"/>
  <c r="B9816" i="1"/>
  <c r="K9815" i="1"/>
  <c r="C9815" i="1"/>
  <c r="B9815" i="1"/>
  <c r="K9814" i="1"/>
  <c r="C9814" i="1"/>
  <c r="B9814" i="1"/>
  <c r="K9813" i="1"/>
  <c r="C9813" i="1"/>
  <c r="B9813" i="1"/>
  <c r="K9812" i="1"/>
  <c r="C9812" i="1"/>
  <c r="B9812" i="1"/>
  <c r="K9811" i="1"/>
  <c r="C9811" i="1"/>
  <c r="B9811" i="1"/>
  <c r="K9810" i="1"/>
  <c r="C9810" i="1"/>
  <c r="B9810" i="1"/>
  <c r="K9809" i="1"/>
  <c r="C9809" i="1"/>
  <c r="B9809" i="1"/>
  <c r="K9808" i="1"/>
  <c r="C9808" i="1"/>
  <c r="B9808" i="1"/>
  <c r="K9807" i="1"/>
  <c r="C9807" i="1"/>
  <c r="B9807" i="1"/>
  <c r="K9806" i="1"/>
  <c r="C9806" i="1"/>
  <c r="B9806" i="1"/>
  <c r="K9805" i="1"/>
  <c r="C9805" i="1"/>
  <c r="B9805" i="1"/>
  <c r="K9804" i="1"/>
  <c r="C9804" i="1"/>
  <c r="B9804" i="1"/>
  <c r="K9803" i="1"/>
  <c r="C9803" i="1"/>
  <c r="B9803" i="1"/>
  <c r="K9802" i="1"/>
  <c r="C9802" i="1"/>
  <c r="B9802" i="1"/>
  <c r="K9801" i="1"/>
  <c r="C9801" i="1"/>
  <c r="B9801" i="1"/>
  <c r="K9800" i="1"/>
  <c r="C9800" i="1"/>
  <c r="B9800" i="1"/>
  <c r="K9799" i="1"/>
  <c r="C9799" i="1"/>
  <c r="B9799" i="1"/>
  <c r="K9798" i="1"/>
  <c r="C9798" i="1"/>
  <c r="B9798" i="1"/>
  <c r="K9797" i="1"/>
  <c r="C9797" i="1"/>
  <c r="B9797" i="1"/>
  <c r="K9796" i="1"/>
  <c r="C9796" i="1"/>
  <c r="B9796" i="1"/>
  <c r="K9795" i="1"/>
  <c r="C9795" i="1"/>
  <c r="B9795" i="1"/>
  <c r="K9794" i="1"/>
  <c r="C9794" i="1"/>
  <c r="B9794" i="1"/>
  <c r="K9793" i="1"/>
  <c r="C9793" i="1"/>
  <c r="B9793" i="1"/>
  <c r="K9792" i="1"/>
  <c r="C9792" i="1"/>
  <c r="B9792" i="1"/>
  <c r="K9791" i="1"/>
  <c r="C9791" i="1"/>
  <c r="B9791" i="1"/>
  <c r="K9790" i="1"/>
  <c r="C9790" i="1"/>
  <c r="B9790" i="1"/>
  <c r="K9789" i="1"/>
  <c r="C9789" i="1"/>
  <c r="B9789" i="1"/>
  <c r="K9788" i="1"/>
  <c r="C9788" i="1"/>
  <c r="B9788" i="1"/>
  <c r="K9787" i="1"/>
  <c r="C9787" i="1"/>
  <c r="B9787" i="1"/>
  <c r="K9786" i="1"/>
  <c r="C9786" i="1"/>
  <c r="B9786" i="1"/>
  <c r="K9785" i="1"/>
  <c r="C9785" i="1"/>
  <c r="B9785" i="1"/>
  <c r="K9784" i="1"/>
  <c r="C9784" i="1"/>
  <c r="B9784" i="1"/>
  <c r="K9783" i="1"/>
  <c r="C9783" i="1"/>
  <c r="B9783" i="1"/>
  <c r="K9782" i="1"/>
  <c r="C9782" i="1"/>
  <c r="B9782" i="1"/>
  <c r="K9781" i="1"/>
  <c r="C9781" i="1"/>
  <c r="B9781" i="1"/>
  <c r="K9780" i="1"/>
  <c r="C9780" i="1"/>
  <c r="B9780" i="1"/>
  <c r="K9779" i="1"/>
  <c r="C9779" i="1"/>
  <c r="B9779" i="1"/>
  <c r="K9778" i="1"/>
  <c r="C9778" i="1"/>
  <c r="B9778" i="1"/>
  <c r="K9777" i="1"/>
  <c r="C9777" i="1"/>
  <c r="B9777" i="1"/>
  <c r="K9776" i="1"/>
  <c r="C9776" i="1"/>
  <c r="B9776" i="1"/>
  <c r="K9775" i="1"/>
  <c r="C9775" i="1"/>
  <c r="B9775" i="1"/>
  <c r="K9774" i="1"/>
  <c r="C9774" i="1"/>
  <c r="B9774" i="1"/>
  <c r="K9773" i="1"/>
  <c r="C9773" i="1"/>
  <c r="B9773" i="1"/>
  <c r="K9772" i="1"/>
  <c r="C9772" i="1"/>
  <c r="B9772" i="1"/>
  <c r="K9771" i="1"/>
  <c r="C9771" i="1"/>
  <c r="B9771" i="1"/>
  <c r="K9770" i="1"/>
  <c r="C9770" i="1"/>
  <c r="B9770" i="1"/>
  <c r="K9769" i="1"/>
  <c r="C9769" i="1"/>
  <c r="B9769" i="1"/>
  <c r="K9768" i="1"/>
  <c r="C9768" i="1"/>
  <c r="B9768" i="1"/>
  <c r="K9767" i="1"/>
  <c r="C9767" i="1"/>
  <c r="B9767" i="1"/>
  <c r="K9766" i="1"/>
  <c r="C9766" i="1"/>
  <c r="B9766" i="1"/>
  <c r="K9765" i="1"/>
  <c r="C9765" i="1"/>
  <c r="B9765" i="1"/>
  <c r="K9764" i="1"/>
  <c r="C9764" i="1"/>
  <c r="B9764" i="1"/>
  <c r="K9763" i="1"/>
  <c r="C9763" i="1"/>
  <c r="B9763" i="1"/>
  <c r="K9762" i="1"/>
  <c r="C9762" i="1"/>
  <c r="B9762" i="1"/>
  <c r="K9761" i="1"/>
  <c r="C9761" i="1"/>
  <c r="B9761" i="1"/>
  <c r="K9760" i="1"/>
  <c r="C9760" i="1"/>
  <c r="B9760" i="1"/>
  <c r="K9759" i="1"/>
  <c r="C9759" i="1"/>
  <c r="B9759" i="1"/>
  <c r="K9758" i="1"/>
  <c r="C9758" i="1"/>
  <c r="B9758" i="1"/>
  <c r="K9757" i="1"/>
  <c r="C9757" i="1"/>
  <c r="B9757" i="1"/>
  <c r="K9756" i="1"/>
  <c r="C9756" i="1"/>
  <c r="B9756" i="1"/>
  <c r="K9755" i="1"/>
  <c r="C9755" i="1"/>
  <c r="B9755" i="1"/>
  <c r="K9754" i="1"/>
  <c r="C9754" i="1"/>
  <c r="B9754" i="1"/>
  <c r="K9753" i="1"/>
  <c r="C9753" i="1"/>
  <c r="B9753" i="1"/>
  <c r="K9752" i="1"/>
  <c r="C9752" i="1"/>
  <c r="B9752" i="1"/>
  <c r="K9751" i="1"/>
  <c r="C9751" i="1"/>
  <c r="B9751" i="1"/>
  <c r="K9750" i="1"/>
  <c r="C9750" i="1"/>
  <c r="B9750" i="1"/>
  <c r="K9749" i="1"/>
  <c r="C9749" i="1"/>
  <c r="B9749" i="1"/>
  <c r="K9748" i="1"/>
  <c r="C9748" i="1"/>
  <c r="B9748" i="1"/>
  <c r="K9747" i="1"/>
  <c r="C9747" i="1"/>
  <c r="B9747" i="1"/>
  <c r="K9746" i="1"/>
  <c r="C9746" i="1"/>
  <c r="B9746" i="1"/>
  <c r="K9745" i="1"/>
  <c r="C9745" i="1"/>
  <c r="B9745" i="1"/>
  <c r="K9744" i="1"/>
  <c r="C9744" i="1"/>
  <c r="B9744" i="1"/>
  <c r="K9743" i="1"/>
  <c r="C9743" i="1"/>
  <c r="B9743" i="1"/>
  <c r="K9742" i="1"/>
  <c r="C9742" i="1"/>
  <c r="B9742" i="1"/>
  <c r="K9741" i="1"/>
  <c r="C9741" i="1"/>
  <c r="B9741" i="1"/>
  <c r="K9740" i="1"/>
  <c r="C9740" i="1"/>
  <c r="B9740" i="1"/>
  <c r="K9739" i="1"/>
  <c r="C9739" i="1"/>
  <c r="B9739" i="1"/>
  <c r="K9738" i="1"/>
  <c r="C9738" i="1"/>
  <c r="B9738" i="1"/>
  <c r="K9737" i="1"/>
  <c r="C9737" i="1"/>
  <c r="B9737" i="1"/>
  <c r="K9736" i="1"/>
  <c r="C9736" i="1"/>
  <c r="B9736" i="1"/>
  <c r="K9735" i="1"/>
  <c r="C9735" i="1"/>
  <c r="B9735" i="1"/>
  <c r="K9734" i="1"/>
  <c r="C9734" i="1"/>
  <c r="B9734" i="1"/>
  <c r="K9733" i="1"/>
  <c r="C9733" i="1"/>
  <c r="B9733" i="1"/>
  <c r="K9732" i="1"/>
  <c r="C9732" i="1"/>
  <c r="B9732" i="1"/>
  <c r="K9731" i="1"/>
  <c r="C9731" i="1"/>
  <c r="B9731" i="1"/>
  <c r="K9730" i="1"/>
  <c r="C9730" i="1"/>
  <c r="B9730" i="1"/>
  <c r="K9729" i="1"/>
  <c r="C9729" i="1"/>
  <c r="B9729" i="1"/>
  <c r="K9728" i="1"/>
  <c r="C9728" i="1"/>
  <c r="B9728" i="1"/>
  <c r="K9727" i="1"/>
  <c r="C9727" i="1"/>
  <c r="B9727" i="1"/>
  <c r="K9726" i="1"/>
  <c r="C9726" i="1"/>
  <c r="B9726" i="1"/>
  <c r="K9725" i="1"/>
  <c r="C9725" i="1"/>
  <c r="B9725" i="1"/>
  <c r="K9724" i="1"/>
  <c r="C9724" i="1"/>
  <c r="B9724" i="1"/>
  <c r="K9723" i="1"/>
  <c r="C9723" i="1"/>
  <c r="B9723" i="1"/>
  <c r="K9722" i="1"/>
  <c r="C9722" i="1"/>
  <c r="B9722" i="1"/>
  <c r="K9721" i="1"/>
  <c r="C9721" i="1"/>
  <c r="B9721" i="1"/>
  <c r="K9720" i="1"/>
  <c r="C9720" i="1"/>
  <c r="B9720" i="1"/>
  <c r="K9719" i="1"/>
  <c r="C9719" i="1"/>
  <c r="B9719" i="1"/>
  <c r="K9718" i="1"/>
  <c r="C9718" i="1"/>
  <c r="B9718" i="1"/>
  <c r="K9717" i="1"/>
  <c r="C9717" i="1"/>
  <c r="B9717" i="1"/>
  <c r="K9716" i="1"/>
  <c r="C9716" i="1"/>
  <c r="B9716" i="1"/>
  <c r="K9715" i="1"/>
  <c r="C9715" i="1"/>
  <c r="B9715" i="1"/>
  <c r="K9714" i="1"/>
  <c r="C9714" i="1"/>
  <c r="B9714" i="1"/>
  <c r="K9713" i="1"/>
  <c r="C9713" i="1"/>
  <c r="B9713" i="1"/>
  <c r="K9712" i="1"/>
  <c r="C9712" i="1"/>
  <c r="B9712" i="1"/>
  <c r="K9711" i="1"/>
  <c r="C9711" i="1"/>
  <c r="B9711" i="1"/>
  <c r="K9710" i="1"/>
  <c r="C9710" i="1"/>
  <c r="B9710" i="1"/>
  <c r="K9709" i="1"/>
  <c r="C9709" i="1"/>
  <c r="B9709" i="1"/>
  <c r="K9708" i="1"/>
  <c r="C9708" i="1"/>
  <c r="B9708" i="1"/>
  <c r="K9707" i="1"/>
  <c r="C9707" i="1"/>
  <c r="B9707" i="1"/>
  <c r="K9706" i="1"/>
  <c r="C9706" i="1"/>
  <c r="B9706" i="1"/>
  <c r="K9705" i="1"/>
  <c r="C9705" i="1"/>
  <c r="B9705" i="1"/>
  <c r="K9704" i="1"/>
  <c r="C9704" i="1"/>
  <c r="B9704" i="1"/>
  <c r="K9703" i="1"/>
  <c r="C9703" i="1"/>
  <c r="B9703" i="1"/>
  <c r="K9702" i="1"/>
  <c r="C9702" i="1"/>
  <c r="B9702" i="1"/>
  <c r="K9701" i="1"/>
  <c r="C9701" i="1"/>
  <c r="B9701" i="1"/>
  <c r="K9700" i="1"/>
  <c r="C9700" i="1"/>
  <c r="B9700" i="1"/>
  <c r="K9699" i="1"/>
  <c r="C9699" i="1"/>
  <c r="B9699" i="1"/>
  <c r="K9698" i="1"/>
  <c r="C9698" i="1"/>
  <c r="B9698" i="1"/>
  <c r="K9697" i="1"/>
  <c r="C9697" i="1"/>
  <c r="B9697" i="1"/>
  <c r="K9696" i="1"/>
  <c r="C9696" i="1"/>
  <c r="B9696" i="1"/>
  <c r="K9695" i="1"/>
  <c r="C9695" i="1"/>
  <c r="B9695" i="1"/>
  <c r="K9694" i="1"/>
  <c r="C9694" i="1"/>
  <c r="B9694" i="1"/>
  <c r="K9693" i="1"/>
  <c r="C9693" i="1"/>
  <c r="B9693" i="1"/>
  <c r="K9692" i="1"/>
  <c r="C9692" i="1"/>
  <c r="B9692" i="1"/>
  <c r="K9691" i="1"/>
  <c r="C9691" i="1"/>
  <c r="B9691" i="1"/>
  <c r="K9690" i="1"/>
  <c r="C9690" i="1"/>
  <c r="B9690" i="1"/>
  <c r="K9689" i="1"/>
  <c r="C9689" i="1"/>
  <c r="B9689" i="1"/>
  <c r="K9688" i="1"/>
  <c r="C9688" i="1"/>
  <c r="B9688" i="1"/>
  <c r="K9687" i="1"/>
  <c r="C9687" i="1"/>
  <c r="B9687" i="1"/>
  <c r="K9686" i="1"/>
  <c r="C9686" i="1"/>
  <c r="B9686" i="1"/>
  <c r="K9685" i="1"/>
  <c r="C9685" i="1"/>
  <c r="B9685" i="1"/>
  <c r="K9684" i="1"/>
  <c r="C9684" i="1"/>
  <c r="B9684" i="1"/>
  <c r="K9683" i="1"/>
  <c r="C9683" i="1"/>
  <c r="B9683" i="1"/>
  <c r="K9682" i="1"/>
  <c r="C9682" i="1"/>
  <c r="B9682" i="1"/>
  <c r="K9681" i="1"/>
  <c r="C9681" i="1"/>
  <c r="B9681" i="1"/>
  <c r="K9680" i="1"/>
  <c r="C9680" i="1"/>
  <c r="B9680" i="1"/>
  <c r="K9679" i="1"/>
  <c r="C9679" i="1"/>
  <c r="B9679" i="1"/>
  <c r="K9678" i="1"/>
  <c r="C9678" i="1"/>
  <c r="B9678" i="1"/>
  <c r="K9677" i="1"/>
  <c r="C9677" i="1"/>
  <c r="B9677" i="1"/>
  <c r="K9676" i="1"/>
  <c r="C9676" i="1"/>
  <c r="B9676" i="1"/>
  <c r="K9675" i="1"/>
  <c r="C9675" i="1"/>
  <c r="B9675" i="1"/>
  <c r="K9674" i="1"/>
  <c r="C9674" i="1"/>
  <c r="B9674" i="1"/>
  <c r="K9673" i="1"/>
  <c r="C9673" i="1"/>
  <c r="B9673" i="1"/>
  <c r="K9672" i="1"/>
  <c r="C9672" i="1"/>
  <c r="B9672" i="1"/>
  <c r="K9671" i="1"/>
  <c r="C9671" i="1"/>
  <c r="B9671" i="1"/>
  <c r="K9670" i="1"/>
  <c r="C9670" i="1"/>
  <c r="B9670" i="1"/>
  <c r="K9669" i="1"/>
  <c r="C9669" i="1"/>
  <c r="B9669" i="1"/>
  <c r="K9668" i="1"/>
  <c r="C9668" i="1"/>
  <c r="B9668" i="1"/>
  <c r="K9667" i="1"/>
  <c r="C9667" i="1"/>
  <c r="B9667" i="1"/>
  <c r="K9666" i="1"/>
  <c r="C9666" i="1"/>
  <c r="B9666" i="1"/>
  <c r="K9665" i="1"/>
  <c r="C9665" i="1"/>
  <c r="B9665" i="1"/>
  <c r="K9664" i="1"/>
  <c r="C9664" i="1"/>
  <c r="B9664" i="1"/>
  <c r="K9663" i="1"/>
  <c r="C9663" i="1"/>
  <c r="B9663" i="1"/>
  <c r="K9662" i="1"/>
  <c r="C9662" i="1"/>
  <c r="B9662" i="1"/>
  <c r="K9661" i="1"/>
  <c r="C9661" i="1"/>
  <c r="B9661" i="1"/>
  <c r="K9660" i="1"/>
  <c r="C9660" i="1"/>
  <c r="B9660" i="1"/>
  <c r="K9659" i="1"/>
  <c r="C9659" i="1"/>
  <c r="B9659" i="1"/>
  <c r="K9658" i="1"/>
  <c r="C9658" i="1"/>
  <c r="B9658" i="1"/>
  <c r="K9657" i="1"/>
  <c r="C9657" i="1"/>
  <c r="B9657" i="1"/>
  <c r="K9656" i="1"/>
  <c r="C9656" i="1"/>
  <c r="B9656" i="1"/>
  <c r="K9655" i="1"/>
  <c r="C9655" i="1"/>
  <c r="B9655" i="1"/>
  <c r="K9654" i="1"/>
  <c r="C9654" i="1"/>
  <c r="B9654" i="1"/>
  <c r="K9653" i="1"/>
  <c r="C9653" i="1"/>
  <c r="B9653" i="1"/>
  <c r="K9652" i="1"/>
  <c r="C9652" i="1"/>
  <c r="B9652" i="1"/>
  <c r="K9651" i="1"/>
  <c r="C9651" i="1"/>
  <c r="B9651" i="1"/>
  <c r="K9650" i="1"/>
  <c r="C9650" i="1"/>
  <c r="B9650" i="1"/>
  <c r="K9649" i="1"/>
  <c r="C9649" i="1"/>
  <c r="B9649" i="1"/>
  <c r="K9648" i="1"/>
  <c r="C9648" i="1"/>
  <c r="B9648" i="1"/>
  <c r="K9647" i="1"/>
  <c r="C9647" i="1"/>
  <c r="B9647" i="1"/>
  <c r="K9646" i="1"/>
  <c r="C9646" i="1"/>
  <c r="B9646" i="1"/>
  <c r="K9645" i="1"/>
  <c r="C9645" i="1"/>
  <c r="B9645" i="1"/>
  <c r="K9644" i="1"/>
  <c r="C9644" i="1"/>
  <c r="B9644" i="1"/>
  <c r="K9643" i="1"/>
  <c r="C9643" i="1"/>
  <c r="B9643" i="1"/>
  <c r="K9642" i="1"/>
  <c r="C9642" i="1"/>
  <c r="B9642" i="1"/>
  <c r="K9641" i="1"/>
  <c r="C9641" i="1"/>
  <c r="B9641" i="1"/>
  <c r="K9640" i="1"/>
  <c r="C9640" i="1"/>
  <c r="B9640" i="1"/>
  <c r="K9639" i="1"/>
  <c r="C9639" i="1"/>
  <c r="B9639" i="1"/>
  <c r="K9638" i="1"/>
  <c r="C9638" i="1"/>
  <c r="B9638" i="1"/>
  <c r="K9637" i="1"/>
  <c r="C9637" i="1"/>
  <c r="B9637" i="1"/>
  <c r="K9636" i="1"/>
  <c r="C9636" i="1"/>
  <c r="B9636" i="1"/>
  <c r="K9635" i="1"/>
  <c r="C9635" i="1"/>
  <c r="B9635" i="1"/>
  <c r="K9634" i="1"/>
  <c r="C9634" i="1"/>
  <c r="B9634" i="1"/>
  <c r="K9633" i="1"/>
  <c r="C9633" i="1"/>
  <c r="B9633" i="1"/>
  <c r="K9632" i="1"/>
  <c r="C9632" i="1"/>
  <c r="B9632" i="1"/>
  <c r="K9631" i="1"/>
  <c r="C9631" i="1"/>
  <c r="B9631" i="1"/>
  <c r="K9630" i="1"/>
  <c r="C9630" i="1"/>
  <c r="B9630" i="1"/>
  <c r="K9629" i="1"/>
  <c r="C9629" i="1"/>
  <c r="B9629" i="1"/>
  <c r="K9628" i="1"/>
  <c r="C9628" i="1"/>
  <c r="B9628" i="1"/>
  <c r="K9627" i="1"/>
  <c r="C9627" i="1"/>
  <c r="B9627" i="1"/>
  <c r="K9626" i="1"/>
  <c r="C9626" i="1"/>
  <c r="B9626" i="1"/>
  <c r="K9625" i="1"/>
  <c r="C9625" i="1"/>
  <c r="B9625" i="1"/>
  <c r="K9624" i="1"/>
  <c r="C9624" i="1"/>
  <c r="B9624" i="1"/>
  <c r="K9623" i="1"/>
  <c r="C9623" i="1"/>
  <c r="B9623" i="1"/>
  <c r="K9622" i="1"/>
  <c r="C9622" i="1"/>
  <c r="B9622" i="1"/>
  <c r="K9621" i="1"/>
  <c r="C9621" i="1"/>
  <c r="B9621" i="1"/>
  <c r="K9620" i="1"/>
  <c r="C9620" i="1"/>
  <c r="B9620" i="1"/>
  <c r="K9619" i="1"/>
  <c r="C9619" i="1"/>
  <c r="B9619" i="1"/>
  <c r="K9618" i="1"/>
  <c r="C9618" i="1"/>
  <c r="B9618" i="1"/>
  <c r="K9617" i="1"/>
  <c r="C9617" i="1"/>
  <c r="B9617" i="1"/>
  <c r="K9616" i="1"/>
  <c r="C9616" i="1"/>
  <c r="B9616" i="1"/>
  <c r="K9615" i="1"/>
  <c r="C9615" i="1"/>
  <c r="B9615" i="1"/>
  <c r="K9614" i="1"/>
  <c r="C9614" i="1"/>
  <c r="B9614" i="1"/>
  <c r="K9613" i="1"/>
  <c r="C9613" i="1"/>
  <c r="B9613" i="1"/>
  <c r="K9612" i="1"/>
  <c r="C9612" i="1"/>
  <c r="B9612" i="1"/>
  <c r="K9611" i="1"/>
  <c r="C9611" i="1"/>
  <c r="B9611" i="1"/>
  <c r="K9610" i="1"/>
  <c r="C9610" i="1"/>
  <c r="B9610" i="1"/>
  <c r="K9609" i="1"/>
  <c r="C9609" i="1"/>
  <c r="B9609" i="1"/>
  <c r="K9608" i="1"/>
  <c r="C9608" i="1"/>
  <c r="B9608" i="1"/>
  <c r="K9607" i="1"/>
  <c r="C9607" i="1"/>
  <c r="B9607" i="1"/>
  <c r="K9606" i="1"/>
  <c r="C9606" i="1"/>
  <c r="B9606" i="1"/>
  <c r="K9605" i="1"/>
  <c r="C9605" i="1"/>
  <c r="B9605" i="1"/>
  <c r="K9604" i="1"/>
  <c r="C9604" i="1"/>
  <c r="B9604" i="1"/>
  <c r="K9603" i="1"/>
  <c r="C9603" i="1"/>
  <c r="B9603" i="1"/>
  <c r="K9602" i="1"/>
  <c r="C9602" i="1"/>
  <c r="B9602" i="1"/>
  <c r="K9601" i="1"/>
  <c r="C9601" i="1"/>
  <c r="B9601" i="1"/>
  <c r="K9600" i="1"/>
  <c r="C9600" i="1"/>
  <c r="B9600" i="1"/>
  <c r="K9599" i="1"/>
  <c r="C9599" i="1"/>
  <c r="B9599" i="1"/>
  <c r="K9598" i="1"/>
  <c r="C9598" i="1"/>
  <c r="B9598" i="1"/>
  <c r="K9597" i="1"/>
  <c r="C9597" i="1"/>
  <c r="B9597" i="1"/>
  <c r="K9596" i="1"/>
  <c r="C9596" i="1"/>
  <c r="B9596" i="1"/>
  <c r="K9595" i="1"/>
  <c r="C9595" i="1"/>
  <c r="B9595" i="1"/>
  <c r="K9594" i="1"/>
  <c r="C9594" i="1"/>
  <c r="B9594" i="1"/>
  <c r="K9593" i="1"/>
  <c r="C9593" i="1"/>
  <c r="B9593" i="1"/>
  <c r="K9592" i="1"/>
  <c r="C9592" i="1"/>
  <c r="B9592" i="1"/>
  <c r="K9591" i="1"/>
  <c r="C9591" i="1"/>
  <c r="B9591" i="1"/>
  <c r="K9590" i="1"/>
  <c r="C9590" i="1"/>
  <c r="B9590" i="1"/>
  <c r="K9589" i="1"/>
  <c r="C9589" i="1"/>
  <c r="B9589" i="1"/>
  <c r="K9588" i="1"/>
  <c r="C9588" i="1"/>
  <c r="B9588" i="1"/>
  <c r="K9587" i="1"/>
  <c r="C9587" i="1"/>
  <c r="B9587" i="1"/>
  <c r="K9586" i="1"/>
  <c r="C9586" i="1"/>
  <c r="B9586" i="1"/>
  <c r="K9585" i="1"/>
  <c r="C9585" i="1"/>
  <c r="B9585" i="1"/>
  <c r="K9584" i="1"/>
  <c r="C9584" i="1"/>
  <c r="B9584" i="1"/>
  <c r="K9583" i="1"/>
  <c r="C9583" i="1"/>
  <c r="B9583" i="1"/>
  <c r="K9582" i="1"/>
  <c r="C9582" i="1"/>
  <c r="B9582" i="1"/>
  <c r="K9581" i="1"/>
  <c r="C9581" i="1"/>
  <c r="B9581" i="1"/>
  <c r="K9580" i="1"/>
  <c r="C9580" i="1"/>
  <c r="B9580" i="1"/>
  <c r="K9579" i="1"/>
  <c r="C9579" i="1"/>
  <c r="B9579" i="1"/>
  <c r="K9578" i="1"/>
  <c r="C9578" i="1"/>
  <c r="B9578" i="1"/>
  <c r="K9577" i="1"/>
  <c r="C9577" i="1"/>
  <c r="B9577" i="1"/>
  <c r="K9576" i="1"/>
  <c r="C9576" i="1"/>
  <c r="B9576" i="1"/>
  <c r="K9575" i="1"/>
  <c r="C9575" i="1"/>
  <c r="B9575" i="1"/>
  <c r="K9574" i="1"/>
  <c r="C9574" i="1"/>
  <c r="B9574" i="1"/>
  <c r="K9573" i="1"/>
  <c r="C9573" i="1"/>
  <c r="B9573" i="1"/>
  <c r="K9572" i="1"/>
  <c r="C9572" i="1"/>
  <c r="B9572" i="1"/>
  <c r="K9571" i="1"/>
  <c r="C9571" i="1"/>
  <c r="B9571" i="1"/>
  <c r="K9570" i="1"/>
  <c r="C9570" i="1"/>
  <c r="B9570" i="1"/>
  <c r="K9569" i="1"/>
  <c r="C9569" i="1"/>
  <c r="B9569" i="1"/>
  <c r="K9568" i="1"/>
  <c r="C9568" i="1"/>
  <c r="B9568" i="1"/>
  <c r="K9567" i="1"/>
  <c r="C9567" i="1"/>
  <c r="B9567" i="1"/>
  <c r="K9566" i="1"/>
  <c r="C9566" i="1"/>
  <c r="B9566" i="1"/>
  <c r="K9565" i="1"/>
  <c r="C9565" i="1"/>
  <c r="B9565" i="1"/>
  <c r="K9564" i="1"/>
  <c r="C9564" i="1"/>
  <c r="B9564" i="1"/>
  <c r="K9563" i="1"/>
  <c r="C9563" i="1"/>
  <c r="B9563" i="1"/>
  <c r="K9562" i="1"/>
  <c r="C9562" i="1"/>
  <c r="B9562" i="1"/>
  <c r="K9561" i="1"/>
  <c r="C9561" i="1"/>
  <c r="B9561" i="1"/>
  <c r="K9560" i="1"/>
  <c r="C9560" i="1"/>
  <c r="B9560" i="1"/>
  <c r="K9559" i="1"/>
  <c r="C9559" i="1"/>
  <c r="B9559" i="1"/>
  <c r="K9558" i="1"/>
  <c r="C9558" i="1"/>
  <c r="B9558" i="1"/>
  <c r="K9557" i="1"/>
  <c r="C9557" i="1"/>
  <c r="B9557" i="1"/>
  <c r="K9556" i="1"/>
  <c r="C9556" i="1"/>
  <c r="B9556" i="1"/>
  <c r="K9555" i="1"/>
  <c r="C9555" i="1"/>
  <c r="B9555" i="1"/>
  <c r="K9554" i="1"/>
  <c r="C9554" i="1"/>
  <c r="B9554" i="1"/>
  <c r="K9553" i="1"/>
  <c r="C9553" i="1"/>
  <c r="B9553" i="1"/>
  <c r="K9552" i="1"/>
  <c r="C9552" i="1"/>
  <c r="B9552" i="1"/>
  <c r="K9551" i="1"/>
  <c r="C9551" i="1"/>
  <c r="B9551" i="1"/>
  <c r="K9550" i="1"/>
  <c r="C9550" i="1"/>
  <c r="B9550" i="1"/>
  <c r="K9549" i="1"/>
  <c r="C9549" i="1"/>
  <c r="B9549" i="1"/>
  <c r="K9548" i="1"/>
  <c r="C9548" i="1"/>
  <c r="B9548" i="1"/>
  <c r="K9547" i="1"/>
  <c r="C9547" i="1"/>
  <c r="B9547" i="1"/>
  <c r="K9546" i="1"/>
  <c r="C9546" i="1"/>
  <c r="B9546" i="1"/>
  <c r="K9545" i="1"/>
  <c r="C9545" i="1"/>
  <c r="B9545" i="1"/>
  <c r="K9544" i="1"/>
  <c r="C9544" i="1"/>
  <c r="B9544" i="1"/>
  <c r="K9543" i="1"/>
  <c r="C9543" i="1"/>
  <c r="B9543" i="1"/>
  <c r="K9542" i="1"/>
  <c r="C9542" i="1"/>
  <c r="B9542" i="1"/>
  <c r="K9541" i="1"/>
  <c r="C9541" i="1"/>
  <c r="B9541" i="1"/>
  <c r="K9540" i="1"/>
  <c r="C9540" i="1"/>
  <c r="B9540" i="1"/>
  <c r="K9539" i="1"/>
  <c r="C9539" i="1"/>
  <c r="B9539" i="1"/>
  <c r="K9538" i="1"/>
  <c r="C9538" i="1"/>
  <c r="B9538" i="1"/>
  <c r="K9537" i="1"/>
  <c r="C9537" i="1"/>
  <c r="B9537" i="1"/>
  <c r="K9536" i="1"/>
  <c r="C9536" i="1"/>
  <c r="B9536" i="1"/>
  <c r="K9535" i="1"/>
  <c r="C9535" i="1"/>
  <c r="B9535" i="1"/>
  <c r="K9534" i="1"/>
  <c r="C9534" i="1"/>
  <c r="B9534" i="1"/>
  <c r="K9533" i="1"/>
  <c r="C9533" i="1"/>
  <c r="B9533" i="1"/>
  <c r="K9532" i="1"/>
  <c r="C9532" i="1"/>
  <c r="B9532" i="1"/>
  <c r="K9531" i="1"/>
  <c r="C9531" i="1"/>
  <c r="B9531" i="1"/>
  <c r="K9530" i="1"/>
  <c r="C9530" i="1"/>
  <c r="B9530" i="1"/>
  <c r="K9529" i="1"/>
  <c r="C9529" i="1"/>
  <c r="B9529" i="1"/>
  <c r="K9528" i="1"/>
  <c r="C9528" i="1"/>
  <c r="B9528" i="1"/>
  <c r="K9527" i="1"/>
  <c r="C9527" i="1"/>
  <c r="B9527" i="1"/>
  <c r="K9526" i="1"/>
  <c r="C9526" i="1"/>
  <c r="B9526" i="1"/>
  <c r="K9525" i="1"/>
  <c r="C9525" i="1"/>
  <c r="B9525" i="1"/>
  <c r="K9524" i="1"/>
  <c r="C9524" i="1"/>
  <c r="B9524" i="1"/>
  <c r="K9523" i="1"/>
  <c r="C9523" i="1"/>
  <c r="B9523" i="1"/>
  <c r="K9522" i="1"/>
  <c r="C9522" i="1"/>
  <c r="B9522" i="1"/>
  <c r="K9521" i="1"/>
  <c r="C9521" i="1"/>
  <c r="B9521" i="1"/>
  <c r="K9520" i="1"/>
  <c r="C9520" i="1"/>
  <c r="B9520" i="1"/>
  <c r="K9519" i="1"/>
  <c r="C9519" i="1"/>
  <c r="B9519" i="1"/>
  <c r="K9518" i="1"/>
  <c r="C9518" i="1"/>
  <c r="B9518" i="1"/>
  <c r="K9517" i="1"/>
  <c r="C9517" i="1"/>
  <c r="B9517" i="1"/>
  <c r="K9516" i="1"/>
  <c r="C9516" i="1"/>
  <c r="B9516" i="1"/>
  <c r="K9515" i="1"/>
  <c r="C9515" i="1"/>
  <c r="B9515" i="1"/>
  <c r="K9514" i="1"/>
  <c r="C9514" i="1"/>
  <c r="B9514" i="1"/>
  <c r="K9513" i="1"/>
  <c r="C9513" i="1"/>
  <c r="B9513" i="1"/>
  <c r="K9512" i="1"/>
  <c r="C9512" i="1"/>
  <c r="B9512" i="1"/>
  <c r="K9511" i="1"/>
  <c r="C9511" i="1"/>
  <c r="B9511" i="1"/>
  <c r="K9510" i="1"/>
  <c r="C9510" i="1"/>
  <c r="B9510" i="1"/>
  <c r="K9509" i="1"/>
  <c r="C9509" i="1"/>
  <c r="B9509" i="1"/>
  <c r="K9508" i="1"/>
  <c r="C9508" i="1"/>
  <c r="B9508" i="1"/>
  <c r="K9507" i="1"/>
  <c r="C9507" i="1"/>
  <c r="B9507" i="1"/>
  <c r="K9506" i="1"/>
  <c r="C9506" i="1"/>
  <c r="B9506" i="1"/>
  <c r="K9505" i="1"/>
  <c r="C9505" i="1"/>
  <c r="B9505" i="1"/>
  <c r="K9504" i="1"/>
  <c r="C9504" i="1"/>
  <c r="B9504" i="1"/>
  <c r="K9503" i="1"/>
  <c r="C9503" i="1"/>
  <c r="B9503" i="1"/>
  <c r="K9502" i="1"/>
  <c r="C9502" i="1"/>
  <c r="B9502" i="1"/>
  <c r="K9501" i="1"/>
  <c r="C9501" i="1"/>
  <c r="B9501" i="1"/>
  <c r="K9500" i="1"/>
  <c r="C9500" i="1"/>
  <c r="B9500" i="1"/>
  <c r="K9499" i="1"/>
  <c r="C9499" i="1"/>
  <c r="B9499" i="1"/>
  <c r="K9498" i="1"/>
  <c r="C9498" i="1"/>
  <c r="B9498" i="1"/>
  <c r="K9497" i="1"/>
  <c r="C9497" i="1"/>
  <c r="B9497" i="1"/>
  <c r="K9496" i="1"/>
  <c r="C9496" i="1"/>
  <c r="B9496" i="1"/>
  <c r="K9495" i="1"/>
  <c r="C9495" i="1"/>
  <c r="B9495" i="1"/>
  <c r="K9494" i="1"/>
  <c r="C9494" i="1"/>
  <c r="B9494" i="1"/>
  <c r="K9493" i="1"/>
  <c r="C9493" i="1"/>
  <c r="B9493" i="1"/>
  <c r="K9492" i="1"/>
  <c r="C9492" i="1"/>
  <c r="B9492" i="1"/>
  <c r="K9491" i="1"/>
  <c r="C9491" i="1"/>
  <c r="B9491" i="1"/>
  <c r="K9490" i="1"/>
  <c r="C9490" i="1"/>
  <c r="B9490" i="1"/>
  <c r="K9489" i="1"/>
  <c r="C9489" i="1"/>
  <c r="B9489" i="1"/>
  <c r="K9488" i="1"/>
  <c r="C9488" i="1"/>
  <c r="B9488" i="1"/>
  <c r="K9487" i="1"/>
  <c r="C9487" i="1"/>
  <c r="B9487" i="1"/>
  <c r="K9486" i="1"/>
  <c r="C9486" i="1"/>
  <c r="B9486" i="1"/>
  <c r="K9485" i="1"/>
  <c r="C9485" i="1"/>
  <c r="B9485" i="1"/>
  <c r="K9484" i="1"/>
  <c r="C9484" i="1"/>
  <c r="B9484" i="1"/>
  <c r="K9483" i="1"/>
  <c r="C9483" i="1"/>
  <c r="B9483" i="1"/>
  <c r="K9482" i="1"/>
  <c r="C9482" i="1"/>
  <c r="B9482" i="1"/>
  <c r="K9481" i="1"/>
  <c r="C9481" i="1"/>
  <c r="B9481" i="1"/>
  <c r="K9480" i="1"/>
  <c r="C9480" i="1"/>
  <c r="B9480" i="1"/>
  <c r="K9479" i="1"/>
  <c r="C9479" i="1"/>
  <c r="B9479" i="1"/>
  <c r="K9478" i="1"/>
  <c r="C9478" i="1"/>
  <c r="B9478" i="1"/>
  <c r="K9477" i="1"/>
  <c r="C9477" i="1"/>
  <c r="B9477" i="1"/>
  <c r="K9476" i="1"/>
  <c r="C9476" i="1"/>
  <c r="B9476" i="1"/>
  <c r="K9475" i="1"/>
  <c r="C9475" i="1"/>
  <c r="B9475" i="1"/>
  <c r="K9474" i="1"/>
  <c r="C9474" i="1"/>
  <c r="B9474" i="1"/>
  <c r="K9473" i="1"/>
  <c r="C9473" i="1"/>
  <c r="B9473" i="1"/>
  <c r="K9472" i="1"/>
  <c r="C9472" i="1"/>
  <c r="B9472" i="1"/>
  <c r="K9471" i="1"/>
  <c r="C9471" i="1"/>
  <c r="B9471" i="1"/>
  <c r="K9470" i="1"/>
  <c r="C9470" i="1"/>
  <c r="B9470" i="1"/>
  <c r="K9469" i="1"/>
  <c r="C9469" i="1"/>
  <c r="B9469" i="1"/>
  <c r="K9468" i="1"/>
  <c r="C9468" i="1"/>
  <c r="B9468" i="1"/>
  <c r="K9467" i="1"/>
  <c r="C9467" i="1"/>
  <c r="B9467" i="1"/>
  <c r="K9466" i="1"/>
  <c r="C9466" i="1"/>
  <c r="B9466" i="1"/>
  <c r="K9465" i="1"/>
  <c r="C9465" i="1"/>
  <c r="B9465" i="1"/>
  <c r="K9464" i="1"/>
  <c r="C9464" i="1"/>
  <c r="B9464" i="1"/>
  <c r="K9463" i="1"/>
  <c r="C9463" i="1"/>
  <c r="B9463" i="1"/>
  <c r="K9462" i="1"/>
  <c r="C9462" i="1"/>
  <c r="B9462" i="1"/>
  <c r="K9461" i="1"/>
  <c r="C9461" i="1"/>
  <c r="B9461" i="1"/>
  <c r="K9460" i="1"/>
  <c r="C9460" i="1"/>
  <c r="B9460" i="1"/>
  <c r="K9459" i="1"/>
  <c r="C9459" i="1"/>
  <c r="B9459" i="1"/>
  <c r="K9458" i="1"/>
  <c r="C9458" i="1"/>
  <c r="B9458" i="1"/>
  <c r="K9457" i="1"/>
  <c r="C9457" i="1"/>
  <c r="B9457" i="1"/>
  <c r="K9456" i="1"/>
  <c r="C9456" i="1"/>
  <c r="B9456" i="1"/>
  <c r="K9455" i="1"/>
  <c r="C9455" i="1"/>
  <c r="B9455" i="1"/>
  <c r="K9454" i="1"/>
  <c r="C9454" i="1"/>
  <c r="B9454" i="1"/>
  <c r="K9453" i="1"/>
  <c r="C9453" i="1"/>
  <c r="B9453" i="1"/>
  <c r="K9452" i="1"/>
  <c r="C9452" i="1"/>
  <c r="B9452" i="1"/>
  <c r="K9451" i="1"/>
  <c r="C9451" i="1"/>
  <c r="B9451" i="1"/>
  <c r="K9450" i="1"/>
  <c r="C9450" i="1"/>
  <c r="B9450" i="1"/>
  <c r="K9449" i="1"/>
  <c r="C9449" i="1"/>
  <c r="B9449" i="1"/>
  <c r="K9448" i="1"/>
  <c r="C9448" i="1"/>
  <c r="B9448" i="1"/>
  <c r="K9447" i="1"/>
  <c r="C9447" i="1"/>
  <c r="B9447" i="1"/>
  <c r="K9446" i="1"/>
  <c r="C9446" i="1"/>
  <c r="B9446" i="1"/>
  <c r="K9445" i="1"/>
  <c r="C9445" i="1"/>
  <c r="B9445" i="1"/>
  <c r="K9444" i="1"/>
  <c r="C9444" i="1"/>
  <c r="B9444" i="1"/>
  <c r="K9443" i="1"/>
  <c r="C9443" i="1"/>
  <c r="B9443" i="1"/>
  <c r="K9442" i="1"/>
  <c r="C9442" i="1"/>
  <c r="B9442" i="1"/>
  <c r="K9441" i="1"/>
  <c r="C9441" i="1"/>
  <c r="B9441" i="1"/>
  <c r="K9440" i="1"/>
  <c r="C9440" i="1"/>
  <c r="B9440" i="1"/>
  <c r="K9439" i="1"/>
  <c r="C9439" i="1"/>
  <c r="B9439" i="1"/>
  <c r="K9438" i="1"/>
  <c r="C9438" i="1"/>
  <c r="B9438" i="1"/>
  <c r="K9437" i="1"/>
  <c r="C9437" i="1"/>
  <c r="B9437" i="1"/>
  <c r="K9436" i="1"/>
  <c r="C9436" i="1"/>
  <c r="B9436" i="1"/>
  <c r="K9435" i="1"/>
  <c r="C9435" i="1"/>
  <c r="B9435" i="1"/>
  <c r="K9434" i="1"/>
  <c r="C9434" i="1"/>
  <c r="B9434" i="1"/>
  <c r="K9433" i="1"/>
  <c r="C9433" i="1"/>
  <c r="B9433" i="1"/>
  <c r="K9432" i="1"/>
  <c r="C9432" i="1"/>
  <c r="B9432" i="1"/>
  <c r="K9431" i="1"/>
  <c r="C9431" i="1"/>
  <c r="B9431" i="1"/>
  <c r="K9430" i="1"/>
  <c r="C9430" i="1"/>
  <c r="B9430" i="1"/>
  <c r="K9429" i="1"/>
  <c r="C9429" i="1"/>
  <c r="B9429" i="1"/>
  <c r="K9428" i="1"/>
  <c r="C9428" i="1"/>
  <c r="B9428" i="1"/>
  <c r="K9427" i="1"/>
  <c r="C9427" i="1"/>
  <c r="B9427" i="1"/>
  <c r="K9426" i="1"/>
  <c r="C9426" i="1"/>
  <c r="B9426" i="1"/>
  <c r="K9425" i="1"/>
  <c r="C9425" i="1"/>
  <c r="B9425" i="1"/>
  <c r="K9424" i="1"/>
  <c r="C9424" i="1"/>
  <c r="B9424" i="1"/>
  <c r="K9423" i="1"/>
  <c r="C9423" i="1"/>
  <c r="B9423" i="1"/>
  <c r="K9422" i="1"/>
  <c r="C9422" i="1"/>
  <c r="B9422" i="1"/>
  <c r="K9421" i="1"/>
  <c r="C9421" i="1"/>
  <c r="B9421" i="1"/>
  <c r="K9420" i="1"/>
  <c r="C9420" i="1"/>
  <c r="B9420" i="1"/>
  <c r="K9419" i="1"/>
  <c r="C9419" i="1"/>
  <c r="B9419" i="1"/>
  <c r="K9418" i="1"/>
  <c r="C9418" i="1"/>
  <c r="B9418" i="1"/>
  <c r="K9417" i="1"/>
  <c r="C9417" i="1"/>
  <c r="B9417" i="1"/>
  <c r="K9416" i="1"/>
  <c r="C9416" i="1"/>
  <c r="B9416" i="1"/>
  <c r="K9415" i="1"/>
  <c r="C9415" i="1"/>
  <c r="B9415" i="1"/>
  <c r="K9414" i="1"/>
  <c r="C9414" i="1"/>
  <c r="B9414" i="1"/>
  <c r="K9413" i="1"/>
  <c r="C9413" i="1"/>
  <c r="B9413" i="1"/>
  <c r="K9412" i="1"/>
  <c r="C9412" i="1"/>
  <c r="B9412" i="1"/>
  <c r="K9411" i="1"/>
  <c r="C9411" i="1"/>
  <c r="B9411" i="1"/>
  <c r="K9410" i="1"/>
  <c r="C9410" i="1"/>
  <c r="B9410" i="1"/>
  <c r="K9409" i="1"/>
  <c r="C9409" i="1"/>
  <c r="B9409" i="1"/>
  <c r="K9408" i="1"/>
  <c r="C9408" i="1"/>
  <c r="B9408" i="1"/>
  <c r="K9407" i="1"/>
  <c r="C9407" i="1"/>
  <c r="B9407" i="1"/>
  <c r="K9406" i="1"/>
  <c r="C9406" i="1"/>
  <c r="B9406" i="1"/>
  <c r="K9405" i="1"/>
  <c r="C9405" i="1"/>
  <c r="B9405" i="1"/>
  <c r="K9404" i="1"/>
  <c r="C9404" i="1"/>
  <c r="B9404" i="1"/>
  <c r="K9403" i="1"/>
  <c r="C9403" i="1"/>
  <c r="B9403" i="1"/>
  <c r="K9402" i="1"/>
  <c r="C9402" i="1"/>
  <c r="B9402" i="1"/>
  <c r="K9401" i="1"/>
  <c r="C9401" i="1"/>
  <c r="B9401" i="1"/>
  <c r="K9400" i="1"/>
  <c r="C9400" i="1"/>
  <c r="B9400" i="1"/>
  <c r="K9399" i="1"/>
  <c r="C9399" i="1"/>
  <c r="B9399" i="1"/>
  <c r="K9398" i="1"/>
  <c r="C9398" i="1"/>
  <c r="B9398" i="1"/>
  <c r="K9397" i="1"/>
  <c r="C9397" i="1"/>
  <c r="B9397" i="1"/>
  <c r="K9396" i="1"/>
  <c r="C9396" i="1"/>
  <c r="B9396" i="1"/>
  <c r="K9395" i="1"/>
  <c r="C9395" i="1"/>
  <c r="B9395" i="1"/>
  <c r="K9394" i="1"/>
  <c r="C9394" i="1"/>
  <c r="B9394" i="1"/>
  <c r="K9393" i="1"/>
  <c r="C9393" i="1"/>
  <c r="B9393" i="1"/>
  <c r="K9392" i="1"/>
  <c r="C9392" i="1"/>
  <c r="B9392" i="1"/>
  <c r="K9391" i="1"/>
  <c r="C9391" i="1"/>
  <c r="B9391" i="1"/>
  <c r="K9390" i="1"/>
  <c r="C9390" i="1"/>
  <c r="B9390" i="1"/>
  <c r="K9389" i="1"/>
  <c r="C9389" i="1"/>
  <c r="B9389" i="1"/>
  <c r="K9388" i="1"/>
  <c r="C9388" i="1"/>
  <c r="B9388" i="1"/>
  <c r="K9387" i="1"/>
  <c r="C9387" i="1"/>
  <c r="B9387" i="1"/>
  <c r="K9386" i="1"/>
  <c r="C9386" i="1"/>
  <c r="B9386" i="1"/>
  <c r="K9385" i="1"/>
  <c r="C9385" i="1"/>
  <c r="B9385" i="1"/>
  <c r="K9384" i="1"/>
  <c r="C9384" i="1"/>
  <c r="B9384" i="1"/>
  <c r="K9383" i="1"/>
  <c r="C9383" i="1"/>
  <c r="B9383" i="1"/>
  <c r="K9382" i="1"/>
  <c r="C9382" i="1"/>
  <c r="B9382" i="1"/>
  <c r="K9381" i="1"/>
  <c r="C9381" i="1"/>
  <c r="B9381" i="1"/>
  <c r="K9380" i="1"/>
  <c r="C9380" i="1"/>
  <c r="B9380" i="1"/>
  <c r="K9379" i="1"/>
  <c r="C9379" i="1"/>
  <c r="B9379" i="1"/>
  <c r="K9378" i="1"/>
  <c r="C9378" i="1"/>
  <c r="B9378" i="1"/>
  <c r="K9377" i="1"/>
  <c r="C9377" i="1"/>
  <c r="B9377" i="1"/>
  <c r="K9376" i="1"/>
  <c r="C9376" i="1"/>
  <c r="B9376" i="1"/>
  <c r="K9375" i="1"/>
  <c r="C9375" i="1"/>
  <c r="B9375" i="1"/>
  <c r="K9374" i="1"/>
  <c r="C9374" i="1"/>
  <c r="B9374" i="1"/>
  <c r="K9373" i="1"/>
  <c r="C9373" i="1"/>
  <c r="B9373" i="1"/>
  <c r="K9372" i="1"/>
  <c r="C9372" i="1"/>
  <c r="B9372" i="1"/>
  <c r="K9371" i="1"/>
  <c r="C9371" i="1"/>
  <c r="B9371" i="1"/>
  <c r="K9370" i="1"/>
  <c r="C9370" i="1"/>
  <c r="B9370" i="1"/>
  <c r="K9369" i="1"/>
  <c r="C9369" i="1"/>
  <c r="B9369" i="1"/>
  <c r="K9368" i="1"/>
  <c r="C9368" i="1"/>
  <c r="B9368" i="1"/>
  <c r="K9367" i="1"/>
  <c r="C9367" i="1"/>
  <c r="B9367" i="1"/>
  <c r="K9366" i="1"/>
  <c r="C9366" i="1"/>
  <c r="B9366" i="1"/>
  <c r="K9365" i="1"/>
  <c r="C9365" i="1"/>
  <c r="B9365" i="1"/>
  <c r="K9364" i="1"/>
  <c r="C9364" i="1"/>
  <c r="B9364" i="1"/>
  <c r="K9363" i="1"/>
  <c r="C9363" i="1"/>
  <c r="B9363" i="1"/>
  <c r="K9362" i="1"/>
  <c r="C9362" i="1"/>
  <c r="B9362" i="1"/>
  <c r="K9361" i="1"/>
  <c r="C9361" i="1"/>
  <c r="B9361" i="1"/>
  <c r="K9360" i="1"/>
  <c r="C9360" i="1"/>
  <c r="B9360" i="1"/>
  <c r="K9359" i="1"/>
  <c r="C9359" i="1"/>
  <c r="B9359" i="1"/>
  <c r="K9358" i="1"/>
  <c r="C9358" i="1"/>
  <c r="B9358" i="1"/>
  <c r="K9357" i="1"/>
  <c r="C9357" i="1"/>
  <c r="B9357" i="1"/>
  <c r="K9356" i="1"/>
  <c r="C9356" i="1"/>
  <c r="B9356" i="1"/>
  <c r="K9355" i="1"/>
  <c r="C9355" i="1"/>
  <c r="B9355" i="1"/>
  <c r="K9354" i="1"/>
  <c r="C9354" i="1"/>
  <c r="B9354" i="1"/>
  <c r="K9353" i="1"/>
  <c r="C9353" i="1"/>
  <c r="B9353" i="1"/>
  <c r="K9352" i="1"/>
  <c r="C9352" i="1"/>
  <c r="B9352" i="1"/>
  <c r="K9351" i="1"/>
  <c r="C9351" i="1"/>
  <c r="B9351" i="1"/>
  <c r="K9350" i="1"/>
  <c r="C9350" i="1"/>
  <c r="B9350" i="1"/>
  <c r="K9349" i="1"/>
  <c r="C9349" i="1"/>
  <c r="B9349" i="1"/>
  <c r="K9348" i="1"/>
  <c r="C9348" i="1"/>
  <c r="B9348" i="1"/>
  <c r="K9347" i="1"/>
  <c r="C9347" i="1"/>
  <c r="B9347" i="1"/>
  <c r="K9346" i="1"/>
  <c r="C9346" i="1"/>
  <c r="B9346" i="1"/>
  <c r="K9345" i="1"/>
  <c r="C9345" i="1"/>
  <c r="B9345" i="1"/>
  <c r="K9344" i="1"/>
  <c r="C9344" i="1"/>
  <c r="B9344" i="1"/>
  <c r="K9343" i="1"/>
  <c r="C9343" i="1"/>
  <c r="B9343" i="1"/>
  <c r="K9342" i="1"/>
  <c r="C9342" i="1"/>
  <c r="B9342" i="1"/>
  <c r="K9341" i="1"/>
  <c r="C9341" i="1"/>
  <c r="B9341" i="1"/>
  <c r="K9340" i="1"/>
  <c r="C9340" i="1"/>
  <c r="B9340" i="1"/>
  <c r="K9339" i="1"/>
  <c r="C9339" i="1"/>
  <c r="B9339" i="1"/>
  <c r="K9338" i="1"/>
  <c r="C9338" i="1"/>
  <c r="B9338" i="1"/>
  <c r="K9337" i="1"/>
  <c r="C9337" i="1"/>
  <c r="B9337" i="1"/>
  <c r="K9336" i="1"/>
  <c r="C9336" i="1"/>
  <c r="B9336" i="1"/>
  <c r="K9335" i="1"/>
  <c r="C9335" i="1"/>
  <c r="B9335" i="1"/>
  <c r="K9334" i="1"/>
  <c r="C9334" i="1"/>
  <c r="B9334" i="1"/>
  <c r="K9333" i="1"/>
  <c r="C9333" i="1"/>
  <c r="B9333" i="1"/>
  <c r="K9332" i="1"/>
  <c r="C9332" i="1"/>
  <c r="B9332" i="1"/>
  <c r="K9331" i="1"/>
  <c r="C9331" i="1"/>
  <c r="B9331" i="1"/>
  <c r="K9330" i="1"/>
  <c r="C9330" i="1"/>
  <c r="B9330" i="1"/>
  <c r="K9329" i="1"/>
  <c r="C9329" i="1"/>
  <c r="B9329" i="1"/>
  <c r="K9328" i="1"/>
  <c r="C9328" i="1"/>
  <c r="B9328" i="1"/>
  <c r="K9327" i="1"/>
  <c r="C9327" i="1"/>
  <c r="B9327" i="1"/>
  <c r="K9326" i="1"/>
  <c r="C9326" i="1"/>
  <c r="B9326" i="1"/>
  <c r="K9325" i="1"/>
  <c r="C9325" i="1"/>
  <c r="B9325" i="1"/>
  <c r="K9324" i="1"/>
  <c r="C9324" i="1"/>
  <c r="B9324" i="1"/>
  <c r="K9323" i="1"/>
  <c r="C9323" i="1"/>
  <c r="B9323" i="1"/>
  <c r="K9322" i="1"/>
  <c r="C9322" i="1"/>
  <c r="B9322" i="1"/>
  <c r="K9321" i="1"/>
  <c r="C9321" i="1"/>
  <c r="B9321" i="1"/>
  <c r="K9320" i="1"/>
  <c r="C9320" i="1"/>
  <c r="B9320" i="1"/>
  <c r="K9319" i="1"/>
  <c r="C9319" i="1"/>
  <c r="B9319" i="1"/>
  <c r="K9318" i="1"/>
  <c r="C9318" i="1"/>
  <c r="B9318" i="1"/>
  <c r="K9317" i="1"/>
  <c r="C9317" i="1"/>
  <c r="B9317" i="1"/>
  <c r="K9316" i="1"/>
  <c r="C9316" i="1"/>
  <c r="B9316" i="1"/>
  <c r="K9315" i="1"/>
  <c r="C9315" i="1"/>
  <c r="B9315" i="1"/>
  <c r="K9314" i="1"/>
  <c r="C9314" i="1"/>
  <c r="B9314" i="1"/>
  <c r="K9313" i="1"/>
  <c r="C9313" i="1"/>
  <c r="B9313" i="1"/>
  <c r="K9312" i="1"/>
  <c r="C9312" i="1"/>
  <c r="B9312" i="1"/>
  <c r="K9311" i="1"/>
  <c r="C9311" i="1"/>
  <c r="B9311" i="1"/>
  <c r="K9310" i="1"/>
  <c r="C9310" i="1"/>
  <c r="B9310" i="1"/>
  <c r="K9309" i="1"/>
  <c r="C9309" i="1"/>
  <c r="B9309" i="1"/>
  <c r="K9308" i="1"/>
  <c r="C9308" i="1"/>
  <c r="B9308" i="1"/>
  <c r="K9307" i="1"/>
  <c r="C9307" i="1"/>
  <c r="B9307" i="1"/>
  <c r="K9306" i="1"/>
  <c r="C9306" i="1"/>
  <c r="B9306" i="1"/>
  <c r="K9305" i="1"/>
  <c r="C9305" i="1"/>
  <c r="B9305" i="1"/>
  <c r="K9304" i="1"/>
  <c r="C9304" i="1"/>
  <c r="B9304" i="1"/>
  <c r="K9303" i="1"/>
  <c r="C9303" i="1"/>
  <c r="B9303" i="1"/>
  <c r="K9302" i="1"/>
  <c r="C9302" i="1"/>
  <c r="B9302" i="1"/>
  <c r="K9301" i="1"/>
  <c r="C9301" i="1"/>
  <c r="B9301" i="1"/>
  <c r="K9300" i="1"/>
  <c r="C9300" i="1"/>
  <c r="B9300" i="1"/>
  <c r="K9299" i="1"/>
  <c r="C9299" i="1"/>
  <c r="B9299" i="1"/>
  <c r="K9298" i="1"/>
  <c r="C9298" i="1"/>
  <c r="B9298" i="1"/>
  <c r="K9297" i="1"/>
  <c r="C9297" i="1"/>
  <c r="B9297" i="1"/>
  <c r="K9296" i="1"/>
  <c r="C9296" i="1"/>
  <c r="B9296" i="1"/>
  <c r="K9295" i="1"/>
  <c r="C9295" i="1"/>
  <c r="B9295" i="1"/>
  <c r="K9294" i="1"/>
  <c r="C9294" i="1"/>
  <c r="B9294" i="1"/>
  <c r="K9293" i="1"/>
  <c r="C9293" i="1"/>
  <c r="B9293" i="1"/>
  <c r="K9292" i="1"/>
  <c r="C9292" i="1"/>
  <c r="B9292" i="1"/>
  <c r="K9291" i="1"/>
  <c r="C9291" i="1"/>
  <c r="B9291" i="1"/>
  <c r="K9290" i="1"/>
  <c r="C9290" i="1"/>
  <c r="B9290" i="1"/>
  <c r="K9289" i="1"/>
  <c r="C9289" i="1"/>
  <c r="B9289" i="1"/>
  <c r="K9288" i="1"/>
  <c r="C9288" i="1"/>
  <c r="B9288" i="1"/>
  <c r="K9287" i="1"/>
  <c r="C9287" i="1"/>
  <c r="B9287" i="1"/>
  <c r="K9286" i="1"/>
  <c r="C9286" i="1"/>
  <c r="B9286" i="1"/>
  <c r="K9285" i="1"/>
  <c r="C9285" i="1"/>
  <c r="B9285" i="1"/>
  <c r="K9284" i="1"/>
  <c r="C9284" i="1"/>
  <c r="B9284" i="1"/>
  <c r="K9283" i="1"/>
  <c r="C9283" i="1"/>
  <c r="B9283" i="1"/>
  <c r="K9282" i="1"/>
  <c r="C9282" i="1"/>
  <c r="B9282" i="1"/>
  <c r="K9281" i="1"/>
  <c r="C9281" i="1"/>
  <c r="B9281" i="1"/>
  <c r="K9280" i="1"/>
  <c r="C9280" i="1"/>
  <c r="B9280" i="1"/>
  <c r="K9279" i="1"/>
  <c r="C9279" i="1"/>
  <c r="B9279" i="1"/>
  <c r="K9278" i="1"/>
  <c r="C9278" i="1"/>
  <c r="B9278" i="1"/>
  <c r="K9277" i="1"/>
  <c r="C9277" i="1"/>
  <c r="B9277" i="1"/>
  <c r="K9276" i="1"/>
  <c r="C9276" i="1"/>
  <c r="B9276" i="1"/>
  <c r="K9275" i="1"/>
  <c r="C9275" i="1"/>
  <c r="B9275" i="1"/>
  <c r="K9274" i="1"/>
  <c r="C9274" i="1"/>
  <c r="B9274" i="1"/>
  <c r="K9273" i="1"/>
  <c r="C9273" i="1"/>
  <c r="B9273" i="1"/>
  <c r="K9272" i="1"/>
  <c r="C9272" i="1"/>
  <c r="B9272" i="1"/>
  <c r="K9271" i="1"/>
  <c r="C9271" i="1"/>
  <c r="B9271" i="1"/>
  <c r="K9270" i="1"/>
  <c r="C9270" i="1"/>
  <c r="B9270" i="1"/>
  <c r="K9269" i="1"/>
  <c r="C9269" i="1"/>
  <c r="B9269" i="1"/>
  <c r="K9268" i="1"/>
  <c r="C9268" i="1"/>
  <c r="B9268" i="1"/>
  <c r="K9267" i="1"/>
  <c r="C9267" i="1"/>
  <c r="B9267" i="1"/>
  <c r="K9266" i="1"/>
  <c r="C9266" i="1"/>
  <c r="B9266" i="1"/>
  <c r="K9265" i="1"/>
  <c r="C9265" i="1"/>
  <c r="B9265" i="1"/>
  <c r="K9264" i="1"/>
  <c r="C9264" i="1"/>
  <c r="B9264" i="1"/>
  <c r="K9263" i="1"/>
  <c r="C9263" i="1"/>
  <c r="B9263" i="1"/>
  <c r="K9262" i="1"/>
  <c r="C9262" i="1"/>
  <c r="B9262" i="1"/>
  <c r="K9261" i="1"/>
  <c r="C9261" i="1"/>
  <c r="B9261" i="1"/>
  <c r="K9260" i="1"/>
  <c r="C9260" i="1"/>
  <c r="B9260" i="1"/>
  <c r="K9259" i="1"/>
  <c r="C9259" i="1"/>
  <c r="B9259" i="1"/>
  <c r="K9258" i="1"/>
  <c r="C9258" i="1"/>
  <c r="B9258" i="1"/>
  <c r="K9257" i="1"/>
  <c r="C9257" i="1"/>
  <c r="B9257" i="1"/>
  <c r="K9256" i="1"/>
  <c r="C9256" i="1"/>
  <c r="B9256" i="1"/>
  <c r="K9255" i="1"/>
  <c r="C9255" i="1"/>
  <c r="B9255" i="1"/>
  <c r="K9254" i="1"/>
  <c r="C9254" i="1"/>
  <c r="B9254" i="1"/>
  <c r="K9253" i="1"/>
  <c r="C9253" i="1"/>
  <c r="B9253" i="1"/>
  <c r="K9252" i="1"/>
  <c r="C9252" i="1"/>
  <c r="B9252" i="1"/>
  <c r="K9251" i="1"/>
  <c r="C9251" i="1"/>
  <c r="B9251" i="1"/>
  <c r="K9250" i="1"/>
  <c r="C9250" i="1"/>
  <c r="B9250" i="1"/>
  <c r="K9249" i="1"/>
  <c r="C9249" i="1"/>
  <c r="B9249" i="1"/>
  <c r="K9248" i="1"/>
  <c r="C9248" i="1"/>
  <c r="B9248" i="1"/>
  <c r="K9247" i="1"/>
  <c r="C9247" i="1"/>
  <c r="B9247" i="1"/>
  <c r="K9246" i="1"/>
  <c r="C9246" i="1"/>
  <c r="B9246" i="1"/>
  <c r="K9245" i="1"/>
  <c r="C9245" i="1"/>
  <c r="B9245" i="1"/>
  <c r="K9244" i="1"/>
  <c r="C9244" i="1"/>
  <c r="B9244" i="1"/>
  <c r="K9243" i="1"/>
  <c r="C9243" i="1"/>
  <c r="B9243" i="1"/>
  <c r="K9242" i="1"/>
  <c r="C9242" i="1"/>
  <c r="B9242" i="1"/>
  <c r="K9241" i="1"/>
  <c r="C9241" i="1"/>
  <c r="B9241" i="1"/>
  <c r="K9240" i="1"/>
  <c r="C9240" i="1"/>
  <c r="B9240" i="1"/>
  <c r="K9239" i="1"/>
  <c r="C9239" i="1"/>
  <c r="B9239" i="1"/>
  <c r="K9238" i="1"/>
  <c r="C9238" i="1"/>
  <c r="B9238" i="1"/>
  <c r="K9237" i="1"/>
  <c r="C9237" i="1"/>
  <c r="B9237" i="1"/>
  <c r="K9236" i="1"/>
  <c r="C9236" i="1"/>
  <c r="B9236" i="1"/>
  <c r="K9235" i="1"/>
  <c r="C9235" i="1"/>
  <c r="B9235" i="1"/>
  <c r="K9234" i="1"/>
  <c r="C9234" i="1"/>
  <c r="B9234" i="1"/>
  <c r="K9233" i="1"/>
  <c r="C9233" i="1"/>
  <c r="B9233" i="1"/>
  <c r="K9232" i="1"/>
  <c r="C9232" i="1"/>
  <c r="B9232" i="1"/>
  <c r="K9231" i="1"/>
  <c r="C9231" i="1"/>
  <c r="B9231" i="1"/>
  <c r="K9230" i="1"/>
  <c r="C9230" i="1"/>
  <c r="B9230" i="1"/>
  <c r="K9229" i="1"/>
  <c r="C9229" i="1"/>
  <c r="B9229" i="1"/>
  <c r="K9228" i="1"/>
  <c r="C9228" i="1"/>
  <c r="B9228" i="1"/>
  <c r="K9227" i="1"/>
  <c r="C9227" i="1"/>
  <c r="B9227" i="1"/>
  <c r="K9226" i="1"/>
  <c r="C9226" i="1"/>
  <c r="B9226" i="1"/>
  <c r="K9225" i="1"/>
  <c r="C9225" i="1"/>
  <c r="B9225" i="1"/>
  <c r="K9224" i="1"/>
  <c r="C9224" i="1"/>
  <c r="B9224" i="1"/>
  <c r="K9223" i="1"/>
  <c r="C9223" i="1"/>
  <c r="B9223" i="1"/>
  <c r="K9222" i="1"/>
  <c r="C9222" i="1"/>
  <c r="B9222" i="1"/>
  <c r="K9221" i="1"/>
  <c r="C9221" i="1"/>
  <c r="B9221" i="1"/>
  <c r="K9220" i="1"/>
  <c r="C9220" i="1"/>
  <c r="B9220" i="1"/>
  <c r="K9219" i="1"/>
  <c r="C9219" i="1"/>
  <c r="B9219" i="1"/>
  <c r="K9218" i="1"/>
  <c r="C9218" i="1"/>
  <c r="B9218" i="1"/>
  <c r="K9217" i="1"/>
  <c r="C9217" i="1"/>
  <c r="B9217" i="1"/>
  <c r="K9216" i="1"/>
  <c r="C9216" i="1"/>
  <c r="B9216" i="1"/>
  <c r="K9215" i="1"/>
  <c r="C9215" i="1"/>
  <c r="B9215" i="1"/>
  <c r="K9214" i="1"/>
  <c r="C9214" i="1"/>
  <c r="B9214" i="1"/>
  <c r="K9213" i="1"/>
  <c r="C9213" i="1"/>
  <c r="B9213" i="1"/>
  <c r="K9212" i="1"/>
  <c r="C9212" i="1"/>
  <c r="B9212" i="1"/>
  <c r="K9211" i="1"/>
  <c r="C9211" i="1"/>
  <c r="B9211" i="1"/>
  <c r="K9210" i="1"/>
  <c r="C9210" i="1"/>
  <c r="B9210" i="1"/>
  <c r="K9209" i="1"/>
  <c r="C9209" i="1"/>
  <c r="B9209" i="1"/>
  <c r="K9208" i="1"/>
  <c r="C9208" i="1"/>
  <c r="B9208" i="1"/>
  <c r="K9207" i="1"/>
  <c r="C9207" i="1"/>
  <c r="B9207" i="1"/>
  <c r="K9206" i="1"/>
  <c r="C9206" i="1"/>
  <c r="B9206" i="1"/>
  <c r="K9205" i="1"/>
  <c r="C9205" i="1"/>
  <c r="B9205" i="1"/>
  <c r="K9204" i="1"/>
  <c r="C9204" i="1"/>
  <c r="B9204" i="1"/>
  <c r="K9203" i="1"/>
  <c r="C9203" i="1"/>
  <c r="B9203" i="1"/>
  <c r="K9202" i="1"/>
  <c r="C9202" i="1"/>
  <c r="B9202" i="1"/>
  <c r="K9201" i="1"/>
  <c r="C9201" i="1"/>
  <c r="B9201" i="1"/>
  <c r="K9200" i="1"/>
  <c r="C9200" i="1"/>
  <c r="B9200" i="1"/>
  <c r="K9199" i="1"/>
  <c r="C9199" i="1"/>
  <c r="B9199" i="1"/>
  <c r="K9198" i="1"/>
  <c r="C9198" i="1"/>
  <c r="B9198" i="1"/>
  <c r="K9197" i="1"/>
  <c r="C9197" i="1"/>
  <c r="B9197" i="1"/>
  <c r="K9196" i="1"/>
  <c r="C9196" i="1"/>
  <c r="B9196" i="1"/>
  <c r="K9195" i="1"/>
  <c r="C9195" i="1"/>
  <c r="B9195" i="1"/>
  <c r="K9194" i="1"/>
  <c r="C9194" i="1"/>
  <c r="B9194" i="1"/>
  <c r="K9193" i="1"/>
  <c r="C9193" i="1"/>
  <c r="B9193" i="1"/>
  <c r="K9192" i="1"/>
  <c r="C9192" i="1"/>
  <c r="B9192" i="1"/>
  <c r="K9191" i="1"/>
  <c r="C9191" i="1"/>
  <c r="B9191" i="1"/>
  <c r="K9190" i="1"/>
  <c r="C9190" i="1"/>
  <c r="B9190" i="1"/>
  <c r="K9189" i="1"/>
  <c r="C9189" i="1"/>
  <c r="B9189" i="1"/>
  <c r="K9188" i="1"/>
  <c r="C9188" i="1"/>
  <c r="B9188" i="1"/>
  <c r="K9187" i="1"/>
  <c r="C9187" i="1"/>
  <c r="B9187" i="1"/>
  <c r="K9186" i="1"/>
  <c r="C9186" i="1"/>
  <c r="B9186" i="1"/>
  <c r="K9185" i="1"/>
  <c r="C9185" i="1"/>
  <c r="B9185" i="1"/>
  <c r="K9184" i="1"/>
  <c r="C9184" i="1"/>
  <c r="B9184" i="1"/>
  <c r="K9183" i="1"/>
  <c r="C9183" i="1"/>
  <c r="B9183" i="1"/>
  <c r="K9182" i="1"/>
  <c r="C9182" i="1"/>
  <c r="B9182" i="1"/>
  <c r="K9181" i="1"/>
  <c r="C9181" i="1"/>
  <c r="B9181" i="1"/>
  <c r="K9180" i="1"/>
  <c r="C9180" i="1"/>
  <c r="B9180" i="1"/>
  <c r="K9179" i="1"/>
  <c r="C9179" i="1"/>
  <c r="B9179" i="1"/>
  <c r="K9178" i="1"/>
  <c r="C9178" i="1"/>
  <c r="B9178" i="1"/>
  <c r="K9177" i="1"/>
  <c r="C9177" i="1"/>
  <c r="B9177" i="1"/>
  <c r="K9176" i="1"/>
  <c r="C9176" i="1"/>
  <c r="B9176" i="1"/>
  <c r="K9175" i="1"/>
  <c r="C9175" i="1"/>
  <c r="B9175" i="1"/>
  <c r="K9174" i="1"/>
  <c r="C9174" i="1"/>
  <c r="B9174" i="1"/>
  <c r="K9173" i="1"/>
  <c r="C9173" i="1"/>
  <c r="B9173" i="1"/>
  <c r="K9172" i="1"/>
  <c r="C9172" i="1"/>
  <c r="B9172" i="1"/>
  <c r="K9171" i="1"/>
  <c r="C9171" i="1"/>
  <c r="B9171" i="1"/>
  <c r="K9170" i="1"/>
  <c r="C9170" i="1"/>
  <c r="B9170" i="1"/>
  <c r="K9169" i="1"/>
  <c r="C9169" i="1"/>
  <c r="B9169" i="1"/>
  <c r="K9168" i="1"/>
  <c r="C9168" i="1"/>
  <c r="B9168" i="1"/>
  <c r="K9167" i="1"/>
  <c r="C9167" i="1"/>
  <c r="B9167" i="1"/>
  <c r="K9166" i="1"/>
  <c r="C9166" i="1"/>
  <c r="B9166" i="1"/>
  <c r="K9165" i="1"/>
  <c r="C9165" i="1"/>
  <c r="B9165" i="1"/>
  <c r="K9164" i="1"/>
  <c r="C9164" i="1"/>
  <c r="B9164" i="1"/>
  <c r="K9163" i="1"/>
  <c r="C9163" i="1"/>
  <c r="B9163" i="1"/>
  <c r="K9162" i="1"/>
  <c r="C9162" i="1"/>
  <c r="B9162" i="1"/>
  <c r="K9161" i="1"/>
  <c r="C9161" i="1"/>
  <c r="B9161" i="1"/>
  <c r="K9160" i="1"/>
  <c r="C9160" i="1"/>
  <c r="B9160" i="1"/>
  <c r="K9159" i="1"/>
  <c r="C9159" i="1"/>
  <c r="B9159" i="1"/>
  <c r="K9158" i="1"/>
  <c r="C9158" i="1"/>
  <c r="B9158" i="1"/>
  <c r="K9157" i="1"/>
  <c r="C9157" i="1"/>
  <c r="B9157" i="1"/>
  <c r="K9156" i="1"/>
  <c r="C9156" i="1"/>
  <c r="B9156" i="1"/>
  <c r="K9155" i="1"/>
  <c r="C9155" i="1"/>
  <c r="B9155" i="1"/>
  <c r="K9154" i="1"/>
  <c r="C9154" i="1"/>
  <c r="B9154" i="1"/>
  <c r="K9153" i="1"/>
  <c r="C9153" i="1"/>
  <c r="B9153" i="1"/>
  <c r="K9152" i="1"/>
  <c r="C9152" i="1"/>
  <c r="B9152" i="1"/>
  <c r="K9151" i="1"/>
  <c r="C9151" i="1"/>
  <c r="B9151" i="1"/>
  <c r="K9150" i="1"/>
  <c r="C9150" i="1"/>
  <c r="B9150" i="1"/>
  <c r="K9149" i="1"/>
  <c r="C9149" i="1"/>
  <c r="B9149" i="1"/>
  <c r="K9148" i="1"/>
  <c r="C9148" i="1"/>
  <c r="B9148" i="1"/>
  <c r="K9147" i="1"/>
  <c r="C9147" i="1"/>
  <c r="B9147" i="1"/>
  <c r="K9146" i="1"/>
  <c r="C9146" i="1"/>
  <c r="B9146" i="1"/>
  <c r="K9145" i="1"/>
  <c r="C9145" i="1"/>
  <c r="B9145" i="1"/>
  <c r="K9144" i="1"/>
  <c r="C9144" i="1"/>
  <c r="B9144" i="1"/>
  <c r="K9143" i="1"/>
  <c r="C9143" i="1"/>
  <c r="B9143" i="1"/>
  <c r="K9142" i="1"/>
  <c r="C9142" i="1"/>
  <c r="B9142" i="1"/>
  <c r="K9141" i="1"/>
  <c r="C9141" i="1"/>
  <c r="B9141" i="1"/>
  <c r="K9140" i="1"/>
  <c r="C9140" i="1"/>
  <c r="B9140" i="1"/>
  <c r="K9139" i="1"/>
  <c r="C9139" i="1"/>
  <c r="B9139" i="1"/>
  <c r="K9138" i="1"/>
  <c r="C9138" i="1"/>
  <c r="B9138" i="1"/>
  <c r="K9137" i="1"/>
  <c r="C9137" i="1"/>
  <c r="B9137" i="1"/>
  <c r="K9136" i="1"/>
  <c r="C9136" i="1"/>
  <c r="B9136" i="1"/>
  <c r="K9135" i="1"/>
  <c r="C9135" i="1"/>
  <c r="B9135" i="1"/>
  <c r="K9134" i="1"/>
  <c r="C9134" i="1"/>
  <c r="B9134" i="1"/>
  <c r="K9133" i="1"/>
  <c r="C9133" i="1"/>
  <c r="B9133" i="1"/>
  <c r="K9132" i="1"/>
  <c r="C9132" i="1"/>
  <c r="B9132" i="1"/>
  <c r="K9131" i="1"/>
  <c r="C9131" i="1"/>
  <c r="B9131" i="1"/>
  <c r="K9130" i="1"/>
  <c r="C9130" i="1"/>
  <c r="B9130" i="1"/>
  <c r="K9129" i="1"/>
  <c r="C9129" i="1"/>
  <c r="B9129" i="1"/>
  <c r="K9128" i="1"/>
  <c r="C9128" i="1"/>
  <c r="B9128" i="1"/>
  <c r="K9127" i="1"/>
  <c r="C9127" i="1"/>
  <c r="B9127" i="1"/>
  <c r="K9126" i="1"/>
  <c r="C9126" i="1"/>
  <c r="B9126" i="1"/>
  <c r="K9125" i="1"/>
  <c r="C9125" i="1"/>
  <c r="B9125" i="1"/>
  <c r="K9124" i="1"/>
  <c r="C9124" i="1"/>
  <c r="B9124" i="1"/>
  <c r="K9123" i="1"/>
  <c r="C9123" i="1"/>
  <c r="B9123" i="1"/>
  <c r="K9122" i="1"/>
  <c r="C9122" i="1"/>
  <c r="B9122" i="1"/>
  <c r="K9121" i="1"/>
  <c r="C9121" i="1"/>
  <c r="B9121" i="1"/>
  <c r="K9120" i="1"/>
  <c r="C9120" i="1"/>
  <c r="B9120" i="1"/>
  <c r="K9119" i="1"/>
  <c r="C9119" i="1"/>
  <c r="B9119" i="1"/>
  <c r="K9118" i="1"/>
  <c r="C9118" i="1"/>
  <c r="B9118" i="1"/>
  <c r="K9117" i="1"/>
  <c r="C9117" i="1"/>
  <c r="B9117" i="1"/>
  <c r="K9116" i="1"/>
  <c r="C9116" i="1"/>
  <c r="B9116" i="1"/>
  <c r="K9115" i="1"/>
  <c r="C9115" i="1"/>
  <c r="B9115" i="1"/>
  <c r="K9114" i="1"/>
  <c r="C9114" i="1"/>
  <c r="B9114" i="1"/>
  <c r="K9113" i="1"/>
  <c r="C9113" i="1"/>
  <c r="B9113" i="1"/>
  <c r="K9112" i="1"/>
  <c r="C9112" i="1"/>
  <c r="B9112" i="1"/>
  <c r="K9111" i="1"/>
  <c r="C9111" i="1"/>
  <c r="B9111" i="1"/>
  <c r="K9110" i="1"/>
  <c r="C9110" i="1"/>
  <c r="B9110" i="1"/>
  <c r="K9109" i="1"/>
  <c r="C9109" i="1"/>
  <c r="B9109" i="1"/>
  <c r="K9108" i="1"/>
  <c r="C9108" i="1"/>
  <c r="B9108" i="1"/>
  <c r="K9107" i="1"/>
  <c r="C9107" i="1"/>
  <c r="B9107" i="1"/>
  <c r="K9106" i="1"/>
  <c r="C9106" i="1"/>
  <c r="B9106" i="1"/>
  <c r="K9105" i="1"/>
  <c r="C9105" i="1"/>
  <c r="B9105" i="1"/>
  <c r="K9104" i="1"/>
  <c r="C9104" i="1"/>
  <c r="B9104" i="1"/>
  <c r="K9103" i="1"/>
  <c r="C9103" i="1"/>
  <c r="B9103" i="1"/>
  <c r="K9102" i="1"/>
  <c r="C9102" i="1"/>
  <c r="B9102" i="1"/>
  <c r="K9101" i="1"/>
  <c r="C9101" i="1"/>
  <c r="B9101" i="1"/>
  <c r="K9100" i="1"/>
  <c r="C9100" i="1"/>
  <c r="B9100" i="1"/>
  <c r="K9099" i="1"/>
  <c r="C9099" i="1"/>
  <c r="B9099" i="1"/>
  <c r="K9098" i="1"/>
  <c r="C9098" i="1"/>
  <c r="B9098" i="1"/>
  <c r="K9097" i="1"/>
  <c r="C9097" i="1"/>
  <c r="B9097" i="1"/>
  <c r="K9096" i="1"/>
  <c r="C9096" i="1"/>
  <c r="B9096" i="1"/>
  <c r="K9095" i="1"/>
  <c r="C9095" i="1"/>
  <c r="B9095" i="1"/>
  <c r="K9094" i="1"/>
  <c r="C9094" i="1"/>
  <c r="B9094" i="1"/>
  <c r="K9093" i="1"/>
  <c r="C9093" i="1"/>
  <c r="B9093" i="1"/>
  <c r="K9092" i="1"/>
  <c r="C9092" i="1"/>
  <c r="B9092" i="1"/>
  <c r="K9091" i="1"/>
  <c r="C9091" i="1"/>
  <c r="B9091" i="1"/>
  <c r="K9090" i="1"/>
  <c r="C9090" i="1"/>
  <c r="B9090" i="1"/>
  <c r="K9089" i="1"/>
  <c r="C9089" i="1"/>
  <c r="B9089" i="1"/>
  <c r="K9088" i="1"/>
  <c r="C9088" i="1"/>
  <c r="B9088" i="1"/>
  <c r="K9087" i="1"/>
  <c r="C9087" i="1"/>
  <c r="B9087" i="1"/>
  <c r="K9086" i="1"/>
  <c r="C9086" i="1"/>
  <c r="B9086" i="1"/>
  <c r="K9085" i="1"/>
  <c r="C9085" i="1"/>
  <c r="B9085" i="1"/>
  <c r="K9084" i="1"/>
  <c r="C9084" i="1"/>
  <c r="B9084" i="1"/>
  <c r="K9083" i="1"/>
  <c r="C9083" i="1"/>
  <c r="B9083" i="1"/>
  <c r="K9082" i="1"/>
  <c r="C9082" i="1"/>
  <c r="B9082" i="1"/>
  <c r="K9081" i="1"/>
  <c r="C9081" i="1"/>
  <c r="B9081" i="1"/>
  <c r="K9080" i="1"/>
  <c r="C9080" i="1"/>
  <c r="B9080" i="1"/>
  <c r="K9079" i="1"/>
  <c r="C9079" i="1"/>
  <c r="B9079" i="1"/>
  <c r="K9078" i="1"/>
  <c r="C9078" i="1"/>
  <c r="B9078" i="1"/>
  <c r="K9077" i="1"/>
  <c r="C9077" i="1"/>
  <c r="B9077" i="1"/>
  <c r="K9076" i="1"/>
  <c r="C9076" i="1"/>
  <c r="B9076" i="1"/>
  <c r="K9075" i="1"/>
  <c r="C9075" i="1"/>
  <c r="B9075" i="1"/>
  <c r="K9074" i="1"/>
  <c r="C9074" i="1"/>
  <c r="B9074" i="1"/>
  <c r="K9073" i="1"/>
  <c r="C9073" i="1"/>
  <c r="B9073" i="1"/>
  <c r="K9072" i="1"/>
  <c r="C9072" i="1"/>
  <c r="B9072" i="1"/>
  <c r="K9071" i="1"/>
  <c r="C9071" i="1"/>
  <c r="B9071" i="1"/>
  <c r="K9070" i="1"/>
  <c r="C9070" i="1"/>
  <c r="B9070" i="1"/>
  <c r="K9069" i="1"/>
  <c r="C9069" i="1"/>
  <c r="B9069" i="1"/>
  <c r="K9068" i="1"/>
  <c r="C9068" i="1"/>
  <c r="B9068" i="1"/>
  <c r="K9067" i="1"/>
  <c r="C9067" i="1"/>
  <c r="B9067" i="1"/>
  <c r="K9066" i="1"/>
  <c r="C9066" i="1"/>
  <c r="B9066" i="1"/>
  <c r="K9065" i="1"/>
  <c r="C9065" i="1"/>
  <c r="B9065" i="1"/>
  <c r="K9064" i="1"/>
  <c r="C9064" i="1"/>
  <c r="B9064" i="1"/>
  <c r="K9063" i="1"/>
  <c r="C9063" i="1"/>
  <c r="B9063" i="1"/>
  <c r="K9062" i="1"/>
  <c r="C9062" i="1"/>
  <c r="B9062" i="1"/>
  <c r="K9061" i="1"/>
  <c r="C9061" i="1"/>
  <c r="B9061" i="1"/>
  <c r="K9060" i="1"/>
  <c r="C9060" i="1"/>
  <c r="B9060" i="1"/>
  <c r="K9059" i="1"/>
  <c r="C9059" i="1"/>
  <c r="B9059" i="1"/>
  <c r="K9058" i="1"/>
  <c r="C9058" i="1"/>
  <c r="B9058" i="1"/>
  <c r="K9057" i="1"/>
  <c r="C9057" i="1"/>
  <c r="B9057" i="1"/>
  <c r="K9056" i="1"/>
  <c r="C9056" i="1"/>
  <c r="B9056" i="1"/>
  <c r="K9055" i="1"/>
  <c r="C9055" i="1"/>
  <c r="B9055" i="1"/>
  <c r="K9054" i="1"/>
  <c r="C9054" i="1"/>
  <c r="B9054" i="1"/>
  <c r="K9053" i="1"/>
  <c r="C9053" i="1"/>
  <c r="B9053" i="1"/>
  <c r="K9052" i="1"/>
  <c r="C9052" i="1"/>
  <c r="B9052" i="1"/>
  <c r="K9051" i="1"/>
  <c r="C9051" i="1"/>
  <c r="B9051" i="1"/>
  <c r="K9050" i="1"/>
  <c r="C9050" i="1"/>
  <c r="B9050" i="1"/>
  <c r="K9049" i="1"/>
  <c r="C9049" i="1"/>
  <c r="B9049" i="1"/>
  <c r="K9048" i="1"/>
  <c r="C9048" i="1"/>
  <c r="B9048" i="1"/>
  <c r="K9047" i="1"/>
  <c r="C9047" i="1"/>
  <c r="B9047" i="1"/>
  <c r="K9046" i="1"/>
  <c r="C9046" i="1"/>
  <c r="B9046" i="1"/>
  <c r="K9045" i="1"/>
  <c r="C9045" i="1"/>
  <c r="B9045" i="1"/>
  <c r="K9044" i="1"/>
  <c r="C9044" i="1"/>
  <c r="B9044" i="1"/>
  <c r="K9043" i="1"/>
  <c r="C9043" i="1"/>
  <c r="B9043" i="1"/>
  <c r="K9042" i="1"/>
  <c r="C9042" i="1"/>
  <c r="B9042" i="1"/>
  <c r="K9041" i="1"/>
  <c r="C9041" i="1"/>
  <c r="B9041" i="1"/>
  <c r="K9040" i="1"/>
  <c r="C9040" i="1"/>
  <c r="B9040" i="1"/>
  <c r="K9039" i="1"/>
  <c r="C9039" i="1"/>
  <c r="B9039" i="1"/>
  <c r="K9038" i="1"/>
  <c r="C9038" i="1"/>
  <c r="B9038" i="1"/>
  <c r="K9037" i="1"/>
  <c r="C9037" i="1"/>
  <c r="B9037" i="1"/>
  <c r="K9036" i="1"/>
  <c r="C9036" i="1"/>
  <c r="B9036" i="1"/>
  <c r="K9035" i="1"/>
  <c r="C9035" i="1"/>
  <c r="B9035" i="1"/>
  <c r="K9034" i="1"/>
  <c r="C9034" i="1"/>
  <c r="B9034" i="1"/>
  <c r="K9033" i="1"/>
  <c r="C9033" i="1"/>
  <c r="B9033" i="1"/>
  <c r="K9032" i="1"/>
  <c r="C9032" i="1"/>
  <c r="B9032" i="1"/>
  <c r="K9031" i="1"/>
  <c r="C9031" i="1"/>
  <c r="B9031" i="1"/>
  <c r="K9030" i="1"/>
  <c r="C9030" i="1"/>
  <c r="B9030" i="1"/>
  <c r="K9029" i="1"/>
  <c r="C9029" i="1"/>
  <c r="B9029" i="1"/>
  <c r="K9028" i="1"/>
  <c r="C9028" i="1"/>
  <c r="B9028" i="1"/>
  <c r="K9027" i="1"/>
  <c r="C9027" i="1"/>
  <c r="B9027" i="1"/>
  <c r="K9026" i="1"/>
  <c r="C9026" i="1"/>
  <c r="B9026" i="1"/>
  <c r="K9025" i="1"/>
  <c r="C9025" i="1"/>
  <c r="B9025" i="1"/>
  <c r="K9024" i="1"/>
  <c r="C9024" i="1"/>
  <c r="B9024" i="1"/>
  <c r="K9023" i="1"/>
  <c r="C9023" i="1"/>
  <c r="B9023" i="1"/>
  <c r="K9022" i="1"/>
  <c r="C9022" i="1"/>
  <c r="B9022" i="1"/>
  <c r="K9021" i="1"/>
  <c r="C9021" i="1"/>
  <c r="B9021" i="1"/>
  <c r="K9020" i="1"/>
  <c r="C9020" i="1"/>
  <c r="B9020" i="1"/>
  <c r="K9019" i="1"/>
  <c r="C9019" i="1"/>
  <c r="B9019" i="1"/>
  <c r="K9018" i="1"/>
  <c r="C9018" i="1"/>
  <c r="B9018" i="1"/>
  <c r="K9017" i="1"/>
  <c r="C9017" i="1"/>
  <c r="B9017" i="1"/>
  <c r="K9016" i="1"/>
  <c r="C9016" i="1"/>
  <c r="B9016" i="1"/>
  <c r="K9015" i="1"/>
  <c r="C9015" i="1"/>
  <c r="B9015" i="1"/>
  <c r="K9014" i="1"/>
  <c r="C9014" i="1"/>
  <c r="B9014" i="1"/>
  <c r="K9013" i="1"/>
  <c r="C9013" i="1"/>
  <c r="B9013" i="1"/>
  <c r="K9012" i="1"/>
  <c r="C9012" i="1"/>
  <c r="B9012" i="1"/>
  <c r="K9011" i="1"/>
  <c r="C9011" i="1"/>
  <c r="B9011" i="1"/>
  <c r="K9010" i="1"/>
  <c r="C9010" i="1"/>
  <c r="B9010" i="1"/>
  <c r="K9009" i="1"/>
  <c r="C9009" i="1"/>
  <c r="B9009" i="1"/>
  <c r="K9008" i="1"/>
  <c r="C9008" i="1"/>
  <c r="B9008" i="1"/>
  <c r="K9007" i="1"/>
  <c r="C9007" i="1"/>
  <c r="B9007" i="1"/>
  <c r="K9006" i="1"/>
  <c r="C9006" i="1"/>
  <c r="B9006" i="1"/>
  <c r="K9005" i="1"/>
  <c r="C9005" i="1"/>
  <c r="B9005" i="1"/>
  <c r="K9004" i="1"/>
  <c r="C9004" i="1"/>
  <c r="B9004" i="1"/>
  <c r="K9003" i="1"/>
  <c r="C9003" i="1"/>
  <c r="B9003" i="1"/>
  <c r="K9002" i="1"/>
  <c r="C9002" i="1"/>
  <c r="B9002" i="1"/>
  <c r="K9001" i="1"/>
  <c r="C9001" i="1"/>
  <c r="B9001" i="1"/>
  <c r="K9000" i="1"/>
  <c r="C9000" i="1"/>
  <c r="B9000" i="1"/>
  <c r="K8999" i="1"/>
  <c r="C8999" i="1"/>
  <c r="B8999" i="1"/>
  <c r="K8998" i="1"/>
  <c r="C8998" i="1"/>
  <c r="B8998" i="1"/>
  <c r="K8997" i="1"/>
  <c r="C8997" i="1"/>
  <c r="B8997" i="1"/>
  <c r="K8996" i="1"/>
  <c r="C8996" i="1"/>
  <c r="B8996" i="1"/>
  <c r="K8995" i="1"/>
  <c r="C8995" i="1"/>
  <c r="B8995" i="1"/>
  <c r="K8994" i="1"/>
  <c r="C8994" i="1"/>
  <c r="B8994" i="1"/>
  <c r="K8993" i="1"/>
  <c r="C8993" i="1"/>
  <c r="B8993" i="1"/>
  <c r="K8992" i="1"/>
  <c r="C8992" i="1"/>
  <c r="B8992" i="1"/>
  <c r="K8991" i="1"/>
  <c r="C8991" i="1"/>
  <c r="B8991" i="1"/>
  <c r="K8990" i="1"/>
  <c r="C8990" i="1"/>
  <c r="B8990" i="1"/>
  <c r="K8989" i="1"/>
  <c r="C8989" i="1"/>
  <c r="B8989" i="1"/>
  <c r="K8988" i="1"/>
  <c r="C8988" i="1"/>
  <c r="B8988" i="1"/>
  <c r="K8987" i="1"/>
  <c r="C8987" i="1"/>
  <c r="B8987" i="1"/>
  <c r="K8986" i="1"/>
  <c r="C8986" i="1"/>
  <c r="B8986" i="1"/>
  <c r="K8985" i="1"/>
  <c r="C8985" i="1"/>
  <c r="B8985" i="1"/>
  <c r="K8984" i="1"/>
  <c r="C8984" i="1"/>
  <c r="B8984" i="1"/>
  <c r="K8983" i="1"/>
  <c r="C8983" i="1"/>
  <c r="B8983" i="1"/>
  <c r="K8982" i="1"/>
  <c r="C8982" i="1"/>
  <c r="B8982" i="1"/>
  <c r="K8981" i="1"/>
  <c r="C8981" i="1"/>
  <c r="B8981" i="1"/>
  <c r="K8980" i="1"/>
  <c r="C8980" i="1"/>
  <c r="B8980" i="1"/>
  <c r="K8979" i="1"/>
  <c r="C8979" i="1"/>
  <c r="B8979" i="1"/>
  <c r="K8978" i="1"/>
  <c r="C8978" i="1"/>
  <c r="B8978" i="1"/>
  <c r="K8977" i="1"/>
  <c r="C8977" i="1"/>
  <c r="B8977" i="1"/>
  <c r="K8976" i="1"/>
  <c r="C8976" i="1"/>
  <c r="B8976" i="1"/>
  <c r="K8975" i="1"/>
  <c r="C8975" i="1"/>
  <c r="B8975" i="1"/>
  <c r="K8974" i="1"/>
  <c r="C8974" i="1"/>
  <c r="B8974" i="1"/>
  <c r="K8973" i="1"/>
  <c r="C8973" i="1"/>
  <c r="B8973" i="1"/>
  <c r="K8972" i="1"/>
  <c r="C8972" i="1"/>
  <c r="B8972" i="1"/>
  <c r="K8971" i="1"/>
  <c r="C8971" i="1"/>
  <c r="B8971" i="1"/>
  <c r="K8970" i="1"/>
  <c r="C8970" i="1"/>
  <c r="B8970" i="1"/>
  <c r="K8969" i="1"/>
  <c r="C8969" i="1"/>
  <c r="B8969" i="1"/>
  <c r="K8968" i="1"/>
  <c r="C8968" i="1"/>
  <c r="B8968" i="1"/>
  <c r="K8967" i="1"/>
  <c r="C8967" i="1"/>
  <c r="B8967" i="1"/>
  <c r="K8966" i="1"/>
  <c r="C8966" i="1"/>
  <c r="B8966" i="1"/>
  <c r="K8965" i="1"/>
  <c r="C8965" i="1"/>
  <c r="B8965" i="1"/>
  <c r="K8964" i="1"/>
  <c r="C8964" i="1"/>
  <c r="B8964" i="1"/>
  <c r="K8963" i="1"/>
  <c r="C8963" i="1"/>
  <c r="B8963" i="1"/>
  <c r="K8962" i="1"/>
  <c r="C8962" i="1"/>
  <c r="B8962" i="1"/>
  <c r="K8961" i="1"/>
  <c r="C8961" i="1"/>
  <c r="B8961" i="1"/>
  <c r="K8960" i="1"/>
  <c r="C8960" i="1"/>
  <c r="B8960" i="1"/>
  <c r="K8959" i="1"/>
  <c r="C8959" i="1"/>
  <c r="B8959" i="1"/>
  <c r="K8958" i="1"/>
  <c r="C8958" i="1"/>
  <c r="B8958" i="1"/>
  <c r="K8957" i="1"/>
  <c r="C8957" i="1"/>
  <c r="B8957" i="1"/>
  <c r="K8956" i="1"/>
  <c r="C8956" i="1"/>
  <c r="B8956" i="1"/>
  <c r="K8955" i="1"/>
  <c r="C8955" i="1"/>
  <c r="B8955" i="1"/>
  <c r="K8954" i="1"/>
  <c r="C8954" i="1"/>
  <c r="B8954" i="1"/>
  <c r="K8953" i="1"/>
  <c r="C8953" i="1"/>
  <c r="B8953" i="1"/>
  <c r="K8952" i="1"/>
  <c r="C8952" i="1"/>
  <c r="B8952" i="1"/>
  <c r="K8951" i="1"/>
  <c r="C8951" i="1"/>
  <c r="B8951" i="1"/>
  <c r="K8950" i="1"/>
  <c r="C8950" i="1"/>
  <c r="B8950" i="1"/>
  <c r="K8949" i="1"/>
  <c r="C8949" i="1"/>
  <c r="B8949" i="1"/>
  <c r="K8948" i="1"/>
  <c r="C8948" i="1"/>
  <c r="B8948" i="1"/>
  <c r="K8947" i="1"/>
  <c r="C8947" i="1"/>
  <c r="B8947" i="1"/>
  <c r="K8946" i="1"/>
  <c r="C8946" i="1"/>
  <c r="B8946" i="1"/>
  <c r="K8945" i="1"/>
  <c r="C8945" i="1"/>
  <c r="B8945" i="1"/>
  <c r="K8944" i="1"/>
  <c r="C8944" i="1"/>
  <c r="B8944" i="1"/>
  <c r="K8943" i="1"/>
  <c r="C8943" i="1"/>
  <c r="B8943" i="1"/>
  <c r="K8942" i="1"/>
  <c r="C8942" i="1"/>
  <c r="B8942" i="1"/>
  <c r="K8941" i="1"/>
  <c r="C8941" i="1"/>
  <c r="B8941" i="1"/>
  <c r="K8940" i="1"/>
  <c r="C8940" i="1"/>
  <c r="B8940" i="1"/>
  <c r="K8939" i="1"/>
  <c r="C8939" i="1"/>
  <c r="B8939" i="1"/>
  <c r="K8938" i="1"/>
  <c r="C8938" i="1"/>
  <c r="B8938" i="1"/>
  <c r="K8937" i="1"/>
  <c r="C8937" i="1"/>
  <c r="B8937" i="1"/>
  <c r="K8936" i="1"/>
  <c r="C8936" i="1"/>
  <c r="B8936" i="1"/>
  <c r="K8935" i="1"/>
  <c r="C8935" i="1"/>
  <c r="B8935" i="1"/>
  <c r="K8934" i="1"/>
  <c r="C8934" i="1"/>
  <c r="B8934" i="1"/>
  <c r="K8933" i="1"/>
  <c r="C8933" i="1"/>
  <c r="B8933" i="1"/>
  <c r="K8932" i="1"/>
  <c r="C8932" i="1"/>
  <c r="B8932" i="1"/>
  <c r="K8931" i="1"/>
  <c r="C8931" i="1"/>
  <c r="B8931" i="1"/>
  <c r="K8930" i="1"/>
  <c r="C8930" i="1"/>
  <c r="B8930" i="1"/>
  <c r="K8929" i="1"/>
  <c r="C8929" i="1"/>
  <c r="B8929" i="1"/>
  <c r="K8928" i="1"/>
  <c r="C8928" i="1"/>
  <c r="B8928" i="1"/>
  <c r="K8927" i="1"/>
  <c r="C8927" i="1"/>
  <c r="B8927" i="1"/>
  <c r="K8926" i="1"/>
  <c r="C8926" i="1"/>
  <c r="B8926" i="1"/>
  <c r="K8925" i="1"/>
  <c r="C8925" i="1"/>
  <c r="B8925" i="1"/>
  <c r="K8924" i="1"/>
  <c r="C8924" i="1"/>
  <c r="B8924" i="1"/>
  <c r="K8923" i="1"/>
  <c r="C8923" i="1"/>
  <c r="B8923" i="1"/>
  <c r="K8922" i="1"/>
  <c r="C8922" i="1"/>
  <c r="B8922" i="1"/>
  <c r="K8921" i="1"/>
  <c r="C8921" i="1"/>
  <c r="B8921" i="1"/>
  <c r="K8920" i="1"/>
  <c r="C8920" i="1"/>
  <c r="B8920" i="1"/>
  <c r="K8919" i="1"/>
  <c r="C8919" i="1"/>
  <c r="B8919" i="1"/>
  <c r="K8918" i="1"/>
  <c r="C8918" i="1"/>
  <c r="B8918" i="1"/>
  <c r="K8917" i="1"/>
  <c r="C8917" i="1"/>
  <c r="B8917" i="1"/>
  <c r="K8916" i="1"/>
  <c r="C8916" i="1"/>
  <c r="B8916" i="1"/>
  <c r="K8915" i="1"/>
  <c r="C8915" i="1"/>
  <c r="B8915" i="1"/>
  <c r="K8914" i="1"/>
  <c r="C8914" i="1"/>
  <c r="B8914" i="1"/>
  <c r="K8913" i="1"/>
  <c r="C8913" i="1"/>
  <c r="B8913" i="1"/>
  <c r="K8912" i="1"/>
  <c r="C8912" i="1"/>
  <c r="B8912" i="1"/>
  <c r="K8911" i="1"/>
  <c r="C8911" i="1"/>
  <c r="B8911" i="1"/>
  <c r="K8910" i="1"/>
  <c r="C8910" i="1"/>
  <c r="B8910" i="1"/>
  <c r="K8909" i="1"/>
  <c r="C8909" i="1"/>
  <c r="B8909" i="1"/>
  <c r="K8908" i="1"/>
  <c r="C8908" i="1"/>
  <c r="B8908" i="1"/>
  <c r="K8907" i="1"/>
  <c r="C8907" i="1"/>
  <c r="B8907" i="1"/>
  <c r="K8906" i="1"/>
  <c r="C8906" i="1"/>
  <c r="B8906" i="1"/>
  <c r="K8905" i="1"/>
  <c r="C8905" i="1"/>
  <c r="B8905" i="1"/>
  <c r="K8904" i="1"/>
  <c r="C8904" i="1"/>
  <c r="B8904" i="1"/>
  <c r="K8903" i="1"/>
  <c r="C8903" i="1"/>
  <c r="B8903" i="1"/>
  <c r="K8902" i="1"/>
  <c r="C8902" i="1"/>
  <c r="B8902" i="1"/>
  <c r="K8901" i="1"/>
  <c r="C8901" i="1"/>
  <c r="B8901" i="1"/>
  <c r="K8900" i="1"/>
  <c r="C8900" i="1"/>
  <c r="B8900" i="1"/>
  <c r="K8899" i="1"/>
  <c r="C8899" i="1"/>
  <c r="B8899" i="1"/>
  <c r="K8898" i="1"/>
  <c r="C8898" i="1"/>
  <c r="B8898" i="1"/>
  <c r="K8897" i="1"/>
  <c r="C8897" i="1"/>
  <c r="B8897" i="1"/>
  <c r="K8896" i="1"/>
  <c r="C8896" i="1"/>
  <c r="B8896" i="1"/>
  <c r="K8895" i="1"/>
  <c r="C8895" i="1"/>
  <c r="B8895" i="1"/>
  <c r="K8894" i="1"/>
  <c r="C8894" i="1"/>
  <c r="B8894" i="1"/>
  <c r="K8893" i="1"/>
  <c r="C8893" i="1"/>
  <c r="B8893" i="1"/>
  <c r="K8892" i="1"/>
  <c r="C8892" i="1"/>
  <c r="B8892" i="1"/>
  <c r="K8891" i="1"/>
  <c r="C8891" i="1"/>
  <c r="B8891" i="1"/>
  <c r="K8890" i="1"/>
  <c r="C8890" i="1"/>
  <c r="B8890" i="1"/>
  <c r="K8889" i="1"/>
  <c r="C8889" i="1"/>
  <c r="B8889" i="1"/>
  <c r="K8888" i="1"/>
  <c r="C8888" i="1"/>
  <c r="B8888" i="1"/>
  <c r="K8887" i="1"/>
  <c r="C8887" i="1"/>
  <c r="B8887" i="1"/>
  <c r="K8886" i="1"/>
  <c r="C8886" i="1"/>
  <c r="B8886" i="1"/>
  <c r="K8885" i="1"/>
  <c r="C8885" i="1"/>
  <c r="B8885" i="1"/>
  <c r="K8884" i="1"/>
  <c r="C8884" i="1"/>
  <c r="B8884" i="1"/>
  <c r="K8883" i="1"/>
  <c r="C8883" i="1"/>
  <c r="B8883" i="1"/>
  <c r="K8882" i="1"/>
  <c r="C8882" i="1"/>
  <c r="B8882" i="1"/>
  <c r="K8881" i="1"/>
  <c r="C8881" i="1"/>
  <c r="B8881" i="1"/>
  <c r="K8880" i="1"/>
  <c r="C8880" i="1"/>
  <c r="B8880" i="1"/>
  <c r="K8879" i="1"/>
  <c r="C8879" i="1"/>
  <c r="B8879" i="1"/>
  <c r="K8878" i="1"/>
  <c r="C8878" i="1"/>
  <c r="B8878" i="1"/>
  <c r="K8877" i="1"/>
  <c r="C8877" i="1"/>
  <c r="B8877" i="1"/>
  <c r="K8876" i="1"/>
  <c r="C8876" i="1"/>
  <c r="B8876" i="1"/>
  <c r="K8875" i="1"/>
  <c r="C8875" i="1"/>
  <c r="B8875" i="1"/>
  <c r="K8874" i="1"/>
  <c r="C8874" i="1"/>
  <c r="B8874" i="1"/>
  <c r="K8873" i="1"/>
  <c r="C8873" i="1"/>
  <c r="B8873" i="1"/>
  <c r="K8872" i="1"/>
  <c r="C8872" i="1"/>
  <c r="B8872" i="1"/>
  <c r="K8871" i="1"/>
  <c r="C8871" i="1"/>
  <c r="B8871" i="1"/>
  <c r="K8870" i="1"/>
  <c r="C8870" i="1"/>
  <c r="B8870" i="1"/>
  <c r="K8869" i="1"/>
  <c r="C8869" i="1"/>
  <c r="B8869" i="1"/>
  <c r="K8868" i="1"/>
  <c r="C8868" i="1"/>
  <c r="B8868" i="1"/>
  <c r="K8867" i="1"/>
  <c r="C8867" i="1"/>
  <c r="B8867" i="1"/>
  <c r="K8866" i="1"/>
  <c r="C8866" i="1"/>
  <c r="B8866" i="1"/>
  <c r="K8865" i="1"/>
  <c r="C8865" i="1"/>
  <c r="B8865" i="1"/>
  <c r="K8864" i="1"/>
  <c r="C8864" i="1"/>
  <c r="B8864" i="1"/>
  <c r="K8863" i="1"/>
  <c r="C8863" i="1"/>
  <c r="B8863" i="1"/>
  <c r="K8862" i="1"/>
  <c r="C8862" i="1"/>
  <c r="B8862" i="1"/>
  <c r="K8861" i="1"/>
  <c r="C8861" i="1"/>
  <c r="B8861" i="1"/>
  <c r="K8860" i="1"/>
  <c r="C8860" i="1"/>
  <c r="B8860" i="1"/>
  <c r="K8859" i="1"/>
  <c r="C8859" i="1"/>
  <c r="B8859" i="1"/>
  <c r="K8858" i="1"/>
  <c r="C8858" i="1"/>
  <c r="B8858" i="1"/>
  <c r="K8857" i="1"/>
  <c r="C8857" i="1"/>
  <c r="B8857" i="1"/>
  <c r="K8856" i="1"/>
  <c r="C8856" i="1"/>
  <c r="B8856" i="1"/>
  <c r="K8855" i="1"/>
  <c r="C8855" i="1"/>
  <c r="B8855" i="1"/>
  <c r="K8854" i="1"/>
  <c r="C8854" i="1"/>
  <c r="B8854" i="1"/>
  <c r="K8853" i="1"/>
  <c r="C8853" i="1"/>
  <c r="B8853" i="1"/>
  <c r="K8852" i="1"/>
  <c r="C8852" i="1"/>
  <c r="B8852" i="1"/>
  <c r="K8851" i="1"/>
  <c r="C8851" i="1"/>
  <c r="B8851" i="1"/>
  <c r="K8850" i="1"/>
  <c r="C8850" i="1"/>
  <c r="B8850" i="1"/>
  <c r="K8849" i="1"/>
  <c r="C8849" i="1"/>
  <c r="B8849" i="1"/>
  <c r="K8848" i="1"/>
  <c r="C8848" i="1"/>
  <c r="B8848" i="1"/>
  <c r="K8847" i="1"/>
  <c r="C8847" i="1"/>
  <c r="B8847" i="1"/>
  <c r="K8846" i="1"/>
  <c r="C8846" i="1"/>
  <c r="B8846" i="1"/>
  <c r="K8845" i="1"/>
  <c r="C8845" i="1"/>
  <c r="B8845" i="1"/>
  <c r="K8844" i="1"/>
  <c r="C8844" i="1"/>
  <c r="B8844" i="1"/>
  <c r="K8843" i="1"/>
  <c r="C8843" i="1"/>
  <c r="B8843" i="1"/>
  <c r="K8842" i="1"/>
  <c r="C8842" i="1"/>
  <c r="B8842" i="1"/>
  <c r="K8841" i="1"/>
  <c r="C8841" i="1"/>
  <c r="B8841" i="1"/>
  <c r="K8840" i="1"/>
  <c r="C8840" i="1"/>
  <c r="B8840" i="1"/>
  <c r="K8839" i="1"/>
  <c r="C8839" i="1"/>
  <c r="B8839" i="1"/>
  <c r="K8838" i="1"/>
  <c r="C8838" i="1"/>
  <c r="B8838" i="1"/>
  <c r="K8837" i="1"/>
  <c r="C8837" i="1"/>
  <c r="B8837" i="1"/>
  <c r="K8836" i="1"/>
  <c r="C8836" i="1"/>
  <c r="B8836" i="1"/>
  <c r="K8835" i="1"/>
  <c r="C8835" i="1"/>
  <c r="B8835" i="1"/>
  <c r="K8834" i="1"/>
  <c r="C8834" i="1"/>
  <c r="B8834" i="1"/>
  <c r="K8833" i="1"/>
  <c r="C8833" i="1"/>
  <c r="B8833" i="1"/>
  <c r="K8832" i="1"/>
  <c r="C8832" i="1"/>
  <c r="B8832" i="1"/>
  <c r="K8831" i="1"/>
  <c r="C8831" i="1"/>
  <c r="B8831" i="1"/>
  <c r="K8830" i="1"/>
  <c r="C8830" i="1"/>
  <c r="B8830" i="1"/>
  <c r="K8829" i="1"/>
  <c r="C8829" i="1"/>
  <c r="B8829" i="1"/>
  <c r="K8828" i="1"/>
  <c r="C8828" i="1"/>
  <c r="B8828" i="1"/>
  <c r="K8827" i="1"/>
  <c r="C8827" i="1"/>
  <c r="B8827" i="1"/>
  <c r="K8826" i="1"/>
  <c r="C8826" i="1"/>
  <c r="B8826" i="1"/>
  <c r="K8825" i="1"/>
  <c r="C8825" i="1"/>
  <c r="B8825" i="1"/>
  <c r="K8824" i="1"/>
  <c r="C8824" i="1"/>
  <c r="B8824" i="1"/>
  <c r="K8823" i="1"/>
  <c r="C8823" i="1"/>
  <c r="B8823" i="1"/>
  <c r="K8822" i="1"/>
  <c r="C8822" i="1"/>
  <c r="B8822" i="1"/>
  <c r="K8821" i="1"/>
  <c r="C8821" i="1"/>
  <c r="B8821" i="1"/>
  <c r="K8820" i="1"/>
  <c r="C8820" i="1"/>
  <c r="B8820" i="1"/>
  <c r="K8819" i="1"/>
  <c r="C8819" i="1"/>
  <c r="B8819" i="1"/>
  <c r="K8818" i="1"/>
  <c r="C8818" i="1"/>
  <c r="B8818" i="1"/>
  <c r="K8817" i="1"/>
  <c r="C8817" i="1"/>
  <c r="B8817" i="1"/>
  <c r="K8816" i="1"/>
  <c r="C8816" i="1"/>
  <c r="B8816" i="1"/>
  <c r="K8815" i="1"/>
  <c r="C8815" i="1"/>
  <c r="B8815" i="1"/>
  <c r="K8814" i="1"/>
  <c r="C8814" i="1"/>
  <c r="B8814" i="1"/>
  <c r="K8813" i="1"/>
  <c r="C8813" i="1"/>
  <c r="B8813" i="1"/>
  <c r="K8812" i="1"/>
  <c r="C8812" i="1"/>
  <c r="B8812" i="1"/>
  <c r="K8811" i="1"/>
  <c r="C8811" i="1"/>
  <c r="B8811" i="1"/>
  <c r="K8810" i="1"/>
  <c r="C8810" i="1"/>
  <c r="B8810" i="1"/>
  <c r="K8809" i="1"/>
  <c r="C8809" i="1"/>
  <c r="B8809" i="1"/>
  <c r="K8808" i="1"/>
  <c r="C8808" i="1"/>
  <c r="B8808" i="1"/>
  <c r="K8807" i="1"/>
  <c r="C8807" i="1"/>
  <c r="B8807" i="1"/>
  <c r="K8806" i="1"/>
  <c r="C8806" i="1"/>
  <c r="B8806" i="1"/>
  <c r="K8805" i="1"/>
  <c r="C8805" i="1"/>
  <c r="B8805" i="1"/>
  <c r="K8804" i="1"/>
  <c r="C8804" i="1"/>
  <c r="B8804" i="1"/>
  <c r="K8803" i="1"/>
  <c r="C8803" i="1"/>
  <c r="B8803" i="1"/>
  <c r="K8802" i="1"/>
  <c r="C8802" i="1"/>
  <c r="B8802" i="1"/>
  <c r="K8801" i="1"/>
  <c r="C8801" i="1"/>
  <c r="B8801" i="1"/>
  <c r="K8800" i="1"/>
  <c r="C8800" i="1"/>
  <c r="B8800" i="1"/>
  <c r="K8799" i="1"/>
  <c r="C8799" i="1"/>
  <c r="B8799" i="1"/>
  <c r="K8798" i="1"/>
  <c r="C8798" i="1"/>
  <c r="B8798" i="1"/>
  <c r="K8797" i="1"/>
  <c r="C8797" i="1"/>
  <c r="B8797" i="1"/>
  <c r="K8796" i="1"/>
  <c r="C8796" i="1"/>
  <c r="B8796" i="1"/>
  <c r="K8795" i="1"/>
  <c r="C8795" i="1"/>
  <c r="B8795" i="1"/>
  <c r="K8794" i="1"/>
  <c r="C8794" i="1"/>
  <c r="B8794" i="1"/>
  <c r="K8793" i="1"/>
  <c r="C8793" i="1"/>
  <c r="B8793" i="1"/>
  <c r="K8792" i="1"/>
  <c r="C8792" i="1"/>
  <c r="B8792" i="1"/>
  <c r="K8791" i="1"/>
  <c r="C8791" i="1"/>
  <c r="B8791" i="1"/>
  <c r="K8790" i="1"/>
  <c r="C8790" i="1"/>
  <c r="B8790" i="1"/>
  <c r="K8789" i="1"/>
  <c r="C8789" i="1"/>
  <c r="B8789" i="1"/>
  <c r="K8788" i="1"/>
  <c r="C8788" i="1"/>
  <c r="B8788" i="1"/>
  <c r="K8787" i="1"/>
  <c r="C8787" i="1"/>
  <c r="B8787" i="1"/>
  <c r="K8786" i="1"/>
  <c r="C8786" i="1"/>
  <c r="B8786" i="1"/>
  <c r="K8785" i="1"/>
  <c r="C8785" i="1"/>
  <c r="B8785" i="1"/>
  <c r="K8784" i="1"/>
  <c r="C8784" i="1"/>
  <c r="B8784" i="1"/>
  <c r="K8783" i="1"/>
  <c r="C8783" i="1"/>
  <c r="B8783" i="1"/>
  <c r="K8782" i="1"/>
  <c r="C8782" i="1"/>
  <c r="B8782" i="1"/>
  <c r="K8781" i="1"/>
  <c r="C8781" i="1"/>
  <c r="B8781" i="1"/>
  <c r="K8780" i="1"/>
  <c r="C8780" i="1"/>
  <c r="B8780" i="1"/>
  <c r="K8779" i="1"/>
  <c r="C8779" i="1"/>
  <c r="B8779" i="1"/>
  <c r="K8778" i="1"/>
  <c r="C8778" i="1"/>
  <c r="B8778" i="1"/>
  <c r="K8777" i="1"/>
  <c r="C8777" i="1"/>
  <c r="B8777" i="1"/>
  <c r="K8776" i="1"/>
  <c r="C8776" i="1"/>
  <c r="B8776" i="1"/>
  <c r="K8775" i="1"/>
  <c r="C8775" i="1"/>
  <c r="B8775" i="1"/>
  <c r="K8774" i="1"/>
  <c r="C8774" i="1"/>
  <c r="B8774" i="1"/>
  <c r="K8773" i="1"/>
  <c r="C8773" i="1"/>
  <c r="B8773" i="1"/>
  <c r="K8772" i="1"/>
  <c r="C8772" i="1"/>
  <c r="B8772" i="1"/>
  <c r="K8771" i="1"/>
  <c r="C8771" i="1"/>
  <c r="B8771" i="1"/>
  <c r="K8770" i="1"/>
  <c r="C8770" i="1"/>
  <c r="B8770" i="1"/>
  <c r="K8769" i="1"/>
  <c r="C8769" i="1"/>
  <c r="B8769" i="1"/>
  <c r="K8768" i="1"/>
  <c r="C8768" i="1"/>
  <c r="B8768" i="1"/>
  <c r="K8767" i="1"/>
  <c r="C8767" i="1"/>
  <c r="B8767" i="1"/>
  <c r="K8766" i="1"/>
  <c r="C8766" i="1"/>
  <c r="B8766" i="1"/>
  <c r="K8765" i="1"/>
  <c r="C8765" i="1"/>
  <c r="B8765" i="1"/>
  <c r="K8764" i="1"/>
  <c r="C8764" i="1"/>
  <c r="B8764" i="1"/>
  <c r="K8763" i="1"/>
  <c r="C8763" i="1"/>
  <c r="B8763" i="1"/>
  <c r="K8762" i="1"/>
  <c r="C8762" i="1"/>
  <c r="B8762" i="1"/>
  <c r="K8761" i="1"/>
  <c r="C8761" i="1"/>
  <c r="B8761" i="1"/>
  <c r="K8760" i="1"/>
  <c r="C8760" i="1"/>
  <c r="B8760" i="1"/>
  <c r="K8759" i="1"/>
  <c r="C8759" i="1"/>
  <c r="B8759" i="1"/>
  <c r="K8758" i="1"/>
  <c r="C8758" i="1"/>
  <c r="B8758" i="1"/>
  <c r="K8757" i="1"/>
  <c r="C8757" i="1"/>
  <c r="B8757" i="1"/>
  <c r="K8756" i="1"/>
  <c r="C8756" i="1"/>
  <c r="B8756" i="1"/>
  <c r="K8755" i="1"/>
  <c r="C8755" i="1"/>
  <c r="B8755" i="1"/>
  <c r="K8754" i="1"/>
  <c r="C8754" i="1"/>
  <c r="B8754" i="1"/>
  <c r="K8753" i="1"/>
  <c r="C8753" i="1"/>
  <c r="B8753" i="1"/>
  <c r="K8752" i="1"/>
  <c r="C8752" i="1"/>
  <c r="B8752" i="1"/>
  <c r="K8751" i="1"/>
  <c r="C8751" i="1"/>
  <c r="B8751" i="1"/>
  <c r="K8750" i="1"/>
  <c r="C8750" i="1"/>
  <c r="B8750" i="1"/>
  <c r="K8749" i="1"/>
  <c r="C8749" i="1"/>
  <c r="B8749" i="1"/>
  <c r="K8748" i="1"/>
  <c r="C8748" i="1"/>
  <c r="B8748" i="1"/>
  <c r="K8747" i="1"/>
  <c r="C8747" i="1"/>
  <c r="B8747" i="1"/>
  <c r="K8746" i="1"/>
  <c r="C8746" i="1"/>
  <c r="B8746" i="1"/>
  <c r="K8745" i="1"/>
  <c r="C8745" i="1"/>
  <c r="B8745" i="1"/>
  <c r="K8744" i="1"/>
  <c r="C8744" i="1"/>
  <c r="B8744" i="1"/>
  <c r="K8743" i="1"/>
  <c r="C8743" i="1"/>
  <c r="B8743" i="1"/>
  <c r="K8742" i="1"/>
  <c r="C8742" i="1"/>
  <c r="B8742" i="1"/>
  <c r="K8741" i="1"/>
  <c r="C8741" i="1"/>
  <c r="B8741" i="1"/>
  <c r="K8740" i="1"/>
  <c r="C8740" i="1"/>
  <c r="B8740" i="1"/>
  <c r="K8739" i="1"/>
  <c r="C8739" i="1"/>
  <c r="B8739" i="1"/>
  <c r="K8738" i="1"/>
  <c r="C8738" i="1"/>
  <c r="B8738" i="1"/>
  <c r="K8737" i="1"/>
  <c r="C8737" i="1"/>
  <c r="B8737" i="1"/>
  <c r="K8736" i="1"/>
  <c r="C8736" i="1"/>
  <c r="B8736" i="1"/>
  <c r="K8735" i="1"/>
  <c r="C8735" i="1"/>
  <c r="B8735" i="1"/>
  <c r="K8734" i="1"/>
  <c r="C8734" i="1"/>
  <c r="B8734" i="1"/>
  <c r="K8733" i="1"/>
  <c r="C8733" i="1"/>
  <c r="B8733" i="1"/>
  <c r="K8732" i="1"/>
  <c r="C8732" i="1"/>
  <c r="B8732" i="1"/>
  <c r="K8731" i="1"/>
  <c r="C8731" i="1"/>
  <c r="B8731" i="1"/>
  <c r="K8730" i="1"/>
  <c r="C8730" i="1"/>
  <c r="B8730" i="1"/>
  <c r="K8729" i="1"/>
  <c r="C8729" i="1"/>
  <c r="B8729" i="1"/>
  <c r="K8728" i="1"/>
  <c r="C8728" i="1"/>
  <c r="B8728" i="1"/>
  <c r="K8727" i="1"/>
  <c r="C8727" i="1"/>
  <c r="B8727" i="1"/>
  <c r="K8726" i="1"/>
  <c r="C8726" i="1"/>
  <c r="B8726" i="1"/>
  <c r="K8725" i="1"/>
  <c r="C8725" i="1"/>
  <c r="B8725" i="1"/>
  <c r="K8724" i="1"/>
  <c r="C8724" i="1"/>
  <c r="B8724" i="1"/>
  <c r="K8723" i="1"/>
  <c r="C8723" i="1"/>
  <c r="B8723" i="1"/>
  <c r="K8722" i="1"/>
  <c r="C8722" i="1"/>
  <c r="B8722" i="1"/>
  <c r="K8721" i="1"/>
  <c r="C8721" i="1"/>
  <c r="B8721" i="1"/>
  <c r="K8720" i="1"/>
  <c r="C8720" i="1"/>
  <c r="B8720" i="1"/>
  <c r="K8719" i="1"/>
  <c r="C8719" i="1"/>
  <c r="B8719" i="1"/>
  <c r="K8718" i="1"/>
  <c r="C8718" i="1"/>
  <c r="B8718" i="1"/>
  <c r="K8717" i="1"/>
  <c r="C8717" i="1"/>
  <c r="B8717" i="1"/>
  <c r="K8716" i="1"/>
  <c r="C8716" i="1"/>
  <c r="B8716" i="1"/>
  <c r="K8715" i="1"/>
  <c r="C8715" i="1"/>
  <c r="B8715" i="1"/>
  <c r="K8714" i="1"/>
  <c r="C8714" i="1"/>
  <c r="B8714" i="1"/>
  <c r="K8713" i="1"/>
  <c r="C8713" i="1"/>
  <c r="B8713" i="1"/>
  <c r="K8712" i="1"/>
  <c r="C8712" i="1"/>
  <c r="B8712" i="1"/>
  <c r="K8711" i="1"/>
  <c r="C8711" i="1"/>
  <c r="B8711" i="1"/>
  <c r="K8710" i="1"/>
  <c r="C8710" i="1"/>
  <c r="B8710" i="1"/>
  <c r="K8709" i="1"/>
  <c r="C8709" i="1"/>
  <c r="B8709" i="1"/>
  <c r="K8708" i="1"/>
  <c r="C8708" i="1"/>
  <c r="B8708" i="1"/>
  <c r="K8707" i="1"/>
  <c r="C8707" i="1"/>
  <c r="B8707" i="1"/>
  <c r="K8706" i="1"/>
  <c r="C8706" i="1"/>
  <c r="B8706" i="1"/>
  <c r="K8705" i="1"/>
  <c r="C8705" i="1"/>
  <c r="B8705" i="1"/>
  <c r="K8704" i="1"/>
  <c r="C8704" i="1"/>
  <c r="B8704" i="1"/>
  <c r="K8703" i="1"/>
  <c r="C8703" i="1"/>
  <c r="B8703" i="1"/>
  <c r="K8702" i="1"/>
  <c r="C8702" i="1"/>
  <c r="B8702" i="1"/>
  <c r="K8701" i="1"/>
  <c r="C8701" i="1"/>
  <c r="B8701" i="1"/>
  <c r="K8700" i="1"/>
  <c r="C8700" i="1"/>
  <c r="B8700" i="1"/>
  <c r="K8699" i="1"/>
  <c r="C8699" i="1"/>
  <c r="B8699" i="1"/>
  <c r="K8698" i="1"/>
  <c r="C8698" i="1"/>
  <c r="B8698" i="1"/>
  <c r="K8697" i="1"/>
  <c r="C8697" i="1"/>
  <c r="B8697" i="1"/>
  <c r="K8696" i="1"/>
  <c r="C8696" i="1"/>
  <c r="B8696" i="1"/>
  <c r="K8695" i="1"/>
  <c r="C8695" i="1"/>
  <c r="B8695" i="1"/>
  <c r="K8694" i="1"/>
  <c r="C8694" i="1"/>
  <c r="B8694" i="1"/>
  <c r="K8693" i="1"/>
  <c r="C8693" i="1"/>
  <c r="B8693" i="1"/>
  <c r="K8692" i="1"/>
  <c r="C8692" i="1"/>
  <c r="B8692" i="1"/>
  <c r="K8691" i="1"/>
  <c r="C8691" i="1"/>
  <c r="B8691" i="1"/>
  <c r="K8690" i="1"/>
  <c r="C8690" i="1"/>
  <c r="B8690" i="1"/>
  <c r="K8689" i="1"/>
  <c r="C8689" i="1"/>
  <c r="B8689" i="1"/>
  <c r="K8688" i="1"/>
  <c r="C8688" i="1"/>
  <c r="B8688" i="1"/>
  <c r="K8687" i="1"/>
  <c r="C8687" i="1"/>
  <c r="B8687" i="1"/>
  <c r="K8686" i="1"/>
  <c r="C8686" i="1"/>
  <c r="B8686" i="1"/>
  <c r="K8685" i="1"/>
  <c r="C8685" i="1"/>
  <c r="B8685" i="1"/>
  <c r="K8684" i="1"/>
  <c r="C8684" i="1"/>
  <c r="B8684" i="1"/>
  <c r="K8683" i="1"/>
  <c r="C8683" i="1"/>
  <c r="B8683" i="1"/>
  <c r="K8682" i="1"/>
  <c r="C8682" i="1"/>
  <c r="B8682" i="1"/>
  <c r="K8681" i="1"/>
  <c r="C8681" i="1"/>
  <c r="B8681" i="1"/>
  <c r="K8680" i="1"/>
  <c r="C8680" i="1"/>
  <c r="B8680" i="1"/>
  <c r="K8679" i="1"/>
  <c r="C8679" i="1"/>
  <c r="B8679" i="1"/>
  <c r="K8678" i="1"/>
  <c r="C8678" i="1"/>
  <c r="B8678" i="1"/>
  <c r="K8677" i="1"/>
  <c r="C8677" i="1"/>
  <c r="B8677" i="1"/>
  <c r="K8676" i="1"/>
  <c r="C8676" i="1"/>
  <c r="B8676" i="1"/>
  <c r="K8675" i="1"/>
  <c r="C8675" i="1"/>
  <c r="B8675" i="1"/>
  <c r="K8674" i="1"/>
  <c r="C8674" i="1"/>
  <c r="B8674" i="1"/>
  <c r="K8673" i="1"/>
  <c r="C8673" i="1"/>
  <c r="B8673" i="1"/>
  <c r="K8672" i="1"/>
  <c r="C8672" i="1"/>
  <c r="B8672" i="1"/>
  <c r="K8671" i="1"/>
  <c r="C8671" i="1"/>
  <c r="B8671" i="1"/>
  <c r="K8670" i="1"/>
  <c r="C8670" i="1"/>
  <c r="B8670" i="1"/>
  <c r="K8669" i="1"/>
  <c r="C8669" i="1"/>
  <c r="B8669" i="1"/>
  <c r="K8668" i="1"/>
  <c r="C8668" i="1"/>
  <c r="B8668" i="1"/>
  <c r="K8667" i="1"/>
  <c r="C8667" i="1"/>
  <c r="B8667" i="1"/>
  <c r="K8666" i="1"/>
  <c r="C8666" i="1"/>
  <c r="B8666" i="1"/>
  <c r="K8665" i="1"/>
  <c r="C8665" i="1"/>
  <c r="B8665" i="1"/>
  <c r="K8664" i="1"/>
  <c r="C8664" i="1"/>
  <c r="B8664" i="1"/>
  <c r="K8663" i="1"/>
  <c r="C8663" i="1"/>
  <c r="B8663" i="1"/>
  <c r="K8662" i="1"/>
  <c r="C8662" i="1"/>
  <c r="B8662" i="1"/>
  <c r="K8661" i="1"/>
  <c r="C8661" i="1"/>
  <c r="B8661" i="1"/>
  <c r="K8660" i="1"/>
  <c r="C8660" i="1"/>
  <c r="B8660" i="1"/>
  <c r="K8659" i="1"/>
  <c r="C8659" i="1"/>
  <c r="B8659" i="1"/>
  <c r="K8658" i="1"/>
  <c r="C8658" i="1"/>
  <c r="B8658" i="1"/>
  <c r="K8657" i="1"/>
  <c r="C8657" i="1"/>
  <c r="B8657" i="1"/>
  <c r="K8656" i="1"/>
  <c r="C8656" i="1"/>
  <c r="B8656" i="1"/>
  <c r="K8655" i="1"/>
  <c r="C8655" i="1"/>
  <c r="B8655" i="1"/>
  <c r="K8654" i="1"/>
  <c r="C8654" i="1"/>
  <c r="B8654" i="1"/>
  <c r="K8653" i="1"/>
  <c r="C8653" i="1"/>
  <c r="B8653" i="1"/>
  <c r="K8652" i="1"/>
  <c r="C8652" i="1"/>
  <c r="B8652" i="1"/>
  <c r="K8651" i="1"/>
  <c r="C8651" i="1"/>
  <c r="B8651" i="1"/>
  <c r="K8650" i="1"/>
  <c r="C8650" i="1"/>
  <c r="B8650" i="1"/>
  <c r="K8649" i="1"/>
  <c r="C8649" i="1"/>
  <c r="B8649" i="1"/>
  <c r="K8648" i="1"/>
  <c r="C8648" i="1"/>
  <c r="B8648" i="1"/>
  <c r="K8647" i="1"/>
  <c r="C8647" i="1"/>
  <c r="B8647" i="1"/>
  <c r="K8646" i="1"/>
  <c r="C8646" i="1"/>
  <c r="B8646" i="1"/>
  <c r="K8645" i="1"/>
  <c r="C8645" i="1"/>
  <c r="B8645" i="1"/>
  <c r="K8644" i="1"/>
  <c r="C8644" i="1"/>
  <c r="B8644" i="1"/>
  <c r="K8643" i="1"/>
  <c r="C8643" i="1"/>
  <c r="B8643" i="1"/>
  <c r="K8642" i="1"/>
  <c r="C8642" i="1"/>
  <c r="B8642" i="1"/>
  <c r="K8641" i="1"/>
  <c r="C8641" i="1"/>
  <c r="B8641" i="1"/>
  <c r="K8640" i="1"/>
  <c r="C8640" i="1"/>
  <c r="B8640" i="1"/>
  <c r="K8639" i="1"/>
  <c r="C8639" i="1"/>
  <c r="B8639" i="1"/>
  <c r="K8638" i="1"/>
  <c r="C8638" i="1"/>
  <c r="B8638" i="1"/>
  <c r="K8637" i="1"/>
  <c r="C8637" i="1"/>
  <c r="B8637" i="1"/>
  <c r="K8636" i="1"/>
  <c r="C8636" i="1"/>
  <c r="B8636" i="1"/>
  <c r="K8635" i="1"/>
  <c r="C8635" i="1"/>
  <c r="B8635" i="1"/>
  <c r="K8634" i="1"/>
  <c r="C8634" i="1"/>
  <c r="B8634" i="1"/>
  <c r="K8633" i="1"/>
  <c r="C8633" i="1"/>
  <c r="B8633" i="1"/>
  <c r="K8632" i="1"/>
  <c r="C8632" i="1"/>
  <c r="B8632" i="1"/>
  <c r="K8631" i="1"/>
  <c r="C8631" i="1"/>
  <c r="B8631" i="1"/>
  <c r="K8630" i="1"/>
  <c r="C8630" i="1"/>
  <c r="B8630" i="1"/>
  <c r="K8629" i="1"/>
  <c r="C8629" i="1"/>
  <c r="B8629" i="1"/>
  <c r="K8628" i="1"/>
  <c r="C8628" i="1"/>
  <c r="B8628" i="1"/>
  <c r="K8627" i="1"/>
  <c r="C8627" i="1"/>
  <c r="B8627" i="1"/>
  <c r="K8626" i="1"/>
  <c r="C8626" i="1"/>
  <c r="B8626" i="1"/>
  <c r="K8625" i="1"/>
  <c r="C8625" i="1"/>
  <c r="B8625" i="1"/>
  <c r="K8624" i="1"/>
  <c r="C8624" i="1"/>
  <c r="B8624" i="1"/>
  <c r="K8623" i="1"/>
  <c r="C8623" i="1"/>
  <c r="B8623" i="1"/>
  <c r="K8622" i="1"/>
  <c r="C8622" i="1"/>
  <c r="B8622" i="1"/>
  <c r="K8621" i="1"/>
  <c r="C8621" i="1"/>
  <c r="B8621" i="1"/>
  <c r="K8620" i="1"/>
  <c r="C8620" i="1"/>
  <c r="B8620" i="1"/>
  <c r="K8619" i="1"/>
  <c r="C8619" i="1"/>
  <c r="B8619" i="1"/>
  <c r="K8618" i="1"/>
  <c r="C8618" i="1"/>
  <c r="B8618" i="1"/>
  <c r="K8617" i="1"/>
  <c r="C8617" i="1"/>
  <c r="B8617" i="1"/>
  <c r="K8616" i="1"/>
  <c r="C8616" i="1"/>
  <c r="B8616" i="1"/>
  <c r="K8615" i="1"/>
  <c r="C8615" i="1"/>
  <c r="B8615" i="1"/>
  <c r="K8614" i="1"/>
  <c r="C8614" i="1"/>
  <c r="B8614" i="1"/>
  <c r="K8613" i="1"/>
  <c r="C8613" i="1"/>
  <c r="B8613" i="1"/>
  <c r="K8612" i="1"/>
  <c r="C8612" i="1"/>
  <c r="B8612" i="1"/>
  <c r="K8611" i="1"/>
  <c r="C8611" i="1"/>
  <c r="B8611" i="1"/>
  <c r="K8610" i="1"/>
  <c r="C8610" i="1"/>
  <c r="B8610" i="1"/>
  <c r="K8609" i="1"/>
  <c r="C8609" i="1"/>
  <c r="B8609" i="1"/>
  <c r="K8608" i="1"/>
  <c r="C8608" i="1"/>
  <c r="B8608" i="1"/>
  <c r="K8607" i="1"/>
  <c r="C8607" i="1"/>
  <c r="B8607" i="1"/>
  <c r="K8606" i="1"/>
  <c r="C8606" i="1"/>
  <c r="B8606" i="1"/>
  <c r="K8605" i="1"/>
  <c r="C8605" i="1"/>
  <c r="B8605" i="1"/>
  <c r="K8604" i="1"/>
  <c r="C8604" i="1"/>
  <c r="B8604" i="1"/>
  <c r="K8603" i="1"/>
  <c r="C8603" i="1"/>
  <c r="B8603" i="1"/>
  <c r="K8602" i="1"/>
  <c r="C8602" i="1"/>
  <c r="B8602" i="1"/>
  <c r="K8601" i="1"/>
  <c r="C8601" i="1"/>
  <c r="B8601" i="1"/>
  <c r="K8600" i="1"/>
  <c r="C8600" i="1"/>
  <c r="B8600" i="1"/>
  <c r="K8599" i="1"/>
  <c r="C8599" i="1"/>
  <c r="B8599" i="1"/>
  <c r="K8598" i="1"/>
  <c r="C8598" i="1"/>
  <c r="B8598" i="1"/>
  <c r="K8597" i="1"/>
  <c r="C8597" i="1"/>
  <c r="B8597" i="1"/>
  <c r="K8596" i="1"/>
  <c r="C8596" i="1"/>
  <c r="B8596" i="1"/>
  <c r="K8595" i="1"/>
  <c r="C8595" i="1"/>
  <c r="B8595" i="1"/>
  <c r="K8594" i="1"/>
  <c r="C8594" i="1"/>
  <c r="B8594" i="1"/>
  <c r="K8593" i="1"/>
  <c r="C8593" i="1"/>
  <c r="B8593" i="1"/>
  <c r="K8592" i="1"/>
  <c r="C8592" i="1"/>
  <c r="B8592" i="1"/>
  <c r="K8591" i="1"/>
  <c r="C8591" i="1"/>
  <c r="B8591" i="1"/>
  <c r="K8590" i="1"/>
  <c r="C8590" i="1"/>
  <c r="B8590" i="1"/>
  <c r="K8589" i="1"/>
  <c r="C8589" i="1"/>
  <c r="B8589" i="1"/>
  <c r="K8588" i="1"/>
  <c r="C8588" i="1"/>
  <c r="B8588" i="1"/>
  <c r="K8587" i="1"/>
  <c r="C8587" i="1"/>
  <c r="B8587" i="1"/>
  <c r="K8586" i="1"/>
  <c r="C8586" i="1"/>
  <c r="B8586" i="1"/>
  <c r="K8585" i="1"/>
  <c r="C8585" i="1"/>
  <c r="B8585" i="1"/>
  <c r="K8584" i="1"/>
  <c r="C8584" i="1"/>
  <c r="B8584" i="1"/>
  <c r="K8583" i="1"/>
  <c r="C8583" i="1"/>
  <c r="B8583" i="1"/>
  <c r="K8582" i="1"/>
  <c r="C8582" i="1"/>
  <c r="B8582" i="1"/>
  <c r="K8581" i="1"/>
  <c r="C8581" i="1"/>
  <c r="B8581" i="1"/>
  <c r="K8580" i="1"/>
  <c r="C8580" i="1"/>
  <c r="B8580" i="1"/>
  <c r="K8579" i="1"/>
  <c r="C8579" i="1"/>
  <c r="B8579" i="1"/>
  <c r="K8578" i="1"/>
  <c r="C8578" i="1"/>
  <c r="B8578" i="1"/>
  <c r="K8577" i="1"/>
  <c r="C8577" i="1"/>
  <c r="B8577" i="1"/>
  <c r="K8576" i="1"/>
  <c r="C8576" i="1"/>
  <c r="B8576" i="1"/>
  <c r="K8575" i="1"/>
  <c r="C8575" i="1"/>
  <c r="B8575" i="1"/>
  <c r="K8574" i="1"/>
  <c r="C8574" i="1"/>
  <c r="B8574" i="1"/>
  <c r="K8573" i="1"/>
  <c r="C8573" i="1"/>
  <c r="B8573" i="1"/>
  <c r="K8572" i="1"/>
  <c r="C8572" i="1"/>
  <c r="B8572" i="1"/>
  <c r="K8571" i="1"/>
  <c r="C8571" i="1"/>
  <c r="B8571" i="1"/>
  <c r="K8570" i="1"/>
  <c r="C8570" i="1"/>
  <c r="B8570" i="1"/>
  <c r="K8569" i="1"/>
  <c r="C8569" i="1"/>
  <c r="B8569" i="1"/>
  <c r="K8568" i="1"/>
  <c r="C8568" i="1"/>
  <c r="B8568" i="1"/>
  <c r="K8567" i="1"/>
  <c r="C8567" i="1"/>
  <c r="B8567" i="1"/>
  <c r="K8566" i="1"/>
  <c r="C8566" i="1"/>
  <c r="B8566" i="1"/>
  <c r="K8565" i="1"/>
  <c r="C8565" i="1"/>
  <c r="B8565" i="1"/>
  <c r="K8564" i="1"/>
  <c r="C8564" i="1"/>
  <c r="B8564" i="1"/>
  <c r="K8563" i="1"/>
  <c r="C8563" i="1"/>
  <c r="B8563" i="1"/>
  <c r="K8562" i="1"/>
  <c r="C8562" i="1"/>
  <c r="B8562" i="1"/>
  <c r="K8561" i="1"/>
  <c r="C8561" i="1"/>
  <c r="B8561" i="1"/>
  <c r="K8560" i="1"/>
  <c r="C8560" i="1"/>
  <c r="B8560" i="1"/>
  <c r="K8559" i="1"/>
  <c r="C8559" i="1"/>
  <c r="B8559" i="1"/>
  <c r="K8558" i="1"/>
  <c r="C8558" i="1"/>
  <c r="B8558" i="1"/>
  <c r="K8557" i="1"/>
  <c r="C8557" i="1"/>
  <c r="B8557" i="1"/>
  <c r="K8556" i="1"/>
  <c r="C8556" i="1"/>
  <c r="B8556" i="1"/>
  <c r="K8555" i="1"/>
  <c r="C8555" i="1"/>
  <c r="B8555" i="1"/>
  <c r="K8554" i="1"/>
  <c r="C8554" i="1"/>
  <c r="B8554" i="1"/>
  <c r="K8553" i="1"/>
  <c r="C8553" i="1"/>
  <c r="B8553" i="1"/>
  <c r="K8552" i="1"/>
  <c r="C8552" i="1"/>
  <c r="B8552" i="1"/>
  <c r="K8551" i="1"/>
  <c r="C8551" i="1"/>
  <c r="B8551" i="1"/>
  <c r="K8550" i="1"/>
  <c r="C8550" i="1"/>
  <c r="B8550" i="1"/>
  <c r="K8549" i="1"/>
  <c r="C8549" i="1"/>
  <c r="B8549" i="1"/>
  <c r="K8548" i="1"/>
  <c r="C8548" i="1"/>
  <c r="B8548" i="1"/>
  <c r="K8547" i="1"/>
  <c r="C8547" i="1"/>
  <c r="B8547" i="1"/>
  <c r="K8546" i="1"/>
  <c r="C8546" i="1"/>
  <c r="B8546" i="1"/>
  <c r="K8545" i="1"/>
  <c r="C8545" i="1"/>
  <c r="B8545" i="1"/>
  <c r="K8544" i="1"/>
  <c r="C8544" i="1"/>
  <c r="B8544" i="1"/>
  <c r="K8543" i="1"/>
  <c r="C8543" i="1"/>
  <c r="B8543" i="1"/>
  <c r="K8542" i="1"/>
  <c r="C8542" i="1"/>
  <c r="B8542" i="1"/>
  <c r="K8541" i="1"/>
  <c r="C8541" i="1"/>
  <c r="B8541" i="1"/>
  <c r="K8540" i="1"/>
  <c r="C8540" i="1"/>
  <c r="B8540" i="1"/>
  <c r="K8539" i="1"/>
  <c r="C8539" i="1"/>
  <c r="B8539" i="1"/>
  <c r="K8538" i="1"/>
  <c r="C8538" i="1"/>
  <c r="B8538" i="1"/>
  <c r="K8537" i="1"/>
  <c r="C8537" i="1"/>
  <c r="B8537" i="1"/>
  <c r="K8536" i="1"/>
  <c r="C8536" i="1"/>
  <c r="B8536" i="1"/>
  <c r="K8535" i="1"/>
  <c r="C8535" i="1"/>
  <c r="B8535" i="1"/>
  <c r="K8534" i="1"/>
  <c r="C8534" i="1"/>
  <c r="B8534" i="1"/>
  <c r="K8533" i="1"/>
  <c r="C8533" i="1"/>
  <c r="B8533" i="1"/>
  <c r="K8532" i="1"/>
  <c r="C8532" i="1"/>
  <c r="B8532" i="1"/>
  <c r="K8531" i="1"/>
  <c r="C8531" i="1"/>
  <c r="B8531" i="1"/>
  <c r="K8530" i="1"/>
  <c r="C8530" i="1"/>
  <c r="B8530" i="1"/>
  <c r="K8529" i="1"/>
  <c r="C8529" i="1"/>
  <c r="B8529" i="1"/>
  <c r="K8528" i="1"/>
  <c r="C8528" i="1"/>
  <c r="B8528" i="1"/>
  <c r="K8527" i="1"/>
  <c r="C8527" i="1"/>
  <c r="B8527" i="1"/>
  <c r="K8526" i="1"/>
  <c r="C8526" i="1"/>
  <c r="B8526" i="1"/>
  <c r="K8525" i="1"/>
  <c r="C8525" i="1"/>
  <c r="B8525" i="1"/>
  <c r="K8524" i="1"/>
  <c r="C8524" i="1"/>
  <c r="B8524" i="1"/>
  <c r="K8523" i="1"/>
  <c r="C8523" i="1"/>
  <c r="B8523" i="1"/>
  <c r="K8522" i="1"/>
  <c r="C8522" i="1"/>
  <c r="B8522" i="1"/>
  <c r="K8521" i="1"/>
  <c r="C8521" i="1"/>
  <c r="B8521" i="1"/>
  <c r="K8520" i="1"/>
  <c r="C8520" i="1"/>
  <c r="B8520" i="1"/>
  <c r="K8519" i="1"/>
  <c r="C8519" i="1"/>
  <c r="B8519" i="1"/>
  <c r="K8518" i="1"/>
  <c r="C8518" i="1"/>
  <c r="B8518" i="1"/>
  <c r="K8517" i="1"/>
  <c r="C8517" i="1"/>
  <c r="B8517" i="1"/>
  <c r="K8516" i="1"/>
  <c r="C8516" i="1"/>
  <c r="B8516" i="1"/>
  <c r="K8515" i="1"/>
  <c r="C8515" i="1"/>
  <c r="B8515" i="1"/>
  <c r="K8514" i="1"/>
  <c r="C8514" i="1"/>
  <c r="B8514" i="1"/>
  <c r="K8513" i="1"/>
  <c r="C8513" i="1"/>
  <c r="B8513" i="1"/>
  <c r="K8512" i="1"/>
  <c r="C8512" i="1"/>
  <c r="B8512" i="1"/>
  <c r="K8511" i="1"/>
  <c r="C8511" i="1"/>
  <c r="B8511" i="1"/>
  <c r="K8510" i="1"/>
  <c r="C8510" i="1"/>
  <c r="B8510" i="1"/>
  <c r="K8509" i="1"/>
  <c r="C8509" i="1"/>
  <c r="B8509" i="1"/>
  <c r="K8508" i="1"/>
  <c r="C8508" i="1"/>
  <c r="B8508" i="1"/>
  <c r="K8507" i="1"/>
  <c r="C8507" i="1"/>
  <c r="B8507" i="1"/>
  <c r="K8506" i="1"/>
  <c r="C8506" i="1"/>
  <c r="B8506" i="1"/>
  <c r="K8505" i="1"/>
  <c r="C8505" i="1"/>
  <c r="B8505" i="1"/>
  <c r="K8504" i="1"/>
  <c r="C8504" i="1"/>
  <c r="B8504" i="1"/>
  <c r="K8503" i="1"/>
  <c r="C8503" i="1"/>
  <c r="B8503" i="1"/>
  <c r="K8502" i="1"/>
  <c r="C8502" i="1"/>
  <c r="B8502" i="1"/>
  <c r="K8501" i="1"/>
  <c r="C8501" i="1"/>
  <c r="B8501" i="1"/>
  <c r="K8500" i="1"/>
  <c r="C8500" i="1"/>
  <c r="B8500" i="1"/>
  <c r="K8499" i="1"/>
  <c r="C8499" i="1"/>
  <c r="B8499" i="1"/>
  <c r="K8498" i="1"/>
  <c r="C8498" i="1"/>
  <c r="B8498" i="1"/>
  <c r="K8497" i="1"/>
  <c r="C8497" i="1"/>
  <c r="B8497" i="1"/>
  <c r="K8496" i="1"/>
  <c r="C8496" i="1"/>
  <c r="B8496" i="1"/>
  <c r="K8495" i="1"/>
  <c r="C8495" i="1"/>
  <c r="B8495" i="1"/>
  <c r="K8494" i="1"/>
  <c r="C8494" i="1"/>
  <c r="B8494" i="1"/>
  <c r="K8493" i="1"/>
  <c r="C8493" i="1"/>
  <c r="B8493" i="1"/>
  <c r="K8492" i="1"/>
  <c r="C8492" i="1"/>
  <c r="B8492" i="1"/>
  <c r="K8491" i="1"/>
  <c r="C8491" i="1"/>
  <c r="B8491" i="1"/>
  <c r="K8490" i="1"/>
  <c r="C8490" i="1"/>
  <c r="B8490" i="1"/>
  <c r="K8489" i="1"/>
  <c r="C8489" i="1"/>
  <c r="B8489" i="1"/>
  <c r="K8488" i="1"/>
  <c r="C8488" i="1"/>
  <c r="B8488" i="1"/>
  <c r="K8487" i="1"/>
  <c r="C8487" i="1"/>
  <c r="B8487" i="1"/>
  <c r="K8486" i="1"/>
  <c r="C8486" i="1"/>
  <c r="B8486" i="1"/>
  <c r="K8485" i="1"/>
  <c r="C8485" i="1"/>
  <c r="B8485" i="1"/>
  <c r="K8484" i="1"/>
  <c r="C8484" i="1"/>
  <c r="B8484" i="1"/>
  <c r="K8483" i="1"/>
  <c r="C8483" i="1"/>
  <c r="B8483" i="1"/>
  <c r="K8482" i="1"/>
  <c r="C8482" i="1"/>
  <c r="B8482" i="1"/>
  <c r="K8481" i="1"/>
  <c r="C8481" i="1"/>
  <c r="B8481" i="1"/>
  <c r="K8480" i="1"/>
  <c r="C8480" i="1"/>
  <c r="B8480" i="1"/>
  <c r="K8479" i="1"/>
  <c r="C8479" i="1"/>
  <c r="B8479" i="1"/>
  <c r="K8478" i="1"/>
  <c r="C8478" i="1"/>
  <c r="B8478" i="1"/>
  <c r="K8477" i="1"/>
  <c r="C8477" i="1"/>
  <c r="B8477" i="1"/>
  <c r="K8476" i="1"/>
  <c r="C8476" i="1"/>
  <c r="B8476" i="1"/>
  <c r="K8475" i="1"/>
  <c r="C8475" i="1"/>
  <c r="B8475" i="1"/>
  <c r="K8474" i="1"/>
  <c r="C8474" i="1"/>
  <c r="B8474" i="1"/>
  <c r="K8473" i="1"/>
  <c r="C8473" i="1"/>
  <c r="B8473" i="1"/>
  <c r="K8472" i="1"/>
  <c r="C8472" i="1"/>
  <c r="B8472" i="1"/>
  <c r="K8471" i="1"/>
  <c r="C8471" i="1"/>
  <c r="B8471" i="1"/>
  <c r="K8470" i="1"/>
  <c r="C8470" i="1"/>
  <c r="B8470" i="1"/>
  <c r="K8469" i="1"/>
  <c r="C8469" i="1"/>
  <c r="B8469" i="1"/>
  <c r="K8468" i="1"/>
  <c r="C8468" i="1"/>
  <c r="B8468" i="1"/>
  <c r="K8467" i="1"/>
  <c r="C8467" i="1"/>
  <c r="B8467" i="1"/>
  <c r="K8466" i="1"/>
  <c r="C8466" i="1"/>
  <c r="B8466" i="1"/>
  <c r="K8465" i="1"/>
  <c r="C8465" i="1"/>
  <c r="B8465" i="1"/>
  <c r="K8464" i="1"/>
  <c r="C8464" i="1"/>
  <c r="B8464" i="1"/>
  <c r="K8463" i="1"/>
  <c r="C8463" i="1"/>
  <c r="B8463" i="1"/>
  <c r="K8462" i="1"/>
  <c r="C8462" i="1"/>
  <c r="B8462" i="1"/>
  <c r="K8461" i="1"/>
  <c r="C8461" i="1"/>
  <c r="B8461" i="1"/>
  <c r="K8460" i="1"/>
  <c r="C8460" i="1"/>
  <c r="B8460" i="1"/>
  <c r="K8459" i="1"/>
  <c r="C8459" i="1"/>
  <c r="B8459" i="1"/>
  <c r="K8458" i="1"/>
  <c r="C8458" i="1"/>
  <c r="B8458" i="1"/>
  <c r="K8457" i="1"/>
  <c r="C8457" i="1"/>
  <c r="B8457" i="1"/>
  <c r="K8456" i="1"/>
  <c r="C8456" i="1"/>
  <c r="B8456" i="1"/>
  <c r="K8455" i="1"/>
  <c r="C8455" i="1"/>
  <c r="B8455" i="1"/>
  <c r="K8454" i="1"/>
  <c r="C8454" i="1"/>
  <c r="B8454" i="1"/>
  <c r="K8453" i="1"/>
  <c r="C8453" i="1"/>
  <c r="B8453" i="1"/>
  <c r="K8452" i="1"/>
  <c r="C8452" i="1"/>
  <c r="B8452" i="1"/>
  <c r="K8451" i="1"/>
  <c r="C8451" i="1"/>
  <c r="B8451" i="1"/>
  <c r="K8450" i="1"/>
  <c r="C8450" i="1"/>
  <c r="B8450" i="1"/>
  <c r="K8449" i="1"/>
  <c r="C8449" i="1"/>
  <c r="B8449" i="1"/>
  <c r="K8448" i="1"/>
  <c r="C8448" i="1"/>
  <c r="B8448" i="1"/>
  <c r="K8447" i="1"/>
  <c r="C8447" i="1"/>
  <c r="B8447" i="1"/>
  <c r="K8446" i="1"/>
  <c r="C8446" i="1"/>
  <c r="B8446" i="1"/>
  <c r="K8445" i="1"/>
  <c r="C8445" i="1"/>
  <c r="B8445" i="1"/>
  <c r="K8444" i="1"/>
  <c r="C8444" i="1"/>
  <c r="B8444" i="1"/>
  <c r="K8443" i="1"/>
  <c r="C8443" i="1"/>
  <c r="B8443" i="1"/>
  <c r="K8442" i="1"/>
  <c r="C8442" i="1"/>
  <c r="B8442" i="1"/>
  <c r="K8441" i="1"/>
  <c r="C8441" i="1"/>
  <c r="B8441" i="1"/>
  <c r="K8440" i="1"/>
  <c r="C8440" i="1"/>
  <c r="B8440" i="1"/>
  <c r="K8439" i="1"/>
  <c r="C8439" i="1"/>
  <c r="B8439" i="1"/>
  <c r="K8438" i="1"/>
  <c r="C8438" i="1"/>
  <c r="B8438" i="1"/>
  <c r="K8437" i="1"/>
  <c r="C8437" i="1"/>
  <c r="B8437" i="1"/>
  <c r="K8436" i="1"/>
  <c r="C8436" i="1"/>
  <c r="B8436" i="1"/>
  <c r="K8435" i="1"/>
  <c r="C8435" i="1"/>
  <c r="B8435" i="1"/>
  <c r="K8434" i="1"/>
  <c r="C8434" i="1"/>
  <c r="B8434" i="1"/>
  <c r="K8433" i="1"/>
  <c r="C8433" i="1"/>
  <c r="B8433" i="1"/>
  <c r="K8432" i="1"/>
  <c r="C8432" i="1"/>
  <c r="B8432" i="1"/>
  <c r="K8431" i="1"/>
  <c r="C8431" i="1"/>
  <c r="B8431" i="1"/>
  <c r="K8430" i="1"/>
  <c r="C8430" i="1"/>
  <c r="B8430" i="1"/>
  <c r="K8429" i="1"/>
  <c r="C8429" i="1"/>
  <c r="B8429" i="1"/>
  <c r="K8428" i="1"/>
  <c r="C8428" i="1"/>
  <c r="B8428" i="1"/>
  <c r="K8427" i="1"/>
  <c r="C8427" i="1"/>
  <c r="B8427" i="1"/>
  <c r="K8426" i="1"/>
  <c r="C8426" i="1"/>
  <c r="B8426" i="1"/>
  <c r="K8425" i="1"/>
  <c r="C8425" i="1"/>
  <c r="B8425" i="1"/>
  <c r="K8424" i="1"/>
  <c r="C8424" i="1"/>
  <c r="B8424" i="1"/>
  <c r="K8423" i="1"/>
  <c r="C8423" i="1"/>
  <c r="B8423" i="1"/>
  <c r="K8422" i="1"/>
  <c r="C8422" i="1"/>
  <c r="B8422" i="1"/>
  <c r="K8421" i="1"/>
  <c r="C8421" i="1"/>
  <c r="B8421" i="1"/>
  <c r="K8420" i="1"/>
  <c r="C8420" i="1"/>
  <c r="B8420" i="1"/>
  <c r="K8419" i="1"/>
  <c r="C8419" i="1"/>
  <c r="B8419" i="1"/>
  <c r="K8418" i="1"/>
  <c r="C8418" i="1"/>
  <c r="B8418" i="1"/>
  <c r="K8417" i="1"/>
  <c r="C8417" i="1"/>
  <c r="B8417" i="1"/>
  <c r="K8416" i="1"/>
  <c r="C8416" i="1"/>
  <c r="B8416" i="1"/>
  <c r="K8415" i="1"/>
  <c r="C8415" i="1"/>
  <c r="B8415" i="1"/>
  <c r="K8414" i="1"/>
  <c r="C8414" i="1"/>
  <c r="B8414" i="1"/>
  <c r="K8413" i="1"/>
  <c r="C8413" i="1"/>
  <c r="B8413" i="1"/>
  <c r="K8412" i="1"/>
  <c r="C8412" i="1"/>
  <c r="B8412" i="1"/>
  <c r="K8411" i="1"/>
  <c r="C8411" i="1"/>
  <c r="B8411" i="1"/>
  <c r="K8410" i="1"/>
  <c r="C8410" i="1"/>
  <c r="B8410" i="1"/>
  <c r="K8409" i="1"/>
  <c r="C8409" i="1"/>
  <c r="B8409" i="1"/>
  <c r="K8408" i="1"/>
  <c r="C8408" i="1"/>
  <c r="B8408" i="1"/>
  <c r="K8407" i="1"/>
  <c r="C8407" i="1"/>
  <c r="B8407" i="1"/>
  <c r="K8406" i="1"/>
  <c r="C8406" i="1"/>
  <c r="B8406" i="1"/>
  <c r="K8405" i="1"/>
  <c r="C8405" i="1"/>
  <c r="B8405" i="1"/>
  <c r="K8404" i="1"/>
  <c r="C8404" i="1"/>
  <c r="B8404" i="1"/>
  <c r="K8403" i="1"/>
  <c r="C8403" i="1"/>
  <c r="B8403" i="1"/>
  <c r="K8402" i="1"/>
  <c r="C8402" i="1"/>
  <c r="B8402" i="1"/>
  <c r="K8401" i="1"/>
  <c r="C8401" i="1"/>
  <c r="B8401" i="1"/>
  <c r="K8400" i="1"/>
  <c r="C8400" i="1"/>
  <c r="B8400" i="1"/>
  <c r="K8399" i="1"/>
  <c r="C8399" i="1"/>
  <c r="B8399" i="1"/>
  <c r="K8398" i="1"/>
  <c r="C8398" i="1"/>
  <c r="B8398" i="1"/>
  <c r="K8397" i="1"/>
  <c r="C8397" i="1"/>
  <c r="B8397" i="1"/>
  <c r="K8396" i="1"/>
  <c r="C8396" i="1"/>
  <c r="B8396" i="1"/>
  <c r="K8395" i="1"/>
  <c r="C8395" i="1"/>
  <c r="B8395" i="1"/>
  <c r="K8394" i="1"/>
  <c r="C8394" i="1"/>
  <c r="B8394" i="1"/>
  <c r="K8393" i="1"/>
  <c r="C8393" i="1"/>
  <c r="B8393" i="1"/>
  <c r="K8392" i="1"/>
  <c r="C8392" i="1"/>
  <c r="B8392" i="1"/>
  <c r="K8391" i="1"/>
  <c r="C8391" i="1"/>
  <c r="B8391" i="1"/>
  <c r="K8390" i="1"/>
  <c r="C8390" i="1"/>
  <c r="B8390" i="1"/>
  <c r="K8389" i="1"/>
  <c r="C8389" i="1"/>
  <c r="B8389" i="1"/>
  <c r="K8388" i="1"/>
  <c r="C8388" i="1"/>
  <c r="B8388" i="1"/>
  <c r="K8387" i="1"/>
  <c r="C8387" i="1"/>
  <c r="B8387" i="1"/>
  <c r="K8386" i="1"/>
  <c r="C8386" i="1"/>
  <c r="B8386" i="1"/>
  <c r="K8385" i="1"/>
  <c r="C8385" i="1"/>
  <c r="B8385" i="1"/>
  <c r="K8384" i="1"/>
  <c r="C8384" i="1"/>
  <c r="B8384" i="1"/>
  <c r="K8383" i="1"/>
  <c r="C8383" i="1"/>
  <c r="B8383" i="1"/>
  <c r="K8382" i="1"/>
  <c r="C8382" i="1"/>
  <c r="B8382" i="1"/>
  <c r="K8381" i="1"/>
  <c r="C8381" i="1"/>
  <c r="B8381" i="1"/>
  <c r="K8380" i="1"/>
  <c r="C8380" i="1"/>
  <c r="B8380" i="1"/>
  <c r="K8379" i="1"/>
  <c r="C8379" i="1"/>
  <c r="B8379" i="1"/>
  <c r="K8378" i="1"/>
  <c r="C8378" i="1"/>
  <c r="B8378" i="1"/>
  <c r="K8377" i="1"/>
  <c r="C8377" i="1"/>
  <c r="B8377" i="1"/>
  <c r="K8376" i="1"/>
  <c r="C8376" i="1"/>
  <c r="B8376" i="1"/>
  <c r="K8375" i="1"/>
  <c r="C8375" i="1"/>
  <c r="B8375" i="1"/>
  <c r="K8374" i="1"/>
  <c r="C8374" i="1"/>
  <c r="B8374" i="1"/>
  <c r="K8373" i="1"/>
  <c r="C8373" i="1"/>
  <c r="B8373" i="1"/>
  <c r="K8372" i="1"/>
  <c r="C8372" i="1"/>
  <c r="B8372" i="1"/>
  <c r="K8371" i="1"/>
  <c r="C8371" i="1"/>
  <c r="B8371" i="1"/>
  <c r="K8370" i="1"/>
  <c r="C8370" i="1"/>
  <c r="B8370" i="1"/>
  <c r="K8369" i="1"/>
  <c r="C8369" i="1"/>
  <c r="B8369" i="1"/>
  <c r="K8368" i="1"/>
  <c r="C8368" i="1"/>
  <c r="B8368" i="1"/>
  <c r="K8367" i="1"/>
  <c r="C8367" i="1"/>
  <c r="B8367" i="1"/>
  <c r="K8366" i="1"/>
  <c r="C8366" i="1"/>
  <c r="B8366" i="1"/>
  <c r="K8365" i="1"/>
  <c r="C8365" i="1"/>
  <c r="B8365" i="1"/>
  <c r="K8364" i="1"/>
  <c r="C8364" i="1"/>
  <c r="B8364" i="1"/>
  <c r="K8363" i="1"/>
  <c r="C8363" i="1"/>
  <c r="B8363" i="1"/>
  <c r="K8362" i="1"/>
  <c r="C8362" i="1"/>
  <c r="B8362" i="1"/>
  <c r="K8361" i="1"/>
  <c r="C8361" i="1"/>
  <c r="B8361" i="1"/>
  <c r="K8360" i="1"/>
  <c r="C8360" i="1"/>
  <c r="B8360" i="1"/>
  <c r="K8359" i="1"/>
  <c r="C8359" i="1"/>
  <c r="B8359" i="1"/>
  <c r="K8358" i="1"/>
  <c r="C8358" i="1"/>
  <c r="B8358" i="1"/>
  <c r="K8357" i="1"/>
  <c r="C8357" i="1"/>
  <c r="B8357" i="1"/>
  <c r="K8356" i="1"/>
  <c r="C8356" i="1"/>
  <c r="B8356" i="1"/>
  <c r="K8355" i="1"/>
  <c r="C8355" i="1"/>
  <c r="B8355" i="1"/>
  <c r="K8354" i="1"/>
  <c r="C8354" i="1"/>
  <c r="B8354" i="1"/>
  <c r="K8353" i="1"/>
  <c r="C8353" i="1"/>
  <c r="B8353" i="1"/>
  <c r="K8352" i="1"/>
  <c r="C8352" i="1"/>
  <c r="B8352" i="1"/>
  <c r="K8351" i="1"/>
  <c r="C8351" i="1"/>
  <c r="B8351" i="1"/>
  <c r="K8350" i="1"/>
  <c r="C8350" i="1"/>
  <c r="B8350" i="1"/>
  <c r="K8349" i="1"/>
  <c r="C8349" i="1"/>
  <c r="B8349" i="1"/>
  <c r="K8348" i="1"/>
  <c r="C8348" i="1"/>
  <c r="B8348" i="1"/>
  <c r="K8347" i="1"/>
  <c r="C8347" i="1"/>
  <c r="B8347" i="1"/>
  <c r="K8346" i="1"/>
  <c r="C8346" i="1"/>
  <c r="B8346" i="1"/>
  <c r="K8345" i="1"/>
  <c r="C8345" i="1"/>
  <c r="B8345" i="1"/>
  <c r="K8344" i="1"/>
  <c r="C8344" i="1"/>
  <c r="B8344" i="1"/>
  <c r="K8343" i="1"/>
  <c r="C8343" i="1"/>
  <c r="B8343" i="1"/>
  <c r="K8342" i="1"/>
  <c r="C8342" i="1"/>
  <c r="B8342" i="1"/>
  <c r="K8341" i="1"/>
  <c r="C8341" i="1"/>
  <c r="B8341" i="1"/>
  <c r="K8340" i="1"/>
  <c r="C8340" i="1"/>
  <c r="B8340" i="1"/>
  <c r="K8339" i="1"/>
  <c r="C8339" i="1"/>
  <c r="B8339" i="1"/>
  <c r="K8338" i="1"/>
  <c r="C8338" i="1"/>
  <c r="B8338" i="1"/>
  <c r="K8337" i="1"/>
  <c r="C8337" i="1"/>
  <c r="B8337" i="1"/>
  <c r="K8336" i="1"/>
  <c r="C8336" i="1"/>
  <c r="B8336" i="1"/>
  <c r="K8335" i="1"/>
  <c r="C8335" i="1"/>
  <c r="B8335" i="1"/>
  <c r="K8334" i="1"/>
  <c r="C8334" i="1"/>
  <c r="B8334" i="1"/>
  <c r="K8333" i="1"/>
  <c r="C8333" i="1"/>
  <c r="B8333" i="1"/>
  <c r="K8332" i="1"/>
  <c r="C8332" i="1"/>
  <c r="B8332" i="1"/>
  <c r="K8331" i="1"/>
  <c r="C8331" i="1"/>
  <c r="B8331" i="1"/>
  <c r="K8330" i="1"/>
  <c r="C8330" i="1"/>
  <c r="B8330" i="1"/>
  <c r="K8329" i="1"/>
  <c r="C8329" i="1"/>
  <c r="B8329" i="1"/>
  <c r="K8328" i="1"/>
  <c r="C8328" i="1"/>
  <c r="B8328" i="1"/>
  <c r="K8327" i="1"/>
  <c r="C8327" i="1"/>
  <c r="B8327" i="1"/>
  <c r="K8326" i="1"/>
  <c r="C8326" i="1"/>
  <c r="B8326" i="1"/>
  <c r="K8325" i="1"/>
  <c r="C8325" i="1"/>
  <c r="B8325" i="1"/>
  <c r="K8324" i="1"/>
  <c r="C8324" i="1"/>
  <c r="B8324" i="1"/>
  <c r="K8323" i="1"/>
  <c r="C8323" i="1"/>
  <c r="B8323" i="1"/>
  <c r="K8322" i="1"/>
  <c r="C8322" i="1"/>
  <c r="B8322" i="1"/>
  <c r="K8321" i="1"/>
  <c r="C8321" i="1"/>
  <c r="B8321" i="1"/>
  <c r="K8320" i="1"/>
  <c r="C8320" i="1"/>
  <c r="B8320" i="1"/>
  <c r="K8319" i="1"/>
  <c r="C8319" i="1"/>
  <c r="B8319" i="1"/>
  <c r="K8318" i="1"/>
  <c r="C8318" i="1"/>
  <c r="B8318" i="1"/>
  <c r="K8317" i="1"/>
  <c r="C8317" i="1"/>
  <c r="B8317" i="1"/>
  <c r="K8316" i="1"/>
  <c r="C8316" i="1"/>
  <c r="B8316" i="1"/>
  <c r="K8315" i="1"/>
  <c r="C8315" i="1"/>
  <c r="B8315" i="1"/>
  <c r="K8314" i="1"/>
  <c r="C8314" i="1"/>
  <c r="B8314" i="1"/>
  <c r="K8313" i="1"/>
  <c r="C8313" i="1"/>
  <c r="B8313" i="1"/>
  <c r="K8312" i="1"/>
  <c r="C8312" i="1"/>
  <c r="B8312" i="1"/>
  <c r="K8311" i="1"/>
  <c r="C8311" i="1"/>
  <c r="B8311" i="1"/>
  <c r="K8310" i="1"/>
  <c r="C8310" i="1"/>
  <c r="B8310" i="1"/>
  <c r="K8309" i="1"/>
  <c r="C8309" i="1"/>
  <c r="B8309" i="1"/>
  <c r="K8308" i="1"/>
  <c r="C8308" i="1"/>
  <c r="B8308" i="1"/>
  <c r="K8307" i="1"/>
  <c r="C8307" i="1"/>
  <c r="B8307" i="1"/>
  <c r="K8306" i="1"/>
  <c r="C8306" i="1"/>
  <c r="B8306" i="1"/>
  <c r="K8305" i="1"/>
  <c r="C8305" i="1"/>
  <c r="B8305" i="1"/>
  <c r="K8304" i="1"/>
  <c r="C8304" i="1"/>
  <c r="B8304" i="1"/>
  <c r="K8303" i="1"/>
  <c r="C8303" i="1"/>
  <c r="B8303" i="1"/>
  <c r="K8302" i="1"/>
  <c r="C8302" i="1"/>
  <c r="B8302" i="1"/>
  <c r="K8301" i="1"/>
  <c r="C8301" i="1"/>
  <c r="B8301" i="1"/>
  <c r="K8300" i="1"/>
  <c r="C8300" i="1"/>
  <c r="B8300" i="1"/>
  <c r="K8299" i="1"/>
  <c r="C8299" i="1"/>
  <c r="B8299" i="1"/>
  <c r="K8298" i="1"/>
  <c r="C8298" i="1"/>
  <c r="B8298" i="1"/>
  <c r="K8297" i="1"/>
  <c r="C8297" i="1"/>
  <c r="B8297" i="1"/>
  <c r="K8296" i="1"/>
  <c r="C8296" i="1"/>
  <c r="B8296" i="1"/>
  <c r="K8295" i="1"/>
  <c r="C8295" i="1"/>
  <c r="B8295" i="1"/>
  <c r="K8294" i="1"/>
  <c r="C8294" i="1"/>
  <c r="B8294" i="1"/>
  <c r="K8293" i="1"/>
  <c r="C8293" i="1"/>
  <c r="B8293" i="1"/>
  <c r="K8292" i="1"/>
  <c r="C8292" i="1"/>
  <c r="B8292" i="1"/>
  <c r="K8291" i="1"/>
  <c r="C8291" i="1"/>
  <c r="B8291" i="1"/>
  <c r="K8290" i="1"/>
  <c r="C8290" i="1"/>
  <c r="B8290" i="1"/>
  <c r="K8289" i="1"/>
  <c r="C8289" i="1"/>
  <c r="B8289" i="1"/>
  <c r="K8288" i="1"/>
  <c r="C8288" i="1"/>
  <c r="B8288" i="1"/>
  <c r="K8287" i="1"/>
  <c r="C8287" i="1"/>
  <c r="B8287" i="1"/>
  <c r="K8286" i="1"/>
  <c r="C8286" i="1"/>
  <c r="B8286" i="1"/>
  <c r="K8285" i="1"/>
  <c r="C8285" i="1"/>
  <c r="B8285" i="1"/>
  <c r="K8284" i="1"/>
  <c r="C8284" i="1"/>
  <c r="B8284" i="1"/>
  <c r="K8283" i="1"/>
  <c r="C8283" i="1"/>
  <c r="B8283" i="1"/>
  <c r="K8282" i="1"/>
  <c r="C8282" i="1"/>
  <c r="B8282" i="1"/>
  <c r="K8281" i="1"/>
  <c r="C8281" i="1"/>
  <c r="B8281" i="1"/>
  <c r="K8280" i="1"/>
  <c r="C8280" i="1"/>
  <c r="B8280" i="1"/>
  <c r="K8279" i="1"/>
  <c r="C8279" i="1"/>
  <c r="B8279" i="1"/>
  <c r="K8278" i="1"/>
  <c r="C8278" i="1"/>
  <c r="B8278" i="1"/>
  <c r="K8277" i="1"/>
  <c r="C8277" i="1"/>
  <c r="B8277" i="1"/>
  <c r="K8276" i="1"/>
  <c r="C8276" i="1"/>
  <c r="B8276" i="1"/>
  <c r="K8275" i="1"/>
  <c r="C8275" i="1"/>
  <c r="B8275" i="1"/>
  <c r="K8274" i="1"/>
  <c r="C8274" i="1"/>
  <c r="B8274" i="1"/>
  <c r="K8273" i="1"/>
  <c r="C8273" i="1"/>
  <c r="B8273" i="1"/>
  <c r="K8272" i="1"/>
  <c r="C8272" i="1"/>
  <c r="B8272" i="1"/>
  <c r="K8271" i="1"/>
  <c r="C8271" i="1"/>
  <c r="B8271" i="1"/>
  <c r="K8270" i="1"/>
  <c r="C8270" i="1"/>
  <c r="B8270" i="1"/>
  <c r="K8269" i="1"/>
  <c r="C8269" i="1"/>
  <c r="B8269" i="1"/>
  <c r="K8268" i="1"/>
  <c r="C8268" i="1"/>
  <c r="B8268" i="1"/>
  <c r="K8267" i="1"/>
  <c r="C8267" i="1"/>
  <c r="B8267" i="1"/>
  <c r="K8266" i="1"/>
  <c r="C8266" i="1"/>
  <c r="B8266" i="1"/>
  <c r="K8265" i="1"/>
  <c r="C8265" i="1"/>
  <c r="B8265" i="1"/>
  <c r="K8264" i="1"/>
  <c r="C8264" i="1"/>
  <c r="B8264" i="1"/>
  <c r="K8263" i="1"/>
  <c r="C8263" i="1"/>
  <c r="B8263" i="1"/>
  <c r="K8262" i="1"/>
  <c r="C8262" i="1"/>
  <c r="B8262" i="1"/>
  <c r="K8261" i="1"/>
  <c r="C8261" i="1"/>
  <c r="B8261" i="1"/>
  <c r="K8260" i="1"/>
  <c r="C8260" i="1"/>
  <c r="B8260" i="1"/>
  <c r="K8259" i="1"/>
  <c r="C8259" i="1"/>
  <c r="B8259" i="1"/>
  <c r="K8258" i="1"/>
  <c r="C8258" i="1"/>
  <c r="B8258" i="1"/>
  <c r="K8257" i="1"/>
  <c r="C8257" i="1"/>
  <c r="B8257" i="1"/>
  <c r="K8256" i="1"/>
  <c r="C8256" i="1"/>
  <c r="B8256" i="1"/>
  <c r="K8255" i="1"/>
  <c r="C8255" i="1"/>
  <c r="B8255" i="1"/>
  <c r="K8254" i="1"/>
  <c r="C8254" i="1"/>
  <c r="B8254" i="1"/>
  <c r="K8253" i="1"/>
  <c r="C8253" i="1"/>
  <c r="B8253" i="1"/>
  <c r="K8252" i="1"/>
  <c r="C8252" i="1"/>
  <c r="B8252" i="1"/>
  <c r="K8251" i="1"/>
  <c r="C8251" i="1"/>
  <c r="B8251" i="1"/>
  <c r="K8250" i="1"/>
  <c r="C8250" i="1"/>
  <c r="B8250" i="1"/>
  <c r="K8249" i="1"/>
  <c r="C8249" i="1"/>
  <c r="B8249" i="1"/>
  <c r="K8248" i="1"/>
  <c r="C8248" i="1"/>
  <c r="B8248" i="1"/>
  <c r="K8247" i="1"/>
  <c r="C8247" i="1"/>
  <c r="B8247" i="1"/>
  <c r="K8246" i="1"/>
  <c r="C8246" i="1"/>
  <c r="B8246" i="1"/>
  <c r="K8245" i="1"/>
  <c r="C8245" i="1"/>
  <c r="B8245" i="1"/>
  <c r="K8244" i="1"/>
  <c r="C8244" i="1"/>
  <c r="B8244" i="1"/>
  <c r="K8243" i="1"/>
  <c r="C8243" i="1"/>
  <c r="B8243" i="1"/>
  <c r="K8242" i="1"/>
  <c r="C8242" i="1"/>
  <c r="B8242" i="1"/>
  <c r="K8241" i="1"/>
  <c r="C8241" i="1"/>
  <c r="B8241" i="1"/>
  <c r="K8240" i="1"/>
  <c r="C8240" i="1"/>
  <c r="B8240" i="1"/>
  <c r="K8239" i="1"/>
  <c r="C8239" i="1"/>
  <c r="B8239" i="1"/>
  <c r="K8238" i="1"/>
  <c r="C8238" i="1"/>
  <c r="B8238" i="1"/>
  <c r="K8237" i="1"/>
  <c r="C8237" i="1"/>
  <c r="B8237" i="1"/>
  <c r="K8236" i="1"/>
  <c r="C8236" i="1"/>
  <c r="B8236" i="1"/>
  <c r="K8235" i="1"/>
  <c r="C8235" i="1"/>
  <c r="B8235" i="1"/>
  <c r="K8234" i="1"/>
  <c r="C8234" i="1"/>
  <c r="B8234" i="1"/>
  <c r="K8233" i="1"/>
  <c r="C8233" i="1"/>
  <c r="B8233" i="1"/>
  <c r="K8232" i="1"/>
  <c r="C8232" i="1"/>
  <c r="B8232" i="1"/>
  <c r="K8231" i="1"/>
  <c r="C8231" i="1"/>
  <c r="B8231" i="1"/>
  <c r="K8230" i="1"/>
  <c r="C8230" i="1"/>
  <c r="B8230" i="1"/>
  <c r="K8229" i="1"/>
  <c r="C8229" i="1"/>
  <c r="B8229" i="1"/>
  <c r="K8228" i="1"/>
  <c r="C8228" i="1"/>
  <c r="B8228" i="1"/>
  <c r="K8227" i="1"/>
  <c r="C8227" i="1"/>
  <c r="B8227" i="1"/>
  <c r="K8226" i="1"/>
  <c r="C8226" i="1"/>
  <c r="B8226" i="1"/>
  <c r="K8225" i="1"/>
  <c r="C8225" i="1"/>
  <c r="B8225" i="1"/>
  <c r="K8224" i="1"/>
  <c r="C8224" i="1"/>
  <c r="B8224" i="1"/>
  <c r="K8223" i="1"/>
  <c r="C8223" i="1"/>
  <c r="B8223" i="1"/>
  <c r="K8222" i="1"/>
  <c r="C8222" i="1"/>
  <c r="B8222" i="1"/>
  <c r="K8221" i="1"/>
  <c r="C8221" i="1"/>
  <c r="B8221" i="1"/>
  <c r="K8220" i="1"/>
  <c r="C8220" i="1"/>
  <c r="B8220" i="1"/>
  <c r="K8219" i="1"/>
  <c r="C8219" i="1"/>
  <c r="B8219" i="1"/>
  <c r="K8218" i="1"/>
  <c r="C8218" i="1"/>
  <c r="B8218" i="1"/>
  <c r="K8217" i="1"/>
  <c r="C8217" i="1"/>
  <c r="B8217" i="1"/>
  <c r="K8216" i="1"/>
  <c r="C8216" i="1"/>
  <c r="B8216" i="1"/>
  <c r="K8215" i="1"/>
  <c r="C8215" i="1"/>
  <c r="B8215" i="1"/>
  <c r="K8214" i="1"/>
  <c r="C8214" i="1"/>
  <c r="B8214" i="1"/>
  <c r="K8213" i="1"/>
  <c r="C8213" i="1"/>
  <c r="B8213" i="1"/>
  <c r="K8212" i="1"/>
  <c r="C8212" i="1"/>
  <c r="B8212" i="1"/>
  <c r="K8211" i="1"/>
  <c r="C8211" i="1"/>
  <c r="B8211" i="1"/>
  <c r="K8210" i="1"/>
  <c r="C8210" i="1"/>
  <c r="B8210" i="1"/>
  <c r="K8209" i="1"/>
  <c r="C8209" i="1"/>
  <c r="B8209" i="1"/>
  <c r="K8208" i="1"/>
  <c r="C8208" i="1"/>
  <c r="B8208" i="1"/>
  <c r="K8207" i="1"/>
  <c r="C8207" i="1"/>
  <c r="B8207" i="1"/>
  <c r="K8206" i="1"/>
  <c r="C8206" i="1"/>
  <c r="B8206" i="1"/>
  <c r="K8205" i="1"/>
  <c r="C8205" i="1"/>
  <c r="B8205" i="1"/>
  <c r="K8204" i="1"/>
  <c r="C8204" i="1"/>
  <c r="B8204" i="1"/>
  <c r="K8203" i="1"/>
  <c r="C8203" i="1"/>
  <c r="B8203" i="1"/>
  <c r="K8202" i="1"/>
  <c r="C8202" i="1"/>
  <c r="B8202" i="1"/>
  <c r="K8201" i="1"/>
  <c r="C8201" i="1"/>
  <c r="B8201" i="1"/>
  <c r="K8200" i="1"/>
  <c r="C8200" i="1"/>
  <c r="B8200" i="1"/>
  <c r="K8199" i="1"/>
  <c r="C8199" i="1"/>
  <c r="B8199" i="1"/>
  <c r="K8198" i="1"/>
  <c r="C8198" i="1"/>
  <c r="B8198" i="1"/>
  <c r="K8197" i="1"/>
  <c r="C8197" i="1"/>
  <c r="B8197" i="1"/>
  <c r="K8196" i="1"/>
  <c r="C8196" i="1"/>
  <c r="B8196" i="1"/>
  <c r="K8195" i="1"/>
  <c r="C8195" i="1"/>
  <c r="B8195" i="1"/>
  <c r="K8194" i="1"/>
  <c r="C8194" i="1"/>
  <c r="B8194" i="1"/>
  <c r="K8193" i="1"/>
  <c r="C8193" i="1"/>
  <c r="B8193" i="1"/>
  <c r="K8192" i="1"/>
  <c r="C8192" i="1"/>
  <c r="B8192" i="1"/>
  <c r="K8191" i="1"/>
  <c r="C8191" i="1"/>
  <c r="B8191" i="1"/>
  <c r="K8190" i="1"/>
  <c r="C8190" i="1"/>
  <c r="B8190" i="1"/>
  <c r="K8189" i="1"/>
  <c r="C8189" i="1"/>
  <c r="B8189" i="1"/>
  <c r="K8188" i="1"/>
  <c r="C8188" i="1"/>
  <c r="B8188" i="1"/>
  <c r="K8187" i="1"/>
  <c r="C8187" i="1"/>
  <c r="B8187" i="1"/>
  <c r="K8186" i="1"/>
  <c r="C8186" i="1"/>
  <c r="B8186" i="1"/>
  <c r="K8185" i="1"/>
  <c r="C8185" i="1"/>
  <c r="B8185" i="1"/>
  <c r="K8184" i="1"/>
  <c r="C8184" i="1"/>
  <c r="B8184" i="1"/>
  <c r="K8183" i="1"/>
  <c r="C8183" i="1"/>
  <c r="B8183" i="1"/>
  <c r="K8182" i="1"/>
  <c r="C8182" i="1"/>
  <c r="B8182" i="1"/>
  <c r="K8181" i="1"/>
  <c r="C8181" i="1"/>
  <c r="B8181" i="1"/>
  <c r="K8180" i="1"/>
  <c r="C8180" i="1"/>
  <c r="B8180" i="1"/>
  <c r="K8179" i="1"/>
  <c r="C8179" i="1"/>
  <c r="B8179" i="1"/>
  <c r="K8178" i="1"/>
  <c r="C8178" i="1"/>
  <c r="B8178" i="1"/>
  <c r="K8177" i="1"/>
  <c r="C8177" i="1"/>
  <c r="B8177" i="1"/>
  <c r="K8176" i="1"/>
  <c r="C8176" i="1"/>
  <c r="B8176" i="1"/>
  <c r="K8175" i="1"/>
  <c r="C8175" i="1"/>
  <c r="B8175" i="1"/>
  <c r="K8174" i="1"/>
  <c r="C8174" i="1"/>
  <c r="B8174" i="1"/>
  <c r="K8173" i="1"/>
  <c r="C8173" i="1"/>
  <c r="B8173" i="1"/>
  <c r="K8172" i="1"/>
  <c r="C8172" i="1"/>
  <c r="B8172" i="1"/>
  <c r="K8171" i="1"/>
  <c r="C8171" i="1"/>
  <c r="B8171" i="1"/>
  <c r="K8170" i="1"/>
  <c r="C8170" i="1"/>
  <c r="B8170" i="1"/>
  <c r="K8169" i="1"/>
  <c r="C8169" i="1"/>
  <c r="B8169" i="1"/>
  <c r="K8168" i="1"/>
  <c r="C8168" i="1"/>
  <c r="B8168" i="1"/>
  <c r="K8167" i="1"/>
  <c r="C8167" i="1"/>
  <c r="B8167" i="1"/>
  <c r="K8166" i="1"/>
  <c r="C8166" i="1"/>
  <c r="B8166" i="1"/>
  <c r="K8165" i="1"/>
  <c r="C8165" i="1"/>
  <c r="B8165" i="1"/>
  <c r="K8164" i="1"/>
  <c r="C8164" i="1"/>
  <c r="B8164" i="1"/>
  <c r="K8163" i="1"/>
  <c r="C8163" i="1"/>
  <c r="B8163" i="1"/>
  <c r="K8162" i="1"/>
  <c r="C8162" i="1"/>
  <c r="B8162" i="1"/>
  <c r="K8161" i="1"/>
  <c r="C8161" i="1"/>
  <c r="B8161" i="1"/>
  <c r="K8160" i="1"/>
  <c r="C8160" i="1"/>
  <c r="B8160" i="1"/>
  <c r="K8159" i="1"/>
  <c r="C8159" i="1"/>
  <c r="B8159" i="1"/>
  <c r="K8158" i="1"/>
  <c r="C8158" i="1"/>
  <c r="B8158" i="1"/>
  <c r="K8157" i="1"/>
  <c r="C8157" i="1"/>
  <c r="B8157" i="1"/>
  <c r="K8156" i="1"/>
  <c r="C8156" i="1"/>
  <c r="B8156" i="1"/>
  <c r="K8155" i="1"/>
  <c r="C8155" i="1"/>
  <c r="B8155" i="1"/>
  <c r="K8154" i="1"/>
  <c r="C8154" i="1"/>
  <c r="B8154" i="1"/>
  <c r="K8153" i="1"/>
  <c r="C8153" i="1"/>
  <c r="B8153" i="1"/>
  <c r="K8152" i="1"/>
  <c r="C8152" i="1"/>
  <c r="B8152" i="1"/>
  <c r="K8151" i="1"/>
  <c r="C8151" i="1"/>
  <c r="B8151" i="1"/>
  <c r="K8150" i="1"/>
  <c r="C8150" i="1"/>
  <c r="B8150" i="1"/>
  <c r="K8149" i="1"/>
  <c r="C8149" i="1"/>
  <c r="B8149" i="1"/>
  <c r="K8148" i="1"/>
  <c r="C8148" i="1"/>
  <c r="B8148" i="1"/>
  <c r="K8147" i="1"/>
  <c r="C8147" i="1"/>
  <c r="B8147" i="1"/>
  <c r="K8146" i="1"/>
  <c r="C8146" i="1"/>
  <c r="B8146" i="1"/>
  <c r="K8145" i="1"/>
  <c r="C8145" i="1"/>
  <c r="B8145" i="1"/>
  <c r="K8144" i="1"/>
  <c r="C8144" i="1"/>
  <c r="B8144" i="1"/>
  <c r="K8143" i="1"/>
  <c r="C8143" i="1"/>
  <c r="B8143" i="1"/>
  <c r="K8142" i="1"/>
  <c r="C8142" i="1"/>
  <c r="B8142" i="1"/>
  <c r="K8141" i="1"/>
  <c r="C8141" i="1"/>
  <c r="B8141" i="1"/>
  <c r="K8140" i="1"/>
  <c r="C8140" i="1"/>
  <c r="B8140" i="1"/>
  <c r="K8139" i="1"/>
  <c r="C8139" i="1"/>
  <c r="B8139" i="1"/>
  <c r="K8138" i="1"/>
  <c r="C8138" i="1"/>
  <c r="B8138" i="1"/>
  <c r="K8137" i="1"/>
  <c r="C8137" i="1"/>
  <c r="B8137" i="1"/>
  <c r="K8136" i="1"/>
  <c r="C8136" i="1"/>
  <c r="B8136" i="1"/>
  <c r="K8135" i="1"/>
  <c r="C8135" i="1"/>
  <c r="B8135" i="1"/>
  <c r="K8134" i="1"/>
  <c r="C8134" i="1"/>
  <c r="B8134" i="1"/>
  <c r="K8133" i="1"/>
  <c r="C8133" i="1"/>
  <c r="B8133" i="1"/>
  <c r="K8132" i="1"/>
  <c r="C8132" i="1"/>
  <c r="B8132" i="1"/>
  <c r="K8131" i="1"/>
  <c r="C8131" i="1"/>
  <c r="B8131" i="1"/>
  <c r="K8130" i="1"/>
  <c r="C8130" i="1"/>
  <c r="B8130" i="1"/>
  <c r="K8129" i="1"/>
  <c r="C8129" i="1"/>
  <c r="B8129" i="1"/>
  <c r="K8128" i="1"/>
  <c r="C8128" i="1"/>
  <c r="B8128" i="1"/>
  <c r="K8127" i="1"/>
  <c r="C8127" i="1"/>
  <c r="B8127" i="1"/>
  <c r="K8126" i="1"/>
  <c r="C8126" i="1"/>
  <c r="B8126" i="1"/>
  <c r="K8125" i="1"/>
  <c r="C8125" i="1"/>
  <c r="B8125" i="1"/>
  <c r="K8124" i="1"/>
  <c r="C8124" i="1"/>
  <c r="B8124" i="1"/>
  <c r="K8123" i="1"/>
  <c r="C8123" i="1"/>
  <c r="B8123" i="1"/>
  <c r="K8122" i="1"/>
  <c r="C8122" i="1"/>
  <c r="B8122" i="1"/>
  <c r="K8121" i="1"/>
  <c r="C8121" i="1"/>
  <c r="B8121" i="1"/>
  <c r="K8120" i="1"/>
  <c r="C8120" i="1"/>
  <c r="B8120" i="1"/>
  <c r="K8119" i="1"/>
  <c r="C8119" i="1"/>
  <c r="B8119" i="1"/>
  <c r="K8118" i="1"/>
  <c r="C8118" i="1"/>
  <c r="B8118" i="1"/>
  <c r="K8117" i="1"/>
  <c r="C8117" i="1"/>
  <c r="B8117" i="1"/>
  <c r="K8116" i="1"/>
  <c r="C8116" i="1"/>
  <c r="B8116" i="1"/>
  <c r="K8115" i="1"/>
  <c r="C8115" i="1"/>
  <c r="B8115" i="1"/>
  <c r="K8114" i="1"/>
  <c r="C8114" i="1"/>
  <c r="B8114" i="1"/>
  <c r="K8113" i="1"/>
  <c r="C8113" i="1"/>
  <c r="B8113" i="1"/>
  <c r="K8112" i="1"/>
  <c r="C8112" i="1"/>
  <c r="B8112" i="1"/>
  <c r="K8111" i="1"/>
  <c r="C8111" i="1"/>
  <c r="B8111" i="1"/>
  <c r="K8110" i="1"/>
  <c r="C8110" i="1"/>
  <c r="B8110" i="1"/>
  <c r="K8109" i="1"/>
  <c r="C8109" i="1"/>
  <c r="B8109" i="1"/>
  <c r="K8108" i="1"/>
  <c r="C8108" i="1"/>
  <c r="B8108" i="1"/>
  <c r="K8107" i="1"/>
  <c r="C8107" i="1"/>
  <c r="B8107" i="1"/>
  <c r="K8106" i="1"/>
  <c r="C8106" i="1"/>
  <c r="B8106" i="1"/>
  <c r="K8105" i="1"/>
  <c r="C8105" i="1"/>
  <c r="B8105" i="1"/>
  <c r="K8104" i="1"/>
  <c r="C8104" i="1"/>
  <c r="B8104" i="1"/>
  <c r="K8103" i="1"/>
  <c r="C8103" i="1"/>
  <c r="B8103" i="1"/>
  <c r="K8102" i="1"/>
  <c r="C8102" i="1"/>
  <c r="B8102" i="1"/>
  <c r="K8101" i="1"/>
  <c r="C8101" i="1"/>
  <c r="B8101" i="1"/>
  <c r="K8100" i="1"/>
  <c r="C8100" i="1"/>
  <c r="B8100" i="1"/>
  <c r="K8099" i="1"/>
  <c r="C8099" i="1"/>
  <c r="B8099" i="1"/>
  <c r="K8098" i="1"/>
  <c r="C8098" i="1"/>
  <c r="B8098" i="1"/>
  <c r="K8097" i="1"/>
  <c r="C8097" i="1"/>
  <c r="B8097" i="1"/>
  <c r="K8096" i="1"/>
  <c r="C8096" i="1"/>
  <c r="B8096" i="1"/>
  <c r="K8095" i="1"/>
  <c r="C8095" i="1"/>
  <c r="B8095" i="1"/>
  <c r="K8094" i="1"/>
  <c r="C8094" i="1"/>
  <c r="B8094" i="1"/>
  <c r="K8093" i="1"/>
  <c r="C8093" i="1"/>
  <c r="B8093" i="1"/>
  <c r="K8092" i="1"/>
  <c r="C8092" i="1"/>
  <c r="B8092" i="1"/>
  <c r="K8091" i="1"/>
  <c r="C8091" i="1"/>
  <c r="B8091" i="1"/>
  <c r="K8090" i="1"/>
  <c r="C8090" i="1"/>
  <c r="B8090" i="1"/>
  <c r="K8089" i="1"/>
  <c r="C8089" i="1"/>
  <c r="B8089" i="1"/>
  <c r="K8088" i="1"/>
  <c r="C8088" i="1"/>
  <c r="B8088" i="1"/>
  <c r="K8087" i="1"/>
  <c r="C8087" i="1"/>
  <c r="B8087" i="1"/>
  <c r="K8086" i="1"/>
  <c r="C8086" i="1"/>
  <c r="B8086" i="1"/>
  <c r="K8085" i="1"/>
  <c r="C8085" i="1"/>
  <c r="B8085" i="1"/>
  <c r="K8084" i="1"/>
  <c r="C8084" i="1"/>
  <c r="B8084" i="1"/>
  <c r="K8083" i="1"/>
  <c r="C8083" i="1"/>
  <c r="B8083" i="1"/>
  <c r="K8082" i="1"/>
  <c r="C8082" i="1"/>
  <c r="B8082" i="1"/>
  <c r="K8081" i="1"/>
  <c r="C8081" i="1"/>
  <c r="B8081" i="1"/>
  <c r="K8080" i="1"/>
  <c r="C8080" i="1"/>
  <c r="B8080" i="1"/>
  <c r="K8079" i="1"/>
  <c r="C8079" i="1"/>
  <c r="B8079" i="1"/>
  <c r="K8078" i="1"/>
  <c r="C8078" i="1"/>
  <c r="B8078" i="1"/>
  <c r="K8077" i="1"/>
  <c r="C8077" i="1"/>
  <c r="B8077" i="1"/>
  <c r="K8076" i="1"/>
  <c r="C8076" i="1"/>
  <c r="B8076" i="1"/>
  <c r="K8075" i="1"/>
  <c r="C8075" i="1"/>
  <c r="B8075" i="1"/>
  <c r="K8074" i="1"/>
  <c r="C8074" i="1"/>
  <c r="B8074" i="1"/>
  <c r="K8073" i="1"/>
  <c r="C8073" i="1"/>
  <c r="B8073" i="1"/>
  <c r="K8072" i="1"/>
  <c r="C8072" i="1"/>
  <c r="B8072" i="1"/>
  <c r="K8071" i="1"/>
  <c r="C8071" i="1"/>
  <c r="B8071" i="1"/>
  <c r="K8070" i="1"/>
  <c r="C8070" i="1"/>
  <c r="B8070" i="1"/>
  <c r="K8069" i="1"/>
  <c r="C8069" i="1"/>
  <c r="B8069" i="1"/>
  <c r="K8068" i="1"/>
  <c r="C8068" i="1"/>
  <c r="B8068" i="1"/>
  <c r="K8067" i="1"/>
  <c r="C8067" i="1"/>
  <c r="B8067" i="1"/>
  <c r="K8066" i="1"/>
  <c r="C8066" i="1"/>
  <c r="B8066" i="1"/>
  <c r="K8065" i="1"/>
  <c r="C8065" i="1"/>
  <c r="B8065" i="1"/>
  <c r="K8064" i="1"/>
  <c r="C8064" i="1"/>
  <c r="B8064" i="1"/>
  <c r="K8063" i="1"/>
  <c r="C8063" i="1"/>
  <c r="B8063" i="1"/>
  <c r="K8062" i="1"/>
  <c r="C8062" i="1"/>
  <c r="B8062" i="1"/>
  <c r="K8061" i="1"/>
  <c r="C8061" i="1"/>
  <c r="B8061" i="1"/>
  <c r="K8060" i="1"/>
  <c r="C8060" i="1"/>
  <c r="B8060" i="1"/>
  <c r="K8059" i="1"/>
  <c r="C8059" i="1"/>
  <c r="B8059" i="1"/>
  <c r="K8058" i="1"/>
  <c r="C8058" i="1"/>
  <c r="B8058" i="1"/>
  <c r="K8057" i="1"/>
  <c r="C8057" i="1"/>
  <c r="B8057" i="1"/>
  <c r="K8056" i="1"/>
  <c r="C8056" i="1"/>
  <c r="B8056" i="1"/>
  <c r="K8055" i="1"/>
  <c r="C8055" i="1"/>
  <c r="B8055" i="1"/>
  <c r="K8054" i="1"/>
  <c r="C8054" i="1"/>
  <c r="B8054" i="1"/>
  <c r="K8053" i="1"/>
  <c r="C8053" i="1"/>
  <c r="B8053" i="1"/>
  <c r="K8052" i="1"/>
  <c r="C8052" i="1"/>
  <c r="B8052" i="1"/>
  <c r="K8051" i="1"/>
  <c r="C8051" i="1"/>
  <c r="B8051" i="1"/>
  <c r="K8050" i="1"/>
  <c r="C8050" i="1"/>
  <c r="B8050" i="1"/>
  <c r="K8049" i="1"/>
  <c r="C8049" i="1"/>
  <c r="B8049" i="1"/>
  <c r="K8048" i="1"/>
  <c r="C8048" i="1"/>
  <c r="B8048" i="1"/>
  <c r="K8047" i="1"/>
  <c r="C8047" i="1"/>
  <c r="B8047" i="1"/>
  <c r="K8046" i="1"/>
  <c r="C8046" i="1"/>
  <c r="B8046" i="1"/>
  <c r="K8045" i="1"/>
  <c r="C8045" i="1"/>
  <c r="B8045" i="1"/>
  <c r="K8044" i="1"/>
  <c r="C8044" i="1"/>
  <c r="B8044" i="1"/>
  <c r="K8043" i="1"/>
  <c r="C8043" i="1"/>
  <c r="B8043" i="1"/>
  <c r="K8042" i="1"/>
  <c r="C8042" i="1"/>
  <c r="B8042" i="1"/>
  <c r="K8041" i="1"/>
  <c r="C8041" i="1"/>
  <c r="B8041" i="1"/>
  <c r="K8040" i="1"/>
  <c r="C8040" i="1"/>
  <c r="B8040" i="1"/>
  <c r="K8039" i="1"/>
  <c r="C8039" i="1"/>
  <c r="B8039" i="1"/>
  <c r="K8038" i="1"/>
  <c r="C8038" i="1"/>
  <c r="B8038" i="1"/>
  <c r="K8037" i="1"/>
  <c r="C8037" i="1"/>
  <c r="B8037" i="1"/>
  <c r="K8036" i="1"/>
  <c r="C8036" i="1"/>
  <c r="B8036" i="1"/>
  <c r="K8035" i="1"/>
  <c r="C8035" i="1"/>
  <c r="B8035" i="1"/>
  <c r="K8034" i="1"/>
  <c r="C8034" i="1"/>
  <c r="B8034" i="1"/>
  <c r="K8033" i="1"/>
  <c r="C8033" i="1"/>
  <c r="B8033" i="1"/>
  <c r="K8032" i="1"/>
  <c r="C8032" i="1"/>
  <c r="B8032" i="1"/>
  <c r="K8031" i="1"/>
  <c r="C8031" i="1"/>
  <c r="B8031" i="1"/>
  <c r="K8030" i="1"/>
  <c r="C8030" i="1"/>
  <c r="B8030" i="1"/>
  <c r="K8029" i="1"/>
  <c r="C8029" i="1"/>
  <c r="B8029" i="1"/>
  <c r="K8028" i="1"/>
  <c r="C8028" i="1"/>
  <c r="B8028" i="1"/>
  <c r="K8027" i="1"/>
  <c r="C8027" i="1"/>
  <c r="B8027" i="1"/>
  <c r="K8026" i="1"/>
  <c r="C8026" i="1"/>
  <c r="B8026" i="1"/>
  <c r="K8025" i="1"/>
  <c r="C8025" i="1"/>
  <c r="B8025" i="1"/>
  <c r="K8024" i="1"/>
  <c r="C8024" i="1"/>
  <c r="B8024" i="1"/>
  <c r="K8023" i="1"/>
  <c r="C8023" i="1"/>
  <c r="B8023" i="1"/>
  <c r="K8022" i="1"/>
  <c r="C8022" i="1"/>
  <c r="B8022" i="1"/>
  <c r="K8021" i="1"/>
  <c r="C8021" i="1"/>
  <c r="B8021" i="1"/>
  <c r="K8020" i="1"/>
  <c r="C8020" i="1"/>
  <c r="B8020" i="1"/>
  <c r="K8019" i="1"/>
  <c r="C8019" i="1"/>
  <c r="B8019" i="1"/>
  <c r="K8018" i="1"/>
  <c r="C8018" i="1"/>
  <c r="B8018" i="1"/>
  <c r="K8017" i="1"/>
  <c r="C8017" i="1"/>
  <c r="B8017" i="1"/>
  <c r="K8016" i="1"/>
  <c r="C8016" i="1"/>
  <c r="B8016" i="1"/>
  <c r="K8015" i="1"/>
  <c r="C8015" i="1"/>
  <c r="B8015" i="1"/>
  <c r="K8014" i="1"/>
  <c r="C8014" i="1"/>
  <c r="B8014" i="1"/>
  <c r="K8013" i="1"/>
  <c r="C8013" i="1"/>
  <c r="B8013" i="1"/>
  <c r="K8012" i="1"/>
  <c r="C8012" i="1"/>
  <c r="B8012" i="1"/>
  <c r="K8011" i="1"/>
  <c r="C8011" i="1"/>
  <c r="B8011" i="1"/>
  <c r="K8010" i="1"/>
  <c r="C8010" i="1"/>
  <c r="B8010" i="1"/>
  <c r="K8009" i="1"/>
  <c r="C8009" i="1"/>
  <c r="B8009" i="1"/>
  <c r="K8008" i="1"/>
  <c r="C8008" i="1"/>
  <c r="B8008" i="1"/>
  <c r="K8007" i="1"/>
  <c r="C8007" i="1"/>
  <c r="B8007" i="1"/>
  <c r="K8006" i="1"/>
  <c r="C8006" i="1"/>
  <c r="B8006" i="1"/>
  <c r="K8005" i="1"/>
  <c r="C8005" i="1"/>
  <c r="B8005" i="1"/>
  <c r="K8004" i="1"/>
  <c r="C8004" i="1"/>
  <c r="B8004" i="1"/>
  <c r="K8003" i="1"/>
  <c r="C8003" i="1"/>
  <c r="B8003" i="1"/>
  <c r="K8002" i="1"/>
  <c r="C8002" i="1"/>
  <c r="B8002" i="1"/>
  <c r="K8001" i="1"/>
  <c r="C8001" i="1"/>
  <c r="B8001" i="1"/>
  <c r="K8000" i="1"/>
  <c r="C8000" i="1"/>
  <c r="B8000" i="1"/>
  <c r="K7999" i="1"/>
  <c r="C7999" i="1"/>
  <c r="B7999" i="1"/>
  <c r="K7998" i="1"/>
  <c r="C7998" i="1"/>
  <c r="B7998" i="1"/>
  <c r="K7997" i="1"/>
  <c r="C7997" i="1"/>
  <c r="B7997" i="1"/>
  <c r="K7996" i="1"/>
  <c r="C7996" i="1"/>
  <c r="B7996" i="1"/>
  <c r="K7995" i="1"/>
  <c r="C7995" i="1"/>
  <c r="B7995" i="1"/>
  <c r="K7994" i="1"/>
  <c r="C7994" i="1"/>
  <c r="B7994" i="1"/>
  <c r="K7993" i="1"/>
  <c r="C7993" i="1"/>
  <c r="B7993" i="1"/>
  <c r="K7992" i="1"/>
  <c r="C7992" i="1"/>
  <c r="B7992" i="1"/>
  <c r="K7991" i="1"/>
  <c r="C7991" i="1"/>
  <c r="B7991" i="1"/>
  <c r="K7990" i="1"/>
  <c r="C7990" i="1"/>
  <c r="B7990" i="1"/>
  <c r="K7989" i="1"/>
  <c r="C7989" i="1"/>
  <c r="B7989" i="1"/>
  <c r="K7988" i="1"/>
  <c r="C7988" i="1"/>
  <c r="B7988" i="1"/>
  <c r="K7987" i="1"/>
  <c r="C7987" i="1"/>
  <c r="B7987" i="1"/>
  <c r="K7986" i="1"/>
  <c r="C7986" i="1"/>
  <c r="B7986" i="1"/>
  <c r="K7985" i="1"/>
  <c r="C7985" i="1"/>
  <c r="B7985" i="1"/>
  <c r="K7984" i="1"/>
  <c r="C7984" i="1"/>
  <c r="B7984" i="1"/>
  <c r="K7983" i="1"/>
  <c r="C7983" i="1"/>
  <c r="B7983" i="1"/>
  <c r="K7982" i="1"/>
  <c r="C7982" i="1"/>
  <c r="B7982" i="1"/>
  <c r="K7981" i="1"/>
  <c r="C7981" i="1"/>
  <c r="B7981" i="1"/>
  <c r="K7980" i="1"/>
  <c r="C7980" i="1"/>
  <c r="B7980" i="1"/>
  <c r="K7979" i="1"/>
  <c r="C7979" i="1"/>
  <c r="B7979" i="1"/>
  <c r="K7978" i="1"/>
  <c r="C7978" i="1"/>
  <c r="B7978" i="1"/>
  <c r="K7977" i="1"/>
  <c r="C7977" i="1"/>
  <c r="B7977" i="1"/>
  <c r="K7976" i="1"/>
  <c r="C7976" i="1"/>
  <c r="B7976" i="1"/>
  <c r="K7975" i="1"/>
  <c r="C7975" i="1"/>
  <c r="B7975" i="1"/>
  <c r="K7974" i="1"/>
  <c r="C7974" i="1"/>
  <c r="B7974" i="1"/>
  <c r="K7973" i="1"/>
  <c r="C7973" i="1"/>
  <c r="B7973" i="1"/>
  <c r="K7972" i="1"/>
  <c r="C7972" i="1"/>
  <c r="B7972" i="1"/>
  <c r="K7971" i="1"/>
  <c r="C7971" i="1"/>
  <c r="B7971" i="1"/>
  <c r="K7970" i="1"/>
  <c r="C7970" i="1"/>
  <c r="B7970" i="1"/>
  <c r="K7969" i="1"/>
  <c r="C7969" i="1"/>
  <c r="B7969" i="1"/>
  <c r="K7968" i="1"/>
  <c r="C7968" i="1"/>
  <c r="B7968" i="1"/>
  <c r="K7967" i="1"/>
  <c r="C7967" i="1"/>
  <c r="B7967" i="1"/>
  <c r="K7966" i="1"/>
  <c r="C7966" i="1"/>
  <c r="B7966" i="1"/>
  <c r="K7965" i="1"/>
  <c r="C7965" i="1"/>
  <c r="B7965" i="1"/>
  <c r="K7964" i="1"/>
  <c r="C7964" i="1"/>
  <c r="B7964" i="1"/>
  <c r="K7963" i="1"/>
  <c r="C7963" i="1"/>
  <c r="B7963" i="1"/>
  <c r="K7962" i="1"/>
  <c r="C7962" i="1"/>
  <c r="B7962" i="1"/>
  <c r="K7961" i="1"/>
  <c r="C7961" i="1"/>
  <c r="B7961" i="1"/>
  <c r="K7960" i="1"/>
  <c r="C7960" i="1"/>
  <c r="B7960" i="1"/>
  <c r="K7959" i="1"/>
  <c r="C7959" i="1"/>
  <c r="B7959" i="1"/>
  <c r="K7958" i="1"/>
  <c r="C7958" i="1"/>
  <c r="B7958" i="1"/>
  <c r="K7957" i="1"/>
  <c r="C7957" i="1"/>
  <c r="B7957" i="1"/>
  <c r="K7956" i="1"/>
  <c r="C7956" i="1"/>
  <c r="B7956" i="1"/>
  <c r="K7955" i="1"/>
  <c r="C7955" i="1"/>
  <c r="B7955" i="1"/>
  <c r="K7954" i="1"/>
  <c r="C7954" i="1"/>
  <c r="B7954" i="1"/>
  <c r="K7953" i="1"/>
  <c r="C7953" i="1"/>
  <c r="B7953" i="1"/>
  <c r="K7952" i="1"/>
  <c r="C7952" i="1"/>
  <c r="B7952" i="1"/>
  <c r="K7951" i="1"/>
  <c r="C7951" i="1"/>
  <c r="B7951" i="1"/>
  <c r="K7950" i="1"/>
  <c r="C7950" i="1"/>
  <c r="B7950" i="1"/>
  <c r="K7949" i="1"/>
  <c r="C7949" i="1"/>
  <c r="B7949" i="1"/>
  <c r="K7948" i="1"/>
  <c r="C7948" i="1"/>
  <c r="B7948" i="1"/>
  <c r="K7947" i="1"/>
  <c r="C7947" i="1"/>
  <c r="B7947" i="1"/>
  <c r="K7946" i="1"/>
  <c r="C7946" i="1"/>
  <c r="B7946" i="1"/>
  <c r="K7945" i="1"/>
  <c r="C7945" i="1"/>
  <c r="B7945" i="1"/>
  <c r="K7944" i="1"/>
  <c r="C7944" i="1"/>
  <c r="B7944" i="1"/>
  <c r="K7943" i="1"/>
  <c r="C7943" i="1"/>
  <c r="B7943" i="1"/>
  <c r="K7942" i="1"/>
  <c r="C7942" i="1"/>
  <c r="B7942" i="1"/>
  <c r="K7941" i="1"/>
  <c r="C7941" i="1"/>
  <c r="B7941" i="1"/>
  <c r="K7940" i="1"/>
  <c r="C7940" i="1"/>
  <c r="B7940" i="1"/>
  <c r="K7939" i="1"/>
  <c r="C7939" i="1"/>
  <c r="B7939" i="1"/>
  <c r="K7938" i="1"/>
  <c r="C7938" i="1"/>
  <c r="B7938" i="1"/>
  <c r="K7937" i="1"/>
  <c r="C7937" i="1"/>
  <c r="B7937" i="1"/>
  <c r="K7936" i="1"/>
  <c r="C7936" i="1"/>
  <c r="B7936" i="1"/>
  <c r="K7935" i="1"/>
  <c r="C7935" i="1"/>
  <c r="B7935" i="1"/>
  <c r="K7934" i="1"/>
  <c r="C7934" i="1"/>
  <c r="B7934" i="1"/>
  <c r="K7933" i="1"/>
  <c r="C7933" i="1"/>
  <c r="B7933" i="1"/>
  <c r="K7932" i="1"/>
  <c r="C7932" i="1"/>
  <c r="B7932" i="1"/>
  <c r="K7931" i="1"/>
  <c r="C7931" i="1"/>
  <c r="B7931" i="1"/>
  <c r="K7930" i="1"/>
  <c r="C7930" i="1"/>
  <c r="B7930" i="1"/>
  <c r="K7929" i="1"/>
  <c r="C7929" i="1"/>
  <c r="B7929" i="1"/>
  <c r="K7928" i="1"/>
  <c r="C7928" i="1"/>
  <c r="B7928" i="1"/>
  <c r="K7927" i="1"/>
  <c r="C7927" i="1"/>
  <c r="B7927" i="1"/>
  <c r="K7926" i="1"/>
  <c r="C7926" i="1"/>
  <c r="B7926" i="1"/>
  <c r="K7925" i="1"/>
  <c r="C7925" i="1"/>
  <c r="B7925" i="1"/>
  <c r="K7924" i="1"/>
  <c r="C7924" i="1"/>
  <c r="B7924" i="1"/>
  <c r="K7923" i="1"/>
  <c r="C7923" i="1"/>
  <c r="B7923" i="1"/>
  <c r="K7922" i="1"/>
  <c r="C7922" i="1"/>
  <c r="B7922" i="1"/>
  <c r="K7921" i="1"/>
  <c r="C7921" i="1"/>
  <c r="B7921" i="1"/>
  <c r="K7920" i="1"/>
  <c r="C7920" i="1"/>
  <c r="B7920" i="1"/>
  <c r="K7919" i="1"/>
  <c r="C7919" i="1"/>
  <c r="B7919" i="1"/>
  <c r="K7918" i="1"/>
  <c r="C7918" i="1"/>
  <c r="B7918" i="1"/>
  <c r="K7917" i="1"/>
  <c r="C7917" i="1"/>
  <c r="B7917" i="1"/>
  <c r="K7916" i="1"/>
  <c r="C7916" i="1"/>
  <c r="B7916" i="1"/>
  <c r="K7915" i="1"/>
  <c r="C7915" i="1"/>
  <c r="B7915" i="1"/>
  <c r="K7914" i="1"/>
  <c r="C7914" i="1"/>
  <c r="B7914" i="1"/>
  <c r="K7913" i="1"/>
  <c r="C7913" i="1"/>
  <c r="B7913" i="1"/>
  <c r="K7912" i="1"/>
  <c r="C7912" i="1"/>
  <c r="B7912" i="1"/>
  <c r="K7911" i="1"/>
  <c r="C7911" i="1"/>
  <c r="B7911" i="1"/>
  <c r="K7910" i="1"/>
  <c r="C7910" i="1"/>
  <c r="B7910" i="1"/>
  <c r="K7909" i="1"/>
  <c r="C7909" i="1"/>
  <c r="B7909" i="1"/>
  <c r="K7908" i="1"/>
  <c r="C7908" i="1"/>
  <c r="B7908" i="1"/>
  <c r="K7907" i="1"/>
  <c r="C7907" i="1"/>
  <c r="B7907" i="1"/>
  <c r="K7906" i="1"/>
  <c r="C7906" i="1"/>
  <c r="B7906" i="1"/>
  <c r="K7905" i="1"/>
  <c r="C7905" i="1"/>
  <c r="B7905" i="1"/>
  <c r="K7904" i="1"/>
  <c r="C7904" i="1"/>
  <c r="B7904" i="1"/>
  <c r="K7903" i="1"/>
  <c r="C7903" i="1"/>
  <c r="B7903" i="1"/>
  <c r="K7902" i="1"/>
  <c r="C7902" i="1"/>
  <c r="B7902" i="1"/>
  <c r="K7901" i="1"/>
  <c r="C7901" i="1"/>
  <c r="B7901" i="1"/>
  <c r="K7900" i="1"/>
  <c r="C7900" i="1"/>
  <c r="B7900" i="1"/>
  <c r="K7899" i="1"/>
  <c r="C7899" i="1"/>
  <c r="B7899" i="1"/>
  <c r="K7898" i="1"/>
  <c r="C7898" i="1"/>
  <c r="B7898" i="1"/>
  <c r="K7897" i="1"/>
  <c r="C7897" i="1"/>
  <c r="B7897" i="1"/>
  <c r="K7896" i="1"/>
  <c r="C7896" i="1"/>
  <c r="B7896" i="1"/>
  <c r="K7895" i="1"/>
  <c r="C7895" i="1"/>
  <c r="B7895" i="1"/>
  <c r="K7894" i="1"/>
  <c r="C7894" i="1"/>
  <c r="B7894" i="1"/>
  <c r="K7893" i="1"/>
  <c r="C7893" i="1"/>
  <c r="B7893" i="1"/>
  <c r="K7892" i="1"/>
  <c r="C7892" i="1"/>
  <c r="B7892" i="1"/>
  <c r="K7891" i="1"/>
  <c r="C7891" i="1"/>
  <c r="B7891" i="1"/>
  <c r="K7890" i="1"/>
  <c r="C7890" i="1"/>
  <c r="B7890" i="1"/>
  <c r="K7889" i="1"/>
  <c r="C7889" i="1"/>
  <c r="B7889" i="1"/>
  <c r="K7888" i="1"/>
  <c r="C7888" i="1"/>
  <c r="B7888" i="1"/>
  <c r="K7887" i="1"/>
  <c r="C7887" i="1"/>
  <c r="B7887" i="1"/>
  <c r="K7886" i="1"/>
  <c r="C7886" i="1"/>
  <c r="B7886" i="1"/>
  <c r="K7885" i="1"/>
  <c r="C7885" i="1"/>
  <c r="B7885" i="1"/>
  <c r="K7884" i="1"/>
  <c r="C7884" i="1"/>
  <c r="B7884" i="1"/>
  <c r="K7883" i="1"/>
  <c r="C7883" i="1"/>
  <c r="B7883" i="1"/>
  <c r="K7882" i="1"/>
  <c r="C7882" i="1"/>
  <c r="B7882" i="1"/>
  <c r="K7881" i="1"/>
  <c r="C7881" i="1"/>
  <c r="B7881" i="1"/>
  <c r="K7880" i="1"/>
  <c r="C7880" i="1"/>
  <c r="B7880" i="1"/>
  <c r="K7879" i="1"/>
  <c r="C7879" i="1"/>
  <c r="B7879" i="1"/>
  <c r="K7878" i="1"/>
  <c r="C7878" i="1"/>
  <c r="B7878" i="1"/>
  <c r="K7877" i="1"/>
  <c r="C7877" i="1"/>
  <c r="B7877" i="1"/>
  <c r="K7876" i="1"/>
  <c r="C7876" i="1"/>
  <c r="B7876" i="1"/>
  <c r="K7875" i="1"/>
  <c r="C7875" i="1"/>
  <c r="B7875" i="1"/>
  <c r="K7874" i="1"/>
  <c r="C7874" i="1"/>
  <c r="B7874" i="1"/>
  <c r="K7873" i="1"/>
  <c r="C7873" i="1"/>
  <c r="B7873" i="1"/>
  <c r="K7872" i="1"/>
  <c r="C7872" i="1"/>
  <c r="B7872" i="1"/>
  <c r="K7871" i="1"/>
  <c r="C7871" i="1"/>
  <c r="B7871" i="1"/>
  <c r="K7870" i="1"/>
  <c r="C7870" i="1"/>
  <c r="B7870" i="1"/>
  <c r="K7869" i="1"/>
  <c r="C7869" i="1"/>
  <c r="B7869" i="1"/>
  <c r="K7868" i="1"/>
  <c r="C7868" i="1"/>
  <c r="B7868" i="1"/>
  <c r="K7867" i="1"/>
  <c r="C7867" i="1"/>
  <c r="B7867" i="1"/>
  <c r="K7866" i="1"/>
  <c r="C7866" i="1"/>
  <c r="B7866" i="1"/>
  <c r="K7865" i="1"/>
  <c r="C7865" i="1"/>
  <c r="B7865" i="1"/>
  <c r="K7864" i="1"/>
  <c r="C7864" i="1"/>
  <c r="B7864" i="1"/>
  <c r="K7863" i="1"/>
  <c r="C7863" i="1"/>
  <c r="B7863" i="1"/>
  <c r="K7862" i="1"/>
  <c r="C7862" i="1"/>
  <c r="B7862" i="1"/>
  <c r="K7861" i="1"/>
  <c r="C7861" i="1"/>
  <c r="B7861" i="1"/>
  <c r="K7860" i="1"/>
  <c r="C7860" i="1"/>
  <c r="B7860" i="1"/>
  <c r="K7859" i="1"/>
  <c r="C7859" i="1"/>
  <c r="B7859" i="1"/>
  <c r="K7858" i="1"/>
  <c r="C7858" i="1"/>
  <c r="B7858" i="1"/>
  <c r="K7857" i="1"/>
  <c r="C7857" i="1"/>
  <c r="B7857" i="1"/>
  <c r="K7856" i="1"/>
  <c r="C7856" i="1"/>
  <c r="B7856" i="1"/>
  <c r="K7855" i="1"/>
  <c r="C7855" i="1"/>
  <c r="B7855" i="1"/>
  <c r="K7854" i="1"/>
  <c r="C7854" i="1"/>
  <c r="B7854" i="1"/>
  <c r="K7853" i="1"/>
  <c r="C7853" i="1"/>
  <c r="B7853" i="1"/>
  <c r="K7852" i="1"/>
  <c r="C7852" i="1"/>
  <c r="B7852" i="1"/>
  <c r="K7851" i="1"/>
  <c r="C7851" i="1"/>
  <c r="B7851" i="1"/>
  <c r="K7850" i="1"/>
  <c r="C7850" i="1"/>
  <c r="B7850" i="1"/>
  <c r="K7849" i="1"/>
  <c r="C7849" i="1"/>
  <c r="B7849" i="1"/>
  <c r="K7848" i="1"/>
  <c r="C7848" i="1"/>
  <c r="B7848" i="1"/>
  <c r="K7847" i="1"/>
  <c r="C7847" i="1"/>
  <c r="B7847" i="1"/>
  <c r="K7846" i="1"/>
  <c r="C7846" i="1"/>
  <c r="B7846" i="1"/>
  <c r="K7845" i="1"/>
  <c r="C7845" i="1"/>
  <c r="B7845" i="1"/>
  <c r="K7844" i="1"/>
  <c r="C7844" i="1"/>
  <c r="B7844" i="1"/>
  <c r="K7843" i="1"/>
  <c r="C7843" i="1"/>
  <c r="B7843" i="1"/>
  <c r="K7842" i="1"/>
  <c r="C7842" i="1"/>
  <c r="B7842" i="1"/>
  <c r="K7841" i="1"/>
  <c r="C7841" i="1"/>
  <c r="B7841" i="1"/>
  <c r="K7840" i="1"/>
  <c r="C7840" i="1"/>
  <c r="B7840" i="1"/>
  <c r="K7839" i="1"/>
  <c r="C7839" i="1"/>
  <c r="B7839" i="1"/>
  <c r="K7838" i="1"/>
  <c r="C7838" i="1"/>
  <c r="B7838" i="1"/>
  <c r="K7837" i="1"/>
  <c r="C7837" i="1"/>
  <c r="B7837" i="1"/>
  <c r="K7836" i="1"/>
  <c r="C7836" i="1"/>
  <c r="B7836" i="1"/>
  <c r="K7835" i="1"/>
  <c r="C7835" i="1"/>
  <c r="B7835" i="1"/>
  <c r="K7834" i="1"/>
  <c r="C7834" i="1"/>
  <c r="B7834" i="1"/>
  <c r="K7833" i="1"/>
  <c r="C7833" i="1"/>
  <c r="B7833" i="1"/>
  <c r="K7832" i="1"/>
  <c r="C7832" i="1"/>
  <c r="B7832" i="1"/>
  <c r="K7831" i="1"/>
  <c r="C7831" i="1"/>
  <c r="B7831" i="1"/>
  <c r="K7830" i="1"/>
  <c r="C7830" i="1"/>
  <c r="B7830" i="1"/>
  <c r="K7829" i="1"/>
  <c r="C7829" i="1"/>
  <c r="B7829" i="1"/>
  <c r="K7828" i="1"/>
  <c r="C7828" i="1"/>
  <c r="B7828" i="1"/>
  <c r="K7827" i="1"/>
  <c r="C7827" i="1"/>
  <c r="B7827" i="1"/>
  <c r="K7826" i="1"/>
  <c r="C7826" i="1"/>
  <c r="B7826" i="1"/>
  <c r="K7825" i="1"/>
  <c r="C7825" i="1"/>
  <c r="B7825" i="1"/>
  <c r="K7824" i="1"/>
  <c r="C7824" i="1"/>
  <c r="B7824" i="1"/>
  <c r="K7823" i="1"/>
  <c r="C7823" i="1"/>
  <c r="B7823" i="1"/>
  <c r="K7822" i="1"/>
  <c r="C7822" i="1"/>
  <c r="B7822" i="1"/>
  <c r="K7821" i="1"/>
  <c r="C7821" i="1"/>
  <c r="B7821" i="1"/>
  <c r="K7820" i="1"/>
  <c r="C7820" i="1"/>
  <c r="B7820" i="1"/>
  <c r="K7819" i="1"/>
  <c r="C7819" i="1"/>
  <c r="B7819" i="1"/>
  <c r="K7818" i="1"/>
  <c r="C7818" i="1"/>
  <c r="B7818" i="1"/>
  <c r="K7817" i="1"/>
  <c r="C7817" i="1"/>
  <c r="B7817" i="1"/>
  <c r="K7816" i="1"/>
  <c r="C7816" i="1"/>
  <c r="B7816" i="1"/>
  <c r="K7815" i="1"/>
  <c r="C7815" i="1"/>
  <c r="B7815" i="1"/>
  <c r="K7814" i="1"/>
  <c r="C7814" i="1"/>
  <c r="B7814" i="1"/>
  <c r="K7813" i="1"/>
  <c r="C7813" i="1"/>
  <c r="B7813" i="1"/>
  <c r="K7812" i="1"/>
  <c r="C7812" i="1"/>
  <c r="B7812" i="1"/>
  <c r="K7811" i="1"/>
  <c r="C7811" i="1"/>
  <c r="B7811" i="1"/>
  <c r="K7810" i="1"/>
  <c r="C7810" i="1"/>
  <c r="B7810" i="1"/>
  <c r="K7809" i="1"/>
  <c r="C7809" i="1"/>
  <c r="B7809" i="1"/>
  <c r="K7808" i="1"/>
  <c r="C7808" i="1"/>
  <c r="B7808" i="1"/>
  <c r="K7807" i="1"/>
  <c r="C7807" i="1"/>
  <c r="B7807" i="1"/>
  <c r="K7806" i="1"/>
  <c r="C7806" i="1"/>
  <c r="B7806" i="1"/>
  <c r="K7805" i="1"/>
  <c r="C7805" i="1"/>
  <c r="B7805" i="1"/>
  <c r="K7804" i="1"/>
  <c r="C7804" i="1"/>
  <c r="B7804" i="1"/>
  <c r="K7803" i="1"/>
  <c r="C7803" i="1"/>
  <c r="B7803" i="1"/>
  <c r="K7802" i="1"/>
  <c r="C7802" i="1"/>
  <c r="B7802" i="1"/>
  <c r="K7801" i="1"/>
  <c r="C7801" i="1"/>
  <c r="B7801" i="1"/>
  <c r="K7800" i="1"/>
  <c r="C7800" i="1"/>
  <c r="B7800" i="1"/>
  <c r="K7799" i="1"/>
  <c r="C7799" i="1"/>
  <c r="B7799" i="1"/>
  <c r="K7798" i="1"/>
  <c r="C7798" i="1"/>
  <c r="B7798" i="1"/>
  <c r="K7797" i="1"/>
  <c r="C7797" i="1"/>
  <c r="B7797" i="1"/>
  <c r="K7796" i="1"/>
  <c r="C7796" i="1"/>
  <c r="B7796" i="1"/>
  <c r="K7795" i="1"/>
  <c r="C7795" i="1"/>
  <c r="B7795" i="1"/>
  <c r="K7794" i="1"/>
  <c r="C7794" i="1"/>
  <c r="B7794" i="1"/>
  <c r="K7793" i="1"/>
  <c r="C7793" i="1"/>
  <c r="B7793" i="1"/>
  <c r="K7792" i="1"/>
  <c r="C7792" i="1"/>
  <c r="B7792" i="1"/>
  <c r="K7791" i="1"/>
  <c r="C7791" i="1"/>
  <c r="B7791" i="1"/>
  <c r="K7790" i="1"/>
  <c r="C7790" i="1"/>
  <c r="B7790" i="1"/>
  <c r="K7789" i="1"/>
  <c r="C7789" i="1"/>
  <c r="B7789" i="1"/>
  <c r="K7788" i="1"/>
  <c r="C7788" i="1"/>
  <c r="B7788" i="1"/>
  <c r="K7787" i="1"/>
  <c r="C7787" i="1"/>
  <c r="B7787" i="1"/>
  <c r="K7786" i="1"/>
  <c r="C7786" i="1"/>
  <c r="B7786" i="1"/>
  <c r="K7785" i="1"/>
  <c r="C7785" i="1"/>
  <c r="B7785" i="1"/>
  <c r="K7784" i="1"/>
  <c r="C7784" i="1"/>
  <c r="B7784" i="1"/>
  <c r="K7783" i="1"/>
  <c r="C7783" i="1"/>
  <c r="B7783" i="1"/>
  <c r="K7782" i="1"/>
  <c r="C7782" i="1"/>
  <c r="B7782" i="1"/>
  <c r="K7781" i="1"/>
  <c r="C7781" i="1"/>
  <c r="B7781" i="1"/>
  <c r="K7780" i="1"/>
  <c r="C7780" i="1"/>
  <c r="B7780" i="1"/>
  <c r="K7779" i="1"/>
  <c r="C7779" i="1"/>
  <c r="B7779" i="1"/>
  <c r="K7778" i="1"/>
  <c r="C7778" i="1"/>
  <c r="B7778" i="1"/>
  <c r="K7777" i="1"/>
  <c r="C7777" i="1"/>
  <c r="B7777" i="1"/>
  <c r="K7776" i="1"/>
  <c r="C7776" i="1"/>
  <c r="B7776" i="1"/>
  <c r="K7775" i="1"/>
  <c r="C7775" i="1"/>
  <c r="B7775" i="1"/>
  <c r="K7774" i="1"/>
  <c r="C7774" i="1"/>
  <c r="B7774" i="1"/>
  <c r="K7773" i="1"/>
  <c r="C7773" i="1"/>
  <c r="B7773" i="1"/>
  <c r="K7772" i="1"/>
  <c r="C7772" i="1"/>
  <c r="B7772" i="1"/>
  <c r="K7771" i="1"/>
  <c r="C7771" i="1"/>
  <c r="B7771" i="1"/>
  <c r="K7770" i="1"/>
  <c r="C7770" i="1"/>
  <c r="B7770" i="1"/>
  <c r="K7769" i="1"/>
  <c r="C7769" i="1"/>
  <c r="B7769" i="1"/>
  <c r="K7768" i="1"/>
  <c r="C7768" i="1"/>
  <c r="B7768" i="1"/>
  <c r="K7767" i="1"/>
  <c r="C7767" i="1"/>
  <c r="B7767" i="1"/>
  <c r="K7766" i="1"/>
  <c r="C7766" i="1"/>
  <c r="B7766" i="1"/>
  <c r="K7765" i="1"/>
  <c r="C7765" i="1"/>
  <c r="B7765" i="1"/>
  <c r="K7764" i="1"/>
  <c r="C7764" i="1"/>
  <c r="B7764" i="1"/>
  <c r="K7763" i="1"/>
  <c r="C7763" i="1"/>
  <c r="B7763" i="1"/>
  <c r="K7762" i="1"/>
  <c r="C7762" i="1"/>
  <c r="B7762" i="1"/>
  <c r="K7761" i="1"/>
  <c r="C7761" i="1"/>
  <c r="B7761" i="1"/>
  <c r="K7760" i="1"/>
  <c r="C7760" i="1"/>
  <c r="B7760" i="1"/>
  <c r="K7759" i="1"/>
  <c r="C7759" i="1"/>
  <c r="B7759" i="1"/>
  <c r="K7758" i="1"/>
  <c r="C7758" i="1"/>
  <c r="B7758" i="1"/>
  <c r="K7757" i="1"/>
  <c r="C7757" i="1"/>
  <c r="B7757" i="1"/>
  <c r="K7756" i="1"/>
  <c r="C7756" i="1"/>
  <c r="B7756" i="1"/>
  <c r="K7755" i="1"/>
  <c r="C7755" i="1"/>
  <c r="B7755" i="1"/>
  <c r="K7754" i="1"/>
  <c r="C7754" i="1"/>
  <c r="B7754" i="1"/>
  <c r="K7753" i="1"/>
  <c r="C7753" i="1"/>
  <c r="B7753" i="1"/>
  <c r="K7752" i="1"/>
  <c r="C7752" i="1"/>
  <c r="B7752" i="1"/>
  <c r="K7751" i="1"/>
  <c r="C7751" i="1"/>
  <c r="B7751" i="1"/>
  <c r="K7750" i="1"/>
  <c r="C7750" i="1"/>
  <c r="B7750" i="1"/>
  <c r="K7749" i="1"/>
  <c r="C7749" i="1"/>
  <c r="B7749" i="1"/>
  <c r="K7748" i="1"/>
  <c r="C7748" i="1"/>
  <c r="B7748" i="1"/>
  <c r="K7747" i="1"/>
  <c r="C7747" i="1"/>
  <c r="B7747" i="1"/>
  <c r="K7746" i="1"/>
  <c r="C7746" i="1"/>
  <c r="B7746" i="1"/>
  <c r="K7745" i="1"/>
  <c r="C7745" i="1"/>
  <c r="B7745" i="1"/>
  <c r="K7744" i="1"/>
  <c r="C7744" i="1"/>
  <c r="B7744" i="1"/>
  <c r="K7743" i="1"/>
  <c r="C7743" i="1"/>
  <c r="B7743" i="1"/>
  <c r="K7742" i="1"/>
  <c r="C7742" i="1"/>
  <c r="B7742" i="1"/>
  <c r="K7741" i="1"/>
  <c r="C7741" i="1"/>
  <c r="B7741" i="1"/>
  <c r="K7740" i="1"/>
  <c r="C7740" i="1"/>
  <c r="B7740" i="1"/>
  <c r="K7739" i="1"/>
  <c r="C7739" i="1"/>
  <c r="B7739" i="1"/>
  <c r="K7738" i="1"/>
  <c r="C7738" i="1"/>
  <c r="B7738" i="1"/>
  <c r="K7737" i="1"/>
  <c r="C7737" i="1"/>
  <c r="B7737" i="1"/>
  <c r="K7736" i="1"/>
  <c r="C7736" i="1"/>
  <c r="B7736" i="1"/>
  <c r="K7735" i="1"/>
  <c r="C7735" i="1"/>
  <c r="B7735" i="1"/>
  <c r="K7734" i="1"/>
  <c r="C7734" i="1"/>
  <c r="B7734" i="1"/>
  <c r="K7733" i="1"/>
  <c r="C7733" i="1"/>
  <c r="B7733" i="1"/>
  <c r="K7732" i="1"/>
  <c r="C7732" i="1"/>
  <c r="B7732" i="1"/>
  <c r="K7731" i="1"/>
  <c r="C7731" i="1"/>
  <c r="B7731" i="1"/>
  <c r="K7730" i="1"/>
  <c r="C7730" i="1"/>
  <c r="B7730" i="1"/>
  <c r="K7729" i="1"/>
  <c r="C7729" i="1"/>
  <c r="B7729" i="1"/>
  <c r="K7728" i="1"/>
  <c r="C7728" i="1"/>
  <c r="B7728" i="1"/>
  <c r="K7727" i="1"/>
  <c r="C7727" i="1"/>
  <c r="B7727" i="1"/>
  <c r="K7726" i="1"/>
  <c r="C7726" i="1"/>
  <c r="B7726" i="1"/>
  <c r="K7725" i="1"/>
  <c r="C7725" i="1"/>
  <c r="B7725" i="1"/>
  <c r="K7724" i="1"/>
  <c r="C7724" i="1"/>
  <c r="B7724" i="1"/>
  <c r="K7723" i="1"/>
  <c r="C7723" i="1"/>
  <c r="B7723" i="1"/>
  <c r="K7722" i="1"/>
  <c r="C7722" i="1"/>
  <c r="B7722" i="1"/>
  <c r="K7721" i="1"/>
  <c r="C7721" i="1"/>
  <c r="B7721" i="1"/>
  <c r="K7720" i="1"/>
  <c r="C7720" i="1"/>
  <c r="B7720" i="1"/>
  <c r="K7719" i="1"/>
  <c r="C7719" i="1"/>
  <c r="B7719" i="1"/>
  <c r="K7718" i="1"/>
  <c r="C7718" i="1"/>
  <c r="B7718" i="1"/>
  <c r="K7717" i="1"/>
  <c r="C7717" i="1"/>
  <c r="B7717" i="1"/>
  <c r="K7716" i="1"/>
  <c r="C7716" i="1"/>
  <c r="B7716" i="1"/>
  <c r="K7715" i="1"/>
  <c r="C7715" i="1"/>
  <c r="B7715" i="1"/>
  <c r="K7714" i="1"/>
  <c r="C7714" i="1"/>
  <c r="B7714" i="1"/>
  <c r="K7713" i="1"/>
  <c r="C7713" i="1"/>
  <c r="B7713" i="1"/>
  <c r="K7712" i="1"/>
  <c r="C7712" i="1"/>
  <c r="B7712" i="1"/>
  <c r="K7711" i="1"/>
  <c r="C7711" i="1"/>
  <c r="B7711" i="1"/>
  <c r="K7710" i="1"/>
  <c r="C7710" i="1"/>
  <c r="B7710" i="1"/>
  <c r="K7709" i="1"/>
  <c r="C7709" i="1"/>
  <c r="B7709" i="1"/>
  <c r="K7708" i="1"/>
  <c r="C7708" i="1"/>
  <c r="B7708" i="1"/>
  <c r="K7707" i="1"/>
  <c r="C7707" i="1"/>
  <c r="B7707" i="1"/>
  <c r="K7706" i="1"/>
  <c r="C7706" i="1"/>
  <c r="B7706" i="1"/>
  <c r="K7705" i="1"/>
  <c r="C7705" i="1"/>
  <c r="B7705" i="1"/>
  <c r="K7704" i="1"/>
  <c r="C7704" i="1"/>
  <c r="B7704" i="1"/>
  <c r="K7703" i="1"/>
  <c r="C7703" i="1"/>
  <c r="B7703" i="1"/>
  <c r="K7702" i="1"/>
  <c r="C7702" i="1"/>
  <c r="B7702" i="1"/>
  <c r="K7701" i="1"/>
  <c r="C7701" i="1"/>
  <c r="B7701" i="1"/>
  <c r="K7700" i="1"/>
  <c r="C7700" i="1"/>
  <c r="B7700" i="1"/>
  <c r="K7699" i="1"/>
  <c r="C7699" i="1"/>
  <c r="B7699" i="1"/>
  <c r="K7698" i="1"/>
  <c r="C7698" i="1"/>
  <c r="B7698" i="1"/>
  <c r="K7697" i="1"/>
  <c r="C7697" i="1"/>
  <c r="B7697" i="1"/>
  <c r="K7696" i="1"/>
  <c r="C7696" i="1"/>
  <c r="B7696" i="1"/>
  <c r="K7695" i="1"/>
  <c r="C7695" i="1"/>
  <c r="B7695" i="1"/>
  <c r="K7694" i="1"/>
  <c r="C7694" i="1"/>
  <c r="B7694" i="1"/>
  <c r="K7693" i="1"/>
  <c r="C7693" i="1"/>
  <c r="B7693" i="1"/>
  <c r="K7692" i="1"/>
  <c r="C7692" i="1"/>
  <c r="B7692" i="1"/>
  <c r="K7691" i="1"/>
  <c r="C7691" i="1"/>
  <c r="B7691" i="1"/>
  <c r="K7690" i="1"/>
  <c r="C7690" i="1"/>
  <c r="B7690" i="1"/>
  <c r="K7689" i="1"/>
  <c r="C7689" i="1"/>
  <c r="B7689" i="1"/>
  <c r="K7688" i="1"/>
  <c r="C7688" i="1"/>
  <c r="B7688" i="1"/>
  <c r="K7687" i="1"/>
  <c r="C7687" i="1"/>
  <c r="B7687" i="1"/>
  <c r="K7686" i="1"/>
  <c r="C7686" i="1"/>
  <c r="B7686" i="1"/>
  <c r="K7685" i="1"/>
  <c r="C7685" i="1"/>
  <c r="B7685" i="1"/>
  <c r="K7684" i="1"/>
  <c r="C7684" i="1"/>
  <c r="B7684" i="1"/>
  <c r="K7683" i="1"/>
  <c r="C7683" i="1"/>
  <c r="B7683" i="1"/>
  <c r="K7682" i="1"/>
  <c r="C7682" i="1"/>
  <c r="B7682" i="1"/>
  <c r="K7681" i="1"/>
  <c r="C7681" i="1"/>
  <c r="B7681" i="1"/>
  <c r="K7680" i="1"/>
  <c r="C7680" i="1"/>
  <c r="B7680" i="1"/>
  <c r="K7679" i="1"/>
  <c r="C7679" i="1"/>
  <c r="B7679" i="1"/>
  <c r="K7678" i="1"/>
  <c r="C7678" i="1"/>
  <c r="B7678" i="1"/>
  <c r="K7677" i="1"/>
  <c r="C7677" i="1"/>
  <c r="B7677" i="1"/>
  <c r="K7676" i="1"/>
  <c r="C7676" i="1"/>
  <c r="B7676" i="1"/>
  <c r="K7675" i="1"/>
  <c r="C7675" i="1"/>
  <c r="B7675" i="1"/>
  <c r="K7674" i="1"/>
  <c r="C7674" i="1"/>
  <c r="B7674" i="1"/>
  <c r="K7673" i="1"/>
  <c r="C7673" i="1"/>
  <c r="B7673" i="1"/>
  <c r="K7672" i="1"/>
  <c r="C7672" i="1"/>
  <c r="B7672" i="1"/>
  <c r="K7671" i="1"/>
  <c r="C7671" i="1"/>
  <c r="B7671" i="1"/>
  <c r="K7670" i="1"/>
  <c r="C7670" i="1"/>
  <c r="B7670" i="1"/>
  <c r="K7669" i="1"/>
  <c r="C7669" i="1"/>
  <c r="B7669" i="1"/>
  <c r="K7668" i="1"/>
  <c r="C7668" i="1"/>
  <c r="B7668" i="1"/>
  <c r="K7667" i="1"/>
  <c r="C7667" i="1"/>
  <c r="B7667" i="1"/>
  <c r="K7666" i="1"/>
  <c r="C7666" i="1"/>
  <c r="B7666" i="1"/>
  <c r="K7665" i="1"/>
  <c r="C7665" i="1"/>
  <c r="B7665" i="1"/>
  <c r="K7664" i="1"/>
  <c r="C7664" i="1"/>
  <c r="B7664" i="1"/>
  <c r="K7663" i="1"/>
  <c r="C7663" i="1"/>
  <c r="B7663" i="1"/>
  <c r="K7662" i="1"/>
  <c r="C7662" i="1"/>
  <c r="B7662" i="1"/>
  <c r="K7661" i="1"/>
  <c r="C7661" i="1"/>
  <c r="B7661" i="1"/>
  <c r="K7660" i="1"/>
  <c r="C7660" i="1"/>
  <c r="B7660" i="1"/>
  <c r="K7659" i="1"/>
  <c r="C7659" i="1"/>
  <c r="B7659" i="1"/>
  <c r="K7658" i="1"/>
  <c r="C7658" i="1"/>
  <c r="B7658" i="1"/>
  <c r="K7657" i="1"/>
  <c r="C7657" i="1"/>
  <c r="B7657" i="1"/>
  <c r="K7656" i="1"/>
  <c r="C7656" i="1"/>
  <c r="B7656" i="1"/>
  <c r="K7655" i="1"/>
  <c r="C7655" i="1"/>
  <c r="B7655" i="1"/>
  <c r="K7654" i="1"/>
  <c r="C7654" i="1"/>
  <c r="B7654" i="1"/>
  <c r="K7653" i="1"/>
  <c r="C7653" i="1"/>
  <c r="B7653" i="1"/>
  <c r="K7652" i="1"/>
  <c r="C7652" i="1"/>
  <c r="B7652" i="1"/>
  <c r="K7651" i="1"/>
  <c r="C7651" i="1"/>
  <c r="B7651" i="1"/>
  <c r="K7650" i="1"/>
  <c r="C7650" i="1"/>
  <c r="B7650" i="1"/>
  <c r="K7649" i="1"/>
  <c r="C7649" i="1"/>
  <c r="B7649" i="1"/>
  <c r="K7648" i="1"/>
  <c r="C7648" i="1"/>
  <c r="B7648" i="1"/>
  <c r="K7647" i="1"/>
  <c r="C7647" i="1"/>
  <c r="B7647" i="1"/>
  <c r="K7646" i="1"/>
  <c r="C7646" i="1"/>
  <c r="B7646" i="1"/>
  <c r="K7645" i="1"/>
  <c r="C7645" i="1"/>
  <c r="B7645" i="1"/>
  <c r="K7644" i="1"/>
  <c r="C7644" i="1"/>
  <c r="B7644" i="1"/>
  <c r="K7643" i="1"/>
  <c r="C7643" i="1"/>
  <c r="B7643" i="1"/>
  <c r="K7642" i="1"/>
  <c r="C7642" i="1"/>
  <c r="B7642" i="1"/>
  <c r="K7641" i="1"/>
  <c r="C7641" i="1"/>
  <c r="B7641" i="1"/>
  <c r="K7640" i="1"/>
  <c r="C7640" i="1"/>
  <c r="B7640" i="1"/>
  <c r="K7639" i="1"/>
  <c r="C7639" i="1"/>
  <c r="B7639" i="1"/>
  <c r="K7638" i="1"/>
  <c r="C7638" i="1"/>
  <c r="B7638" i="1"/>
  <c r="K7637" i="1"/>
  <c r="C7637" i="1"/>
  <c r="B7637" i="1"/>
  <c r="K7636" i="1"/>
  <c r="C7636" i="1"/>
  <c r="B7636" i="1"/>
  <c r="K7635" i="1"/>
  <c r="C7635" i="1"/>
  <c r="B7635" i="1"/>
  <c r="K7634" i="1"/>
  <c r="C7634" i="1"/>
  <c r="B7634" i="1"/>
  <c r="K7633" i="1"/>
  <c r="C7633" i="1"/>
  <c r="B7633" i="1"/>
  <c r="K7632" i="1"/>
  <c r="C7632" i="1"/>
  <c r="B7632" i="1"/>
  <c r="K7631" i="1"/>
  <c r="C7631" i="1"/>
  <c r="B7631" i="1"/>
  <c r="K7630" i="1"/>
  <c r="C7630" i="1"/>
  <c r="B7630" i="1"/>
  <c r="K7629" i="1"/>
  <c r="C7629" i="1"/>
  <c r="B7629" i="1"/>
  <c r="K7628" i="1"/>
  <c r="C7628" i="1"/>
  <c r="B7628" i="1"/>
  <c r="K7627" i="1"/>
  <c r="C7627" i="1"/>
  <c r="B7627" i="1"/>
  <c r="K7626" i="1"/>
  <c r="C7626" i="1"/>
  <c r="B7626" i="1"/>
  <c r="K7625" i="1"/>
  <c r="C7625" i="1"/>
  <c r="B7625" i="1"/>
  <c r="K7624" i="1"/>
  <c r="C7624" i="1"/>
  <c r="B7624" i="1"/>
  <c r="K7623" i="1"/>
  <c r="C7623" i="1"/>
  <c r="B7623" i="1"/>
  <c r="K7622" i="1"/>
  <c r="C7622" i="1"/>
  <c r="B7622" i="1"/>
  <c r="K7621" i="1"/>
  <c r="C7621" i="1"/>
  <c r="B7621" i="1"/>
  <c r="K7620" i="1"/>
  <c r="C7620" i="1"/>
  <c r="B7620" i="1"/>
  <c r="K7619" i="1"/>
  <c r="C7619" i="1"/>
  <c r="B7619" i="1"/>
  <c r="K7618" i="1"/>
  <c r="C7618" i="1"/>
  <c r="B7618" i="1"/>
  <c r="K7617" i="1"/>
  <c r="C7617" i="1"/>
  <c r="B7617" i="1"/>
  <c r="K7616" i="1"/>
  <c r="C7616" i="1"/>
  <c r="B7616" i="1"/>
  <c r="K7615" i="1"/>
  <c r="C7615" i="1"/>
  <c r="B7615" i="1"/>
  <c r="K7614" i="1"/>
  <c r="C7614" i="1"/>
  <c r="B7614" i="1"/>
  <c r="K7613" i="1"/>
  <c r="C7613" i="1"/>
  <c r="B7613" i="1"/>
  <c r="K7612" i="1"/>
  <c r="C7612" i="1"/>
  <c r="B7612" i="1"/>
  <c r="K7611" i="1"/>
  <c r="C7611" i="1"/>
  <c r="B7611" i="1"/>
  <c r="K7610" i="1"/>
  <c r="C7610" i="1"/>
  <c r="B7610" i="1"/>
  <c r="K7609" i="1"/>
  <c r="C7609" i="1"/>
  <c r="B7609" i="1"/>
  <c r="K7608" i="1"/>
  <c r="C7608" i="1"/>
  <c r="B7608" i="1"/>
  <c r="K7607" i="1"/>
  <c r="C7607" i="1"/>
  <c r="B7607" i="1"/>
  <c r="K7606" i="1"/>
  <c r="C7606" i="1"/>
  <c r="B7606" i="1"/>
  <c r="K7605" i="1"/>
  <c r="C7605" i="1"/>
  <c r="B7605" i="1"/>
  <c r="K7604" i="1"/>
  <c r="C7604" i="1"/>
  <c r="B7604" i="1"/>
  <c r="K7603" i="1"/>
  <c r="C7603" i="1"/>
  <c r="B7603" i="1"/>
  <c r="K7602" i="1"/>
  <c r="C7602" i="1"/>
  <c r="B7602" i="1"/>
  <c r="K7601" i="1"/>
  <c r="C7601" i="1"/>
  <c r="B7601" i="1"/>
  <c r="K7600" i="1"/>
  <c r="C7600" i="1"/>
  <c r="B7600" i="1"/>
  <c r="K7599" i="1"/>
  <c r="C7599" i="1"/>
  <c r="B7599" i="1"/>
  <c r="K7598" i="1"/>
  <c r="C7598" i="1"/>
  <c r="B7598" i="1"/>
  <c r="K7597" i="1"/>
  <c r="C7597" i="1"/>
  <c r="B7597" i="1"/>
  <c r="K7596" i="1"/>
  <c r="C7596" i="1"/>
  <c r="B7596" i="1"/>
  <c r="K7595" i="1"/>
  <c r="C7595" i="1"/>
  <c r="B7595" i="1"/>
  <c r="K7594" i="1"/>
  <c r="C7594" i="1"/>
  <c r="B7594" i="1"/>
  <c r="K7593" i="1"/>
  <c r="C7593" i="1"/>
  <c r="B7593" i="1"/>
  <c r="K7592" i="1"/>
  <c r="C7592" i="1"/>
  <c r="B7592" i="1"/>
  <c r="K7591" i="1"/>
  <c r="C7591" i="1"/>
  <c r="B7591" i="1"/>
  <c r="K7590" i="1"/>
  <c r="C7590" i="1"/>
  <c r="B7590" i="1"/>
  <c r="K7589" i="1"/>
  <c r="C7589" i="1"/>
  <c r="B7589" i="1"/>
  <c r="K7588" i="1"/>
  <c r="C7588" i="1"/>
  <c r="B7588" i="1"/>
  <c r="K7587" i="1"/>
  <c r="C7587" i="1"/>
  <c r="B7587" i="1"/>
  <c r="K7586" i="1"/>
  <c r="C7586" i="1"/>
  <c r="B7586" i="1"/>
  <c r="K7585" i="1"/>
  <c r="C7585" i="1"/>
  <c r="B7585" i="1"/>
  <c r="K7584" i="1"/>
  <c r="C7584" i="1"/>
  <c r="B7584" i="1"/>
  <c r="K7583" i="1"/>
  <c r="C7583" i="1"/>
  <c r="B7583" i="1"/>
  <c r="K7582" i="1"/>
  <c r="C7582" i="1"/>
  <c r="B7582" i="1"/>
  <c r="K7581" i="1"/>
  <c r="C7581" i="1"/>
  <c r="B7581" i="1"/>
  <c r="K7580" i="1"/>
  <c r="C7580" i="1"/>
  <c r="B7580" i="1"/>
  <c r="K7579" i="1"/>
  <c r="C7579" i="1"/>
  <c r="B7579" i="1"/>
  <c r="K7578" i="1"/>
  <c r="C7578" i="1"/>
  <c r="B7578" i="1"/>
  <c r="K7577" i="1"/>
  <c r="C7577" i="1"/>
  <c r="B7577" i="1"/>
  <c r="K7576" i="1"/>
  <c r="C7576" i="1"/>
  <c r="B7576" i="1"/>
  <c r="K7575" i="1"/>
  <c r="C7575" i="1"/>
  <c r="B7575" i="1"/>
  <c r="K7574" i="1"/>
  <c r="C7574" i="1"/>
  <c r="B7574" i="1"/>
  <c r="K7573" i="1"/>
  <c r="C7573" i="1"/>
  <c r="B7573" i="1"/>
  <c r="K7572" i="1"/>
  <c r="C7572" i="1"/>
  <c r="B7572" i="1"/>
  <c r="K7571" i="1"/>
  <c r="C7571" i="1"/>
  <c r="B7571" i="1"/>
  <c r="K7570" i="1"/>
  <c r="C7570" i="1"/>
  <c r="B7570" i="1"/>
  <c r="K7569" i="1"/>
  <c r="C7569" i="1"/>
  <c r="B7569" i="1"/>
  <c r="K7568" i="1"/>
  <c r="C7568" i="1"/>
  <c r="B7568" i="1"/>
  <c r="K7567" i="1"/>
  <c r="C7567" i="1"/>
  <c r="B7567" i="1"/>
  <c r="K7566" i="1"/>
  <c r="C7566" i="1"/>
  <c r="B7566" i="1"/>
  <c r="K7565" i="1"/>
  <c r="C7565" i="1"/>
  <c r="B7565" i="1"/>
  <c r="K7564" i="1"/>
  <c r="C7564" i="1"/>
  <c r="B7564" i="1"/>
  <c r="K7563" i="1"/>
  <c r="C7563" i="1"/>
  <c r="B7563" i="1"/>
  <c r="K7562" i="1"/>
  <c r="C7562" i="1"/>
  <c r="B7562" i="1"/>
  <c r="K7561" i="1"/>
  <c r="C7561" i="1"/>
  <c r="B7561" i="1"/>
  <c r="K7560" i="1"/>
  <c r="C7560" i="1"/>
  <c r="B7560" i="1"/>
  <c r="K7559" i="1"/>
  <c r="C7559" i="1"/>
  <c r="B7559" i="1"/>
  <c r="K7558" i="1"/>
  <c r="C7558" i="1"/>
  <c r="B7558" i="1"/>
  <c r="K7557" i="1"/>
  <c r="C7557" i="1"/>
  <c r="B7557" i="1"/>
  <c r="K7556" i="1"/>
  <c r="C7556" i="1"/>
  <c r="B7556" i="1"/>
  <c r="K7555" i="1"/>
  <c r="C7555" i="1"/>
  <c r="B7555" i="1"/>
  <c r="K7554" i="1"/>
  <c r="C7554" i="1"/>
  <c r="B7554" i="1"/>
  <c r="K7553" i="1"/>
  <c r="C7553" i="1"/>
  <c r="B7553" i="1"/>
  <c r="K7552" i="1"/>
  <c r="C7552" i="1"/>
  <c r="B7552" i="1"/>
  <c r="K7551" i="1"/>
  <c r="C7551" i="1"/>
  <c r="B7551" i="1"/>
  <c r="K7550" i="1"/>
  <c r="C7550" i="1"/>
  <c r="B7550" i="1"/>
  <c r="K7549" i="1"/>
  <c r="C7549" i="1"/>
  <c r="B7549" i="1"/>
  <c r="K7548" i="1"/>
  <c r="C7548" i="1"/>
  <c r="B7548" i="1"/>
  <c r="K7547" i="1"/>
  <c r="C7547" i="1"/>
  <c r="B7547" i="1"/>
  <c r="K7546" i="1"/>
  <c r="C7546" i="1"/>
  <c r="B7546" i="1"/>
  <c r="K7545" i="1"/>
  <c r="C7545" i="1"/>
  <c r="B7545" i="1"/>
  <c r="K7544" i="1"/>
  <c r="C7544" i="1"/>
  <c r="B7544" i="1"/>
  <c r="K7543" i="1"/>
  <c r="C7543" i="1"/>
  <c r="B7543" i="1"/>
  <c r="K7542" i="1"/>
  <c r="C7542" i="1"/>
  <c r="B7542" i="1"/>
  <c r="K7541" i="1"/>
  <c r="C7541" i="1"/>
  <c r="B7541" i="1"/>
  <c r="K7540" i="1"/>
  <c r="C7540" i="1"/>
  <c r="B7540" i="1"/>
  <c r="K7539" i="1"/>
  <c r="C7539" i="1"/>
  <c r="B7539" i="1"/>
  <c r="K7538" i="1"/>
  <c r="C7538" i="1"/>
  <c r="B7538" i="1"/>
  <c r="K7537" i="1"/>
  <c r="C7537" i="1"/>
  <c r="B7537" i="1"/>
  <c r="K7536" i="1"/>
  <c r="C7536" i="1"/>
  <c r="B7536" i="1"/>
  <c r="K7535" i="1"/>
  <c r="C7535" i="1"/>
  <c r="B7535" i="1"/>
  <c r="K7534" i="1"/>
  <c r="C7534" i="1"/>
  <c r="B7534" i="1"/>
  <c r="K7533" i="1"/>
  <c r="C7533" i="1"/>
  <c r="B7533" i="1"/>
  <c r="K7532" i="1"/>
  <c r="C7532" i="1"/>
  <c r="B7532" i="1"/>
  <c r="K7531" i="1"/>
  <c r="C7531" i="1"/>
  <c r="B7531" i="1"/>
  <c r="K7530" i="1"/>
  <c r="C7530" i="1"/>
  <c r="B7530" i="1"/>
  <c r="K7529" i="1"/>
  <c r="C7529" i="1"/>
  <c r="B7529" i="1"/>
  <c r="K7528" i="1"/>
  <c r="C7528" i="1"/>
  <c r="B7528" i="1"/>
  <c r="K7527" i="1"/>
  <c r="C7527" i="1"/>
  <c r="B7527" i="1"/>
  <c r="K7526" i="1"/>
  <c r="C7526" i="1"/>
  <c r="B7526" i="1"/>
  <c r="K7525" i="1"/>
  <c r="C7525" i="1"/>
  <c r="B7525" i="1"/>
  <c r="K7524" i="1"/>
  <c r="C7524" i="1"/>
  <c r="B7524" i="1"/>
  <c r="K7523" i="1"/>
  <c r="C7523" i="1"/>
  <c r="B7523" i="1"/>
  <c r="K7522" i="1"/>
  <c r="C7522" i="1"/>
  <c r="B7522" i="1"/>
  <c r="K7521" i="1"/>
  <c r="C7521" i="1"/>
  <c r="B7521" i="1"/>
  <c r="K7520" i="1"/>
  <c r="C7520" i="1"/>
  <c r="B7520" i="1"/>
  <c r="K7519" i="1"/>
  <c r="C7519" i="1"/>
  <c r="B7519" i="1"/>
  <c r="K7518" i="1"/>
  <c r="C7518" i="1"/>
  <c r="B7518" i="1"/>
  <c r="K7517" i="1"/>
  <c r="C7517" i="1"/>
  <c r="B7517" i="1"/>
  <c r="K7516" i="1"/>
  <c r="C7516" i="1"/>
  <c r="B7516" i="1"/>
  <c r="K7515" i="1"/>
  <c r="C7515" i="1"/>
  <c r="B7515" i="1"/>
  <c r="K7514" i="1"/>
  <c r="C7514" i="1"/>
  <c r="B7514" i="1"/>
  <c r="K7513" i="1"/>
  <c r="C7513" i="1"/>
  <c r="B7513" i="1"/>
  <c r="K7512" i="1"/>
  <c r="C7512" i="1"/>
  <c r="B7512" i="1"/>
  <c r="K7511" i="1"/>
  <c r="C7511" i="1"/>
  <c r="B7511" i="1"/>
  <c r="K7510" i="1"/>
  <c r="C7510" i="1"/>
  <c r="B7510" i="1"/>
  <c r="K7509" i="1"/>
  <c r="C7509" i="1"/>
  <c r="B7509" i="1"/>
  <c r="K7508" i="1"/>
  <c r="C7508" i="1"/>
  <c r="B7508" i="1"/>
  <c r="K7507" i="1"/>
  <c r="C7507" i="1"/>
  <c r="B7507" i="1"/>
  <c r="K7506" i="1"/>
  <c r="C7506" i="1"/>
  <c r="B7506" i="1"/>
  <c r="K7505" i="1"/>
  <c r="C7505" i="1"/>
  <c r="B7505" i="1"/>
  <c r="K7504" i="1"/>
  <c r="C7504" i="1"/>
  <c r="B7504" i="1"/>
  <c r="K7503" i="1"/>
  <c r="C7503" i="1"/>
  <c r="B7503" i="1"/>
  <c r="K7502" i="1"/>
  <c r="C7502" i="1"/>
  <c r="B7502" i="1"/>
  <c r="K7501" i="1"/>
  <c r="C7501" i="1"/>
  <c r="B7501" i="1"/>
  <c r="K7500" i="1"/>
  <c r="C7500" i="1"/>
  <c r="B7500" i="1"/>
  <c r="K7499" i="1"/>
  <c r="C7499" i="1"/>
  <c r="B7499" i="1"/>
  <c r="K7498" i="1"/>
  <c r="C7498" i="1"/>
  <c r="B7498" i="1"/>
  <c r="K7497" i="1"/>
  <c r="C7497" i="1"/>
  <c r="B7497" i="1"/>
  <c r="K7496" i="1"/>
  <c r="C7496" i="1"/>
  <c r="B7496" i="1"/>
  <c r="K7495" i="1"/>
  <c r="C7495" i="1"/>
  <c r="B7495" i="1"/>
  <c r="K7494" i="1"/>
  <c r="C7494" i="1"/>
  <c r="B7494" i="1"/>
  <c r="K7493" i="1"/>
  <c r="C7493" i="1"/>
  <c r="B7493" i="1"/>
  <c r="K7492" i="1"/>
  <c r="C7492" i="1"/>
  <c r="B7492" i="1"/>
  <c r="K7491" i="1"/>
  <c r="C7491" i="1"/>
  <c r="B7491" i="1"/>
  <c r="K7490" i="1"/>
  <c r="C7490" i="1"/>
  <c r="B7490" i="1"/>
  <c r="K7489" i="1"/>
  <c r="C7489" i="1"/>
  <c r="B7489" i="1"/>
  <c r="K7488" i="1"/>
  <c r="C7488" i="1"/>
  <c r="B7488" i="1"/>
  <c r="K7487" i="1"/>
  <c r="C7487" i="1"/>
  <c r="B7487" i="1"/>
  <c r="K7486" i="1"/>
  <c r="C7486" i="1"/>
  <c r="B7486" i="1"/>
  <c r="K7485" i="1"/>
  <c r="C7485" i="1"/>
  <c r="B7485" i="1"/>
  <c r="K7484" i="1"/>
  <c r="C7484" i="1"/>
  <c r="B7484" i="1"/>
  <c r="K7483" i="1"/>
  <c r="C7483" i="1"/>
  <c r="B7483" i="1"/>
  <c r="K7482" i="1"/>
  <c r="C7482" i="1"/>
  <c r="B7482" i="1"/>
  <c r="K7481" i="1"/>
  <c r="C7481" i="1"/>
  <c r="B7481" i="1"/>
  <c r="K7480" i="1"/>
  <c r="C7480" i="1"/>
  <c r="B7480" i="1"/>
  <c r="K7479" i="1"/>
  <c r="C7479" i="1"/>
  <c r="B7479" i="1"/>
  <c r="K7478" i="1"/>
  <c r="C7478" i="1"/>
  <c r="B7478" i="1"/>
  <c r="K7477" i="1"/>
  <c r="C7477" i="1"/>
  <c r="B7477" i="1"/>
  <c r="K7476" i="1"/>
  <c r="C7476" i="1"/>
  <c r="B7476" i="1"/>
  <c r="K7475" i="1"/>
  <c r="C7475" i="1"/>
  <c r="B7475" i="1"/>
  <c r="K7474" i="1"/>
  <c r="C7474" i="1"/>
  <c r="B7474" i="1"/>
  <c r="K7473" i="1"/>
  <c r="C7473" i="1"/>
  <c r="B7473" i="1"/>
  <c r="K7472" i="1"/>
  <c r="C7472" i="1"/>
  <c r="B7472" i="1"/>
  <c r="K7471" i="1"/>
  <c r="C7471" i="1"/>
  <c r="B7471" i="1"/>
  <c r="K7470" i="1"/>
  <c r="C7470" i="1"/>
  <c r="B7470" i="1"/>
  <c r="K7469" i="1"/>
  <c r="C7469" i="1"/>
  <c r="B7469" i="1"/>
  <c r="K7468" i="1"/>
  <c r="C7468" i="1"/>
  <c r="B7468" i="1"/>
  <c r="K7467" i="1"/>
  <c r="C7467" i="1"/>
  <c r="B7467" i="1"/>
  <c r="K7466" i="1"/>
  <c r="C7466" i="1"/>
  <c r="B7466" i="1"/>
  <c r="K7465" i="1"/>
  <c r="C7465" i="1"/>
  <c r="B7465" i="1"/>
  <c r="K7464" i="1"/>
  <c r="C7464" i="1"/>
  <c r="B7464" i="1"/>
  <c r="K7463" i="1"/>
  <c r="C7463" i="1"/>
  <c r="B7463" i="1"/>
  <c r="K7462" i="1"/>
  <c r="C7462" i="1"/>
  <c r="B7462" i="1"/>
  <c r="K7461" i="1"/>
  <c r="C7461" i="1"/>
  <c r="B7461" i="1"/>
  <c r="K7460" i="1"/>
  <c r="C7460" i="1"/>
  <c r="B7460" i="1"/>
  <c r="K7459" i="1"/>
  <c r="C7459" i="1"/>
  <c r="B7459" i="1"/>
  <c r="K7458" i="1"/>
  <c r="C7458" i="1"/>
  <c r="B7458" i="1"/>
  <c r="K7457" i="1"/>
  <c r="C7457" i="1"/>
  <c r="B7457" i="1"/>
  <c r="K7456" i="1"/>
  <c r="C7456" i="1"/>
  <c r="B7456" i="1"/>
  <c r="K7455" i="1"/>
  <c r="C7455" i="1"/>
  <c r="B7455" i="1"/>
  <c r="K7454" i="1"/>
  <c r="C7454" i="1"/>
  <c r="B7454" i="1"/>
  <c r="K7453" i="1"/>
  <c r="C7453" i="1"/>
  <c r="B7453" i="1"/>
  <c r="K7452" i="1"/>
  <c r="C7452" i="1"/>
  <c r="B7452" i="1"/>
  <c r="K7451" i="1"/>
  <c r="C7451" i="1"/>
  <c r="B7451" i="1"/>
  <c r="K7450" i="1"/>
  <c r="C7450" i="1"/>
  <c r="B7450" i="1"/>
  <c r="K7449" i="1"/>
  <c r="C7449" i="1"/>
  <c r="B7449" i="1"/>
  <c r="K7448" i="1"/>
  <c r="C7448" i="1"/>
  <c r="B7448" i="1"/>
  <c r="K7447" i="1"/>
  <c r="C7447" i="1"/>
  <c r="B7447" i="1"/>
  <c r="K7446" i="1"/>
  <c r="C7446" i="1"/>
  <c r="B7446" i="1"/>
  <c r="K7445" i="1"/>
  <c r="C7445" i="1"/>
  <c r="B7445" i="1"/>
  <c r="K7444" i="1"/>
  <c r="C7444" i="1"/>
  <c r="B7444" i="1"/>
  <c r="K7443" i="1"/>
  <c r="C7443" i="1"/>
  <c r="B7443" i="1"/>
  <c r="K7442" i="1"/>
  <c r="C7442" i="1"/>
  <c r="B7442" i="1"/>
  <c r="K7441" i="1"/>
  <c r="C7441" i="1"/>
  <c r="B7441" i="1"/>
  <c r="K7440" i="1"/>
  <c r="C7440" i="1"/>
  <c r="B7440" i="1"/>
  <c r="K7439" i="1"/>
  <c r="C7439" i="1"/>
  <c r="B7439" i="1"/>
  <c r="K7438" i="1"/>
  <c r="C7438" i="1"/>
  <c r="B7438" i="1"/>
  <c r="K7437" i="1"/>
  <c r="C7437" i="1"/>
  <c r="B7437" i="1"/>
  <c r="K7436" i="1"/>
  <c r="C7436" i="1"/>
  <c r="B7436" i="1"/>
  <c r="K7435" i="1"/>
  <c r="C7435" i="1"/>
  <c r="B7435" i="1"/>
  <c r="K7434" i="1"/>
  <c r="C7434" i="1"/>
  <c r="B7434" i="1"/>
  <c r="K7433" i="1"/>
  <c r="C7433" i="1"/>
  <c r="B7433" i="1"/>
  <c r="K7432" i="1"/>
  <c r="C7432" i="1"/>
  <c r="B7432" i="1"/>
  <c r="K7431" i="1"/>
  <c r="C7431" i="1"/>
  <c r="B7431" i="1"/>
  <c r="K7430" i="1"/>
  <c r="C7430" i="1"/>
  <c r="B7430" i="1"/>
  <c r="K7429" i="1"/>
  <c r="C7429" i="1"/>
  <c r="B7429" i="1"/>
  <c r="K7428" i="1"/>
  <c r="C7428" i="1"/>
  <c r="B7428" i="1"/>
  <c r="K7427" i="1"/>
  <c r="C7427" i="1"/>
  <c r="B7427" i="1"/>
  <c r="K7426" i="1"/>
  <c r="C7426" i="1"/>
  <c r="B7426" i="1"/>
  <c r="K7425" i="1"/>
  <c r="C7425" i="1"/>
  <c r="B7425" i="1"/>
  <c r="K7424" i="1"/>
  <c r="C7424" i="1"/>
  <c r="B7424" i="1"/>
  <c r="K7423" i="1"/>
  <c r="C7423" i="1"/>
  <c r="B7423" i="1"/>
  <c r="K7422" i="1"/>
  <c r="C7422" i="1"/>
  <c r="B7422" i="1"/>
  <c r="K7421" i="1"/>
  <c r="C7421" i="1"/>
  <c r="B7421" i="1"/>
  <c r="K7420" i="1"/>
  <c r="C7420" i="1"/>
  <c r="B7420" i="1"/>
  <c r="K7419" i="1"/>
  <c r="C7419" i="1"/>
  <c r="B7419" i="1"/>
  <c r="K7418" i="1"/>
  <c r="C7418" i="1"/>
  <c r="B7418" i="1"/>
  <c r="K7417" i="1"/>
  <c r="C7417" i="1"/>
  <c r="B7417" i="1"/>
  <c r="K7416" i="1"/>
  <c r="C7416" i="1"/>
  <c r="B7416" i="1"/>
  <c r="K7415" i="1"/>
  <c r="C7415" i="1"/>
  <c r="B7415" i="1"/>
  <c r="K7414" i="1"/>
  <c r="C7414" i="1"/>
  <c r="B7414" i="1"/>
  <c r="K7413" i="1"/>
  <c r="C7413" i="1"/>
  <c r="B7413" i="1"/>
  <c r="K7412" i="1"/>
  <c r="C7412" i="1"/>
  <c r="B7412" i="1"/>
  <c r="K7411" i="1"/>
  <c r="C7411" i="1"/>
  <c r="B7411" i="1"/>
  <c r="K7410" i="1"/>
  <c r="C7410" i="1"/>
  <c r="B7410" i="1"/>
  <c r="K7409" i="1"/>
  <c r="C7409" i="1"/>
  <c r="B7409" i="1"/>
  <c r="K7408" i="1"/>
  <c r="C7408" i="1"/>
  <c r="B7408" i="1"/>
  <c r="K7407" i="1"/>
  <c r="C7407" i="1"/>
  <c r="B7407" i="1"/>
  <c r="K7406" i="1"/>
  <c r="C7406" i="1"/>
  <c r="B7406" i="1"/>
  <c r="K7405" i="1"/>
  <c r="C7405" i="1"/>
  <c r="B7405" i="1"/>
  <c r="K7404" i="1"/>
  <c r="C7404" i="1"/>
  <c r="B7404" i="1"/>
  <c r="K7403" i="1"/>
  <c r="C7403" i="1"/>
  <c r="B7403" i="1"/>
  <c r="K7402" i="1"/>
  <c r="C7402" i="1"/>
  <c r="B7402" i="1"/>
  <c r="K7401" i="1"/>
  <c r="C7401" i="1"/>
  <c r="B7401" i="1"/>
  <c r="K7400" i="1"/>
  <c r="C7400" i="1"/>
  <c r="B7400" i="1"/>
  <c r="K7399" i="1"/>
  <c r="C7399" i="1"/>
  <c r="B7399" i="1"/>
  <c r="K7398" i="1"/>
  <c r="C7398" i="1"/>
  <c r="B7398" i="1"/>
  <c r="K7397" i="1"/>
  <c r="C7397" i="1"/>
  <c r="B7397" i="1"/>
  <c r="K7396" i="1"/>
  <c r="C7396" i="1"/>
  <c r="B7396" i="1"/>
  <c r="K7395" i="1"/>
  <c r="C7395" i="1"/>
  <c r="B7395" i="1"/>
  <c r="K7394" i="1"/>
  <c r="C7394" i="1"/>
  <c r="B7394" i="1"/>
  <c r="K7393" i="1"/>
  <c r="C7393" i="1"/>
  <c r="B7393" i="1"/>
  <c r="K7392" i="1"/>
  <c r="C7392" i="1"/>
  <c r="B7392" i="1"/>
  <c r="K7391" i="1"/>
  <c r="C7391" i="1"/>
  <c r="B7391" i="1"/>
  <c r="K7390" i="1"/>
  <c r="C7390" i="1"/>
  <c r="B7390" i="1"/>
  <c r="K7389" i="1"/>
  <c r="C7389" i="1"/>
  <c r="B7389" i="1"/>
  <c r="K7388" i="1"/>
  <c r="C7388" i="1"/>
  <c r="B7388" i="1"/>
  <c r="K7387" i="1"/>
  <c r="C7387" i="1"/>
  <c r="B7387" i="1"/>
  <c r="K7386" i="1"/>
  <c r="C7386" i="1"/>
  <c r="B7386" i="1"/>
  <c r="K7385" i="1"/>
  <c r="C7385" i="1"/>
  <c r="B7385" i="1"/>
  <c r="K7384" i="1"/>
  <c r="C7384" i="1"/>
  <c r="B7384" i="1"/>
  <c r="K7383" i="1"/>
  <c r="C7383" i="1"/>
  <c r="B7383" i="1"/>
  <c r="K7382" i="1"/>
  <c r="C7382" i="1"/>
  <c r="B7382" i="1"/>
  <c r="K7381" i="1"/>
  <c r="C7381" i="1"/>
  <c r="B7381" i="1"/>
  <c r="K7380" i="1"/>
  <c r="C7380" i="1"/>
  <c r="B7380" i="1"/>
  <c r="K7379" i="1"/>
  <c r="C7379" i="1"/>
  <c r="B7379" i="1"/>
  <c r="K7378" i="1"/>
  <c r="C7378" i="1"/>
  <c r="B7378" i="1"/>
  <c r="K7377" i="1"/>
  <c r="C7377" i="1"/>
  <c r="B7377" i="1"/>
  <c r="K7376" i="1"/>
  <c r="C7376" i="1"/>
  <c r="B7376" i="1"/>
  <c r="K7375" i="1"/>
  <c r="C7375" i="1"/>
  <c r="B7375" i="1"/>
  <c r="K7374" i="1"/>
  <c r="C7374" i="1"/>
  <c r="B7374" i="1"/>
  <c r="K7373" i="1"/>
  <c r="C7373" i="1"/>
  <c r="B7373" i="1"/>
  <c r="K7372" i="1"/>
  <c r="C7372" i="1"/>
  <c r="B7372" i="1"/>
  <c r="K7371" i="1"/>
  <c r="C7371" i="1"/>
  <c r="B7371" i="1"/>
  <c r="K7370" i="1"/>
  <c r="C7370" i="1"/>
  <c r="B7370" i="1"/>
  <c r="K7369" i="1"/>
  <c r="C7369" i="1"/>
  <c r="B7369" i="1"/>
  <c r="K7368" i="1"/>
  <c r="C7368" i="1"/>
  <c r="B7368" i="1"/>
  <c r="K7367" i="1"/>
  <c r="C7367" i="1"/>
  <c r="B7367" i="1"/>
  <c r="K7366" i="1"/>
  <c r="C7366" i="1"/>
  <c r="B7366" i="1"/>
  <c r="K7365" i="1"/>
  <c r="C7365" i="1"/>
  <c r="B7365" i="1"/>
  <c r="K7364" i="1"/>
  <c r="C7364" i="1"/>
  <c r="B7364" i="1"/>
  <c r="K7363" i="1"/>
  <c r="C7363" i="1"/>
  <c r="B7363" i="1"/>
  <c r="K7362" i="1"/>
  <c r="C7362" i="1"/>
  <c r="B7362" i="1"/>
  <c r="K7361" i="1"/>
  <c r="C7361" i="1"/>
  <c r="B7361" i="1"/>
  <c r="K7360" i="1"/>
  <c r="C7360" i="1"/>
  <c r="B7360" i="1"/>
  <c r="K7359" i="1"/>
  <c r="C7359" i="1"/>
  <c r="B7359" i="1"/>
  <c r="K7358" i="1"/>
  <c r="C7358" i="1"/>
  <c r="B7358" i="1"/>
  <c r="K7357" i="1"/>
  <c r="C7357" i="1"/>
  <c r="B7357" i="1"/>
  <c r="K7356" i="1"/>
  <c r="C7356" i="1"/>
  <c r="B7356" i="1"/>
  <c r="K7355" i="1"/>
  <c r="C7355" i="1"/>
  <c r="B7355" i="1"/>
  <c r="K7354" i="1"/>
  <c r="C7354" i="1"/>
  <c r="B7354" i="1"/>
  <c r="K7353" i="1"/>
  <c r="C7353" i="1"/>
  <c r="B7353" i="1"/>
  <c r="K7352" i="1"/>
  <c r="C7352" i="1"/>
  <c r="B7352" i="1"/>
  <c r="K7351" i="1"/>
  <c r="C7351" i="1"/>
  <c r="B7351" i="1"/>
  <c r="K7350" i="1"/>
  <c r="C7350" i="1"/>
  <c r="B7350" i="1"/>
  <c r="K7349" i="1"/>
  <c r="C7349" i="1"/>
  <c r="B7349" i="1"/>
  <c r="K7348" i="1"/>
  <c r="C7348" i="1"/>
  <c r="B7348" i="1"/>
  <c r="K7347" i="1"/>
  <c r="C7347" i="1"/>
  <c r="B7347" i="1"/>
  <c r="K7346" i="1"/>
  <c r="C7346" i="1"/>
  <c r="B7346" i="1"/>
  <c r="K7345" i="1"/>
  <c r="C7345" i="1"/>
  <c r="B7345" i="1"/>
  <c r="K7344" i="1"/>
  <c r="C7344" i="1"/>
  <c r="B7344" i="1"/>
  <c r="K7343" i="1"/>
  <c r="C7343" i="1"/>
  <c r="B7343" i="1"/>
  <c r="K7342" i="1"/>
  <c r="C7342" i="1"/>
  <c r="B7342" i="1"/>
  <c r="K7341" i="1"/>
  <c r="C7341" i="1"/>
  <c r="B7341" i="1"/>
  <c r="K7340" i="1"/>
  <c r="C7340" i="1"/>
  <c r="B7340" i="1"/>
  <c r="K7339" i="1"/>
  <c r="C7339" i="1"/>
  <c r="B7339" i="1"/>
  <c r="K7338" i="1"/>
  <c r="C7338" i="1"/>
  <c r="B7338" i="1"/>
  <c r="K7337" i="1"/>
  <c r="C7337" i="1"/>
  <c r="B7337" i="1"/>
  <c r="K7336" i="1"/>
  <c r="C7336" i="1"/>
  <c r="B7336" i="1"/>
  <c r="K7335" i="1"/>
  <c r="C7335" i="1"/>
  <c r="B7335" i="1"/>
  <c r="K7334" i="1"/>
  <c r="C7334" i="1"/>
  <c r="B7334" i="1"/>
  <c r="K7333" i="1"/>
  <c r="C7333" i="1"/>
  <c r="B7333" i="1"/>
  <c r="K7332" i="1"/>
  <c r="C7332" i="1"/>
  <c r="B7332" i="1"/>
  <c r="K7331" i="1"/>
  <c r="C7331" i="1"/>
  <c r="B7331" i="1"/>
  <c r="K7330" i="1"/>
  <c r="C7330" i="1"/>
  <c r="B7330" i="1"/>
  <c r="K7329" i="1"/>
  <c r="C7329" i="1"/>
  <c r="B7329" i="1"/>
  <c r="K7328" i="1"/>
  <c r="C7328" i="1"/>
  <c r="B7328" i="1"/>
  <c r="K7327" i="1"/>
  <c r="C7327" i="1"/>
  <c r="B7327" i="1"/>
  <c r="K7326" i="1"/>
  <c r="C7326" i="1"/>
  <c r="B7326" i="1"/>
  <c r="K7325" i="1"/>
  <c r="C7325" i="1"/>
  <c r="B7325" i="1"/>
  <c r="K7324" i="1"/>
  <c r="C7324" i="1"/>
  <c r="B7324" i="1"/>
  <c r="K7323" i="1"/>
  <c r="C7323" i="1"/>
  <c r="B7323" i="1"/>
  <c r="K7322" i="1"/>
  <c r="C7322" i="1"/>
  <c r="B7322" i="1"/>
  <c r="K7321" i="1"/>
  <c r="C7321" i="1"/>
  <c r="B7321" i="1"/>
  <c r="K7320" i="1"/>
  <c r="C7320" i="1"/>
  <c r="B7320" i="1"/>
  <c r="K7319" i="1"/>
  <c r="C7319" i="1"/>
  <c r="B7319" i="1"/>
  <c r="K7318" i="1"/>
  <c r="C7318" i="1"/>
  <c r="B7318" i="1"/>
  <c r="K7317" i="1"/>
  <c r="C7317" i="1"/>
  <c r="B7317" i="1"/>
  <c r="K7316" i="1"/>
  <c r="C7316" i="1"/>
  <c r="B7316" i="1"/>
  <c r="K7315" i="1"/>
  <c r="C7315" i="1"/>
  <c r="B7315" i="1"/>
  <c r="K7314" i="1"/>
  <c r="C7314" i="1"/>
  <c r="B7314" i="1"/>
  <c r="K7313" i="1"/>
  <c r="C7313" i="1"/>
  <c r="B7313" i="1"/>
  <c r="K7312" i="1"/>
  <c r="C7312" i="1"/>
  <c r="B7312" i="1"/>
  <c r="K7311" i="1"/>
  <c r="C7311" i="1"/>
  <c r="B7311" i="1"/>
  <c r="K7310" i="1"/>
  <c r="C7310" i="1"/>
  <c r="B7310" i="1"/>
  <c r="K7309" i="1"/>
  <c r="C7309" i="1"/>
  <c r="B7309" i="1"/>
  <c r="K7308" i="1"/>
  <c r="C7308" i="1"/>
  <c r="B7308" i="1"/>
  <c r="K7307" i="1"/>
  <c r="C7307" i="1"/>
  <c r="B7307" i="1"/>
  <c r="K7306" i="1"/>
  <c r="C7306" i="1"/>
  <c r="B7306" i="1"/>
  <c r="K7305" i="1"/>
  <c r="C7305" i="1"/>
  <c r="B7305" i="1"/>
  <c r="K7304" i="1"/>
  <c r="C7304" i="1"/>
  <c r="B7304" i="1"/>
  <c r="K7303" i="1"/>
  <c r="C7303" i="1"/>
  <c r="B7303" i="1"/>
  <c r="K7302" i="1"/>
  <c r="C7302" i="1"/>
  <c r="B7302" i="1"/>
  <c r="K7301" i="1"/>
  <c r="C7301" i="1"/>
  <c r="B7301" i="1"/>
  <c r="K7300" i="1"/>
  <c r="C7300" i="1"/>
  <c r="B7300" i="1"/>
  <c r="K7299" i="1"/>
  <c r="C7299" i="1"/>
  <c r="B7299" i="1"/>
  <c r="K7298" i="1"/>
  <c r="C7298" i="1"/>
  <c r="B7298" i="1"/>
  <c r="K7297" i="1"/>
  <c r="C7297" i="1"/>
  <c r="B7297" i="1"/>
  <c r="K7296" i="1"/>
  <c r="C7296" i="1"/>
  <c r="B7296" i="1"/>
  <c r="K7295" i="1"/>
  <c r="C7295" i="1"/>
  <c r="B7295" i="1"/>
  <c r="K7294" i="1"/>
  <c r="C7294" i="1"/>
  <c r="B7294" i="1"/>
  <c r="K7293" i="1"/>
  <c r="C7293" i="1"/>
  <c r="B7293" i="1"/>
  <c r="K7292" i="1"/>
  <c r="C7292" i="1"/>
  <c r="B7292" i="1"/>
  <c r="K7291" i="1"/>
  <c r="C7291" i="1"/>
  <c r="B7291" i="1"/>
  <c r="K7290" i="1"/>
  <c r="C7290" i="1"/>
  <c r="B7290" i="1"/>
  <c r="K7289" i="1"/>
  <c r="C7289" i="1"/>
  <c r="B7289" i="1"/>
  <c r="K7288" i="1"/>
  <c r="C7288" i="1"/>
  <c r="B7288" i="1"/>
  <c r="K7287" i="1"/>
  <c r="C7287" i="1"/>
  <c r="B7287" i="1"/>
  <c r="K7286" i="1"/>
  <c r="C7286" i="1"/>
  <c r="B7286" i="1"/>
  <c r="K7285" i="1"/>
  <c r="C7285" i="1"/>
  <c r="B7285" i="1"/>
  <c r="K7284" i="1"/>
  <c r="C7284" i="1"/>
  <c r="B7284" i="1"/>
  <c r="K7283" i="1"/>
  <c r="C7283" i="1"/>
  <c r="B7283" i="1"/>
  <c r="K7282" i="1"/>
  <c r="C7282" i="1"/>
  <c r="B7282" i="1"/>
  <c r="K7281" i="1"/>
  <c r="C7281" i="1"/>
  <c r="B7281" i="1"/>
  <c r="K7280" i="1"/>
  <c r="C7280" i="1"/>
  <c r="B7280" i="1"/>
  <c r="K7279" i="1"/>
  <c r="C7279" i="1"/>
  <c r="B7279" i="1"/>
  <c r="K7278" i="1"/>
  <c r="C7278" i="1"/>
  <c r="B7278" i="1"/>
  <c r="K7277" i="1"/>
  <c r="C7277" i="1"/>
  <c r="B7277" i="1"/>
  <c r="K7276" i="1"/>
  <c r="C7276" i="1"/>
  <c r="B7276" i="1"/>
  <c r="K7275" i="1"/>
  <c r="C7275" i="1"/>
  <c r="B7275" i="1"/>
  <c r="K7274" i="1"/>
  <c r="C7274" i="1"/>
  <c r="B7274" i="1"/>
  <c r="K7273" i="1"/>
  <c r="C7273" i="1"/>
  <c r="B7273" i="1"/>
  <c r="K7272" i="1"/>
  <c r="C7272" i="1"/>
  <c r="B7272" i="1"/>
  <c r="K7271" i="1"/>
  <c r="C7271" i="1"/>
  <c r="B7271" i="1"/>
  <c r="K7270" i="1"/>
  <c r="C7270" i="1"/>
  <c r="B7270" i="1"/>
  <c r="K7269" i="1"/>
  <c r="C7269" i="1"/>
  <c r="B7269" i="1"/>
  <c r="K7268" i="1"/>
  <c r="C7268" i="1"/>
  <c r="B7268" i="1"/>
  <c r="K7267" i="1"/>
  <c r="C7267" i="1"/>
  <c r="B7267" i="1"/>
  <c r="K7266" i="1"/>
  <c r="C7266" i="1"/>
  <c r="B7266" i="1"/>
  <c r="K7265" i="1"/>
  <c r="C7265" i="1"/>
  <c r="B7265" i="1"/>
  <c r="K7264" i="1"/>
  <c r="C7264" i="1"/>
  <c r="B7264" i="1"/>
  <c r="K7263" i="1"/>
  <c r="C7263" i="1"/>
  <c r="B7263" i="1"/>
  <c r="K7262" i="1"/>
  <c r="C7262" i="1"/>
  <c r="B7262" i="1"/>
  <c r="K7261" i="1"/>
  <c r="C7261" i="1"/>
  <c r="B7261" i="1"/>
  <c r="K7260" i="1"/>
  <c r="C7260" i="1"/>
  <c r="B7260" i="1"/>
  <c r="K7259" i="1"/>
  <c r="C7259" i="1"/>
  <c r="B7259" i="1"/>
  <c r="K7258" i="1"/>
  <c r="C7258" i="1"/>
  <c r="B7258" i="1"/>
  <c r="K7257" i="1"/>
  <c r="C7257" i="1"/>
  <c r="B7257" i="1"/>
  <c r="K7256" i="1"/>
  <c r="C7256" i="1"/>
  <c r="B7256" i="1"/>
  <c r="K7255" i="1"/>
  <c r="C7255" i="1"/>
  <c r="B7255" i="1"/>
  <c r="K7254" i="1"/>
  <c r="C7254" i="1"/>
  <c r="B7254" i="1"/>
  <c r="K7253" i="1"/>
  <c r="C7253" i="1"/>
  <c r="B7253" i="1"/>
  <c r="K7252" i="1"/>
  <c r="C7252" i="1"/>
  <c r="B7252" i="1"/>
  <c r="K7251" i="1"/>
  <c r="C7251" i="1"/>
  <c r="B7251" i="1"/>
  <c r="K7250" i="1"/>
  <c r="C7250" i="1"/>
  <c r="B7250" i="1"/>
  <c r="K7249" i="1"/>
  <c r="C7249" i="1"/>
  <c r="B7249" i="1"/>
  <c r="K7248" i="1"/>
  <c r="C7248" i="1"/>
  <c r="B7248" i="1"/>
  <c r="K7247" i="1"/>
  <c r="C7247" i="1"/>
  <c r="B7247" i="1"/>
  <c r="K7246" i="1"/>
  <c r="C7246" i="1"/>
  <c r="B7246" i="1"/>
  <c r="K7245" i="1"/>
  <c r="C7245" i="1"/>
  <c r="B7245" i="1"/>
  <c r="K7244" i="1"/>
  <c r="C7244" i="1"/>
  <c r="B7244" i="1"/>
  <c r="K7243" i="1"/>
  <c r="C7243" i="1"/>
  <c r="B7243" i="1"/>
  <c r="K7242" i="1"/>
  <c r="C7242" i="1"/>
  <c r="B7242" i="1"/>
  <c r="K7241" i="1"/>
  <c r="C7241" i="1"/>
  <c r="B7241" i="1"/>
  <c r="K7240" i="1"/>
  <c r="C7240" i="1"/>
  <c r="B7240" i="1"/>
  <c r="K7239" i="1"/>
  <c r="C7239" i="1"/>
  <c r="B7239" i="1"/>
  <c r="K7238" i="1"/>
  <c r="C7238" i="1"/>
  <c r="B7238" i="1"/>
  <c r="K7237" i="1"/>
  <c r="C7237" i="1"/>
  <c r="B7237" i="1"/>
  <c r="K7236" i="1"/>
  <c r="C7236" i="1"/>
  <c r="B7236" i="1"/>
  <c r="K7235" i="1"/>
  <c r="C7235" i="1"/>
  <c r="B7235" i="1"/>
  <c r="K7234" i="1"/>
  <c r="C7234" i="1"/>
  <c r="B7234" i="1"/>
  <c r="K7233" i="1"/>
  <c r="C7233" i="1"/>
  <c r="B7233" i="1"/>
  <c r="K7232" i="1"/>
  <c r="C7232" i="1"/>
  <c r="B7232" i="1"/>
  <c r="K7231" i="1"/>
  <c r="C7231" i="1"/>
  <c r="B7231" i="1"/>
  <c r="K7230" i="1"/>
  <c r="C7230" i="1"/>
  <c r="B7230" i="1"/>
  <c r="K7229" i="1"/>
  <c r="C7229" i="1"/>
  <c r="B7229" i="1"/>
  <c r="K7228" i="1"/>
  <c r="C7228" i="1"/>
  <c r="B7228" i="1"/>
  <c r="K7227" i="1"/>
  <c r="C7227" i="1"/>
  <c r="B7227" i="1"/>
  <c r="K7226" i="1"/>
  <c r="C7226" i="1"/>
  <c r="B7226" i="1"/>
  <c r="K7225" i="1"/>
  <c r="C7225" i="1"/>
  <c r="B7225" i="1"/>
  <c r="K7224" i="1"/>
  <c r="C7224" i="1"/>
  <c r="B7224" i="1"/>
  <c r="K7223" i="1"/>
  <c r="C7223" i="1"/>
  <c r="B7223" i="1"/>
  <c r="K7222" i="1"/>
  <c r="C7222" i="1"/>
  <c r="B7222" i="1"/>
  <c r="K7221" i="1"/>
  <c r="C7221" i="1"/>
  <c r="B7221" i="1"/>
  <c r="K7220" i="1"/>
  <c r="C7220" i="1"/>
  <c r="B7220" i="1"/>
  <c r="K7219" i="1"/>
  <c r="C7219" i="1"/>
  <c r="B7219" i="1"/>
  <c r="K7218" i="1"/>
  <c r="C7218" i="1"/>
  <c r="B7218" i="1"/>
  <c r="K7217" i="1"/>
  <c r="C7217" i="1"/>
  <c r="B7217" i="1"/>
  <c r="K7216" i="1"/>
  <c r="C7216" i="1"/>
  <c r="B7216" i="1"/>
  <c r="K7215" i="1"/>
  <c r="C7215" i="1"/>
  <c r="B7215" i="1"/>
  <c r="K7214" i="1"/>
  <c r="C7214" i="1"/>
  <c r="B7214" i="1"/>
  <c r="K7213" i="1"/>
  <c r="C7213" i="1"/>
  <c r="B7213" i="1"/>
  <c r="K7212" i="1"/>
  <c r="C7212" i="1"/>
  <c r="B7212" i="1"/>
  <c r="K7211" i="1"/>
  <c r="C7211" i="1"/>
  <c r="B7211" i="1"/>
  <c r="K7210" i="1"/>
  <c r="C7210" i="1"/>
  <c r="B7210" i="1"/>
  <c r="K7209" i="1"/>
  <c r="C7209" i="1"/>
  <c r="B7209" i="1"/>
  <c r="K7208" i="1"/>
  <c r="C7208" i="1"/>
  <c r="B7208" i="1"/>
  <c r="K7207" i="1"/>
  <c r="C7207" i="1"/>
  <c r="B7207" i="1"/>
  <c r="K7206" i="1"/>
  <c r="C7206" i="1"/>
  <c r="B7206" i="1"/>
  <c r="K7205" i="1"/>
  <c r="C7205" i="1"/>
  <c r="B7205" i="1"/>
  <c r="K7204" i="1"/>
  <c r="C7204" i="1"/>
  <c r="B7204" i="1"/>
  <c r="K7203" i="1"/>
  <c r="C7203" i="1"/>
  <c r="B7203" i="1"/>
  <c r="K7202" i="1"/>
  <c r="C7202" i="1"/>
  <c r="B7202" i="1"/>
  <c r="K7201" i="1"/>
  <c r="C7201" i="1"/>
  <c r="B7201" i="1"/>
  <c r="K7200" i="1"/>
  <c r="C7200" i="1"/>
  <c r="B7200" i="1"/>
  <c r="K7199" i="1"/>
  <c r="C7199" i="1"/>
  <c r="B7199" i="1"/>
  <c r="K7198" i="1"/>
  <c r="C7198" i="1"/>
  <c r="B7198" i="1"/>
  <c r="K7197" i="1"/>
  <c r="C7197" i="1"/>
  <c r="B7197" i="1"/>
  <c r="K7196" i="1"/>
  <c r="C7196" i="1"/>
  <c r="B7196" i="1"/>
  <c r="K7195" i="1"/>
  <c r="C7195" i="1"/>
  <c r="B7195" i="1"/>
  <c r="K7194" i="1"/>
  <c r="C7194" i="1"/>
  <c r="B7194" i="1"/>
  <c r="K7193" i="1"/>
  <c r="C7193" i="1"/>
  <c r="B7193" i="1"/>
  <c r="K7192" i="1"/>
  <c r="C7192" i="1"/>
  <c r="B7192" i="1"/>
  <c r="K7191" i="1"/>
  <c r="C7191" i="1"/>
  <c r="B7191" i="1"/>
  <c r="K7190" i="1"/>
  <c r="C7190" i="1"/>
  <c r="B7190" i="1"/>
  <c r="K7189" i="1"/>
  <c r="C7189" i="1"/>
  <c r="B7189" i="1"/>
  <c r="K7188" i="1"/>
  <c r="C7188" i="1"/>
  <c r="B7188" i="1"/>
  <c r="K7187" i="1"/>
  <c r="C7187" i="1"/>
  <c r="B7187" i="1"/>
  <c r="K7186" i="1"/>
  <c r="C7186" i="1"/>
  <c r="B7186" i="1"/>
  <c r="K7185" i="1"/>
  <c r="C7185" i="1"/>
  <c r="B7185" i="1"/>
  <c r="K7184" i="1"/>
  <c r="C7184" i="1"/>
  <c r="B7184" i="1"/>
  <c r="K7183" i="1"/>
  <c r="C7183" i="1"/>
  <c r="B7183" i="1"/>
  <c r="K7182" i="1"/>
  <c r="C7182" i="1"/>
  <c r="B7182" i="1"/>
  <c r="K7181" i="1"/>
  <c r="C7181" i="1"/>
  <c r="B7181" i="1"/>
  <c r="K7180" i="1"/>
  <c r="C7180" i="1"/>
  <c r="B7180" i="1"/>
  <c r="K7179" i="1"/>
  <c r="C7179" i="1"/>
  <c r="B7179" i="1"/>
  <c r="K7178" i="1"/>
  <c r="C7178" i="1"/>
  <c r="B7178" i="1"/>
  <c r="K7177" i="1"/>
  <c r="C7177" i="1"/>
  <c r="B7177" i="1"/>
  <c r="K7176" i="1"/>
  <c r="C7176" i="1"/>
  <c r="B7176" i="1"/>
  <c r="K7175" i="1"/>
  <c r="C7175" i="1"/>
  <c r="B7175" i="1"/>
  <c r="K7174" i="1"/>
  <c r="C7174" i="1"/>
  <c r="B7174" i="1"/>
  <c r="K7173" i="1"/>
  <c r="C7173" i="1"/>
  <c r="B7173" i="1"/>
  <c r="K7172" i="1"/>
  <c r="C7172" i="1"/>
  <c r="B7172" i="1"/>
  <c r="K7171" i="1"/>
  <c r="C7171" i="1"/>
  <c r="B7171" i="1"/>
  <c r="K7170" i="1"/>
  <c r="C7170" i="1"/>
  <c r="B7170" i="1"/>
  <c r="K7169" i="1"/>
  <c r="C7169" i="1"/>
  <c r="B7169" i="1"/>
  <c r="K7168" i="1"/>
  <c r="C7168" i="1"/>
  <c r="B7168" i="1"/>
  <c r="K7167" i="1"/>
  <c r="C7167" i="1"/>
  <c r="B7167" i="1"/>
  <c r="K7166" i="1"/>
  <c r="C7166" i="1"/>
  <c r="B7166" i="1"/>
  <c r="K7165" i="1"/>
  <c r="C7165" i="1"/>
  <c r="B7165" i="1"/>
  <c r="K7164" i="1"/>
  <c r="C7164" i="1"/>
  <c r="B7164" i="1"/>
  <c r="K7163" i="1"/>
  <c r="C7163" i="1"/>
  <c r="B7163" i="1"/>
  <c r="K7162" i="1"/>
  <c r="C7162" i="1"/>
  <c r="B7162" i="1"/>
  <c r="K7161" i="1"/>
  <c r="C7161" i="1"/>
  <c r="B7161" i="1"/>
  <c r="K7160" i="1"/>
  <c r="C7160" i="1"/>
  <c r="B7160" i="1"/>
  <c r="K7159" i="1"/>
  <c r="C7159" i="1"/>
  <c r="B7159" i="1"/>
  <c r="K7158" i="1"/>
  <c r="C7158" i="1"/>
  <c r="B7158" i="1"/>
  <c r="K7157" i="1"/>
  <c r="C7157" i="1"/>
  <c r="B7157" i="1"/>
  <c r="K7156" i="1"/>
  <c r="C7156" i="1"/>
  <c r="B7156" i="1"/>
  <c r="K7155" i="1"/>
  <c r="C7155" i="1"/>
  <c r="B7155" i="1"/>
  <c r="K7154" i="1"/>
  <c r="C7154" i="1"/>
  <c r="B7154" i="1"/>
  <c r="K7153" i="1"/>
  <c r="C7153" i="1"/>
  <c r="B7153" i="1"/>
  <c r="K7152" i="1"/>
  <c r="C7152" i="1"/>
  <c r="B7152" i="1"/>
  <c r="K7151" i="1"/>
  <c r="C7151" i="1"/>
  <c r="B7151" i="1"/>
  <c r="K7150" i="1"/>
  <c r="C7150" i="1"/>
  <c r="B7150" i="1"/>
  <c r="K7149" i="1"/>
  <c r="C7149" i="1"/>
  <c r="B7149" i="1"/>
  <c r="K7148" i="1"/>
  <c r="C7148" i="1"/>
  <c r="B7148" i="1"/>
  <c r="K7147" i="1"/>
  <c r="C7147" i="1"/>
  <c r="B7147" i="1"/>
  <c r="K7146" i="1"/>
  <c r="C7146" i="1"/>
  <c r="B7146" i="1"/>
  <c r="K7145" i="1"/>
  <c r="C7145" i="1"/>
  <c r="B7145" i="1"/>
  <c r="K7144" i="1"/>
  <c r="C7144" i="1"/>
  <c r="B7144" i="1"/>
  <c r="K7143" i="1"/>
  <c r="C7143" i="1"/>
  <c r="B7143" i="1"/>
  <c r="K7142" i="1"/>
  <c r="C7142" i="1"/>
  <c r="B7142" i="1"/>
  <c r="K7141" i="1"/>
  <c r="C7141" i="1"/>
  <c r="B7141" i="1"/>
  <c r="K7140" i="1"/>
  <c r="C7140" i="1"/>
  <c r="B7140" i="1"/>
  <c r="K7139" i="1"/>
  <c r="C7139" i="1"/>
  <c r="B7139" i="1"/>
  <c r="K7138" i="1"/>
  <c r="C7138" i="1"/>
  <c r="B7138" i="1"/>
  <c r="K7137" i="1"/>
  <c r="C7137" i="1"/>
  <c r="B7137" i="1"/>
  <c r="K7136" i="1"/>
  <c r="C7136" i="1"/>
  <c r="B7136" i="1"/>
  <c r="K7135" i="1"/>
  <c r="C7135" i="1"/>
  <c r="B7135" i="1"/>
  <c r="K7134" i="1"/>
  <c r="C7134" i="1"/>
  <c r="B7134" i="1"/>
  <c r="K7133" i="1"/>
  <c r="C7133" i="1"/>
  <c r="B7133" i="1"/>
  <c r="K7132" i="1"/>
  <c r="C7132" i="1"/>
  <c r="B7132" i="1"/>
  <c r="K7131" i="1"/>
  <c r="C7131" i="1"/>
  <c r="B7131" i="1"/>
  <c r="K7130" i="1"/>
  <c r="C7130" i="1"/>
  <c r="B7130" i="1"/>
  <c r="K7129" i="1"/>
  <c r="C7129" i="1"/>
  <c r="B7129" i="1"/>
  <c r="K7128" i="1"/>
  <c r="C7128" i="1"/>
  <c r="B7128" i="1"/>
  <c r="K7127" i="1"/>
  <c r="C7127" i="1"/>
  <c r="B7127" i="1"/>
  <c r="K7126" i="1"/>
  <c r="C7126" i="1"/>
  <c r="B7126" i="1"/>
  <c r="K7125" i="1"/>
  <c r="C7125" i="1"/>
  <c r="B7125" i="1"/>
  <c r="K7124" i="1"/>
  <c r="C7124" i="1"/>
  <c r="B7124" i="1"/>
  <c r="K7123" i="1"/>
  <c r="C7123" i="1"/>
  <c r="B7123" i="1"/>
  <c r="K7122" i="1"/>
  <c r="C7122" i="1"/>
  <c r="B7122" i="1"/>
  <c r="K7121" i="1"/>
  <c r="C7121" i="1"/>
  <c r="B7121" i="1"/>
  <c r="K7120" i="1"/>
  <c r="C7120" i="1"/>
  <c r="B7120" i="1"/>
  <c r="K7119" i="1"/>
  <c r="C7119" i="1"/>
  <c r="B7119" i="1"/>
  <c r="K7118" i="1"/>
  <c r="C7118" i="1"/>
  <c r="B7118" i="1"/>
  <c r="K7117" i="1"/>
  <c r="C7117" i="1"/>
  <c r="B7117" i="1"/>
  <c r="K7116" i="1"/>
  <c r="C7116" i="1"/>
  <c r="B7116" i="1"/>
  <c r="K7115" i="1"/>
  <c r="C7115" i="1"/>
  <c r="B7115" i="1"/>
  <c r="K7114" i="1"/>
  <c r="C7114" i="1"/>
  <c r="B7114" i="1"/>
  <c r="K7113" i="1"/>
  <c r="C7113" i="1"/>
  <c r="B7113" i="1"/>
  <c r="K7112" i="1"/>
  <c r="C7112" i="1"/>
  <c r="B7112" i="1"/>
  <c r="K7111" i="1"/>
  <c r="C7111" i="1"/>
  <c r="B7111" i="1"/>
  <c r="K7110" i="1"/>
  <c r="C7110" i="1"/>
  <c r="B7110" i="1"/>
  <c r="K7109" i="1"/>
  <c r="C7109" i="1"/>
  <c r="B7109" i="1"/>
  <c r="K7108" i="1"/>
  <c r="C7108" i="1"/>
  <c r="B7108" i="1"/>
  <c r="K7107" i="1"/>
  <c r="C7107" i="1"/>
  <c r="B7107" i="1"/>
  <c r="K7106" i="1"/>
  <c r="C7106" i="1"/>
  <c r="B7106" i="1"/>
  <c r="K7105" i="1"/>
  <c r="C7105" i="1"/>
  <c r="B7105" i="1"/>
  <c r="K7104" i="1"/>
  <c r="C7104" i="1"/>
  <c r="B7104" i="1"/>
  <c r="K7103" i="1"/>
  <c r="C7103" i="1"/>
  <c r="B7103" i="1"/>
  <c r="K7102" i="1"/>
  <c r="C7102" i="1"/>
  <c r="B7102" i="1"/>
  <c r="K7101" i="1"/>
  <c r="C7101" i="1"/>
  <c r="B7101" i="1"/>
  <c r="K7100" i="1"/>
  <c r="C7100" i="1"/>
  <c r="B7100" i="1"/>
  <c r="K7099" i="1"/>
  <c r="C7099" i="1"/>
  <c r="B7099" i="1"/>
  <c r="K7098" i="1"/>
  <c r="C7098" i="1"/>
  <c r="B7098" i="1"/>
  <c r="K7097" i="1"/>
  <c r="C7097" i="1"/>
  <c r="B7097" i="1"/>
  <c r="K7096" i="1"/>
  <c r="C7096" i="1"/>
  <c r="B7096" i="1"/>
  <c r="K7095" i="1"/>
  <c r="C7095" i="1"/>
  <c r="B7095" i="1"/>
  <c r="K7094" i="1"/>
  <c r="C7094" i="1"/>
  <c r="B7094" i="1"/>
  <c r="K7093" i="1"/>
  <c r="C7093" i="1"/>
  <c r="B7093" i="1"/>
  <c r="K7092" i="1"/>
  <c r="C7092" i="1"/>
  <c r="B7092" i="1"/>
  <c r="K7091" i="1"/>
  <c r="C7091" i="1"/>
  <c r="B7091" i="1"/>
  <c r="K7090" i="1"/>
  <c r="C7090" i="1"/>
  <c r="B7090" i="1"/>
  <c r="K7089" i="1"/>
  <c r="C7089" i="1"/>
  <c r="B7089" i="1"/>
  <c r="K7088" i="1"/>
  <c r="C7088" i="1"/>
  <c r="B7088" i="1"/>
  <c r="K7087" i="1"/>
  <c r="C7087" i="1"/>
  <c r="B7087" i="1"/>
  <c r="K7086" i="1"/>
  <c r="C7086" i="1"/>
  <c r="B7086" i="1"/>
  <c r="K7085" i="1"/>
  <c r="C7085" i="1"/>
  <c r="B7085" i="1"/>
  <c r="K7084" i="1"/>
  <c r="C7084" i="1"/>
  <c r="B7084" i="1"/>
  <c r="K7083" i="1"/>
  <c r="C7083" i="1"/>
  <c r="B7083" i="1"/>
  <c r="K7082" i="1"/>
  <c r="C7082" i="1"/>
  <c r="B7082" i="1"/>
  <c r="K7081" i="1"/>
  <c r="C7081" i="1"/>
  <c r="B7081" i="1"/>
  <c r="K7080" i="1"/>
  <c r="C7080" i="1"/>
  <c r="B7080" i="1"/>
  <c r="K7079" i="1"/>
  <c r="C7079" i="1"/>
  <c r="B7079" i="1"/>
  <c r="K7078" i="1"/>
  <c r="C7078" i="1"/>
  <c r="B7078" i="1"/>
  <c r="K7077" i="1"/>
  <c r="C7077" i="1"/>
  <c r="B7077" i="1"/>
  <c r="K7076" i="1"/>
  <c r="C7076" i="1"/>
  <c r="B7076" i="1"/>
  <c r="K7075" i="1"/>
  <c r="C7075" i="1"/>
  <c r="B7075" i="1"/>
  <c r="K7074" i="1"/>
  <c r="C7074" i="1"/>
  <c r="B7074" i="1"/>
  <c r="K7073" i="1"/>
  <c r="C7073" i="1"/>
  <c r="B7073" i="1"/>
  <c r="K7072" i="1"/>
  <c r="C7072" i="1"/>
  <c r="B7072" i="1"/>
  <c r="K7071" i="1"/>
  <c r="C7071" i="1"/>
  <c r="B7071" i="1"/>
  <c r="K7070" i="1"/>
  <c r="C7070" i="1"/>
  <c r="B7070" i="1"/>
  <c r="K7069" i="1"/>
  <c r="C7069" i="1"/>
  <c r="B7069" i="1"/>
  <c r="K7068" i="1"/>
  <c r="C7068" i="1"/>
  <c r="B7068" i="1"/>
  <c r="K7067" i="1"/>
  <c r="C7067" i="1"/>
  <c r="B7067" i="1"/>
  <c r="K7066" i="1"/>
  <c r="C7066" i="1"/>
  <c r="B7066" i="1"/>
  <c r="K7065" i="1"/>
  <c r="C7065" i="1"/>
  <c r="B7065" i="1"/>
  <c r="K7064" i="1"/>
  <c r="C7064" i="1"/>
  <c r="B7064" i="1"/>
  <c r="K7063" i="1"/>
  <c r="C7063" i="1"/>
  <c r="B7063" i="1"/>
  <c r="K7062" i="1"/>
  <c r="C7062" i="1"/>
  <c r="B7062" i="1"/>
  <c r="K7061" i="1"/>
  <c r="C7061" i="1"/>
  <c r="B7061" i="1"/>
  <c r="K7060" i="1"/>
  <c r="C7060" i="1"/>
  <c r="B7060" i="1"/>
  <c r="K7059" i="1"/>
  <c r="C7059" i="1"/>
  <c r="B7059" i="1"/>
  <c r="K7058" i="1"/>
  <c r="C7058" i="1"/>
  <c r="B7058" i="1"/>
  <c r="K7057" i="1"/>
  <c r="C7057" i="1"/>
  <c r="B7057" i="1"/>
  <c r="K7056" i="1"/>
  <c r="C7056" i="1"/>
  <c r="B7056" i="1"/>
  <c r="K7055" i="1"/>
  <c r="C7055" i="1"/>
  <c r="B7055" i="1"/>
  <c r="K7054" i="1"/>
  <c r="C7054" i="1"/>
  <c r="B7054" i="1"/>
  <c r="K7053" i="1"/>
  <c r="C7053" i="1"/>
  <c r="B7053" i="1"/>
  <c r="K7052" i="1"/>
  <c r="C7052" i="1"/>
  <c r="B7052" i="1"/>
  <c r="K7051" i="1"/>
  <c r="C7051" i="1"/>
  <c r="B7051" i="1"/>
  <c r="K7050" i="1"/>
  <c r="C7050" i="1"/>
  <c r="B7050" i="1"/>
  <c r="K7049" i="1"/>
  <c r="C7049" i="1"/>
  <c r="B7049" i="1"/>
  <c r="K7048" i="1"/>
  <c r="C7048" i="1"/>
  <c r="B7048" i="1"/>
  <c r="K7047" i="1"/>
  <c r="C7047" i="1"/>
  <c r="B7047" i="1"/>
  <c r="K7046" i="1"/>
  <c r="C7046" i="1"/>
  <c r="B7046" i="1"/>
  <c r="K7045" i="1"/>
  <c r="C7045" i="1"/>
  <c r="B7045" i="1"/>
  <c r="K7044" i="1"/>
  <c r="C7044" i="1"/>
  <c r="B7044" i="1"/>
  <c r="K7043" i="1"/>
  <c r="C7043" i="1"/>
  <c r="B7043" i="1"/>
  <c r="K7042" i="1"/>
  <c r="C7042" i="1"/>
  <c r="B7042" i="1"/>
  <c r="K7041" i="1"/>
  <c r="C7041" i="1"/>
  <c r="B7041" i="1"/>
  <c r="K7040" i="1"/>
  <c r="C7040" i="1"/>
  <c r="B7040" i="1"/>
  <c r="K7039" i="1"/>
  <c r="C7039" i="1"/>
  <c r="B7039" i="1"/>
  <c r="K7038" i="1"/>
  <c r="C7038" i="1"/>
  <c r="B7038" i="1"/>
  <c r="K7037" i="1"/>
  <c r="C7037" i="1"/>
  <c r="B7037" i="1"/>
  <c r="K7036" i="1"/>
  <c r="C7036" i="1"/>
  <c r="B7036" i="1"/>
  <c r="K7035" i="1"/>
  <c r="C7035" i="1"/>
  <c r="B7035" i="1"/>
  <c r="K7034" i="1"/>
  <c r="C7034" i="1"/>
  <c r="B7034" i="1"/>
  <c r="K7033" i="1"/>
  <c r="C7033" i="1"/>
  <c r="B7033" i="1"/>
  <c r="K7032" i="1"/>
  <c r="C7032" i="1"/>
  <c r="B7032" i="1"/>
  <c r="K7031" i="1"/>
  <c r="C7031" i="1"/>
  <c r="B7031" i="1"/>
  <c r="K7030" i="1"/>
  <c r="C7030" i="1"/>
  <c r="B7030" i="1"/>
  <c r="K7029" i="1"/>
  <c r="C7029" i="1"/>
  <c r="B7029" i="1"/>
  <c r="K7028" i="1"/>
  <c r="C7028" i="1"/>
  <c r="B7028" i="1"/>
  <c r="K7027" i="1"/>
  <c r="C7027" i="1"/>
  <c r="B7027" i="1"/>
  <c r="K7026" i="1"/>
  <c r="C7026" i="1"/>
  <c r="B7026" i="1"/>
  <c r="K7025" i="1"/>
  <c r="C7025" i="1"/>
  <c r="B7025" i="1"/>
  <c r="K7024" i="1"/>
  <c r="C7024" i="1"/>
  <c r="B7024" i="1"/>
  <c r="K7023" i="1"/>
  <c r="C7023" i="1"/>
  <c r="B7023" i="1"/>
  <c r="K7022" i="1"/>
  <c r="C7022" i="1"/>
  <c r="B7022" i="1"/>
  <c r="K7021" i="1"/>
  <c r="C7021" i="1"/>
  <c r="B7021" i="1"/>
  <c r="K7020" i="1"/>
  <c r="C7020" i="1"/>
  <c r="B7020" i="1"/>
  <c r="K7019" i="1"/>
  <c r="C7019" i="1"/>
  <c r="B7019" i="1"/>
  <c r="K7018" i="1"/>
  <c r="C7018" i="1"/>
  <c r="B7018" i="1"/>
  <c r="K7017" i="1"/>
  <c r="C7017" i="1"/>
  <c r="B7017" i="1"/>
  <c r="K7016" i="1"/>
  <c r="C7016" i="1"/>
  <c r="B7016" i="1"/>
  <c r="K7015" i="1"/>
  <c r="C7015" i="1"/>
  <c r="B7015" i="1"/>
  <c r="K7014" i="1"/>
  <c r="C7014" i="1"/>
  <c r="B7014" i="1"/>
  <c r="K7013" i="1"/>
  <c r="C7013" i="1"/>
  <c r="B7013" i="1"/>
  <c r="K7012" i="1"/>
  <c r="C7012" i="1"/>
  <c r="B7012" i="1"/>
  <c r="K7011" i="1"/>
  <c r="C7011" i="1"/>
  <c r="B7011" i="1"/>
  <c r="K7010" i="1"/>
  <c r="C7010" i="1"/>
  <c r="B7010" i="1"/>
  <c r="K7009" i="1"/>
  <c r="C7009" i="1"/>
  <c r="B7009" i="1"/>
  <c r="K7008" i="1"/>
  <c r="C7008" i="1"/>
  <c r="B7008" i="1"/>
  <c r="K7007" i="1"/>
  <c r="C7007" i="1"/>
  <c r="B7007" i="1"/>
  <c r="K7006" i="1"/>
  <c r="C7006" i="1"/>
  <c r="B7006" i="1"/>
  <c r="K7005" i="1"/>
  <c r="C7005" i="1"/>
  <c r="B7005" i="1"/>
  <c r="K7004" i="1"/>
  <c r="C7004" i="1"/>
  <c r="B7004" i="1"/>
  <c r="K7003" i="1"/>
  <c r="C7003" i="1"/>
  <c r="B7003" i="1"/>
  <c r="K7002" i="1"/>
  <c r="C7002" i="1"/>
  <c r="B7002" i="1"/>
  <c r="K7001" i="1"/>
  <c r="C7001" i="1"/>
  <c r="B7001" i="1"/>
  <c r="K7000" i="1"/>
  <c r="C7000" i="1"/>
  <c r="B7000" i="1"/>
  <c r="K6999" i="1"/>
  <c r="C6999" i="1"/>
  <c r="B6999" i="1"/>
  <c r="K6998" i="1"/>
  <c r="C6998" i="1"/>
  <c r="B6998" i="1"/>
  <c r="K6997" i="1"/>
  <c r="C6997" i="1"/>
  <c r="B6997" i="1"/>
  <c r="K6996" i="1"/>
  <c r="C6996" i="1"/>
  <c r="B6996" i="1"/>
  <c r="K6995" i="1"/>
  <c r="C6995" i="1"/>
  <c r="B6995" i="1"/>
  <c r="K6994" i="1"/>
  <c r="C6994" i="1"/>
  <c r="B6994" i="1"/>
  <c r="K6993" i="1"/>
  <c r="C6993" i="1"/>
  <c r="B6993" i="1"/>
  <c r="K6992" i="1"/>
  <c r="C6992" i="1"/>
  <c r="B6992" i="1"/>
  <c r="K6991" i="1"/>
  <c r="C6991" i="1"/>
  <c r="B6991" i="1"/>
  <c r="K6990" i="1"/>
  <c r="C6990" i="1"/>
  <c r="B6990" i="1"/>
  <c r="K6989" i="1"/>
  <c r="C6989" i="1"/>
  <c r="B6989" i="1"/>
  <c r="K6988" i="1"/>
  <c r="C6988" i="1"/>
  <c r="B6988" i="1"/>
  <c r="K6987" i="1"/>
  <c r="C6987" i="1"/>
  <c r="B6987" i="1"/>
  <c r="K6986" i="1"/>
  <c r="C6986" i="1"/>
  <c r="B6986" i="1"/>
  <c r="K6985" i="1"/>
  <c r="C6985" i="1"/>
  <c r="B6985" i="1"/>
  <c r="K6984" i="1"/>
  <c r="C6984" i="1"/>
  <c r="B6984" i="1"/>
  <c r="K6983" i="1"/>
  <c r="C6983" i="1"/>
  <c r="B6983" i="1"/>
  <c r="K6982" i="1"/>
  <c r="C6982" i="1"/>
  <c r="B6982" i="1"/>
  <c r="K6981" i="1"/>
  <c r="C6981" i="1"/>
  <c r="B6981" i="1"/>
  <c r="K6980" i="1"/>
  <c r="C6980" i="1"/>
  <c r="B6980" i="1"/>
  <c r="K6979" i="1"/>
  <c r="C6979" i="1"/>
  <c r="B6979" i="1"/>
  <c r="K6978" i="1"/>
  <c r="C6978" i="1"/>
  <c r="B6978" i="1"/>
  <c r="K6977" i="1"/>
  <c r="C6977" i="1"/>
  <c r="B6977" i="1"/>
  <c r="K6976" i="1"/>
  <c r="C6976" i="1"/>
  <c r="B6976" i="1"/>
  <c r="K6975" i="1"/>
  <c r="C6975" i="1"/>
  <c r="B6975" i="1"/>
  <c r="K6974" i="1"/>
  <c r="C6974" i="1"/>
  <c r="B6974" i="1"/>
  <c r="K6973" i="1"/>
  <c r="C6973" i="1"/>
  <c r="B6973" i="1"/>
  <c r="K6972" i="1"/>
  <c r="C6972" i="1"/>
  <c r="B6972" i="1"/>
  <c r="K6971" i="1"/>
  <c r="C6971" i="1"/>
  <c r="B6971" i="1"/>
  <c r="K6970" i="1"/>
  <c r="C6970" i="1"/>
  <c r="B6970" i="1"/>
  <c r="K6969" i="1"/>
  <c r="C6969" i="1"/>
  <c r="B6969" i="1"/>
  <c r="K6968" i="1"/>
  <c r="C6968" i="1"/>
  <c r="B6968" i="1"/>
  <c r="K6967" i="1"/>
  <c r="C6967" i="1"/>
  <c r="B6967" i="1"/>
  <c r="K6966" i="1"/>
  <c r="C6966" i="1"/>
  <c r="B6966" i="1"/>
  <c r="K6965" i="1"/>
  <c r="C6965" i="1"/>
  <c r="B6965" i="1"/>
  <c r="K6964" i="1"/>
  <c r="C6964" i="1"/>
  <c r="B6964" i="1"/>
  <c r="K6963" i="1"/>
  <c r="C6963" i="1"/>
  <c r="B6963" i="1"/>
  <c r="K6962" i="1"/>
  <c r="C6962" i="1"/>
  <c r="B6962" i="1"/>
  <c r="K6961" i="1"/>
  <c r="C6961" i="1"/>
  <c r="B6961" i="1"/>
  <c r="K6960" i="1"/>
  <c r="C6960" i="1"/>
  <c r="B6960" i="1"/>
  <c r="K6959" i="1"/>
  <c r="C6959" i="1"/>
  <c r="B6959" i="1"/>
  <c r="K6958" i="1"/>
  <c r="C6958" i="1"/>
  <c r="B6958" i="1"/>
  <c r="K6957" i="1"/>
  <c r="C6957" i="1"/>
  <c r="B6957" i="1"/>
  <c r="K6956" i="1"/>
  <c r="C6956" i="1"/>
  <c r="B6956" i="1"/>
  <c r="K6955" i="1"/>
  <c r="C6955" i="1"/>
  <c r="B6955" i="1"/>
  <c r="K6954" i="1"/>
  <c r="C6954" i="1"/>
  <c r="B6954" i="1"/>
  <c r="K6953" i="1"/>
  <c r="C6953" i="1"/>
  <c r="B6953" i="1"/>
  <c r="K6952" i="1"/>
  <c r="C6952" i="1"/>
  <c r="B6952" i="1"/>
  <c r="K6951" i="1"/>
  <c r="C6951" i="1"/>
  <c r="B6951" i="1"/>
  <c r="K6950" i="1"/>
  <c r="C6950" i="1"/>
  <c r="B6950" i="1"/>
  <c r="K6949" i="1"/>
  <c r="C6949" i="1"/>
  <c r="B6949" i="1"/>
  <c r="K6948" i="1"/>
  <c r="C6948" i="1"/>
  <c r="B6948" i="1"/>
  <c r="K6947" i="1"/>
  <c r="C6947" i="1"/>
  <c r="B6947" i="1"/>
  <c r="K6946" i="1"/>
  <c r="C6946" i="1"/>
  <c r="B6946" i="1"/>
  <c r="K6945" i="1"/>
  <c r="C6945" i="1"/>
  <c r="B6945" i="1"/>
  <c r="K6944" i="1"/>
  <c r="C6944" i="1"/>
  <c r="B6944" i="1"/>
  <c r="K6943" i="1"/>
  <c r="C6943" i="1"/>
  <c r="B6943" i="1"/>
  <c r="K6942" i="1"/>
  <c r="C6942" i="1"/>
  <c r="B6942" i="1"/>
  <c r="K6941" i="1"/>
  <c r="C6941" i="1"/>
  <c r="B6941" i="1"/>
  <c r="K6940" i="1"/>
  <c r="C6940" i="1"/>
  <c r="B6940" i="1"/>
  <c r="K6939" i="1"/>
  <c r="C6939" i="1"/>
  <c r="B6939" i="1"/>
  <c r="K6938" i="1"/>
  <c r="C6938" i="1"/>
  <c r="B6938" i="1"/>
  <c r="K6937" i="1"/>
  <c r="C6937" i="1"/>
  <c r="B6937" i="1"/>
  <c r="K6936" i="1"/>
  <c r="C6936" i="1"/>
  <c r="B6936" i="1"/>
  <c r="K6935" i="1"/>
  <c r="C6935" i="1"/>
  <c r="B6935" i="1"/>
  <c r="K6934" i="1"/>
  <c r="C6934" i="1"/>
  <c r="B6934" i="1"/>
  <c r="K6933" i="1"/>
  <c r="C6933" i="1"/>
  <c r="B6933" i="1"/>
  <c r="K6932" i="1"/>
  <c r="C6932" i="1"/>
  <c r="B6932" i="1"/>
  <c r="K6931" i="1"/>
  <c r="C6931" i="1"/>
  <c r="B6931" i="1"/>
  <c r="K6930" i="1"/>
  <c r="C6930" i="1"/>
  <c r="B6930" i="1"/>
  <c r="K6929" i="1"/>
  <c r="C6929" i="1"/>
  <c r="B6929" i="1"/>
  <c r="K6928" i="1"/>
  <c r="C6928" i="1"/>
  <c r="B6928" i="1"/>
  <c r="K6927" i="1"/>
  <c r="C6927" i="1"/>
  <c r="B6927" i="1"/>
  <c r="K6926" i="1"/>
  <c r="C6926" i="1"/>
  <c r="B6926" i="1"/>
  <c r="K6925" i="1"/>
  <c r="C6925" i="1"/>
  <c r="B6925" i="1"/>
  <c r="K6924" i="1"/>
  <c r="C6924" i="1"/>
  <c r="B6924" i="1"/>
  <c r="K6923" i="1"/>
  <c r="C6923" i="1"/>
  <c r="B6923" i="1"/>
  <c r="K6922" i="1"/>
  <c r="C6922" i="1"/>
  <c r="B6922" i="1"/>
  <c r="K6921" i="1"/>
  <c r="C6921" i="1"/>
  <c r="B6921" i="1"/>
  <c r="K6920" i="1"/>
  <c r="C6920" i="1"/>
  <c r="B6920" i="1"/>
  <c r="K6919" i="1"/>
  <c r="C6919" i="1"/>
  <c r="B6919" i="1"/>
  <c r="K6918" i="1"/>
  <c r="C6918" i="1"/>
  <c r="B6918" i="1"/>
  <c r="K6917" i="1"/>
  <c r="C6917" i="1"/>
  <c r="B6917" i="1"/>
  <c r="K6916" i="1"/>
  <c r="C6916" i="1"/>
  <c r="B6916" i="1"/>
  <c r="K6915" i="1"/>
  <c r="C6915" i="1"/>
  <c r="B6915" i="1"/>
  <c r="K6914" i="1"/>
  <c r="C6914" i="1"/>
  <c r="B6914" i="1"/>
  <c r="K6913" i="1"/>
  <c r="C6913" i="1"/>
  <c r="B6913" i="1"/>
  <c r="K6912" i="1"/>
  <c r="C6912" i="1"/>
  <c r="B6912" i="1"/>
  <c r="K6911" i="1"/>
  <c r="C6911" i="1"/>
  <c r="B6911" i="1"/>
  <c r="K6910" i="1"/>
  <c r="C6910" i="1"/>
  <c r="B6910" i="1"/>
  <c r="K6909" i="1"/>
  <c r="C6909" i="1"/>
  <c r="B6909" i="1"/>
  <c r="K6908" i="1"/>
  <c r="C6908" i="1"/>
  <c r="B6908" i="1"/>
  <c r="K6907" i="1"/>
  <c r="C6907" i="1"/>
  <c r="B6907" i="1"/>
  <c r="K6906" i="1"/>
  <c r="C6906" i="1"/>
  <c r="B6906" i="1"/>
  <c r="K6905" i="1"/>
  <c r="C6905" i="1"/>
  <c r="B6905" i="1"/>
  <c r="K6904" i="1"/>
  <c r="C6904" i="1"/>
  <c r="B6904" i="1"/>
  <c r="K6903" i="1"/>
  <c r="C6903" i="1"/>
  <c r="B6903" i="1"/>
  <c r="K6902" i="1"/>
  <c r="C6902" i="1"/>
  <c r="B6902" i="1"/>
  <c r="K6901" i="1"/>
  <c r="C6901" i="1"/>
  <c r="B6901" i="1"/>
  <c r="K6900" i="1"/>
  <c r="C6900" i="1"/>
  <c r="B6900" i="1"/>
  <c r="K6899" i="1"/>
  <c r="C6899" i="1"/>
  <c r="B6899" i="1"/>
  <c r="K6898" i="1"/>
  <c r="C6898" i="1"/>
  <c r="B6898" i="1"/>
  <c r="K6897" i="1"/>
  <c r="C6897" i="1"/>
  <c r="B6897" i="1"/>
  <c r="K6896" i="1"/>
  <c r="C6896" i="1"/>
  <c r="B6896" i="1"/>
  <c r="K6895" i="1"/>
  <c r="C6895" i="1"/>
  <c r="B6895" i="1"/>
  <c r="K6894" i="1"/>
  <c r="C6894" i="1"/>
  <c r="B6894" i="1"/>
  <c r="K6893" i="1"/>
  <c r="C6893" i="1"/>
  <c r="B6893" i="1"/>
  <c r="K6892" i="1"/>
  <c r="C6892" i="1"/>
  <c r="B6892" i="1"/>
  <c r="K6891" i="1"/>
  <c r="C6891" i="1"/>
  <c r="B6891" i="1"/>
  <c r="K6890" i="1"/>
  <c r="C6890" i="1"/>
  <c r="B6890" i="1"/>
  <c r="K6889" i="1"/>
  <c r="C6889" i="1"/>
  <c r="B6889" i="1"/>
  <c r="K6888" i="1"/>
  <c r="C6888" i="1"/>
  <c r="B6888" i="1"/>
  <c r="K6887" i="1"/>
  <c r="C6887" i="1"/>
  <c r="B6887" i="1"/>
  <c r="K6886" i="1"/>
  <c r="C6886" i="1"/>
  <c r="B6886" i="1"/>
  <c r="K6885" i="1"/>
  <c r="C6885" i="1"/>
  <c r="B6885" i="1"/>
  <c r="K6884" i="1"/>
  <c r="C6884" i="1"/>
  <c r="B6884" i="1"/>
  <c r="K6883" i="1"/>
  <c r="C6883" i="1"/>
  <c r="B6883" i="1"/>
  <c r="K6882" i="1"/>
  <c r="C6882" i="1"/>
  <c r="B6882" i="1"/>
  <c r="K6881" i="1"/>
  <c r="C6881" i="1"/>
  <c r="B6881" i="1"/>
  <c r="K6880" i="1"/>
  <c r="C6880" i="1"/>
  <c r="B6880" i="1"/>
  <c r="K6879" i="1"/>
  <c r="C6879" i="1"/>
  <c r="B6879" i="1"/>
  <c r="K6878" i="1"/>
  <c r="C6878" i="1"/>
  <c r="B6878" i="1"/>
  <c r="K6877" i="1"/>
  <c r="C6877" i="1"/>
  <c r="B6877" i="1"/>
  <c r="K6876" i="1"/>
  <c r="C6876" i="1"/>
  <c r="B6876" i="1"/>
  <c r="K6875" i="1"/>
  <c r="C6875" i="1"/>
  <c r="B6875" i="1"/>
  <c r="K6874" i="1"/>
  <c r="C6874" i="1"/>
  <c r="B6874" i="1"/>
  <c r="K6873" i="1"/>
  <c r="C6873" i="1"/>
  <c r="B6873" i="1"/>
  <c r="K6872" i="1"/>
  <c r="C6872" i="1"/>
  <c r="B6872" i="1"/>
  <c r="K6871" i="1"/>
  <c r="C6871" i="1"/>
  <c r="B6871" i="1"/>
  <c r="K6870" i="1"/>
  <c r="C6870" i="1"/>
  <c r="B6870" i="1"/>
  <c r="K6869" i="1"/>
  <c r="C6869" i="1"/>
  <c r="B6869" i="1"/>
  <c r="K6868" i="1"/>
  <c r="C6868" i="1"/>
  <c r="B6868" i="1"/>
  <c r="K6867" i="1"/>
  <c r="C6867" i="1"/>
  <c r="B6867" i="1"/>
  <c r="K6866" i="1"/>
  <c r="C6866" i="1"/>
  <c r="B6866" i="1"/>
  <c r="K6865" i="1"/>
  <c r="C6865" i="1"/>
  <c r="B6865" i="1"/>
  <c r="K6864" i="1"/>
  <c r="C6864" i="1"/>
  <c r="B6864" i="1"/>
  <c r="K6863" i="1"/>
  <c r="C6863" i="1"/>
  <c r="B6863" i="1"/>
  <c r="K6862" i="1"/>
  <c r="C6862" i="1"/>
  <c r="B6862" i="1"/>
  <c r="K6861" i="1"/>
  <c r="C6861" i="1"/>
  <c r="B6861" i="1"/>
  <c r="K6860" i="1"/>
  <c r="C6860" i="1"/>
  <c r="B6860" i="1"/>
  <c r="K6859" i="1"/>
  <c r="C6859" i="1"/>
  <c r="B6859" i="1"/>
  <c r="K6858" i="1"/>
  <c r="C6858" i="1"/>
  <c r="B6858" i="1"/>
  <c r="K6857" i="1"/>
  <c r="C6857" i="1"/>
  <c r="B6857" i="1"/>
  <c r="K6856" i="1"/>
  <c r="C6856" i="1"/>
  <c r="B6856" i="1"/>
  <c r="K6855" i="1"/>
  <c r="C6855" i="1"/>
  <c r="B6855" i="1"/>
  <c r="K6854" i="1"/>
  <c r="C6854" i="1"/>
  <c r="B6854" i="1"/>
  <c r="K6853" i="1"/>
  <c r="C6853" i="1"/>
  <c r="B6853" i="1"/>
  <c r="K6852" i="1"/>
  <c r="C6852" i="1"/>
  <c r="B6852" i="1"/>
  <c r="K6851" i="1"/>
  <c r="C6851" i="1"/>
  <c r="B6851" i="1"/>
  <c r="K6850" i="1"/>
  <c r="C6850" i="1"/>
  <c r="B6850" i="1"/>
  <c r="K6849" i="1"/>
  <c r="C6849" i="1"/>
  <c r="B6849" i="1"/>
  <c r="K6848" i="1"/>
  <c r="C6848" i="1"/>
  <c r="B6848" i="1"/>
  <c r="K6847" i="1"/>
  <c r="C6847" i="1"/>
  <c r="B6847" i="1"/>
  <c r="K6846" i="1"/>
  <c r="C6846" i="1"/>
  <c r="B6846" i="1"/>
  <c r="K6845" i="1"/>
  <c r="C6845" i="1"/>
  <c r="B6845" i="1"/>
  <c r="K6844" i="1"/>
  <c r="C6844" i="1"/>
  <c r="B6844" i="1"/>
  <c r="K6843" i="1"/>
  <c r="C6843" i="1"/>
  <c r="B6843" i="1"/>
  <c r="K6842" i="1"/>
  <c r="C6842" i="1"/>
  <c r="B6842" i="1"/>
  <c r="K6841" i="1"/>
  <c r="C6841" i="1"/>
  <c r="B6841" i="1"/>
  <c r="K6840" i="1"/>
  <c r="C6840" i="1"/>
  <c r="B6840" i="1"/>
  <c r="K6839" i="1"/>
  <c r="C6839" i="1"/>
  <c r="B6839" i="1"/>
  <c r="K6838" i="1"/>
  <c r="C6838" i="1"/>
  <c r="B6838" i="1"/>
  <c r="K6837" i="1"/>
  <c r="C6837" i="1"/>
  <c r="B6837" i="1"/>
  <c r="K6836" i="1"/>
  <c r="C6836" i="1"/>
  <c r="B6836" i="1"/>
  <c r="K6835" i="1"/>
  <c r="C6835" i="1"/>
  <c r="B6835" i="1"/>
  <c r="K6834" i="1"/>
  <c r="C6834" i="1"/>
  <c r="B6834" i="1"/>
  <c r="K6833" i="1"/>
  <c r="C6833" i="1"/>
  <c r="B6833" i="1"/>
  <c r="K6832" i="1"/>
  <c r="C6832" i="1"/>
  <c r="B6832" i="1"/>
  <c r="K6831" i="1"/>
  <c r="C6831" i="1"/>
  <c r="B6831" i="1"/>
  <c r="K6830" i="1"/>
  <c r="C6830" i="1"/>
  <c r="B6830" i="1"/>
  <c r="K6829" i="1"/>
  <c r="C6829" i="1"/>
  <c r="B6829" i="1"/>
  <c r="K6828" i="1"/>
  <c r="C6828" i="1"/>
  <c r="B6828" i="1"/>
  <c r="K6827" i="1"/>
  <c r="C6827" i="1"/>
  <c r="B6827" i="1"/>
  <c r="K6826" i="1"/>
  <c r="C6826" i="1"/>
  <c r="B6826" i="1"/>
  <c r="K6825" i="1"/>
  <c r="C6825" i="1"/>
  <c r="B6825" i="1"/>
  <c r="K6824" i="1"/>
  <c r="C6824" i="1"/>
  <c r="B6824" i="1"/>
  <c r="K6823" i="1"/>
  <c r="C6823" i="1"/>
  <c r="B6823" i="1"/>
  <c r="K6822" i="1"/>
  <c r="C6822" i="1"/>
  <c r="B6822" i="1"/>
  <c r="K6821" i="1"/>
  <c r="C6821" i="1"/>
  <c r="B6821" i="1"/>
  <c r="K6820" i="1"/>
  <c r="C6820" i="1"/>
  <c r="B6820" i="1"/>
  <c r="K6819" i="1"/>
  <c r="C6819" i="1"/>
  <c r="B6819" i="1"/>
  <c r="K6818" i="1"/>
  <c r="C6818" i="1"/>
  <c r="B6818" i="1"/>
  <c r="K6817" i="1"/>
  <c r="C6817" i="1"/>
  <c r="B6817" i="1"/>
  <c r="K6816" i="1"/>
  <c r="C6816" i="1"/>
  <c r="B6816" i="1"/>
  <c r="K6815" i="1"/>
  <c r="C6815" i="1"/>
  <c r="B6815" i="1"/>
  <c r="K6814" i="1"/>
  <c r="C6814" i="1"/>
  <c r="B6814" i="1"/>
  <c r="K6813" i="1"/>
  <c r="C6813" i="1"/>
  <c r="B6813" i="1"/>
  <c r="K6812" i="1"/>
  <c r="C6812" i="1"/>
  <c r="B6812" i="1"/>
  <c r="K6811" i="1"/>
  <c r="C6811" i="1"/>
  <c r="B6811" i="1"/>
  <c r="K6810" i="1"/>
  <c r="C6810" i="1"/>
  <c r="B6810" i="1"/>
  <c r="K6809" i="1"/>
  <c r="C6809" i="1"/>
  <c r="B6809" i="1"/>
  <c r="K6808" i="1"/>
  <c r="C6808" i="1"/>
  <c r="B6808" i="1"/>
  <c r="K6807" i="1"/>
  <c r="C6807" i="1"/>
  <c r="B6807" i="1"/>
  <c r="K6806" i="1"/>
  <c r="C6806" i="1"/>
  <c r="B6806" i="1"/>
  <c r="K6805" i="1"/>
  <c r="C6805" i="1"/>
  <c r="B6805" i="1"/>
  <c r="K6804" i="1"/>
  <c r="C6804" i="1"/>
  <c r="B6804" i="1"/>
  <c r="K6803" i="1"/>
  <c r="C6803" i="1"/>
  <c r="B6803" i="1"/>
  <c r="K6802" i="1"/>
  <c r="C6802" i="1"/>
  <c r="B6802" i="1"/>
  <c r="K6801" i="1"/>
  <c r="C6801" i="1"/>
  <c r="B6801" i="1"/>
  <c r="K6800" i="1"/>
  <c r="C6800" i="1"/>
  <c r="B6800" i="1"/>
  <c r="K6799" i="1"/>
  <c r="C6799" i="1"/>
  <c r="B6799" i="1"/>
  <c r="K6798" i="1"/>
  <c r="C6798" i="1"/>
  <c r="B6798" i="1"/>
  <c r="K6797" i="1"/>
  <c r="C6797" i="1"/>
  <c r="B6797" i="1"/>
  <c r="K6796" i="1"/>
  <c r="C6796" i="1"/>
  <c r="B6796" i="1"/>
  <c r="K6795" i="1"/>
  <c r="C6795" i="1"/>
  <c r="B6795" i="1"/>
  <c r="K6794" i="1"/>
  <c r="C6794" i="1"/>
  <c r="B6794" i="1"/>
  <c r="K6793" i="1"/>
  <c r="C6793" i="1"/>
  <c r="B6793" i="1"/>
  <c r="K6792" i="1"/>
  <c r="C6792" i="1"/>
  <c r="B6792" i="1"/>
  <c r="K6791" i="1"/>
  <c r="C6791" i="1"/>
  <c r="B6791" i="1"/>
  <c r="K6790" i="1"/>
  <c r="C6790" i="1"/>
  <c r="B6790" i="1"/>
  <c r="K6789" i="1"/>
  <c r="C6789" i="1"/>
  <c r="B6789" i="1"/>
  <c r="K6788" i="1"/>
  <c r="C6788" i="1"/>
  <c r="B6788" i="1"/>
  <c r="K6787" i="1"/>
  <c r="C6787" i="1"/>
  <c r="B6787" i="1"/>
  <c r="K6786" i="1"/>
  <c r="C6786" i="1"/>
  <c r="B6786" i="1"/>
  <c r="K6785" i="1"/>
  <c r="C6785" i="1"/>
  <c r="B6785" i="1"/>
  <c r="K6784" i="1"/>
  <c r="C6784" i="1"/>
  <c r="B6784" i="1"/>
  <c r="K6783" i="1"/>
  <c r="C6783" i="1"/>
  <c r="B6783" i="1"/>
  <c r="K6782" i="1"/>
  <c r="C6782" i="1"/>
  <c r="B6782" i="1"/>
  <c r="K6781" i="1"/>
  <c r="C6781" i="1"/>
  <c r="B6781" i="1"/>
  <c r="K6780" i="1"/>
  <c r="C6780" i="1"/>
  <c r="B6780" i="1"/>
  <c r="K6779" i="1"/>
  <c r="C6779" i="1"/>
  <c r="B6779" i="1"/>
  <c r="K6778" i="1"/>
  <c r="C6778" i="1"/>
  <c r="B6778" i="1"/>
  <c r="K6777" i="1"/>
  <c r="C6777" i="1"/>
  <c r="B6777" i="1"/>
  <c r="K6776" i="1"/>
  <c r="C6776" i="1"/>
  <c r="B6776" i="1"/>
  <c r="K6775" i="1"/>
  <c r="C6775" i="1"/>
  <c r="B6775" i="1"/>
  <c r="K6774" i="1"/>
  <c r="C6774" i="1"/>
  <c r="B6774" i="1"/>
  <c r="K6773" i="1"/>
  <c r="C6773" i="1"/>
  <c r="B6773" i="1"/>
  <c r="K6772" i="1"/>
  <c r="C6772" i="1"/>
  <c r="B6772" i="1"/>
  <c r="K6771" i="1"/>
  <c r="C6771" i="1"/>
  <c r="B6771" i="1"/>
  <c r="K6770" i="1"/>
  <c r="C6770" i="1"/>
  <c r="B6770" i="1"/>
  <c r="K6769" i="1"/>
  <c r="C6769" i="1"/>
  <c r="B6769" i="1"/>
  <c r="K6768" i="1"/>
  <c r="C6768" i="1"/>
  <c r="B6768" i="1"/>
  <c r="K6767" i="1"/>
  <c r="C6767" i="1"/>
  <c r="B6767" i="1"/>
  <c r="K6766" i="1"/>
  <c r="C6766" i="1"/>
  <c r="B6766" i="1"/>
  <c r="K6765" i="1"/>
  <c r="C6765" i="1"/>
  <c r="B6765" i="1"/>
  <c r="K6764" i="1"/>
  <c r="C6764" i="1"/>
  <c r="B6764" i="1"/>
  <c r="K6763" i="1"/>
  <c r="C6763" i="1"/>
  <c r="B6763" i="1"/>
  <c r="K6762" i="1"/>
  <c r="C6762" i="1"/>
  <c r="B6762" i="1"/>
  <c r="K6761" i="1"/>
  <c r="C6761" i="1"/>
  <c r="B6761" i="1"/>
  <c r="K6760" i="1"/>
  <c r="C6760" i="1"/>
  <c r="B6760" i="1"/>
  <c r="K6759" i="1"/>
  <c r="C6759" i="1"/>
  <c r="B6759" i="1"/>
  <c r="K6758" i="1"/>
  <c r="C6758" i="1"/>
  <c r="B6758" i="1"/>
  <c r="K6757" i="1"/>
  <c r="C6757" i="1"/>
  <c r="B6757" i="1"/>
  <c r="K6756" i="1"/>
  <c r="C6756" i="1"/>
  <c r="B6756" i="1"/>
  <c r="K6755" i="1"/>
  <c r="C6755" i="1"/>
  <c r="B6755" i="1"/>
  <c r="K6754" i="1"/>
  <c r="C6754" i="1"/>
  <c r="B6754" i="1"/>
  <c r="K6753" i="1"/>
  <c r="C6753" i="1"/>
  <c r="B6753" i="1"/>
  <c r="K6752" i="1"/>
  <c r="C6752" i="1"/>
  <c r="B6752" i="1"/>
  <c r="K6751" i="1"/>
  <c r="C6751" i="1"/>
  <c r="B6751" i="1"/>
  <c r="K6750" i="1"/>
  <c r="C6750" i="1"/>
  <c r="B6750" i="1"/>
  <c r="K6749" i="1"/>
  <c r="C6749" i="1"/>
  <c r="B6749" i="1"/>
  <c r="K6748" i="1"/>
  <c r="C6748" i="1"/>
  <c r="B6748" i="1"/>
  <c r="K6747" i="1"/>
  <c r="C6747" i="1"/>
  <c r="B6747" i="1"/>
  <c r="K6746" i="1"/>
  <c r="C6746" i="1"/>
  <c r="B6746" i="1"/>
  <c r="K6745" i="1"/>
  <c r="C6745" i="1"/>
  <c r="B6745" i="1"/>
  <c r="K6744" i="1"/>
  <c r="C6744" i="1"/>
  <c r="B6744" i="1"/>
  <c r="K6743" i="1"/>
  <c r="C6743" i="1"/>
  <c r="B6743" i="1"/>
  <c r="K6742" i="1"/>
  <c r="C6742" i="1"/>
  <c r="B6742" i="1"/>
  <c r="K6741" i="1"/>
  <c r="C6741" i="1"/>
  <c r="B6741" i="1"/>
  <c r="K6740" i="1"/>
  <c r="C6740" i="1"/>
  <c r="B6740" i="1"/>
  <c r="K6739" i="1"/>
  <c r="C6739" i="1"/>
  <c r="B6739" i="1"/>
  <c r="K6738" i="1"/>
  <c r="C6738" i="1"/>
  <c r="B6738" i="1"/>
  <c r="K6737" i="1"/>
  <c r="C6737" i="1"/>
  <c r="B6737" i="1"/>
  <c r="K6736" i="1"/>
  <c r="C6736" i="1"/>
  <c r="B6736" i="1"/>
  <c r="K6735" i="1"/>
  <c r="C6735" i="1"/>
  <c r="B6735" i="1"/>
  <c r="K6734" i="1"/>
  <c r="C6734" i="1"/>
  <c r="B6734" i="1"/>
  <c r="K6733" i="1"/>
  <c r="C6733" i="1"/>
  <c r="B6733" i="1"/>
  <c r="K6732" i="1"/>
  <c r="C6732" i="1"/>
  <c r="B6732" i="1"/>
  <c r="K6731" i="1"/>
  <c r="C6731" i="1"/>
  <c r="B6731" i="1"/>
  <c r="K6730" i="1"/>
  <c r="C6730" i="1"/>
  <c r="B6730" i="1"/>
  <c r="K6729" i="1"/>
  <c r="C6729" i="1"/>
  <c r="B6729" i="1"/>
  <c r="K6728" i="1"/>
  <c r="C6728" i="1"/>
  <c r="B6728" i="1"/>
  <c r="K6727" i="1"/>
  <c r="C6727" i="1"/>
  <c r="B6727" i="1"/>
  <c r="K6726" i="1"/>
  <c r="C6726" i="1"/>
  <c r="B6726" i="1"/>
  <c r="K6725" i="1"/>
  <c r="C6725" i="1"/>
  <c r="B6725" i="1"/>
  <c r="K6724" i="1"/>
  <c r="C6724" i="1"/>
  <c r="B6724" i="1"/>
  <c r="K6723" i="1"/>
  <c r="C6723" i="1"/>
  <c r="B6723" i="1"/>
  <c r="K6722" i="1"/>
  <c r="C6722" i="1"/>
  <c r="B6722" i="1"/>
  <c r="K6721" i="1"/>
  <c r="C6721" i="1"/>
  <c r="B6721" i="1"/>
  <c r="K6720" i="1"/>
  <c r="C6720" i="1"/>
  <c r="B6720" i="1"/>
  <c r="K6719" i="1"/>
  <c r="C6719" i="1"/>
  <c r="B6719" i="1"/>
  <c r="K6718" i="1"/>
  <c r="C6718" i="1"/>
  <c r="B6718" i="1"/>
  <c r="K6717" i="1"/>
  <c r="C6717" i="1"/>
  <c r="B6717" i="1"/>
  <c r="K6716" i="1"/>
  <c r="C6716" i="1"/>
  <c r="B6716" i="1"/>
  <c r="K6715" i="1"/>
  <c r="C6715" i="1"/>
  <c r="B6715" i="1"/>
  <c r="K6714" i="1"/>
  <c r="C6714" i="1"/>
  <c r="B6714" i="1"/>
  <c r="K6713" i="1"/>
  <c r="C6713" i="1"/>
  <c r="B6713" i="1"/>
  <c r="K6712" i="1"/>
  <c r="C6712" i="1"/>
  <c r="B6712" i="1"/>
  <c r="K6711" i="1"/>
  <c r="C6711" i="1"/>
  <c r="B6711" i="1"/>
  <c r="K6710" i="1"/>
  <c r="C6710" i="1"/>
  <c r="B6710" i="1"/>
  <c r="K6709" i="1"/>
  <c r="C6709" i="1"/>
  <c r="B6709" i="1"/>
  <c r="K6708" i="1"/>
  <c r="C6708" i="1"/>
  <c r="B6708" i="1"/>
  <c r="K6707" i="1"/>
  <c r="C6707" i="1"/>
  <c r="B6707" i="1"/>
  <c r="K6706" i="1"/>
  <c r="C6706" i="1"/>
  <c r="B6706" i="1"/>
  <c r="K6705" i="1"/>
  <c r="C6705" i="1"/>
  <c r="B6705" i="1"/>
  <c r="K6704" i="1"/>
  <c r="C6704" i="1"/>
  <c r="B6704" i="1"/>
  <c r="K6703" i="1"/>
  <c r="C6703" i="1"/>
  <c r="B6703" i="1"/>
  <c r="K6702" i="1"/>
  <c r="C6702" i="1"/>
  <c r="B6702" i="1"/>
  <c r="K6701" i="1"/>
  <c r="C6701" i="1"/>
  <c r="B6701" i="1"/>
  <c r="K6700" i="1"/>
  <c r="C6700" i="1"/>
  <c r="B6700" i="1"/>
  <c r="K6699" i="1"/>
  <c r="C6699" i="1"/>
  <c r="B6699" i="1"/>
  <c r="K6698" i="1"/>
  <c r="C6698" i="1"/>
  <c r="B6698" i="1"/>
  <c r="K6697" i="1"/>
  <c r="C6697" i="1"/>
  <c r="B6697" i="1"/>
  <c r="K6696" i="1"/>
  <c r="C6696" i="1"/>
  <c r="B6696" i="1"/>
  <c r="K6695" i="1"/>
  <c r="C6695" i="1"/>
  <c r="B6695" i="1"/>
  <c r="K6694" i="1"/>
  <c r="C6694" i="1"/>
  <c r="B6694" i="1"/>
  <c r="K6693" i="1"/>
  <c r="C6693" i="1"/>
  <c r="B6693" i="1"/>
  <c r="K6692" i="1"/>
  <c r="C6692" i="1"/>
  <c r="B6692" i="1"/>
  <c r="K6691" i="1"/>
  <c r="C6691" i="1"/>
  <c r="B6691" i="1"/>
  <c r="K6690" i="1"/>
  <c r="C6690" i="1"/>
  <c r="B6690" i="1"/>
  <c r="K6689" i="1"/>
  <c r="C6689" i="1"/>
  <c r="B6689" i="1"/>
  <c r="K6688" i="1"/>
  <c r="C6688" i="1"/>
  <c r="B6688" i="1"/>
  <c r="K6687" i="1"/>
  <c r="C6687" i="1"/>
  <c r="B6687" i="1"/>
  <c r="K6686" i="1"/>
  <c r="C6686" i="1"/>
  <c r="B6686" i="1"/>
  <c r="K6685" i="1"/>
  <c r="C6685" i="1"/>
  <c r="B6685" i="1"/>
  <c r="K6684" i="1"/>
  <c r="C6684" i="1"/>
  <c r="B6684" i="1"/>
  <c r="K6683" i="1"/>
  <c r="C6683" i="1"/>
  <c r="B6683" i="1"/>
  <c r="K6682" i="1"/>
  <c r="C6682" i="1"/>
  <c r="B6682" i="1"/>
  <c r="K6681" i="1"/>
  <c r="C6681" i="1"/>
  <c r="B6681" i="1"/>
  <c r="K6680" i="1"/>
  <c r="C6680" i="1"/>
  <c r="B6680" i="1"/>
  <c r="K6679" i="1"/>
  <c r="C6679" i="1"/>
  <c r="B6679" i="1"/>
  <c r="K6678" i="1"/>
  <c r="C6678" i="1"/>
  <c r="B6678" i="1"/>
  <c r="K6677" i="1"/>
  <c r="C6677" i="1"/>
  <c r="B6677" i="1"/>
  <c r="K6676" i="1"/>
  <c r="C6676" i="1"/>
  <c r="B6676" i="1"/>
  <c r="K6675" i="1"/>
  <c r="C6675" i="1"/>
  <c r="B6675" i="1"/>
  <c r="K6674" i="1"/>
  <c r="C6674" i="1"/>
  <c r="B6674" i="1"/>
  <c r="K6673" i="1"/>
  <c r="C6673" i="1"/>
  <c r="B6673" i="1"/>
  <c r="K6672" i="1"/>
  <c r="C6672" i="1"/>
  <c r="B6672" i="1"/>
  <c r="K6671" i="1"/>
  <c r="C6671" i="1"/>
  <c r="B6671" i="1"/>
  <c r="K6670" i="1"/>
  <c r="C6670" i="1"/>
  <c r="B6670" i="1"/>
  <c r="K6669" i="1"/>
  <c r="C6669" i="1"/>
  <c r="B6669" i="1"/>
  <c r="K6668" i="1"/>
  <c r="C6668" i="1"/>
  <c r="B6668" i="1"/>
  <c r="K6667" i="1"/>
  <c r="C6667" i="1"/>
  <c r="B6667" i="1"/>
  <c r="K6666" i="1"/>
  <c r="C6666" i="1"/>
  <c r="B6666" i="1"/>
  <c r="K6665" i="1"/>
  <c r="C6665" i="1"/>
  <c r="B6665" i="1"/>
  <c r="K6664" i="1"/>
  <c r="C6664" i="1"/>
  <c r="B6664" i="1"/>
  <c r="K6663" i="1"/>
  <c r="C6663" i="1"/>
  <c r="B6663" i="1"/>
  <c r="K6662" i="1"/>
  <c r="C6662" i="1"/>
  <c r="B6662" i="1"/>
  <c r="K6661" i="1"/>
  <c r="C6661" i="1"/>
  <c r="B6661" i="1"/>
  <c r="K6660" i="1"/>
  <c r="C6660" i="1"/>
  <c r="B6660" i="1"/>
  <c r="K6659" i="1"/>
  <c r="C6659" i="1"/>
  <c r="B6659" i="1"/>
  <c r="K6658" i="1"/>
  <c r="C6658" i="1"/>
  <c r="B6658" i="1"/>
  <c r="K6657" i="1"/>
  <c r="C6657" i="1"/>
  <c r="B6657" i="1"/>
  <c r="K6656" i="1"/>
  <c r="C6656" i="1"/>
  <c r="B6656" i="1"/>
  <c r="K6655" i="1"/>
  <c r="C6655" i="1"/>
  <c r="B6655" i="1"/>
  <c r="K6654" i="1"/>
  <c r="C6654" i="1"/>
  <c r="B6654" i="1"/>
  <c r="K6653" i="1"/>
  <c r="C6653" i="1"/>
  <c r="B6653" i="1"/>
  <c r="K6652" i="1"/>
  <c r="C6652" i="1"/>
  <c r="B6652" i="1"/>
  <c r="K6651" i="1"/>
  <c r="C6651" i="1"/>
  <c r="B6651" i="1"/>
  <c r="K6650" i="1"/>
  <c r="C6650" i="1"/>
  <c r="B6650" i="1"/>
  <c r="K6649" i="1"/>
  <c r="C6649" i="1"/>
  <c r="B6649" i="1"/>
  <c r="K6648" i="1"/>
  <c r="C6648" i="1"/>
  <c r="B6648" i="1"/>
  <c r="K6647" i="1"/>
  <c r="C6647" i="1"/>
  <c r="B6647" i="1"/>
  <c r="K6646" i="1"/>
  <c r="C6646" i="1"/>
  <c r="B6646" i="1"/>
  <c r="K6645" i="1"/>
  <c r="C6645" i="1"/>
  <c r="B6645" i="1"/>
  <c r="K6644" i="1"/>
  <c r="C6644" i="1"/>
  <c r="B6644" i="1"/>
  <c r="K6643" i="1"/>
  <c r="C6643" i="1"/>
  <c r="B6643" i="1"/>
  <c r="K6642" i="1"/>
  <c r="C6642" i="1"/>
  <c r="B6642" i="1"/>
  <c r="K6641" i="1"/>
  <c r="C6641" i="1"/>
  <c r="B6641" i="1"/>
  <c r="K6640" i="1"/>
  <c r="C6640" i="1"/>
  <c r="B6640" i="1"/>
  <c r="K6639" i="1"/>
  <c r="C6639" i="1"/>
  <c r="B6639" i="1"/>
  <c r="K6638" i="1"/>
  <c r="C6638" i="1"/>
  <c r="B6638" i="1"/>
  <c r="K6637" i="1"/>
  <c r="C6637" i="1"/>
  <c r="B6637" i="1"/>
  <c r="K6636" i="1"/>
  <c r="C6636" i="1"/>
  <c r="B6636" i="1"/>
  <c r="K6635" i="1"/>
  <c r="C6635" i="1"/>
  <c r="B6635" i="1"/>
  <c r="K6634" i="1"/>
  <c r="C6634" i="1"/>
  <c r="B6634" i="1"/>
  <c r="K6633" i="1"/>
  <c r="C6633" i="1"/>
  <c r="B6633" i="1"/>
  <c r="K6632" i="1"/>
  <c r="C6632" i="1"/>
  <c r="B6632" i="1"/>
  <c r="K6631" i="1"/>
  <c r="C6631" i="1"/>
  <c r="B6631" i="1"/>
  <c r="K6630" i="1"/>
  <c r="C6630" i="1"/>
  <c r="B6630" i="1"/>
  <c r="K6629" i="1"/>
  <c r="C6629" i="1"/>
  <c r="B6629" i="1"/>
  <c r="K6628" i="1"/>
  <c r="C6628" i="1"/>
  <c r="B6628" i="1"/>
  <c r="K6627" i="1"/>
  <c r="C6627" i="1"/>
  <c r="B6627" i="1"/>
  <c r="K6626" i="1"/>
  <c r="C6626" i="1"/>
  <c r="B6626" i="1"/>
  <c r="K6625" i="1"/>
  <c r="C6625" i="1"/>
  <c r="B6625" i="1"/>
  <c r="K6624" i="1"/>
  <c r="C6624" i="1"/>
  <c r="B6624" i="1"/>
  <c r="K6623" i="1"/>
  <c r="C6623" i="1"/>
  <c r="B6623" i="1"/>
  <c r="K6622" i="1"/>
  <c r="C6622" i="1"/>
  <c r="B6622" i="1"/>
  <c r="K6621" i="1"/>
  <c r="C6621" i="1"/>
  <c r="B6621" i="1"/>
  <c r="K6620" i="1"/>
  <c r="C6620" i="1"/>
  <c r="B6620" i="1"/>
  <c r="K6619" i="1"/>
  <c r="C6619" i="1"/>
  <c r="B6619" i="1"/>
  <c r="K6618" i="1"/>
  <c r="C6618" i="1"/>
  <c r="B6618" i="1"/>
  <c r="K6617" i="1"/>
  <c r="C6617" i="1"/>
  <c r="B6617" i="1"/>
  <c r="K6616" i="1"/>
  <c r="C6616" i="1"/>
  <c r="B6616" i="1"/>
  <c r="K6615" i="1"/>
  <c r="C6615" i="1"/>
  <c r="B6615" i="1"/>
  <c r="K6614" i="1"/>
  <c r="C6614" i="1"/>
  <c r="B6614" i="1"/>
  <c r="K6613" i="1"/>
  <c r="C6613" i="1"/>
  <c r="B6613" i="1"/>
  <c r="K6612" i="1"/>
  <c r="C6612" i="1"/>
  <c r="B6612" i="1"/>
  <c r="K6611" i="1"/>
  <c r="C6611" i="1"/>
  <c r="B6611" i="1"/>
  <c r="K6610" i="1"/>
  <c r="C6610" i="1"/>
  <c r="B6610" i="1"/>
  <c r="K6609" i="1"/>
  <c r="C6609" i="1"/>
  <c r="B6609" i="1"/>
  <c r="K6608" i="1"/>
  <c r="C6608" i="1"/>
  <c r="B6608" i="1"/>
  <c r="K6607" i="1"/>
  <c r="C6607" i="1"/>
  <c r="B6607" i="1"/>
  <c r="K6606" i="1"/>
  <c r="C6606" i="1"/>
  <c r="B6606" i="1"/>
  <c r="K6605" i="1"/>
  <c r="C6605" i="1"/>
  <c r="B6605" i="1"/>
  <c r="K6604" i="1"/>
  <c r="C6604" i="1"/>
  <c r="B6604" i="1"/>
  <c r="K6603" i="1"/>
  <c r="C6603" i="1"/>
  <c r="B6603" i="1"/>
  <c r="K6602" i="1"/>
  <c r="C6602" i="1"/>
  <c r="B6602" i="1"/>
  <c r="K6601" i="1"/>
  <c r="C6601" i="1"/>
  <c r="B6601" i="1"/>
  <c r="K6600" i="1"/>
  <c r="C6600" i="1"/>
  <c r="B6600" i="1"/>
  <c r="K6599" i="1"/>
  <c r="C6599" i="1"/>
  <c r="B6599" i="1"/>
  <c r="K6598" i="1"/>
  <c r="C6598" i="1"/>
  <c r="B6598" i="1"/>
  <c r="K6597" i="1"/>
  <c r="C6597" i="1"/>
  <c r="B6597" i="1"/>
  <c r="K6596" i="1"/>
  <c r="C6596" i="1"/>
  <c r="B6596" i="1"/>
  <c r="K6595" i="1"/>
  <c r="C6595" i="1"/>
  <c r="B6595" i="1"/>
  <c r="K6594" i="1"/>
  <c r="C6594" i="1"/>
  <c r="B6594" i="1"/>
  <c r="K6593" i="1"/>
  <c r="C6593" i="1"/>
  <c r="B6593" i="1"/>
  <c r="K6592" i="1"/>
  <c r="C6592" i="1"/>
  <c r="B6592" i="1"/>
  <c r="K6591" i="1"/>
  <c r="C6591" i="1"/>
  <c r="B6591" i="1"/>
  <c r="K6590" i="1"/>
  <c r="C6590" i="1"/>
  <c r="B6590" i="1"/>
  <c r="K6589" i="1"/>
  <c r="C6589" i="1"/>
  <c r="B6589" i="1"/>
  <c r="K6588" i="1"/>
  <c r="C6588" i="1"/>
  <c r="B6588" i="1"/>
  <c r="K6587" i="1"/>
  <c r="C6587" i="1"/>
  <c r="B6587" i="1"/>
  <c r="K6586" i="1"/>
  <c r="C6586" i="1"/>
  <c r="B6586" i="1"/>
  <c r="K6585" i="1"/>
  <c r="C6585" i="1"/>
  <c r="B6585" i="1"/>
  <c r="K6584" i="1"/>
  <c r="C6584" i="1"/>
  <c r="B6584" i="1"/>
  <c r="K6583" i="1"/>
  <c r="C6583" i="1"/>
  <c r="B6583" i="1"/>
  <c r="K6582" i="1"/>
  <c r="C6582" i="1"/>
  <c r="B6582" i="1"/>
  <c r="K6581" i="1"/>
  <c r="C6581" i="1"/>
  <c r="B6581" i="1"/>
  <c r="K6580" i="1"/>
  <c r="C6580" i="1"/>
  <c r="B6580" i="1"/>
  <c r="K6579" i="1"/>
  <c r="C6579" i="1"/>
  <c r="B6579" i="1"/>
  <c r="K6578" i="1"/>
  <c r="C6578" i="1"/>
  <c r="B6578" i="1"/>
  <c r="K6577" i="1"/>
  <c r="C6577" i="1"/>
  <c r="B6577" i="1"/>
  <c r="K6576" i="1"/>
  <c r="C6576" i="1"/>
  <c r="B6576" i="1"/>
  <c r="K6575" i="1"/>
  <c r="C6575" i="1"/>
  <c r="B6575" i="1"/>
  <c r="K6574" i="1"/>
  <c r="C6574" i="1"/>
  <c r="B6574" i="1"/>
  <c r="K6573" i="1"/>
  <c r="C6573" i="1"/>
  <c r="B6573" i="1"/>
  <c r="K6572" i="1"/>
  <c r="C6572" i="1"/>
  <c r="B6572" i="1"/>
  <c r="K6571" i="1"/>
  <c r="C6571" i="1"/>
  <c r="B6571" i="1"/>
  <c r="K6570" i="1"/>
  <c r="C6570" i="1"/>
  <c r="B6570" i="1"/>
  <c r="K6569" i="1"/>
  <c r="C6569" i="1"/>
  <c r="B6569" i="1"/>
  <c r="K6568" i="1"/>
  <c r="C6568" i="1"/>
  <c r="B6568" i="1"/>
  <c r="K6567" i="1"/>
  <c r="C6567" i="1"/>
  <c r="B6567" i="1"/>
  <c r="K6566" i="1"/>
  <c r="C6566" i="1"/>
  <c r="B6566" i="1"/>
  <c r="K6565" i="1"/>
  <c r="C6565" i="1"/>
  <c r="B6565" i="1"/>
  <c r="K6564" i="1"/>
  <c r="C6564" i="1"/>
  <c r="B6564" i="1"/>
  <c r="K6563" i="1"/>
  <c r="C6563" i="1"/>
  <c r="B6563" i="1"/>
  <c r="K6562" i="1"/>
  <c r="C6562" i="1"/>
  <c r="B6562" i="1"/>
  <c r="K6561" i="1"/>
  <c r="C6561" i="1"/>
  <c r="B6561" i="1"/>
  <c r="K6560" i="1"/>
  <c r="C6560" i="1"/>
  <c r="B6560" i="1"/>
  <c r="K6559" i="1"/>
  <c r="C6559" i="1"/>
  <c r="B6559" i="1"/>
  <c r="K6558" i="1"/>
  <c r="C6558" i="1"/>
  <c r="B6558" i="1"/>
  <c r="K6557" i="1"/>
  <c r="C6557" i="1"/>
  <c r="B6557" i="1"/>
  <c r="K6556" i="1"/>
  <c r="C6556" i="1"/>
  <c r="B6556" i="1"/>
  <c r="K6555" i="1"/>
  <c r="C6555" i="1"/>
  <c r="B6555" i="1"/>
  <c r="K6554" i="1"/>
  <c r="C6554" i="1"/>
  <c r="B6554" i="1"/>
  <c r="K6553" i="1"/>
  <c r="C6553" i="1"/>
  <c r="B6553" i="1"/>
  <c r="K6552" i="1"/>
  <c r="C6552" i="1"/>
  <c r="B6552" i="1"/>
  <c r="K6551" i="1"/>
  <c r="C6551" i="1"/>
  <c r="B6551" i="1"/>
  <c r="K6550" i="1"/>
  <c r="C6550" i="1"/>
  <c r="B6550" i="1"/>
  <c r="K6549" i="1"/>
  <c r="C6549" i="1"/>
  <c r="B6549" i="1"/>
  <c r="K6548" i="1"/>
  <c r="C6548" i="1"/>
  <c r="B6548" i="1"/>
  <c r="K6547" i="1"/>
  <c r="C6547" i="1"/>
  <c r="B6547" i="1"/>
  <c r="K6546" i="1"/>
  <c r="C6546" i="1"/>
  <c r="B6546" i="1"/>
  <c r="K6545" i="1"/>
  <c r="C6545" i="1"/>
  <c r="B6545" i="1"/>
  <c r="K6544" i="1"/>
  <c r="C6544" i="1"/>
  <c r="B6544" i="1"/>
  <c r="K6543" i="1"/>
  <c r="C6543" i="1"/>
  <c r="B6543" i="1"/>
  <c r="K6542" i="1"/>
  <c r="C6542" i="1"/>
  <c r="B6542" i="1"/>
  <c r="K6541" i="1"/>
  <c r="C6541" i="1"/>
  <c r="B6541" i="1"/>
  <c r="K6540" i="1"/>
  <c r="C6540" i="1"/>
  <c r="B6540" i="1"/>
  <c r="K6539" i="1"/>
  <c r="C6539" i="1"/>
  <c r="B6539" i="1"/>
  <c r="K6538" i="1"/>
  <c r="C6538" i="1"/>
  <c r="B6538" i="1"/>
  <c r="K6537" i="1"/>
  <c r="C6537" i="1"/>
  <c r="B6537" i="1"/>
  <c r="K6536" i="1"/>
  <c r="C6536" i="1"/>
  <c r="B6536" i="1"/>
  <c r="K6535" i="1"/>
  <c r="C6535" i="1"/>
  <c r="B6535" i="1"/>
  <c r="K6534" i="1"/>
  <c r="C6534" i="1"/>
  <c r="B6534" i="1"/>
  <c r="K6533" i="1"/>
  <c r="C6533" i="1"/>
  <c r="B6533" i="1"/>
  <c r="K6532" i="1"/>
  <c r="C6532" i="1"/>
  <c r="B6532" i="1"/>
  <c r="K6531" i="1"/>
  <c r="C6531" i="1"/>
  <c r="B6531" i="1"/>
  <c r="K6530" i="1"/>
  <c r="C6530" i="1"/>
  <c r="B6530" i="1"/>
  <c r="K6529" i="1"/>
  <c r="C6529" i="1"/>
  <c r="B6529" i="1"/>
  <c r="K6528" i="1"/>
  <c r="C6528" i="1"/>
  <c r="B6528" i="1"/>
  <c r="K6527" i="1"/>
  <c r="C6527" i="1"/>
  <c r="B6527" i="1"/>
  <c r="K6526" i="1"/>
  <c r="C6526" i="1"/>
  <c r="B6526" i="1"/>
  <c r="K6525" i="1"/>
  <c r="C6525" i="1"/>
  <c r="B6525" i="1"/>
  <c r="K6524" i="1"/>
  <c r="C6524" i="1"/>
  <c r="B6524" i="1"/>
  <c r="K6523" i="1"/>
  <c r="C6523" i="1"/>
  <c r="B6523" i="1"/>
  <c r="K6522" i="1"/>
  <c r="C6522" i="1"/>
  <c r="B6522" i="1"/>
  <c r="K6521" i="1"/>
  <c r="C6521" i="1"/>
  <c r="B6521" i="1"/>
  <c r="K6520" i="1"/>
  <c r="C6520" i="1"/>
  <c r="B6520" i="1"/>
  <c r="K6519" i="1"/>
  <c r="C6519" i="1"/>
  <c r="B6519" i="1"/>
  <c r="K6518" i="1"/>
  <c r="C6518" i="1"/>
  <c r="B6518" i="1"/>
  <c r="K6517" i="1"/>
  <c r="C6517" i="1"/>
  <c r="B6517" i="1"/>
  <c r="K6516" i="1"/>
  <c r="C6516" i="1"/>
  <c r="B6516" i="1"/>
  <c r="K6515" i="1"/>
  <c r="C6515" i="1"/>
  <c r="B6515" i="1"/>
  <c r="K6514" i="1"/>
  <c r="C6514" i="1"/>
  <c r="B6514" i="1"/>
  <c r="K6513" i="1"/>
  <c r="C6513" i="1"/>
  <c r="B6513" i="1"/>
  <c r="K6512" i="1"/>
  <c r="C6512" i="1"/>
  <c r="B6512" i="1"/>
  <c r="K6511" i="1"/>
  <c r="C6511" i="1"/>
  <c r="B6511" i="1"/>
  <c r="K6510" i="1"/>
  <c r="C6510" i="1"/>
  <c r="B6510" i="1"/>
  <c r="K6509" i="1"/>
  <c r="C6509" i="1"/>
  <c r="B6509" i="1"/>
  <c r="K6508" i="1"/>
  <c r="C6508" i="1"/>
  <c r="B6508" i="1"/>
  <c r="K6507" i="1"/>
  <c r="C6507" i="1"/>
  <c r="B6507" i="1"/>
  <c r="K6506" i="1"/>
  <c r="C6506" i="1"/>
  <c r="B6506" i="1"/>
  <c r="K6505" i="1"/>
  <c r="C6505" i="1"/>
  <c r="B6505" i="1"/>
  <c r="K6504" i="1"/>
  <c r="C6504" i="1"/>
  <c r="B6504" i="1"/>
  <c r="K6503" i="1"/>
  <c r="C6503" i="1"/>
  <c r="B6503" i="1"/>
  <c r="K6502" i="1"/>
  <c r="C6502" i="1"/>
  <c r="B6502" i="1"/>
  <c r="K6501" i="1"/>
  <c r="C6501" i="1"/>
  <c r="B6501" i="1"/>
  <c r="K6500" i="1"/>
  <c r="C6500" i="1"/>
  <c r="B6500" i="1"/>
  <c r="K6499" i="1"/>
  <c r="C6499" i="1"/>
  <c r="B6499" i="1"/>
  <c r="K6498" i="1"/>
  <c r="C6498" i="1"/>
  <c r="B6498" i="1"/>
  <c r="K6497" i="1"/>
  <c r="C6497" i="1"/>
  <c r="B6497" i="1"/>
  <c r="K6496" i="1"/>
  <c r="C6496" i="1"/>
  <c r="B6496" i="1"/>
  <c r="K6495" i="1"/>
  <c r="C6495" i="1"/>
  <c r="B6495" i="1"/>
  <c r="K6494" i="1"/>
  <c r="C6494" i="1"/>
  <c r="B6494" i="1"/>
  <c r="K6493" i="1"/>
  <c r="C6493" i="1"/>
  <c r="B6493" i="1"/>
  <c r="K6492" i="1"/>
  <c r="C6492" i="1"/>
  <c r="B6492" i="1"/>
  <c r="K6491" i="1"/>
  <c r="C6491" i="1"/>
  <c r="B6491" i="1"/>
  <c r="K6490" i="1"/>
  <c r="C6490" i="1"/>
  <c r="B6490" i="1"/>
  <c r="K6489" i="1"/>
  <c r="C6489" i="1"/>
  <c r="B6489" i="1"/>
  <c r="K6488" i="1"/>
  <c r="C6488" i="1"/>
  <c r="B6488" i="1"/>
  <c r="K6487" i="1"/>
  <c r="C6487" i="1"/>
  <c r="B6487" i="1"/>
  <c r="K6486" i="1"/>
  <c r="C6486" i="1"/>
  <c r="B6486" i="1"/>
  <c r="K6485" i="1"/>
  <c r="C6485" i="1"/>
  <c r="B6485" i="1"/>
  <c r="K6484" i="1"/>
  <c r="C6484" i="1"/>
  <c r="B6484" i="1"/>
  <c r="K6483" i="1"/>
  <c r="C6483" i="1"/>
  <c r="B6483" i="1"/>
  <c r="K6482" i="1"/>
  <c r="C6482" i="1"/>
  <c r="B6482" i="1"/>
  <c r="K6481" i="1"/>
  <c r="C6481" i="1"/>
  <c r="B6481" i="1"/>
  <c r="K6480" i="1"/>
  <c r="C6480" i="1"/>
  <c r="B6480" i="1"/>
  <c r="K6479" i="1"/>
  <c r="C6479" i="1"/>
  <c r="B6479" i="1"/>
  <c r="K6478" i="1"/>
  <c r="C6478" i="1"/>
  <c r="B6478" i="1"/>
  <c r="K6477" i="1"/>
  <c r="C6477" i="1"/>
  <c r="B6477" i="1"/>
  <c r="K6476" i="1"/>
  <c r="C6476" i="1"/>
  <c r="B6476" i="1"/>
  <c r="K6475" i="1"/>
  <c r="C6475" i="1"/>
  <c r="B6475" i="1"/>
  <c r="K6474" i="1"/>
  <c r="C6474" i="1"/>
  <c r="B6474" i="1"/>
  <c r="K6473" i="1"/>
  <c r="C6473" i="1"/>
  <c r="B6473" i="1"/>
  <c r="K6472" i="1"/>
  <c r="C6472" i="1"/>
  <c r="B6472" i="1"/>
  <c r="K6471" i="1"/>
  <c r="C6471" i="1"/>
  <c r="B6471" i="1"/>
  <c r="K6470" i="1"/>
  <c r="C6470" i="1"/>
  <c r="B6470" i="1"/>
  <c r="K6469" i="1"/>
  <c r="C6469" i="1"/>
  <c r="B6469" i="1"/>
  <c r="K6468" i="1"/>
  <c r="C6468" i="1"/>
  <c r="B6468" i="1"/>
  <c r="K6467" i="1"/>
  <c r="C6467" i="1"/>
  <c r="B6467" i="1"/>
  <c r="K6466" i="1"/>
  <c r="C6466" i="1"/>
  <c r="B6466" i="1"/>
  <c r="K6465" i="1"/>
  <c r="C6465" i="1"/>
  <c r="B6465" i="1"/>
  <c r="K6464" i="1"/>
  <c r="C6464" i="1"/>
  <c r="B6464" i="1"/>
  <c r="K6463" i="1"/>
  <c r="C6463" i="1"/>
  <c r="B6463" i="1"/>
  <c r="K6462" i="1"/>
  <c r="C6462" i="1"/>
  <c r="B6462" i="1"/>
  <c r="K6461" i="1"/>
  <c r="C6461" i="1"/>
  <c r="B6461" i="1"/>
  <c r="K6460" i="1"/>
  <c r="C6460" i="1"/>
  <c r="B6460" i="1"/>
  <c r="K6459" i="1"/>
  <c r="C6459" i="1"/>
  <c r="B6459" i="1"/>
  <c r="K6458" i="1"/>
  <c r="C6458" i="1"/>
  <c r="B6458" i="1"/>
  <c r="K6457" i="1"/>
  <c r="C6457" i="1"/>
  <c r="B6457" i="1"/>
  <c r="K6456" i="1"/>
  <c r="C6456" i="1"/>
  <c r="B6456" i="1"/>
  <c r="K6455" i="1"/>
  <c r="C6455" i="1"/>
  <c r="B6455" i="1"/>
  <c r="K6454" i="1"/>
  <c r="C6454" i="1"/>
  <c r="B6454" i="1"/>
  <c r="K6453" i="1"/>
  <c r="C6453" i="1"/>
  <c r="B6453" i="1"/>
  <c r="K6452" i="1"/>
  <c r="C6452" i="1"/>
  <c r="B6452" i="1"/>
  <c r="K6451" i="1"/>
  <c r="C6451" i="1"/>
  <c r="B6451" i="1"/>
  <c r="K6450" i="1"/>
  <c r="C6450" i="1"/>
  <c r="B6450" i="1"/>
  <c r="K6449" i="1"/>
  <c r="C6449" i="1"/>
  <c r="B6449" i="1"/>
  <c r="K6448" i="1"/>
  <c r="C6448" i="1"/>
  <c r="B6448" i="1"/>
  <c r="K6447" i="1"/>
  <c r="C6447" i="1"/>
  <c r="B6447" i="1"/>
  <c r="K6446" i="1"/>
  <c r="C6446" i="1"/>
  <c r="B6446" i="1"/>
  <c r="K6445" i="1"/>
  <c r="C6445" i="1"/>
  <c r="B6445" i="1"/>
  <c r="K6444" i="1"/>
  <c r="C6444" i="1"/>
  <c r="B6444" i="1"/>
  <c r="K6443" i="1"/>
  <c r="C6443" i="1"/>
  <c r="B6443" i="1"/>
  <c r="K6442" i="1"/>
  <c r="C6442" i="1"/>
  <c r="B6442" i="1"/>
  <c r="K6441" i="1"/>
  <c r="C6441" i="1"/>
  <c r="B6441" i="1"/>
  <c r="K6440" i="1"/>
  <c r="C6440" i="1"/>
  <c r="B6440" i="1"/>
  <c r="K6439" i="1"/>
  <c r="C6439" i="1"/>
  <c r="B6439" i="1"/>
  <c r="K6438" i="1"/>
  <c r="C6438" i="1"/>
  <c r="B6438" i="1"/>
  <c r="K6437" i="1"/>
  <c r="C6437" i="1"/>
  <c r="B6437" i="1"/>
  <c r="K6436" i="1"/>
  <c r="C6436" i="1"/>
  <c r="B6436" i="1"/>
  <c r="K6435" i="1"/>
  <c r="C6435" i="1"/>
  <c r="B6435" i="1"/>
  <c r="K6434" i="1"/>
  <c r="C6434" i="1"/>
  <c r="B6434" i="1"/>
  <c r="K6433" i="1"/>
  <c r="C6433" i="1"/>
  <c r="B6433" i="1"/>
  <c r="K6432" i="1"/>
  <c r="C6432" i="1"/>
  <c r="B6432" i="1"/>
  <c r="K6431" i="1"/>
  <c r="C6431" i="1"/>
  <c r="B6431" i="1"/>
  <c r="K6430" i="1"/>
  <c r="C6430" i="1"/>
  <c r="B6430" i="1"/>
  <c r="K6429" i="1"/>
  <c r="C6429" i="1"/>
  <c r="B6429" i="1"/>
  <c r="K6428" i="1"/>
  <c r="C6428" i="1"/>
  <c r="B6428" i="1"/>
  <c r="K6427" i="1"/>
  <c r="C6427" i="1"/>
  <c r="B6427" i="1"/>
  <c r="K6426" i="1"/>
  <c r="C6426" i="1"/>
  <c r="B6426" i="1"/>
  <c r="K6425" i="1"/>
  <c r="C6425" i="1"/>
  <c r="B6425" i="1"/>
  <c r="K6424" i="1"/>
  <c r="C6424" i="1"/>
  <c r="B6424" i="1"/>
  <c r="K6423" i="1"/>
  <c r="C6423" i="1"/>
  <c r="B6423" i="1"/>
  <c r="K6422" i="1"/>
  <c r="C6422" i="1"/>
  <c r="B6422" i="1"/>
  <c r="K6421" i="1"/>
  <c r="C6421" i="1"/>
  <c r="B6421" i="1"/>
  <c r="K6420" i="1"/>
  <c r="C6420" i="1"/>
  <c r="B6420" i="1"/>
  <c r="K6419" i="1"/>
  <c r="C6419" i="1"/>
  <c r="B6419" i="1"/>
  <c r="K6418" i="1"/>
  <c r="C6418" i="1"/>
  <c r="B6418" i="1"/>
  <c r="K6417" i="1"/>
  <c r="C6417" i="1"/>
  <c r="B6417" i="1"/>
  <c r="K6416" i="1"/>
  <c r="C6416" i="1"/>
  <c r="B6416" i="1"/>
  <c r="K6415" i="1"/>
  <c r="C6415" i="1"/>
  <c r="B6415" i="1"/>
  <c r="K6414" i="1"/>
  <c r="C6414" i="1"/>
  <c r="B6414" i="1"/>
  <c r="K6413" i="1"/>
  <c r="C6413" i="1"/>
  <c r="B6413" i="1"/>
  <c r="K6412" i="1"/>
  <c r="C6412" i="1"/>
  <c r="B6412" i="1"/>
  <c r="K6411" i="1"/>
  <c r="C6411" i="1"/>
  <c r="B6411" i="1"/>
  <c r="K6410" i="1"/>
  <c r="C6410" i="1"/>
  <c r="B6410" i="1"/>
  <c r="K6409" i="1"/>
  <c r="C6409" i="1"/>
  <c r="B6409" i="1"/>
  <c r="K6408" i="1"/>
  <c r="C6408" i="1"/>
  <c r="B6408" i="1"/>
  <c r="K6407" i="1"/>
  <c r="C6407" i="1"/>
  <c r="B6407" i="1"/>
  <c r="K6406" i="1"/>
  <c r="C6406" i="1"/>
  <c r="B6406" i="1"/>
  <c r="K6405" i="1"/>
  <c r="C6405" i="1"/>
  <c r="B6405" i="1"/>
  <c r="K6404" i="1"/>
  <c r="C6404" i="1"/>
  <c r="B6404" i="1"/>
  <c r="K6403" i="1"/>
  <c r="C6403" i="1"/>
  <c r="B6403" i="1"/>
  <c r="K6402" i="1"/>
  <c r="C6402" i="1"/>
  <c r="B6402" i="1"/>
  <c r="K6401" i="1"/>
  <c r="C6401" i="1"/>
  <c r="B6401" i="1"/>
  <c r="K6400" i="1"/>
  <c r="C6400" i="1"/>
  <c r="B6400" i="1"/>
  <c r="K6399" i="1"/>
  <c r="C6399" i="1"/>
  <c r="B6399" i="1"/>
  <c r="K6398" i="1"/>
  <c r="C6398" i="1"/>
  <c r="B6398" i="1"/>
  <c r="K6397" i="1"/>
  <c r="C6397" i="1"/>
  <c r="B6397" i="1"/>
  <c r="K6396" i="1"/>
  <c r="C6396" i="1"/>
  <c r="B6396" i="1"/>
  <c r="K6395" i="1"/>
  <c r="C6395" i="1"/>
  <c r="B6395" i="1"/>
  <c r="K6394" i="1"/>
  <c r="C6394" i="1"/>
  <c r="B6394" i="1"/>
  <c r="K6393" i="1"/>
  <c r="C6393" i="1"/>
  <c r="B6393" i="1"/>
  <c r="K6392" i="1"/>
  <c r="C6392" i="1"/>
  <c r="B6392" i="1"/>
  <c r="K6391" i="1"/>
  <c r="C6391" i="1"/>
  <c r="B6391" i="1"/>
  <c r="K6390" i="1"/>
  <c r="C6390" i="1"/>
  <c r="B6390" i="1"/>
  <c r="K6389" i="1"/>
  <c r="C6389" i="1"/>
  <c r="B6389" i="1"/>
  <c r="K6388" i="1"/>
  <c r="C6388" i="1"/>
  <c r="B6388" i="1"/>
  <c r="K6387" i="1"/>
  <c r="C6387" i="1"/>
  <c r="B6387" i="1"/>
  <c r="K6386" i="1"/>
  <c r="C6386" i="1"/>
  <c r="B6386" i="1"/>
  <c r="K6385" i="1"/>
  <c r="C6385" i="1"/>
  <c r="B6385" i="1"/>
  <c r="K6384" i="1"/>
  <c r="C6384" i="1"/>
  <c r="B6384" i="1"/>
  <c r="K6383" i="1"/>
  <c r="C6383" i="1"/>
  <c r="B6383" i="1"/>
  <c r="K6382" i="1"/>
  <c r="C6382" i="1"/>
  <c r="B6382" i="1"/>
  <c r="K6381" i="1"/>
  <c r="C6381" i="1"/>
  <c r="B6381" i="1"/>
  <c r="K6380" i="1"/>
  <c r="C6380" i="1"/>
  <c r="B6380" i="1"/>
  <c r="K6379" i="1"/>
  <c r="C6379" i="1"/>
  <c r="B6379" i="1"/>
  <c r="K6378" i="1"/>
  <c r="C6378" i="1"/>
  <c r="B6378" i="1"/>
  <c r="K6377" i="1"/>
  <c r="C6377" i="1"/>
  <c r="B6377" i="1"/>
  <c r="K6376" i="1"/>
  <c r="C6376" i="1"/>
  <c r="B6376" i="1"/>
  <c r="K6375" i="1"/>
  <c r="C6375" i="1"/>
  <c r="B6375" i="1"/>
  <c r="K6374" i="1"/>
  <c r="C6374" i="1"/>
  <c r="B6374" i="1"/>
  <c r="K6373" i="1"/>
  <c r="C6373" i="1"/>
  <c r="B6373" i="1"/>
  <c r="K6372" i="1"/>
  <c r="C6372" i="1"/>
  <c r="B6372" i="1"/>
  <c r="K6371" i="1"/>
  <c r="C6371" i="1"/>
  <c r="B6371" i="1"/>
  <c r="K6370" i="1"/>
  <c r="C6370" i="1"/>
  <c r="B6370" i="1"/>
  <c r="K6369" i="1"/>
  <c r="C6369" i="1"/>
  <c r="B6369" i="1"/>
  <c r="K6368" i="1"/>
  <c r="C6368" i="1"/>
  <c r="B6368" i="1"/>
  <c r="K6367" i="1"/>
  <c r="C6367" i="1"/>
  <c r="B6367" i="1"/>
  <c r="K6366" i="1"/>
  <c r="C6366" i="1"/>
  <c r="B6366" i="1"/>
  <c r="K6365" i="1"/>
  <c r="C6365" i="1"/>
  <c r="B6365" i="1"/>
  <c r="K6364" i="1"/>
  <c r="C6364" i="1"/>
  <c r="B6364" i="1"/>
  <c r="K6363" i="1"/>
  <c r="C6363" i="1"/>
  <c r="B6363" i="1"/>
  <c r="K6362" i="1"/>
  <c r="C6362" i="1"/>
  <c r="B6362" i="1"/>
  <c r="K6361" i="1"/>
  <c r="C6361" i="1"/>
  <c r="B6361" i="1"/>
  <c r="K6360" i="1"/>
  <c r="C6360" i="1"/>
  <c r="B6360" i="1"/>
  <c r="K6359" i="1"/>
  <c r="C6359" i="1"/>
  <c r="B6359" i="1"/>
  <c r="K6358" i="1"/>
  <c r="C6358" i="1"/>
  <c r="B6358" i="1"/>
  <c r="K6357" i="1"/>
  <c r="C6357" i="1"/>
  <c r="B6357" i="1"/>
  <c r="K6356" i="1"/>
  <c r="C6356" i="1"/>
  <c r="B6356" i="1"/>
  <c r="K6355" i="1"/>
  <c r="C6355" i="1"/>
  <c r="B6355" i="1"/>
  <c r="K6354" i="1"/>
  <c r="C6354" i="1"/>
  <c r="B6354" i="1"/>
  <c r="K6353" i="1"/>
  <c r="C6353" i="1"/>
  <c r="B6353" i="1"/>
  <c r="K6352" i="1"/>
  <c r="C6352" i="1"/>
  <c r="B6352" i="1"/>
  <c r="K6351" i="1"/>
  <c r="C6351" i="1"/>
  <c r="B6351" i="1"/>
  <c r="K6350" i="1"/>
  <c r="C6350" i="1"/>
  <c r="B6350" i="1"/>
  <c r="K6349" i="1"/>
  <c r="C6349" i="1"/>
  <c r="B6349" i="1"/>
  <c r="K6348" i="1"/>
  <c r="C6348" i="1"/>
  <c r="B6348" i="1"/>
  <c r="K6347" i="1"/>
  <c r="C6347" i="1"/>
  <c r="B6347" i="1"/>
  <c r="K6346" i="1"/>
  <c r="C6346" i="1"/>
  <c r="B6346" i="1"/>
  <c r="K6345" i="1"/>
  <c r="C6345" i="1"/>
  <c r="B6345" i="1"/>
  <c r="K6344" i="1"/>
  <c r="C6344" i="1"/>
  <c r="B6344" i="1"/>
  <c r="K6343" i="1"/>
  <c r="C6343" i="1"/>
  <c r="B6343" i="1"/>
  <c r="K6342" i="1"/>
  <c r="C6342" i="1"/>
  <c r="B6342" i="1"/>
  <c r="K6341" i="1"/>
  <c r="C6341" i="1"/>
  <c r="B6341" i="1"/>
  <c r="K6340" i="1"/>
  <c r="C6340" i="1"/>
  <c r="B6340" i="1"/>
  <c r="K6339" i="1"/>
  <c r="C6339" i="1"/>
  <c r="B6339" i="1"/>
  <c r="K6338" i="1"/>
  <c r="C6338" i="1"/>
  <c r="B6338" i="1"/>
  <c r="K6337" i="1"/>
  <c r="C6337" i="1"/>
  <c r="B6337" i="1"/>
  <c r="K6336" i="1"/>
  <c r="C6336" i="1"/>
  <c r="B6336" i="1"/>
  <c r="K6335" i="1"/>
  <c r="C6335" i="1"/>
  <c r="B6335" i="1"/>
  <c r="K6334" i="1"/>
  <c r="C6334" i="1"/>
  <c r="B6334" i="1"/>
  <c r="K6333" i="1"/>
  <c r="C6333" i="1"/>
  <c r="B6333" i="1"/>
  <c r="K6332" i="1"/>
  <c r="C6332" i="1"/>
  <c r="B6332" i="1"/>
  <c r="K6331" i="1"/>
  <c r="C6331" i="1"/>
  <c r="B6331" i="1"/>
  <c r="K6330" i="1"/>
  <c r="C6330" i="1"/>
  <c r="B6330" i="1"/>
  <c r="K6329" i="1"/>
  <c r="C6329" i="1"/>
  <c r="B6329" i="1"/>
  <c r="K6328" i="1"/>
  <c r="C6328" i="1"/>
  <c r="B6328" i="1"/>
  <c r="K6327" i="1"/>
  <c r="C6327" i="1"/>
  <c r="B6327" i="1"/>
  <c r="K6326" i="1"/>
  <c r="C6326" i="1"/>
  <c r="B6326" i="1"/>
  <c r="K6325" i="1"/>
  <c r="C6325" i="1"/>
  <c r="B6325" i="1"/>
  <c r="K6324" i="1"/>
  <c r="C6324" i="1"/>
  <c r="B6324" i="1"/>
  <c r="K6323" i="1"/>
  <c r="C6323" i="1"/>
  <c r="B6323" i="1"/>
  <c r="K6322" i="1"/>
  <c r="C6322" i="1"/>
  <c r="B6322" i="1"/>
  <c r="K6321" i="1"/>
  <c r="C6321" i="1"/>
  <c r="B6321" i="1"/>
  <c r="K6320" i="1"/>
  <c r="C6320" i="1"/>
  <c r="B6320" i="1"/>
  <c r="K6319" i="1"/>
  <c r="C6319" i="1"/>
  <c r="B6319" i="1"/>
  <c r="K6318" i="1"/>
  <c r="C6318" i="1"/>
  <c r="B6318" i="1"/>
  <c r="K6317" i="1"/>
  <c r="C6317" i="1"/>
  <c r="B6317" i="1"/>
  <c r="K6316" i="1"/>
  <c r="C6316" i="1"/>
  <c r="B6316" i="1"/>
  <c r="K6315" i="1"/>
  <c r="C6315" i="1"/>
  <c r="B6315" i="1"/>
  <c r="K6314" i="1"/>
  <c r="C6314" i="1"/>
  <c r="B6314" i="1"/>
  <c r="K6313" i="1"/>
  <c r="C6313" i="1"/>
  <c r="B6313" i="1"/>
  <c r="K6312" i="1"/>
  <c r="C6312" i="1"/>
  <c r="B6312" i="1"/>
  <c r="K6311" i="1"/>
  <c r="C6311" i="1"/>
  <c r="B6311" i="1"/>
  <c r="K6310" i="1"/>
  <c r="C6310" i="1"/>
  <c r="B6310" i="1"/>
  <c r="K6309" i="1"/>
  <c r="C6309" i="1"/>
  <c r="B6309" i="1"/>
  <c r="K6308" i="1"/>
  <c r="C6308" i="1"/>
  <c r="B6308" i="1"/>
  <c r="K6307" i="1"/>
  <c r="C6307" i="1"/>
  <c r="B6307" i="1"/>
  <c r="K6306" i="1"/>
  <c r="C6306" i="1"/>
  <c r="B6306" i="1"/>
  <c r="K6305" i="1"/>
  <c r="C6305" i="1"/>
  <c r="B6305" i="1"/>
  <c r="K6304" i="1"/>
  <c r="C6304" i="1"/>
  <c r="B6304" i="1"/>
  <c r="K6303" i="1"/>
  <c r="C6303" i="1"/>
  <c r="B6303" i="1"/>
  <c r="K6302" i="1"/>
  <c r="C6302" i="1"/>
  <c r="B6302" i="1"/>
  <c r="K6301" i="1"/>
  <c r="C6301" i="1"/>
  <c r="B6301" i="1"/>
  <c r="K6300" i="1"/>
  <c r="C6300" i="1"/>
  <c r="B6300" i="1"/>
  <c r="K6299" i="1"/>
  <c r="C6299" i="1"/>
  <c r="B6299" i="1"/>
  <c r="K6298" i="1"/>
  <c r="C6298" i="1"/>
  <c r="B6298" i="1"/>
  <c r="K6297" i="1"/>
  <c r="C6297" i="1"/>
  <c r="B6297" i="1"/>
  <c r="K6296" i="1"/>
  <c r="C6296" i="1"/>
  <c r="B6296" i="1"/>
  <c r="K6295" i="1"/>
  <c r="C6295" i="1"/>
  <c r="B6295" i="1"/>
  <c r="K6294" i="1"/>
  <c r="C6294" i="1"/>
  <c r="B6294" i="1"/>
  <c r="K6293" i="1"/>
  <c r="C6293" i="1"/>
  <c r="B6293" i="1"/>
  <c r="K6292" i="1"/>
  <c r="C6292" i="1"/>
  <c r="B6292" i="1"/>
  <c r="K6291" i="1"/>
  <c r="C6291" i="1"/>
  <c r="B6291" i="1"/>
  <c r="K6290" i="1"/>
  <c r="C6290" i="1"/>
  <c r="B6290" i="1"/>
  <c r="K6289" i="1"/>
  <c r="C6289" i="1"/>
  <c r="B6289" i="1"/>
  <c r="K6288" i="1"/>
  <c r="C6288" i="1"/>
  <c r="B6288" i="1"/>
  <c r="K6287" i="1"/>
  <c r="C6287" i="1"/>
  <c r="B6287" i="1"/>
  <c r="K6286" i="1"/>
  <c r="C6286" i="1"/>
  <c r="B6286" i="1"/>
  <c r="K6285" i="1"/>
  <c r="C6285" i="1"/>
  <c r="B6285" i="1"/>
  <c r="K6284" i="1"/>
  <c r="C6284" i="1"/>
  <c r="B6284" i="1"/>
  <c r="K6283" i="1"/>
  <c r="C6283" i="1"/>
  <c r="B6283" i="1"/>
  <c r="K6282" i="1"/>
  <c r="C6282" i="1"/>
  <c r="B6282" i="1"/>
  <c r="K6281" i="1"/>
  <c r="C6281" i="1"/>
  <c r="B6281" i="1"/>
  <c r="K6280" i="1"/>
  <c r="C6280" i="1"/>
  <c r="B6280" i="1"/>
  <c r="K6279" i="1"/>
  <c r="C6279" i="1"/>
  <c r="B6279" i="1"/>
  <c r="K6278" i="1"/>
  <c r="C6278" i="1"/>
  <c r="B6278" i="1"/>
  <c r="K6277" i="1"/>
  <c r="C6277" i="1"/>
  <c r="B6277" i="1"/>
  <c r="K6276" i="1"/>
  <c r="C6276" i="1"/>
  <c r="B6276" i="1"/>
  <c r="K6275" i="1"/>
  <c r="C6275" i="1"/>
  <c r="B6275" i="1"/>
  <c r="K6274" i="1"/>
  <c r="C6274" i="1"/>
  <c r="B6274" i="1"/>
  <c r="K6273" i="1"/>
  <c r="C6273" i="1"/>
  <c r="B6273" i="1"/>
  <c r="K6272" i="1"/>
  <c r="C6272" i="1"/>
  <c r="B6272" i="1"/>
  <c r="K6271" i="1"/>
  <c r="C6271" i="1"/>
  <c r="B6271" i="1"/>
  <c r="K6270" i="1"/>
  <c r="C6270" i="1"/>
  <c r="B6270" i="1"/>
  <c r="K6269" i="1"/>
  <c r="C6269" i="1"/>
  <c r="B6269" i="1"/>
  <c r="K6268" i="1"/>
  <c r="C6268" i="1"/>
  <c r="B6268" i="1"/>
  <c r="K6267" i="1"/>
  <c r="C6267" i="1"/>
  <c r="B6267" i="1"/>
  <c r="K6266" i="1"/>
  <c r="C6266" i="1"/>
  <c r="B6266" i="1"/>
  <c r="K6265" i="1"/>
  <c r="C6265" i="1"/>
  <c r="B6265" i="1"/>
  <c r="K6264" i="1"/>
  <c r="C6264" i="1"/>
  <c r="B6264" i="1"/>
  <c r="K6263" i="1"/>
  <c r="C6263" i="1"/>
  <c r="B6263" i="1"/>
  <c r="K6262" i="1"/>
  <c r="C6262" i="1"/>
  <c r="B6262" i="1"/>
  <c r="K6261" i="1"/>
  <c r="C6261" i="1"/>
  <c r="B6261" i="1"/>
  <c r="K6260" i="1"/>
  <c r="C6260" i="1"/>
  <c r="B6260" i="1"/>
  <c r="K6259" i="1"/>
  <c r="C6259" i="1"/>
  <c r="B6259" i="1"/>
  <c r="K6258" i="1"/>
  <c r="C6258" i="1"/>
  <c r="B6258" i="1"/>
  <c r="K6257" i="1"/>
  <c r="C6257" i="1"/>
  <c r="B6257" i="1"/>
  <c r="K6256" i="1"/>
  <c r="C6256" i="1"/>
  <c r="B6256" i="1"/>
  <c r="K6255" i="1"/>
  <c r="C6255" i="1"/>
  <c r="B6255" i="1"/>
  <c r="K6254" i="1"/>
  <c r="C6254" i="1"/>
  <c r="B6254" i="1"/>
  <c r="K6253" i="1"/>
  <c r="C6253" i="1"/>
  <c r="B6253" i="1"/>
  <c r="K6252" i="1"/>
  <c r="C6252" i="1"/>
  <c r="B6252" i="1"/>
  <c r="K6251" i="1"/>
  <c r="C6251" i="1"/>
  <c r="B6251" i="1"/>
  <c r="K6250" i="1"/>
  <c r="C6250" i="1"/>
  <c r="B6250" i="1"/>
  <c r="K6249" i="1"/>
  <c r="C6249" i="1"/>
  <c r="B6249" i="1"/>
  <c r="K6248" i="1"/>
  <c r="C6248" i="1"/>
  <c r="B6248" i="1"/>
  <c r="K6247" i="1"/>
  <c r="C6247" i="1"/>
  <c r="B6247" i="1"/>
  <c r="K6246" i="1"/>
  <c r="C6246" i="1"/>
  <c r="B6246" i="1"/>
  <c r="K6245" i="1"/>
  <c r="C6245" i="1"/>
  <c r="B6245" i="1"/>
  <c r="K6244" i="1"/>
  <c r="C6244" i="1"/>
  <c r="B6244" i="1"/>
  <c r="K6243" i="1"/>
  <c r="C6243" i="1"/>
  <c r="B6243" i="1"/>
  <c r="K6242" i="1"/>
  <c r="C6242" i="1"/>
  <c r="B6242" i="1"/>
  <c r="K6241" i="1"/>
  <c r="C6241" i="1"/>
  <c r="B6241" i="1"/>
  <c r="K6240" i="1"/>
  <c r="C6240" i="1"/>
  <c r="B6240" i="1"/>
  <c r="K6239" i="1"/>
  <c r="C6239" i="1"/>
  <c r="B6239" i="1"/>
  <c r="K6238" i="1"/>
  <c r="C6238" i="1"/>
  <c r="B6238" i="1"/>
  <c r="K6237" i="1"/>
  <c r="C6237" i="1"/>
  <c r="B6237" i="1"/>
  <c r="K6236" i="1"/>
  <c r="C6236" i="1"/>
  <c r="B6236" i="1"/>
  <c r="K6235" i="1"/>
  <c r="C6235" i="1"/>
  <c r="B6235" i="1"/>
  <c r="K6234" i="1"/>
  <c r="C6234" i="1"/>
  <c r="B6234" i="1"/>
  <c r="K6233" i="1"/>
  <c r="C6233" i="1"/>
  <c r="B6233" i="1"/>
  <c r="K6232" i="1"/>
  <c r="C6232" i="1"/>
  <c r="B6232" i="1"/>
  <c r="K6231" i="1"/>
  <c r="C6231" i="1"/>
  <c r="B6231" i="1"/>
  <c r="K6230" i="1"/>
  <c r="C6230" i="1"/>
  <c r="B6230" i="1"/>
  <c r="K6229" i="1"/>
  <c r="C6229" i="1"/>
  <c r="B6229" i="1"/>
  <c r="K6228" i="1"/>
  <c r="C6228" i="1"/>
  <c r="B6228" i="1"/>
  <c r="K6227" i="1"/>
  <c r="C6227" i="1"/>
  <c r="B6227" i="1"/>
  <c r="K6226" i="1"/>
  <c r="C6226" i="1"/>
  <c r="B6226" i="1"/>
  <c r="K6225" i="1"/>
  <c r="C6225" i="1"/>
  <c r="B6225" i="1"/>
  <c r="K6224" i="1"/>
  <c r="C6224" i="1"/>
  <c r="B6224" i="1"/>
  <c r="K6223" i="1"/>
  <c r="C6223" i="1"/>
  <c r="B6223" i="1"/>
  <c r="K6222" i="1"/>
  <c r="C6222" i="1"/>
  <c r="B6222" i="1"/>
  <c r="K6221" i="1"/>
  <c r="C6221" i="1"/>
  <c r="B6221" i="1"/>
  <c r="K6220" i="1"/>
  <c r="C6220" i="1"/>
  <c r="B6220" i="1"/>
  <c r="K6219" i="1"/>
  <c r="C6219" i="1"/>
  <c r="B6219" i="1"/>
  <c r="K6218" i="1"/>
  <c r="C6218" i="1"/>
  <c r="B6218" i="1"/>
  <c r="K6217" i="1"/>
  <c r="C6217" i="1"/>
  <c r="B6217" i="1"/>
  <c r="K6216" i="1"/>
  <c r="C6216" i="1"/>
  <c r="B6216" i="1"/>
  <c r="K6215" i="1"/>
  <c r="C6215" i="1"/>
  <c r="B6215" i="1"/>
  <c r="K6214" i="1"/>
  <c r="C6214" i="1"/>
  <c r="B6214" i="1"/>
  <c r="K6213" i="1"/>
  <c r="C6213" i="1"/>
  <c r="B6213" i="1"/>
  <c r="K6212" i="1"/>
  <c r="C6212" i="1"/>
  <c r="B6212" i="1"/>
  <c r="K6211" i="1"/>
  <c r="C6211" i="1"/>
  <c r="B6211" i="1"/>
  <c r="K6210" i="1"/>
  <c r="C6210" i="1"/>
  <c r="B6210" i="1"/>
  <c r="K6209" i="1"/>
  <c r="C6209" i="1"/>
  <c r="B6209" i="1"/>
  <c r="K6208" i="1"/>
  <c r="C6208" i="1"/>
  <c r="B6208" i="1"/>
  <c r="K6207" i="1"/>
  <c r="C6207" i="1"/>
  <c r="B6207" i="1"/>
  <c r="K6206" i="1"/>
  <c r="C6206" i="1"/>
  <c r="B6206" i="1"/>
  <c r="K6205" i="1"/>
  <c r="C6205" i="1"/>
  <c r="B6205" i="1"/>
  <c r="K6204" i="1"/>
  <c r="C6204" i="1"/>
  <c r="B6204" i="1"/>
  <c r="K6203" i="1"/>
  <c r="C6203" i="1"/>
  <c r="B6203" i="1"/>
  <c r="K6202" i="1"/>
  <c r="C6202" i="1"/>
  <c r="B6202" i="1"/>
  <c r="K6201" i="1"/>
  <c r="C6201" i="1"/>
  <c r="B6201" i="1"/>
  <c r="K6200" i="1"/>
  <c r="C6200" i="1"/>
  <c r="B6200" i="1"/>
  <c r="K6199" i="1"/>
  <c r="C6199" i="1"/>
  <c r="B6199" i="1"/>
  <c r="K6198" i="1"/>
  <c r="C6198" i="1"/>
  <c r="B6198" i="1"/>
  <c r="K6197" i="1"/>
  <c r="C6197" i="1"/>
  <c r="B6197" i="1"/>
  <c r="K6196" i="1"/>
  <c r="C6196" i="1"/>
  <c r="B6196" i="1"/>
  <c r="K6195" i="1"/>
  <c r="C6195" i="1"/>
  <c r="B6195" i="1"/>
  <c r="K6194" i="1"/>
  <c r="C6194" i="1"/>
  <c r="B6194" i="1"/>
  <c r="K6193" i="1"/>
  <c r="C6193" i="1"/>
  <c r="B6193" i="1"/>
  <c r="K6192" i="1"/>
  <c r="C6192" i="1"/>
  <c r="B6192" i="1"/>
  <c r="K6191" i="1"/>
  <c r="C6191" i="1"/>
  <c r="B6191" i="1"/>
  <c r="K6190" i="1"/>
  <c r="C6190" i="1"/>
  <c r="B6190" i="1"/>
  <c r="K6189" i="1"/>
  <c r="C6189" i="1"/>
  <c r="B6189" i="1"/>
  <c r="K6188" i="1"/>
  <c r="C6188" i="1"/>
  <c r="B6188" i="1"/>
  <c r="K6187" i="1"/>
  <c r="C6187" i="1"/>
  <c r="B6187" i="1"/>
  <c r="K6186" i="1"/>
  <c r="C6186" i="1"/>
  <c r="B6186" i="1"/>
  <c r="K6185" i="1"/>
  <c r="C6185" i="1"/>
  <c r="B6185" i="1"/>
  <c r="K6184" i="1"/>
  <c r="C6184" i="1"/>
  <c r="B6184" i="1"/>
  <c r="K6183" i="1"/>
  <c r="C6183" i="1"/>
  <c r="B6183" i="1"/>
  <c r="K6182" i="1"/>
  <c r="C6182" i="1"/>
  <c r="B6182" i="1"/>
  <c r="K6181" i="1"/>
  <c r="C6181" i="1"/>
  <c r="B6181" i="1"/>
  <c r="K6180" i="1"/>
  <c r="C6180" i="1"/>
  <c r="B6180" i="1"/>
  <c r="K6179" i="1"/>
  <c r="C6179" i="1"/>
  <c r="B6179" i="1"/>
  <c r="K6178" i="1"/>
  <c r="C6178" i="1"/>
  <c r="B6178" i="1"/>
  <c r="K6177" i="1"/>
  <c r="C6177" i="1"/>
  <c r="B6177" i="1"/>
  <c r="K6176" i="1"/>
  <c r="C6176" i="1"/>
  <c r="B6176" i="1"/>
  <c r="K6175" i="1"/>
  <c r="C6175" i="1"/>
  <c r="B6175" i="1"/>
  <c r="K6174" i="1"/>
  <c r="C6174" i="1"/>
  <c r="B6174" i="1"/>
  <c r="K6173" i="1"/>
  <c r="C6173" i="1"/>
  <c r="B6173" i="1"/>
  <c r="K6172" i="1"/>
  <c r="C6172" i="1"/>
  <c r="B6172" i="1"/>
  <c r="K6171" i="1"/>
  <c r="C6171" i="1"/>
  <c r="B6171" i="1"/>
  <c r="K6170" i="1"/>
  <c r="C6170" i="1"/>
  <c r="B6170" i="1"/>
  <c r="K6169" i="1"/>
  <c r="C6169" i="1"/>
  <c r="B6169" i="1"/>
  <c r="K6168" i="1"/>
  <c r="C6168" i="1"/>
  <c r="B6168" i="1"/>
  <c r="K6167" i="1"/>
  <c r="C6167" i="1"/>
  <c r="B6167" i="1"/>
  <c r="K6166" i="1"/>
  <c r="C6166" i="1"/>
  <c r="B6166" i="1"/>
  <c r="K6165" i="1"/>
  <c r="C6165" i="1"/>
  <c r="B6165" i="1"/>
  <c r="K6164" i="1"/>
  <c r="C6164" i="1"/>
  <c r="B6164" i="1"/>
  <c r="K6163" i="1"/>
  <c r="C6163" i="1"/>
  <c r="B6163" i="1"/>
  <c r="K6162" i="1"/>
  <c r="C6162" i="1"/>
  <c r="B6162" i="1"/>
  <c r="K6161" i="1"/>
  <c r="C6161" i="1"/>
  <c r="B6161" i="1"/>
  <c r="K6160" i="1"/>
  <c r="C6160" i="1"/>
  <c r="B6160" i="1"/>
  <c r="K6159" i="1"/>
  <c r="C6159" i="1"/>
  <c r="B6159" i="1"/>
  <c r="K6158" i="1"/>
  <c r="C6158" i="1"/>
  <c r="B6158" i="1"/>
  <c r="K6157" i="1"/>
  <c r="C6157" i="1"/>
  <c r="B6157" i="1"/>
  <c r="K6156" i="1"/>
  <c r="C6156" i="1"/>
  <c r="B6156" i="1"/>
  <c r="K6155" i="1"/>
  <c r="C6155" i="1"/>
  <c r="B6155" i="1"/>
  <c r="K6154" i="1"/>
  <c r="C6154" i="1"/>
  <c r="B6154" i="1"/>
  <c r="K6153" i="1"/>
  <c r="C6153" i="1"/>
  <c r="B6153" i="1"/>
  <c r="K6152" i="1"/>
  <c r="C6152" i="1"/>
  <c r="B6152" i="1"/>
  <c r="K6151" i="1"/>
  <c r="C6151" i="1"/>
  <c r="B6151" i="1"/>
  <c r="K6150" i="1"/>
  <c r="C6150" i="1"/>
  <c r="B6150" i="1"/>
  <c r="K6149" i="1"/>
  <c r="C6149" i="1"/>
  <c r="B6149" i="1"/>
  <c r="K6148" i="1"/>
  <c r="C6148" i="1"/>
  <c r="B6148" i="1"/>
  <c r="K6147" i="1"/>
  <c r="C6147" i="1"/>
  <c r="B6147" i="1"/>
  <c r="K6146" i="1"/>
  <c r="C6146" i="1"/>
  <c r="B6146" i="1"/>
  <c r="K6145" i="1"/>
  <c r="C6145" i="1"/>
  <c r="B6145" i="1"/>
  <c r="K6144" i="1"/>
  <c r="C6144" i="1"/>
  <c r="B6144" i="1"/>
  <c r="K6143" i="1"/>
  <c r="C6143" i="1"/>
  <c r="B6143" i="1"/>
  <c r="K6142" i="1"/>
  <c r="C6142" i="1"/>
  <c r="B6142" i="1"/>
  <c r="K6141" i="1"/>
  <c r="C6141" i="1"/>
  <c r="B6141" i="1"/>
  <c r="K6140" i="1"/>
  <c r="C6140" i="1"/>
  <c r="B6140" i="1"/>
  <c r="K6139" i="1"/>
  <c r="C6139" i="1"/>
  <c r="B6139" i="1"/>
  <c r="K6138" i="1"/>
  <c r="C6138" i="1"/>
  <c r="B6138" i="1"/>
  <c r="K6137" i="1"/>
  <c r="C6137" i="1"/>
  <c r="B6137" i="1"/>
  <c r="K6136" i="1"/>
  <c r="C6136" i="1"/>
  <c r="B6136" i="1"/>
  <c r="K6135" i="1"/>
  <c r="C6135" i="1"/>
  <c r="B6135" i="1"/>
  <c r="K6134" i="1"/>
  <c r="C6134" i="1"/>
  <c r="B6134" i="1"/>
  <c r="K6133" i="1"/>
  <c r="C6133" i="1"/>
  <c r="B6133" i="1"/>
  <c r="K6132" i="1"/>
  <c r="C6132" i="1"/>
  <c r="B6132" i="1"/>
  <c r="K6131" i="1"/>
  <c r="C6131" i="1"/>
  <c r="B6131" i="1"/>
  <c r="K6130" i="1"/>
  <c r="C6130" i="1"/>
  <c r="B6130" i="1"/>
  <c r="K6129" i="1"/>
  <c r="C6129" i="1"/>
  <c r="B6129" i="1"/>
  <c r="K6128" i="1"/>
  <c r="C6128" i="1"/>
  <c r="B6128" i="1"/>
  <c r="K6127" i="1"/>
  <c r="C6127" i="1"/>
  <c r="B6127" i="1"/>
  <c r="K6126" i="1"/>
  <c r="C6126" i="1"/>
  <c r="B6126" i="1"/>
  <c r="K6125" i="1"/>
  <c r="C6125" i="1"/>
  <c r="B6125" i="1"/>
  <c r="K6124" i="1"/>
  <c r="C6124" i="1"/>
  <c r="B6124" i="1"/>
  <c r="K6123" i="1"/>
  <c r="C6123" i="1"/>
  <c r="B6123" i="1"/>
  <c r="K6122" i="1"/>
  <c r="C6122" i="1"/>
  <c r="B6122" i="1"/>
  <c r="K6121" i="1"/>
  <c r="C6121" i="1"/>
  <c r="B6121" i="1"/>
  <c r="K6120" i="1"/>
  <c r="C6120" i="1"/>
  <c r="B6120" i="1"/>
  <c r="K6119" i="1"/>
  <c r="C6119" i="1"/>
  <c r="B6119" i="1"/>
  <c r="K6118" i="1"/>
  <c r="C6118" i="1"/>
  <c r="B6118" i="1"/>
  <c r="K6117" i="1"/>
  <c r="C6117" i="1"/>
  <c r="B6117" i="1"/>
  <c r="K6116" i="1"/>
  <c r="C6116" i="1"/>
  <c r="B6116" i="1"/>
  <c r="K6115" i="1"/>
  <c r="C6115" i="1"/>
  <c r="B6115" i="1"/>
  <c r="K6114" i="1"/>
  <c r="C6114" i="1"/>
  <c r="B6114" i="1"/>
  <c r="K6113" i="1"/>
  <c r="C6113" i="1"/>
  <c r="B6113" i="1"/>
  <c r="K6112" i="1"/>
  <c r="C6112" i="1"/>
  <c r="B6112" i="1"/>
  <c r="K6111" i="1"/>
  <c r="C6111" i="1"/>
  <c r="B6111" i="1"/>
  <c r="K6110" i="1"/>
  <c r="C6110" i="1"/>
  <c r="B6110" i="1"/>
  <c r="K6109" i="1"/>
  <c r="C6109" i="1"/>
  <c r="B6109" i="1"/>
  <c r="K6108" i="1"/>
  <c r="C6108" i="1"/>
  <c r="B6108" i="1"/>
  <c r="K6107" i="1"/>
  <c r="C6107" i="1"/>
  <c r="B6107" i="1"/>
  <c r="K6106" i="1"/>
  <c r="C6106" i="1"/>
  <c r="B6106" i="1"/>
  <c r="K6105" i="1"/>
  <c r="C6105" i="1"/>
  <c r="B6105" i="1"/>
  <c r="K6104" i="1"/>
  <c r="C6104" i="1"/>
  <c r="B6104" i="1"/>
  <c r="K6103" i="1"/>
  <c r="C6103" i="1"/>
  <c r="B6103" i="1"/>
  <c r="K6102" i="1"/>
  <c r="C6102" i="1"/>
  <c r="B6102" i="1"/>
  <c r="K6101" i="1"/>
  <c r="C6101" i="1"/>
  <c r="B6101" i="1"/>
  <c r="K6100" i="1"/>
  <c r="C6100" i="1"/>
  <c r="B6100" i="1"/>
  <c r="K6099" i="1"/>
  <c r="C6099" i="1"/>
  <c r="B6099" i="1"/>
  <c r="K6098" i="1"/>
  <c r="C6098" i="1"/>
  <c r="B6098" i="1"/>
  <c r="K6097" i="1"/>
  <c r="C6097" i="1"/>
  <c r="B6097" i="1"/>
  <c r="K6096" i="1"/>
  <c r="C6096" i="1"/>
  <c r="B6096" i="1"/>
  <c r="K6095" i="1"/>
  <c r="C6095" i="1"/>
  <c r="B6095" i="1"/>
  <c r="K6094" i="1"/>
  <c r="C6094" i="1"/>
  <c r="B6094" i="1"/>
  <c r="K6093" i="1"/>
  <c r="C6093" i="1"/>
  <c r="B6093" i="1"/>
  <c r="K6092" i="1"/>
  <c r="C6092" i="1"/>
  <c r="B6092" i="1"/>
  <c r="K6091" i="1"/>
  <c r="C6091" i="1"/>
  <c r="B6091" i="1"/>
  <c r="K6090" i="1"/>
  <c r="C6090" i="1"/>
  <c r="B6090" i="1"/>
  <c r="K6089" i="1"/>
  <c r="C6089" i="1"/>
  <c r="B6089" i="1"/>
  <c r="K6088" i="1"/>
  <c r="C6088" i="1"/>
  <c r="B6088" i="1"/>
  <c r="K6087" i="1"/>
  <c r="C6087" i="1"/>
  <c r="B6087" i="1"/>
  <c r="K6086" i="1"/>
  <c r="C6086" i="1"/>
  <c r="B6086" i="1"/>
  <c r="K6085" i="1"/>
  <c r="C6085" i="1"/>
  <c r="B6085" i="1"/>
  <c r="K6084" i="1"/>
  <c r="C6084" i="1"/>
  <c r="B6084" i="1"/>
  <c r="K6083" i="1"/>
  <c r="C6083" i="1"/>
  <c r="B6083" i="1"/>
  <c r="K6082" i="1"/>
  <c r="C6082" i="1"/>
  <c r="B6082" i="1"/>
  <c r="K6081" i="1"/>
  <c r="C6081" i="1"/>
  <c r="B6081" i="1"/>
  <c r="K6080" i="1"/>
  <c r="C6080" i="1"/>
  <c r="B6080" i="1"/>
  <c r="K6079" i="1"/>
  <c r="C6079" i="1"/>
  <c r="B6079" i="1"/>
  <c r="K6078" i="1"/>
  <c r="C6078" i="1"/>
  <c r="B6078" i="1"/>
  <c r="K6077" i="1"/>
  <c r="C6077" i="1"/>
  <c r="B6077" i="1"/>
  <c r="K6076" i="1"/>
  <c r="C6076" i="1"/>
  <c r="B6076" i="1"/>
  <c r="K6075" i="1"/>
  <c r="C6075" i="1"/>
  <c r="B6075" i="1"/>
  <c r="K6074" i="1"/>
  <c r="C6074" i="1"/>
  <c r="B6074" i="1"/>
  <c r="K6073" i="1"/>
  <c r="C6073" i="1"/>
  <c r="B6073" i="1"/>
  <c r="K6072" i="1"/>
  <c r="C6072" i="1"/>
  <c r="B6072" i="1"/>
  <c r="K6071" i="1"/>
  <c r="C6071" i="1"/>
  <c r="B6071" i="1"/>
  <c r="K6070" i="1"/>
  <c r="C6070" i="1"/>
  <c r="B6070" i="1"/>
  <c r="K6069" i="1"/>
  <c r="C6069" i="1"/>
  <c r="B6069" i="1"/>
  <c r="K6068" i="1"/>
  <c r="C6068" i="1"/>
  <c r="B6068" i="1"/>
  <c r="K6067" i="1"/>
  <c r="C6067" i="1"/>
  <c r="B6067" i="1"/>
  <c r="K6066" i="1"/>
  <c r="C6066" i="1"/>
  <c r="B6066" i="1"/>
  <c r="K6065" i="1"/>
  <c r="C6065" i="1"/>
  <c r="B6065" i="1"/>
  <c r="K6064" i="1"/>
  <c r="C6064" i="1"/>
  <c r="B6064" i="1"/>
  <c r="K6063" i="1"/>
  <c r="C6063" i="1"/>
  <c r="B6063" i="1"/>
  <c r="K6062" i="1"/>
  <c r="C6062" i="1"/>
  <c r="B6062" i="1"/>
  <c r="K6061" i="1"/>
  <c r="C6061" i="1"/>
  <c r="B6061" i="1"/>
  <c r="K6060" i="1"/>
  <c r="C6060" i="1"/>
  <c r="B6060" i="1"/>
  <c r="K6059" i="1"/>
  <c r="C6059" i="1"/>
  <c r="B6059" i="1"/>
  <c r="K6058" i="1"/>
  <c r="C6058" i="1"/>
  <c r="B6058" i="1"/>
  <c r="K6057" i="1"/>
  <c r="C6057" i="1"/>
  <c r="B6057" i="1"/>
  <c r="K6056" i="1"/>
  <c r="C6056" i="1"/>
  <c r="B6056" i="1"/>
  <c r="K6055" i="1"/>
  <c r="C6055" i="1"/>
  <c r="B6055" i="1"/>
  <c r="K6054" i="1"/>
  <c r="C6054" i="1"/>
  <c r="B6054" i="1"/>
  <c r="K6053" i="1"/>
  <c r="C6053" i="1"/>
  <c r="B6053" i="1"/>
  <c r="K6052" i="1"/>
  <c r="C6052" i="1"/>
  <c r="B6052" i="1"/>
  <c r="K6051" i="1"/>
  <c r="C6051" i="1"/>
  <c r="B6051" i="1"/>
  <c r="K6050" i="1"/>
  <c r="C6050" i="1"/>
  <c r="B6050" i="1"/>
  <c r="K6049" i="1"/>
  <c r="C6049" i="1"/>
  <c r="B6049" i="1"/>
  <c r="K6048" i="1"/>
  <c r="C6048" i="1"/>
  <c r="B6048" i="1"/>
  <c r="K6047" i="1"/>
  <c r="C6047" i="1"/>
  <c r="B6047" i="1"/>
  <c r="K6046" i="1"/>
  <c r="C6046" i="1"/>
  <c r="B6046" i="1"/>
  <c r="K6045" i="1"/>
  <c r="C6045" i="1"/>
  <c r="B6045" i="1"/>
  <c r="K6044" i="1"/>
  <c r="C6044" i="1"/>
  <c r="B6044" i="1"/>
  <c r="K6043" i="1"/>
  <c r="C6043" i="1"/>
  <c r="B6043" i="1"/>
  <c r="K6042" i="1"/>
  <c r="C6042" i="1"/>
  <c r="B6042" i="1"/>
  <c r="K6041" i="1"/>
  <c r="C6041" i="1"/>
  <c r="B6041" i="1"/>
  <c r="K6040" i="1"/>
  <c r="C6040" i="1"/>
  <c r="B6040" i="1"/>
  <c r="K6039" i="1"/>
  <c r="C6039" i="1"/>
  <c r="B6039" i="1"/>
  <c r="K6038" i="1"/>
  <c r="C6038" i="1"/>
  <c r="B6038" i="1"/>
  <c r="K6037" i="1"/>
  <c r="C6037" i="1"/>
  <c r="B6037" i="1"/>
  <c r="K6036" i="1"/>
  <c r="C6036" i="1"/>
  <c r="B6036" i="1"/>
  <c r="K6035" i="1"/>
  <c r="C6035" i="1"/>
  <c r="B6035" i="1"/>
  <c r="K6034" i="1"/>
  <c r="C6034" i="1"/>
  <c r="B6034" i="1"/>
  <c r="K6033" i="1"/>
  <c r="C6033" i="1"/>
  <c r="B6033" i="1"/>
  <c r="K6032" i="1"/>
  <c r="C6032" i="1"/>
  <c r="B6032" i="1"/>
  <c r="K6031" i="1"/>
  <c r="C6031" i="1"/>
  <c r="B6031" i="1"/>
  <c r="K6030" i="1"/>
  <c r="C6030" i="1"/>
  <c r="B6030" i="1"/>
  <c r="K6029" i="1"/>
  <c r="C6029" i="1"/>
  <c r="B6029" i="1"/>
  <c r="K6028" i="1"/>
  <c r="C6028" i="1"/>
  <c r="B6028" i="1"/>
  <c r="K6027" i="1"/>
  <c r="C6027" i="1"/>
  <c r="B6027" i="1"/>
  <c r="K6026" i="1"/>
  <c r="C6026" i="1"/>
  <c r="B6026" i="1"/>
  <c r="K6025" i="1"/>
  <c r="C6025" i="1"/>
  <c r="B6025" i="1"/>
  <c r="K6024" i="1"/>
  <c r="C6024" i="1"/>
  <c r="B6024" i="1"/>
  <c r="K6023" i="1"/>
  <c r="C6023" i="1"/>
  <c r="B6023" i="1"/>
  <c r="K6022" i="1"/>
  <c r="C6022" i="1"/>
  <c r="B6022" i="1"/>
  <c r="K6021" i="1"/>
  <c r="C6021" i="1"/>
  <c r="B6021" i="1"/>
  <c r="K6020" i="1"/>
  <c r="C6020" i="1"/>
  <c r="B6020" i="1"/>
  <c r="K6019" i="1"/>
  <c r="C6019" i="1"/>
  <c r="B6019" i="1"/>
  <c r="K6018" i="1"/>
  <c r="C6018" i="1"/>
  <c r="B6018" i="1"/>
  <c r="K6017" i="1"/>
  <c r="C6017" i="1"/>
  <c r="B6017" i="1"/>
  <c r="K6016" i="1"/>
  <c r="C6016" i="1"/>
  <c r="B6016" i="1"/>
  <c r="K6015" i="1"/>
  <c r="C6015" i="1"/>
  <c r="B6015" i="1"/>
  <c r="K6014" i="1"/>
  <c r="C6014" i="1"/>
  <c r="B6014" i="1"/>
  <c r="K6013" i="1"/>
  <c r="C6013" i="1"/>
  <c r="B6013" i="1"/>
  <c r="K6012" i="1"/>
  <c r="C6012" i="1"/>
  <c r="B6012" i="1"/>
  <c r="K6011" i="1"/>
  <c r="C6011" i="1"/>
  <c r="B6011" i="1"/>
  <c r="K6010" i="1"/>
  <c r="C6010" i="1"/>
  <c r="B6010" i="1"/>
  <c r="K6009" i="1"/>
  <c r="C6009" i="1"/>
  <c r="B6009" i="1"/>
  <c r="K6008" i="1"/>
  <c r="C6008" i="1"/>
  <c r="B6008" i="1"/>
  <c r="K6007" i="1"/>
  <c r="C6007" i="1"/>
  <c r="B6007" i="1"/>
  <c r="K6006" i="1"/>
  <c r="C6006" i="1"/>
  <c r="B6006" i="1"/>
  <c r="K6005" i="1"/>
  <c r="C6005" i="1"/>
  <c r="B6005" i="1"/>
  <c r="K6004" i="1"/>
  <c r="C6004" i="1"/>
  <c r="B6004" i="1"/>
  <c r="K6003" i="1"/>
  <c r="C6003" i="1"/>
  <c r="B6003" i="1"/>
  <c r="K6002" i="1"/>
  <c r="C6002" i="1"/>
  <c r="B6002" i="1"/>
  <c r="K6001" i="1"/>
  <c r="C6001" i="1"/>
  <c r="B6001" i="1"/>
  <c r="K6000" i="1"/>
  <c r="C6000" i="1"/>
  <c r="B6000" i="1"/>
  <c r="K5999" i="1"/>
  <c r="C5999" i="1"/>
  <c r="B5999" i="1"/>
  <c r="K5998" i="1"/>
  <c r="C5998" i="1"/>
  <c r="B5998" i="1"/>
  <c r="K5997" i="1"/>
  <c r="C5997" i="1"/>
  <c r="B5997" i="1"/>
  <c r="K5996" i="1"/>
  <c r="C5996" i="1"/>
  <c r="B5996" i="1"/>
  <c r="K5995" i="1"/>
  <c r="C5995" i="1"/>
  <c r="B5995" i="1"/>
  <c r="K5994" i="1"/>
  <c r="C5994" i="1"/>
  <c r="B5994" i="1"/>
  <c r="K5993" i="1"/>
  <c r="C5993" i="1"/>
  <c r="B5993" i="1"/>
  <c r="K5992" i="1"/>
  <c r="C5992" i="1"/>
  <c r="B5992" i="1"/>
  <c r="K5991" i="1"/>
  <c r="C5991" i="1"/>
  <c r="B5991" i="1"/>
  <c r="K5990" i="1"/>
  <c r="C5990" i="1"/>
  <c r="B5990" i="1"/>
  <c r="K5989" i="1"/>
  <c r="C5989" i="1"/>
  <c r="B5989" i="1"/>
  <c r="K5988" i="1"/>
  <c r="C5988" i="1"/>
  <c r="B5988" i="1"/>
  <c r="K5987" i="1"/>
  <c r="C5987" i="1"/>
  <c r="B5987" i="1"/>
  <c r="K5986" i="1"/>
  <c r="C5986" i="1"/>
  <c r="B5986" i="1"/>
  <c r="K5985" i="1"/>
  <c r="C5985" i="1"/>
  <c r="B5985" i="1"/>
  <c r="K5984" i="1"/>
  <c r="C5984" i="1"/>
  <c r="B5984" i="1"/>
  <c r="K5983" i="1"/>
  <c r="C5983" i="1"/>
  <c r="B5983" i="1"/>
  <c r="K5982" i="1"/>
  <c r="C5982" i="1"/>
  <c r="B5982" i="1"/>
  <c r="K5981" i="1"/>
  <c r="C5981" i="1"/>
  <c r="B5981" i="1"/>
  <c r="K5980" i="1"/>
  <c r="C5980" i="1"/>
  <c r="B5980" i="1"/>
  <c r="K5979" i="1"/>
  <c r="C5979" i="1"/>
  <c r="B5979" i="1"/>
  <c r="K5978" i="1"/>
  <c r="C5978" i="1"/>
  <c r="B5978" i="1"/>
  <c r="K5977" i="1"/>
  <c r="C5977" i="1"/>
  <c r="B5977" i="1"/>
  <c r="K5976" i="1"/>
  <c r="C5976" i="1"/>
  <c r="B5976" i="1"/>
  <c r="K5975" i="1"/>
  <c r="C5975" i="1"/>
  <c r="B5975" i="1"/>
  <c r="K5974" i="1"/>
  <c r="C5974" i="1"/>
  <c r="B5974" i="1"/>
  <c r="K5973" i="1"/>
  <c r="C5973" i="1"/>
  <c r="B5973" i="1"/>
  <c r="K5972" i="1"/>
  <c r="C5972" i="1"/>
  <c r="B5972" i="1"/>
  <c r="K5971" i="1"/>
  <c r="C5971" i="1"/>
  <c r="B5971" i="1"/>
  <c r="K5970" i="1"/>
  <c r="C5970" i="1"/>
  <c r="B5970" i="1"/>
  <c r="K5969" i="1"/>
  <c r="C5969" i="1"/>
  <c r="B5969" i="1"/>
  <c r="K5968" i="1"/>
  <c r="C5968" i="1"/>
  <c r="B5968" i="1"/>
  <c r="K5967" i="1"/>
  <c r="C5967" i="1"/>
  <c r="B5967" i="1"/>
  <c r="K5966" i="1"/>
  <c r="C5966" i="1"/>
  <c r="B5966" i="1"/>
  <c r="K5965" i="1"/>
  <c r="C5965" i="1"/>
  <c r="B5965" i="1"/>
  <c r="K5964" i="1"/>
  <c r="C5964" i="1"/>
  <c r="B5964" i="1"/>
  <c r="K5963" i="1"/>
  <c r="C5963" i="1"/>
  <c r="B5963" i="1"/>
  <c r="K5962" i="1"/>
  <c r="C5962" i="1"/>
  <c r="B5962" i="1"/>
  <c r="K5961" i="1"/>
  <c r="C5961" i="1"/>
  <c r="B5961" i="1"/>
  <c r="K5960" i="1"/>
  <c r="C5960" i="1"/>
  <c r="B5960" i="1"/>
  <c r="K5959" i="1"/>
  <c r="C5959" i="1"/>
  <c r="B5959" i="1"/>
  <c r="K5958" i="1"/>
  <c r="C5958" i="1"/>
  <c r="B5958" i="1"/>
  <c r="K5957" i="1"/>
  <c r="C5957" i="1"/>
  <c r="B5957" i="1"/>
  <c r="K5956" i="1"/>
  <c r="C5956" i="1"/>
  <c r="B5956" i="1"/>
  <c r="K5955" i="1"/>
  <c r="C5955" i="1"/>
  <c r="B5955" i="1"/>
  <c r="K5954" i="1"/>
  <c r="C5954" i="1"/>
  <c r="B5954" i="1"/>
  <c r="K5953" i="1"/>
  <c r="C5953" i="1"/>
  <c r="B5953" i="1"/>
  <c r="K5952" i="1"/>
  <c r="C5952" i="1"/>
  <c r="B5952" i="1"/>
  <c r="K5951" i="1"/>
  <c r="C5951" i="1"/>
  <c r="B5951" i="1"/>
  <c r="K5950" i="1"/>
  <c r="C5950" i="1"/>
  <c r="B5950" i="1"/>
  <c r="K5949" i="1"/>
  <c r="C5949" i="1"/>
  <c r="B5949" i="1"/>
  <c r="K5948" i="1"/>
  <c r="C5948" i="1"/>
  <c r="B5948" i="1"/>
  <c r="K5947" i="1"/>
  <c r="C5947" i="1"/>
  <c r="B5947" i="1"/>
  <c r="K5946" i="1"/>
  <c r="C5946" i="1"/>
  <c r="B5946" i="1"/>
  <c r="K5945" i="1"/>
  <c r="C5945" i="1"/>
  <c r="B5945" i="1"/>
  <c r="K5944" i="1"/>
  <c r="C5944" i="1"/>
  <c r="B5944" i="1"/>
  <c r="K5943" i="1"/>
  <c r="C5943" i="1"/>
  <c r="B5943" i="1"/>
  <c r="K5942" i="1"/>
  <c r="C5942" i="1"/>
  <c r="B5942" i="1"/>
  <c r="K5941" i="1"/>
  <c r="C5941" i="1"/>
  <c r="B5941" i="1"/>
  <c r="K5940" i="1"/>
  <c r="C5940" i="1"/>
  <c r="B5940" i="1"/>
  <c r="K5939" i="1"/>
  <c r="C5939" i="1"/>
  <c r="B5939" i="1"/>
  <c r="K5938" i="1"/>
  <c r="C5938" i="1"/>
  <c r="B5938" i="1"/>
  <c r="K5937" i="1"/>
  <c r="C5937" i="1"/>
  <c r="B5937" i="1"/>
  <c r="K5936" i="1"/>
  <c r="C5936" i="1"/>
  <c r="B5936" i="1"/>
  <c r="K5935" i="1"/>
  <c r="C5935" i="1"/>
  <c r="B5935" i="1"/>
  <c r="K5934" i="1"/>
  <c r="C5934" i="1"/>
  <c r="B5934" i="1"/>
  <c r="K5933" i="1"/>
  <c r="C5933" i="1"/>
  <c r="B5933" i="1"/>
  <c r="K5932" i="1"/>
  <c r="C5932" i="1"/>
  <c r="B5932" i="1"/>
  <c r="K5931" i="1"/>
  <c r="C5931" i="1"/>
  <c r="B5931" i="1"/>
  <c r="K5930" i="1"/>
  <c r="C5930" i="1"/>
  <c r="B5930" i="1"/>
  <c r="K5929" i="1"/>
  <c r="C5929" i="1"/>
  <c r="B5929" i="1"/>
  <c r="K5928" i="1"/>
  <c r="C5928" i="1"/>
  <c r="B5928" i="1"/>
  <c r="K5927" i="1"/>
  <c r="C5927" i="1"/>
  <c r="B5927" i="1"/>
  <c r="K5926" i="1"/>
  <c r="C5926" i="1"/>
  <c r="B5926" i="1"/>
  <c r="K5925" i="1"/>
  <c r="C5925" i="1"/>
  <c r="B5925" i="1"/>
  <c r="K5924" i="1"/>
  <c r="C5924" i="1"/>
  <c r="B5924" i="1"/>
  <c r="K5923" i="1"/>
  <c r="C5923" i="1"/>
  <c r="B5923" i="1"/>
  <c r="K5922" i="1"/>
  <c r="C5922" i="1"/>
  <c r="B5922" i="1"/>
  <c r="K5921" i="1"/>
  <c r="C5921" i="1"/>
  <c r="B5921" i="1"/>
  <c r="K5920" i="1"/>
  <c r="C5920" i="1"/>
  <c r="B5920" i="1"/>
  <c r="K5919" i="1"/>
  <c r="C5919" i="1"/>
  <c r="B5919" i="1"/>
  <c r="K5918" i="1"/>
  <c r="C5918" i="1"/>
  <c r="B5918" i="1"/>
  <c r="K5917" i="1"/>
  <c r="C5917" i="1"/>
  <c r="B5917" i="1"/>
  <c r="K5916" i="1"/>
  <c r="C5916" i="1"/>
  <c r="B5916" i="1"/>
  <c r="K5915" i="1"/>
  <c r="C5915" i="1"/>
  <c r="B5915" i="1"/>
  <c r="K5914" i="1"/>
  <c r="C5914" i="1"/>
  <c r="B5914" i="1"/>
  <c r="K5913" i="1"/>
  <c r="C5913" i="1"/>
  <c r="B5913" i="1"/>
  <c r="K5912" i="1"/>
  <c r="C5912" i="1"/>
  <c r="B5912" i="1"/>
  <c r="K5911" i="1"/>
  <c r="C5911" i="1"/>
  <c r="B5911" i="1"/>
  <c r="K5910" i="1"/>
  <c r="C5910" i="1"/>
  <c r="B5910" i="1"/>
  <c r="K5909" i="1"/>
  <c r="C5909" i="1"/>
  <c r="B5909" i="1"/>
  <c r="K5908" i="1"/>
  <c r="C5908" i="1"/>
  <c r="B5908" i="1"/>
  <c r="K5907" i="1"/>
  <c r="C5907" i="1"/>
  <c r="B5907" i="1"/>
  <c r="K5906" i="1"/>
  <c r="C5906" i="1"/>
  <c r="B5906" i="1"/>
  <c r="K5905" i="1"/>
  <c r="C5905" i="1"/>
  <c r="B5905" i="1"/>
  <c r="K5904" i="1"/>
  <c r="C5904" i="1"/>
  <c r="B5904" i="1"/>
  <c r="K5903" i="1"/>
  <c r="C5903" i="1"/>
  <c r="B5903" i="1"/>
  <c r="K5902" i="1"/>
  <c r="C5902" i="1"/>
  <c r="B5902" i="1"/>
  <c r="K5901" i="1"/>
  <c r="C5901" i="1"/>
  <c r="B5901" i="1"/>
  <c r="K5900" i="1"/>
  <c r="C5900" i="1"/>
  <c r="B5900" i="1"/>
  <c r="K5899" i="1"/>
  <c r="C5899" i="1"/>
  <c r="B5899" i="1"/>
  <c r="K5898" i="1"/>
  <c r="C5898" i="1"/>
  <c r="B5898" i="1"/>
  <c r="K5897" i="1"/>
  <c r="C5897" i="1"/>
  <c r="B5897" i="1"/>
  <c r="K5896" i="1"/>
  <c r="C5896" i="1"/>
  <c r="B5896" i="1"/>
  <c r="K5895" i="1"/>
  <c r="C5895" i="1"/>
  <c r="B5895" i="1"/>
  <c r="K5894" i="1"/>
  <c r="C5894" i="1"/>
  <c r="B5894" i="1"/>
  <c r="K5893" i="1"/>
  <c r="C5893" i="1"/>
  <c r="B5893" i="1"/>
  <c r="K5892" i="1"/>
  <c r="C5892" i="1"/>
  <c r="B5892" i="1"/>
  <c r="K5891" i="1"/>
  <c r="C5891" i="1"/>
  <c r="B5891" i="1"/>
  <c r="K5890" i="1"/>
  <c r="C5890" i="1"/>
  <c r="B5890" i="1"/>
  <c r="K5889" i="1"/>
  <c r="C5889" i="1"/>
  <c r="B5889" i="1"/>
  <c r="K5888" i="1"/>
  <c r="C5888" i="1"/>
  <c r="B5888" i="1"/>
  <c r="K5887" i="1"/>
  <c r="C5887" i="1"/>
  <c r="B5887" i="1"/>
  <c r="K5886" i="1"/>
  <c r="C5886" i="1"/>
  <c r="B5886" i="1"/>
  <c r="K5885" i="1"/>
  <c r="C5885" i="1"/>
  <c r="B5885" i="1"/>
  <c r="K5884" i="1"/>
  <c r="C5884" i="1"/>
  <c r="B5884" i="1"/>
  <c r="K5883" i="1"/>
  <c r="C5883" i="1"/>
  <c r="B5883" i="1"/>
  <c r="K5882" i="1"/>
  <c r="C5882" i="1"/>
  <c r="B5882" i="1"/>
  <c r="K5881" i="1"/>
  <c r="C5881" i="1"/>
  <c r="B5881" i="1"/>
  <c r="K5880" i="1"/>
  <c r="C5880" i="1"/>
  <c r="B5880" i="1"/>
  <c r="K5879" i="1"/>
  <c r="C5879" i="1"/>
  <c r="B5879" i="1"/>
  <c r="K5878" i="1"/>
  <c r="C5878" i="1"/>
  <c r="B5878" i="1"/>
  <c r="K5877" i="1"/>
  <c r="C5877" i="1"/>
  <c r="B5877" i="1"/>
  <c r="K5876" i="1"/>
  <c r="C5876" i="1"/>
  <c r="B5876" i="1"/>
  <c r="K5875" i="1"/>
  <c r="C5875" i="1"/>
  <c r="B5875" i="1"/>
  <c r="K5874" i="1"/>
  <c r="C5874" i="1"/>
  <c r="B5874" i="1"/>
  <c r="K5873" i="1"/>
  <c r="C5873" i="1"/>
  <c r="B5873" i="1"/>
  <c r="K5872" i="1"/>
  <c r="C5872" i="1"/>
  <c r="B5872" i="1"/>
  <c r="K5871" i="1"/>
  <c r="C5871" i="1"/>
  <c r="B5871" i="1"/>
  <c r="K5870" i="1"/>
  <c r="C5870" i="1"/>
  <c r="B5870" i="1"/>
  <c r="K5869" i="1"/>
  <c r="C5869" i="1"/>
  <c r="B5869" i="1"/>
  <c r="K5868" i="1"/>
  <c r="C5868" i="1"/>
  <c r="B5868" i="1"/>
  <c r="K5867" i="1"/>
  <c r="C5867" i="1"/>
  <c r="B5867" i="1"/>
  <c r="K5866" i="1"/>
  <c r="C5866" i="1"/>
  <c r="B5866" i="1"/>
  <c r="K5865" i="1"/>
  <c r="C5865" i="1"/>
  <c r="B5865" i="1"/>
  <c r="K5864" i="1"/>
  <c r="C5864" i="1"/>
  <c r="B5864" i="1"/>
  <c r="K5863" i="1"/>
  <c r="C5863" i="1"/>
  <c r="B5863" i="1"/>
  <c r="K5862" i="1"/>
  <c r="C5862" i="1"/>
  <c r="B5862" i="1"/>
  <c r="K5861" i="1"/>
  <c r="C5861" i="1"/>
  <c r="B5861" i="1"/>
  <c r="K5860" i="1"/>
  <c r="C5860" i="1"/>
  <c r="B5860" i="1"/>
  <c r="K5859" i="1"/>
  <c r="C5859" i="1"/>
  <c r="B5859" i="1"/>
  <c r="K5858" i="1"/>
  <c r="C5858" i="1"/>
  <c r="B5858" i="1"/>
  <c r="K5857" i="1"/>
  <c r="C5857" i="1"/>
  <c r="B5857" i="1"/>
  <c r="K5856" i="1"/>
  <c r="C5856" i="1"/>
  <c r="B5856" i="1"/>
  <c r="K5855" i="1"/>
  <c r="C5855" i="1"/>
  <c r="B5855" i="1"/>
  <c r="K5854" i="1"/>
  <c r="C5854" i="1"/>
  <c r="B5854" i="1"/>
  <c r="K5853" i="1"/>
  <c r="C5853" i="1"/>
  <c r="B5853" i="1"/>
  <c r="K5852" i="1"/>
  <c r="C5852" i="1"/>
  <c r="B5852" i="1"/>
  <c r="K5851" i="1"/>
  <c r="C5851" i="1"/>
  <c r="B5851" i="1"/>
  <c r="K5850" i="1"/>
  <c r="C5850" i="1"/>
  <c r="B5850" i="1"/>
  <c r="K5849" i="1"/>
  <c r="C5849" i="1"/>
  <c r="B5849" i="1"/>
  <c r="K5848" i="1"/>
  <c r="C5848" i="1"/>
  <c r="B5848" i="1"/>
  <c r="K5847" i="1"/>
  <c r="C5847" i="1"/>
  <c r="B5847" i="1"/>
  <c r="K5846" i="1"/>
  <c r="C5846" i="1"/>
  <c r="B5846" i="1"/>
  <c r="K5845" i="1"/>
  <c r="C5845" i="1"/>
  <c r="B5845" i="1"/>
  <c r="K5844" i="1"/>
  <c r="C5844" i="1"/>
  <c r="B5844" i="1"/>
  <c r="K5843" i="1"/>
  <c r="C5843" i="1"/>
  <c r="B5843" i="1"/>
  <c r="K5842" i="1"/>
  <c r="C5842" i="1"/>
  <c r="B5842" i="1"/>
  <c r="K5841" i="1"/>
  <c r="C5841" i="1"/>
  <c r="B5841" i="1"/>
  <c r="K5840" i="1"/>
  <c r="C5840" i="1"/>
  <c r="B5840" i="1"/>
  <c r="K5839" i="1"/>
  <c r="C5839" i="1"/>
  <c r="B5839" i="1"/>
  <c r="K5838" i="1"/>
  <c r="C5838" i="1"/>
  <c r="B5838" i="1"/>
  <c r="K5837" i="1"/>
  <c r="C5837" i="1"/>
  <c r="B5837" i="1"/>
  <c r="K5836" i="1"/>
  <c r="C5836" i="1"/>
  <c r="B5836" i="1"/>
  <c r="K5835" i="1"/>
  <c r="C5835" i="1"/>
  <c r="B5835" i="1"/>
  <c r="K5834" i="1"/>
  <c r="C5834" i="1"/>
  <c r="B5834" i="1"/>
  <c r="K5833" i="1"/>
  <c r="C5833" i="1"/>
  <c r="B5833" i="1"/>
  <c r="K5832" i="1"/>
  <c r="C5832" i="1"/>
  <c r="B5832" i="1"/>
  <c r="K5831" i="1"/>
  <c r="C5831" i="1"/>
  <c r="B5831" i="1"/>
  <c r="K5830" i="1"/>
  <c r="C5830" i="1"/>
  <c r="B5830" i="1"/>
  <c r="K5829" i="1"/>
  <c r="C5829" i="1"/>
  <c r="B5829" i="1"/>
  <c r="K5828" i="1"/>
  <c r="C5828" i="1"/>
  <c r="B5828" i="1"/>
  <c r="K5827" i="1"/>
  <c r="C5827" i="1"/>
  <c r="B5827" i="1"/>
  <c r="K5826" i="1"/>
  <c r="C5826" i="1"/>
  <c r="B5826" i="1"/>
  <c r="K5825" i="1"/>
  <c r="C5825" i="1"/>
  <c r="B5825" i="1"/>
  <c r="K5824" i="1"/>
  <c r="C5824" i="1"/>
  <c r="B5824" i="1"/>
  <c r="K5823" i="1"/>
  <c r="C5823" i="1"/>
  <c r="B5823" i="1"/>
  <c r="K5822" i="1"/>
  <c r="C5822" i="1"/>
  <c r="B5822" i="1"/>
  <c r="K5821" i="1"/>
  <c r="C5821" i="1"/>
  <c r="B5821" i="1"/>
  <c r="K5820" i="1"/>
  <c r="C5820" i="1"/>
  <c r="B5820" i="1"/>
  <c r="K5819" i="1"/>
  <c r="C5819" i="1"/>
  <c r="B5819" i="1"/>
  <c r="K5818" i="1"/>
  <c r="C5818" i="1"/>
  <c r="B5818" i="1"/>
  <c r="K5817" i="1"/>
  <c r="C5817" i="1"/>
  <c r="B5817" i="1"/>
  <c r="K5816" i="1"/>
  <c r="C5816" i="1"/>
  <c r="B5816" i="1"/>
  <c r="K5815" i="1"/>
  <c r="C5815" i="1"/>
  <c r="B5815" i="1"/>
  <c r="K5814" i="1"/>
  <c r="C5814" i="1"/>
  <c r="B5814" i="1"/>
  <c r="K5813" i="1"/>
  <c r="C5813" i="1"/>
  <c r="B5813" i="1"/>
  <c r="K5812" i="1"/>
  <c r="C5812" i="1"/>
  <c r="B5812" i="1"/>
  <c r="K5811" i="1"/>
  <c r="C5811" i="1"/>
  <c r="B5811" i="1"/>
  <c r="K5810" i="1"/>
  <c r="C5810" i="1"/>
  <c r="B5810" i="1"/>
  <c r="K5809" i="1"/>
  <c r="C5809" i="1"/>
  <c r="B5809" i="1"/>
  <c r="K5808" i="1"/>
  <c r="C5808" i="1"/>
  <c r="B5808" i="1"/>
  <c r="K5807" i="1"/>
  <c r="C5807" i="1"/>
  <c r="B5807" i="1"/>
  <c r="K5806" i="1"/>
  <c r="C5806" i="1"/>
  <c r="B5806" i="1"/>
  <c r="K5805" i="1"/>
  <c r="C5805" i="1"/>
  <c r="B5805" i="1"/>
  <c r="K5804" i="1"/>
  <c r="C5804" i="1"/>
  <c r="B5804" i="1"/>
  <c r="K5803" i="1"/>
  <c r="C5803" i="1"/>
  <c r="B5803" i="1"/>
  <c r="K5802" i="1"/>
  <c r="C5802" i="1"/>
  <c r="B5802" i="1"/>
  <c r="K5801" i="1"/>
  <c r="C5801" i="1"/>
  <c r="B5801" i="1"/>
  <c r="K5800" i="1"/>
  <c r="C5800" i="1"/>
  <c r="B5800" i="1"/>
  <c r="K5799" i="1"/>
  <c r="C5799" i="1"/>
  <c r="B5799" i="1"/>
  <c r="K5798" i="1"/>
  <c r="C5798" i="1"/>
  <c r="B5798" i="1"/>
  <c r="K5797" i="1"/>
  <c r="C5797" i="1"/>
  <c r="B5797" i="1"/>
  <c r="K5796" i="1"/>
  <c r="C5796" i="1"/>
  <c r="B5796" i="1"/>
  <c r="K5795" i="1"/>
  <c r="C5795" i="1"/>
  <c r="B5795" i="1"/>
  <c r="K5794" i="1"/>
  <c r="C5794" i="1"/>
  <c r="B5794" i="1"/>
  <c r="K5793" i="1"/>
  <c r="C5793" i="1"/>
  <c r="B5793" i="1"/>
  <c r="K5792" i="1"/>
  <c r="C5792" i="1"/>
  <c r="B5792" i="1"/>
  <c r="K5791" i="1"/>
  <c r="C5791" i="1"/>
  <c r="B5791" i="1"/>
  <c r="K5790" i="1"/>
  <c r="C5790" i="1"/>
  <c r="B5790" i="1"/>
  <c r="K5789" i="1"/>
  <c r="C5789" i="1"/>
  <c r="B5789" i="1"/>
  <c r="K5788" i="1"/>
  <c r="C5788" i="1"/>
  <c r="B5788" i="1"/>
  <c r="K5787" i="1"/>
  <c r="C5787" i="1"/>
  <c r="B5787" i="1"/>
  <c r="K5786" i="1"/>
  <c r="C5786" i="1"/>
  <c r="B5786" i="1"/>
  <c r="K5785" i="1"/>
  <c r="C5785" i="1"/>
  <c r="B5785" i="1"/>
  <c r="K5784" i="1"/>
  <c r="C5784" i="1"/>
  <c r="B5784" i="1"/>
  <c r="K5783" i="1"/>
  <c r="C5783" i="1"/>
  <c r="B5783" i="1"/>
  <c r="K5782" i="1"/>
  <c r="C5782" i="1"/>
  <c r="B5782" i="1"/>
  <c r="K5781" i="1"/>
  <c r="C5781" i="1"/>
  <c r="B5781" i="1"/>
  <c r="K5780" i="1"/>
  <c r="C5780" i="1"/>
  <c r="B5780" i="1"/>
  <c r="K5779" i="1"/>
  <c r="C5779" i="1"/>
  <c r="B5779" i="1"/>
  <c r="K5778" i="1"/>
  <c r="C5778" i="1"/>
  <c r="B5778" i="1"/>
  <c r="K5777" i="1"/>
  <c r="C5777" i="1"/>
  <c r="B5777" i="1"/>
  <c r="K5776" i="1"/>
  <c r="C5776" i="1"/>
  <c r="B5776" i="1"/>
  <c r="K5775" i="1"/>
  <c r="C5775" i="1"/>
  <c r="B5775" i="1"/>
  <c r="K5774" i="1"/>
  <c r="C5774" i="1"/>
  <c r="B5774" i="1"/>
  <c r="K5773" i="1"/>
  <c r="C5773" i="1"/>
  <c r="B5773" i="1"/>
  <c r="K5772" i="1"/>
  <c r="C5772" i="1"/>
  <c r="B5772" i="1"/>
  <c r="K5771" i="1"/>
  <c r="C5771" i="1"/>
  <c r="B5771" i="1"/>
  <c r="K5770" i="1"/>
  <c r="C5770" i="1"/>
  <c r="B5770" i="1"/>
  <c r="K5769" i="1"/>
  <c r="C5769" i="1"/>
  <c r="B5769" i="1"/>
  <c r="K5768" i="1"/>
  <c r="C5768" i="1"/>
  <c r="B5768" i="1"/>
  <c r="K5767" i="1"/>
  <c r="C5767" i="1"/>
  <c r="B5767" i="1"/>
  <c r="K5766" i="1"/>
  <c r="C5766" i="1"/>
  <c r="B5766" i="1"/>
  <c r="K5765" i="1"/>
  <c r="C5765" i="1"/>
  <c r="B5765" i="1"/>
  <c r="K5764" i="1"/>
  <c r="C5764" i="1"/>
  <c r="B5764" i="1"/>
  <c r="K5763" i="1"/>
  <c r="C5763" i="1"/>
  <c r="B5763" i="1"/>
  <c r="K5762" i="1"/>
  <c r="C5762" i="1"/>
  <c r="B5762" i="1"/>
  <c r="K5761" i="1"/>
  <c r="C5761" i="1"/>
  <c r="B5761" i="1"/>
  <c r="K5760" i="1"/>
  <c r="C5760" i="1"/>
  <c r="B5760" i="1"/>
  <c r="K5759" i="1"/>
  <c r="C5759" i="1"/>
  <c r="B5759" i="1"/>
  <c r="K5758" i="1"/>
  <c r="C5758" i="1"/>
  <c r="B5758" i="1"/>
  <c r="K5757" i="1"/>
  <c r="C5757" i="1"/>
  <c r="B5757" i="1"/>
  <c r="K5756" i="1"/>
  <c r="C5756" i="1"/>
  <c r="B5756" i="1"/>
  <c r="K5755" i="1"/>
  <c r="C5755" i="1"/>
  <c r="B5755" i="1"/>
  <c r="K5754" i="1"/>
  <c r="C5754" i="1"/>
  <c r="B5754" i="1"/>
  <c r="K5753" i="1"/>
  <c r="C5753" i="1"/>
  <c r="B5753" i="1"/>
  <c r="K5752" i="1"/>
  <c r="C5752" i="1"/>
  <c r="B5752" i="1"/>
  <c r="K5751" i="1"/>
  <c r="C5751" i="1"/>
  <c r="B5751" i="1"/>
  <c r="K5750" i="1"/>
  <c r="C5750" i="1"/>
  <c r="B5750" i="1"/>
  <c r="K5749" i="1"/>
  <c r="C5749" i="1"/>
  <c r="B5749" i="1"/>
  <c r="K5748" i="1"/>
  <c r="C5748" i="1"/>
  <c r="B5748" i="1"/>
  <c r="K5747" i="1"/>
  <c r="C5747" i="1"/>
  <c r="B5747" i="1"/>
  <c r="K5746" i="1"/>
  <c r="C5746" i="1"/>
  <c r="B5746" i="1"/>
  <c r="K5745" i="1"/>
  <c r="C5745" i="1"/>
  <c r="B5745" i="1"/>
  <c r="K5744" i="1"/>
  <c r="C5744" i="1"/>
  <c r="B5744" i="1"/>
  <c r="K5743" i="1"/>
  <c r="C5743" i="1"/>
  <c r="B5743" i="1"/>
  <c r="K5742" i="1"/>
  <c r="C5742" i="1"/>
  <c r="B5742" i="1"/>
  <c r="K5741" i="1"/>
  <c r="C5741" i="1"/>
  <c r="B5741" i="1"/>
  <c r="K5740" i="1"/>
  <c r="C5740" i="1"/>
  <c r="B5740" i="1"/>
  <c r="K5739" i="1"/>
  <c r="C5739" i="1"/>
  <c r="B5739" i="1"/>
  <c r="K5738" i="1"/>
  <c r="C5738" i="1"/>
  <c r="B5738" i="1"/>
  <c r="K5737" i="1"/>
  <c r="C5737" i="1"/>
  <c r="B5737" i="1"/>
  <c r="K5736" i="1"/>
  <c r="C5736" i="1"/>
  <c r="B5736" i="1"/>
  <c r="K5735" i="1"/>
  <c r="C5735" i="1"/>
  <c r="B5735" i="1"/>
  <c r="K5734" i="1"/>
  <c r="C5734" i="1"/>
  <c r="B5734" i="1"/>
  <c r="K5733" i="1"/>
  <c r="C5733" i="1"/>
  <c r="B5733" i="1"/>
  <c r="K5732" i="1"/>
  <c r="C5732" i="1"/>
  <c r="B5732" i="1"/>
  <c r="K5731" i="1"/>
  <c r="C5731" i="1"/>
  <c r="B5731" i="1"/>
  <c r="K5730" i="1"/>
  <c r="C5730" i="1"/>
  <c r="B5730" i="1"/>
  <c r="K5729" i="1"/>
  <c r="C5729" i="1"/>
  <c r="B5729" i="1"/>
  <c r="K5728" i="1"/>
  <c r="C5728" i="1"/>
  <c r="B5728" i="1"/>
  <c r="K5727" i="1"/>
  <c r="C5727" i="1"/>
  <c r="B5727" i="1"/>
  <c r="K5726" i="1"/>
  <c r="C5726" i="1"/>
  <c r="B5726" i="1"/>
  <c r="K5725" i="1"/>
  <c r="C5725" i="1"/>
  <c r="B5725" i="1"/>
  <c r="K5724" i="1"/>
  <c r="C5724" i="1"/>
  <c r="B5724" i="1"/>
  <c r="K5723" i="1"/>
  <c r="C5723" i="1"/>
  <c r="B5723" i="1"/>
  <c r="K5722" i="1"/>
  <c r="C5722" i="1"/>
  <c r="B5722" i="1"/>
  <c r="K5721" i="1"/>
  <c r="C5721" i="1"/>
  <c r="B5721" i="1"/>
  <c r="K5720" i="1"/>
  <c r="C5720" i="1"/>
  <c r="B5720" i="1"/>
  <c r="K5719" i="1"/>
  <c r="C5719" i="1"/>
  <c r="B5719" i="1"/>
  <c r="K5718" i="1"/>
  <c r="C5718" i="1"/>
  <c r="B5718" i="1"/>
  <c r="K5717" i="1"/>
  <c r="C5717" i="1"/>
  <c r="B5717" i="1"/>
  <c r="K5716" i="1"/>
  <c r="C5716" i="1"/>
  <c r="B5716" i="1"/>
  <c r="K5715" i="1"/>
  <c r="C5715" i="1"/>
  <c r="B5715" i="1"/>
  <c r="K5714" i="1"/>
  <c r="C5714" i="1"/>
  <c r="B5714" i="1"/>
  <c r="K5713" i="1"/>
  <c r="C5713" i="1"/>
  <c r="B5713" i="1"/>
  <c r="K5712" i="1"/>
  <c r="C5712" i="1"/>
  <c r="B5712" i="1"/>
  <c r="K5711" i="1"/>
  <c r="C5711" i="1"/>
  <c r="B5711" i="1"/>
  <c r="K5710" i="1"/>
  <c r="C5710" i="1"/>
  <c r="B5710" i="1"/>
  <c r="K5709" i="1"/>
  <c r="C5709" i="1"/>
  <c r="B5709" i="1"/>
  <c r="K5708" i="1"/>
  <c r="C5708" i="1"/>
  <c r="B5708" i="1"/>
  <c r="K5707" i="1"/>
  <c r="C5707" i="1"/>
  <c r="B5707" i="1"/>
  <c r="K5706" i="1"/>
  <c r="C5706" i="1"/>
  <c r="B5706" i="1"/>
  <c r="K5705" i="1"/>
  <c r="C5705" i="1"/>
  <c r="B5705" i="1"/>
  <c r="K5704" i="1"/>
  <c r="C5704" i="1"/>
  <c r="B5704" i="1"/>
  <c r="K5703" i="1"/>
  <c r="C5703" i="1"/>
  <c r="B5703" i="1"/>
  <c r="K5702" i="1"/>
  <c r="C5702" i="1"/>
  <c r="B5702" i="1"/>
  <c r="K5701" i="1"/>
  <c r="C5701" i="1"/>
  <c r="B5701" i="1"/>
  <c r="K5700" i="1"/>
  <c r="C5700" i="1"/>
  <c r="B5700" i="1"/>
  <c r="K5699" i="1"/>
  <c r="C5699" i="1"/>
  <c r="B5699" i="1"/>
  <c r="K5698" i="1"/>
  <c r="C5698" i="1"/>
  <c r="B5698" i="1"/>
  <c r="K5697" i="1"/>
  <c r="C5697" i="1"/>
  <c r="B5697" i="1"/>
  <c r="K5696" i="1"/>
  <c r="C5696" i="1"/>
  <c r="B5696" i="1"/>
  <c r="K5695" i="1"/>
  <c r="C5695" i="1"/>
  <c r="B5695" i="1"/>
  <c r="K5694" i="1"/>
  <c r="C5694" i="1"/>
  <c r="B5694" i="1"/>
  <c r="K5693" i="1"/>
  <c r="C5693" i="1"/>
  <c r="B5693" i="1"/>
  <c r="K5692" i="1"/>
  <c r="C5692" i="1"/>
  <c r="B5692" i="1"/>
  <c r="K5691" i="1"/>
  <c r="C5691" i="1"/>
  <c r="B5691" i="1"/>
  <c r="K5690" i="1"/>
  <c r="C5690" i="1"/>
  <c r="B5690" i="1"/>
  <c r="K5689" i="1"/>
  <c r="C5689" i="1"/>
  <c r="B5689" i="1"/>
  <c r="K5688" i="1"/>
  <c r="C5688" i="1"/>
  <c r="B5688" i="1"/>
  <c r="K5687" i="1"/>
  <c r="C5687" i="1"/>
  <c r="B5687" i="1"/>
  <c r="K5686" i="1"/>
  <c r="C5686" i="1"/>
  <c r="B5686" i="1"/>
  <c r="K5685" i="1"/>
  <c r="C5685" i="1"/>
  <c r="B5685" i="1"/>
  <c r="K5684" i="1"/>
  <c r="C5684" i="1"/>
  <c r="B5684" i="1"/>
  <c r="K5683" i="1"/>
  <c r="C5683" i="1"/>
  <c r="B5683" i="1"/>
  <c r="K5682" i="1"/>
  <c r="C5682" i="1"/>
  <c r="B5682" i="1"/>
  <c r="K5681" i="1"/>
  <c r="C5681" i="1"/>
  <c r="B5681" i="1"/>
  <c r="K5680" i="1"/>
  <c r="C5680" i="1"/>
  <c r="B5680" i="1"/>
  <c r="K5679" i="1"/>
  <c r="C5679" i="1"/>
  <c r="B5679" i="1"/>
  <c r="K5678" i="1"/>
  <c r="C5678" i="1"/>
  <c r="B5678" i="1"/>
  <c r="K5677" i="1"/>
  <c r="C5677" i="1"/>
  <c r="B5677" i="1"/>
  <c r="K5676" i="1"/>
  <c r="C5676" i="1"/>
  <c r="B5676" i="1"/>
  <c r="K5675" i="1"/>
  <c r="C5675" i="1"/>
  <c r="B5675" i="1"/>
  <c r="K5674" i="1"/>
  <c r="C5674" i="1"/>
  <c r="B5674" i="1"/>
  <c r="K5673" i="1"/>
  <c r="C5673" i="1"/>
  <c r="B5673" i="1"/>
  <c r="K5672" i="1"/>
  <c r="C5672" i="1"/>
  <c r="B5672" i="1"/>
  <c r="K5671" i="1"/>
  <c r="C5671" i="1"/>
  <c r="B5671" i="1"/>
  <c r="K5670" i="1"/>
  <c r="C5670" i="1"/>
  <c r="B5670" i="1"/>
  <c r="K5669" i="1"/>
  <c r="C5669" i="1"/>
  <c r="B5669" i="1"/>
  <c r="K5668" i="1"/>
  <c r="C5668" i="1"/>
  <c r="B5668" i="1"/>
  <c r="K5667" i="1"/>
  <c r="C5667" i="1"/>
  <c r="B5667" i="1"/>
  <c r="K5666" i="1"/>
  <c r="C5666" i="1"/>
  <c r="B5666" i="1"/>
  <c r="K5665" i="1"/>
  <c r="C5665" i="1"/>
  <c r="B5665" i="1"/>
  <c r="K5664" i="1"/>
  <c r="C5664" i="1"/>
  <c r="B5664" i="1"/>
  <c r="K5663" i="1"/>
  <c r="C5663" i="1"/>
  <c r="B5663" i="1"/>
  <c r="K5662" i="1"/>
  <c r="C5662" i="1"/>
  <c r="B5662" i="1"/>
  <c r="K5661" i="1"/>
  <c r="C5661" i="1"/>
  <c r="B5661" i="1"/>
  <c r="K5660" i="1"/>
  <c r="C5660" i="1"/>
  <c r="B5660" i="1"/>
  <c r="K5659" i="1"/>
  <c r="C5659" i="1"/>
  <c r="B5659" i="1"/>
  <c r="K5658" i="1"/>
  <c r="C5658" i="1"/>
  <c r="B5658" i="1"/>
  <c r="K5657" i="1"/>
  <c r="C5657" i="1"/>
  <c r="B5657" i="1"/>
  <c r="K5656" i="1"/>
  <c r="C5656" i="1"/>
  <c r="B5656" i="1"/>
  <c r="K5655" i="1"/>
  <c r="C5655" i="1"/>
  <c r="B5655" i="1"/>
  <c r="K5654" i="1"/>
  <c r="C5654" i="1"/>
  <c r="B5654" i="1"/>
  <c r="K5653" i="1"/>
  <c r="C5653" i="1"/>
  <c r="B5653" i="1"/>
  <c r="K5652" i="1"/>
  <c r="C5652" i="1"/>
  <c r="B5652" i="1"/>
  <c r="K5651" i="1"/>
  <c r="C5651" i="1"/>
  <c r="B5651" i="1"/>
  <c r="K5650" i="1"/>
  <c r="C5650" i="1"/>
  <c r="B5650" i="1"/>
  <c r="K5649" i="1"/>
  <c r="C5649" i="1"/>
  <c r="B5649" i="1"/>
  <c r="K5648" i="1"/>
  <c r="C5648" i="1"/>
  <c r="B5648" i="1"/>
  <c r="K5647" i="1"/>
  <c r="C5647" i="1"/>
  <c r="B5647" i="1"/>
  <c r="K5646" i="1"/>
  <c r="C5646" i="1"/>
  <c r="B5646" i="1"/>
  <c r="K5645" i="1"/>
  <c r="C5645" i="1"/>
  <c r="B5645" i="1"/>
  <c r="K5644" i="1"/>
  <c r="C5644" i="1"/>
  <c r="B5644" i="1"/>
  <c r="K5643" i="1"/>
  <c r="C5643" i="1"/>
  <c r="B5643" i="1"/>
  <c r="K5642" i="1"/>
  <c r="C5642" i="1"/>
  <c r="B5642" i="1"/>
  <c r="K5641" i="1"/>
  <c r="C5641" i="1"/>
  <c r="B5641" i="1"/>
  <c r="K5640" i="1"/>
  <c r="C5640" i="1"/>
  <c r="B5640" i="1"/>
  <c r="K5639" i="1"/>
  <c r="C5639" i="1"/>
  <c r="B5639" i="1"/>
  <c r="K5638" i="1"/>
  <c r="C5638" i="1"/>
  <c r="B5638" i="1"/>
  <c r="K5637" i="1"/>
  <c r="C5637" i="1"/>
  <c r="B5637" i="1"/>
  <c r="K5636" i="1"/>
  <c r="C5636" i="1"/>
  <c r="B5636" i="1"/>
  <c r="K5635" i="1"/>
  <c r="C5635" i="1"/>
  <c r="B5635" i="1"/>
  <c r="K5634" i="1"/>
  <c r="C5634" i="1"/>
  <c r="B5634" i="1"/>
  <c r="K5633" i="1"/>
  <c r="C5633" i="1"/>
  <c r="B5633" i="1"/>
  <c r="K5632" i="1"/>
  <c r="C5632" i="1"/>
  <c r="B5632" i="1"/>
  <c r="K5631" i="1"/>
  <c r="C5631" i="1"/>
  <c r="B5631" i="1"/>
  <c r="K5630" i="1"/>
  <c r="C5630" i="1"/>
  <c r="B5630" i="1"/>
  <c r="K5629" i="1"/>
  <c r="C5629" i="1"/>
  <c r="B5629" i="1"/>
  <c r="K5628" i="1"/>
  <c r="C5628" i="1"/>
  <c r="B5628" i="1"/>
  <c r="K5627" i="1"/>
  <c r="C5627" i="1"/>
  <c r="B5627" i="1"/>
  <c r="K5626" i="1"/>
  <c r="C5626" i="1"/>
  <c r="B5626" i="1"/>
  <c r="K5625" i="1"/>
  <c r="C5625" i="1"/>
  <c r="B5625" i="1"/>
  <c r="K5624" i="1"/>
  <c r="C5624" i="1"/>
  <c r="B5624" i="1"/>
  <c r="K5623" i="1"/>
  <c r="C5623" i="1"/>
  <c r="B5623" i="1"/>
  <c r="K5622" i="1"/>
  <c r="C5622" i="1"/>
  <c r="B5622" i="1"/>
  <c r="K5621" i="1"/>
  <c r="C5621" i="1"/>
  <c r="B5621" i="1"/>
  <c r="K5620" i="1"/>
  <c r="C5620" i="1"/>
  <c r="B5620" i="1"/>
  <c r="K5619" i="1"/>
  <c r="C5619" i="1"/>
  <c r="B5619" i="1"/>
  <c r="K5618" i="1"/>
  <c r="C5618" i="1"/>
  <c r="B5618" i="1"/>
  <c r="K5617" i="1"/>
  <c r="C5617" i="1"/>
  <c r="B5617" i="1"/>
  <c r="K5616" i="1"/>
  <c r="C5616" i="1"/>
  <c r="B5616" i="1"/>
  <c r="K5615" i="1"/>
  <c r="C5615" i="1"/>
  <c r="B5615" i="1"/>
  <c r="K5614" i="1"/>
  <c r="C5614" i="1"/>
  <c r="B5614" i="1"/>
  <c r="K5613" i="1"/>
  <c r="C5613" i="1"/>
  <c r="B5613" i="1"/>
  <c r="K5612" i="1"/>
  <c r="C5612" i="1"/>
  <c r="B5612" i="1"/>
  <c r="K5611" i="1"/>
  <c r="C5611" i="1"/>
  <c r="B5611" i="1"/>
  <c r="K5610" i="1"/>
  <c r="C5610" i="1"/>
  <c r="B5610" i="1"/>
  <c r="K5609" i="1"/>
  <c r="C5609" i="1"/>
  <c r="B5609" i="1"/>
  <c r="K5608" i="1"/>
  <c r="C5608" i="1"/>
  <c r="B5608" i="1"/>
  <c r="K5607" i="1"/>
  <c r="C5607" i="1"/>
  <c r="B5607" i="1"/>
  <c r="K5606" i="1"/>
  <c r="C5606" i="1"/>
  <c r="B5606" i="1"/>
  <c r="K5605" i="1"/>
  <c r="C5605" i="1"/>
  <c r="B5605" i="1"/>
  <c r="K5604" i="1"/>
  <c r="C5604" i="1"/>
  <c r="B5604" i="1"/>
  <c r="K5603" i="1"/>
  <c r="C5603" i="1"/>
  <c r="B5603" i="1"/>
  <c r="K5602" i="1"/>
  <c r="C5602" i="1"/>
  <c r="B5602" i="1"/>
  <c r="K5601" i="1"/>
  <c r="C5601" i="1"/>
  <c r="B5601" i="1"/>
  <c r="K5600" i="1"/>
  <c r="C5600" i="1"/>
  <c r="B5600" i="1"/>
  <c r="K5599" i="1"/>
  <c r="C5599" i="1"/>
  <c r="B5599" i="1"/>
  <c r="K5598" i="1"/>
  <c r="C5598" i="1"/>
  <c r="B5598" i="1"/>
  <c r="K5597" i="1"/>
  <c r="C5597" i="1"/>
  <c r="B5597" i="1"/>
  <c r="K5596" i="1"/>
  <c r="C5596" i="1"/>
  <c r="B5596" i="1"/>
  <c r="K5595" i="1"/>
  <c r="C5595" i="1"/>
  <c r="B5595" i="1"/>
  <c r="K5594" i="1"/>
  <c r="C5594" i="1"/>
  <c r="B5594" i="1"/>
  <c r="K5593" i="1"/>
  <c r="C5593" i="1"/>
  <c r="B5593" i="1"/>
  <c r="K5592" i="1"/>
  <c r="C5592" i="1"/>
  <c r="B5592" i="1"/>
  <c r="K5591" i="1"/>
  <c r="C5591" i="1"/>
  <c r="B5591" i="1"/>
  <c r="K5590" i="1"/>
  <c r="C5590" i="1"/>
  <c r="B5590" i="1"/>
  <c r="K5589" i="1"/>
  <c r="C5589" i="1"/>
  <c r="B5589" i="1"/>
  <c r="K5588" i="1"/>
  <c r="C5588" i="1"/>
  <c r="B5588" i="1"/>
  <c r="K5587" i="1"/>
  <c r="C5587" i="1"/>
  <c r="B5587" i="1"/>
  <c r="K5586" i="1"/>
  <c r="C5586" i="1"/>
  <c r="B5586" i="1"/>
  <c r="K5585" i="1"/>
  <c r="C5585" i="1"/>
  <c r="B5585" i="1"/>
  <c r="K5584" i="1"/>
  <c r="C5584" i="1"/>
  <c r="B5584" i="1"/>
  <c r="K5583" i="1"/>
  <c r="C5583" i="1"/>
  <c r="B5583" i="1"/>
  <c r="K5582" i="1"/>
  <c r="C5582" i="1"/>
  <c r="B5582" i="1"/>
  <c r="K5581" i="1"/>
  <c r="C5581" i="1"/>
  <c r="B5581" i="1"/>
  <c r="K5580" i="1"/>
  <c r="C5580" i="1"/>
  <c r="B5580" i="1"/>
  <c r="K5579" i="1"/>
  <c r="C5579" i="1"/>
  <c r="B5579" i="1"/>
  <c r="K5578" i="1"/>
  <c r="C5578" i="1"/>
  <c r="B5578" i="1"/>
  <c r="K5577" i="1"/>
  <c r="C5577" i="1"/>
  <c r="B5577" i="1"/>
  <c r="K5576" i="1"/>
  <c r="C5576" i="1"/>
  <c r="B5576" i="1"/>
  <c r="K5575" i="1"/>
  <c r="C5575" i="1"/>
  <c r="B5575" i="1"/>
  <c r="K5574" i="1"/>
  <c r="C5574" i="1"/>
  <c r="B5574" i="1"/>
  <c r="K5573" i="1"/>
  <c r="C5573" i="1"/>
  <c r="B5573" i="1"/>
  <c r="K5572" i="1"/>
  <c r="C5572" i="1"/>
  <c r="B5572" i="1"/>
  <c r="K5571" i="1"/>
  <c r="C5571" i="1"/>
  <c r="B5571" i="1"/>
  <c r="K5570" i="1"/>
  <c r="C5570" i="1"/>
  <c r="B5570" i="1"/>
  <c r="K5569" i="1"/>
  <c r="C5569" i="1"/>
  <c r="B5569" i="1"/>
  <c r="K5568" i="1"/>
  <c r="C5568" i="1"/>
  <c r="B5568" i="1"/>
  <c r="K5567" i="1"/>
  <c r="C5567" i="1"/>
  <c r="B5567" i="1"/>
  <c r="K5566" i="1"/>
  <c r="C5566" i="1"/>
  <c r="B5566" i="1"/>
  <c r="K5565" i="1"/>
  <c r="C5565" i="1"/>
  <c r="B5565" i="1"/>
  <c r="K5564" i="1"/>
  <c r="C5564" i="1"/>
  <c r="B5564" i="1"/>
  <c r="K5563" i="1"/>
  <c r="C5563" i="1"/>
  <c r="B5563" i="1"/>
  <c r="K5562" i="1"/>
  <c r="C5562" i="1"/>
  <c r="B5562" i="1"/>
  <c r="K5561" i="1"/>
  <c r="C5561" i="1"/>
  <c r="B5561" i="1"/>
  <c r="K5560" i="1"/>
  <c r="C5560" i="1"/>
  <c r="B5560" i="1"/>
  <c r="K5559" i="1"/>
  <c r="C5559" i="1"/>
  <c r="B5559" i="1"/>
  <c r="K5558" i="1"/>
  <c r="C5558" i="1"/>
  <c r="B5558" i="1"/>
  <c r="K5557" i="1"/>
  <c r="C5557" i="1"/>
  <c r="B5557" i="1"/>
  <c r="K5556" i="1"/>
  <c r="C5556" i="1"/>
  <c r="B5556" i="1"/>
  <c r="K5555" i="1"/>
  <c r="C5555" i="1"/>
  <c r="B5555" i="1"/>
  <c r="K5554" i="1"/>
  <c r="C5554" i="1"/>
  <c r="B5554" i="1"/>
  <c r="K5553" i="1"/>
  <c r="C5553" i="1"/>
  <c r="B5553" i="1"/>
  <c r="K5552" i="1"/>
  <c r="C5552" i="1"/>
  <c r="B5552" i="1"/>
  <c r="K5551" i="1"/>
  <c r="C5551" i="1"/>
  <c r="B5551" i="1"/>
  <c r="K5550" i="1"/>
  <c r="C5550" i="1"/>
  <c r="B5550" i="1"/>
  <c r="K5549" i="1"/>
  <c r="C5549" i="1"/>
  <c r="B5549" i="1"/>
  <c r="K5548" i="1"/>
  <c r="C5548" i="1"/>
  <c r="B5548" i="1"/>
  <c r="K5547" i="1"/>
  <c r="C5547" i="1"/>
  <c r="B5547" i="1"/>
  <c r="K5546" i="1"/>
  <c r="C5546" i="1"/>
  <c r="B5546" i="1"/>
  <c r="K5545" i="1"/>
  <c r="C5545" i="1"/>
  <c r="B5545" i="1"/>
  <c r="K5544" i="1"/>
  <c r="C5544" i="1"/>
  <c r="B5544" i="1"/>
  <c r="K5543" i="1"/>
  <c r="C5543" i="1"/>
  <c r="B5543" i="1"/>
  <c r="K5542" i="1"/>
  <c r="C5542" i="1"/>
  <c r="B5542" i="1"/>
  <c r="K5541" i="1"/>
  <c r="C5541" i="1"/>
  <c r="B5541" i="1"/>
  <c r="K5540" i="1"/>
  <c r="C5540" i="1"/>
  <c r="B5540" i="1"/>
  <c r="K5539" i="1"/>
  <c r="C5539" i="1"/>
  <c r="B5539" i="1"/>
  <c r="K5538" i="1"/>
  <c r="C5538" i="1"/>
  <c r="B5538" i="1"/>
  <c r="K5537" i="1"/>
  <c r="C5537" i="1"/>
  <c r="B5537" i="1"/>
  <c r="K5536" i="1"/>
  <c r="C5536" i="1"/>
  <c r="B5536" i="1"/>
  <c r="K5535" i="1"/>
  <c r="C5535" i="1"/>
  <c r="B5535" i="1"/>
  <c r="K5534" i="1"/>
  <c r="C5534" i="1"/>
  <c r="B5534" i="1"/>
  <c r="K5533" i="1"/>
  <c r="C5533" i="1"/>
  <c r="B5533" i="1"/>
  <c r="K5532" i="1"/>
  <c r="C5532" i="1"/>
  <c r="B5532" i="1"/>
  <c r="K5531" i="1"/>
  <c r="C5531" i="1"/>
  <c r="B5531" i="1"/>
  <c r="K5530" i="1"/>
  <c r="C5530" i="1"/>
  <c r="B5530" i="1"/>
  <c r="K5529" i="1"/>
  <c r="C5529" i="1"/>
  <c r="B5529" i="1"/>
  <c r="K5528" i="1"/>
  <c r="C5528" i="1"/>
  <c r="B5528" i="1"/>
  <c r="K5527" i="1"/>
  <c r="C5527" i="1"/>
  <c r="B5527" i="1"/>
  <c r="K5526" i="1"/>
  <c r="C5526" i="1"/>
  <c r="B5526" i="1"/>
  <c r="K5525" i="1"/>
  <c r="C5525" i="1"/>
  <c r="B5525" i="1"/>
  <c r="K5524" i="1"/>
  <c r="C5524" i="1"/>
  <c r="B5524" i="1"/>
  <c r="K5523" i="1"/>
  <c r="C5523" i="1"/>
  <c r="B5523" i="1"/>
  <c r="K5522" i="1"/>
  <c r="C5522" i="1"/>
  <c r="B5522" i="1"/>
  <c r="K5521" i="1"/>
  <c r="C5521" i="1"/>
  <c r="B5521" i="1"/>
  <c r="K5520" i="1"/>
  <c r="C5520" i="1"/>
  <c r="B5520" i="1"/>
  <c r="K5519" i="1"/>
  <c r="C5519" i="1"/>
  <c r="B5519" i="1"/>
  <c r="K5518" i="1"/>
  <c r="C5518" i="1"/>
  <c r="B5518" i="1"/>
  <c r="K5517" i="1"/>
  <c r="C5517" i="1"/>
  <c r="B5517" i="1"/>
  <c r="K5516" i="1"/>
  <c r="C5516" i="1"/>
  <c r="B5516" i="1"/>
  <c r="K5515" i="1"/>
  <c r="C5515" i="1"/>
  <c r="B5515" i="1"/>
  <c r="K5514" i="1"/>
  <c r="C5514" i="1"/>
  <c r="B5514" i="1"/>
  <c r="K5513" i="1"/>
  <c r="C5513" i="1"/>
  <c r="B5513" i="1"/>
  <c r="K5512" i="1"/>
  <c r="C5512" i="1"/>
  <c r="B5512" i="1"/>
  <c r="K5511" i="1"/>
  <c r="C5511" i="1"/>
  <c r="B5511" i="1"/>
  <c r="K5510" i="1"/>
  <c r="C5510" i="1"/>
  <c r="B5510" i="1"/>
  <c r="K5509" i="1"/>
  <c r="C5509" i="1"/>
  <c r="B5509" i="1"/>
  <c r="K5508" i="1"/>
  <c r="C5508" i="1"/>
  <c r="B5508" i="1"/>
  <c r="K5507" i="1"/>
  <c r="C5507" i="1"/>
  <c r="B5507" i="1"/>
  <c r="K5506" i="1"/>
  <c r="C5506" i="1"/>
  <c r="B5506" i="1"/>
  <c r="K5505" i="1"/>
  <c r="C5505" i="1"/>
  <c r="B5505" i="1"/>
  <c r="K5504" i="1"/>
  <c r="C5504" i="1"/>
  <c r="B5504" i="1"/>
  <c r="K5503" i="1"/>
  <c r="C5503" i="1"/>
  <c r="B5503" i="1"/>
  <c r="K5502" i="1"/>
  <c r="C5502" i="1"/>
  <c r="B5502" i="1"/>
  <c r="K5501" i="1"/>
  <c r="C5501" i="1"/>
  <c r="B5501" i="1"/>
  <c r="K5500" i="1"/>
  <c r="C5500" i="1"/>
  <c r="B5500" i="1"/>
  <c r="K5499" i="1"/>
  <c r="C5499" i="1"/>
  <c r="B5499" i="1"/>
  <c r="K5498" i="1"/>
  <c r="C5498" i="1"/>
  <c r="B5498" i="1"/>
  <c r="K5497" i="1"/>
  <c r="C5497" i="1"/>
  <c r="B5497" i="1"/>
  <c r="K5496" i="1"/>
  <c r="C5496" i="1"/>
  <c r="B5496" i="1"/>
  <c r="K5495" i="1"/>
  <c r="C5495" i="1"/>
  <c r="B5495" i="1"/>
  <c r="K5494" i="1"/>
  <c r="C5494" i="1"/>
  <c r="B5494" i="1"/>
  <c r="K5493" i="1"/>
  <c r="C5493" i="1"/>
  <c r="B5493" i="1"/>
  <c r="K5492" i="1"/>
  <c r="C5492" i="1"/>
  <c r="B5492" i="1"/>
  <c r="K5491" i="1"/>
  <c r="C5491" i="1"/>
  <c r="B5491" i="1"/>
  <c r="K5490" i="1"/>
  <c r="C5490" i="1"/>
  <c r="B5490" i="1"/>
  <c r="K5489" i="1"/>
  <c r="C5489" i="1"/>
  <c r="B5489" i="1"/>
  <c r="K5488" i="1"/>
  <c r="C5488" i="1"/>
  <c r="B5488" i="1"/>
  <c r="K5487" i="1"/>
  <c r="C5487" i="1"/>
  <c r="B5487" i="1"/>
  <c r="K5486" i="1"/>
  <c r="C5486" i="1"/>
  <c r="B5486" i="1"/>
  <c r="K5485" i="1"/>
  <c r="C5485" i="1"/>
  <c r="B5485" i="1"/>
  <c r="K5484" i="1"/>
  <c r="C5484" i="1"/>
  <c r="B5484" i="1"/>
  <c r="K5483" i="1"/>
  <c r="C5483" i="1"/>
  <c r="B5483" i="1"/>
  <c r="K5482" i="1"/>
  <c r="C5482" i="1"/>
  <c r="B5482" i="1"/>
  <c r="K5481" i="1"/>
  <c r="C5481" i="1"/>
  <c r="B5481" i="1"/>
  <c r="K5480" i="1"/>
  <c r="C5480" i="1"/>
  <c r="B5480" i="1"/>
  <c r="K5479" i="1"/>
  <c r="C5479" i="1"/>
  <c r="B5479" i="1"/>
  <c r="K5478" i="1"/>
  <c r="C5478" i="1"/>
  <c r="B5478" i="1"/>
  <c r="K5477" i="1"/>
  <c r="C5477" i="1"/>
  <c r="B5477" i="1"/>
  <c r="K5476" i="1"/>
  <c r="C5476" i="1"/>
  <c r="B5476" i="1"/>
  <c r="K5475" i="1"/>
  <c r="C5475" i="1"/>
  <c r="B5475" i="1"/>
  <c r="K5474" i="1"/>
  <c r="C5474" i="1"/>
  <c r="B5474" i="1"/>
  <c r="K5473" i="1"/>
  <c r="C5473" i="1"/>
  <c r="B5473" i="1"/>
  <c r="K5472" i="1"/>
  <c r="C5472" i="1"/>
  <c r="B5472" i="1"/>
  <c r="K5471" i="1"/>
  <c r="C5471" i="1"/>
  <c r="B5471" i="1"/>
  <c r="K5470" i="1"/>
  <c r="C5470" i="1"/>
  <c r="B5470" i="1"/>
  <c r="K5469" i="1"/>
  <c r="C5469" i="1"/>
  <c r="B5469" i="1"/>
  <c r="K5468" i="1"/>
  <c r="C5468" i="1"/>
  <c r="B5468" i="1"/>
  <c r="K5467" i="1"/>
  <c r="C5467" i="1"/>
  <c r="B5467" i="1"/>
  <c r="K5466" i="1"/>
  <c r="C5466" i="1"/>
  <c r="B5466" i="1"/>
  <c r="K5465" i="1"/>
  <c r="C5465" i="1"/>
  <c r="B5465" i="1"/>
  <c r="K5464" i="1"/>
  <c r="C5464" i="1"/>
  <c r="B5464" i="1"/>
  <c r="K5463" i="1"/>
  <c r="C5463" i="1"/>
  <c r="B5463" i="1"/>
  <c r="K5462" i="1"/>
  <c r="C5462" i="1"/>
  <c r="B5462" i="1"/>
  <c r="K5461" i="1"/>
  <c r="C5461" i="1"/>
  <c r="B5461" i="1"/>
  <c r="K5460" i="1"/>
  <c r="C5460" i="1"/>
  <c r="B5460" i="1"/>
  <c r="K5459" i="1"/>
  <c r="C5459" i="1"/>
  <c r="B5459" i="1"/>
  <c r="K5458" i="1"/>
  <c r="C5458" i="1"/>
  <c r="B5458" i="1"/>
  <c r="K5457" i="1"/>
  <c r="C5457" i="1"/>
  <c r="B5457" i="1"/>
  <c r="K5456" i="1"/>
  <c r="C5456" i="1"/>
  <c r="B5456" i="1"/>
  <c r="K5455" i="1"/>
  <c r="C5455" i="1"/>
  <c r="B5455" i="1"/>
  <c r="K5454" i="1"/>
  <c r="C5454" i="1"/>
  <c r="B5454" i="1"/>
  <c r="K5453" i="1"/>
  <c r="C5453" i="1"/>
  <c r="B5453" i="1"/>
  <c r="K5452" i="1"/>
  <c r="C5452" i="1"/>
  <c r="B5452" i="1"/>
  <c r="K5451" i="1"/>
  <c r="C5451" i="1"/>
  <c r="B5451" i="1"/>
  <c r="K5450" i="1"/>
  <c r="C5450" i="1"/>
  <c r="B5450" i="1"/>
  <c r="K5449" i="1"/>
  <c r="C5449" i="1"/>
  <c r="B5449" i="1"/>
  <c r="K5448" i="1"/>
  <c r="C5448" i="1"/>
  <c r="B5448" i="1"/>
  <c r="K5447" i="1"/>
  <c r="C5447" i="1"/>
  <c r="B5447" i="1"/>
  <c r="K5446" i="1"/>
  <c r="C5446" i="1"/>
  <c r="B5446" i="1"/>
  <c r="K5445" i="1"/>
  <c r="C5445" i="1"/>
  <c r="B5445" i="1"/>
  <c r="K5444" i="1"/>
  <c r="C5444" i="1"/>
  <c r="B5444" i="1"/>
  <c r="K5443" i="1"/>
  <c r="C5443" i="1"/>
  <c r="B5443" i="1"/>
  <c r="K5442" i="1"/>
  <c r="C5442" i="1"/>
  <c r="B5442" i="1"/>
  <c r="K5441" i="1"/>
  <c r="C5441" i="1"/>
  <c r="B5441" i="1"/>
  <c r="K5440" i="1"/>
  <c r="C5440" i="1"/>
  <c r="B5440" i="1"/>
  <c r="K5439" i="1"/>
  <c r="C5439" i="1"/>
  <c r="B5439" i="1"/>
  <c r="K5438" i="1"/>
  <c r="C5438" i="1"/>
  <c r="B5438" i="1"/>
  <c r="K5437" i="1"/>
  <c r="C5437" i="1"/>
  <c r="B5437" i="1"/>
  <c r="K5436" i="1"/>
  <c r="C5436" i="1"/>
  <c r="B5436" i="1"/>
  <c r="K5435" i="1"/>
  <c r="C5435" i="1"/>
  <c r="B5435" i="1"/>
  <c r="K5434" i="1"/>
  <c r="C5434" i="1"/>
  <c r="B5434" i="1"/>
  <c r="K5433" i="1"/>
  <c r="C5433" i="1"/>
  <c r="B5433" i="1"/>
  <c r="K5432" i="1"/>
  <c r="C5432" i="1"/>
  <c r="B5432" i="1"/>
  <c r="K5431" i="1"/>
  <c r="C5431" i="1"/>
  <c r="B5431" i="1"/>
  <c r="K5430" i="1"/>
  <c r="C5430" i="1"/>
  <c r="B5430" i="1"/>
  <c r="K5429" i="1"/>
  <c r="C5429" i="1"/>
  <c r="B5429" i="1"/>
  <c r="K5428" i="1"/>
  <c r="C5428" i="1"/>
  <c r="B5428" i="1"/>
  <c r="K5427" i="1"/>
  <c r="C5427" i="1"/>
  <c r="B5427" i="1"/>
  <c r="K5426" i="1"/>
  <c r="C5426" i="1"/>
  <c r="B5426" i="1"/>
  <c r="K5425" i="1"/>
  <c r="C5425" i="1"/>
  <c r="B5425" i="1"/>
  <c r="K5424" i="1"/>
  <c r="C5424" i="1"/>
  <c r="B5424" i="1"/>
  <c r="K5423" i="1"/>
  <c r="C5423" i="1"/>
  <c r="B5423" i="1"/>
  <c r="K5422" i="1"/>
  <c r="C5422" i="1"/>
  <c r="B5422" i="1"/>
  <c r="K5421" i="1"/>
  <c r="C5421" i="1"/>
  <c r="B5421" i="1"/>
  <c r="K5420" i="1"/>
  <c r="C5420" i="1"/>
  <c r="B5420" i="1"/>
  <c r="K5419" i="1"/>
  <c r="C5419" i="1"/>
  <c r="B5419" i="1"/>
  <c r="K5418" i="1"/>
  <c r="C5418" i="1"/>
  <c r="B5418" i="1"/>
  <c r="K5417" i="1"/>
  <c r="C5417" i="1"/>
  <c r="B5417" i="1"/>
  <c r="K5416" i="1"/>
  <c r="C5416" i="1"/>
  <c r="B5416" i="1"/>
  <c r="K5415" i="1"/>
  <c r="C5415" i="1"/>
  <c r="B5415" i="1"/>
  <c r="K5414" i="1"/>
  <c r="C5414" i="1"/>
  <c r="B5414" i="1"/>
  <c r="K5413" i="1"/>
  <c r="C5413" i="1"/>
  <c r="B5413" i="1"/>
  <c r="K5412" i="1"/>
  <c r="C5412" i="1"/>
  <c r="B5412" i="1"/>
  <c r="K5411" i="1"/>
  <c r="C5411" i="1"/>
  <c r="B5411" i="1"/>
  <c r="K5410" i="1"/>
  <c r="C5410" i="1"/>
  <c r="B5410" i="1"/>
  <c r="K5409" i="1"/>
  <c r="C5409" i="1"/>
  <c r="B5409" i="1"/>
  <c r="K5408" i="1"/>
  <c r="C5408" i="1"/>
  <c r="B5408" i="1"/>
  <c r="K5407" i="1"/>
  <c r="C5407" i="1"/>
  <c r="B5407" i="1"/>
  <c r="K5406" i="1"/>
  <c r="C5406" i="1"/>
  <c r="B5406" i="1"/>
  <c r="K5405" i="1"/>
  <c r="C5405" i="1"/>
  <c r="B5405" i="1"/>
  <c r="K5404" i="1"/>
  <c r="C5404" i="1"/>
  <c r="B5404" i="1"/>
  <c r="K5403" i="1"/>
  <c r="C5403" i="1"/>
  <c r="B5403" i="1"/>
  <c r="K5402" i="1"/>
  <c r="C5402" i="1"/>
  <c r="B5402" i="1"/>
  <c r="K5401" i="1"/>
  <c r="C5401" i="1"/>
  <c r="B5401" i="1"/>
  <c r="K5400" i="1"/>
  <c r="C5400" i="1"/>
  <c r="B5400" i="1"/>
  <c r="K5399" i="1"/>
  <c r="C5399" i="1"/>
  <c r="B5399" i="1"/>
  <c r="K5398" i="1"/>
  <c r="C5398" i="1"/>
  <c r="B5398" i="1"/>
  <c r="K5397" i="1"/>
  <c r="C5397" i="1"/>
  <c r="B5397" i="1"/>
  <c r="K5396" i="1"/>
  <c r="C5396" i="1"/>
  <c r="B5396" i="1"/>
  <c r="K5395" i="1"/>
  <c r="C5395" i="1"/>
  <c r="B5395" i="1"/>
  <c r="K5394" i="1"/>
  <c r="C5394" i="1"/>
  <c r="B5394" i="1"/>
  <c r="K5393" i="1"/>
  <c r="C5393" i="1"/>
  <c r="B5393" i="1"/>
  <c r="K5392" i="1"/>
  <c r="C5392" i="1"/>
  <c r="B5392" i="1"/>
  <c r="K5391" i="1"/>
  <c r="C5391" i="1"/>
  <c r="B5391" i="1"/>
  <c r="K5390" i="1"/>
  <c r="C5390" i="1"/>
  <c r="B5390" i="1"/>
  <c r="K5389" i="1"/>
  <c r="C5389" i="1"/>
  <c r="B5389" i="1"/>
  <c r="K5388" i="1"/>
  <c r="C5388" i="1"/>
  <c r="B5388" i="1"/>
  <c r="K5387" i="1"/>
  <c r="C5387" i="1"/>
  <c r="B5387" i="1"/>
  <c r="K5386" i="1"/>
  <c r="C5386" i="1"/>
  <c r="B5386" i="1"/>
  <c r="K5385" i="1"/>
  <c r="C5385" i="1"/>
  <c r="B5385" i="1"/>
  <c r="K5384" i="1"/>
  <c r="C5384" i="1"/>
  <c r="B5384" i="1"/>
  <c r="K5383" i="1"/>
  <c r="C5383" i="1"/>
  <c r="B5383" i="1"/>
  <c r="K5382" i="1"/>
  <c r="C5382" i="1"/>
  <c r="B5382" i="1"/>
  <c r="K5381" i="1"/>
  <c r="C5381" i="1"/>
  <c r="B5381" i="1"/>
  <c r="K5380" i="1"/>
  <c r="C5380" i="1"/>
  <c r="B5380" i="1"/>
  <c r="K5379" i="1"/>
  <c r="C5379" i="1"/>
  <c r="B5379" i="1"/>
  <c r="K5378" i="1"/>
  <c r="C5378" i="1"/>
  <c r="B5378" i="1"/>
  <c r="K5377" i="1"/>
  <c r="C5377" i="1"/>
  <c r="B5377" i="1"/>
  <c r="K5376" i="1"/>
  <c r="C5376" i="1"/>
  <c r="B5376" i="1"/>
  <c r="K5375" i="1"/>
  <c r="C5375" i="1"/>
  <c r="B5375" i="1"/>
  <c r="K5374" i="1"/>
  <c r="C5374" i="1"/>
  <c r="B5374" i="1"/>
  <c r="K5373" i="1"/>
  <c r="C5373" i="1"/>
  <c r="B5373" i="1"/>
  <c r="K5372" i="1"/>
  <c r="C5372" i="1"/>
  <c r="B5372" i="1"/>
  <c r="K5371" i="1"/>
  <c r="C5371" i="1"/>
  <c r="B5371" i="1"/>
  <c r="K5370" i="1"/>
  <c r="C5370" i="1"/>
  <c r="B5370" i="1"/>
  <c r="K5369" i="1"/>
  <c r="C5369" i="1"/>
  <c r="B5369" i="1"/>
  <c r="K5368" i="1"/>
  <c r="C5368" i="1"/>
  <c r="B5368" i="1"/>
  <c r="K5367" i="1"/>
  <c r="C5367" i="1"/>
  <c r="B5367" i="1"/>
  <c r="K5366" i="1"/>
  <c r="C5366" i="1"/>
  <c r="B5366" i="1"/>
  <c r="K5365" i="1"/>
  <c r="C5365" i="1"/>
  <c r="B5365" i="1"/>
  <c r="K5364" i="1"/>
  <c r="C5364" i="1"/>
  <c r="B5364" i="1"/>
  <c r="K5363" i="1"/>
  <c r="C5363" i="1"/>
  <c r="B5363" i="1"/>
  <c r="K5362" i="1"/>
  <c r="C5362" i="1"/>
  <c r="B5362" i="1"/>
  <c r="K5361" i="1"/>
  <c r="C5361" i="1"/>
  <c r="B5361" i="1"/>
  <c r="K5360" i="1"/>
  <c r="C5360" i="1"/>
  <c r="B5360" i="1"/>
  <c r="K5359" i="1"/>
  <c r="C5359" i="1"/>
  <c r="B5359" i="1"/>
  <c r="K5358" i="1"/>
  <c r="C5358" i="1"/>
  <c r="B5358" i="1"/>
  <c r="K5357" i="1"/>
  <c r="C5357" i="1"/>
  <c r="B5357" i="1"/>
  <c r="K5356" i="1"/>
  <c r="C5356" i="1"/>
  <c r="B5356" i="1"/>
  <c r="K5355" i="1"/>
  <c r="C5355" i="1"/>
  <c r="B5355" i="1"/>
  <c r="K5354" i="1"/>
  <c r="C5354" i="1"/>
  <c r="B5354" i="1"/>
  <c r="K5353" i="1"/>
  <c r="C5353" i="1"/>
  <c r="B5353" i="1"/>
  <c r="K5352" i="1"/>
  <c r="C5352" i="1"/>
  <c r="B5352" i="1"/>
  <c r="K5351" i="1"/>
  <c r="C5351" i="1"/>
  <c r="B5351" i="1"/>
  <c r="K5350" i="1"/>
  <c r="C5350" i="1"/>
  <c r="B5350" i="1"/>
  <c r="K5349" i="1"/>
  <c r="C5349" i="1"/>
  <c r="B5349" i="1"/>
  <c r="K5348" i="1"/>
  <c r="C5348" i="1"/>
  <c r="B5348" i="1"/>
  <c r="K5347" i="1"/>
  <c r="C5347" i="1"/>
  <c r="B5347" i="1"/>
  <c r="K5346" i="1"/>
  <c r="C5346" i="1"/>
  <c r="B5346" i="1"/>
  <c r="K5345" i="1"/>
  <c r="C5345" i="1"/>
  <c r="B5345" i="1"/>
  <c r="K5344" i="1"/>
  <c r="C5344" i="1"/>
  <c r="B5344" i="1"/>
  <c r="K5343" i="1"/>
  <c r="C5343" i="1"/>
  <c r="B5343" i="1"/>
  <c r="K5342" i="1"/>
  <c r="C5342" i="1"/>
  <c r="B5342" i="1"/>
  <c r="K5341" i="1"/>
  <c r="C5341" i="1"/>
  <c r="B5341" i="1"/>
  <c r="K5340" i="1"/>
  <c r="C5340" i="1"/>
  <c r="B5340" i="1"/>
  <c r="K5339" i="1"/>
  <c r="C5339" i="1"/>
  <c r="B5339" i="1"/>
  <c r="K5338" i="1"/>
  <c r="C5338" i="1"/>
  <c r="B5338" i="1"/>
  <c r="K5337" i="1"/>
  <c r="C5337" i="1"/>
  <c r="B5337" i="1"/>
  <c r="K5336" i="1"/>
  <c r="C5336" i="1"/>
  <c r="B5336" i="1"/>
  <c r="K5335" i="1"/>
  <c r="C5335" i="1"/>
  <c r="B5335" i="1"/>
  <c r="K5334" i="1"/>
  <c r="C5334" i="1"/>
  <c r="B5334" i="1"/>
  <c r="K5333" i="1"/>
  <c r="C5333" i="1"/>
  <c r="B5333" i="1"/>
  <c r="K5332" i="1"/>
  <c r="C5332" i="1"/>
  <c r="B5332" i="1"/>
  <c r="K5331" i="1"/>
  <c r="C5331" i="1"/>
  <c r="B5331" i="1"/>
  <c r="K5330" i="1"/>
  <c r="C5330" i="1"/>
  <c r="B5330" i="1"/>
  <c r="K5329" i="1"/>
  <c r="C5329" i="1"/>
  <c r="B5329" i="1"/>
  <c r="K5328" i="1"/>
  <c r="C5328" i="1"/>
  <c r="B5328" i="1"/>
  <c r="K5327" i="1"/>
  <c r="C5327" i="1"/>
  <c r="B5327" i="1"/>
  <c r="K5326" i="1"/>
  <c r="C5326" i="1"/>
  <c r="B5326" i="1"/>
  <c r="K5325" i="1"/>
  <c r="C5325" i="1"/>
  <c r="B5325" i="1"/>
  <c r="K5324" i="1"/>
  <c r="C5324" i="1"/>
  <c r="B5324" i="1"/>
  <c r="K5323" i="1"/>
  <c r="C5323" i="1"/>
  <c r="B5323" i="1"/>
  <c r="K5322" i="1"/>
  <c r="C5322" i="1"/>
  <c r="B5322" i="1"/>
  <c r="K5321" i="1"/>
  <c r="C5321" i="1"/>
  <c r="B5321" i="1"/>
  <c r="K5320" i="1"/>
  <c r="C5320" i="1"/>
  <c r="B5320" i="1"/>
  <c r="K5319" i="1"/>
  <c r="C5319" i="1"/>
  <c r="B5319" i="1"/>
  <c r="K5318" i="1"/>
  <c r="C5318" i="1"/>
  <c r="B5318" i="1"/>
  <c r="K5317" i="1"/>
  <c r="C5317" i="1"/>
  <c r="B5317" i="1"/>
  <c r="K5316" i="1"/>
  <c r="C5316" i="1"/>
  <c r="B5316" i="1"/>
  <c r="K5315" i="1"/>
  <c r="C5315" i="1"/>
  <c r="B5315" i="1"/>
  <c r="K5314" i="1"/>
  <c r="C5314" i="1"/>
  <c r="B5314" i="1"/>
  <c r="K5313" i="1"/>
  <c r="C5313" i="1"/>
  <c r="B5313" i="1"/>
  <c r="K5312" i="1"/>
  <c r="C5312" i="1"/>
  <c r="B5312" i="1"/>
  <c r="K5311" i="1"/>
  <c r="C5311" i="1"/>
  <c r="B5311" i="1"/>
  <c r="K5310" i="1"/>
  <c r="C5310" i="1"/>
  <c r="B5310" i="1"/>
  <c r="K5309" i="1"/>
  <c r="C5309" i="1"/>
  <c r="B5309" i="1"/>
  <c r="K5308" i="1"/>
  <c r="C5308" i="1"/>
  <c r="B5308" i="1"/>
  <c r="K5307" i="1"/>
  <c r="C5307" i="1"/>
  <c r="B5307" i="1"/>
  <c r="K5306" i="1"/>
  <c r="C5306" i="1"/>
  <c r="B5306" i="1"/>
  <c r="K5305" i="1"/>
  <c r="C5305" i="1"/>
  <c r="B5305" i="1"/>
  <c r="K5304" i="1"/>
  <c r="C5304" i="1"/>
  <c r="B5304" i="1"/>
  <c r="K5303" i="1"/>
  <c r="C5303" i="1"/>
  <c r="B5303" i="1"/>
  <c r="K5302" i="1"/>
  <c r="C5302" i="1"/>
  <c r="B5302" i="1"/>
  <c r="K5301" i="1"/>
  <c r="C5301" i="1"/>
  <c r="B5301" i="1"/>
  <c r="K5300" i="1"/>
  <c r="C5300" i="1"/>
  <c r="B5300" i="1"/>
  <c r="K5299" i="1"/>
  <c r="C5299" i="1"/>
  <c r="B5299" i="1"/>
  <c r="K5298" i="1"/>
  <c r="C5298" i="1"/>
  <c r="B5298" i="1"/>
  <c r="K5297" i="1"/>
  <c r="C5297" i="1"/>
  <c r="B5297" i="1"/>
  <c r="K5296" i="1"/>
  <c r="C5296" i="1"/>
  <c r="B5296" i="1"/>
  <c r="K5295" i="1"/>
  <c r="C5295" i="1"/>
  <c r="B5295" i="1"/>
  <c r="K5294" i="1"/>
  <c r="C5294" i="1"/>
  <c r="B5294" i="1"/>
  <c r="K5293" i="1"/>
  <c r="C5293" i="1"/>
  <c r="B5293" i="1"/>
  <c r="K5292" i="1"/>
  <c r="C5292" i="1"/>
  <c r="B5292" i="1"/>
  <c r="K5291" i="1"/>
  <c r="C5291" i="1"/>
  <c r="B5291" i="1"/>
  <c r="K5290" i="1"/>
  <c r="C5290" i="1"/>
  <c r="B5290" i="1"/>
  <c r="K5289" i="1"/>
  <c r="C5289" i="1"/>
  <c r="B5289" i="1"/>
  <c r="K5288" i="1"/>
  <c r="C5288" i="1"/>
  <c r="B5288" i="1"/>
  <c r="K5287" i="1"/>
  <c r="C5287" i="1"/>
  <c r="B5287" i="1"/>
  <c r="K5286" i="1"/>
  <c r="C5286" i="1"/>
  <c r="B5286" i="1"/>
  <c r="K5285" i="1"/>
  <c r="C5285" i="1"/>
  <c r="B5285" i="1"/>
  <c r="K5284" i="1"/>
  <c r="C5284" i="1"/>
  <c r="B5284" i="1"/>
  <c r="K5283" i="1"/>
  <c r="C5283" i="1"/>
  <c r="B5283" i="1"/>
  <c r="K5282" i="1"/>
  <c r="C5282" i="1"/>
  <c r="B5282" i="1"/>
  <c r="K5281" i="1"/>
  <c r="C5281" i="1"/>
  <c r="B5281" i="1"/>
  <c r="K5280" i="1"/>
  <c r="C5280" i="1"/>
  <c r="B5280" i="1"/>
  <c r="K5279" i="1"/>
  <c r="C5279" i="1"/>
  <c r="B5279" i="1"/>
  <c r="K5278" i="1"/>
  <c r="C5278" i="1"/>
  <c r="B5278" i="1"/>
  <c r="K5277" i="1"/>
  <c r="C5277" i="1"/>
  <c r="B5277" i="1"/>
  <c r="K5276" i="1"/>
  <c r="C5276" i="1"/>
  <c r="B5276" i="1"/>
  <c r="K5275" i="1"/>
  <c r="C5275" i="1"/>
  <c r="B5275" i="1"/>
  <c r="K5274" i="1"/>
  <c r="C5274" i="1"/>
  <c r="B5274" i="1"/>
  <c r="K5273" i="1"/>
  <c r="C5273" i="1"/>
  <c r="B5273" i="1"/>
  <c r="K5272" i="1"/>
  <c r="C5272" i="1"/>
  <c r="B5272" i="1"/>
  <c r="K5271" i="1"/>
  <c r="C5271" i="1"/>
  <c r="B5271" i="1"/>
  <c r="K5270" i="1"/>
  <c r="C5270" i="1"/>
  <c r="B5270" i="1"/>
  <c r="K5269" i="1"/>
  <c r="C5269" i="1"/>
  <c r="B5269" i="1"/>
  <c r="K5268" i="1"/>
  <c r="C5268" i="1"/>
  <c r="B5268" i="1"/>
  <c r="K5267" i="1"/>
  <c r="C5267" i="1"/>
  <c r="B5267" i="1"/>
  <c r="K5266" i="1"/>
  <c r="C5266" i="1"/>
  <c r="B5266" i="1"/>
  <c r="K5265" i="1"/>
  <c r="C5265" i="1"/>
  <c r="B5265" i="1"/>
  <c r="K5264" i="1"/>
  <c r="C5264" i="1"/>
  <c r="B5264" i="1"/>
  <c r="K5263" i="1"/>
  <c r="C5263" i="1"/>
  <c r="B5263" i="1"/>
  <c r="K5262" i="1"/>
  <c r="C5262" i="1"/>
  <c r="B5262" i="1"/>
  <c r="K5261" i="1"/>
  <c r="C5261" i="1"/>
  <c r="B5261" i="1"/>
  <c r="K5260" i="1"/>
  <c r="C5260" i="1"/>
  <c r="B5260" i="1"/>
  <c r="K5259" i="1"/>
  <c r="C5259" i="1"/>
  <c r="B5259" i="1"/>
  <c r="K5258" i="1"/>
  <c r="C5258" i="1"/>
  <c r="B5258" i="1"/>
  <c r="K5257" i="1"/>
  <c r="C5257" i="1"/>
  <c r="B5257" i="1"/>
  <c r="K5256" i="1"/>
  <c r="C5256" i="1"/>
  <c r="B5256" i="1"/>
  <c r="K5255" i="1"/>
  <c r="C5255" i="1"/>
  <c r="B5255" i="1"/>
  <c r="K5254" i="1"/>
  <c r="C5254" i="1"/>
  <c r="B5254" i="1"/>
  <c r="K5253" i="1"/>
  <c r="C5253" i="1"/>
  <c r="B5253" i="1"/>
  <c r="K5252" i="1"/>
  <c r="C5252" i="1"/>
  <c r="B5252" i="1"/>
  <c r="K5251" i="1"/>
  <c r="C5251" i="1"/>
  <c r="B5251" i="1"/>
  <c r="K5250" i="1"/>
  <c r="C5250" i="1"/>
  <c r="B5250" i="1"/>
  <c r="K5249" i="1"/>
  <c r="C5249" i="1"/>
  <c r="B5249" i="1"/>
  <c r="K5248" i="1"/>
  <c r="C5248" i="1"/>
  <c r="B5248" i="1"/>
  <c r="K5247" i="1"/>
  <c r="C5247" i="1"/>
  <c r="B5247" i="1"/>
  <c r="K5246" i="1"/>
  <c r="C5246" i="1"/>
  <c r="B5246" i="1"/>
  <c r="K5245" i="1"/>
  <c r="C5245" i="1"/>
  <c r="B5245" i="1"/>
  <c r="K5244" i="1"/>
  <c r="C5244" i="1"/>
  <c r="B5244" i="1"/>
  <c r="K5243" i="1"/>
  <c r="C5243" i="1"/>
  <c r="B5243" i="1"/>
  <c r="K5242" i="1"/>
  <c r="C5242" i="1"/>
  <c r="B5242" i="1"/>
  <c r="K5241" i="1"/>
  <c r="C5241" i="1"/>
  <c r="B5241" i="1"/>
  <c r="K5240" i="1"/>
  <c r="C5240" i="1"/>
  <c r="B5240" i="1"/>
  <c r="K5239" i="1"/>
  <c r="C5239" i="1"/>
  <c r="B5239" i="1"/>
  <c r="K5238" i="1"/>
  <c r="C5238" i="1"/>
  <c r="B5238" i="1"/>
  <c r="K5237" i="1"/>
  <c r="C5237" i="1"/>
  <c r="B5237" i="1"/>
  <c r="K5236" i="1"/>
  <c r="C5236" i="1"/>
  <c r="B5236" i="1"/>
  <c r="K5235" i="1"/>
  <c r="C5235" i="1"/>
  <c r="B5235" i="1"/>
  <c r="K5234" i="1"/>
  <c r="C5234" i="1"/>
  <c r="B5234" i="1"/>
  <c r="K5233" i="1"/>
  <c r="C5233" i="1"/>
  <c r="B5233" i="1"/>
  <c r="K5232" i="1"/>
  <c r="C5232" i="1"/>
  <c r="B5232" i="1"/>
  <c r="K5231" i="1"/>
  <c r="C5231" i="1"/>
  <c r="B5231" i="1"/>
  <c r="K5230" i="1"/>
  <c r="C5230" i="1"/>
  <c r="B5230" i="1"/>
  <c r="K5229" i="1"/>
  <c r="C5229" i="1"/>
  <c r="B5229" i="1"/>
  <c r="K5228" i="1"/>
  <c r="C5228" i="1"/>
  <c r="B5228" i="1"/>
  <c r="K5227" i="1"/>
  <c r="C5227" i="1"/>
  <c r="B5227" i="1"/>
  <c r="K5226" i="1"/>
  <c r="C5226" i="1"/>
  <c r="B5226" i="1"/>
  <c r="K5225" i="1"/>
  <c r="C5225" i="1"/>
  <c r="B5225" i="1"/>
  <c r="K5224" i="1"/>
  <c r="C5224" i="1"/>
  <c r="B5224" i="1"/>
  <c r="K5223" i="1"/>
  <c r="C5223" i="1"/>
  <c r="B5223" i="1"/>
  <c r="K5222" i="1"/>
  <c r="C5222" i="1"/>
  <c r="B5222" i="1"/>
  <c r="K5221" i="1"/>
  <c r="C5221" i="1"/>
  <c r="B5221" i="1"/>
  <c r="K5220" i="1"/>
  <c r="C5220" i="1"/>
  <c r="B5220" i="1"/>
  <c r="K5219" i="1"/>
  <c r="C5219" i="1"/>
  <c r="B5219" i="1"/>
  <c r="K5218" i="1"/>
  <c r="C5218" i="1"/>
  <c r="B5218" i="1"/>
  <c r="K5217" i="1"/>
  <c r="C5217" i="1"/>
  <c r="B5217" i="1"/>
  <c r="K5216" i="1"/>
  <c r="C5216" i="1"/>
  <c r="B5216" i="1"/>
  <c r="K5215" i="1"/>
  <c r="C5215" i="1"/>
  <c r="B5215" i="1"/>
  <c r="K5214" i="1"/>
  <c r="C5214" i="1"/>
  <c r="B5214" i="1"/>
  <c r="K5213" i="1"/>
  <c r="C5213" i="1"/>
  <c r="B5213" i="1"/>
  <c r="K5212" i="1"/>
  <c r="C5212" i="1"/>
  <c r="B5212" i="1"/>
  <c r="K5211" i="1"/>
  <c r="C5211" i="1"/>
  <c r="B5211" i="1"/>
  <c r="K5210" i="1"/>
  <c r="C5210" i="1"/>
  <c r="B5210" i="1"/>
  <c r="K5209" i="1"/>
  <c r="C5209" i="1"/>
  <c r="B5209" i="1"/>
  <c r="K5208" i="1"/>
  <c r="C5208" i="1"/>
  <c r="B5208" i="1"/>
  <c r="K5207" i="1"/>
  <c r="C5207" i="1"/>
  <c r="B5207" i="1"/>
  <c r="K5206" i="1"/>
  <c r="C5206" i="1"/>
  <c r="B5206" i="1"/>
  <c r="K5205" i="1"/>
  <c r="C5205" i="1"/>
  <c r="B5205" i="1"/>
  <c r="K5204" i="1"/>
  <c r="C5204" i="1"/>
  <c r="B5204" i="1"/>
  <c r="K5203" i="1"/>
  <c r="C5203" i="1"/>
  <c r="B5203" i="1"/>
  <c r="K5202" i="1"/>
  <c r="C5202" i="1"/>
  <c r="B5202" i="1"/>
  <c r="K5201" i="1"/>
  <c r="C5201" i="1"/>
  <c r="B5201" i="1"/>
  <c r="K5200" i="1"/>
  <c r="C5200" i="1"/>
  <c r="B5200" i="1"/>
  <c r="K5199" i="1"/>
  <c r="C5199" i="1"/>
  <c r="B5199" i="1"/>
  <c r="K5198" i="1"/>
  <c r="C5198" i="1"/>
  <c r="B5198" i="1"/>
  <c r="K5197" i="1"/>
  <c r="C5197" i="1"/>
  <c r="B5197" i="1"/>
  <c r="K5196" i="1"/>
  <c r="C5196" i="1"/>
  <c r="B5196" i="1"/>
  <c r="K5195" i="1"/>
  <c r="C5195" i="1"/>
  <c r="B5195" i="1"/>
  <c r="K5194" i="1"/>
  <c r="C5194" i="1"/>
  <c r="B5194" i="1"/>
  <c r="K5193" i="1"/>
  <c r="C5193" i="1"/>
  <c r="B5193" i="1"/>
  <c r="K5192" i="1"/>
  <c r="C5192" i="1"/>
  <c r="B5192" i="1"/>
  <c r="K5191" i="1"/>
  <c r="C5191" i="1"/>
  <c r="B5191" i="1"/>
  <c r="K5190" i="1"/>
  <c r="C5190" i="1"/>
  <c r="B5190" i="1"/>
  <c r="K5189" i="1"/>
  <c r="C5189" i="1"/>
  <c r="B5189" i="1"/>
  <c r="K5188" i="1"/>
  <c r="C5188" i="1"/>
  <c r="B5188" i="1"/>
  <c r="K5187" i="1"/>
  <c r="C5187" i="1"/>
  <c r="B5187" i="1"/>
  <c r="K5186" i="1"/>
  <c r="C5186" i="1"/>
  <c r="B5186" i="1"/>
  <c r="K5185" i="1"/>
  <c r="C5185" i="1"/>
  <c r="B5185" i="1"/>
  <c r="K5184" i="1"/>
  <c r="C5184" i="1"/>
  <c r="B5184" i="1"/>
  <c r="K5183" i="1"/>
  <c r="C5183" i="1"/>
  <c r="B5183" i="1"/>
  <c r="K5182" i="1"/>
  <c r="C5182" i="1"/>
  <c r="B5182" i="1"/>
  <c r="K5181" i="1"/>
  <c r="C5181" i="1"/>
  <c r="B5181" i="1"/>
  <c r="K5180" i="1"/>
  <c r="C5180" i="1"/>
  <c r="B5180" i="1"/>
  <c r="K5179" i="1"/>
  <c r="C5179" i="1"/>
  <c r="B5179" i="1"/>
  <c r="K5178" i="1"/>
  <c r="C5178" i="1"/>
  <c r="B5178" i="1"/>
  <c r="K5177" i="1"/>
  <c r="C5177" i="1"/>
  <c r="B5177" i="1"/>
  <c r="K5176" i="1"/>
  <c r="C5176" i="1"/>
  <c r="B5176" i="1"/>
  <c r="K5175" i="1"/>
  <c r="C5175" i="1"/>
  <c r="B5175" i="1"/>
  <c r="K5174" i="1"/>
  <c r="C5174" i="1"/>
  <c r="B5174" i="1"/>
  <c r="K5173" i="1"/>
  <c r="C5173" i="1"/>
  <c r="B5173" i="1"/>
  <c r="K5172" i="1"/>
  <c r="C5172" i="1"/>
  <c r="B5172" i="1"/>
  <c r="K5171" i="1"/>
  <c r="C5171" i="1"/>
  <c r="B5171" i="1"/>
  <c r="K5170" i="1"/>
  <c r="C5170" i="1"/>
  <c r="B5170" i="1"/>
  <c r="K5169" i="1"/>
  <c r="C5169" i="1"/>
  <c r="B5169" i="1"/>
  <c r="K5168" i="1"/>
  <c r="C5168" i="1"/>
  <c r="B5168" i="1"/>
  <c r="K5167" i="1"/>
  <c r="C5167" i="1"/>
  <c r="B5167" i="1"/>
  <c r="K5166" i="1"/>
  <c r="C5166" i="1"/>
  <c r="B5166" i="1"/>
  <c r="K5165" i="1"/>
  <c r="C5165" i="1"/>
  <c r="B5165" i="1"/>
  <c r="K5164" i="1"/>
  <c r="C5164" i="1"/>
  <c r="B5164" i="1"/>
  <c r="K5163" i="1"/>
  <c r="C5163" i="1"/>
  <c r="B5163" i="1"/>
  <c r="K5162" i="1"/>
  <c r="C5162" i="1"/>
  <c r="B5162" i="1"/>
  <c r="K5161" i="1"/>
  <c r="C5161" i="1"/>
  <c r="B5161" i="1"/>
  <c r="K5160" i="1"/>
  <c r="C5160" i="1"/>
  <c r="B5160" i="1"/>
  <c r="K5159" i="1"/>
  <c r="C5159" i="1"/>
  <c r="B5159" i="1"/>
  <c r="K5158" i="1"/>
  <c r="C5158" i="1"/>
  <c r="B5158" i="1"/>
  <c r="K5157" i="1"/>
  <c r="C5157" i="1"/>
  <c r="B5157" i="1"/>
  <c r="K5156" i="1"/>
  <c r="C5156" i="1"/>
  <c r="B5156" i="1"/>
  <c r="K5155" i="1"/>
  <c r="C5155" i="1"/>
  <c r="B5155" i="1"/>
  <c r="K5154" i="1"/>
  <c r="C5154" i="1"/>
  <c r="B5154" i="1"/>
  <c r="K5153" i="1"/>
  <c r="C5153" i="1"/>
  <c r="B5153" i="1"/>
  <c r="K5152" i="1"/>
  <c r="C5152" i="1"/>
  <c r="B5152" i="1"/>
  <c r="K5151" i="1"/>
  <c r="C5151" i="1"/>
  <c r="B5151" i="1"/>
  <c r="K5150" i="1"/>
  <c r="C5150" i="1"/>
  <c r="B5150" i="1"/>
  <c r="K5149" i="1"/>
  <c r="C5149" i="1"/>
  <c r="B5149" i="1"/>
  <c r="K5148" i="1"/>
  <c r="C5148" i="1"/>
  <c r="B5148" i="1"/>
  <c r="K5147" i="1"/>
  <c r="C5147" i="1"/>
  <c r="B5147" i="1"/>
  <c r="K5146" i="1"/>
  <c r="C5146" i="1"/>
  <c r="B5146" i="1"/>
  <c r="K5145" i="1"/>
  <c r="C5145" i="1"/>
  <c r="B5145" i="1"/>
  <c r="K5144" i="1"/>
  <c r="C5144" i="1"/>
  <c r="B5144" i="1"/>
  <c r="K5143" i="1"/>
  <c r="C5143" i="1"/>
  <c r="B5143" i="1"/>
  <c r="K5142" i="1"/>
  <c r="C5142" i="1"/>
  <c r="B5142" i="1"/>
  <c r="K5141" i="1"/>
  <c r="C5141" i="1"/>
  <c r="B5141" i="1"/>
  <c r="K5140" i="1"/>
  <c r="C5140" i="1"/>
  <c r="B5140" i="1"/>
  <c r="K5139" i="1"/>
  <c r="C5139" i="1"/>
  <c r="B5139" i="1"/>
  <c r="K5138" i="1"/>
  <c r="C5138" i="1"/>
  <c r="B5138" i="1"/>
  <c r="K5137" i="1"/>
  <c r="C5137" i="1"/>
  <c r="B5137" i="1"/>
  <c r="K5136" i="1"/>
  <c r="C5136" i="1"/>
  <c r="B5136" i="1"/>
  <c r="K5135" i="1"/>
  <c r="C5135" i="1"/>
  <c r="B5135" i="1"/>
  <c r="K5134" i="1"/>
  <c r="C5134" i="1"/>
  <c r="B5134" i="1"/>
  <c r="K5133" i="1"/>
  <c r="C5133" i="1"/>
  <c r="B5133" i="1"/>
  <c r="K5132" i="1"/>
  <c r="C5132" i="1"/>
  <c r="B5132" i="1"/>
  <c r="K5131" i="1"/>
  <c r="C5131" i="1"/>
  <c r="B5131" i="1"/>
  <c r="K5130" i="1"/>
  <c r="C5130" i="1"/>
  <c r="B5130" i="1"/>
  <c r="K5129" i="1"/>
  <c r="C5129" i="1"/>
  <c r="B5129" i="1"/>
  <c r="K5128" i="1"/>
  <c r="C5128" i="1"/>
  <c r="B5128" i="1"/>
  <c r="K5127" i="1"/>
  <c r="C5127" i="1"/>
  <c r="B5127" i="1"/>
  <c r="K5126" i="1"/>
  <c r="C5126" i="1"/>
  <c r="B5126" i="1"/>
  <c r="K5125" i="1"/>
  <c r="C5125" i="1"/>
  <c r="B5125" i="1"/>
  <c r="K5124" i="1"/>
  <c r="C5124" i="1"/>
  <c r="B5124" i="1"/>
  <c r="K5123" i="1"/>
  <c r="C5123" i="1"/>
  <c r="B5123" i="1"/>
  <c r="K5122" i="1"/>
  <c r="C5122" i="1"/>
  <c r="B5122" i="1"/>
  <c r="K5121" i="1"/>
  <c r="C5121" i="1"/>
  <c r="B5121" i="1"/>
  <c r="K5120" i="1"/>
  <c r="C5120" i="1"/>
  <c r="B5120" i="1"/>
  <c r="K5119" i="1"/>
  <c r="C5119" i="1"/>
  <c r="B5119" i="1"/>
  <c r="K5118" i="1"/>
  <c r="C5118" i="1"/>
  <c r="B5118" i="1"/>
  <c r="K5117" i="1"/>
  <c r="C5117" i="1"/>
  <c r="B5117" i="1"/>
  <c r="K5116" i="1"/>
  <c r="C5116" i="1"/>
  <c r="B5116" i="1"/>
  <c r="K5115" i="1"/>
  <c r="C5115" i="1"/>
  <c r="B5115" i="1"/>
  <c r="K5114" i="1"/>
  <c r="C5114" i="1"/>
  <c r="B5114" i="1"/>
  <c r="K5113" i="1"/>
  <c r="C5113" i="1"/>
  <c r="B5113" i="1"/>
  <c r="K5112" i="1"/>
  <c r="C5112" i="1"/>
  <c r="B5112" i="1"/>
  <c r="K5111" i="1"/>
  <c r="C5111" i="1"/>
  <c r="B5111" i="1"/>
  <c r="K5110" i="1"/>
  <c r="C5110" i="1"/>
  <c r="B5110" i="1"/>
  <c r="K5109" i="1"/>
  <c r="C5109" i="1"/>
  <c r="B5109" i="1"/>
  <c r="K5108" i="1"/>
  <c r="C5108" i="1"/>
  <c r="B5108" i="1"/>
  <c r="K5107" i="1"/>
  <c r="C5107" i="1"/>
  <c r="B5107" i="1"/>
  <c r="K5106" i="1"/>
  <c r="C5106" i="1"/>
  <c r="B5106" i="1"/>
  <c r="K5105" i="1"/>
  <c r="C5105" i="1"/>
  <c r="B5105" i="1"/>
  <c r="K5104" i="1"/>
  <c r="C5104" i="1"/>
  <c r="B5104" i="1"/>
  <c r="K5103" i="1"/>
  <c r="C5103" i="1"/>
  <c r="B5103" i="1"/>
  <c r="K5102" i="1"/>
  <c r="C5102" i="1"/>
  <c r="B5102" i="1"/>
  <c r="K5101" i="1"/>
  <c r="C5101" i="1"/>
  <c r="B5101" i="1"/>
  <c r="K5100" i="1"/>
  <c r="C5100" i="1"/>
  <c r="B5100" i="1"/>
  <c r="K5099" i="1"/>
  <c r="C5099" i="1"/>
  <c r="B5099" i="1"/>
  <c r="K5098" i="1"/>
  <c r="C5098" i="1"/>
  <c r="B5098" i="1"/>
  <c r="K5097" i="1"/>
  <c r="C5097" i="1"/>
  <c r="B5097" i="1"/>
  <c r="K5096" i="1"/>
  <c r="C5096" i="1"/>
  <c r="B5096" i="1"/>
  <c r="K5095" i="1"/>
  <c r="C5095" i="1"/>
  <c r="B5095" i="1"/>
  <c r="K5094" i="1"/>
  <c r="C5094" i="1"/>
  <c r="B5094" i="1"/>
  <c r="K5093" i="1"/>
  <c r="C5093" i="1"/>
  <c r="B5093" i="1"/>
  <c r="K5092" i="1"/>
  <c r="C5092" i="1"/>
  <c r="B5092" i="1"/>
  <c r="K5091" i="1"/>
  <c r="C5091" i="1"/>
  <c r="B5091" i="1"/>
  <c r="K5090" i="1"/>
  <c r="C5090" i="1"/>
  <c r="B5090" i="1"/>
  <c r="K5089" i="1"/>
  <c r="C5089" i="1"/>
  <c r="B5089" i="1"/>
  <c r="K5088" i="1"/>
  <c r="C5088" i="1"/>
  <c r="B5088" i="1"/>
  <c r="K5087" i="1"/>
  <c r="C5087" i="1"/>
  <c r="B5087" i="1"/>
  <c r="K5086" i="1"/>
  <c r="C5086" i="1"/>
  <c r="B5086" i="1"/>
  <c r="K5085" i="1"/>
  <c r="C5085" i="1"/>
  <c r="B5085" i="1"/>
  <c r="K5084" i="1"/>
  <c r="C5084" i="1"/>
  <c r="B5084" i="1"/>
  <c r="K5083" i="1"/>
  <c r="C5083" i="1"/>
  <c r="B5083" i="1"/>
  <c r="K5082" i="1"/>
  <c r="C5082" i="1"/>
  <c r="B5082" i="1"/>
  <c r="K5081" i="1"/>
  <c r="C5081" i="1"/>
  <c r="B5081" i="1"/>
  <c r="K5080" i="1"/>
  <c r="C5080" i="1"/>
  <c r="B5080" i="1"/>
  <c r="K5079" i="1"/>
  <c r="C5079" i="1"/>
  <c r="B5079" i="1"/>
  <c r="K5078" i="1"/>
  <c r="C5078" i="1"/>
  <c r="B5078" i="1"/>
  <c r="K5077" i="1"/>
  <c r="C5077" i="1"/>
  <c r="B5077" i="1"/>
  <c r="K5076" i="1"/>
  <c r="C5076" i="1"/>
  <c r="B5076" i="1"/>
  <c r="K5075" i="1"/>
  <c r="C5075" i="1"/>
  <c r="B5075" i="1"/>
  <c r="K5074" i="1"/>
  <c r="C5074" i="1"/>
  <c r="B5074" i="1"/>
  <c r="K5073" i="1"/>
  <c r="C5073" i="1"/>
  <c r="B5073" i="1"/>
  <c r="K5072" i="1"/>
  <c r="C5072" i="1"/>
  <c r="B5072" i="1"/>
  <c r="K5071" i="1"/>
  <c r="C5071" i="1"/>
  <c r="B5071" i="1"/>
  <c r="K5070" i="1"/>
  <c r="C5070" i="1"/>
  <c r="B5070" i="1"/>
  <c r="K5069" i="1"/>
  <c r="C5069" i="1"/>
  <c r="B5069" i="1"/>
  <c r="K5068" i="1"/>
  <c r="C5068" i="1"/>
  <c r="B5068" i="1"/>
  <c r="K5067" i="1"/>
  <c r="C5067" i="1"/>
  <c r="B5067" i="1"/>
  <c r="K5066" i="1"/>
  <c r="C5066" i="1"/>
  <c r="B5066" i="1"/>
  <c r="K5065" i="1"/>
  <c r="C5065" i="1"/>
  <c r="B5065" i="1"/>
  <c r="K5064" i="1"/>
  <c r="C5064" i="1"/>
  <c r="B5064" i="1"/>
  <c r="K5063" i="1"/>
  <c r="C5063" i="1"/>
  <c r="B5063" i="1"/>
  <c r="K5062" i="1"/>
  <c r="C5062" i="1"/>
  <c r="B5062" i="1"/>
  <c r="K5061" i="1"/>
  <c r="C5061" i="1"/>
  <c r="B5061" i="1"/>
  <c r="K5060" i="1"/>
  <c r="C5060" i="1"/>
  <c r="B5060" i="1"/>
  <c r="K5059" i="1"/>
  <c r="C5059" i="1"/>
  <c r="B5059" i="1"/>
  <c r="K5058" i="1"/>
  <c r="C5058" i="1"/>
  <c r="B5058" i="1"/>
  <c r="K5057" i="1"/>
  <c r="C5057" i="1"/>
  <c r="B5057" i="1"/>
  <c r="K5056" i="1"/>
  <c r="C5056" i="1"/>
  <c r="B5056" i="1"/>
  <c r="K5055" i="1"/>
  <c r="C5055" i="1"/>
  <c r="B5055" i="1"/>
  <c r="K5054" i="1"/>
  <c r="C5054" i="1"/>
  <c r="B5054" i="1"/>
  <c r="K5053" i="1"/>
  <c r="C5053" i="1"/>
  <c r="B5053" i="1"/>
  <c r="K5052" i="1"/>
  <c r="C5052" i="1"/>
  <c r="B5052" i="1"/>
  <c r="K5051" i="1"/>
  <c r="C5051" i="1"/>
  <c r="B5051" i="1"/>
  <c r="K5050" i="1"/>
  <c r="C5050" i="1"/>
  <c r="B5050" i="1"/>
  <c r="K5049" i="1"/>
  <c r="C5049" i="1"/>
  <c r="B5049" i="1"/>
  <c r="K5048" i="1"/>
  <c r="C5048" i="1"/>
  <c r="B5048" i="1"/>
  <c r="K5047" i="1"/>
  <c r="C5047" i="1"/>
  <c r="B5047" i="1"/>
  <c r="K5046" i="1"/>
  <c r="C5046" i="1"/>
  <c r="B5046" i="1"/>
  <c r="K5045" i="1"/>
  <c r="C5045" i="1"/>
  <c r="B5045" i="1"/>
  <c r="K5044" i="1"/>
  <c r="C5044" i="1"/>
  <c r="B5044" i="1"/>
  <c r="K5043" i="1"/>
  <c r="C5043" i="1"/>
  <c r="B5043" i="1"/>
  <c r="K5042" i="1"/>
  <c r="C5042" i="1"/>
  <c r="B5042" i="1"/>
  <c r="K5041" i="1"/>
  <c r="C5041" i="1"/>
  <c r="B5041" i="1"/>
  <c r="K5040" i="1"/>
  <c r="C5040" i="1"/>
  <c r="B5040" i="1"/>
  <c r="K5039" i="1"/>
  <c r="C5039" i="1"/>
  <c r="B5039" i="1"/>
  <c r="K5038" i="1"/>
  <c r="C5038" i="1"/>
  <c r="B5038" i="1"/>
  <c r="K5037" i="1"/>
  <c r="C5037" i="1"/>
  <c r="B5037" i="1"/>
  <c r="K5036" i="1"/>
  <c r="C5036" i="1"/>
  <c r="B5036" i="1"/>
  <c r="K5035" i="1"/>
  <c r="C5035" i="1"/>
  <c r="B5035" i="1"/>
  <c r="K5034" i="1"/>
  <c r="C5034" i="1"/>
  <c r="B5034" i="1"/>
  <c r="K5033" i="1"/>
  <c r="C5033" i="1"/>
  <c r="B5033" i="1"/>
  <c r="K5032" i="1"/>
  <c r="C5032" i="1"/>
  <c r="B5032" i="1"/>
  <c r="K5031" i="1"/>
  <c r="C5031" i="1"/>
  <c r="B5031" i="1"/>
  <c r="K5030" i="1"/>
  <c r="C5030" i="1"/>
  <c r="B5030" i="1"/>
  <c r="K5029" i="1"/>
  <c r="C5029" i="1"/>
  <c r="B5029" i="1"/>
  <c r="K5028" i="1"/>
  <c r="C5028" i="1"/>
  <c r="B5028" i="1"/>
  <c r="K5027" i="1"/>
  <c r="C5027" i="1"/>
  <c r="B5027" i="1"/>
  <c r="K5026" i="1"/>
  <c r="C5026" i="1"/>
  <c r="B5026" i="1"/>
  <c r="K5025" i="1"/>
  <c r="C5025" i="1"/>
  <c r="B5025" i="1"/>
  <c r="K5024" i="1"/>
  <c r="C5024" i="1"/>
  <c r="B5024" i="1"/>
  <c r="K5023" i="1"/>
  <c r="C5023" i="1"/>
  <c r="B5023" i="1"/>
  <c r="K5022" i="1"/>
  <c r="C5022" i="1"/>
  <c r="B5022" i="1"/>
  <c r="K5021" i="1"/>
  <c r="C5021" i="1"/>
  <c r="B5021" i="1"/>
  <c r="K5020" i="1"/>
  <c r="C5020" i="1"/>
  <c r="B5020" i="1"/>
  <c r="K5019" i="1"/>
  <c r="C5019" i="1"/>
  <c r="B5019" i="1"/>
  <c r="K5018" i="1"/>
  <c r="C5018" i="1"/>
  <c r="B5018" i="1"/>
  <c r="K5017" i="1"/>
  <c r="C5017" i="1"/>
  <c r="B5017" i="1"/>
  <c r="K5016" i="1"/>
  <c r="C5016" i="1"/>
  <c r="B5016" i="1"/>
  <c r="K5015" i="1"/>
  <c r="C5015" i="1"/>
  <c r="B5015" i="1"/>
  <c r="K5014" i="1"/>
  <c r="C5014" i="1"/>
  <c r="B5014" i="1"/>
  <c r="K5013" i="1"/>
  <c r="C5013" i="1"/>
  <c r="B5013" i="1"/>
  <c r="K5012" i="1"/>
  <c r="C5012" i="1"/>
  <c r="B5012" i="1"/>
  <c r="K5011" i="1"/>
  <c r="C5011" i="1"/>
  <c r="B5011" i="1"/>
  <c r="K5010" i="1"/>
  <c r="C5010" i="1"/>
  <c r="B5010" i="1"/>
  <c r="K5009" i="1"/>
  <c r="C5009" i="1"/>
  <c r="B5009" i="1"/>
  <c r="K5008" i="1"/>
  <c r="C5008" i="1"/>
  <c r="B5008" i="1"/>
  <c r="K5007" i="1"/>
  <c r="C5007" i="1"/>
  <c r="B5007" i="1"/>
  <c r="K5006" i="1"/>
  <c r="C5006" i="1"/>
  <c r="B5006" i="1"/>
  <c r="K5005" i="1"/>
  <c r="C5005" i="1"/>
  <c r="B5005" i="1"/>
  <c r="K5004" i="1"/>
  <c r="C5004" i="1"/>
  <c r="B5004" i="1"/>
  <c r="K5003" i="1"/>
  <c r="C5003" i="1"/>
  <c r="B5003" i="1"/>
  <c r="K5002" i="1"/>
  <c r="C5002" i="1"/>
  <c r="B5002" i="1"/>
  <c r="K5001" i="1"/>
  <c r="C5001" i="1"/>
  <c r="B5001" i="1"/>
  <c r="K5000" i="1"/>
  <c r="C5000" i="1"/>
  <c r="B5000" i="1"/>
  <c r="K4999" i="1"/>
  <c r="C4999" i="1"/>
  <c r="B4999" i="1"/>
  <c r="K4998" i="1"/>
  <c r="C4998" i="1"/>
  <c r="B4998" i="1"/>
  <c r="K4997" i="1"/>
  <c r="C4997" i="1"/>
  <c r="B4997" i="1"/>
  <c r="K4996" i="1"/>
  <c r="C4996" i="1"/>
  <c r="B4996" i="1"/>
  <c r="K4995" i="1"/>
  <c r="C4995" i="1"/>
  <c r="B4995" i="1"/>
  <c r="K4994" i="1"/>
  <c r="C4994" i="1"/>
  <c r="B4994" i="1"/>
  <c r="K4993" i="1"/>
  <c r="C4993" i="1"/>
  <c r="B4993" i="1"/>
  <c r="K4992" i="1"/>
  <c r="C4992" i="1"/>
  <c r="B4992" i="1"/>
  <c r="K4991" i="1"/>
  <c r="C4991" i="1"/>
  <c r="B4991" i="1"/>
  <c r="K4990" i="1"/>
  <c r="C4990" i="1"/>
  <c r="B4990" i="1"/>
  <c r="K4989" i="1"/>
  <c r="C4989" i="1"/>
  <c r="B4989" i="1"/>
  <c r="K4988" i="1"/>
  <c r="C4988" i="1"/>
  <c r="B4988" i="1"/>
  <c r="K4987" i="1"/>
  <c r="C4987" i="1"/>
  <c r="B4987" i="1"/>
  <c r="K4986" i="1"/>
  <c r="C4986" i="1"/>
  <c r="B4986" i="1"/>
  <c r="K4985" i="1"/>
  <c r="C4985" i="1"/>
  <c r="B4985" i="1"/>
  <c r="K4984" i="1"/>
  <c r="C4984" i="1"/>
  <c r="B4984" i="1"/>
  <c r="K4983" i="1"/>
  <c r="C4983" i="1"/>
  <c r="B4983" i="1"/>
  <c r="K4982" i="1"/>
  <c r="C4982" i="1"/>
  <c r="B4982" i="1"/>
  <c r="K4981" i="1"/>
  <c r="C4981" i="1"/>
  <c r="B4981" i="1"/>
  <c r="K4980" i="1"/>
  <c r="C4980" i="1"/>
  <c r="B4980" i="1"/>
  <c r="K4979" i="1"/>
  <c r="C4979" i="1"/>
  <c r="B4979" i="1"/>
  <c r="K4978" i="1"/>
  <c r="C4978" i="1"/>
  <c r="B4978" i="1"/>
  <c r="K4977" i="1"/>
  <c r="C4977" i="1"/>
  <c r="B4977" i="1"/>
  <c r="K4976" i="1"/>
  <c r="C4976" i="1"/>
  <c r="B4976" i="1"/>
  <c r="K4975" i="1"/>
  <c r="C4975" i="1"/>
  <c r="B4975" i="1"/>
  <c r="K4974" i="1"/>
  <c r="C4974" i="1"/>
  <c r="B4974" i="1"/>
  <c r="K4973" i="1"/>
  <c r="C4973" i="1"/>
  <c r="B4973" i="1"/>
  <c r="K4972" i="1"/>
  <c r="C4972" i="1"/>
  <c r="B4972" i="1"/>
  <c r="K4971" i="1"/>
  <c r="C4971" i="1"/>
  <c r="B4971" i="1"/>
  <c r="K4970" i="1"/>
  <c r="C4970" i="1"/>
  <c r="B4970" i="1"/>
  <c r="K4969" i="1"/>
  <c r="C4969" i="1"/>
  <c r="B4969" i="1"/>
  <c r="K4968" i="1"/>
  <c r="C4968" i="1"/>
  <c r="B4968" i="1"/>
  <c r="K4967" i="1"/>
  <c r="C4967" i="1"/>
  <c r="B4967" i="1"/>
  <c r="K4966" i="1"/>
  <c r="C4966" i="1"/>
  <c r="B4966" i="1"/>
  <c r="K4965" i="1"/>
  <c r="C4965" i="1"/>
  <c r="B4965" i="1"/>
  <c r="K4964" i="1"/>
  <c r="C4964" i="1"/>
  <c r="B4964" i="1"/>
  <c r="K4963" i="1"/>
  <c r="C4963" i="1"/>
  <c r="B4963" i="1"/>
  <c r="K4962" i="1"/>
  <c r="C4962" i="1"/>
  <c r="B4962" i="1"/>
  <c r="K4961" i="1"/>
  <c r="C4961" i="1"/>
  <c r="B4961" i="1"/>
  <c r="K4960" i="1"/>
  <c r="C4960" i="1"/>
  <c r="B4960" i="1"/>
  <c r="K4959" i="1"/>
  <c r="C4959" i="1"/>
  <c r="B4959" i="1"/>
  <c r="K4958" i="1"/>
  <c r="C4958" i="1"/>
  <c r="B4958" i="1"/>
  <c r="K4957" i="1"/>
  <c r="C4957" i="1"/>
  <c r="B4957" i="1"/>
  <c r="K4956" i="1"/>
  <c r="C4956" i="1"/>
  <c r="B4956" i="1"/>
  <c r="K4955" i="1"/>
  <c r="C4955" i="1"/>
  <c r="B4955" i="1"/>
  <c r="K4954" i="1"/>
  <c r="C4954" i="1"/>
  <c r="B4954" i="1"/>
  <c r="K4953" i="1"/>
  <c r="C4953" i="1"/>
  <c r="B4953" i="1"/>
  <c r="K4952" i="1"/>
  <c r="C4952" i="1"/>
  <c r="B4952" i="1"/>
  <c r="K4951" i="1"/>
  <c r="C4951" i="1"/>
  <c r="B4951" i="1"/>
  <c r="K4950" i="1"/>
  <c r="C4950" i="1"/>
  <c r="B4950" i="1"/>
  <c r="K4949" i="1"/>
  <c r="C4949" i="1"/>
  <c r="B4949" i="1"/>
  <c r="K4948" i="1"/>
  <c r="C4948" i="1"/>
  <c r="B4948" i="1"/>
  <c r="K4947" i="1"/>
  <c r="C4947" i="1"/>
  <c r="B4947" i="1"/>
  <c r="K4946" i="1"/>
  <c r="C4946" i="1"/>
  <c r="B4946" i="1"/>
  <c r="K4945" i="1"/>
  <c r="C4945" i="1"/>
  <c r="B4945" i="1"/>
  <c r="K4944" i="1"/>
  <c r="C4944" i="1"/>
  <c r="B4944" i="1"/>
  <c r="K4943" i="1"/>
  <c r="C4943" i="1"/>
  <c r="B4943" i="1"/>
  <c r="K4942" i="1"/>
  <c r="C4942" i="1"/>
  <c r="B4942" i="1"/>
  <c r="K4941" i="1"/>
  <c r="C4941" i="1"/>
  <c r="B4941" i="1"/>
  <c r="K4940" i="1"/>
  <c r="C4940" i="1"/>
  <c r="B4940" i="1"/>
  <c r="K4939" i="1"/>
  <c r="C4939" i="1"/>
  <c r="B4939" i="1"/>
  <c r="K4938" i="1"/>
  <c r="C4938" i="1"/>
  <c r="B4938" i="1"/>
  <c r="K4937" i="1"/>
  <c r="C4937" i="1"/>
  <c r="B4937" i="1"/>
  <c r="K4936" i="1"/>
  <c r="C4936" i="1"/>
  <c r="B4936" i="1"/>
  <c r="K4935" i="1"/>
  <c r="C4935" i="1"/>
  <c r="B4935" i="1"/>
  <c r="K4934" i="1"/>
  <c r="C4934" i="1"/>
  <c r="B4934" i="1"/>
  <c r="K4933" i="1"/>
  <c r="C4933" i="1"/>
  <c r="B4933" i="1"/>
  <c r="K4932" i="1"/>
  <c r="C4932" i="1"/>
  <c r="B4932" i="1"/>
  <c r="K4931" i="1"/>
  <c r="C4931" i="1"/>
  <c r="B4931" i="1"/>
  <c r="K4930" i="1"/>
  <c r="C4930" i="1"/>
  <c r="B4930" i="1"/>
  <c r="K4929" i="1"/>
  <c r="C4929" i="1"/>
  <c r="B4929" i="1"/>
  <c r="K4928" i="1"/>
  <c r="C4928" i="1"/>
  <c r="B4928" i="1"/>
  <c r="K4927" i="1"/>
  <c r="C4927" i="1"/>
  <c r="B4927" i="1"/>
  <c r="K4926" i="1"/>
  <c r="C4926" i="1"/>
  <c r="B4926" i="1"/>
  <c r="K4925" i="1"/>
  <c r="C4925" i="1"/>
  <c r="B4925" i="1"/>
  <c r="K4924" i="1"/>
  <c r="C4924" i="1"/>
  <c r="B4924" i="1"/>
  <c r="K4923" i="1"/>
  <c r="C4923" i="1"/>
  <c r="B4923" i="1"/>
  <c r="K4922" i="1"/>
  <c r="C4922" i="1"/>
  <c r="B4922" i="1"/>
  <c r="K4921" i="1"/>
  <c r="C4921" i="1"/>
  <c r="B4921" i="1"/>
  <c r="K4920" i="1"/>
  <c r="C4920" i="1"/>
  <c r="B4920" i="1"/>
  <c r="K4919" i="1"/>
  <c r="C4919" i="1"/>
  <c r="B4919" i="1"/>
  <c r="K4918" i="1"/>
  <c r="C4918" i="1"/>
  <c r="B4918" i="1"/>
  <c r="K4917" i="1"/>
  <c r="C4917" i="1"/>
  <c r="B4917" i="1"/>
  <c r="K4916" i="1"/>
  <c r="C4916" i="1"/>
  <c r="B4916" i="1"/>
  <c r="K4915" i="1"/>
  <c r="C4915" i="1"/>
  <c r="B4915" i="1"/>
  <c r="K4914" i="1"/>
  <c r="C4914" i="1"/>
  <c r="B4914" i="1"/>
  <c r="K4913" i="1"/>
  <c r="C4913" i="1"/>
  <c r="B4913" i="1"/>
  <c r="K4912" i="1"/>
  <c r="C4912" i="1"/>
  <c r="B4912" i="1"/>
  <c r="K4911" i="1"/>
  <c r="C4911" i="1"/>
  <c r="B4911" i="1"/>
  <c r="K4910" i="1"/>
  <c r="C4910" i="1"/>
  <c r="B4910" i="1"/>
  <c r="K4909" i="1"/>
  <c r="C4909" i="1"/>
  <c r="B4909" i="1"/>
  <c r="K4908" i="1"/>
  <c r="C4908" i="1"/>
  <c r="B4908" i="1"/>
  <c r="K4907" i="1"/>
  <c r="C4907" i="1"/>
  <c r="B4907" i="1"/>
  <c r="K4906" i="1"/>
  <c r="C4906" i="1"/>
  <c r="B4906" i="1"/>
  <c r="K4905" i="1"/>
  <c r="C4905" i="1"/>
  <c r="B4905" i="1"/>
  <c r="K4904" i="1"/>
  <c r="C4904" i="1"/>
  <c r="B4904" i="1"/>
  <c r="K4903" i="1"/>
  <c r="C4903" i="1"/>
  <c r="B4903" i="1"/>
  <c r="K4902" i="1"/>
  <c r="C4902" i="1"/>
  <c r="B4902" i="1"/>
  <c r="K4901" i="1"/>
  <c r="C4901" i="1"/>
  <c r="B4901" i="1"/>
  <c r="K4900" i="1"/>
  <c r="C4900" i="1"/>
  <c r="B4900" i="1"/>
  <c r="K4899" i="1"/>
  <c r="C4899" i="1"/>
  <c r="B4899" i="1"/>
  <c r="K4898" i="1"/>
  <c r="C4898" i="1"/>
  <c r="B4898" i="1"/>
  <c r="K4897" i="1"/>
  <c r="C4897" i="1"/>
  <c r="B4897" i="1"/>
  <c r="K4896" i="1"/>
  <c r="C4896" i="1"/>
  <c r="B4896" i="1"/>
  <c r="K4895" i="1"/>
  <c r="C4895" i="1"/>
  <c r="B4895" i="1"/>
  <c r="K4894" i="1"/>
  <c r="C4894" i="1"/>
  <c r="B4894" i="1"/>
  <c r="K4893" i="1"/>
  <c r="C4893" i="1"/>
  <c r="B4893" i="1"/>
  <c r="K4892" i="1"/>
  <c r="C4892" i="1"/>
  <c r="B4892" i="1"/>
  <c r="K4891" i="1"/>
  <c r="C4891" i="1"/>
  <c r="B4891" i="1"/>
  <c r="K4890" i="1"/>
  <c r="C4890" i="1"/>
  <c r="B4890" i="1"/>
  <c r="K4889" i="1"/>
  <c r="C4889" i="1"/>
  <c r="B4889" i="1"/>
  <c r="K4888" i="1"/>
  <c r="C4888" i="1"/>
  <c r="B4888" i="1"/>
  <c r="K4887" i="1"/>
  <c r="C4887" i="1"/>
  <c r="B4887" i="1"/>
  <c r="K4886" i="1"/>
  <c r="C4886" i="1"/>
  <c r="B4886" i="1"/>
  <c r="K4885" i="1"/>
  <c r="C4885" i="1"/>
  <c r="B4885" i="1"/>
  <c r="K4884" i="1"/>
  <c r="C4884" i="1"/>
  <c r="B4884" i="1"/>
  <c r="K4883" i="1"/>
  <c r="C4883" i="1"/>
  <c r="B4883" i="1"/>
  <c r="K4882" i="1"/>
  <c r="C4882" i="1"/>
  <c r="B4882" i="1"/>
  <c r="K4881" i="1"/>
  <c r="C4881" i="1"/>
  <c r="B4881" i="1"/>
  <c r="K4880" i="1"/>
  <c r="C4880" i="1"/>
  <c r="B4880" i="1"/>
  <c r="K4879" i="1"/>
  <c r="C4879" i="1"/>
  <c r="B4879" i="1"/>
  <c r="K4878" i="1"/>
  <c r="C4878" i="1"/>
  <c r="B4878" i="1"/>
  <c r="K4877" i="1"/>
  <c r="C4877" i="1"/>
  <c r="B4877" i="1"/>
  <c r="K4876" i="1"/>
  <c r="C4876" i="1"/>
  <c r="B4876" i="1"/>
  <c r="K4875" i="1"/>
  <c r="C4875" i="1"/>
  <c r="B4875" i="1"/>
  <c r="K4874" i="1"/>
  <c r="C4874" i="1"/>
  <c r="B4874" i="1"/>
  <c r="K4873" i="1"/>
  <c r="C4873" i="1"/>
  <c r="B4873" i="1"/>
  <c r="K4872" i="1"/>
  <c r="C4872" i="1"/>
  <c r="B4872" i="1"/>
  <c r="K4871" i="1"/>
  <c r="C4871" i="1"/>
  <c r="B4871" i="1"/>
  <c r="K4870" i="1"/>
  <c r="C4870" i="1"/>
  <c r="B4870" i="1"/>
  <c r="K4869" i="1"/>
  <c r="C4869" i="1"/>
  <c r="B4869" i="1"/>
  <c r="K4868" i="1"/>
  <c r="C4868" i="1"/>
  <c r="B4868" i="1"/>
  <c r="K4867" i="1"/>
  <c r="C4867" i="1"/>
  <c r="B4867" i="1"/>
  <c r="K4866" i="1"/>
  <c r="C4866" i="1"/>
  <c r="B4866" i="1"/>
  <c r="K4865" i="1"/>
  <c r="C4865" i="1"/>
  <c r="B4865" i="1"/>
  <c r="K4864" i="1"/>
  <c r="C4864" i="1"/>
  <c r="B4864" i="1"/>
  <c r="K4863" i="1"/>
  <c r="C4863" i="1"/>
  <c r="B4863" i="1"/>
  <c r="K4862" i="1"/>
  <c r="C4862" i="1"/>
  <c r="B4862" i="1"/>
  <c r="K4861" i="1"/>
  <c r="C4861" i="1"/>
  <c r="B4861" i="1"/>
  <c r="K4860" i="1"/>
  <c r="C4860" i="1"/>
  <c r="B4860" i="1"/>
  <c r="K4859" i="1"/>
  <c r="C4859" i="1"/>
  <c r="B4859" i="1"/>
  <c r="K4858" i="1"/>
  <c r="C4858" i="1"/>
  <c r="B4858" i="1"/>
  <c r="K4857" i="1"/>
  <c r="C4857" i="1"/>
  <c r="B4857" i="1"/>
  <c r="K4856" i="1"/>
  <c r="C4856" i="1"/>
  <c r="B4856" i="1"/>
  <c r="K4855" i="1"/>
  <c r="C4855" i="1"/>
  <c r="B4855" i="1"/>
  <c r="K4854" i="1"/>
  <c r="C4854" i="1"/>
  <c r="B4854" i="1"/>
  <c r="K4853" i="1"/>
  <c r="C4853" i="1"/>
  <c r="B4853" i="1"/>
  <c r="K4852" i="1"/>
  <c r="C4852" i="1"/>
  <c r="B4852" i="1"/>
  <c r="K4851" i="1"/>
  <c r="C4851" i="1"/>
  <c r="B4851" i="1"/>
  <c r="K4850" i="1"/>
  <c r="C4850" i="1"/>
  <c r="B4850" i="1"/>
  <c r="K4849" i="1"/>
  <c r="C4849" i="1"/>
  <c r="B4849" i="1"/>
  <c r="K4848" i="1"/>
  <c r="C4848" i="1"/>
  <c r="B4848" i="1"/>
  <c r="K4847" i="1"/>
  <c r="C4847" i="1"/>
  <c r="B4847" i="1"/>
  <c r="K4846" i="1"/>
  <c r="C4846" i="1"/>
  <c r="B4846" i="1"/>
  <c r="K4845" i="1"/>
  <c r="C4845" i="1"/>
  <c r="B4845" i="1"/>
  <c r="K4844" i="1"/>
  <c r="C4844" i="1"/>
  <c r="B4844" i="1"/>
  <c r="K4843" i="1"/>
  <c r="C4843" i="1"/>
  <c r="B4843" i="1"/>
  <c r="K4842" i="1"/>
  <c r="C4842" i="1"/>
  <c r="B4842" i="1"/>
  <c r="K4841" i="1"/>
  <c r="C4841" i="1"/>
  <c r="B4841" i="1"/>
  <c r="K4840" i="1"/>
  <c r="C4840" i="1"/>
  <c r="B4840" i="1"/>
  <c r="K4839" i="1"/>
  <c r="C4839" i="1"/>
  <c r="B4839" i="1"/>
  <c r="K4838" i="1"/>
  <c r="C4838" i="1"/>
  <c r="B4838" i="1"/>
  <c r="K4837" i="1"/>
  <c r="C4837" i="1"/>
  <c r="B4837" i="1"/>
  <c r="K4836" i="1"/>
  <c r="C4836" i="1"/>
  <c r="B4836" i="1"/>
  <c r="K4835" i="1"/>
  <c r="C4835" i="1"/>
  <c r="B4835" i="1"/>
  <c r="K4834" i="1"/>
  <c r="C4834" i="1"/>
  <c r="B4834" i="1"/>
  <c r="K4833" i="1"/>
  <c r="C4833" i="1"/>
  <c r="B4833" i="1"/>
  <c r="K4832" i="1"/>
  <c r="C4832" i="1"/>
  <c r="B4832" i="1"/>
  <c r="K4831" i="1"/>
  <c r="C4831" i="1"/>
  <c r="B4831" i="1"/>
  <c r="K4830" i="1"/>
  <c r="C4830" i="1"/>
  <c r="B4830" i="1"/>
  <c r="K4829" i="1"/>
  <c r="C4829" i="1"/>
  <c r="B4829" i="1"/>
  <c r="K4828" i="1"/>
  <c r="C4828" i="1"/>
  <c r="B4828" i="1"/>
  <c r="K4827" i="1"/>
  <c r="C4827" i="1"/>
  <c r="B4827" i="1"/>
  <c r="K4826" i="1"/>
  <c r="C4826" i="1"/>
  <c r="B4826" i="1"/>
  <c r="K4825" i="1"/>
  <c r="C4825" i="1"/>
  <c r="B4825" i="1"/>
  <c r="K4824" i="1"/>
  <c r="C4824" i="1"/>
  <c r="B4824" i="1"/>
  <c r="K4823" i="1"/>
  <c r="C4823" i="1"/>
  <c r="B4823" i="1"/>
  <c r="K4822" i="1"/>
  <c r="C4822" i="1"/>
  <c r="B4822" i="1"/>
  <c r="K4821" i="1"/>
  <c r="C4821" i="1"/>
  <c r="B4821" i="1"/>
  <c r="K4820" i="1"/>
  <c r="C4820" i="1"/>
  <c r="B4820" i="1"/>
  <c r="K4819" i="1"/>
  <c r="C4819" i="1"/>
  <c r="B4819" i="1"/>
  <c r="K4818" i="1"/>
  <c r="C4818" i="1"/>
  <c r="B4818" i="1"/>
  <c r="K4817" i="1"/>
  <c r="C4817" i="1"/>
  <c r="B4817" i="1"/>
  <c r="K4816" i="1"/>
  <c r="C4816" i="1"/>
  <c r="B4816" i="1"/>
  <c r="K4815" i="1"/>
  <c r="C4815" i="1"/>
  <c r="B4815" i="1"/>
  <c r="K4814" i="1"/>
  <c r="C4814" i="1"/>
  <c r="B4814" i="1"/>
  <c r="K4813" i="1"/>
  <c r="C4813" i="1"/>
  <c r="B4813" i="1"/>
  <c r="K4812" i="1"/>
  <c r="C4812" i="1"/>
  <c r="B4812" i="1"/>
  <c r="K4811" i="1"/>
  <c r="C4811" i="1"/>
  <c r="B4811" i="1"/>
  <c r="K4810" i="1"/>
  <c r="C4810" i="1"/>
  <c r="B4810" i="1"/>
  <c r="K4809" i="1"/>
  <c r="C4809" i="1"/>
  <c r="B4809" i="1"/>
  <c r="K4808" i="1"/>
  <c r="C4808" i="1"/>
  <c r="B4808" i="1"/>
  <c r="K4807" i="1"/>
  <c r="C4807" i="1"/>
  <c r="B4807" i="1"/>
  <c r="K4806" i="1"/>
  <c r="C4806" i="1"/>
  <c r="B4806" i="1"/>
  <c r="K4805" i="1"/>
  <c r="C4805" i="1"/>
  <c r="B4805" i="1"/>
  <c r="K4804" i="1"/>
  <c r="C4804" i="1"/>
  <c r="B4804" i="1"/>
  <c r="K4803" i="1"/>
  <c r="C4803" i="1"/>
  <c r="B4803" i="1"/>
  <c r="K4802" i="1"/>
  <c r="C4802" i="1"/>
  <c r="B4802" i="1"/>
  <c r="K4801" i="1"/>
  <c r="C4801" i="1"/>
  <c r="B4801" i="1"/>
  <c r="K4800" i="1"/>
  <c r="C4800" i="1"/>
  <c r="B4800" i="1"/>
  <c r="K4799" i="1"/>
  <c r="C4799" i="1"/>
  <c r="B4799" i="1"/>
  <c r="K4798" i="1"/>
  <c r="C4798" i="1"/>
  <c r="B4798" i="1"/>
  <c r="K4797" i="1"/>
  <c r="C4797" i="1"/>
  <c r="B4797" i="1"/>
  <c r="K4796" i="1"/>
  <c r="C4796" i="1"/>
  <c r="B4796" i="1"/>
  <c r="K4795" i="1"/>
  <c r="C4795" i="1"/>
  <c r="B4795" i="1"/>
  <c r="K4794" i="1"/>
  <c r="C4794" i="1"/>
  <c r="B4794" i="1"/>
  <c r="K4793" i="1"/>
  <c r="C4793" i="1"/>
  <c r="B4793" i="1"/>
  <c r="K4792" i="1"/>
  <c r="C4792" i="1"/>
  <c r="B4792" i="1"/>
  <c r="K4791" i="1"/>
  <c r="C4791" i="1"/>
  <c r="B4791" i="1"/>
  <c r="K4790" i="1"/>
  <c r="C4790" i="1"/>
  <c r="B4790" i="1"/>
  <c r="K4789" i="1"/>
  <c r="C4789" i="1"/>
  <c r="B4789" i="1"/>
  <c r="K4788" i="1"/>
  <c r="C4788" i="1"/>
  <c r="B4788" i="1"/>
  <c r="K4787" i="1"/>
  <c r="C4787" i="1"/>
  <c r="B4787" i="1"/>
  <c r="K4786" i="1"/>
  <c r="C4786" i="1"/>
  <c r="B4786" i="1"/>
  <c r="K4785" i="1"/>
  <c r="C4785" i="1"/>
  <c r="B4785" i="1"/>
  <c r="K4784" i="1"/>
  <c r="C4784" i="1"/>
  <c r="B4784" i="1"/>
  <c r="K4783" i="1"/>
  <c r="C4783" i="1"/>
  <c r="B4783" i="1"/>
  <c r="K4782" i="1"/>
  <c r="C4782" i="1"/>
  <c r="B4782" i="1"/>
  <c r="K4781" i="1"/>
  <c r="C4781" i="1"/>
  <c r="B4781" i="1"/>
  <c r="K4780" i="1"/>
  <c r="C4780" i="1"/>
  <c r="B4780" i="1"/>
  <c r="K4779" i="1"/>
  <c r="C4779" i="1"/>
  <c r="B4779" i="1"/>
  <c r="K4778" i="1"/>
  <c r="C4778" i="1"/>
  <c r="B4778" i="1"/>
  <c r="K4777" i="1"/>
  <c r="C4777" i="1"/>
  <c r="B4777" i="1"/>
  <c r="K4776" i="1"/>
  <c r="C4776" i="1"/>
  <c r="B4776" i="1"/>
  <c r="K4775" i="1"/>
  <c r="C4775" i="1"/>
  <c r="B4775" i="1"/>
  <c r="K4774" i="1"/>
  <c r="C4774" i="1"/>
  <c r="B4774" i="1"/>
  <c r="K4773" i="1"/>
  <c r="C4773" i="1"/>
  <c r="B4773" i="1"/>
  <c r="K4772" i="1"/>
  <c r="C4772" i="1"/>
  <c r="B4772" i="1"/>
  <c r="K4771" i="1"/>
  <c r="C4771" i="1"/>
  <c r="B4771" i="1"/>
  <c r="K4770" i="1"/>
  <c r="C4770" i="1"/>
  <c r="B4770" i="1"/>
  <c r="K4769" i="1"/>
  <c r="C4769" i="1"/>
  <c r="B4769" i="1"/>
  <c r="K4768" i="1"/>
  <c r="C4768" i="1"/>
  <c r="B4768" i="1"/>
  <c r="K4767" i="1"/>
  <c r="C4767" i="1"/>
  <c r="B4767" i="1"/>
  <c r="K4766" i="1"/>
  <c r="C4766" i="1"/>
  <c r="B4766" i="1"/>
  <c r="K4765" i="1"/>
  <c r="C4765" i="1"/>
  <c r="B4765" i="1"/>
  <c r="K4764" i="1"/>
  <c r="C4764" i="1"/>
  <c r="B4764" i="1"/>
  <c r="K4763" i="1"/>
  <c r="C4763" i="1"/>
  <c r="B4763" i="1"/>
  <c r="K4762" i="1"/>
  <c r="C4762" i="1"/>
  <c r="B4762" i="1"/>
  <c r="K4761" i="1"/>
  <c r="C4761" i="1"/>
  <c r="B4761" i="1"/>
  <c r="K4760" i="1"/>
  <c r="C4760" i="1"/>
  <c r="B4760" i="1"/>
  <c r="K4759" i="1"/>
  <c r="C4759" i="1"/>
  <c r="B4759" i="1"/>
  <c r="K4758" i="1"/>
  <c r="C4758" i="1"/>
  <c r="B4758" i="1"/>
  <c r="K4757" i="1"/>
  <c r="C4757" i="1"/>
  <c r="B4757" i="1"/>
  <c r="K4756" i="1"/>
  <c r="C4756" i="1"/>
  <c r="B4756" i="1"/>
  <c r="K4755" i="1"/>
  <c r="C4755" i="1"/>
  <c r="B4755" i="1"/>
  <c r="K4754" i="1"/>
  <c r="C4754" i="1"/>
  <c r="B4754" i="1"/>
  <c r="K4753" i="1"/>
  <c r="C4753" i="1"/>
  <c r="B4753" i="1"/>
  <c r="K4752" i="1"/>
  <c r="C4752" i="1"/>
  <c r="B4752" i="1"/>
  <c r="K4751" i="1"/>
  <c r="C4751" i="1"/>
  <c r="B4751" i="1"/>
  <c r="K4750" i="1"/>
  <c r="C4750" i="1"/>
  <c r="B4750" i="1"/>
  <c r="K4749" i="1"/>
  <c r="C4749" i="1"/>
  <c r="B4749" i="1"/>
  <c r="K4748" i="1"/>
  <c r="C4748" i="1"/>
  <c r="B4748" i="1"/>
  <c r="K4747" i="1"/>
  <c r="C4747" i="1"/>
  <c r="B4747" i="1"/>
  <c r="K4746" i="1"/>
  <c r="C4746" i="1"/>
  <c r="B4746" i="1"/>
  <c r="K4745" i="1"/>
  <c r="C4745" i="1"/>
  <c r="B4745" i="1"/>
  <c r="K4744" i="1"/>
  <c r="C4744" i="1"/>
  <c r="B4744" i="1"/>
  <c r="K4743" i="1"/>
  <c r="C4743" i="1"/>
  <c r="B4743" i="1"/>
  <c r="K4742" i="1"/>
  <c r="C4742" i="1"/>
  <c r="B4742" i="1"/>
  <c r="K4741" i="1"/>
  <c r="C4741" i="1"/>
  <c r="B4741" i="1"/>
  <c r="K4740" i="1"/>
  <c r="C4740" i="1"/>
  <c r="B4740" i="1"/>
  <c r="K4739" i="1"/>
  <c r="C4739" i="1"/>
  <c r="B4739" i="1"/>
  <c r="K4738" i="1"/>
  <c r="C4738" i="1"/>
  <c r="B4738" i="1"/>
  <c r="K4737" i="1"/>
  <c r="C4737" i="1"/>
  <c r="B4737" i="1"/>
  <c r="K4736" i="1"/>
  <c r="C4736" i="1"/>
  <c r="B4736" i="1"/>
  <c r="K4735" i="1"/>
  <c r="C4735" i="1"/>
  <c r="B4735" i="1"/>
  <c r="K4734" i="1"/>
  <c r="C4734" i="1"/>
  <c r="B4734" i="1"/>
  <c r="K4733" i="1"/>
  <c r="C4733" i="1"/>
  <c r="B4733" i="1"/>
  <c r="K4732" i="1"/>
  <c r="C4732" i="1"/>
  <c r="B4732" i="1"/>
  <c r="K4731" i="1"/>
  <c r="C4731" i="1"/>
  <c r="B4731" i="1"/>
  <c r="K4730" i="1"/>
  <c r="C4730" i="1"/>
  <c r="B4730" i="1"/>
  <c r="K4729" i="1"/>
  <c r="C4729" i="1"/>
  <c r="B4729" i="1"/>
  <c r="K4728" i="1"/>
  <c r="C4728" i="1"/>
  <c r="B4728" i="1"/>
  <c r="K4727" i="1"/>
  <c r="C4727" i="1"/>
  <c r="B4727" i="1"/>
  <c r="K4726" i="1"/>
  <c r="C4726" i="1"/>
  <c r="B4726" i="1"/>
  <c r="K4725" i="1"/>
  <c r="C4725" i="1"/>
  <c r="B4725" i="1"/>
  <c r="K4724" i="1"/>
  <c r="C4724" i="1"/>
  <c r="B4724" i="1"/>
  <c r="K4723" i="1"/>
  <c r="C4723" i="1"/>
  <c r="B4723" i="1"/>
  <c r="K4722" i="1"/>
  <c r="C4722" i="1"/>
  <c r="B4722" i="1"/>
  <c r="K4721" i="1"/>
  <c r="C4721" i="1"/>
  <c r="B4721" i="1"/>
  <c r="K4720" i="1"/>
  <c r="C4720" i="1"/>
  <c r="B4720" i="1"/>
  <c r="K4719" i="1"/>
  <c r="C4719" i="1"/>
  <c r="B4719" i="1"/>
  <c r="K4718" i="1"/>
  <c r="C4718" i="1"/>
  <c r="B4718" i="1"/>
  <c r="K4717" i="1"/>
  <c r="C4717" i="1"/>
  <c r="B4717" i="1"/>
  <c r="K4716" i="1"/>
  <c r="C4716" i="1"/>
  <c r="B4716" i="1"/>
  <c r="K4715" i="1"/>
  <c r="C4715" i="1"/>
  <c r="B4715" i="1"/>
  <c r="K4714" i="1"/>
  <c r="C4714" i="1"/>
  <c r="B4714" i="1"/>
  <c r="K4713" i="1"/>
  <c r="C4713" i="1"/>
  <c r="B4713" i="1"/>
  <c r="K4712" i="1"/>
  <c r="C4712" i="1"/>
  <c r="B4712" i="1"/>
  <c r="K4711" i="1"/>
  <c r="C4711" i="1"/>
  <c r="B4711" i="1"/>
  <c r="K4710" i="1"/>
  <c r="C4710" i="1"/>
  <c r="B4710" i="1"/>
  <c r="K4709" i="1"/>
  <c r="C4709" i="1"/>
  <c r="B4709" i="1"/>
  <c r="K4708" i="1"/>
  <c r="C4708" i="1"/>
  <c r="B4708" i="1"/>
  <c r="K4707" i="1"/>
  <c r="C4707" i="1"/>
  <c r="B4707" i="1"/>
  <c r="K4706" i="1"/>
  <c r="C4706" i="1"/>
  <c r="B4706" i="1"/>
  <c r="K4705" i="1"/>
  <c r="C4705" i="1"/>
  <c r="B4705" i="1"/>
  <c r="K4704" i="1"/>
  <c r="C4704" i="1"/>
  <c r="B4704" i="1"/>
  <c r="K4703" i="1"/>
  <c r="C4703" i="1"/>
  <c r="B4703" i="1"/>
  <c r="K4702" i="1"/>
  <c r="C4702" i="1"/>
  <c r="B4702" i="1"/>
  <c r="K4701" i="1"/>
  <c r="C4701" i="1"/>
  <c r="B4701" i="1"/>
  <c r="K4700" i="1"/>
  <c r="C4700" i="1"/>
  <c r="B4700" i="1"/>
  <c r="K4699" i="1"/>
  <c r="C4699" i="1"/>
  <c r="B4699" i="1"/>
  <c r="K4698" i="1"/>
  <c r="C4698" i="1"/>
  <c r="B4698" i="1"/>
  <c r="K4697" i="1"/>
  <c r="C4697" i="1"/>
  <c r="B4697" i="1"/>
  <c r="K4696" i="1"/>
  <c r="C4696" i="1"/>
  <c r="B4696" i="1"/>
  <c r="K4695" i="1"/>
  <c r="C4695" i="1"/>
  <c r="B4695" i="1"/>
  <c r="K4694" i="1"/>
  <c r="C4694" i="1"/>
  <c r="B4694" i="1"/>
  <c r="K4693" i="1"/>
  <c r="C4693" i="1"/>
  <c r="B4693" i="1"/>
  <c r="K4692" i="1"/>
  <c r="C4692" i="1"/>
  <c r="B4692" i="1"/>
  <c r="K4691" i="1"/>
  <c r="C4691" i="1"/>
  <c r="B4691" i="1"/>
  <c r="K4690" i="1"/>
  <c r="C4690" i="1"/>
  <c r="B4690" i="1"/>
  <c r="K4689" i="1"/>
  <c r="C4689" i="1"/>
  <c r="B4689" i="1"/>
  <c r="K4688" i="1"/>
  <c r="C4688" i="1"/>
  <c r="B4688" i="1"/>
  <c r="K4687" i="1"/>
  <c r="C4687" i="1"/>
  <c r="B4687" i="1"/>
  <c r="K4686" i="1"/>
  <c r="C4686" i="1"/>
  <c r="B4686" i="1"/>
  <c r="K4685" i="1"/>
  <c r="C4685" i="1"/>
  <c r="B4685" i="1"/>
  <c r="K4684" i="1"/>
  <c r="C4684" i="1"/>
  <c r="B4684" i="1"/>
  <c r="K4683" i="1"/>
  <c r="C4683" i="1"/>
  <c r="B4683" i="1"/>
  <c r="K4682" i="1"/>
  <c r="C4682" i="1"/>
  <c r="B4682" i="1"/>
  <c r="K4681" i="1"/>
  <c r="C4681" i="1"/>
  <c r="B4681" i="1"/>
  <c r="K4680" i="1"/>
  <c r="C4680" i="1"/>
  <c r="B4680" i="1"/>
  <c r="K4679" i="1"/>
  <c r="C4679" i="1"/>
  <c r="B4679" i="1"/>
  <c r="K4678" i="1"/>
  <c r="C4678" i="1"/>
  <c r="B4678" i="1"/>
  <c r="K4677" i="1"/>
  <c r="C4677" i="1"/>
  <c r="B4677" i="1"/>
  <c r="K4676" i="1"/>
  <c r="C4676" i="1"/>
  <c r="B4676" i="1"/>
  <c r="K4675" i="1"/>
  <c r="C4675" i="1"/>
  <c r="B4675" i="1"/>
  <c r="K4674" i="1"/>
  <c r="C4674" i="1"/>
  <c r="B4674" i="1"/>
  <c r="K4673" i="1"/>
  <c r="C4673" i="1"/>
  <c r="B4673" i="1"/>
  <c r="K4672" i="1"/>
  <c r="C4672" i="1"/>
  <c r="B4672" i="1"/>
  <c r="K4671" i="1"/>
  <c r="C4671" i="1"/>
  <c r="B4671" i="1"/>
  <c r="K4670" i="1"/>
  <c r="C4670" i="1"/>
  <c r="B4670" i="1"/>
  <c r="K4669" i="1"/>
  <c r="C4669" i="1"/>
  <c r="B4669" i="1"/>
  <c r="K4668" i="1"/>
  <c r="C4668" i="1"/>
  <c r="B4668" i="1"/>
  <c r="K4667" i="1"/>
  <c r="C4667" i="1"/>
  <c r="B4667" i="1"/>
  <c r="K4666" i="1"/>
  <c r="C4666" i="1"/>
  <c r="B4666" i="1"/>
  <c r="K4665" i="1"/>
  <c r="C4665" i="1"/>
  <c r="B4665" i="1"/>
  <c r="K4664" i="1"/>
  <c r="C4664" i="1"/>
  <c r="B4664" i="1"/>
  <c r="K4663" i="1"/>
  <c r="C4663" i="1"/>
  <c r="B4663" i="1"/>
  <c r="K4662" i="1"/>
  <c r="C4662" i="1"/>
  <c r="B4662" i="1"/>
  <c r="K4661" i="1"/>
  <c r="C4661" i="1"/>
  <c r="B4661" i="1"/>
  <c r="K4660" i="1"/>
  <c r="C4660" i="1"/>
  <c r="B4660" i="1"/>
  <c r="K4659" i="1"/>
  <c r="C4659" i="1"/>
  <c r="B4659" i="1"/>
  <c r="K4658" i="1"/>
  <c r="C4658" i="1"/>
  <c r="B4658" i="1"/>
  <c r="K4657" i="1"/>
  <c r="C4657" i="1"/>
  <c r="B4657" i="1"/>
  <c r="K4656" i="1"/>
  <c r="C4656" i="1"/>
  <c r="B4656" i="1"/>
  <c r="K4655" i="1"/>
  <c r="C4655" i="1"/>
  <c r="B4655" i="1"/>
  <c r="K4654" i="1"/>
  <c r="C4654" i="1"/>
  <c r="B4654" i="1"/>
  <c r="K4653" i="1"/>
  <c r="C4653" i="1"/>
  <c r="B4653" i="1"/>
  <c r="K4652" i="1"/>
  <c r="C4652" i="1"/>
  <c r="B4652" i="1"/>
  <c r="K4651" i="1"/>
  <c r="C4651" i="1"/>
  <c r="B4651" i="1"/>
  <c r="K4650" i="1"/>
  <c r="C4650" i="1"/>
  <c r="B4650" i="1"/>
  <c r="K4649" i="1"/>
  <c r="C4649" i="1"/>
  <c r="B4649" i="1"/>
  <c r="K4648" i="1"/>
  <c r="C4648" i="1"/>
  <c r="B4648" i="1"/>
  <c r="K4647" i="1"/>
  <c r="C4647" i="1"/>
  <c r="B4647" i="1"/>
  <c r="K4646" i="1"/>
  <c r="C4646" i="1"/>
  <c r="B4646" i="1"/>
  <c r="K4645" i="1"/>
  <c r="C4645" i="1"/>
  <c r="B4645" i="1"/>
  <c r="K4644" i="1"/>
  <c r="C4644" i="1"/>
  <c r="B4644" i="1"/>
  <c r="K4643" i="1"/>
  <c r="C4643" i="1"/>
  <c r="B4643" i="1"/>
  <c r="K4642" i="1"/>
  <c r="C4642" i="1"/>
  <c r="B4642" i="1"/>
  <c r="K4641" i="1"/>
  <c r="C4641" i="1"/>
  <c r="B4641" i="1"/>
  <c r="K4640" i="1"/>
  <c r="C4640" i="1"/>
  <c r="B4640" i="1"/>
  <c r="K4639" i="1"/>
  <c r="C4639" i="1"/>
  <c r="B4639" i="1"/>
  <c r="K4638" i="1"/>
  <c r="C4638" i="1"/>
  <c r="B4638" i="1"/>
  <c r="K4637" i="1"/>
  <c r="C4637" i="1"/>
  <c r="B4637" i="1"/>
  <c r="K4636" i="1"/>
  <c r="C4636" i="1"/>
  <c r="B4636" i="1"/>
  <c r="K4635" i="1"/>
  <c r="C4635" i="1"/>
  <c r="B4635" i="1"/>
  <c r="K4634" i="1"/>
  <c r="C4634" i="1"/>
  <c r="B4634" i="1"/>
  <c r="K4633" i="1"/>
  <c r="C4633" i="1"/>
  <c r="B4633" i="1"/>
  <c r="K4632" i="1"/>
  <c r="C4632" i="1"/>
  <c r="B4632" i="1"/>
  <c r="K4631" i="1"/>
  <c r="C4631" i="1"/>
  <c r="B4631" i="1"/>
  <c r="K4630" i="1"/>
  <c r="C4630" i="1"/>
  <c r="B4630" i="1"/>
  <c r="K4629" i="1"/>
  <c r="C4629" i="1"/>
  <c r="B4629" i="1"/>
  <c r="K4628" i="1"/>
  <c r="C4628" i="1"/>
  <c r="B4628" i="1"/>
  <c r="K4627" i="1"/>
  <c r="C4627" i="1"/>
  <c r="B4627" i="1"/>
  <c r="K4626" i="1"/>
  <c r="C4626" i="1"/>
  <c r="B4626" i="1"/>
  <c r="K4625" i="1"/>
  <c r="C4625" i="1"/>
  <c r="B4625" i="1"/>
  <c r="K4624" i="1"/>
  <c r="C4624" i="1"/>
  <c r="B4624" i="1"/>
  <c r="K4623" i="1"/>
  <c r="C4623" i="1"/>
  <c r="B4623" i="1"/>
  <c r="K4622" i="1"/>
  <c r="C4622" i="1"/>
  <c r="B4622" i="1"/>
  <c r="K4621" i="1"/>
  <c r="C4621" i="1"/>
  <c r="B4621" i="1"/>
  <c r="K4620" i="1"/>
  <c r="C4620" i="1"/>
  <c r="B4620" i="1"/>
  <c r="K4619" i="1"/>
  <c r="C4619" i="1"/>
  <c r="B4619" i="1"/>
  <c r="K4618" i="1"/>
  <c r="C4618" i="1"/>
  <c r="B4618" i="1"/>
  <c r="K4617" i="1"/>
  <c r="C4617" i="1"/>
  <c r="B4617" i="1"/>
  <c r="K4616" i="1"/>
  <c r="C4616" i="1"/>
  <c r="B4616" i="1"/>
  <c r="K4615" i="1"/>
  <c r="C4615" i="1"/>
  <c r="B4615" i="1"/>
  <c r="K4614" i="1"/>
  <c r="C4614" i="1"/>
  <c r="B4614" i="1"/>
  <c r="K4613" i="1"/>
  <c r="C4613" i="1"/>
  <c r="B4613" i="1"/>
  <c r="K4612" i="1"/>
  <c r="C4612" i="1"/>
  <c r="B4612" i="1"/>
  <c r="K4611" i="1"/>
  <c r="C4611" i="1"/>
  <c r="B4611" i="1"/>
  <c r="K4610" i="1"/>
  <c r="C4610" i="1"/>
  <c r="B4610" i="1"/>
  <c r="K4609" i="1"/>
  <c r="C4609" i="1"/>
  <c r="B4609" i="1"/>
  <c r="K4608" i="1"/>
  <c r="C4608" i="1"/>
  <c r="B4608" i="1"/>
  <c r="K4607" i="1"/>
  <c r="C4607" i="1"/>
  <c r="B4607" i="1"/>
  <c r="K4606" i="1"/>
  <c r="C4606" i="1"/>
  <c r="B4606" i="1"/>
  <c r="K4605" i="1"/>
  <c r="C4605" i="1"/>
  <c r="B4605" i="1"/>
  <c r="K4604" i="1"/>
  <c r="C4604" i="1"/>
  <c r="B4604" i="1"/>
  <c r="K4603" i="1"/>
  <c r="C4603" i="1"/>
  <c r="B4603" i="1"/>
  <c r="K4602" i="1"/>
  <c r="C4602" i="1"/>
  <c r="B4602" i="1"/>
  <c r="K4601" i="1"/>
  <c r="C4601" i="1"/>
  <c r="B4601" i="1"/>
  <c r="K4600" i="1"/>
  <c r="C4600" i="1"/>
  <c r="B4600" i="1"/>
  <c r="K4599" i="1"/>
  <c r="C4599" i="1"/>
  <c r="B4599" i="1"/>
  <c r="K4598" i="1"/>
  <c r="C4598" i="1"/>
  <c r="B4598" i="1"/>
  <c r="K4597" i="1"/>
  <c r="C4597" i="1"/>
  <c r="B4597" i="1"/>
  <c r="K4596" i="1"/>
  <c r="C4596" i="1"/>
  <c r="B4596" i="1"/>
  <c r="K4595" i="1"/>
  <c r="C4595" i="1"/>
  <c r="B4595" i="1"/>
  <c r="K4594" i="1"/>
  <c r="C4594" i="1"/>
  <c r="B4594" i="1"/>
  <c r="K4593" i="1"/>
  <c r="C4593" i="1"/>
  <c r="B4593" i="1"/>
  <c r="K4592" i="1"/>
  <c r="C4592" i="1"/>
  <c r="B4592" i="1"/>
  <c r="K4591" i="1"/>
  <c r="C4591" i="1"/>
  <c r="B4591" i="1"/>
  <c r="K4590" i="1"/>
  <c r="C4590" i="1"/>
  <c r="B4590" i="1"/>
  <c r="K4589" i="1"/>
  <c r="C4589" i="1"/>
  <c r="B4589" i="1"/>
  <c r="K4588" i="1"/>
  <c r="C4588" i="1"/>
  <c r="B4588" i="1"/>
  <c r="K4587" i="1"/>
  <c r="C4587" i="1"/>
  <c r="B4587" i="1"/>
  <c r="K4586" i="1"/>
  <c r="C4586" i="1"/>
  <c r="B4586" i="1"/>
  <c r="K4585" i="1"/>
  <c r="C4585" i="1"/>
  <c r="B4585" i="1"/>
  <c r="K4584" i="1"/>
  <c r="C4584" i="1"/>
  <c r="B4584" i="1"/>
  <c r="K4583" i="1"/>
  <c r="C4583" i="1"/>
  <c r="B4583" i="1"/>
  <c r="K4582" i="1"/>
  <c r="C4582" i="1"/>
  <c r="B4582" i="1"/>
  <c r="K4581" i="1"/>
  <c r="C4581" i="1"/>
  <c r="B4581" i="1"/>
  <c r="K4580" i="1"/>
  <c r="C4580" i="1"/>
  <c r="B4580" i="1"/>
  <c r="K4579" i="1"/>
  <c r="C4579" i="1"/>
  <c r="B4579" i="1"/>
  <c r="K4578" i="1"/>
  <c r="C4578" i="1"/>
  <c r="B4578" i="1"/>
  <c r="K4577" i="1"/>
  <c r="C4577" i="1"/>
  <c r="B4577" i="1"/>
  <c r="K4576" i="1"/>
  <c r="C4576" i="1"/>
  <c r="B4576" i="1"/>
  <c r="K4575" i="1"/>
  <c r="C4575" i="1"/>
  <c r="B4575" i="1"/>
  <c r="K4574" i="1"/>
  <c r="C4574" i="1"/>
  <c r="B4574" i="1"/>
  <c r="K4573" i="1"/>
  <c r="C4573" i="1"/>
  <c r="B4573" i="1"/>
  <c r="K4572" i="1"/>
  <c r="C4572" i="1"/>
  <c r="B4572" i="1"/>
  <c r="K4571" i="1"/>
  <c r="C4571" i="1"/>
  <c r="B4571" i="1"/>
  <c r="K4570" i="1"/>
  <c r="C4570" i="1"/>
  <c r="B4570" i="1"/>
  <c r="K4569" i="1"/>
  <c r="C4569" i="1"/>
  <c r="B4569" i="1"/>
  <c r="K4568" i="1"/>
  <c r="C4568" i="1"/>
  <c r="B4568" i="1"/>
  <c r="K4567" i="1"/>
  <c r="C4567" i="1"/>
  <c r="B4567" i="1"/>
  <c r="K4566" i="1"/>
  <c r="C4566" i="1"/>
  <c r="B4566" i="1"/>
  <c r="K4565" i="1"/>
  <c r="C4565" i="1"/>
  <c r="B4565" i="1"/>
  <c r="K4564" i="1"/>
  <c r="C4564" i="1"/>
  <c r="B4564" i="1"/>
  <c r="K4563" i="1"/>
  <c r="C4563" i="1"/>
  <c r="B4563" i="1"/>
  <c r="K4562" i="1"/>
  <c r="C4562" i="1"/>
  <c r="B4562" i="1"/>
  <c r="K4561" i="1"/>
  <c r="C4561" i="1"/>
  <c r="B4561" i="1"/>
  <c r="K4560" i="1"/>
  <c r="C4560" i="1"/>
  <c r="B4560" i="1"/>
  <c r="K4559" i="1"/>
  <c r="C4559" i="1"/>
  <c r="B4559" i="1"/>
  <c r="K4558" i="1"/>
  <c r="C4558" i="1"/>
  <c r="B4558" i="1"/>
  <c r="K4557" i="1"/>
  <c r="C4557" i="1"/>
  <c r="B4557" i="1"/>
  <c r="K4556" i="1"/>
  <c r="C4556" i="1"/>
  <c r="B4556" i="1"/>
  <c r="K4555" i="1"/>
  <c r="C4555" i="1"/>
  <c r="B4555" i="1"/>
  <c r="K4554" i="1"/>
  <c r="C4554" i="1"/>
  <c r="B4554" i="1"/>
  <c r="K4553" i="1"/>
  <c r="C4553" i="1"/>
  <c r="B4553" i="1"/>
  <c r="K4552" i="1"/>
  <c r="C4552" i="1"/>
  <c r="B4552" i="1"/>
  <c r="K4551" i="1"/>
  <c r="C4551" i="1"/>
  <c r="B4551" i="1"/>
  <c r="K4550" i="1"/>
  <c r="C4550" i="1"/>
  <c r="B4550" i="1"/>
  <c r="K4549" i="1"/>
  <c r="C4549" i="1"/>
  <c r="B4549" i="1"/>
  <c r="K4548" i="1"/>
  <c r="C4548" i="1"/>
  <c r="B4548" i="1"/>
  <c r="K4547" i="1"/>
  <c r="C4547" i="1"/>
  <c r="B4547" i="1"/>
  <c r="K4546" i="1"/>
  <c r="C4546" i="1"/>
  <c r="B4546" i="1"/>
  <c r="K4545" i="1"/>
  <c r="C4545" i="1"/>
  <c r="B4545" i="1"/>
  <c r="K4544" i="1"/>
  <c r="C4544" i="1"/>
  <c r="B4544" i="1"/>
  <c r="K4543" i="1"/>
  <c r="C4543" i="1"/>
  <c r="B4543" i="1"/>
  <c r="K4542" i="1"/>
  <c r="C4542" i="1"/>
  <c r="B4542" i="1"/>
  <c r="K4541" i="1"/>
  <c r="C4541" i="1"/>
  <c r="B4541" i="1"/>
  <c r="K4540" i="1"/>
  <c r="C4540" i="1"/>
  <c r="B4540" i="1"/>
  <c r="K4539" i="1"/>
  <c r="C4539" i="1"/>
  <c r="B4539" i="1"/>
  <c r="K4538" i="1"/>
  <c r="C4538" i="1"/>
  <c r="B4538" i="1"/>
  <c r="K4537" i="1"/>
  <c r="C4537" i="1"/>
  <c r="B4537" i="1"/>
  <c r="K4536" i="1"/>
  <c r="C4536" i="1"/>
  <c r="B4536" i="1"/>
  <c r="K4535" i="1"/>
  <c r="C4535" i="1"/>
  <c r="B4535" i="1"/>
  <c r="K4534" i="1"/>
  <c r="C4534" i="1"/>
  <c r="B4534" i="1"/>
  <c r="K4533" i="1"/>
  <c r="C4533" i="1"/>
  <c r="B4533" i="1"/>
  <c r="K4532" i="1"/>
  <c r="C4532" i="1"/>
  <c r="B4532" i="1"/>
  <c r="K4531" i="1"/>
  <c r="C4531" i="1"/>
  <c r="B4531" i="1"/>
  <c r="K4530" i="1"/>
  <c r="C4530" i="1"/>
  <c r="B4530" i="1"/>
  <c r="K4529" i="1"/>
  <c r="C4529" i="1"/>
  <c r="B4529" i="1"/>
  <c r="K4528" i="1"/>
  <c r="C4528" i="1"/>
  <c r="B4528" i="1"/>
  <c r="K4527" i="1"/>
  <c r="C4527" i="1"/>
  <c r="B4527" i="1"/>
  <c r="K4526" i="1"/>
  <c r="C4526" i="1"/>
  <c r="B4526" i="1"/>
  <c r="K4525" i="1"/>
  <c r="C4525" i="1"/>
  <c r="B4525" i="1"/>
  <c r="K4524" i="1"/>
  <c r="C4524" i="1"/>
  <c r="B4524" i="1"/>
  <c r="K4523" i="1"/>
  <c r="C4523" i="1"/>
  <c r="B4523" i="1"/>
  <c r="K4522" i="1"/>
  <c r="C4522" i="1"/>
  <c r="B4522" i="1"/>
  <c r="K4521" i="1"/>
  <c r="C4521" i="1"/>
  <c r="B4521" i="1"/>
  <c r="K4520" i="1"/>
  <c r="C4520" i="1"/>
  <c r="B4520" i="1"/>
  <c r="K4519" i="1"/>
  <c r="C4519" i="1"/>
  <c r="B4519" i="1"/>
  <c r="K4518" i="1"/>
  <c r="C4518" i="1"/>
  <c r="B4518" i="1"/>
  <c r="K4517" i="1"/>
  <c r="C4517" i="1"/>
  <c r="B4517" i="1"/>
  <c r="K4516" i="1"/>
  <c r="C4516" i="1"/>
  <c r="B4516" i="1"/>
  <c r="K4515" i="1"/>
  <c r="C4515" i="1"/>
  <c r="B4515" i="1"/>
  <c r="K4514" i="1"/>
  <c r="C4514" i="1"/>
  <c r="B4514" i="1"/>
  <c r="K4513" i="1"/>
  <c r="C4513" i="1"/>
  <c r="B4513" i="1"/>
  <c r="K4512" i="1"/>
  <c r="C4512" i="1"/>
  <c r="B4512" i="1"/>
  <c r="K4511" i="1"/>
  <c r="C4511" i="1"/>
  <c r="B4511" i="1"/>
  <c r="K4510" i="1"/>
  <c r="C4510" i="1"/>
  <c r="B4510" i="1"/>
  <c r="K4509" i="1"/>
  <c r="C4509" i="1"/>
  <c r="B4509" i="1"/>
  <c r="K4508" i="1"/>
  <c r="C4508" i="1"/>
  <c r="B4508" i="1"/>
  <c r="K4507" i="1"/>
  <c r="C4507" i="1"/>
  <c r="B4507" i="1"/>
  <c r="K4506" i="1"/>
  <c r="C4506" i="1"/>
  <c r="B4506" i="1"/>
  <c r="K4505" i="1"/>
  <c r="C4505" i="1"/>
  <c r="B4505" i="1"/>
  <c r="K4504" i="1"/>
  <c r="C4504" i="1"/>
  <c r="B4504" i="1"/>
  <c r="K4503" i="1"/>
  <c r="C4503" i="1"/>
  <c r="B4503" i="1"/>
  <c r="K4502" i="1"/>
  <c r="C4502" i="1"/>
  <c r="B4502" i="1"/>
  <c r="K4501" i="1"/>
  <c r="C4501" i="1"/>
  <c r="B4501" i="1"/>
  <c r="K4500" i="1"/>
  <c r="C4500" i="1"/>
  <c r="B4500" i="1"/>
  <c r="K4499" i="1"/>
  <c r="C4499" i="1"/>
  <c r="B4499" i="1"/>
  <c r="K4498" i="1"/>
  <c r="C4498" i="1"/>
  <c r="B4498" i="1"/>
  <c r="K4497" i="1"/>
  <c r="C4497" i="1"/>
  <c r="B4497" i="1"/>
  <c r="K4496" i="1"/>
  <c r="C4496" i="1"/>
  <c r="B4496" i="1"/>
  <c r="K4495" i="1"/>
  <c r="C4495" i="1"/>
  <c r="B4495" i="1"/>
  <c r="K4494" i="1"/>
  <c r="C4494" i="1"/>
  <c r="B4494" i="1"/>
  <c r="K4493" i="1"/>
  <c r="C4493" i="1"/>
  <c r="B4493" i="1"/>
  <c r="K4492" i="1"/>
  <c r="C4492" i="1"/>
  <c r="B4492" i="1"/>
  <c r="K4491" i="1"/>
  <c r="C4491" i="1"/>
  <c r="B4491" i="1"/>
  <c r="K4490" i="1"/>
  <c r="C4490" i="1"/>
  <c r="B4490" i="1"/>
  <c r="K4489" i="1"/>
  <c r="C4489" i="1"/>
  <c r="B4489" i="1"/>
  <c r="K4488" i="1"/>
  <c r="C4488" i="1"/>
  <c r="B4488" i="1"/>
  <c r="K4487" i="1"/>
  <c r="C4487" i="1"/>
  <c r="B4487" i="1"/>
  <c r="K4486" i="1"/>
  <c r="C4486" i="1"/>
  <c r="B4486" i="1"/>
  <c r="K4485" i="1"/>
  <c r="C4485" i="1"/>
  <c r="B4485" i="1"/>
  <c r="K4484" i="1"/>
  <c r="C4484" i="1"/>
  <c r="B4484" i="1"/>
  <c r="K4483" i="1"/>
  <c r="C4483" i="1"/>
  <c r="B4483" i="1"/>
  <c r="K4482" i="1"/>
  <c r="C4482" i="1"/>
  <c r="B4482" i="1"/>
  <c r="K4481" i="1"/>
  <c r="C4481" i="1"/>
  <c r="B4481" i="1"/>
  <c r="K4480" i="1"/>
  <c r="C4480" i="1"/>
  <c r="B4480" i="1"/>
  <c r="K4479" i="1"/>
  <c r="C4479" i="1"/>
  <c r="B4479" i="1"/>
  <c r="K4478" i="1"/>
  <c r="C4478" i="1"/>
  <c r="B4478" i="1"/>
  <c r="K4477" i="1"/>
  <c r="C4477" i="1"/>
  <c r="B4477" i="1"/>
  <c r="K4476" i="1"/>
  <c r="C4476" i="1"/>
  <c r="B4476" i="1"/>
  <c r="K4475" i="1"/>
  <c r="C4475" i="1"/>
  <c r="B4475" i="1"/>
  <c r="K4474" i="1"/>
  <c r="C4474" i="1"/>
  <c r="B4474" i="1"/>
  <c r="K4473" i="1"/>
  <c r="C4473" i="1"/>
  <c r="B4473" i="1"/>
  <c r="K4472" i="1"/>
  <c r="C4472" i="1"/>
  <c r="B4472" i="1"/>
  <c r="K4471" i="1"/>
  <c r="C4471" i="1"/>
  <c r="B4471" i="1"/>
  <c r="K4470" i="1"/>
  <c r="C4470" i="1"/>
  <c r="B4470" i="1"/>
  <c r="K4469" i="1"/>
  <c r="C4469" i="1"/>
  <c r="B4469" i="1"/>
  <c r="K4468" i="1"/>
  <c r="C4468" i="1"/>
  <c r="B4468" i="1"/>
  <c r="K4467" i="1"/>
  <c r="C4467" i="1"/>
  <c r="B4467" i="1"/>
  <c r="K4466" i="1"/>
  <c r="C4466" i="1"/>
  <c r="B4466" i="1"/>
  <c r="K4465" i="1"/>
  <c r="C4465" i="1"/>
  <c r="B4465" i="1"/>
  <c r="K4464" i="1"/>
  <c r="C4464" i="1"/>
  <c r="B4464" i="1"/>
  <c r="K4463" i="1"/>
  <c r="C4463" i="1"/>
  <c r="B4463" i="1"/>
  <c r="K4462" i="1"/>
  <c r="C4462" i="1"/>
  <c r="B4462" i="1"/>
  <c r="K4461" i="1"/>
  <c r="C4461" i="1"/>
  <c r="B4461" i="1"/>
  <c r="K4460" i="1"/>
  <c r="C4460" i="1"/>
  <c r="B4460" i="1"/>
  <c r="K4459" i="1"/>
  <c r="C4459" i="1"/>
  <c r="B4459" i="1"/>
  <c r="K4458" i="1"/>
  <c r="C4458" i="1"/>
  <c r="B4458" i="1"/>
  <c r="K4457" i="1"/>
  <c r="C4457" i="1"/>
  <c r="B4457" i="1"/>
  <c r="K4456" i="1"/>
  <c r="C4456" i="1"/>
  <c r="B4456" i="1"/>
  <c r="K4455" i="1"/>
  <c r="C4455" i="1"/>
  <c r="B4455" i="1"/>
  <c r="K4454" i="1"/>
  <c r="C4454" i="1"/>
  <c r="B4454" i="1"/>
  <c r="K4453" i="1"/>
  <c r="C4453" i="1"/>
  <c r="B4453" i="1"/>
  <c r="K4452" i="1"/>
  <c r="C4452" i="1"/>
  <c r="B4452" i="1"/>
  <c r="K4451" i="1"/>
  <c r="C4451" i="1"/>
  <c r="B4451" i="1"/>
  <c r="K4450" i="1"/>
  <c r="C4450" i="1"/>
  <c r="B4450" i="1"/>
  <c r="K4449" i="1"/>
  <c r="C4449" i="1"/>
  <c r="B4449" i="1"/>
  <c r="K4448" i="1"/>
  <c r="C4448" i="1"/>
  <c r="B4448" i="1"/>
  <c r="K4447" i="1"/>
  <c r="C4447" i="1"/>
  <c r="B4447" i="1"/>
  <c r="K4446" i="1"/>
  <c r="C4446" i="1"/>
  <c r="B4446" i="1"/>
  <c r="K4445" i="1"/>
  <c r="C4445" i="1"/>
  <c r="B4445" i="1"/>
  <c r="K4444" i="1"/>
  <c r="C4444" i="1"/>
  <c r="B4444" i="1"/>
  <c r="K4443" i="1"/>
  <c r="C4443" i="1"/>
  <c r="B4443" i="1"/>
  <c r="K4442" i="1"/>
  <c r="C4442" i="1"/>
  <c r="B4442" i="1"/>
  <c r="K4441" i="1"/>
  <c r="C4441" i="1"/>
  <c r="B4441" i="1"/>
  <c r="K4440" i="1"/>
  <c r="C4440" i="1"/>
  <c r="B4440" i="1"/>
  <c r="K4439" i="1"/>
  <c r="C4439" i="1"/>
  <c r="B4439" i="1"/>
  <c r="K4438" i="1"/>
  <c r="C4438" i="1"/>
  <c r="B4438" i="1"/>
  <c r="K4437" i="1"/>
  <c r="C4437" i="1"/>
  <c r="B4437" i="1"/>
  <c r="K4436" i="1"/>
  <c r="C4436" i="1"/>
  <c r="B4436" i="1"/>
  <c r="K4435" i="1"/>
  <c r="C4435" i="1"/>
  <c r="B4435" i="1"/>
  <c r="K4434" i="1"/>
  <c r="C4434" i="1"/>
  <c r="B4434" i="1"/>
  <c r="K4433" i="1"/>
  <c r="C4433" i="1"/>
  <c r="B4433" i="1"/>
  <c r="K4432" i="1"/>
  <c r="C4432" i="1"/>
  <c r="B4432" i="1"/>
  <c r="K4431" i="1"/>
  <c r="C4431" i="1"/>
  <c r="B4431" i="1"/>
  <c r="K4430" i="1"/>
  <c r="C4430" i="1"/>
  <c r="B4430" i="1"/>
  <c r="K4429" i="1"/>
  <c r="C4429" i="1"/>
  <c r="B4429" i="1"/>
  <c r="K4428" i="1"/>
  <c r="C4428" i="1"/>
  <c r="B4428" i="1"/>
  <c r="K4427" i="1"/>
  <c r="C4427" i="1"/>
  <c r="B4427" i="1"/>
  <c r="K4426" i="1"/>
  <c r="C4426" i="1"/>
  <c r="B4426" i="1"/>
  <c r="K4425" i="1"/>
  <c r="C4425" i="1"/>
  <c r="B4425" i="1"/>
  <c r="K4424" i="1"/>
  <c r="C4424" i="1"/>
  <c r="B4424" i="1"/>
  <c r="K4423" i="1"/>
  <c r="C4423" i="1"/>
  <c r="B4423" i="1"/>
  <c r="K4422" i="1"/>
  <c r="C4422" i="1"/>
  <c r="B4422" i="1"/>
  <c r="K4421" i="1"/>
  <c r="C4421" i="1"/>
  <c r="B4421" i="1"/>
  <c r="K4420" i="1"/>
  <c r="C4420" i="1"/>
  <c r="B4420" i="1"/>
  <c r="K4419" i="1"/>
  <c r="C4419" i="1"/>
  <c r="B4419" i="1"/>
  <c r="K4418" i="1"/>
  <c r="C4418" i="1"/>
  <c r="B4418" i="1"/>
  <c r="K4417" i="1"/>
  <c r="C4417" i="1"/>
  <c r="B4417" i="1"/>
  <c r="K4416" i="1"/>
  <c r="C4416" i="1"/>
  <c r="B4416" i="1"/>
  <c r="K4415" i="1"/>
  <c r="C4415" i="1"/>
  <c r="B4415" i="1"/>
  <c r="K4414" i="1"/>
  <c r="C4414" i="1"/>
  <c r="B4414" i="1"/>
  <c r="K4413" i="1"/>
  <c r="C4413" i="1"/>
  <c r="B4413" i="1"/>
  <c r="K4412" i="1"/>
  <c r="C4412" i="1"/>
  <c r="B4412" i="1"/>
  <c r="K4411" i="1"/>
  <c r="C4411" i="1"/>
  <c r="B4411" i="1"/>
  <c r="K4410" i="1"/>
  <c r="C4410" i="1"/>
  <c r="B4410" i="1"/>
  <c r="K4409" i="1"/>
  <c r="C4409" i="1"/>
  <c r="B4409" i="1"/>
  <c r="K4408" i="1"/>
  <c r="C4408" i="1"/>
  <c r="B4408" i="1"/>
  <c r="K4407" i="1"/>
  <c r="C4407" i="1"/>
  <c r="B4407" i="1"/>
  <c r="K4406" i="1"/>
  <c r="C4406" i="1"/>
  <c r="B4406" i="1"/>
  <c r="K4405" i="1"/>
  <c r="C4405" i="1"/>
  <c r="B4405" i="1"/>
  <c r="K4404" i="1"/>
  <c r="C4404" i="1"/>
  <c r="B4404" i="1"/>
  <c r="K4403" i="1"/>
  <c r="C4403" i="1"/>
  <c r="B4403" i="1"/>
  <c r="K4402" i="1"/>
  <c r="C4402" i="1"/>
  <c r="B4402" i="1"/>
  <c r="K4401" i="1"/>
  <c r="C4401" i="1"/>
  <c r="B4401" i="1"/>
  <c r="K4400" i="1"/>
  <c r="C4400" i="1"/>
  <c r="B4400" i="1"/>
  <c r="K4399" i="1"/>
  <c r="C4399" i="1"/>
  <c r="B4399" i="1"/>
  <c r="K4398" i="1"/>
  <c r="C4398" i="1"/>
  <c r="B4398" i="1"/>
  <c r="K4397" i="1"/>
  <c r="C4397" i="1"/>
  <c r="B4397" i="1"/>
  <c r="K4396" i="1"/>
  <c r="C4396" i="1"/>
  <c r="B4396" i="1"/>
  <c r="K4395" i="1"/>
  <c r="C4395" i="1"/>
  <c r="B4395" i="1"/>
  <c r="K4394" i="1"/>
  <c r="C4394" i="1"/>
  <c r="B4394" i="1"/>
  <c r="K4393" i="1"/>
  <c r="C4393" i="1"/>
  <c r="B4393" i="1"/>
  <c r="K4392" i="1"/>
  <c r="C4392" i="1"/>
  <c r="B4392" i="1"/>
  <c r="K4391" i="1"/>
  <c r="C4391" i="1"/>
  <c r="B4391" i="1"/>
  <c r="K4390" i="1"/>
  <c r="C4390" i="1"/>
  <c r="B4390" i="1"/>
  <c r="K4389" i="1"/>
  <c r="C4389" i="1"/>
  <c r="B4389" i="1"/>
  <c r="K4388" i="1"/>
  <c r="C4388" i="1"/>
  <c r="B4388" i="1"/>
  <c r="K4387" i="1"/>
  <c r="C4387" i="1"/>
  <c r="B4387" i="1"/>
  <c r="K4386" i="1"/>
  <c r="C4386" i="1"/>
  <c r="B4386" i="1"/>
  <c r="K4385" i="1"/>
  <c r="C4385" i="1"/>
  <c r="B4385" i="1"/>
  <c r="K4384" i="1"/>
  <c r="C4384" i="1"/>
  <c r="B4384" i="1"/>
  <c r="K4383" i="1"/>
  <c r="C4383" i="1"/>
  <c r="B4383" i="1"/>
  <c r="K4382" i="1"/>
  <c r="C4382" i="1"/>
  <c r="B4382" i="1"/>
  <c r="K4381" i="1"/>
  <c r="C4381" i="1"/>
  <c r="B4381" i="1"/>
  <c r="K4380" i="1"/>
  <c r="C4380" i="1"/>
  <c r="B4380" i="1"/>
  <c r="K4379" i="1"/>
  <c r="C4379" i="1"/>
  <c r="B4379" i="1"/>
  <c r="K4378" i="1"/>
  <c r="C4378" i="1"/>
  <c r="B4378" i="1"/>
  <c r="K4377" i="1"/>
  <c r="C4377" i="1"/>
  <c r="B4377" i="1"/>
  <c r="K4376" i="1"/>
  <c r="C4376" i="1"/>
  <c r="B4376" i="1"/>
  <c r="K4375" i="1"/>
  <c r="C4375" i="1"/>
  <c r="B4375" i="1"/>
  <c r="K4374" i="1"/>
  <c r="C4374" i="1"/>
  <c r="B4374" i="1"/>
  <c r="K4373" i="1"/>
  <c r="C4373" i="1"/>
  <c r="B4373" i="1"/>
  <c r="K4372" i="1"/>
  <c r="C4372" i="1"/>
  <c r="B4372" i="1"/>
  <c r="K4371" i="1"/>
  <c r="C4371" i="1"/>
  <c r="B4371" i="1"/>
  <c r="K4370" i="1"/>
  <c r="C4370" i="1"/>
  <c r="B4370" i="1"/>
  <c r="K4369" i="1"/>
  <c r="C4369" i="1"/>
  <c r="B4369" i="1"/>
  <c r="K4368" i="1"/>
  <c r="C4368" i="1"/>
  <c r="B4368" i="1"/>
  <c r="K4367" i="1"/>
  <c r="C4367" i="1"/>
  <c r="B4367" i="1"/>
  <c r="K4366" i="1"/>
  <c r="C4366" i="1"/>
  <c r="B4366" i="1"/>
  <c r="K4365" i="1"/>
  <c r="C4365" i="1"/>
  <c r="B4365" i="1"/>
  <c r="K4364" i="1"/>
  <c r="C4364" i="1"/>
  <c r="B4364" i="1"/>
  <c r="K4363" i="1"/>
  <c r="C4363" i="1"/>
  <c r="B4363" i="1"/>
  <c r="K4362" i="1"/>
  <c r="C4362" i="1"/>
  <c r="B4362" i="1"/>
  <c r="K4361" i="1"/>
  <c r="C4361" i="1"/>
  <c r="B4361" i="1"/>
  <c r="K4360" i="1"/>
  <c r="C4360" i="1"/>
  <c r="B4360" i="1"/>
  <c r="K4359" i="1"/>
  <c r="C4359" i="1"/>
  <c r="B4359" i="1"/>
  <c r="K4358" i="1"/>
  <c r="C4358" i="1"/>
  <c r="B4358" i="1"/>
  <c r="K4357" i="1"/>
  <c r="C4357" i="1"/>
  <c r="B4357" i="1"/>
  <c r="K4356" i="1"/>
  <c r="C4356" i="1"/>
  <c r="B4356" i="1"/>
  <c r="K4355" i="1"/>
  <c r="C4355" i="1"/>
  <c r="B4355" i="1"/>
  <c r="K4354" i="1"/>
  <c r="C4354" i="1"/>
  <c r="B4354" i="1"/>
  <c r="K4353" i="1"/>
  <c r="C4353" i="1"/>
  <c r="B4353" i="1"/>
  <c r="K4352" i="1"/>
  <c r="C4352" i="1"/>
  <c r="B4352" i="1"/>
  <c r="K4351" i="1"/>
  <c r="C4351" i="1"/>
  <c r="B4351" i="1"/>
  <c r="K4350" i="1"/>
  <c r="C4350" i="1"/>
  <c r="B4350" i="1"/>
  <c r="K4349" i="1"/>
  <c r="C4349" i="1"/>
  <c r="B4349" i="1"/>
  <c r="K4348" i="1"/>
  <c r="C4348" i="1"/>
  <c r="B4348" i="1"/>
  <c r="K4347" i="1"/>
  <c r="C4347" i="1"/>
  <c r="B4347" i="1"/>
  <c r="K4346" i="1"/>
  <c r="C4346" i="1"/>
  <c r="B4346" i="1"/>
  <c r="K4345" i="1"/>
  <c r="C4345" i="1"/>
  <c r="B4345" i="1"/>
  <c r="K4344" i="1"/>
  <c r="C4344" i="1"/>
  <c r="B4344" i="1"/>
  <c r="K4343" i="1"/>
  <c r="C4343" i="1"/>
  <c r="B4343" i="1"/>
  <c r="K4342" i="1"/>
  <c r="C4342" i="1"/>
  <c r="B4342" i="1"/>
  <c r="K4341" i="1"/>
  <c r="C4341" i="1"/>
  <c r="B4341" i="1"/>
  <c r="K4340" i="1"/>
  <c r="C4340" i="1"/>
  <c r="B4340" i="1"/>
  <c r="K4339" i="1"/>
  <c r="C4339" i="1"/>
  <c r="B4339" i="1"/>
  <c r="K4338" i="1"/>
  <c r="C4338" i="1"/>
  <c r="B4338" i="1"/>
  <c r="K4337" i="1"/>
  <c r="C4337" i="1"/>
  <c r="B4337" i="1"/>
  <c r="K4336" i="1"/>
  <c r="C4336" i="1"/>
  <c r="B4336" i="1"/>
  <c r="K4335" i="1"/>
  <c r="C4335" i="1"/>
  <c r="B4335" i="1"/>
  <c r="K4334" i="1"/>
  <c r="C4334" i="1"/>
  <c r="B4334" i="1"/>
  <c r="K4333" i="1"/>
  <c r="C4333" i="1"/>
  <c r="B4333" i="1"/>
  <c r="K4332" i="1"/>
  <c r="C4332" i="1"/>
  <c r="B4332" i="1"/>
  <c r="K4331" i="1"/>
  <c r="C4331" i="1"/>
  <c r="B4331" i="1"/>
  <c r="K4330" i="1"/>
  <c r="C4330" i="1"/>
  <c r="B4330" i="1"/>
  <c r="K4329" i="1"/>
  <c r="C4329" i="1"/>
  <c r="B4329" i="1"/>
  <c r="K4328" i="1"/>
  <c r="C4328" i="1"/>
  <c r="B4328" i="1"/>
  <c r="K4327" i="1"/>
  <c r="C4327" i="1"/>
  <c r="B4327" i="1"/>
  <c r="K4326" i="1"/>
  <c r="C4326" i="1"/>
  <c r="B4326" i="1"/>
  <c r="K4325" i="1"/>
  <c r="C4325" i="1"/>
  <c r="B4325" i="1"/>
  <c r="K4324" i="1"/>
  <c r="C4324" i="1"/>
  <c r="B4324" i="1"/>
  <c r="K4323" i="1"/>
  <c r="C4323" i="1"/>
  <c r="B4323" i="1"/>
  <c r="K4322" i="1"/>
  <c r="C4322" i="1"/>
  <c r="B4322" i="1"/>
  <c r="K4321" i="1"/>
  <c r="C4321" i="1"/>
  <c r="B4321" i="1"/>
  <c r="K4320" i="1"/>
  <c r="C4320" i="1"/>
  <c r="B4320" i="1"/>
  <c r="K4319" i="1"/>
  <c r="C4319" i="1"/>
  <c r="B4319" i="1"/>
  <c r="K4318" i="1"/>
  <c r="C4318" i="1"/>
  <c r="B4318" i="1"/>
  <c r="K4317" i="1"/>
  <c r="C4317" i="1"/>
  <c r="B4317" i="1"/>
  <c r="K4316" i="1"/>
  <c r="C4316" i="1"/>
  <c r="B4316" i="1"/>
  <c r="K4315" i="1"/>
  <c r="C4315" i="1"/>
  <c r="B4315" i="1"/>
  <c r="K4314" i="1"/>
  <c r="C4314" i="1"/>
  <c r="B4314" i="1"/>
  <c r="K4313" i="1"/>
  <c r="C4313" i="1"/>
  <c r="B4313" i="1"/>
  <c r="K4312" i="1"/>
  <c r="C4312" i="1"/>
  <c r="B4312" i="1"/>
  <c r="K4311" i="1"/>
  <c r="C4311" i="1"/>
  <c r="B4311" i="1"/>
  <c r="K4310" i="1"/>
  <c r="C4310" i="1"/>
  <c r="B4310" i="1"/>
  <c r="K4309" i="1"/>
  <c r="C4309" i="1"/>
  <c r="B4309" i="1"/>
  <c r="K4308" i="1"/>
  <c r="C4308" i="1"/>
  <c r="B4308" i="1"/>
  <c r="K4307" i="1"/>
  <c r="C4307" i="1"/>
  <c r="B4307" i="1"/>
  <c r="K4306" i="1"/>
  <c r="C4306" i="1"/>
  <c r="B4306" i="1"/>
  <c r="K4305" i="1"/>
  <c r="C4305" i="1"/>
  <c r="B4305" i="1"/>
  <c r="K4304" i="1"/>
  <c r="C4304" i="1"/>
  <c r="B4304" i="1"/>
  <c r="K4303" i="1"/>
  <c r="C4303" i="1"/>
  <c r="B4303" i="1"/>
  <c r="K4302" i="1"/>
  <c r="C4302" i="1"/>
  <c r="B4302" i="1"/>
  <c r="K4301" i="1"/>
  <c r="C4301" i="1"/>
  <c r="B4301" i="1"/>
  <c r="K4300" i="1"/>
  <c r="C4300" i="1"/>
  <c r="B4300" i="1"/>
  <c r="K4299" i="1"/>
  <c r="C4299" i="1"/>
  <c r="B4299" i="1"/>
  <c r="K4298" i="1"/>
  <c r="C4298" i="1"/>
  <c r="B4298" i="1"/>
  <c r="K4297" i="1"/>
  <c r="C4297" i="1"/>
  <c r="B4297" i="1"/>
  <c r="K4296" i="1"/>
  <c r="C4296" i="1"/>
  <c r="B4296" i="1"/>
  <c r="K4295" i="1"/>
  <c r="C4295" i="1"/>
  <c r="B4295" i="1"/>
  <c r="K4294" i="1"/>
  <c r="C4294" i="1"/>
  <c r="B4294" i="1"/>
  <c r="K4293" i="1"/>
  <c r="C4293" i="1"/>
  <c r="B4293" i="1"/>
  <c r="K4292" i="1"/>
  <c r="C4292" i="1"/>
  <c r="B4292" i="1"/>
  <c r="K4291" i="1"/>
  <c r="C4291" i="1"/>
  <c r="B4291" i="1"/>
  <c r="K4290" i="1"/>
  <c r="C4290" i="1"/>
  <c r="B4290" i="1"/>
  <c r="K4289" i="1"/>
  <c r="C4289" i="1"/>
  <c r="B4289" i="1"/>
  <c r="K4288" i="1"/>
  <c r="C4288" i="1"/>
  <c r="B4288" i="1"/>
  <c r="K4287" i="1"/>
  <c r="C4287" i="1"/>
  <c r="B4287" i="1"/>
  <c r="K4286" i="1"/>
  <c r="C4286" i="1"/>
  <c r="B4286" i="1"/>
  <c r="K4285" i="1"/>
  <c r="C4285" i="1"/>
  <c r="B4285" i="1"/>
  <c r="K4284" i="1"/>
  <c r="C4284" i="1"/>
  <c r="B4284" i="1"/>
  <c r="K4283" i="1"/>
  <c r="C4283" i="1"/>
  <c r="B4283" i="1"/>
  <c r="K4282" i="1"/>
  <c r="C4282" i="1"/>
  <c r="B4282" i="1"/>
  <c r="K4281" i="1"/>
  <c r="C4281" i="1"/>
  <c r="B4281" i="1"/>
  <c r="K4280" i="1"/>
  <c r="C4280" i="1"/>
  <c r="B4280" i="1"/>
  <c r="K4279" i="1"/>
  <c r="C4279" i="1"/>
  <c r="B4279" i="1"/>
  <c r="K4278" i="1"/>
  <c r="C4278" i="1"/>
  <c r="B4278" i="1"/>
  <c r="K4277" i="1"/>
  <c r="C4277" i="1"/>
  <c r="B4277" i="1"/>
  <c r="K4276" i="1"/>
  <c r="C4276" i="1"/>
  <c r="B4276" i="1"/>
  <c r="K4275" i="1"/>
  <c r="C4275" i="1"/>
  <c r="B4275" i="1"/>
  <c r="K4274" i="1"/>
  <c r="C4274" i="1"/>
  <c r="B4274" i="1"/>
  <c r="K4273" i="1"/>
  <c r="C4273" i="1"/>
  <c r="B4273" i="1"/>
  <c r="K4272" i="1"/>
  <c r="C4272" i="1"/>
  <c r="B4272" i="1"/>
  <c r="K4271" i="1"/>
  <c r="C4271" i="1"/>
  <c r="B4271" i="1"/>
  <c r="K4270" i="1"/>
  <c r="C4270" i="1"/>
  <c r="B4270" i="1"/>
  <c r="K4269" i="1"/>
  <c r="C4269" i="1"/>
  <c r="B4269" i="1"/>
  <c r="K4268" i="1"/>
  <c r="C4268" i="1"/>
  <c r="B4268" i="1"/>
  <c r="K4267" i="1"/>
  <c r="C4267" i="1"/>
  <c r="B4267" i="1"/>
  <c r="K4266" i="1"/>
  <c r="C4266" i="1"/>
  <c r="B4266" i="1"/>
  <c r="K4265" i="1"/>
  <c r="C4265" i="1"/>
  <c r="B4265" i="1"/>
  <c r="K4264" i="1"/>
  <c r="C4264" i="1"/>
  <c r="B4264" i="1"/>
  <c r="K4263" i="1"/>
  <c r="C4263" i="1"/>
  <c r="B4263" i="1"/>
  <c r="K4262" i="1"/>
  <c r="C4262" i="1"/>
  <c r="B4262" i="1"/>
  <c r="K4261" i="1"/>
  <c r="C4261" i="1"/>
  <c r="B4261" i="1"/>
  <c r="K4260" i="1"/>
  <c r="C4260" i="1"/>
  <c r="B4260" i="1"/>
  <c r="K4259" i="1"/>
  <c r="C4259" i="1"/>
  <c r="B4259" i="1"/>
  <c r="K4258" i="1"/>
  <c r="C4258" i="1"/>
  <c r="B4258" i="1"/>
  <c r="K4257" i="1"/>
  <c r="C4257" i="1"/>
  <c r="B4257" i="1"/>
  <c r="K4256" i="1"/>
  <c r="C4256" i="1"/>
  <c r="B4256" i="1"/>
  <c r="K4255" i="1"/>
  <c r="C4255" i="1"/>
  <c r="B4255" i="1"/>
  <c r="K4254" i="1"/>
  <c r="C4254" i="1"/>
  <c r="B4254" i="1"/>
  <c r="K4253" i="1"/>
  <c r="C4253" i="1"/>
  <c r="B4253" i="1"/>
  <c r="K4252" i="1"/>
  <c r="C4252" i="1"/>
  <c r="B4252" i="1"/>
  <c r="K4251" i="1"/>
  <c r="C4251" i="1"/>
  <c r="B4251" i="1"/>
  <c r="K4250" i="1"/>
  <c r="C4250" i="1"/>
  <c r="B4250" i="1"/>
  <c r="K4249" i="1"/>
  <c r="C4249" i="1"/>
  <c r="B4249" i="1"/>
  <c r="K4248" i="1"/>
  <c r="C4248" i="1"/>
  <c r="B4248" i="1"/>
  <c r="K4247" i="1"/>
  <c r="C4247" i="1"/>
  <c r="B4247" i="1"/>
  <c r="K4246" i="1"/>
  <c r="C4246" i="1"/>
  <c r="B4246" i="1"/>
  <c r="K4245" i="1"/>
  <c r="C4245" i="1"/>
  <c r="B4245" i="1"/>
  <c r="K4244" i="1"/>
  <c r="C4244" i="1"/>
  <c r="B4244" i="1"/>
  <c r="K4243" i="1"/>
  <c r="C4243" i="1"/>
  <c r="B4243" i="1"/>
  <c r="K4242" i="1"/>
  <c r="C4242" i="1"/>
  <c r="B4242" i="1"/>
  <c r="K4241" i="1"/>
  <c r="C4241" i="1"/>
  <c r="B4241" i="1"/>
  <c r="K4240" i="1"/>
  <c r="C4240" i="1"/>
  <c r="B4240" i="1"/>
  <c r="K4239" i="1"/>
  <c r="C4239" i="1"/>
  <c r="B4239" i="1"/>
  <c r="K4238" i="1"/>
  <c r="C4238" i="1"/>
  <c r="B4238" i="1"/>
  <c r="K4237" i="1"/>
  <c r="C4237" i="1"/>
  <c r="B4237" i="1"/>
  <c r="K4236" i="1"/>
  <c r="C4236" i="1"/>
  <c r="B4236" i="1"/>
  <c r="K4235" i="1"/>
  <c r="C4235" i="1"/>
  <c r="B4235" i="1"/>
  <c r="K4234" i="1"/>
  <c r="C4234" i="1"/>
  <c r="B4234" i="1"/>
  <c r="K4233" i="1"/>
  <c r="C4233" i="1"/>
  <c r="B4233" i="1"/>
  <c r="K4232" i="1"/>
  <c r="C4232" i="1"/>
  <c r="B4232" i="1"/>
  <c r="K4231" i="1"/>
  <c r="C4231" i="1"/>
  <c r="B4231" i="1"/>
  <c r="K4230" i="1"/>
  <c r="C4230" i="1"/>
  <c r="B4230" i="1"/>
  <c r="K4229" i="1"/>
  <c r="C4229" i="1"/>
  <c r="B4229" i="1"/>
  <c r="K4228" i="1"/>
  <c r="C4228" i="1"/>
  <c r="B4228" i="1"/>
  <c r="K4227" i="1"/>
  <c r="C4227" i="1"/>
  <c r="B4227" i="1"/>
  <c r="K4226" i="1"/>
  <c r="C4226" i="1"/>
  <c r="B4226" i="1"/>
  <c r="K4225" i="1"/>
  <c r="C4225" i="1"/>
  <c r="B4225" i="1"/>
  <c r="K4224" i="1"/>
  <c r="C4224" i="1"/>
  <c r="B4224" i="1"/>
  <c r="K4223" i="1"/>
  <c r="C4223" i="1"/>
  <c r="B4223" i="1"/>
  <c r="K4222" i="1"/>
  <c r="C4222" i="1"/>
  <c r="B4222" i="1"/>
  <c r="K4221" i="1"/>
  <c r="C4221" i="1"/>
  <c r="B4221" i="1"/>
  <c r="K4220" i="1"/>
  <c r="C4220" i="1"/>
  <c r="B4220" i="1"/>
  <c r="K4219" i="1"/>
  <c r="C4219" i="1"/>
  <c r="B4219" i="1"/>
  <c r="K4218" i="1"/>
  <c r="C4218" i="1"/>
  <c r="B4218" i="1"/>
  <c r="K4217" i="1"/>
  <c r="C4217" i="1"/>
  <c r="B4217" i="1"/>
  <c r="K4216" i="1"/>
  <c r="C4216" i="1"/>
  <c r="B4216" i="1"/>
  <c r="K4215" i="1"/>
  <c r="C4215" i="1"/>
  <c r="B4215" i="1"/>
  <c r="K4214" i="1"/>
  <c r="C4214" i="1"/>
  <c r="B4214" i="1"/>
  <c r="K4213" i="1"/>
  <c r="C4213" i="1"/>
  <c r="B4213" i="1"/>
  <c r="K4212" i="1"/>
  <c r="C4212" i="1"/>
  <c r="B4212" i="1"/>
  <c r="K4211" i="1"/>
  <c r="C4211" i="1"/>
  <c r="B4211" i="1"/>
  <c r="K4210" i="1"/>
  <c r="C4210" i="1"/>
  <c r="B4210" i="1"/>
  <c r="K4209" i="1"/>
  <c r="C4209" i="1"/>
  <c r="B4209" i="1"/>
  <c r="K4208" i="1"/>
  <c r="C4208" i="1"/>
  <c r="B4208" i="1"/>
  <c r="K4207" i="1"/>
  <c r="C4207" i="1"/>
  <c r="B4207" i="1"/>
  <c r="K4206" i="1"/>
  <c r="C4206" i="1"/>
  <c r="B4206" i="1"/>
  <c r="K4205" i="1"/>
  <c r="C4205" i="1"/>
  <c r="B4205" i="1"/>
  <c r="K4204" i="1"/>
  <c r="C4204" i="1"/>
  <c r="B4204" i="1"/>
  <c r="K4203" i="1"/>
  <c r="C4203" i="1"/>
  <c r="B4203" i="1"/>
  <c r="K4202" i="1"/>
  <c r="C4202" i="1"/>
  <c r="B4202" i="1"/>
  <c r="K4201" i="1"/>
  <c r="C4201" i="1"/>
  <c r="B4201" i="1"/>
  <c r="K4200" i="1"/>
  <c r="C4200" i="1"/>
  <c r="B4200" i="1"/>
  <c r="K4199" i="1"/>
  <c r="C4199" i="1"/>
  <c r="B4199" i="1"/>
  <c r="K4198" i="1"/>
  <c r="C4198" i="1"/>
  <c r="B4198" i="1"/>
  <c r="K4197" i="1"/>
  <c r="C4197" i="1"/>
  <c r="B4197" i="1"/>
  <c r="K4196" i="1"/>
  <c r="C4196" i="1"/>
  <c r="B4196" i="1"/>
  <c r="K4195" i="1"/>
  <c r="C4195" i="1"/>
  <c r="B4195" i="1"/>
  <c r="K4194" i="1"/>
  <c r="C4194" i="1"/>
  <c r="B4194" i="1"/>
  <c r="K4193" i="1"/>
  <c r="C4193" i="1"/>
  <c r="B4193" i="1"/>
  <c r="K4192" i="1"/>
  <c r="C4192" i="1"/>
  <c r="B4192" i="1"/>
  <c r="K4191" i="1"/>
  <c r="C4191" i="1"/>
  <c r="B4191" i="1"/>
  <c r="K4190" i="1"/>
  <c r="C4190" i="1"/>
  <c r="B4190" i="1"/>
  <c r="K4189" i="1"/>
  <c r="C4189" i="1"/>
  <c r="B4189" i="1"/>
  <c r="K4188" i="1"/>
  <c r="C4188" i="1"/>
  <c r="B4188" i="1"/>
  <c r="K4187" i="1"/>
  <c r="C4187" i="1"/>
  <c r="B4187" i="1"/>
  <c r="K4186" i="1"/>
  <c r="C4186" i="1"/>
  <c r="B4186" i="1"/>
  <c r="K4185" i="1"/>
  <c r="C4185" i="1"/>
  <c r="B4185" i="1"/>
  <c r="K4184" i="1"/>
  <c r="C4184" i="1"/>
  <c r="B4184" i="1"/>
  <c r="K4183" i="1"/>
  <c r="C4183" i="1"/>
  <c r="B4183" i="1"/>
  <c r="K4182" i="1"/>
  <c r="C4182" i="1"/>
  <c r="B4182" i="1"/>
  <c r="K4181" i="1"/>
  <c r="C4181" i="1"/>
  <c r="B4181" i="1"/>
  <c r="K4180" i="1"/>
  <c r="C4180" i="1"/>
  <c r="B4180" i="1"/>
  <c r="K4179" i="1"/>
  <c r="C4179" i="1"/>
  <c r="B4179" i="1"/>
  <c r="K4178" i="1"/>
  <c r="C4178" i="1"/>
  <c r="B4178" i="1"/>
  <c r="K4177" i="1"/>
  <c r="C4177" i="1"/>
  <c r="B4177" i="1"/>
  <c r="K4176" i="1"/>
  <c r="C4176" i="1"/>
  <c r="B4176" i="1"/>
  <c r="K4175" i="1"/>
  <c r="C4175" i="1"/>
  <c r="B4175" i="1"/>
  <c r="K4174" i="1"/>
  <c r="C4174" i="1"/>
  <c r="B4174" i="1"/>
  <c r="K4173" i="1"/>
  <c r="C4173" i="1"/>
  <c r="B4173" i="1"/>
  <c r="K4172" i="1"/>
  <c r="C4172" i="1"/>
  <c r="B4172" i="1"/>
  <c r="K4171" i="1"/>
  <c r="C4171" i="1"/>
  <c r="B4171" i="1"/>
  <c r="K4170" i="1"/>
  <c r="C4170" i="1"/>
  <c r="B4170" i="1"/>
  <c r="K4169" i="1"/>
  <c r="C4169" i="1"/>
  <c r="B4169" i="1"/>
  <c r="K4168" i="1"/>
  <c r="C4168" i="1"/>
  <c r="B4168" i="1"/>
  <c r="K4167" i="1"/>
  <c r="C4167" i="1"/>
  <c r="B4167" i="1"/>
  <c r="K4166" i="1"/>
  <c r="C4166" i="1"/>
  <c r="B4166" i="1"/>
  <c r="K4165" i="1"/>
  <c r="C4165" i="1"/>
  <c r="B4165" i="1"/>
  <c r="K4164" i="1"/>
  <c r="C4164" i="1"/>
  <c r="B4164" i="1"/>
  <c r="K4163" i="1"/>
  <c r="C4163" i="1"/>
  <c r="B4163" i="1"/>
  <c r="K4162" i="1"/>
  <c r="C4162" i="1"/>
  <c r="B4162" i="1"/>
  <c r="K4161" i="1"/>
  <c r="C4161" i="1"/>
  <c r="B4161" i="1"/>
  <c r="K4160" i="1"/>
  <c r="C4160" i="1"/>
  <c r="B4160" i="1"/>
  <c r="K4159" i="1"/>
  <c r="C4159" i="1"/>
  <c r="B4159" i="1"/>
  <c r="K4158" i="1"/>
  <c r="C4158" i="1"/>
  <c r="B4158" i="1"/>
  <c r="K4157" i="1"/>
  <c r="C4157" i="1"/>
  <c r="B4157" i="1"/>
  <c r="K4156" i="1"/>
  <c r="C4156" i="1"/>
  <c r="B4156" i="1"/>
  <c r="K4155" i="1"/>
  <c r="C4155" i="1"/>
  <c r="B4155" i="1"/>
  <c r="K4154" i="1"/>
  <c r="C4154" i="1"/>
  <c r="B4154" i="1"/>
  <c r="K4153" i="1"/>
  <c r="C4153" i="1"/>
  <c r="B4153" i="1"/>
  <c r="K4152" i="1"/>
  <c r="C4152" i="1"/>
  <c r="B4152" i="1"/>
  <c r="K4151" i="1"/>
  <c r="C4151" i="1"/>
  <c r="B4151" i="1"/>
  <c r="K4150" i="1"/>
  <c r="C4150" i="1"/>
  <c r="B4150" i="1"/>
  <c r="K4149" i="1"/>
  <c r="C4149" i="1"/>
  <c r="B4149" i="1"/>
  <c r="K4148" i="1"/>
  <c r="C4148" i="1"/>
  <c r="B4148" i="1"/>
  <c r="K4147" i="1"/>
  <c r="C4147" i="1"/>
  <c r="B4147" i="1"/>
  <c r="K4146" i="1"/>
  <c r="C4146" i="1"/>
  <c r="B4146" i="1"/>
  <c r="K4145" i="1"/>
  <c r="C4145" i="1"/>
  <c r="B4145" i="1"/>
  <c r="K4144" i="1"/>
  <c r="C4144" i="1"/>
  <c r="B4144" i="1"/>
  <c r="K4143" i="1"/>
  <c r="C4143" i="1"/>
  <c r="B4143" i="1"/>
  <c r="K4142" i="1"/>
  <c r="C4142" i="1"/>
  <c r="B4142" i="1"/>
  <c r="K4141" i="1"/>
  <c r="C4141" i="1"/>
  <c r="B4141" i="1"/>
  <c r="K4140" i="1"/>
  <c r="C4140" i="1"/>
  <c r="B4140" i="1"/>
  <c r="K4139" i="1"/>
  <c r="C4139" i="1"/>
  <c r="B4139" i="1"/>
  <c r="K4138" i="1"/>
  <c r="C4138" i="1"/>
  <c r="B4138" i="1"/>
  <c r="K4137" i="1"/>
  <c r="C4137" i="1"/>
  <c r="B4137" i="1"/>
  <c r="K4136" i="1"/>
  <c r="C4136" i="1"/>
  <c r="B4136" i="1"/>
  <c r="K4135" i="1"/>
  <c r="C4135" i="1"/>
  <c r="B4135" i="1"/>
  <c r="K4134" i="1"/>
  <c r="C4134" i="1"/>
  <c r="B4134" i="1"/>
  <c r="K4133" i="1"/>
  <c r="C4133" i="1"/>
  <c r="B4133" i="1"/>
  <c r="K4132" i="1"/>
  <c r="C4132" i="1"/>
  <c r="B4132" i="1"/>
  <c r="K4131" i="1"/>
  <c r="C4131" i="1"/>
  <c r="B4131" i="1"/>
  <c r="K4130" i="1"/>
  <c r="C4130" i="1"/>
  <c r="B4130" i="1"/>
  <c r="K4129" i="1"/>
  <c r="C4129" i="1"/>
  <c r="B4129" i="1"/>
  <c r="K4128" i="1"/>
  <c r="C4128" i="1"/>
  <c r="B4128" i="1"/>
  <c r="K4127" i="1"/>
  <c r="C4127" i="1"/>
  <c r="B4127" i="1"/>
  <c r="K4126" i="1"/>
  <c r="C4126" i="1"/>
  <c r="B4126" i="1"/>
  <c r="K4125" i="1"/>
  <c r="C4125" i="1"/>
  <c r="B4125" i="1"/>
  <c r="K4124" i="1"/>
  <c r="C4124" i="1"/>
  <c r="B4124" i="1"/>
  <c r="K4123" i="1"/>
  <c r="C4123" i="1"/>
  <c r="B4123" i="1"/>
  <c r="K4122" i="1"/>
  <c r="C4122" i="1"/>
  <c r="B4122" i="1"/>
  <c r="K4121" i="1"/>
  <c r="C4121" i="1"/>
  <c r="B4121" i="1"/>
  <c r="K4120" i="1"/>
  <c r="C4120" i="1"/>
  <c r="B4120" i="1"/>
  <c r="K4119" i="1"/>
  <c r="C4119" i="1"/>
  <c r="B4119" i="1"/>
  <c r="K4118" i="1"/>
  <c r="C4118" i="1"/>
  <c r="B4118" i="1"/>
  <c r="K4117" i="1"/>
  <c r="C4117" i="1"/>
  <c r="B4117" i="1"/>
  <c r="K4116" i="1"/>
  <c r="C4116" i="1"/>
  <c r="B4116" i="1"/>
  <c r="K4115" i="1"/>
  <c r="C4115" i="1"/>
  <c r="B4115" i="1"/>
  <c r="K4114" i="1"/>
  <c r="C4114" i="1"/>
  <c r="B4114" i="1"/>
  <c r="K4113" i="1"/>
  <c r="C4113" i="1"/>
  <c r="B4113" i="1"/>
  <c r="K4112" i="1"/>
  <c r="C4112" i="1"/>
  <c r="B4112" i="1"/>
  <c r="K4111" i="1"/>
  <c r="C4111" i="1"/>
  <c r="B4111" i="1"/>
  <c r="K4110" i="1"/>
  <c r="C4110" i="1"/>
  <c r="B4110" i="1"/>
  <c r="K4109" i="1"/>
  <c r="C4109" i="1"/>
  <c r="B4109" i="1"/>
  <c r="K4108" i="1"/>
  <c r="C4108" i="1"/>
  <c r="B4108" i="1"/>
  <c r="K4107" i="1"/>
  <c r="C4107" i="1"/>
  <c r="B4107" i="1"/>
  <c r="K4106" i="1"/>
  <c r="C4106" i="1"/>
  <c r="B4106" i="1"/>
  <c r="K4105" i="1"/>
  <c r="C4105" i="1"/>
  <c r="B4105" i="1"/>
  <c r="K4104" i="1"/>
  <c r="C4104" i="1"/>
  <c r="B4104" i="1"/>
  <c r="K4103" i="1"/>
  <c r="C4103" i="1"/>
  <c r="B4103" i="1"/>
  <c r="K4102" i="1"/>
  <c r="C4102" i="1"/>
  <c r="B4102" i="1"/>
  <c r="K4101" i="1"/>
  <c r="C4101" i="1"/>
  <c r="B4101" i="1"/>
  <c r="K4100" i="1"/>
  <c r="C4100" i="1"/>
  <c r="B4100" i="1"/>
  <c r="K4099" i="1"/>
  <c r="C4099" i="1"/>
  <c r="B4099" i="1"/>
  <c r="K4098" i="1"/>
  <c r="C4098" i="1"/>
  <c r="B4098" i="1"/>
  <c r="K4097" i="1"/>
  <c r="C4097" i="1"/>
  <c r="B4097" i="1"/>
  <c r="K4096" i="1"/>
  <c r="C4096" i="1"/>
  <c r="B4096" i="1"/>
  <c r="K4095" i="1"/>
  <c r="C4095" i="1"/>
  <c r="B4095" i="1"/>
  <c r="K4094" i="1"/>
  <c r="C4094" i="1"/>
  <c r="B4094" i="1"/>
  <c r="K4093" i="1"/>
  <c r="C4093" i="1"/>
  <c r="B4093" i="1"/>
  <c r="K4092" i="1"/>
  <c r="C4092" i="1"/>
  <c r="B4092" i="1"/>
  <c r="K4091" i="1"/>
  <c r="C4091" i="1"/>
  <c r="B4091" i="1"/>
  <c r="K4090" i="1"/>
  <c r="C4090" i="1"/>
  <c r="B4090" i="1"/>
  <c r="K4089" i="1"/>
  <c r="C4089" i="1"/>
  <c r="B4089" i="1"/>
  <c r="K4088" i="1"/>
  <c r="C4088" i="1"/>
  <c r="B4088" i="1"/>
  <c r="K4087" i="1"/>
  <c r="C4087" i="1"/>
  <c r="B4087" i="1"/>
  <c r="K4086" i="1"/>
  <c r="C4086" i="1"/>
  <c r="B4086" i="1"/>
  <c r="K4085" i="1"/>
  <c r="C4085" i="1"/>
  <c r="B4085" i="1"/>
  <c r="K4084" i="1"/>
  <c r="C4084" i="1"/>
  <c r="B4084" i="1"/>
  <c r="K4083" i="1"/>
  <c r="C4083" i="1"/>
  <c r="B4083" i="1"/>
  <c r="K4082" i="1"/>
  <c r="C4082" i="1"/>
  <c r="B4082" i="1"/>
  <c r="K4081" i="1"/>
  <c r="C4081" i="1"/>
  <c r="B4081" i="1"/>
  <c r="K4080" i="1"/>
  <c r="C4080" i="1"/>
  <c r="B4080" i="1"/>
  <c r="K4079" i="1"/>
  <c r="C4079" i="1"/>
  <c r="B4079" i="1"/>
  <c r="K4078" i="1"/>
  <c r="C4078" i="1"/>
  <c r="B4078" i="1"/>
  <c r="K4077" i="1"/>
  <c r="C4077" i="1"/>
  <c r="B4077" i="1"/>
  <c r="K4076" i="1"/>
  <c r="C4076" i="1"/>
  <c r="B4076" i="1"/>
  <c r="K4075" i="1"/>
  <c r="C4075" i="1"/>
  <c r="B4075" i="1"/>
  <c r="K4074" i="1"/>
  <c r="C4074" i="1"/>
  <c r="B4074" i="1"/>
  <c r="K4073" i="1"/>
  <c r="C4073" i="1"/>
  <c r="B4073" i="1"/>
  <c r="K4072" i="1"/>
  <c r="C4072" i="1"/>
  <c r="B4072" i="1"/>
  <c r="K4071" i="1"/>
  <c r="C4071" i="1"/>
  <c r="B4071" i="1"/>
  <c r="K4070" i="1"/>
  <c r="C4070" i="1"/>
  <c r="B4070" i="1"/>
  <c r="K4069" i="1"/>
  <c r="C4069" i="1"/>
  <c r="B4069" i="1"/>
  <c r="K4068" i="1"/>
  <c r="C4068" i="1"/>
  <c r="B4068" i="1"/>
  <c r="K4067" i="1"/>
  <c r="C4067" i="1"/>
  <c r="B4067" i="1"/>
  <c r="K4066" i="1"/>
  <c r="C4066" i="1"/>
  <c r="B4066" i="1"/>
  <c r="K4065" i="1"/>
  <c r="C4065" i="1"/>
  <c r="B4065" i="1"/>
  <c r="K4064" i="1"/>
  <c r="C4064" i="1"/>
  <c r="B4064" i="1"/>
  <c r="K4063" i="1"/>
  <c r="C4063" i="1"/>
  <c r="B4063" i="1"/>
  <c r="K4062" i="1"/>
  <c r="C4062" i="1"/>
  <c r="B4062" i="1"/>
  <c r="K4061" i="1"/>
  <c r="C4061" i="1"/>
  <c r="B4061" i="1"/>
  <c r="K4060" i="1"/>
  <c r="C4060" i="1"/>
  <c r="B4060" i="1"/>
  <c r="K4059" i="1"/>
  <c r="C4059" i="1"/>
  <c r="B4059" i="1"/>
  <c r="K4058" i="1"/>
  <c r="C4058" i="1"/>
  <c r="B4058" i="1"/>
  <c r="K4057" i="1"/>
  <c r="C4057" i="1"/>
  <c r="B4057" i="1"/>
  <c r="K4056" i="1"/>
  <c r="C4056" i="1"/>
  <c r="B4056" i="1"/>
  <c r="K4055" i="1"/>
  <c r="C4055" i="1"/>
  <c r="B4055" i="1"/>
  <c r="K4054" i="1"/>
  <c r="C4054" i="1"/>
  <c r="B4054" i="1"/>
  <c r="K4053" i="1"/>
  <c r="C4053" i="1"/>
  <c r="B4053" i="1"/>
  <c r="K4052" i="1"/>
  <c r="C4052" i="1"/>
  <c r="B4052" i="1"/>
  <c r="K4051" i="1"/>
  <c r="C4051" i="1"/>
  <c r="B4051" i="1"/>
  <c r="K4050" i="1"/>
  <c r="C4050" i="1"/>
  <c r="B4050" i="1"/>
  <c r="K4049" i="1"/>
  <c r="C4049" i="1"/>
  <c r="B4049" i="1"/>
  <c r="K4048" i="1"/>
  <c r="C4048" i="1"/>
  <c r="B4048" i="1"/>
  <c r="K4047" i="1"/>
  <c r="C4047" i="1"/>
  <c r="B4047" i="1"/>
  <c r="K4046" i="1"/>
  <c r="C4046" i="1"/>
  <c r="B4046" i="1"/>
  <c r="K4045" i="1"/>
  <c r="C4045" i="1"/>
  <c r="B4045" i="1"/>
  <c r="K4044" i="1"/>
  <c r="C4044" i="1"/>
  <c r="B4044" i="1"/>
  <c r="K4043" i="1"/>
  <c r="C4043" i="1"/>
  <c r="B4043" i="1"/>
  <c r="K4042" i="1"/>
  <c r="C4042" i="1"/>
  <c r="B4042" i="1"/>
  <c r="K4041" i="1"/>
  <c r="C4041" i="1"/>
  <c r="B4041" i="1"/>
  <c r="K4040" i="1"/>
  <c r="C4040" i="1"/>
  <c r="B4040" i="1"/>
  <c r="K4039" i="1"/>
  <c r="C4039" i="1"/>
  <c r="B4039" i="1"/>
  <c r="K4038" i="1"/>
  <c r="C4038" i="1"/>
  <c r="B4038" i="1"/>
  <c r="K4037" i="1"/>
  <c r="C4037" i="1"/>
  <c r="B4037" i="1"/>
  <c r="K4036" i="1"/>
  <c r="C4036" i="1"/>
  <c r="B4036" i="1"/>
  <c r="K4035" i="1"/>
  <c r="C4035" i="1"/>
  <c r="B4035" i="1"/>
  <c r="K4034" i="1"/>
  <c r="C4034" i="1"/>
  <c r="B4034" i="1"/>
  <c r="K4033" i="1"/>
  <c r="C4033" i="1"/>
  <c r="B4033" i="1"/>
  <c r="K4032" i="1"/>
  <c r="C4032" i="1"/>
  <c r="B4032" i="1"/>
  <c r="K4031" i="1"/>
  <c r="C4031" i="1"/>
  <c r="B4031" i="1"/>
  <c r="K4030" i="1"/>
  <c r="C4030" i="1"/>
  <c r="B4030" i="1"/>
  <c r="K4029" i="1"/>
  <c r="C4029" i="1"/>
  <c r="B4029" i="1"/>
  <c r="K4028" i="1"/>
  <c r="C4028" i="1"/>
  <c r="B4028" i="1"/>
  <c r="K4027" i="1"/>
  <c r="C4027" i="1"/>
  <c r="B4027" i="1"/>
  <c r="K4026" i="1"/>
  <c r="C4026" i="1"/>
  <c r="B4026" i="1"/>
  <c r="K4025" i="1"/>
  <c r="C4025" i="1"/>
  <c r="B4025" i="1"/>
  <c r="K4024" i="1"/>
  <c r="C4024" i="1"/>
  <c r="B4024" i="1"/>
  <c r="K4023" i="1"/>
  <c r="C4023" i="1"/>
  <c r="B4023" i="1"/>
  <c r="K4022" i="1"/>
  <c r="C4022" i="1"/>
  <c r="B4022" i="1"/>
  <c r="K4021" i="1"/>
  <c r="C4021" i="1"/>
  <c r="B4021" i="1"/>
  <c r="K4020" i="1"/>
  <c r="C4020" i="1"/>
  <c r="B4020" i="1"/>
  <c r="K4019" i="1"/>
  <c r="C4019" i="1"/>
  <c r="B4019" i="1"/>
  <c r="K4018" i="1"/>
  <c r="C4018" i="1"/>
  <c r="B4018" i="1"/>
  <c r="K4017" i="1"/>
  <c r="C4017" i="1"/>
  <c r="B4017" i="1"/>
  <c r="K4016" i="1"/>
  <c r="C4016" i="1"/>
  <c r="B4016" i="1"/>
  <c r="K4015" i="1"/>
  <c r="C4015" i="1"/>
  <c r="B4015" i="1"/>
  <c r="K4014" i="1"/>
  <c r="C4014" i="1"/>
  <c r="B4014" i="1"/>
  <c r="K4013" i="1"/>
  <c r="C4013" i="1"/>
  <c r="B4013" i="1"/>
  <c r="K4012" i="1"/>
  <c r="C4012" i="1"/>
  <c r="B4012" i="1"/>
  <c r="K4011" i="1"/>
  <c r="C4011" i="1"/>
  <c r="B4011" i="1"/>
  <c r="K4010" i="1"/>
  <c r="C4010" i="1"/>
  <c r="B4010" i="1"/>
  <c r="K4009" i="1"/>
  <c r="C4009" i="1"/>
  <c r="B4009" i="1"/>
  <c r="K4008" i="1"/>
  <c r="C4008" i="1"/>
  <c r="B4008" i="1"/>
  <c r="K4007" i="1"/>
  <c r="C4007" i="1"/>
  <c r="B4007" i="1"/>
  <c r="K4006" i="1"/>
  <c r="C4006" i="1"/>
  <c r="B4006" i="1"/>
  <c r="K4005" i="1"/>
  <c r="C4005" i="1"/>
  <c r="B4005" i="1"/>
  <c r="K4004" i="1"/>
  <c r="C4004" i="1"/>
  <c r="B4004" i="1"/>
  <c r="K4003" i="1"/>
  <c r="C4003" i="1"/>
  <c r="B4003" i="1"/>
  <c r="K4002" i="1"/>
  <c r="C4002" i="1"/>
  <c r="B4002" i="1"/>
  <c r="K4001" i="1"/>
  <c r="C4001" i="1"/>
  <c r="B4001" i="1"/>
  <c r="K4000" i="1"/>
  <c r="C4000" i="1"/>
  <c r="B4000" i="1"/>
  <c r="K3999" i="1"/>
  <c r="C3999" i="1"/>
  <c r="B3999" i="1"/>
  <c r="K3998" i="1"/>
  <c r="C3998" i="1"/>
  <c r="B3998" i="1"/>
  <c r="K3997" i="1"/>
  <c r="C3997" i="1"/>
  <c r="B3997" i="1"/>
  <c r="K3996" i="1"/>
  <c r="C3996" i="1"/>
  <c r="B3996" i="1"/>
  <c r="K3995" i="1"/>
  <c r="C3995" i="1"/>
  <c r="B3995" i="1"/>
  <c r="K3994" i="1"/>
  <c r="C3994" i="1"/>
  <c r="B3994" i="1"/>
  <c r="K3993" i="1"/>
  <c r="C3993" i="1"/>
  <c r="B3993" i="1"/>
  <c r="K3992" i="1"/>
  <c r="C3992" i="1"/>
  <c r="B3992" i="1"/>
  <c r="K3991" i="1"/>
  <c r="C3991" i="1"/>
  <c r="B3991" i="1"/>
  <c r="K3990" i="1"/>
  <c r="C3990" i="1"/>
  <c r="B3990" i="1"/>
  <c r="K3989" i="1"/>
  <c r="C3989" i="1"/>
  <c r="B3989" i="1"/>
  <c r="K3988" i="1"/>
  <c r="C3988" i="1"/>
  <c r="B3988" i="1"/>
  <c r="K3987" i="1"/>
  <c r="C3987" i="1"/>
  <c r="B3987" i="1"/>
  <c r="K3986" i="1"/>
  <c r="C3986" i="1"/>
  <c r="B3986" i="1"/>
  <c r="K3985" i="1"/>
  <c r="C3985" i="1"/>
  <c r="B3985" i="1"/>
  <c r="K3984" i="1"/>
  <c r="C3984" i="1"/>
  <c r="B3984" i="1"/>
  <c r="K3983" i="1"/>
  <c r="C3983" i="1"/>
  <c r="B3983" i="1"/>
  <c r="K3982" i="1"/>
  <c r="C3982" i="1"/>
  <c r="B3982" i="1"/>
  <c r="K3981" i="1"/>
  <c r="C3981" i="1"/>
  <c r="B3981" i="1"/>
  <c r="K3980" i="1"/>
  <c r="C3980" i="1"/>
  <c r="B3980" i="1"/>
  <c r="K3979" i="1"/>
  <c r="C3979" i="1"/>
  <c r="B3979" i="1"/>
  <c r="K3978" i="1"/>
  <c r="C3978" i="1"/>
  <c r="B3978" i="1"/>
  <c r="K3977" i="1"/>
  <c r="C3977" i="1"/>
  <c r="B3977" i="1"/>
  <c r="K3976" i="1"/>
  <c r="C3976" i="1"/>
  <c r="B3976" i="1"/>
  <c r="K3975" i="1"/>
  <c r="C3975" i="1"/>
  <c r="B3975" i="1"/>
  <c r="K3974" i="1"/>
  <c r="C3974" i="1"/>
  <c r="B3974" i="1"/>
  <c r="K3973" i="1"/>
  <c r="C3973" i="1"/>
  <c r="B3973" i="1"/>
  <c r="K3972" i="1"/>
  <c r="C3972" i="1"/>
  <c r="B3972" i="1"/>
  <c r="K3971" i="1"/>
  <c r="C3971" i="1"/>
  <c r="B3971" i="1"/>
  <c r="K3970" i="1"/>
  <c r="C3970" i="1"/>
  <c r="B3970" i="1"/>
  <c r="K3969" i="1"/>
  <c r="C3969" i="1"/>
  <c r="B3969" i="1"/>
  <c r="K3968" i="1"/>
  <c r="C3968" i="1"/>
  <c r="B3968" i="1"/>
  <c r="K3967" i="1"/>
  <c r="C3967" i="1"/>
  <c r="B3967" i="1"/>
  <c r="K3966" i="1"/>
  <c r="C3966" i="1"/>
  <c r="B3966" i="1"/>
  <c r="K3965" i="1"/>
  <c r="C3965" i="1"/>
  <c r="B3965" i="1"/>
  <c r="K3964" i="1"/>
  <c r="C3964" i="1"/>
  <c r="B3964" i="1"/>
  <c r="K3963" i="1"/>
  <c r="C3963" i="1"/>
  <c r="B3963" i="1"/>
  <c r="K3962" i="1"/>
  <c r="C3962" i="1"/>
  <c r="B3962" i="1"/>
  <c r="K3961" i="1"/>
  <c r="C3961" i="1"/>
  <c r="B3961" i="1"/>
  <c r="K3960" i="1"/>
  <c r="C3960" i="1"/>
  <c r="B3960" i="1"/>
  <c r="K3959" i="1"/>
  <c r="C3959" i="1"/>
  <c r="B3959" i="1"/>
  <c r="K3958" i="1"/>
  <c r="C3958" i="1"/>
  <c r="B3958" i="1"/>
  <c r="K3957" i="1"/>
  <c r="C3957" i="1"/>
  <c r="B3957" i="1"/>
  <c r="K3956" i="1"/>
  <c r="C3956" i="1"/>
  <c r="B3956" i="1"/>
  <c r="K3955" i="1"/>
  <c r="C3955" i="1"/>
  <c r="B3955" i="1"/>
  <c r="K3954" i="1"/>
  <c r="C3954" i="1"/>
  <c r="B3954" i="1"/>
  <c r="K3953" i="1"/>
  <c r="C3953" i="1"/>
  <c r="B3953" i="1"/>
  <c r="K3952" i="1"/>
  <c r="C3952" i="1"/>
  <c r="B3952" i="1"/>
  <c r="K3951" i="1"/>
  <c r="C3951" i="1"/>
  <c r="B3951" i="1"/>
  <c r="K3950" i="1"/>
  <c r="C3950" i="1"/>
  <c r="B3950" i="1"/>
  <c r="K3949" i="1"/>
  <c r="C3949" i="1"/>
  <c r="B3949" i="1"/>
  <c r="K3948" i="1"/>
  <c r="C3948" i="1"/>
  <c r="B3948" i="1"/>
  <c r="K3947" i="1"/>
  <c r="C3947" i="1"/>
  <c r="B3947" i="1"/>
  <c r="K3946" i="1"/>
  <c r="C3946" i="1"/>
  <c r="B3946" i="1"/>
  <c r="K3945" i="1"/>
  <c r="C3945" i="1"/>
  <c r="B3945" i="1"/>
  <c r="K3944" i="1"/>
  <c r="C3944" i="1"/>
  <c r="B3944" i="1"/>
  <c r="K3943" i="1"/>
  <c r="C3943" i="1"/>
  <c r="B3943" i="1"/>
  <c r="K3942" i="1"/>
  <c r="C3942" i="1"/>
  <c r="B3942" i="1"/>
  <c r="K3941" i="1"/>
  <c r="C3941" i="1"/>
  <c r="B3941" i="1"/>
  <c r="K3940" i="1"/>
  <c r="C3940" i="1"/>
  <c r="B3940" i="1"/>
  <c r="K3939" i="1"/>
  <c r="C3939" i="1"/>
  <c r="B3939" i="1"/>
  <c r="K3938" i="1"/>
  <c r="C3938" i="1"/>
  <c r="B3938" i="1"/>
  <c r="K3937" i="1"/>
  <c r="C3937" i="1"/>
  <c r="B3937" i="1"/>
  <c r="K3936" i="1"/>
  <c r="C3936" i="1"/>
  <c r="B3936" i="1"/>
  <c r="K3935" i="1"/>
  <c r="C3935" i="1"/>
  <c r="B3935" i="1"/>
  <c r="K3934" i="1"/>
  <c r="C3934" i="1"/>
  <c r="B3934" i="1"/>
  <c r="K3933" i="1"/>
  <c r="C3933" i="1"/>
  <c r="B3933" i="1"/>
  <c r="K3932" i="1"/>
  <c r="C3932" i="1"/>
  <c r="B3932" i="1"/>
  <c r="K3931" i="1"/>
  <c r="C3931" i="1"/>
  <c r="B3931" i="1"/>
  <c r="K3930" i="1"/>
  <c r="C3930" i="1"/>
  <c r="B3930" i="1"/>
  <c r="K3929" i="1"/>
  <c r="C3929" i="1"/>
  <c r="B3929" i="1"/>
  <c r="K3928" i="1"/>
  <c r="C3928" i="1"/>
  <c r="B3928" i="1"/>
  <c r="K3927" i="1"/>
  <c r="C3927" i="1"/>
  <c r="B3927" i="1"/>
  <c r="K3926" i="1"/>
  <c r="C3926" i="1"/>
  <c r="B3926" i="1"/>
  <c r="K3925" i="1"/>
  <c r="C3925" i="1"/>
  <c r="B3925" i="1"/>
  <c r="K3924" i="1"/>
  <c r="C3924" i="1"/>
  <c r="B3924" i="1"/>
  <c r="K3923" i="1"/>
  <c r="C3923" i="1"/>
  <c r="B3923" i="1"/>
  <c r="K3922" i="1"/>
  <c r="C3922" i="1"/>
  <c r="B3922" i="1"/>
  <c r="K3921" i="1"/>
  <c r="C3921" i="1"/>
  <c r="B3921" i="1"/>
  <c r="K3920" i="1"/>
  <c r="C3920" i="1"/>
  <c r="B3920" i="1"/>
  <c r="K3919" i="1"/>
  <c r="C3919" i="1"/>
  <c r="B3919" i="1"/>
  <c r="K3918" i="1"/>
  <c r="C3918" i="1"/>
  <c r="B3918" i="1"/>
  <c r="K3917" i="1"/>
  <c r="C3917" i="1"/>
  <c r="B3917" i="1"/>
  <c r="K3916" i="1"/>
  <c r="C3916" i="1"/>
  <c r="B3916" i="1"/>
  <c r="K3915" i="1"/>
  <c r="C3915" i="1"/>
  <c r="B3915" i="1"/>
  <c r="K3914" i="1"/>
  <c r="C3914" i="1"/>
  <c r="B3914" i="1"/>
  <c r="K3913" i="1"/>
  <c r="C3913" i="1"/>
  <c r="B3913" i="1"/>
  <c r="K3912" i="1"/>
  <c r="C3912" i="1"/>
  <c r="B3912" i="1"/>
  <c r="K3911" i="1"/>
  <c r="C3911" i="1"/>
  <c r="B3911" i="1"/>
  <c r="K3910" i="1"/>
  <c r="C3910" i="1"/>
  <c r="B3910" i="1"/>
  <c r="K3909" i="1"/>
  <c r="C3909" i="1"/>
  <c r="B3909" i="1"/>
  <c r="K3908" i="1"/>
  <c r="C3908" i="1"/>
  <c r="B3908" i="1"/>
  <c r="K3907" i="1"/>
  <c r="C3907" i="1"/>
  <c r="B3907" i="1"/>
  <c r="K3906" i="1"/>
  <c r="C3906" i="1"/>
  <c r="B3906" i="1"/>
  <c r="K3905" i="1"/>
  <c r="C3905" i="1"/>
  <c r="B3905" i="1"/>
  <c r="K3904" i="1"/>
  <c r="C3904" i="1"/>
  <c r="B3904" i="1"/>
  <c r="K3903" i="1"/>
  <c r="C3903" i="1"/>
  <c r="B3903" i="1"/>
  <c r="K3902" i="1"/>
  <c r="C3902" i="1"/>
  <c r="B3902" i="1"/>
  <c r="K3901" i="1"/>
  <c r="C3901" i="1"/>
  <c r="B3901" i="1"/>
  <c r="K3900" i="1"/>
  <c r="C3900" i="1"/>
  <c r="B3900" i="1"/>
  <c r="K3899" i="1"/>
  <c r="C3899" i="1"/>
  <c r="B3899" i="1"/>
  <c r="K3898" i="1"/>
  <c r="C3898" i="1"/>
  <c r="B3898" i="1"/>
  <c r="K3897" i="1"/>
  <c r="C3897" i="1"/>
  <c r="B3897" i="1"/>
  <c r="K3896" i="1"/>
  <c r="C3896" i="1"/>
  <c r="B3896" i="1"/>
  <c r="K3895" i="1"/>
  <c r="C3895" i="1"/>
  <c r="B3895" i="1"/>
  <c r="K3894" i="1"/>
  <c r="C3894" i="1"/>
  <c r="B3894" i="1"/>
  <c r="K3893" i="1"/>
  <c r="C3893" i="1"/>
  <c r="B3893" i="1"/>
  <c r="K3892" i="1"/>
  <c r="C3892" i="1"/>
  <c r="B3892" i="1"/>
  <c r="K3891" i="1"/>
  <c r="C3891" i="1"/>
  <c r="B3891" i="1"/>
  <c r="K3890" i="1"/>
  <c r="C3890" i="1"/>
  <c r="B3890" i="1"/>
  <c r="K3889" i="1"/>
  <c r="C3889" i="1"/>
  <c r="B3889" i="1"/>
  <c r="K3888" i="1"/>
  <c r="C3888" i="1"/>
  <c r="B3888" i="1"/>
  <c r="K3887" i="1"/>
  <c r="C3887" i="1"/>
  <c r="B3887" i="1"/>
  <c r="K3886" i="1"/>
  <c r="C3886" i="1"/>
  <c r="B3886" i="1"/>
  <c r="K3885" i="1"/>
  <c r="C3885" i="1"/>
  <c r="B3885" i="1"/>
  <c r="K3884" i="1"/>
  <c r="C3884" i="1"/>
  <c r="B3884" i="1"/>
  <c r="K3883" i="1"/>
  <c r="C3883" i="1"/>
  <c r="B3883" i="1"/>
  <c r="K3882" i="1"/>
  <c r="C3882" i="1"/>
  <c r="B3882" i="1"/>
  <c r="K3881" i="1"/>
  <c r="C3881" i="1"/>
  <c r="B3881" i="1"/>
  <c r="K3880" i="1"/>
  <c r="C3880" i="1"/>
  <c r="B3880" i="1"/>
  <c r="K3879" i="1"/>
  <c r="C3879" i="1"/>
  <c r="B3879" i="1"/>
  <c r="K3878" i="1"/>
  <c r="C3878" i="1"/>
  <c r="B3878" i="1"/>
  <c r="K3877" i="1"/>
  <c r="C3877" i="1"/>
  <c r="B3877" i="1"/>
  <c r="K3876" i="1"/>
  <c r="C3876" i="1"/>
  <c r="B3876" i="1"/>
  <c r="K3875" i="1"/>
  <c r="C3875" i="1"/>
  <c r="B3875" i="1"/>
  <c r="K3874" i="1"/>
  <c r="C3874" i="1"/>
  <c r="B3874" i="1"/>
  <c r="K3873" i="1"/>
  <c r="C3873" i="1"/>
  <c r="B3873" i="1"/>
  <c r="K3872" i="1"/>
  <c r="C3872" i="1"/>
  <c r="B3872" i="1"/>
  <c r="K3871" i="1"/>
  <c r="C3871" i="1"/>
  <c r="B3871" i="1"/>
  <c r="K3870" i="1"/>
  <c r="C3870" i="1"/>
  <c r="B3870" i="1"/>
  <c r="K3869" i="1"/>
  <c r="C3869" i="1"/>
  <c r="B3869" i="1"/>
  <c r="K3868" i="1"/>
  <c r="C3868" i="1"/>
  <c r="B3868" i="1"/>
  <c r="K3867" i="1"/>
  <c r="C3867" i="1"/>
  <c r="B3867" i="1"/>
  <c r="K3866" i="1"/>
  <c r="C3866" i="1"/>
  <c r="B3866" i="1"/>
  <c r="K3865" i="1"/>
  <c r="C3865" i="1"/>
  <c r="B3865" i="1"/>
  <c r="K3864" i="1"/>
  <c r="C3864" i="1"/>
  <c r="B3864" i="1"/>
  <c r="K3863" i="1"/>
  <c r="C3863" i="1"/>
  <c r="B3863" i="1"/>
  <c r="K3862" i="1"/>
  <c r="C3862" i="1"/>
  <c r="B3862" i="1"/>
  <c r="K3861" i="1"/>
  <c r="C3861" i="1"/>
  <c r="B3861" i="1"/>
  <c r="K3860" i="1"/>
  <c r="C3860" i="1"/>
  <c r="B3860" i="1"/>
  <c r="K3859" i="1"/>
  <c r="C3859" i="1"/>
  <c r="B3859" i="1"/>
  <c r="K3858" i="1"/>
  <c r="C3858" i="1"/>
  <c r="B3858" i="1"/>
  <c r="K3857" i="1"/>
  <c r="C3857" i="1"/>
  <c r="B3857" i="1"/>
  <c r="K3856" i="1"/>
  <c r="C3856" i="1"/>
  <c r="B3856" i="1"/>
  <c r="K3855" i="1"/>
  <c r="C3855" i="1"/>
  <c r="B3855" i="1"/>
  <c r="K3854" i="1"/>
  <c r="C3854" i="1"/>
  <c r="B3854" i="1"/>
  <c r="K3853" i="1"/>
  <c r="C3853" i="1"/>
  <c r="B3853" i="1"/>
  <c r="K3852" i="1"/>
  <c r="C3852" i="1"/>
  <c r="B3852" i="1"/>
  <c r="K3851" i="1"/>
  <c r="C3851" i="1"/>
  <c r="B3851" i="1"/>
  <c r="K3850" i="1"/>
  <c r="C3850" i="1"/>
  <c r="B3850" i="1"/>
  <c r="K3849" i="1"/>
  <c r="C3849" i="1"/>
  <c r="B3849" i="1"/>
  <c r="K3848" i="1"/>
  <c r="C3848" i="1"/>
  <c r="B3848" i="1"/>
  <c r="K3847" i="1"/>
  <c r="C3847" i="1"/>
  <c r="B3847" i="1"/>
  <c r="K3846" i="1"/>
  <c r="C3846" i="1"/>
  <c r="B3846" i="1"/>
  <c r="K3845" i="1"/>
  <c r="C3845" i="1"/>
  <c r="B3845" i="1"/>
  <c r="K3844" i="1"/>
  <c r="C3844" i="1"/>
  <c r="B3844" i="1"/>
  <c r="K3843" i="1"/>
  <c r="C3843" i="1"/>
  <c r="B3843" i="1"/>
  <c r="K3842" i="1"/>
  <c r="C3842" i="1"/>
  <c r="B3842" i="1"/>
  <c r="K3841" i="1"/>
  <c r="C3841" i="1"/>
  <c r="B3841" i="1"/>
  <c r="K3840" i="1"/>
  <c r="C3840" i="1"/>
  <c r="B3840" i="1"/>
  <c r="K3839" i="1"/>
  <c r="C3839" i="1"/>
  <c r="B3839" i="1"/>
  <c r="K3838" i="1"/>
  <c r="C3838" i="1"/>
  <c r="B3838" i="1"/>
  <c r="K3837" i="1"/>
  <c r="C3837" i="1"/>
  <c r="B3837" i="1"/>
  <c r="K3836" i="1"/>
  <c r="C3836" i="1"/>
  <c r="B3836" i="1"/>
  <c r="K3835" i="1"/>
  <c r="C3835" i="1"/>
  <c r="B3835" i="1"/>
  <c r="K3834" i="1"/>
  <c r="C3834" i="1"/>
  <c r="B3834" i="1"/>
  <c r="K3833" i="1"/>
  <c r="C3833" i="1"/>
  <c r="B3833" i="1"/>
  <c r="K3832" i="1"/>
  <c r="C3832" i="1"/>
  <c r="B3832" i="1"/>
  <c r="K3831" i="1"/>
  <c r="C3831" i="1"/>
  <c r="B3831" i="1"/>
  <c r="K3830" i="1"/>
  <c r="C3830" i="1"/>
  <c r="B3830" i="1"/>
  <c r="K3829" i="1"/>
  <c r="C3829" i="1"/>
  <c r="B3829" i="1"/>
  <c r="K3828" i="1"/>
  <c r="C3828" i="1"/>
  <c r="B3828" i="1"/>
  <c r="K3827" i="1"/>
  <c r="C3827" i="1"/>
  <c r="B3827" i="1"/>
  <c r="K3826" i="1"/>
  <c r="C3826" i="1"/>
  <c r="B3826" i="1"/>
  <c r="K3825" i="1"/>
  <c r="C3825" i="1"/>
  <c r="B3825" i="1"/>
  <c r="K3824" i="1"/>
  <c r="C3824" i="1"/>
  <c r="B3824" i="1"/>
  <c r="K3823" i="1"/>
  <c r="C3823" i="1"/>
  <c r="B3823" i="1"/>
  <c r="K3822" i="1"/>
  <c r="C3822" i="1"/>
  <c r="B3822" i="1"/>
  <c r="K3821" i="1"/>
  <c r="C3821" i="1"/>
  <c r="B3821" i="1"/>
  <c r="K3820" i="1"/>
  <c r="C3820" i="1"/>
  <c r="B3820" i="1"/>
  <c r="K3819" i="1"/>
  <c r="C3819" i="1"/>
  <c r="B3819" i="1"/>
  <c r="K3818" i="1"/>
  <c r="C3818" i="1"/>
  <c r="B3818" i="1"/>
  <c r="K3817" i="1"/>
  <c r="C3817" i="1"/>
  <c r="B3817" i="1"/>
  <c r="K3816" i="1"/>
  <c r="C3816" i="1"/>
  <c r="B3816" i="1"/>
  <c r="K3815" i="1"/>
  <c r="C3815" i="1"/>
  <c r="B3815" i="1"/>
  <c r="K3814" i="1"/>
  <c r="C3814" i="1"/>
  <c r="B3814" i="1"/>
  <c r="K3813" i="1"/>
  <c r="C3813" i="1"/>
  <c r="B3813" i="1"/>
  <c r="K3812" i="1"/>
  <c r="C3812" i="1"/>
  <c r="B3812" i="1"/>
  <c r="K3811" i="1"/>
  <c r="C3811" i="1"/>
  <c r="B3811" i="1"/>
  <c r="K3810" i="1"/>
  <c r="C3810" i="1"/>
  <c r="B3810" i="1"/>
  <c r="K3809" i="1"/>
  <c r="C3809" i="1"/>
  <c r="B3809" i="1"/>
  <c r="K3808" i="1"/>
  <c r="C3808" i="1"/>
  <c r="B3808" i="1"/>
  <c r="K3807" i="1"/>
  <c r="C3807" i="1"/>
  <c r="B3807" i="1"/>
  <c r="K3806" i="1"/>
  <c r="C3806" i="1"/>
  <c r="B3806" i="1"/>
  <c r="K3805" i="1"/>
  <c r="C3805" i="1"/>
  <c r="B3805" i="1"/>
  <c r="K3804" i="1"/>
  <c r="C3804" i="1"/>
  <c r="B3804" i="1"/>
  <c r="K3803" i="1"/>
  <c r="C3803" i="1"/>
  <c r="B3803" i="1"/>
  <c r="K3802" i="1"/>
  <c r="C3802" i="1"/>
  <c r="B3802" i="1"/>
  <c r="K3801" i="1"/>
  <c r="C3801" i="1"/>
  <c r="B3801" i="1"/>
  <c r="K3800" i="1"/>
  <c r="C3800" i="1"/>
  <c r="B3800" i="1"/>
  <c r="K3799" i="1"/>
  <c r="C3799" i="1"/>
  <c r="B3799" i="1"/>
  <c r="K3798" i="1"/>
  <c r="C3798" i="1"/>
  <c r="B3798" i="1"/>
  <c r="K3797" i="1"/>
  <c r="C3797" i="1"/>
  <c r="B3797" i="1"/>
  <c r="K3796" i="1"/>
  <c r="C3796" i="1"/>
  <c r="B3796" i="1"/>
  <c r="K3795" i="1"/>
  <c r="C3795" i="1"/>
  <c r="B3795" i="1"/>
  <c r="K3794" i="1"/>
  <c r="C3794" i="1"/>
  <c r="B3794" i="1"/>
  <c r="K3793" i="1"/>
  <c r="C3793" i="1"/>
  <c r="B3793" i="1"/>
  <c r="K3792" i="1"/>
  <c r="C3792" i="1"/>
  <c r="B3792" i="1"/>
  <c r="K3791" i="1"/>
  <c r="C3791" i="1"/>
  <c r="B3791" i="1"/>
  <c r="K3790" i="1"/>
  <c r="C3790" i="1"/>
  <c r="B3790" i="1"/>
  <c r="K3789" i="1"/>
  <c r="C3789" i="1"/>
  <c r="B3789" i="1"/>
  <c r="K3788" i="1"/>
  <c r="C3788" i="1"/>
  <c r="B3788" i="1"/>
  <c r="K3787" i="1"/>
  <c r="C3787" i="1"/>
  <c r="B3787" i="1"/>
  <c r="K3786" i="1"/>
  <c r="C3786" i="1"/>
  <c r="B3786" i="1"/>
  <c r="K3785" i="1"/>
  <c r="C3785" i="1"/>
  <c r="B3785" i="1"/>
  <c r="K3784" i="1"/>
  <c r="C3784" i="1"/>
  <c r="B3784" i="1"/>
  <c r="K3783" i="1"/>
  <c r="C3783" i="1"/>
  <c r="B3783" i="1"/>
  <c r="K3782" i="1"/>
  <c r="C3782" i="1"/>
  <c r="B3782" i="1"/>
  <c r="K3781" i="1"/>
  <c r="C3781" i="1"/>
  <c r="B3781" i="1"/>
  <c r="K3780" i="1"/>
  <c r="C3780" i="1"/>
  <c r="B3780" i="1"/>
  <c r="K3779" i="1"/>
  <c r="C3779" i="1"/>
  <c r="B3779" i="1"/>
  <c r="K3778" i="1"/>
  <c r="C3778" i="1"/>
  <c r="B3778" i="1"/>
  <c r="K3777" i="1"/>
  <c r="C3777" i="1"/>
  <c r="B3777" i="1"/>
  <c r="K3776" i="1"/>
  <c r="C3776" i="1"/>
  <c r="B3776" i="1"/>
  <c r="K3775" i="1"/>
  <c r="C3775" i="1"/>
  <c r="B3775" i="1"/>
  <c r="K3774" i="1"/>
  <c r="C3774" i="1"/>
  <c r="B3774" i="1"/>
  <c r="K3773" i="1"/>
  <c r="C3773" i="1"/>
  <c r="B3773" i="1"/>
  <c r="K3772" i="1"/>
  <c r="C3772" i="1"/>
  <c r="B3772" i="1"/>
  <c r="K3771" i="1"/>
  <c r="C3771" i="1"/>
  <c r="B3771" i="1"/>
  <c r="K3770" i="1"/>
  <c r="C3770" i="1"/>
  <c r="B3770" i="1"/>
  <c r="K3769" i="1"/>
  <c r="C3769" i="1"/>
  <c r="B3769" i="1"/>
  <c r="K3768" i="1"/>
  <c r="C3768" i="1"/>
  <c r="B3768" i="1"/>
  <c r="K3767" i="1"/>
  <c r="C3767" i="1"/>
  <c r="B3767" i="1"/>
  <c r="K3766" i="1"/>
  <c r="C3766" i="1"/>
  <c r="B3766" i="1"/>
  <c r="K3765" i="1"/>
  <c r="C3765" i="1"/>
  <c r="B3765" i="1"/>
  <c r="K3764" i="1"/>
  <c r="C3764" i="1"/>
  <c r="B3764" i="1"/>
  <c r="K3763" i="1"/>
  <c r="C3763" i="1"/>
  <c r="B3763" i="1"/>
  <c r="K3762" i="1"/>
  <c r="C3762" i="1"/>
  <c r="B3762" i="1"/>
  <c r="K3761" i="1"/>
  <c r="C3761" i="1"/>
  <c r="B3761" i="1"/>
  <c r="K3760" i="1"/>
  <c r="C3760" i="1"/>
  <c r="B3760" i="1"/>
  <c r="K3759" i="1"/>
  <c r="C3759" i="1"/>
  <c r="B3759" i="1"/>
  <c r="K3758" i="1"/>
  <c r="C3758" i="1"/>
  <c r="B3758" i="1"/>
  <c r="K3757" i="1"/>
  <c r="C3757" i="1"/>
  <c r="B3757" i="1"/>
  <c r="K3756" i="1"/>
  <c r="C3756" i="1"/>
  <c r="B3756" i="1"/>
  <c r="K3755" i="1"/>
  <c r="C3755" i="1"/>
  <c r="B3755" i="1"/>
  <c r="K3754" i="1"/>
  <c r="C3754" i="1"/>
  <c r="B3754" i="1"/>
  <c r="K3753" i="1"/>
  <c r="C3753" i="1"/>
  <c r="B3753" i="1"/>
  <c r="K3752" i="1"/>
  <c r="C3752" i="1"/>
  <c r="B3752" i="1"/>
  <c r="K3751" i="1"/>
  <c r="C3751" i="1"/>
  <c r="B3751" i="1"/>
  <c r="K3750" i="1"/>
  <c r="C3750" i="1"/>
  <c r="B3750" i="1"/>
  <c r="K3749" i="1"/>
  <c r="C3749" i="1"/>
  <c r="B3749" i="1"/>
  <c r="K3748" i="1"/>
  <c r="C3748" i="1"/>
  <c r="B3748" i="1"/>
  <c r="K3747" i="1"/>
  <c r="C3747" i="1"/>
  <c r="B3747" i="1"/>
  <c r="K3746" i="1"/>
  <c r="C3746" i="1"/>
  <c r="B3746" i="1"/>
  <c r="K3745" i="1"/>
  <c r="C3745" i="1"/>
  <c r="B3745" i="1"/>
  <c r="K3744" i="1"/>
  <c r="C3744" i="1"/>
  <c r="B3744" i="1"/>
  <c r="K3743" i="1"/>
  <c r="C3743" i="1"/>
  <c r="B3743" i="1"/>
  <c r="K3742" i="1"/>
  <c r="C3742" i="1"/>
  <c r="B3742" i="1"/>
  <c r="K3741" i="1"/>
  <c r="C3741" i="1"/>
  <c r="B3741" i="1"/>
  <c r="K3740" i="1"/>
  <c r="C3740" i="1"/>
  <c r="B3740" i="1"/>
  <c r="K3739" i="1"/>
  <c r="C3739" i="1"/>
  <c r="B3739" i="1"/>
  <c r="K3738" i="1"/>
  <c r="C3738" i="1"/>
  <c r="B3738" i="1"/>
  <c r="K3737" i="1"/>
  <c r="C3737" i="1"/>
  <c r="B3737" i="1"/>
  <c r="K3736" i="1"/>
  <c r="C3736" i="1"/>
  <c r="B3736" i="1"/>
  <c r="K3735" i="1"/>
  <c r="C3735" i="1"/>
  <c r="B3735" i="1"/>
  <c r="K3734" i="1"/>
  <c r="C3734" i="1"/>
  <c r="B3734" i="1"/>
  <c r="K3733" i="1"/>
  <c r="C3733" i="1"/>
  <c r="B3733" i="1"/>
  <c r="K3732" i="1"/>
  <c r="C3732" i="1"/>
  <c r="B3732" i="1"/>
  <c r="K3731" i="1"/>
  <c r="C3731" i="1"/>
  <c r="B3731" i="1"/>
  <c r="K3730" i="1"/>
  <c r="C3730" i="1"/>
  <c r="B3730" i="1"/>
  <c r="K3729" i="1"/>
  <c r="C3729" i="1"/>
  <c r="B3729" i="1"/>
  <c r="K3728" i="1"/>
  <c r="C3728" i="1"/>
  <c r="B3728" i="1"/>
  <c r="K3727" i="1"/>
  <c r="C3727" i="1"/>
  <c r="B3727" i="1"/>
  <c r="K3726" i="1"/>
  <c r="C3726" i="1"/>
  <c r="B3726" i="1"/>
  <c r="K3725" i="1"/>
  <c r="C3725" i="1"/>
  <c r="B3725" i="1"/>
  <c r="K3724" i="1"/>
  <c r="C3724" i="1"/>
  <c r="B3724" i="1"/>
  <c r="K3723" i="1"/>
  <c r="C3723" i="1"/>
  <c r="B3723" i="1"/>
  <c r="K3722" i="1"/>
  <c r="C3722" i="1"/>
  <c r="B3722" i="1"/>
  <c r="K3721" i="1"/>
  <c r="C3721" i="1"/>
  <c r="B3721" i="1"/>
  <c r="K3720" i="1"/>
  <c r="C3720" i="1"/>
  <c r="B3720" i="1"/>
  <c r="K3719" i="1"/>
  <c r="C3719" i="1"/>
  <c r="B3719" i="1"/>
  <c r="K3718" i="1"/>
  <c r="C3718" i="1"/>
  <c r="B3718" i="1"/>
  <c r="K3717" i="1"/>
  <c r="C3717" i="1"/>
  <c r="B3717" i="1"/>
  <c r="K3716" i="1"/>
  <c r="C3716" i="1"/>
  <c r="B3716" i="1"/>
  <c r="K3715" i="1"/>
  <c r="C3715" i="1"/>
  <c r="B3715" i="1"/>
  <c r="K3714" i="1"/>
  <c r="C3714" i="1"/>
  <c r="B3714" i="1"/>
  <c r="K3713" i="1"/>
  <c r="C3713" i="1"/>
  <c r="B3713" i="1"/>
  <c r="K3712" i="1"/>
  <c r="C3712" i="1"/>
  <c r="B3712" i="1"/>
  <c r="K3711" i="1"/>
  <c r="C3711" i="1"/>
  <c r="B3711" i="1"/>
  <c r="K3710" i="1"/>
  <c r="C3710" i="1"/>
  <c r="B3710" i="1"/>
  <c r="K3709" i="1"/>
  <c r="C3709" i="1"/>
  <c r="B3709" i="1"/>
  <c r="K3708" i="1"/>
  <c r="C3708" i="1"/>
  <c r="B3708" i="1"/>
  <c r="K3707" i="1"/>
  <c r="C3707" i="1"/>
  <c r="B3707" i="1"/>
  <c r="K3706" i="1"/>
  <c r="C3706" i="1"/>
  <c r="B3706" i="1"/>
  <c r="K3705" i="1"/>
  <c r="C3705" i="1"/>
  <c r="B3705" i="1"/>
  <c r="K3704" i="1"/>
  <c r="C3704" i="1"/>
  <c r="B3704" i="1"/>
  <c r="K3703" i="1"/>
  <c r="C3703" i="1"/>
  <c r="B3703" i="1"/>
  <c r="K3702" i="1"/>
  <c r="C3702" i="1"/>
  <c r="B3702" i="1"/>
  <c r="K3701" i="1"/>
  <c r="C3701" i="1"/>
  <c r="B3701" i="1"/>
  <c r="K3700" i="1"/>
  <c r="C3700" i="1"/>
  <c r="B3700" i="1"/>
  <c r="K3699" i="1"/>
  <c r="C3699" i="1"/>
  <c r="B3699" i="1"/>
  <c r="K3698" i="1"/>
  <c r="C3698" i="1"/>
  <c r="B3698" i="1"/>
  <c r="K3697" i="1"/>
  <c r="C3697" i="1"/>
  <c r="B3697" i="1"/>
  <c r="K3696" i="1"/>
  <c r="C3696" i="1"/>
  <c r="B3696" i="1"/>
  <c r="K3695" i="1"/>
  <c r="C3695" i="1"/>
  <c r="B3695" i="1"/>
  <c r="K3694" i="1"/>
  <c r="C3694" i="1"/>
  <c r="B3694" i="1"/>
  <c r="K3693" i="1"/>
  <c r="C3693" i="1"/>
  <c r="B3693" i="1"/>
  <c r="K3692" i="1"/>
  <c r="C3692" i="1"/>
  <c r="B3692" i="1"/>
  <c r="K3691" i="1"/>
  <c r="C3691" i="1"/>
  <c r="B3691" i="1"/>
  <c r="K3690" i="1"/>
  <c r="C3690" i="1"/>
  <c r="B3690" i="1"/>
  <c r="K3689" i="1"/>
  <c r="C3689" i="1"/>
  <c r="B3689" i="1"/>
  <c r="K3688" i="1"/>
  <c r="C3688" i="1"/>
  <c r="B3688" i="1"/>
  <c r="K3687" i="1"/>
  <c r="C3687" i="1"/>
  <c r="B3687" i="1"/>
  <c r="K3686" i="1"/>
  <c r="C3686" i="1"/>
  <c r="B3686" i="1"/>
  <c r="K3685" i="1"/>
  <c r="C3685" i="1"/>
  <c r="B3685" i="1"/>
  <c r="K3684" i="1"/>
  <c r="C3684" i="1"/>
  <c r="B3684" i="1"/>
  <c r="K3683" i="1"/>
  <c r="C3683" i="1"/>
  <c r="B3683" i="1"/>
  <c r="K3682" i="1"/>
  <c r="C3682" i="1"/>
  <c r="B3682" i="1"/>
  <c r="K3681" i="1"/>
  <c r="C3681" i="1"/>
  <c r="B3681" i="1"/>
  <c r="K3680" i="1"/>
  <c r="C3680" i="1"/>
  <c r="B3680" i="1"/>
  <c r="K3679" i="1"/>
  <c r="C3679" i="1"/>
  <c r="B3679" i="1"/>
  <c r="K3678" i="1"/>
  <c r="C3678" i="1"/>
  <c r="B3678" i="1"/>
  <c r="K3677" i="1"/>
  <c r="C3677" i="1"/>
  <c r="B3677" i="1"/>
  <c r="K3676" i="1"/>
  <c r="C3676" i="1"/>
  <c r="B3676" i="1"/>
  <c r="K3675" i="1"/>
  <c r="C3675" i="1"/>
  <c r="B3675" i="1"/>
  <c r="K3674" i="1"/>
  <c r="C3674" i="1"/>
  <c r="B3674" i="1"/>
  <c r="K3673" i="1"/>
  <c r="C3673" i="1"/>
  <c r="B3673" i="1"/>
  <c r="K3672" i="1"/>
  <c r="C3672" i="1"/>
  <c r="B3672" i="1"/>
  <c r="K3671" i="1"/>
  <c r="C3671" i="1"/>
  <c r="B3671" i="1"/>
  <c r="K3670" i="1"/>
  <c r="C3670" i="1"/>
  <c r="B3670" i="1"/>
  <c r="K3669" i="1"/>
  <c r="C3669" i="1"/>
  <c r="B3669" i="1"/>
  <c r="K3668" i="1"/>
  <c r="C3668" i="1"/>
  <c r="B3668" i="1"/>
  <c r="K3667" i="1"/>
  <c r="C3667" i="1"/>
  <c r="B3667" i="1"/>
  <c r="K3666" i="1"/>
  <c r="C3666" i="1"/>
  <c r="B3666" i="1"/>
  <c r="K3665" i="1"/>
  <c r="C3665" i="1"/>
  <c r="B3665" i="1"/>
  <c r="K3664" i="1"/>
  <c r="C3664" i="1"/>
  <c r="B3664" i="1"/>
  <c r="K3663" i="1"/>
  <c r="C3663" i="1"/>
  <c r="B3663" i="1"/>
  <c r="K3662" i="1"/>
  <c r="C3662" i="1"/>
  <c r="B3662" i="1"/>
  <c r="K3661" i="1"/>
  <c r="C3661" i="1"/>
  <c r="B3661" i="1"/>
  <c r="K3660" i="1"/>
  <c r="C3660" i="1"/>
  <c r="B3660" i="1"/>
  <c r="K3659" i="1"/>
  <c r="C3659" i="1"/>
  <c r="B3659" i="1"/>
  <c r="K3658" i="1"/>
  <c r="C3658" i="1"/>
  <c r="B3658" i="1"/>
  <c r="K3657" i="1"/>
  <c r="C3657" i="1"/>
  <c r="B3657" i="1"/>
  <c r="K3656" i="1"/>
  <c r="C3656" i="1"/>
  <c r="B3656" i="1"/>
  <c r="K3655" i="1"/>
  <c r="C3655" i="1"/>
  <c r="B3655" i="1"/>
  <c r="K3654" i="1"/>
  <c r="C3654" i="1"/>
  <c r="B3654" i="1"/>
  <c r="K3653" i="1"/>
  <c r="C3653" i="1"/>
  <c r="B3653" i="1"/>
  <c r="K3652" i="1"/>
  <c r="C3652" i="1"/>
  <c r="B3652" i="1"/>
  <c r="K3651" i="1"/>
  <c r="C3651" i="1"/>
  <c r="B3651" i="1"/>
  <c r="K3650" i="1"/>
  <c r="C3650" i="1"/>
  <c r="B3650" i="1"/>
  <c r="K3649" i="1"/>
  <c r="C3649" i="1"/>
  <c r="B3649" i="1"/>
  <c r="K3648" i="1"/>
  <c r="C3648" i="1"/>
  <c r="B3648" i="1"/>
  <c r="K3647" i="1"/>
  <c r="C3647" i="1"/>
  <c r="B3647" i="1"/>
  <c r="K3646" i="1"/>
  <c r="C3646" i="1"/>
  <c r="B3646" i="1"/>
  <c r="K3645" i="1"/>
  <c r="C3645" i="1"/>
  <c r="B3645" i="1"/>
  <c r="K3644" i="1"/>
  <c r="C3644" i="1"/>
  <c r="B3644" i="1"/>
  <c r="K3643" i="1"/>
  <c r="C3643" i="1"/>
  <c r="B3643" i="1"/>
  <c r="K3642" i="1"/>
  <c r="C3642" i="1"/>
  <c r="B3642" i="1"/>
  <c r="K3641" i="1"/>
  <c r="C3641" i="1"/>
  <c r="B3641" i="1"/>
  <c r="K3640" i="1"/>
  <c r="C3640" i="1"/>
  <c r="B3640" i="1"/>
  <c r="K3639" i="1"/>
  <c r="C3639" i="1"/>
  <c r="B3639" i="1"/>
  <c r="K3638" i="1"/>
  <c r="C3638" i="1"/>
  <c r="B3638" i="1"/>
  <c r="K3637" i="1"/>
  <c r="C3637" i="1"/>
  <c r="B3637" i="1"/>
  <c r="K3636" i="1"/>
  <c r="C3636" i="1"/>
  <c r="B3636" i="1"/>
  <c r="K3635" i="1"/>
  <c r="C3635" i="1"/>
  <c r="B3635" i="1"/>
  <c r="K3634" i="1"/>
  <c r="C3634" i="1"/>
  <c r="B3634" i="1"/>
  <c r="K3633" i="1"/>
  <c r="C3633" i="1"/>
  <c r="B3633" i="1"/>
  <c r="K3632" i="1"/>
  <c r="C3632" i="1"/>
  <c r="B3632" i="1"/>
  <c r="K3631" i="1"/>
  <c r="C3631" i="1"/>
  <c r="B3631" i="1"/>
  <c r="K3630" i="1"/>
  <c r="C3630" i="1"/>
  <c r="B3630" i="1"/>
  <c r="K3629" i="1"/>
  <c r="C3629" i="1"/>
  <c r="B3629" i="1"/>
  <c r="K3628" i="1"/>
  <c r="C3628" i="1"/>
  <c r="B3628" i="1"/>
  <c r="K3627" i="1"/>
  <c r="C3627" i="1"/>
  <c r="B3627" i="1"/>
  <c r="K3626" i="1"/>
  <c r="C3626" i="1"/>
  <c r="B3626" i="1"/>
  <c r="K3625" i="1"/>
  <c r="C3625" i="1"/>
  <c r="B3625" i="1"/>
  <c r="K3624" i="1"/>
  <c r="C3624" i="1"/>
  <c r="B3624" i="1"/>
  <c r="K3623" i="1"/>
  <c r="C3623" i="1"/>
  <c r="B3623" i="1"/>
  <c r="K3622" i="1"/>
  <c r="C3622" i="1"/>
  <c r="B3622" i="1"/>
  <c r="K3621" i="1"/>
  <c r="C3621" i="1"/>
  <c r="B3621" i="1"/>
  <c r="K3620" i="1"/>
  <c r="C3620" i="1"/>
  <c r="B3620" i="1"/>
  <c r="K3619" i="1"/>
  <c r="C3619" i="1"/>
  <c r="B3619" i="1"/>
  <c r="K3618" i="1"/>
  <c r="C3618" i="1"/>
  <c r="B3618" i="1"/>
  <c r="K3617" i="1"/>
  <c r="C3617" i="1"/>
  <c r="B3617" i="1"/>
  <c r="K3616" i="1"/>
  <c r="C3616" i="1"/>
  <c r="B3616" i="1"/>
  <c r="K3615" i="1"/>
  <c r="C3615" i="1"/>
  <c r="B3615" i="1"/>
  <c r="K3614" i="1"/>
  <c r="C3614" i="1"/>
  <c r="B3614" i="1"/>
  <c r="K3613" i="1"/>
  <c r="C3613" i="1"/>
  <c r="B3613" i="1"/>
  <c r="K3612" i="1"/>
  <c r="C3612" i="1"/>
  <c r="B3612" i="1"/>
  <c r="K3611" i="1"/>
  <c r="C3611" i="1"/>
  <c r="B3611" i="1"/>
  <c r="K3610" i="1"/>
  <c r="C3610" i="1"/>
  <c r="B3610" i="1"/>
  <c r="K3609" i="1"/>
  <c r="C3609" i="1"/>
  <c r="B3609" i="1"/>
  <c r="K3608" i="1"/>
  <c r="C3608" i="1"/>
  <c r="B3608" i="1"/>
  <c r="K3607" i="1"/>
  <c r="C3607" i="1"/>
  <c r="B3607" i="1"/>
  <c r="K3606" i="1"/>
  <c r="C3606" i="1"/>
  <c r="B3606" i="1"/>
  <c r="K3605" i="1"/>
  <c r="C3605" i="1"/>
  <c r="B3605" i="1"/>
  <c r="K3604" i="1"/>
  <c r="C3604" i="1"/>
  <c r="B3604" i="1"/>
  <c r="K3603" i="1"/>
  <c r="C3603" i="1"/>
  <c r="B3603" i="1"/>
  <c r="K3602" i="1"/>
  <c r="C3602" i="1"/>
  <c r="B3602" i="1"/>
  <c r="K3601" i="1"/>
  <c r="C3601" i="1"/>
  <c r="B3601" i="1"/>
  <c r="K3600" i="1"/>
  <c r="C3600" i="1"/>
  <c r="B3600" i="1"/>
  <c r="K3599" i="1"/>
  <c r="C3599" i="1"/>
  <c r="B3599" i="1"/>
  <c r="K3598" i="1"/>
  <c r="C3598" i="1"/>
  <c r="B3598" i="1"/>
  <c r="K3597" i="1"/>
  <c r="C3597" i="1"/>
  <c r="B3597" i="1"/>
  <c r="K3596" i="1"/>
  <c r="C3596" i="1"/>
  <c r="B3596" i="1"/>
  <c r="K3595" i="1"/>
  <c r="C3595" i="1"/>
  <c r="B3595" i="1"/>
  <c r="K3594" i="1"/>
  <c r="C3594" i="1"/>
  <c r="B3594" i="1"/>
  <c r="K3593" i="1"/>
  <c r="C3593" i="1"/>
  <c r="B3593" i="1"/>
  <c r="K3592" i="1"/>
  <c r="C3592" i="1"/>
  <c r="B3592" i="1"/>
  <c r="K3591" i="1"/>
  <c r="C3591" i="1"/>
  <c r="B3591" i="1"/>
  <c r="K3590" i="1"/>
  <c r="C3590" i="1"/>
  <c r="B3590" i="1"/>
  <c r="K3589" i="1"/>
  <c r="C3589" i="1"/>
  <c r="B3589" i="1"/>
  <c r="K3588" i="1"/>
  <c r="C3588" i="1"/>
  <c r="B3588" i="1"/>
  <c r="K3587" i="1"/>
  <c r="C3587" i="1"/>
  <c r="B3587" i="1"/>
  <c r="K3586" i="1"/>
  <c r="C3586" i="1"/>
  <c r="B3586" i="1"/>
  <c r="K3585" i="1"/>
  <c r="C3585" i="1"/>
  <c r="B3585" i="1"/>
  <c r="K3584" i="1"/>
  <c r="C3584" i="1"/>
  <c r="B3584" i="1"/>
  <c r="K3583" i="1"/>
  <c r="C3583" i="1"/>
  <c r="B3583" i="1"/>
  <c r="K3582" i="1"/>
  <c r="C3582" i="1"/>
  <c r="B3582" i="1"/>
  <c r="K3581" i="1"/>
  <c r="C3581" i="1"/>
  <c r="B3581" i="1"/>
  <c r="K3580" i="1"/>
  <c r="C3580" i="1"/>
  <c r="B3580" i="1"/>
  <c r="K3579" i="1"/>
  <c r="C3579" i="1"/>
  <c r="B3579" i="1"/>
  <c r="K3578" i="1"/>
  <c r="C3578" i="1"/>
  <c r="B3578" i="1"/>
  <c r="K3577" i="1"/>
  <c r="C3577" i="1"/>
  <c r="B3577" i="1"/>
  <c r="K3576" i="1"/>
  <c r="C3576" i="1"/>
  <c r="B3576" i="1"/>
  <c r="K3575" i="1"/>
  <c r="C3575" i="1"/>
  <c r="B3575" i="1"/>
  <c r="K3574" i="1"/>
  <c r="C3574" i="1"/>
  <c r="B3574" i="1"/>
  <c r="K3573" i="1"/>
  <c r="C3573" i="1"/>
  <c r="B3573" i="1"/>
  <c r="K3572" i="1"/>
  <c r="C3572" i="1"/>
  <c r="B3572" i="1"/>
  <c r="K3571" i="1"/>
  <c r="C3571" i="1"/>
  <c r="B3571" i="1"/>
  <c r="K3570" i="1"/>
  <c r="C3570" i="1"/>
  <c r="B3570" i="1"/>
  <c r="K3569" i="1"/>
  <c r="C3569" i="1"/>
  <c r="B3569" i="1"/>
  <c r="K3568" i="1"/>
  <c r="C3568" i="1"/>
  <c r="B3568" i="1"/>
  <c r="K3567" i="1"/>
  <c r="C3567" i="1"/>
  <c r="B3567" i="1"/>
  <c r="K3566" i="1"/>
  <c r="C3566" i="1"/>
  <c r="B3566" i="1"/>
  <c r="K3565" i="1"/>
  <c r="C3565" i="1"/>
  <c r="B3565" i="1"/>
  <c r="K3564" i="1"/>
  <c r="C3564" i="1"/>
  <c r="B3564" i="1"/>
  <c r="K3563" i="1"/>
  <c r="C3563" i="1"/>
  <c r="B3563" i="1"/>
  <c r="K3562" i="1"/>
  <c r="C3562" i="1"/>
  <c r="B3562" i="1"/>
  <c r="K3561" i="1"/>
  <c r="C3561" i="1"/>
  <c r="B3561" i="1"/>
  <c r="K3560" i="1"/>
  <c r="C3560" i="1"/>
  <c r="B3560" i="1"/>
  <c r="K3559" i="1"/>
  <c r="C3559" i="1"/>
  <c r="B3559" i="1"/>
  <c r="K3558" i="1"/>
  <c r="C3558" i="1"/>
  <c r="B3558" i="1"/>
  <c r="K3557" i="1"/>
  <c r="C3557" i="1"/>
  <c r="B3557" i="1"/>
  <c r="K3556" i="1"/>
  <c r="C3556" i="1"/>
  <c r="B3556" i="1"/>
  <c r="K3555" i="1"/>
  <c r="C3555" i="1"/>
  <c r="B3555" i="1"/>
  <c r="K3554" i="1"/>
  <c r="C3554" i="1"/>
  <c r="B3554" i="1"/>
  <c r="K3553" i="1"/>
  <c r="C3553" i="1"/>
  <c r="B3553" i="1"/>
  <c r="K3552" i="1"/>
  <c r="C3552" i="1"/>
  <c r="B3552" i="1"/>
  <c r="K3551" i="1"/>
  <c r="C3551" i="1"/>
  <c r="B3551" i="1"/>
  <c r="K3550" i="1"/>
  <c r="C3550" i="1"/>
  <c r="B3550" i="1"/>
  <c r="K3549" i="1"/>
  <c r="C3549" i="1"/>
  <c r="B3549" i="1"/>
  <c r="K3548" i="1"/>
  <c r="C3548" i="1"/>
  <c r="B3548" i="1"/>
  <c r="K3547" i="1"/>
  <c r="C3547" i="1"/>
  <c r="B3547" i="1"/>
  <c r="K3546" i="1"/>
  <c r="C3546" i="1"/>
  <c r="B3546" i="1"/>
  <c r="K3545" i="1"/>
  <c r="C3545" i="1"/>
  <c r="B3545" i="1"/>
  <c r="K3544" i="1"/>
  <c r="C3544" i="1"/>
  <c r="B3544" i="1"/>
  <c r="K3543" i="1"/>
  <c r="C3543" i="1"/>
  <c r="B3543" i="1"/>
  <c r="K3542" i="1"/>
  <c r="C3542" i="1"/>
  <c r="B3542" i="1"/>
  <c r="K3541" i="1"/>
  <c r="C3541" i="1"/>
  <c r="B3541" i="1"/>
  <c r="K3540" i="1"/>
  <c r="C3540" i="1"/>
  <c r="B3540" i="1"/>
  <c r="K3539" i="1"/>
  <c r="C3539" i="1"/>
  <c r="B3539" i="1"/>
  <c r="K3538" i="1"/>
  <c r="C3538" i="1"/>
  <c r="B3538" i="1"/>
  <c r="K3537" i="1"/>
  <c r="C3537" i="1"/>
  <c r="B3537" i="1"/>
  <c r="K3536" i="1"/>
  <c r="C3536" i="1"/>
  <c r="B3536" i="1"/>
  <c r="K3535" i="1"/>
  <c r="C3535" i="1"/>
  <c r="B3535" i="1"/>
  <c r="K3534" i="1"/>
  <c r="C3534" i="1"/>
  <c r="B3534" i="1"/>
  <c r="K3533" i="1"/>
  <c r="C3533" i="1"/>
  <c r="B3533" i="1"/>
  <c r="K3532" i="1"/>
  <c r="C3532" i="1"/>
  <c r="B3532" i="1"/>
  <c r="K3531" i="1"/>
  <c r="C3531" i="1"/>
  <c r="B3531" i="1"/>
  <c r="K3530" i="1"/>
  <c r="C3530" i="1"/>
  <c r="B3530" i="1"/>
  <c r="K3529" i="1"/>
  <c r="C3529" i="1"/>
  <c r="B3529" i="1"/>
  <c r="K3528" i="1"/>
  <c r="C3528" i="1"/>
  <c r="B3528" i="1"/>
  <c r="K3527" i="1"/>
  <c r="C3527" i="1"/>
  <c r="B3527" i="1"/>
  <c r="K3526" i="1"/>
  <c r="C3526" i="1"/>
  <c r="B3526" i="1"/>
  <c r="K3525" i="1"/>
  <c r="C3525" i="1"/>
  <c r="B3525" i="1"/>
  <c r="K3524" i="1"/>
  <c r="C3524" i="1"/>
  <c r="B3524" i="1"/>
  <c r="K3523" i="1"/>
  <c r="C3523" i="1"/>
  <c r="B3523" i="1"/>
  <c r="K3522" i="1"/>
  <c r="C3522" i="1"/>
  <c r="B3522" i="1"/>
  <c r="K3521" i="1"/>
  <c r="C3521" i="1"/>
  <c r="B3521" i="1"/>
  <c r="K3520" i="1"/>
  <c r="C3520" i="1"/>
  <c r="B3520" i="1"/>
  <c r="K3519" i="1"/>
  <c r="C3519" i="1"/>
  <c r="B3519" i="1"/>
  <c r="K3518" i="1"/>
  <c r="C3518" i="1"/>
  <c r="B3518" i="1"/>
  <c r="K3517" i="1"/>
  <c r="C3517" i="1"/>
  <c r="B3517" i="1"/>
  <c r="K3516" i="1"/>
  <c r="C3516" i="1"/>
  <c r="B3516" i="1"/>
  <c r="K3515" i="1"/>
  <c r="C3515" i="1"/>
  <c r="B3515" i="1"/>
  <c r="K3514" i="1"/>
  <c r="C3514" i="1"/>
  <c r="B3514" i="1"/>
  <c r="K3513" i="1"/>
  <c r="C3513" i="1"/>
  <c r="B3513" i="1"/>
  <c r="K3512" i="1"/>
  <c r="C3512" i="1"/>
  <c r="B3512" i="1"/>
  <c r="K3511" i="1"/>
  <c r="C3511" i="1"/>
  <c r="B3511" i="1"/>
  <c r="K3510" i="1"/>
  <c r="C3510" i="1"/>
  <c r="B3510" i="1"/>
  <c r="K3509" i="1"/>
  <c r="C3509" i="1"/>
  <c r="B3509" i="1"/>
  <c r="K3508" i="1"/>
  <c r="C3508" i="1"/>
  <c r="B3508" i="1"/>
  <c r="K3507" i="1"/>
  <c r="C3507" i="1"/>
  <c r="B3507" i="1"/>
  <c r="K3506" i="1"/>
  <c r="C3506" i="1"/>
  <c r="B3506" i="1"/>
  <c r="K3505" i="1"/>
  <c r="C3505" i="1"/>
  <c r="B3505" i="1"/>
  <c r="K3504" i="1"/>
  <c r="C3504" i="1"/>
  <c r="B3504" i="1"/>
  <c r="K3503" i="1"/>
  <c r="C3503" i="1"/>
  <c r="B3503" i="1"/>
  <c r="K3502" i="1"/>
  <c r="C3502" i="1"/>
  <c r="B3502" i="1"/>
  <c r="K3501" i="1"/>
  <c r="C3501" i="1"/>
  <c r="B3501" i="1"/>
  <c r="K3500" i="1"/>
  <c r="C3500" i="1"/>
  <c r="B3500" i="1"/>
  <c r="K3499" i="1"/>
  <c r="C3499" i="1"/>
  <c r="B3499" i="1"/>
  <c r="K3498" i="1"/>
  <c r="C3498" i="1"/>
  <c r="B3498" i="1"/>
  <c r="K3497" i="1"/>
  <c r="C3497" i="1"/>
  <c r="B3497" i="1"/>
  <c r="K3496" i="1"/>
  <c r="C3496" i="1"/>
  <c r="B3496" i="1"/>
  <c r="K3495" i="1"/>
  <c r="C3495" i="1"/>
  <c r="B3495" i="1"/>
  <c r="K3494" i="1"/>
  <c r="C3494" i="1"/>
  <c r="B3494" i="1"/>
  <c r="K3493" i="1"/>
  <c r="C3493" i="1"/>
  <c r="B3493" i="1"/>
  <c r="K3492" i="1"/>
  <c r="C3492" i="1"/>
  <c r="B3492" i="1"/>
  <c r="K3491" i="1"/>
  <c r="C3491" i="1"/>
  <c r="B3491" i="1"/>
  <c r="K3490" i="1"/>
  <c r="C3490" i="1"/>
  <c r="B3490" i="1"/>
  <c r="K3489" i="1"/>
  <c r="C3489" i="1"/>
  <c r="B3489" i="1"/>
  <c r="K3488" i="1"/>
  <c r="C3488" i="1"/>
  <c r="B3488" i="1"/>
  <c r="K3487" i="1"/>
  <c r="C3487" i="1"/>
  <c r="B3487" i="1"/>
  <c r="K3486" i="1"/>
  <c r="C3486" i="1"/>
  <c r="B3486" i="1"/>
  <c r="K3485" i="1"/>
  <c r="C3485" i="1"/>
  <c r="B3485" i="1"/>
  <c r="K3484" i="1"/>
  <c r="C3484" i="1"/>
  <c r="B3484" i="1"/>
  <c r="K3483" i="1"/>
  <c r="C3483" i="1"/>
  <c r="B3483" i="1"/>
  <c r="K3482" i="1"/>
  <c r="C3482" i="1"/>
  <c r="B3482" i="1"/>
  <c r="K3481" i="1"/>
  <c r="C3481" i="1"/>
  <c r="B3481" i="1"/>
  <c r="K3480" i="1"/>
  <c r="C3480" i="1"/>
  <c r="B3480" i="1"/>
  <c r="K3479" i="1"/>
  <c r="C3479" i="1"/>
  <c r="B3479" i="1"/>
  <c r="K3478" i="1"/>
  <c r="C3478" i="1"/>
  <c r="B3478" i="1"/>
  <c r="K3477" i="1"/>
  <c r="C3477" i="1"/>
  <c r="B3477" i="1"/>
  <c r="K3476" i="1"/>
  <c r="C3476" i="1"/>
  <c r="B3476" i="1"/>
  <c r="K3475" i="1"/>
  <c r="C3475" i="1"/>
  <c r="B3475" i="1"/>
  <c r="K3474" i="1"/>
  <c r="C3474" i="1"/>
  <c r="B3474" i="1"/>
  <c r="K3473" i="1"/>
  <c r="C3473" i="1"/>
  <c r="B3473" i="1"/>
  <c r="K3472" i="1"/>
  <c r="C3472" i="1"/>
  <c r="B3472" i="1"/>
  <c r="K3471" i="1"/>
  <c r="C3471" i="1"/>
  <c r="B3471" i="1"/>
  <c r="K3470" i="1"/>
  <c r="C3470" i="1"/>
  <c r="B3470" i="1"/>
  <c r="K3469" i="1"/>
  <c r="C3469" i="1"/>
  <c r="B3469" i="1"/>
  <c r="K3468" i="1"/>
  <c r="C3468" i="1"/>
  <c r="B3468" i="1"/>
  <c r="K3467" i="1"/>
  <c r="C3467" i="1"/>
  <c r="B3467" i="1"/>
  <c r="K3466" i="1"/>
  <c r="C3466" i="1"/>
  <c r="B3466" i="1"/>
  <c r="K3465" i="1"/>
  <c r="C3465" i="1"/>
  <c r="B3465" i="1"/>
  <c r="K3464" i="1"/>
  <c r="C3464" i="1"/>
  <c r="B3464" i="1"/>
  <c r="K3463" i="1"/>
  <c r="C3463" i="1"/>
  <c r="B3463" i="1"/>
  <c r="K3462" i="1"/>
  <c r="C3462" i="1"/>
  <c r="B3462" i="1"/>
  <c r="K3461" i="1"/>
  <c r="C3461" i="1"/>
  <c r="B3461" i="1"/>
  <c r="K3460" i="1"/>
  <c r="C3460" i="1"/>
  <c r="B3460" i="1"/>
  <c r="K3459" i="1"/>
  <c r="C3459" i="1"/>
  <c r="B3459" i="1"/>
  <c r="K3458" i="1"/>
  <c r="C3458" i="1"/>
  <c r="B3458" i="1"/>
  <c r="K3457" i="1"/>
  <c r="C3457" i="1"/>
  <c r="B3457" i="1"/>
  <c r="K3456" i="1"/>
  <c r="C3456" i="1"/>
  <c r="B3456" i="1"/>
  <c r="K3455" i="1"/>
  <c r="C3455" i="1"/>
  <c r="B3455" i="1"/>
  <c r="K3454" i="1"/>
  <c r="C3454" i="1"/>
  <c r="B3454" i="1"/>
  <c r="K3453" i="1"/>
  <c r="C3453" i="1"/>
  <c r="B3453" i="1"/>
  <c r="K3452" i="1"/>
  <c r="C3452" i="1"/>
  <c r="B3452" i="1"/>
  <c r="K3451" i="1"/>
  <c r="C3451" i="1"/>
  <c r="B3451" i="1"/>
  <c r="K3450" i="1"/>
  <c r="C3450" i="1"/>
  <c r="B3450" i="1"/>
  <c r="K3449" i="1"/>
  <c r="C3449" i="1"/>
  <c r="B3449" i="1"/>
  <c r="K3448" i="1"/>
  <c r="C3448" i="1"/>
  <c r="B3448" i="1"/>
  <c r="K3447" i="1"/>
  <c r="C3447" i="1"/>
  <c r="B3447" i="1"/>
  <c r="K3446" i="1"/>
  <c r="C3446" i="1"/>
  <c r="B3446" i="1"/>
  <c r="K3445" i="1"/>
  <c r="C3445" i="1"/>
  <c r="B3445" i="1"/>
  <c r="K3444" i="1"/>
  <c r="C3444" i="1"/>
  <c r="B3444" i="1"/>
  <c r="K3443" i="1"/>
  <c r="C3443" i="1"/>
  <c r="B3443" i="1"/>
  <c r="K3442" i="1"/>
  <c r="C3442" i="1"/>
  <c r="B3442" i="1"/>
  <c r="K3441" i="1"/>
  <c r="C3441" i="1"/>
  <c r="B3441" i="1"/>
  <c r="K3440" i="1"/>
  <c r="C3440" i="1"/>
  <c r="B3440" i="1"/>
  <c r="K3439" i="1"/>
  <c r="C3439" i="1"/>
  <c r="B3439" i="1"/>
  <c r="K3438" i="1"/>
  <c r="C3438" i="1"/>
  <c r="B3438" i="1"/>
  <c r="K3437" i="1"/>
  <c r="C3437" i="1"/>
  <c r="B3437" i="1"/>
  <c r="K3436" i="1"/>
  <c r="C3436" i="1"/>
  <c r="B3436" i="1"/>
  <c r="K3435" i="1"/>
  <c r="C3435" i="1"/>
  <c r="B3435" i="1"/>
  <c r="K3434" i="1"/>
  <c r="C3434" i="1"/>
  <c r="B3434" i="1"/>
  <c r="K3433" i="1"/>
  <c r="C3433" i="1"/>
  <c r="B3433" i="1"/>
  <c r="K3432" i="1"/>
  <c r="C3432" i="1"/>
  <c r="B3432" i="1"/>
  <c r="K3431" i="1"/>
  <c r="C3431" i="1"/>
  <c r="B3431" i="1"/>
  <c r="K3430" i="1"/>
  <c r="C3430" i="1"/>
  <c r="B3430" i="1"/>
  <c r="K3429" i="1"/>
  <c r="C3429" i="1"/>
  <c r="B3429" i="1"/>
  <c r="K3428" i="1"/>
  <c r="C3428" i="1"/>
  <c r="B3428" i="1"/>
  <c r="K3427" i="1"/>
  <c r="C3427" i="1"/>
  <c r="B3427" i="1"/>
  <c r="K3426" i="1"/>
  <c r="C3426" i="1"/>
  <c r="B3426" i="1"/>
  <c r="K3425" i="1"/>
  <c r="C3425" i="1"/>
  <c r="B3425" i="1"/>
  <c r="K3424" i="1"/>
  <c r="C3424" i="1"/>
  <c r="B3424" i="1"/>
  <c r="K3423" i="1"/>
  <c r="C3423" i="1"/>
  <c r="B3423" i="1"/>
  <c r="K3422" i="1"/>
  <c r="C3422" i="1"/>
  <c r="B3422" i="1"/>
  <c r="K3421" i="1"/>
  <c r="C3421" i="1"/>
  <c r="B3421" i="1"/>
  <c r="K3420" i="1"/>
  <c r="C3420" i="1"/>
  <c r="B3420" i="1"/>
  <c r="K3419" i="1"/>
  <c r="C3419" i="1"/>
  <c r="B3419" i="1"/>
  <c r="K3418" i="1"/>
  <c r="C3418" i="1"/>
  <c r="B3418" i="1"/>
  <c r="K3417" i="1"/>
  <c r="C3417" i="1"/>
  <c r="B3417" i="1"/>
  <c r="K3416" i="1"/>
  <c r="C3416" i="1"/>
  <c r="B3416" i="1"/>
  <c r="K3415" i="1"/>
  <c r="C3415" i="1"/>
  <c r="B3415" i="1"/>
  <c r="K3414" i="1"/>
  <c r="C3414" i="1"/>
  <c r="B3414" i="1"/>
  <c r="K3413" i="1"/>
  <c r="C3413" i="1"/>
  <c r="B3413" i="1"/>
  <c r="K3412" i="1"/>
  <c r="C3412" i="1"/>
  <c r="B3412" i="1"/>
  <c r="K3411" i="1"/>
  <c r="C3411" i="1"/>
  <c r="B3411" i="1"/>
  <c r="K3410" i="1"/>
  <c r="C3410" i="1"/>
  <c r="B3410" i="1"/>
  <c r="K3409" i="1"/>
  <c r="C3409" i="1"/>
  <c r="B3409" i="1"/>
  <c r="K3408" i="1"/>
  <c r="C3408" i="1"/>
  <c r="B3408" i="1"/>
  <c r="K3407" i="1"/>
  <c r="C3407" i="1"/>
  <c r="B3407" i="1"/>
  <c r="K3406" i="1"/>
  <c r="C3406" i="1"/>
  <c r="B3406" i="1"/>
  <c r="K3405" i="1"/>
  <c r="C3405" i="1"/>
  <c r="B3405" i="1"/>
  <c r="K3404" i="1"/>
  <c r="C3404" i="1"/>
  <c r="B3404" i="1"/>
  <c r="K3403" i="1"/>
  <c r="C3403" i="1"/>
  <c r="B3403" i="1"/>
  <c r="K3402" i="1"/>
  <c r="C3402" i="1"/>
  <c r="B3402" i="1"/>
  <c r="K3401" i="1"/>
  <c r="C3401" i="1"/>
  <c r="B3401" i="1"/>
  <c r="K3400" i="1"/>
  <c r="C3400" i="1"/>
  <c r="B3400" i="1"/>
  <c r="K3399" i="1"/>
  <c r="C3399" i="1"/>
  <c r="B3399" i="1"/>
  <c r="K3398" i="1"/>
  <c r="C3398" i="1"/>
  <c r="B3398" i="1"/>
  <c r="K3397" i="1"/>
  <c r="C3397" i="1"/>
  <c r="B3397" i="1"/>
  <c r="K3396" i="1"/>
  <c r="C3396" i="1"/>
  <c r="B3396" i="1"/>
  <c r="K3395" i="1"/>
  <c r="C3395" i="1"/>
  <c r="B3395" i="1"/>
  <c r="K3394" i="1"/>
  <c r="C3394" i="1"/>
  <c r="B3394" i="1"/>
  <c r="K3393" i="1"/>
  <c r="C3393" i="1"/>
  <c r="B3393" i="1"/>
  <c r="K3392" i="1"/>
  <c r="C3392" i="1"/>
  <c r="B3392" i="1"/>
  <c r="K3391" i="1"/>
  <c r="C3391" i="1"/>
  <c r="B3391" i="1"/>
  <c r="K3390" i="1"/>
  <c r="C3390" i="1"/>
  <c r="B3390" i="1"/>
  <c r="K3389" i="1"/>
  <c r="C3389" i="1"/>
  <c r="B3389" i="1"/>
  <c r="K3388" i="1"/>
  <c r="C3388" i="1"/>
  <c r="B3388" i="1"/>
  <c r="K3387" i="1"/>
  <c r="C3387" i="1"/>
  <c r="B3387" i="1"/>
  <c r="K3386" i="1"/>
  <c r="C3386" i="1"/>
  <c r="B3386" i="1"/>
  <c r="K3385" i="1"/>
  <c r="C3385" i="1"/>
  <c r="B3385" i="1"/>
  <c r="K3384" i="1"/>
  <c r="C3384" i="1"/>
  <c r="B3384" i="1"/>
  <c r="K3383" i="1"/>
  <c r="C3383" i="1"/>
  <c r="B3383" i="1"/>
  <c r="K3382" i="1"/>
  <c r="C3382" i="1"/>
  <c r="B3382" i="1"/>
  <c r="K3381" i="1"/>
  <c r="C3381" i="1"/>
  <c r="B3381" i="1"/>
  <c r="K3380" i="1"/>
  <c r="C3380" i="1"/>
  <c r="B3380" i="1"/>
  <c r="K3379" i="1"/>
  <c r="C3379" i="1"/>
  <c r="B3379" i="1"/>
  <c r="K3378" i="1"/>
  <c r="C3378" i="1"/>
  <c r="B3378" i="1"/>
  <c r="K3377" i="1"/>
  <c r="C3377" i="1"/>
  <c r="B3377" i="1"/>
  <c r="K3376" i="1"/>
  <c r="C3376" i="1"/>
  <c r="B3376" i="1"/>
  <c r="K3375" i="1"/>
  <c r="C3375" i="1"/>
  <c r="B3375" i="1"/>
  <c r="K3374" i="1"/>
  <c r="C3374" i="1"/>
  <c r="B3374" i="1"/>
  <c r="K3373" i="1"/>
  <c r="C3373" i="1"/>
  <c r="B3373" i="1"/>
  <c r="K3372" i="1"/>
  <c r="C3372" i="1"/>
  <c r="B3372" i="1"/>
  <c r="K3371" i="1"/>
  <c r="C3371" i="1"/>
  <c r="B3371" i="1"/>
  <c r="K3370" i="1"/>
  <c r="C3370" i="1"/>
  <c r="B3370" i="1"/>
  <c r="K3369" i="1"/>
  <c r="C3369" i="1"/>
  <c r="B3369" i="1"/>
  <c r="K3368" i="1"/>
  <c r="C3368" i="1"/>
  <c r="B3368" i="1"/>
  <c r="K3367" i="1"/>
  <c r="C3367" i="1"/>
  <c r="B3367" i="1"/>
  <c r="K3366" i="1"/>
  <c r="C3366" i="1"/>
  <c r="B3366" i="1"/>
  <c r="K3365" i="1"/>
  <c r="C3365" i="1"/>
  <c r="B3365" i="1"/>
  <c r="K3364" i="1"/>
  <c r="C3364" i="1"/>
  <c r="B3364" i="1"/>
  <c r="K3363" i="1"/>
  <c r="C3363" i="1"/>
  <c r="B3363" i="1"/>
  <c r="K3362" i="1"/>
  <c r="C3362" i="1"/>
  <c r="B3362" i="1"/>
  <c r="K3361" i="1"/>
  <c r="C3361" i="1"/>
  <c r="B3361" i="1"/>
  <c r="K3360" i="1"/>
  <c r="C3360" i="1"/>
  <c r="B3360" i="1"/>
  <c r="K3359" i="1"/>
  <c r="C3359" i="1"/>
  <c r="B3359" i="1"/>
  <c r="K3358" i="1"/>
  <c r="C3358" i="1"/>
  <c r="B3358" i="1"/>
  <c r="K3357" i="1"/>
  <c r="C3357" i="1"/>
  <c r="B3357" i="1"/>
  <c r="K3356" i="1"/>
  <c r="C3356" i="1"/>
  <c r="B3356" i="1"/>
  <c r="K3355" i="1"/>
  <c r="C3355" i="1"/>
  <c r="B3355" i="1"/>
  <c r="K3354" i="1"/>
  <c r="C3354" i="1"/>
  <c r="B3354" i="1"/>
  <c r="K3353" i="1"/>
  <c r="C3353" i="1"/>
  <c r="B3353" i="1"/>
  <c r="K3352" i="1"/>
  <c r="C3352" i="1"/>
  <c r="B3352" i="1"/>
  <c r="K3351" i="1"/>
  <c r="C3351" i="1"/>
  <c r="B3351" i="1"/>
  <c r="K3350" i="1"/>
  <c r="C3350" i="1"/>
  <c r="B3350" i="1"/>
  <c r="K3349" i="1"/>
  <c r="C3349" i="1"/>
  <c r="B3349" i="1"/>
  <c r="K3348" i="1"/>
  <c r="C3348" i="1"/>
  <c r="B3348" i="1"/>
  <c r="K3347" i="1"/>
  <c r="C3347" i="1"/>
  <c r="B3347" i="1"/>
  <c r="K3346" i="1"/>
  <c r="C3346" i="1"/>
  <c r="B3346" i="1"/>
  <c r="K3345" i="1"/>
  <c r="C3345" i="1"/>
  <c r="B3345" i="1"/>
  <c r="K3344" i="1"/>
  <c r="C3344" i="1"/>
  <c r="B3344" i="1"/>
  <c r="K3343" i="1"/>
  <c r="C3343" i="1"/>
  <c r="B3343" i="1"/>
  <c r="K3342" i="1"/>
  <c r="C3342" i="1"/>
  <c r="B3342" i="1"/>
  <c r="K3341" i="1"/>
  <c r="C3341" i="1"/>
  <c r="B3341" i="1"/>
  <c r="K3340" i="1"/>
  <c r="C3340" i="1"/>
  <c r="B3340" i="1"/>
  <c r="K3339" i="1"/>
  <c r="C3339" i="1"/>
  <c r="B3339" i="1"/>
  <c r="K3338" i="1"/>
  <c r="C3338" i="1"/>
  <c r="B3338" i="1"/>
  <c r="K3337" i="1"/>
  <c r="C3337" i="1"/>
  <c r="B3337" i="1"/>
  <c r="K3336" i="1"/>
  <c r="C3336" i="1"/>
  <c r="B3336" i="1"/>
  <c r="K3335" i="1"/>
  <c r="C3335" i="1"/>
  <c r="B3335" i="1"/>
  <c r="K3334" i="1"/>
  <c r="C3334" i="1"/>
  <c r="B3334" i="1"/>
  <c r="K3333" i="1"/>
  <c r="C3333" i="1"/>
  <c r="B3333" i="1"/>
  <c r="K3332" i="1"/>
  <c r="C3332" i="1"/>
  <c r="B3332" i="1"/>
  <c r="K3331" i="1"/>
  <c r="C3331" i="1"/>
  <c r="B3331" i="1"/>
  <c r="K3330" i="1"/>
  <c r="C3330" i="1"/>
  <c r="B3330" i="1"/>
  <c r="K3329" i="1"/>
  <c r="C3329" i="1"/>
  <c r="B3329" i="1"/>
  <c r="K3328" i="1"/>
  <c r="C3328" i="1"/>
  <c r="B3328" i="1"/>
  <c r="K3327" i="1"/>
  <c r="C3327" i="1"/>
  <c r="B3327" i="1"/>
  <c r="K3326" i="1"/>
  <c r="C3326" i="1"/>
  <c r="B3326" i="1"/>
  <c r="K3325" i="1"/>
  <c r="C3325" i="1"/>
  <c r="B3325" i="1"/>
  <c r="K3324" i="1"/>
  <c r="C3324" i="1"/>
  <c r="B3324" i="1"/>
  <c r="K3323" i="1"/>
  <c r="C3323" i="1"/>
  <c r="B3323" i="1"/>
  <c r="K3322" i="1"/>
  <c r="C3322" i="1"/>
  <c r="B3322" i="1"/>
  <c r="K3321" i="1"/>
  <c r="C3321" i="1"/>
  <c r="B3321" i="1"/>
  <c r="K3320" i="1"/>
  <c r="C3320" i="1"/>
  <c r="B3320" i="1"/>
  <c r="K3319" i="1"/>
  <c r="C3319" i="1"/>
  <c r="B3319" i="1"/>
  <c r="K3318" i="1"/>
  <c r="C3318" i="1"/>
  <c r="B3318" i="1"/>
  <c r="K3317" i="1"/>
  <c r="C3317" i="1"/>
  <c r="B3317" i="1"/>
  <c r="K3316" i="1"/>
  <c r="C3316" i="1"/>
  <c r="B3316" i="1"/>
  <c r="K3315" i="1"/>
  <c r="C3315" i="1"/>
  <c r="B3315" i="1"/>
  <c r="K3314" i="1"/>
  <c r="C3314" i="1"/>
  <c r="B3314" i="1"/>
  <c r="K3313" i="1"/>
  <c r="C3313" i="1"/>
  <c r="B3313" i="1"/>
  <c r="K3312" i="1"/>
  <c r="C3312" i="1"/>
  <c r="B3312" i="1"/>
  <c r="K3311" i="1"/>
  <c r="C3311" i="1"/>
  <c r="B3311" i="1"/>
  <c r="K3310" i="1"/>
  <c r="C3310" i="1"/>
  <c r="B3310" i="1"/>
  <c r="K3309" i="1"/>
  <c r="C3309" i="1"/>
  <c r="B3309" i="1"/>
  <c r="K3308" i="1"/>
  <c r="C3308" i="1"/>
  <c r="B3308" i="1"/>
  <c r="K3307" i="1"/>
  <c r="C3307" i="1"/>
  <c r="B3307" i="1"/>
  <c r="K3306" i="1"/>
  <c r="C3306" i="1"/>
  <c r="B3306" i="1"/>
  <c r="K3305" i="1"/>
  <c r="C3305" i="1"/>
  <c r="B3305" i="1"/>
  <c r="K3304" i="1"/>
  <c r="C3304" i="1"/>
  <c r="B3304" i="1"/>
  <c r="K3303" i="1"/>
  <c r="C3303" i="1"/>
  <c r="B3303" i="1"/>
  <c r="K3302" i="1"/>
  <c r="C3302" i="1"/>
  <c r="B3302" i="1"/>
  <c r="K3301" i="1"/>
  <c r="C3301" i="1"/>
  <c r="B3301" i="1"/>
  <c r="K3300" i="1"/>
  <c r="C3300" i="1"/>
  <c r="B3300" i="1"/>
  <c r="K3299" i="1"/>
  <c r="C3299" i="1"/>
  <c r="B3299" i="1"/>
  <c r="K3298" i="1"/>
  <c r="C3298" i="1"/>
  <c r="B3298" i="1"/>
  <c r="K3297" i="1"/>
  <c r="C3297" i="1"/>
  <c r="B3297" i="1"/>
  <c r="K3296" i="1"/>
  <c r="C3296" i="1"/>
  <c r="B3296" i="1"/>
  <c r="K3295" i="1"/>
  <c r="C3295" i="1"/>
  <c r="B3295" i="1"/>
  <c r="K3294" i="1"/>
  <c r="C3294" i="1"/>
  <c r="B3294" i="1"/>
  <c r="K3293" i="1"/>
  <c r="C3293" i="1"/>
  <c r="B3293" i="1"/>
  <c r="K3292" i="1"/>
  <c r="C3292" i="1"/>
  <c r="B3292" i="1"/>
  <c r="K3291" i="1"/>
  <c r="C3291" i="1"/>
  <c r="B3291" i="1"/>
  <c r="K3290" i="1"/>
  <c r="C3290" i="1"/>
  <c r="B3290" i="1"/>
  <c r="K3289" i="1"/>
  <c r="C3289" i="1"/>
  <c r="B3289" i="1"/>
  <c r="K3288" i="1"/>
  <c r="C3288" i="1"/>
  <c r="B3288" i="1"/>
  <c r="K3287" i="1"/>
  <c r="C3287" i="1"/>
  <c r="B3287" i="1"/>
  <c r="K3286" i="1"/>
  <c r="C3286" i="1"/>
  <c r="B3286" i="1"/>
  <c r="K3285" i="1"/>
  <c r="C3285" i="1"/>
  <c r="B3285" i="1"/>
  <c r="K3284" i="1"/>
  <c r="C3284" i="1"/>
  <c r="B3284" i="1"/>
  <c r="K3283" i="1"/>
  <c r="C3283" i="1"/>
  <c r="B3283" i="1"/>
  <c r="K3282" i="1"/>
  <c r="C3282" i="1"/>
  <c r="B3282" i="1"/>
  <c r="K3281" i="1"/>
  <c r="C3281" i="1"/>
  <c r="B3281" i="1"/>
  <c r="K3280" i="1"/>
  <c r="C3280" i="1"/>
  <c r="B3280" i="1"/>
  <c r="K3279" i="1"/>
  <c r="C3279" i="1"/>
  <c r="B3279" i="1"/>
  <c r="K3278" i="1"/>
  <c r="C3278" i="1"/>
  <c r="B3278" i="1"/>
  <c r="K3277" i="1"/>
  <c r="C3277" i="1"/>
  <c r="B3277" i="1"/>
  <c r="K3276" i="1"/>
  <c r="C3276" i="1"/>
  <c r="B3276" i="1"/>
  <c r="K3275" i="1"/>
  <c r="C3275" i="1"/>
  <c r="B3275" i="1"/>
  <c r="K3274" i="1"/>
  <c r="C3274" i="1"/>
  <c r="B3274" i="1"/>
  <c r="K3273" i="1"/>
  <c r="C3273" i="1"/>
  <c r="B3273" i="1"/>
  <c r="K3272" i="1"/>
  <c r="C3272" i="1"/>
  <c r="B3272" i="1"/>
  <c r="K3271" i="1"/>
  <c r="C3271" i="1"/>
  <c r="B3271" i="1"/>
  <c r="K3270" i="1"/>
  <c r="C3270" i="1"/>
  <c r="B3270" i="1"/>
  <c r="K3269" i="1"/>
  <c r="C3269" i="1"/>
  <c r="B3269" i="1"/>
  <c r="K3268" i="1"/>
  <c r="C3268" i="1"/>
  <c r="B3268" i="1"/>
  <c r="K3267" i="1"/>
  <c r="C3267" i="1"/>
  <c r="B3267" i="1"/>
  <c r="K3266" i="1"/>
  <c r="C3266" i="1"/>
  <c r="B3266" i="1"/>
  <c r="K3265" i="1"/>
  <c r="C3265" i="1"/>
  <c r="B3265" i="1"/>
  <c r="K3264" i="1"/>
  <c r="C3264" i="1"/>
  <c r="B3264" i="1"/>
  <c r="K3263" i="1"/>
  <c r="C3263" i="1"/>
  <c r="B3263" i="1"/>
  <c r="K3262" i="1"/>
  <c r="C3262" i="1"/>
  <c r="B3262" i="1"/>
  <c r="K3261" i="1"/>
  <c r="C3261" i="1"/>
  <c r="B3261" i="1"/>
  <c r="K3260" i="1"/>
  <c r="C3260" i="1"/>
  <c r="B3260" i="1"/>
  <c r="K3259" i="1"/>
  <c r="C3259" i="1"/>
  <c r="B3259" i="1"/>
  <c r="K3258" i="1"/>
  <c r="C3258" i="1"/>
  <c r="B3258" i="1"/>
  <c r="K3257" i="1"/>
  <c r="C3257" i="1"/>
  <c r="B3257" i="1"/>
  <c r="K3256" i="1"/>
  <c r="C3256" i="1"/>
  <c r="B3256" i="1"/>
  <c r="K3255" i="1"/>
  <c r="C3255" i="1"/>
  <c r="B3255" i="1"/>
  <c r="K3254" i="1"/>
  <c r="C3254" i="1"/>
  <c r="B3254" i="1"/>
  <c r="K3253" i="1"/>
  <c r="C3253" i="1"/>
  <c r="B3253" i="1"/>
  <c r="K3252" i="1"/>
  <c r="C3252" i="1"/>
  <c r="B3252" i="1"/>
  <c r="K3251" i="1"/>
  <c r="C3251" i="1"/>
  <c r="B3251" i="1"/>
  <c r="K3250" i="1"/>
  <c r="C3250" i="1"/>
  <c r="B3250" i="1"/>
  <c r="K3249" i="1"/>
  <c r="C3249" i="1"/>
  <c r="B3249" i="1"/>
  <c r="K3248" i="1"/>
  <c r="C3248" i="1"/>
  <c r="B3248" i="1"/>
  <c r="K3247" i="1"/>
  <c r="C3247" i="1"/>
  <c r="B3247" i="1"/>
  <c r="K3246" i="1"/>
  <c r="C3246" i="1"/>
  <c r="B3246" i="1"/>
  <c r="K3245" i="1"/>
  <c r="C3245" i="1"/>
  <c r="B3245" i="1"/>
  <c r="K3244" i="1"/>
  <c r="C3244" i="1"/>
  <c r="B3244" i="1"/>
  <c r="K3243" i="1"/>
  <c r="C3243" i="1"/>
  <c r="B3243" i="1"/>
  <c r="K3242" i="1"/>
  <c r="C3242" i="1"/>
  <c r="B3242" i="1"/>
  <c r="K3241" i="1"/>
  <c r="C3241" i="1"/>
  <c r="B3241" i="1"/>
  <c r="K3240" i="1"/>
  <c r="C3240" i="1"/>
  <c r="B3240" i="1"/>
  <c r="K3239" i="1"/>
  <c r="C3239" i="1"/>
  <c r="B3239" i="1"/>
  <c r="K3238" i="1"/>
  <c r="C3238" i="1"/>
  <c r="B3238" i="1"/>
  <c r="K3237" i="1"/>
  <c r="C3237" i="1"/>
  <c r="B3237" i="1"/>
  <c r="K3236" i="1"/>
  <c r="C3236" i="1"/>
  <c r="B3236" i="1"/>
  <c r="K3235" i="1"/>
  <c r="C3235" i="1"/>
  <c r="B3235" i="1"/>
  <c r="K3234" i="1"/>
  <c r="C3234" i="1"/>
  <c r="B3234" i="1"/>
  <c r="K3233" i="1"/>
  <c r="C3233" i="1"/>
  <c r="B3233" i="1"/>
  <c r="K3232" i="1"/>
  <c r="C3232" i="1"/>
  <c r="B3232" i="1"/>
  <c r="K3231" i="1"/>
  <c r="C3231" i="1"/>
  <c r="B3231" i="1"/>
  <c r="K3230" i="1"/>
  <c r="C3230" i="1"/>
  <c r="B3230" i="1"/>
  <c r="K3229" i="1"/>
  <c r="C3229" i="1"/>
  <c r="B3229" i="1"/>
  <c r="K3228" i="1"/>
  <c r="C3228" i="1"/>
  <c r="B3228" i="1"/>
  <c r="K3227" i="1"/>
  <c r="C3227" i="1"/>
  <c r="B3227" i="1"/>
  <c r="K3226" i="1"/>
  <c r="C3226" i="1"/>
  <c r="B3226" i="1"/>
  <c r="K3225" i="1"/>
  <c r="C3225" i="1"/>
  <c r="B3225" i="1"/>
  <c r="K3224" i="1"/>
  <c r="C3224" i="1"/>
  <c r="B3224" i="1"/>
  <c r="K3223" i="1"/>
  <c r="C3223" i="1"/>
  <c r="B3223" i="1"/>
  <c r="K3222" i="1"/>
  <c r="C3222" i="1"/>
  <c r="B3222" i="1"/>
  <c r="K3221" i="1"/>
  <c r="C3221" i="1"/>
  <c r="B3221" i="1"/>
  <c r="K3220" i="1"/>
  <c r="C3220" i="1"/>
  <c r="B3220" i="1"/>
  <c r="K3219" i="1"/>
  <c r="C3219" i="1"/>
  <c r="B3219" i="1"/>
  <c r="K3218" i="1"/>
  <c r="C3218" i="1"/>
  <c r="B3218" i="1"/>
  <c r="K3217" i="1"/>
  <c r="C3217" i="1"/>
  <c r="B3217" i="1"/>
  <c r="K3216" i="1"/>
  <c r="C3216" i="1"/>
  <c r="B3216" i="1"/>
  <c r="K3215" i="1"/>
  <c r="C3215" i="1"/>
  <c r="B3215" i="1"/>
  <c r="K3214" i="1"/>
  <c r="C3214" i="1"/>
  <c r="B3214" i="1"/>
  <c r="K3213" i="1"/>
  <c r="C3213" i="1"/>
  <c r="B3213" i="1"/>
  <c r="K3212" i="1"/>
  <c r="C3212" i="1"/>
  <c r="B3212" i="1"/>
  <c r="K3211" i="1"/>
  <c r="C3211" i="1"/>
  <c r="B3211" i="1"/>
  <c r="K3210" i="1"/>
  <c r="C3210" i="1"/>
  <c r="B3210" i="1"/>
  <c r="K3209" i="1"/>
  <c r="C3209" i="1"/>
  <c r="B3209" i="1"/>
  <c r="K3208" i="1"/>
  <c r="C3208" i="1"/>
  <c r="B3208" i="1"/>
  <c r="K3207" i="1"/>
  <c r="C3207" i="1"/>
  <c r="B3207" i="1"/>
  <c r="K3206" i="1"/>
  <c r="C3206" i="1"/>
  <c r="B3206" i="1"/>
  <c r="K3205" i="1"/>
  <c r="C3205" i="1"/>
  <c r="B3205" i="1"/>
  <c r="K3204" i="1"/>
  <c r="C3204" i="1"/>
  <c r="B3204" i="1"/>
  <c r="K3203" i="1"/>
  <c r="C3203" i="1"/>
  <c r="B3203" i="1"/>
  <c r="K3202" i="1"/>
  <c r="C3202" i="1"/>
  <c r="B3202" i="1"/>
  <c r="K3201" i="1"/>
  <c r="C3201" i="1"/>
  <c r="B3201" i="1"/>
  <c r="K3200" i="1"/>
  <c r="C3200" i="1"/>
  <c r="B3200" i="1"/>
  <c r="K3199" i="1"/>
  <c r="C3199" i="1"/>
  <c r="B3199" i="1"/>
  <c r="K3198" i="1"/>
  <c r="C3198" i="1"/>
  <c r="B3198" i="1"/>
  <c r="K3197" i="1"/>
  <c r="C3197" i="1"/>
  <c r="B3197" i="1"/>
  <c r="K3196" i="1"/>
  <c r="C3196" i="1"/>
  <c r="B3196" i="1"/>
  <c r="K3195" i="1"/>
  <c r="C3195" i="1"/>
  <c r="B3195" i="1"/>
  <c r="K3194" i="1"/>
  <c r="C3194" i="1"/>
  <c r="B3194" i="1"/>
  <c r="K3193" i="1"/>
  <c r="C3193" i="1"/>
  <c r="B3193" i="1"/>
  <c r="K3192" i="1"/>
  <c r="C3192" i="1"/>
  <c r="B3192" i="1"/>
  <c r="K3191" i="1"/>
  <c r="C3191" i="1"/>
  <c r="B3191" i="1"/>
  <c r="K3190" i="1"/>
  <c r="C3190" i="1"/>
  <c r="B3190" i="1"/>
  <c r="K3189" i="1"/>
  <c r="C3189" i="1"/>
  <c r="B3189" i="1"/>
  <c r="K3188" i="1"/>
  <c r="C3188" i="1"/>
  <c r="B3188" i="1"/>
  <c r="K3187" i="1"/>
  <c r="C3187" i="1"/>
  <c r="B3187" i="1"/>
  <c r="K3186" i="1"/>
  <c r="C3186" i="1"/>
  <c r="B3186" i="1"/>
  <c r="K3185" i="1"/>
  <c r="C3185" i="1"/>
  <c r="B3185" i="1"/>
  <c r="K3184" i="1"/>
  <c r="C3184" i="1"/>
  <c r="B3184" i="1"/>
  <c r="K3183" i="1"/>
  <c r="C3183" i="1"/>
  <c r="B3183" i="1"/>
  <c r="K3182" i="1"/>
  <c r="C3182" i="1"/>
  <c r="B3182" i="1"/>
  <c r="K3181" i="1"/>
  <c r="C3181" i="1"/>
  <c r="B3181" i="1"/>
  <c r="K3180" i="1"/>
  <c r="C3180" i="1"/>
  <c r="B3180" i="1"/>
  <c r="K3179" i="1"/>
  <c r="C3179" i="1"/>
  <c r="B3179" i="1"/>
  <c r="K3178" i="1"/>
  <c r="C3178" i="1"/>
  <c r="B3178" i="1"/>
  <c r="K3177" i="1"/>
  <c r="C3177" i="1"/>
  <c r="B3177" i="1"/>
  <c r="K3176" i="1"/>
  <c r="C3176" i="1"/>
  <c r="B3176" i="1"/>
  <c r="K3175" i="1"/>
  <c r="C3175" i="1"/>
  <c r="B3175" i="1"/>
  <c r="K3174" i="1"/>
  <c r="C3174" i="1"/>
  <c r="B3174" i="1"/>
  <c r="K3173" i="1"/>
  <c r="C3173" i="1"/>
  <c r="B3173" i="1"/>
  <c r="K3172" i="1"/>
  <c r="C3172" i="1"/>
  <c r="B3172" i="1"/>
  <c r="K3171" i="1"/>
  <c r="C3171" i="1"/>
  <c r="B3171" i="1"/>
  <c r="K3170" i="1"/>
  <c r="C3170" i="1"/>
  <c r="B3170" i="1"/>
  <c r="K3169" i="1"/>
  <c r="C3169" i="1"/>
  <c r="B3169" i="1"/>
  <c r="K3168" i="1"/>
  <c r="C3168" i="1"/>
  <c r="B3168" i="1"/>
  <c r="K3167" i="1"/>
  <c r="C3167" i="1"/>
  <c r="B3167" i="1"/>
  <c r="K3166" i="1"/>
  <c r="C3166" i="1"/>
  <c r="B3166" i="1"/>
  <c r="K3165" i="1"/>
  <c r="C3165" i="1"/>
  <c r="B3165" i="1"/>
  <c r="K3164" i="1"/>
  <c r="C3164" i="1"/>
  <c r="B3164" i="1"/>
  <c r="K3163" i="1"/>
  <c r="C3163" i="1"/>
  <c r="B3163" i="1"/>
  <c r="K3162" i="1"/>
  <c r="C3162" i="1"/>
  <c r="B3162" i="1"/>
  <c r="K3161" i="1"/>
  <c r="C3161" i="1"/>
  <c r="B3161" i="1"/>
  <c r="K3160" i="1"/>
  <c r="C3160" i="1"/>
  <c r="B3160" i="1"/>
  <c r="K3159" i="1"/>
  <c r="C3159" i="1"/>
  <c r="B3159" i="1"/>
  <c r="K3158" i="1"/>
  <c r="C3158" i="1"/>
  <c r="B3158" i="1"/>
  <c r="K3157" i="1"/>
  <c r="C3157" i="1"/>
  <c r="B3157" i="1"/>
  <c r="K3156" i="1"/>
  <c r="C3156" i="1"/>
  <c r="B3156" i="1"/>
  <c r="K3155" i="1"/>
  <c r="C3155" i="1"/>
  <c r="B3155" i="1"/>
  <c r="K3154" i="1"/>
  <c r="C3154" i="1"/>
  <c r="B3154" i="1"/>
  <c r="K3153" i="1"/>
  <c r="C3153" i="1"/>
  <c r="B3153" i="1"/>
  <c r="K3152" i="1"/>
  <c r="C3152" i="1"/>
  <c r="B3152" i="1"/>
  <c r="K3151" i="1"/>
  <c r="C3151" i="1"/>
  <c r="B3151" i="1"/>
  <c r="K3150" i="1"/>
  <c r="C3150" i="1"/>
  <c r="B3150" i="1"/>
  <c r="K3149" i="1"/>
  <c r="C3149" i="1"/>
  <c r="B3149" i="1"/>
  <c r="K3148" i="1"/>
  <c r="C3148" i="1"/>
  <c r="B3148" i="1"/>
  <c r="K3147" i="1"/>
  <c r="C3147" i="1"/>
  <c r="B3147" i="1"/>
  <c r="K3146" i="1"/>
  <c r="C3146" i="1"/>
  <c r="B3146" i="1"/>
  <c r="K3145" i="1"/>
  <c r="C3145" i="1"/>
  <c r="B3145" i="1"/>
  <c r="K3144" i="1"/>
  <c r="C3144" i="1"/>
  <c r="B3144" i="1"/>
  <c r="K3143" i="1"/>
  <c r="C3143" i="1"/>
  <c r="B3143" i="1"/>
  <c r="K3142" i="1"/>
  <c r="C3142" i="1"/>
  <c r="B3142" i="1"/>
  <c r="K3141" i="1"/>
  <c r="C3141" i="1"/>
  <c r="B3141" i="1"/>
  <c r="K3140" i="1"/>
  <c r="C3140" i="1"/>
  <c r="B3140" i="1"/>
  <c r="K3139" i="1"/>
  <c r="C3139" i="1"/>
  <c r="B3139" i="1"/>
  <c r="K3138" i="1"/>
  <c r="C3138" i="1"/>
  <c r="B3138" i="1"/>
  <c r="K3137" i="1"/>
  <c r="C3137" i="1"/>
  <c r="B3137" i="1"/>
  <c r="K3136" i="1"/>
  <c r="C3136" i="1"/>
  <c r="B3136" i="1"/>
  <c r="K3135" i="1"/>
  <c r="C3135" i="1"/>
  <c r="B3135" i="1"/>
  <c r="K3134" i="1"/>
  <c r="C3134" i="1"/>
  <c r="B3134" i="1"/>
  <c r="K3133" i="1"/>
  <c r="C3133" i="1"/>
  <c r="B3133" i="1"/>
  <c r="K3132" i="1"/>
  <c r="C3132" i="1"/>
  <c r="B3132" i="1"/>
  <c r="K3131" i="1"/>
  <c r="C3131" i="1"/>
  <c r="B3131" i="1"/>
  <c r="K3130" i="1"/>
  <c r="C3130" i="1"/>
  <c r="B3130" i="1"/>
  <c r="K3129" i="1"/>
  <c r="C3129" i="1"/>
  <c r="B3129" i="1"/>
  <c r="K3128" i="1"/>
  <c r="C3128" i="1"/>
  <c r="B3128" i="1"/>
  <c r="K3127" i="1"/>
  <c r="C3127" i="1"/>
  <c r="B3127" i="1"/>
  <c r="K3126" i="1"/>
  <c r="C3126" i="1"/>
  <c r="B3126" i="1"/>
  <c r="K3125" i="1"/>
  <c r="C3125" i="1"/>
  <c r="B3125" i="1"/>
  <c r="K3124" i="1"/>
  <c r="C3124" i="1"/>
  <c r="B3124" i="1"/>
  <c r="K3123" i="1"/>
  <c r="C3123" i="1"/>
  <c r="B3123" i="1"/>
  <c r="K3122" i="1"/>
  <c r="C3122" i="1"/>
  <c r="B3122" i="1"/>
  <c r="K3121" i="1"/>
  <c r="C3121" i="1"/>
  <c r="B3121" i="1"/>
  <c r="K3120" i="1"/>
  <c r="C3120" i="1"/>
  <c r="B3120" i="1"/>
  <c r="K3119" i="1"/>
  <c r="C3119" i="1"/>
  <c r="B3119" i="1"/>
  <c r="K3118" i="1"/>
  <c r="C3118" i="1"/>
  <c r="B3118" i="1"/>
  <c r="K3117" i="1"/>
  <c r="C3117" i="1"/>
  <c r="B3117" i="1"/>
  <c r="K3116" i="1"/>
  <c r="C3116" i="1"/>
  <c r="B3116" i="1"/>
  <c r="K3115" i="1"/>
  <c r="C3115" i="1"/>
  <c r="B3115" i="1"/>
  <c r="K3114" i="1"/>
  <c r="C3114" i="1"/>
  <c r="B3114" i="1"/>
  <c r="K3113" i="1"/>
  <c r="C3113" i="1"/>
  <c r="B3113" i="1"/>
  <c r="K3112" i="1"/>
  <c r="C3112" i="1"/>
  <c r="B3112" i="1"/>
  <c r="K3111" i="1"/>
  <c r="C3111" i="1"/>
  <c r="B3111" i="1"/>
  <c r="K3110" i="1"/>
  <c r="C3110" i="1"/>
  <c r="B3110" i="1"/>
  <c r="K3109" i="1"/>
  <c r="C3109" i="1"/>
  <c r="B3109" i="1"/>
  <c r="K3108" i="1"/>
  <c r="C3108" i="1"/>
  <c r="B3108" i="1"/>
  <c r="K3107" i="1"/>
  <c r="C3107" i="1"/>
  <c r="B3107" i="1"/>
  <c r="K3106" i="1"/>
  <c r="C3106" i="1"/>
  <c r="B3106" i="1"/>
  <c r="K3105" i="1"/>
  <c r="C3105" i="1"/>
  <c r="B3105" i="1"/>
  <c r="K3104" i="1"/>
  <c r="C3104" i="1"/>
  <c r="B3104" i="1"/>
  <c r="K3103" i="1"/>
  <c r="C3103" i="1"/>
  <c r="B3103" i="1"/>
  <c r="K3102" i="1"/>
  <c r="C3102" i="1"/>
  <c r="B3102" i="1"/>
  <c r="K3101" i="1"/>
  <c r="C3101" i="1"/>
  <c r="B3101" i="1"/>
  <c r="K3100" i="1"/>
  <c r="C3100" i="1"/>
  <c r="B3100" i="1"/>
  <c r="K3099" i="1"/>
  <c r="C3099" i="1"/>
  <c r="B3099" i="1"/>
  <c r="K3098" i="1"/>
  <c r="C3098" i="1"/>
  <c r="B3098" i="1"/>
  <c r="K3097" i="1"/>
  <c r="C3097" i="1"/>
  <c r="B3097" i="1"/>
  <c r="K3096" i="1"/>
  <c r="C3096" i="1"/>
  <c r="B3096" i="1"/>
  <c r="K3095" i="1"/>
  <c r="C3095" i="1"/>
  <c r="B3095" i="1"/>
  <c r="K3094" i="1"/>
  <c r="C3094" i="1"/>
  <c r="B3094" i="1"/>
  <c r="K3093" i="1"/>
  <c r="C3093" i="1"/>
  <c r="B3093" i="1"/>
  <c r="K3092" i="1"/>
  <c r="C3092" i="1"/>
  <c r="B3092" i="1"/>
  <c r="K3091" i="1"/>
  <c r="C3091" i="1"/>
  <c r="B3091" i="1"/>
  <c r="K3090" i="1"/>
  <c r="C3090" i="1"/>
  <c r="B3090" i="1"/>
  <c r="K3089" i="1"/>
  <c r="C3089" i="1"/>
  <c r="B3089" i="1"/>
  <c r="K3088" i="1"/>
  <c r="C3088" i="1"/>
  <c r="B3088" i="1"/>
  <c r="K3087" i="1"/>
  <c r="C3087" i="1"/>
  <c r="B3087" i="1"/>
  <c r="K3086" i="1"/>
  <c r="C3086" i="1"/>
  <c r="B3086" i="1"/>
  <c r="K3085" i="1"/>
  <c r="C3085" i="1"/>
  <c r="B3085" i="1"/>
  <c r="K3084" i="1"/>
  <c r="C3084" i="1"/>
  <c r="B3084" i="1"/>
  <c r="K3083" i="1"/>
  <c r="C3083" i="1"/>
  <c r="B3083" i="1"/>
  <c r="K3082" i="1"/>
  <c r="C3082" i="1"/>
  <c r="B3082" i="1"/>
  <c r="K3081" i="1"/>
  <c r="C3081" i="1"/>
  <c r="B3081" i="1"/>
  <c r="K3080" i="1"/>
  <c r="C3080" i="1"/>
  <c r="B3080" i="1"/>
  <c r="K3079" i="1"/>
  <c r="C3079" i="1"/>
  <c r="B3079" i="1"/>
  <c r="K3078" i="1"/>
  <c r="C3078" i="1"/>
  <c r="B3078" i="1"/>
  <c r="K3077" i="1"/>
  <c r="C3077" i="1"/>
  <c r="B3077" i="1"/>
  <c r="K3076" i="1"/>
  <c r="C3076" i="1"/>
  <c r="B3076" i="1"/>
  <c r="K3075" i="1"/>
  <c r="C3075" i="1"/>
  <c r="B3075" i="1"/>
  <c r="K3074" i="1"/>
  <c r="C3074" i="1"/>
  <c r="B3074" i="1"/>
  <c r="K3073" i="1"/>
  <c r="C3073" i="1"/>
  <c r="B3073" i="1"/>
  <c r="K3072" i="1"/>
  <c r="C3072" i="1"/>
  <c r="B3072" i="1"/>
  <c r="K3071" i="1"/>
  <c r="C3071" i="1"/>
  <c r="B3071" i="1"/>
  <c r="K3070" i="1"/>
  <c r="C3070" i="1"/>
  <c r="B3070" i="1"/>
  <c r="K3069" i="1"/>
  <c r="C3069" i="1"/>
  <c r="B3069" i="1"/>
  <c r="K3068" i="1"/>
  <c r="C3068" i="1"/>
  <c r="B3068" i="1"/>
  <c r="K3067" i="1"/>
  <c r="C3067" i="1"/>
  <c r="B3067" i="1"/>
  <c r="K3066" i="1"/>
  <c r="C3066" i="1"/>
  <c r="B3066" i="1"/>
  <c r="K3065" i="1"/>
  <c r="C3065" i="1"/>
  <c r="B3065" i="1"/>
  <c r="K3064" i="1"/>
  <c r="C3064" i="1"/>
  <c r="B3064" i="1"/>
  <c r="K3063" i="1"/>
  <c r="C3063" i="1"/>
  <c r="B3063" i="1"/>
  <c r="K3062" i="1"/>
  <c r="C3062" i="1"/>
  <c r="B3062" i="1"/>
  <c r="K3061" i="1"/>
  <c r="C3061" i="1"/>
  <c r="B3061" i="1"/>
  <c r="K3060" i="1"/>
  <c r="C3060" i="1"/>
  <c r="B3060" i="1"/>
  <c r="K3059" i="1"/>
  <c r="C3059" i="1"/>
  <c r="B3059" i="1"/>
  <c r="K3058" i="1"/>
  <c r="C3058" i="1"/>
  <c r="B3058" i="1"/>
  <c r="K3057" i="1"/>
  <c r="C3057" i="1"/>
  <c r="B3057" i="1"/>
  <c r="K3056" i="1"/>
  <c r="C3056" i="1"/>
  <c r="B3056" i="1"/>
  <c r="K3055" i="1"/>
  <c r="C3055" i="1"/>
  <c r="B3055" i="1"/>
  <c r="K3054" i="1"/>
  <c r="C3054" i="1"/>
  <c r="B3054" i="1"/>
  <c r="K3053" i="1"/>
  <c r="C3053" i="1"/>
  <c r="B3053" i="1"/>
  <c r="K3052" i="1"/>
  <c r="C3052" i="1"/>
  <c r="B3052" i="1"/>
  <c r="K3051" i="1"/>
  <c r="C3051" i="1"/>
  <c r="B3051" i="1"/>
  <c r="K3050" i="1"/>
  <c r="C3050" i="1"/>
  <c r="B3050" i="1"/>
  <c r="K3049" i="1"/>
  <c r="C3049" i="1"/>
  <c r="B3049" i="1"/>
  <c r="K3048" i="1"/>
  <c r="C3048" i="1"/>
  <c r="B3048" i="1"/>
  <c r="K3047" i="1"/>
  <c r="C3047" i="1"/>
  <c r="B3047" i="1"/>
  <c r="K3046" i="1"/>
  <c r="C3046" i="1"/>
  <c r="B3046" i="1"/>
  <c r="K3045" i="1"/>
  <c r="C3045" i="1"/>
  <c r="B3045" i="1"/>
  <c r="K3044" i="1"/>
  <c r="C3044" i="1"/>
  <c r="B3044" i="1"/>
  <c r="K3043" i="1"/>
  <c r="C3043" i="1"/>
  <c r="B3043" i="1"/>
  <c r="K3042" i="1"/>
  <c r="C3042" i="1"/>
  <c r="B3042" i="1"/>
  <c r="K3041" i="1"/>
  <c r="C3041" i="1"/>
  <c r="B3041" i="1"/>
  <c r="K3040" i="1"/>
  <c r="C3040" i="1"/>
  <c r="B3040" i="1"/>
  <c r="K3039" i="1"/>
  <c r="C3039" i="1"/>
  <c r="B3039" i="1"/>
  <c r="K3038" i="1"/>
  <c r="C3038" i="1"/>
  <c r="B3038" i="1"/>
  <c r="K3037" i="1"/>
  <c r="C3037" i="1"/>
  <c r="B3037" i="1"/>
  <c r="K3036" i="1"/>
  <c r="C3036" i="1"/>
  <c r="B3036" i="1"/>
  <c r="K3035" i="1"/>
  <c r="C3035" i="1"/>
  <c r="B3035" i="1"/>
  <c r="K3034" i="1"/>
  <c r="C3034" i="1"/>
  <c r="B3034" i="1"/>
  <c r="K3033" i="1"/>
  <c r="C3033" i="1"/>
  <c r="B3033" i="1"/>
  <c r="K3032" i="1"/>
  <c r="C3032" i="1"/>
  <c r="B3032" i="1"/>
  <c r="K3031" i="1"/>
  <c r="C3031" i="1"/>
  <c r="B3031" i="1"/>
  <c r="K3030" i="1"/>
  <c r="C3030" i="1"/>
  <c r="B3030" i="1"/>
  <c r="K3029" i="1"/>
  <c r="C3029" i="1"/>
  <c r="B3029" i="1"/>
  <c r="K3028" i="1"/>
  <c r="C3028" i="1"/>
  <c r="B3028" i="1"/>
  <c r="K3027" i="1"/>
  <c r="C3027" i="1"/>
  <c r="B3027" i="1"/>
  <c r="K3026" i="1"/>
  <c r="C3026" i="1"/>
  <c r="B3026" i="1"/>
  <c r="K3025" i="1"/>
  <c r="C3025" i="1"/>
  <c r="B3025" i="1"/>
  <c r="K3024" i="1"/>
  <c r="C3024" i="1"/>
  <c r="B3024" i="1"/>
  <c r="K3023" i="1"/>
  <c r="C3023" i="1"/>
  <c r="B3023" i="1"/>
  <c r="K3022" i="1"/>
  <c r="C3022" i="1"/>
  <c r="B3022" i="1"/>
  <c r="K3021" i="1"/>
  <c r="C3021" i="1"/>
  <c r="B3021" i="1"/>
  <c r="K3020" i="1"/>
  <c r="C3020" i="1"/>
  <c r="B3020" i="1"/>
  <c r="K3019" i="1"/>
  <c r="C3019" i="1"/>
  <c r="B3019" i="1"/>
  <c r="K3018" i="1"/>
  <c r="C3018" i="1"/>
  <c r="B3018" i="1"/>
  <c r="K3017" i="1"/>
  <c r="C3017" i="1"/>
  <c r="B3017" i="1"/>
  <c r="K3016" i="1"/>
  <c r="C3016" i="1"/>
  <c r="B3016" i="1"/>
  <c r="K3015" i="1"/>
  <c r="C3015" i="1"/>
  <c r="B3015" i="1"/>
  <c r="K3014" i="1"/>
  <c r="C3014" i="1"/>
  <c r="B3014" i="1"/>
  <c r="K3013" i="1"/>
  <c r="C3013" i="1"/>
  <c r="B3013" i="1"/>
  <c r="K3012" i="1"/>
  <c r="C3012" i="1"/>
  <c r="B3012" i="1"/>
  <c r="K3011" i="1"/>
  <c r="C3011" i="1"/>
  <c r="B3011" i="1"/>
  <c r="K3010" i="1"/>
  <c r="C3010" i="1"/>
  <c r="B3010" i="1"/>
  <c r="K3009" i="1"/>
  <c r="C3009" i="1"/>
  <c r="B3009" i="1"/>
  <c r="K3008" i="1"/>
  <c r="C3008" i="1"/>
  <c r="B3008" i="1"/>
  <c r="K3007" i="1"/>
  <c r="C3007" i="1"/>
  <c r="B3007" i="1"/>
  <c r="K3006" i="1"/>
  <c r="C3006" i="1"/>
  <c r="B3006" i="1"/>
  <c r="K3005" i="1"/>
  <c r="C3005" i="1"/>
  <c r="B3005" i="1"/>
  <c r="K3004" i="1"/>
  <c r="C3004" i="1"/>
  <c r="B3004" i="1"/>
  <c r="K3003" i="1"/>
  <c r="C3003" i="1"/>
  <c r="B3003" i="1"/>
  <c r="K3002" i="1"/>
  <c r="C3002" i="1"/>
  <c r="B3002" i="1"/>
  <c r="K3001" i="1"/>
  <c r="C3001" i="1"/>
  <c r="B3001" i="1"/>
  <c r="K3000" i="1"/>
  <c r="C3000" i="1"/>
  <c r="B3000" i="1"/>
  <c r="K2999" i="1"/>
  <c r="C2999" i="1"/>
  <c r="B2999" i="1"/>
  <c r="K2998" i="1"/>
  <c r="C2998" i="1"/>
  <c r="B2998" i="1"/>
  <c r="K2997" i="1"/>
  <c r="C2997" i="1"/>
  <c r="B2997" i="1"/>
  <c r="K2996" i="1"/>
  <c r="C2996" i="1"/>
  <c r="B2996" i="1"/>
  <c r="K2995" i="1"/>
  <c r="C2995" i="1"/>
  <c r="B2995" i="1"/>
  <c r="K2994" i="1"/>
  <c r="C2994" i="1"/>
  <c r="B2994" i="1"/>
  <c r="K2993" i="1"/>
  <c r="C2993" i="1"/>
  <c r="B2993" i="1"/>
  <c r="K2992" i="1"/>
  <c r="C2992" i="1"/>
  <c r="B2992" i="1"/>
  <c r="K2991" i="1"/>
  <c r="C2991" i="1"/>
  <c r="B2991" i="1"/>
  <c r="K2990" i="1"/>
  <c r="C2990" i="1"/>
  <c r="B2990" i="1"/>
  <c r="K2989" i="1"/>
  <c r="C2989" i="1"/>
  <c r="B2989" i="1"/>
  <c r="K2988" i="1"/>
  <c r="C2988" i="1"/>
  <c r="B2988" i="1"/>
  <c r="K2987" i="1"/>
  <c r="C2987" i="1"/>
  <c r="B2987" i="1"/>
  <c r="K2986" i="1"/>
  <c r="C2986" i="1"/>
  <c r="B2986" i="1"/>
  <c r="K2985" i="1"/>
  <c r="C2985" i="1"/>
  <c r="B2985" i="1"/>
  <c r="K2984" i="1"/>
  <c r="C2984" i="1"/>
  <c r="B2984" i="1"/>
  <c r="K2983" i="1"/>
  <c r="C2983" i="1"/>
  <c r="B2983" i="1"/>
  <c r="K2982" i="1"/>
  <c r="C2982" i="1"/>
  <c r="B2982" i="1"/>
  <c r="K2981" i="1"/>
  <c r="C2981" i="1"/>
  <c r="B2981" i="1"/>
  <c r="K2980" i="1"/>
  <c r="C2980" i="1"/>
  <c r="B2980" i="1"/>
  <c r="K2979" i="1"/>
  <c r="C2979" i="1"/>
  <c r="B2979" i="1"/>
  <c r="K2978" i="1"/>
  <c r="C2978" i="1"/>
  <c r="B2978" i="1"/>
  <c r="K2977" i="1"/>
  <c r="C2977" i="1"/>
  <c r="B2977" i="1"/>
  <c r="K2976" i="1"/>
  <c r="C2976" i="1"/>
  <c r="B2976" i="1"/>
  <c r="K2975" i="1"/>
  <c r="C2975" i="1"/>
  <c r="B2975" i="1"/>
  <c r="K2974" i="1"/>
  <c r="C2974" i="1"/>
  <c r="B2974" i="1"/>
  <c r="K2973" i="1"/>
  <c r="C2973" i="1"/>
  <c r="B2973" i="1"/>
  <c r="K2972" i="1"/>
  <c r="C2972" i="1"/>
  <c r="B2972" i="1"/>
  <c r="K2971" i="1"/>
  <c r="C2971" i="1"/>
  <c r="B2971" i="1"/>
  <c r="K2970" i="1"/>
  <c r="C2970" i="1"/>
  <c r="B2970" i="1"/>
  <c r="K2969" i="1"/>
  <c r="C2969" i="1"/>
  <c r="B2969" i="1"/>
  <c r="K2968" i="1"/>
  <c r="C2968" i="1"/>
  <c r="B2968" i="1"/>
  <c r="K2967" i="1"/>
  <c r="C2967" i="1"/>
  <c r="B2967" i="1"/>
  <c r="K2966" i="1"/>
  <c r="C2966" i="1"/>
  <c r="B2966" i="1"/>
  <c r="K2965" i="1"/>
  <c r="C2965" i="1"/>
  <c r="B2965" i="1"/>
  <c r="K2964" i="1"/>
  <c r="C2964" i="1"/>
  <c r="B2964" i="1"/>
  <c r="K2963" i="1"/>
  <c r="C2963" i="1"/>
  <c r="B2963" i="1"/>
  <c r="K2962" i="1"/>
  <c r="C2962" i="1"/>
  <c r="B2962" i="1"/>
  <c r="K2961" i="1"/>
  <c r="C2961" i="1"/>
  <c r="B2961" i="1"/>
  <c r="K2960" i="1"/>
  <c r="C2960" i="1"/>
  <c r="B2960" i="1"/>
  <c r="K2959" i="1"/>
  <c r="C2959" i="1"/>
  <c r="B2959" i="1"/>
  <c r="K2958" i="1"/>
  <c r="C2958" i="1"/>
  <c r="B2958" i="1"/>
  <c r="K2957" i="1"/>
  <c r="C2957" i="1"/>
  <c r="B2957" i="1"/>
  <c r="K2956" i="1"/>
  <c r="C2956" i="1"/>
  <c r="B2956" i="1"/>
  <c r="K2955" i="1"/>
  <c r="C2955" i="1"/>
  <c r="B2955" i="1"/>
  <c r="K2954" i="1"/>
  <c r="C2954" i="1"/>
  <c r="B2954" i="1"/>
  <c r="K2953" i="1"/>
  <c r="C2953" i="1"/>
  <c r="B2953" i="1"/>
  <c r="K2952" i="1"/>
  <c r="C2952" i="1"/>
  <c r="B2952" i="1"/>
  <c r="K2951" i="1"/>
  <c r="C2951" i="1"/>
  <c r="B2951" i="1"/>
  <c r="K2950" i="1"/>
  <c r="C2950" i="1"/>
  <c r="B2950" i="1"/>
  <c r="K2949" i="1"/>
  <c r="C2949" i="1"/>
  <c r="B2949" i="1"/>
  <c r="K2948" i="1"/>
  <c r="C2948" i="1"/>
  <c r="B2948" i="1"/>
  <c r="K2947" i="1"/>
  <c r="C2947" i="1"/>
  <c r="B2947" i="1"/>
  <c r="K2946" i="1"/>
  <c r="C2946" i="1"/>
  <c r="B2946" i="1"/>
  <c r="K2945" i="1"/>
  <c r="C2945" i="1"/>
  <c r="B2945" i="1"/>
  <c r="K2944" i="1"/>
  <c r="C2944" i="1"/>
  <c r="B2944" i="1"/>
  <c r="K2943" i="1"/>
  <c r="C2943" i="1"/>
  <c r="B2943" i="1"/>
  <c r="K2942" i="1"/>
  <c r="C2942" i="1"/>
  <c r="B2942" i="1"/>
  <c r="K2941" i="1"/>
  <c r="C2941" i="1"/>
  <c r="B2941" i="1"/>
  <c r="K2940" i="1"/>
  <c r="C2940" i="1"/>
  <c r="B2940" i="1"/>
  <c r="K2939" i="1"/>
  <c r="C2939" i="1"/>
  <c r="B2939" i="1"/>
  <c r="K2938" i="1"/>
  <c r="C2938" i="1"/>
  <c r="B2938" i="1"/>
  <c r="K2937" i="1"/>
  <c r="C2937" i="1"/>
  <c r="B2937" i="1"/>
  <c r="K2936" i="1"/>
  <c r="C2936" i="1"/>
  <c r="B2936" i="1"/>
  <c r="K2935" i="1"/>
  <c r="C2935" i="1"/>
  <c r="B2935" i="1"/>
  <c r="K2934" i="1"/>
  <c r="C2934" i="1"/>
  <c r="B2934" i="1"/>
  <c r="K2933" i="1"/>
  <c r="C2933" i="1"/>
  <c r="B2933" i="1"/>
  <c r="K2932" i="1"/>
  <c r="C2932" i="1"/>
  <c r="B2932" i="1"/>
  <c r="K2931" i="1"/>
  <c r="C2931" i="1"/>
  <c r="B2931" i="1"/>
  <c r="K2930" i="1"/>
  <c r="C2930" i="1"/>
  <c r="B2930" i="1"/>
  <c r="K2929" i="1"/>
  <c r="C2929" i="1"/>
  <c r="B2929" i="1"/>
  <c r="K2928" i="1"/>
  <c r="C2928" i="1"/>
  <c r="B2928" i="1"/>
  <c r="K2927" i="1"/>
  <c r="C2927" i="1"/>
  <c r="B2927" i="1"/>
  <c r="K2926" i="1"/>
  <c r="C2926" i="1"/>
  <c r="B2926" i="1"/>
  <c r="K2925" i="1"/>
  <c r="C2925" i="1"/>
  <c r="B2925" i="1"/>
  <c r="K2924" i="1"/>
  <c r="C2924" i="1"/>
  <c r="B2924" i="1"/>
  <c r="K2923" i="1"/>
  <c r="C2923" i="1"/>
  <c r="B2923" i="1"/>
  <c r="K2922" i="1"/>
  <c r="C2922" i="1"/>
  <c r="B2922" i="1"/>
  <c r="K2921" i="1"/>
  <c r="C2921" i="1"/>
  <c r="B2921" i="1"/>
  <c r="K2920" i="1"/>
  <c r="C2920" i="1"/>
  <c r="B2920" i="1"/>
  <c r="K2919" i="1"/>
  <c r="C2919" i="1"/>
  <c r="B2919" i="1"/>
  <c r="K2918" i="1"/>
  <c r="C2918" i="1"/>
  <c r="B2918" i="1"/>
  <c r="K2917" i="1"/>
  <c r="C2917" i="1"/>
  <c r="B2917" i="1"/>
  <c r="K2916" i="1"/>
  <c r="C2916" i="1"/>
  <c r="B2916" i="1"/>
  <c r="K2915" i="1"/>
  <c r="C2915" i="1"/>
  <c r="B2915" i="1"/>
  <c r="K2914" i="1"/>
  <c r="C2914" i="1"/>
  <c r="B2914" i="1"/>
  <c r="K2913" i="1"/>
  <c r="C2913" i="1"/>
  <c r="B2913" i="1"/>
  <c r="K2912" i="1"/>
  <c r="C2912" i="1"/>
  <c r="B2912" i="1"/>
  <c r="K2911" i="1"/>
  <c r="C2911" i="1"/>
  <c r="B2911" i="1"/>
  <c r="K2910" i="1"/>
  <c r="C2910" i="1"/>
  <c r="B2910" i="1"/>
  <c r="K2909" i="1"/>
  <c r="C2909" i="1"/>
  <c r="B2909" i="1"/>
  <c r="K2908" i="1"/>
  <c r="C2908" i="1"/>
  <c r="B2908" i="1"/>
  <c r="K2907" i="1"/>
  <c r="C2907" i="1"/>
  <c r="B2907" i="1"/>
  <c r="K2906" i="1"/>
  <c r="C2906" i="1"/>
  <c r="B2906" i="1"/>
  <c r="K2905" i="1"/>
  <c r="C2905" i="1"/>
  <c r="B2905" i="1"/>
  <c r="K2904" i="1"/>
  <c r="C2904" i="1"/>
  <c r="B2904" i="1"/>
  <c r="K2903" i="1"/>
  <c r="C2903" i="1"/>
  <c r="B2903" i="1"/>
  <c r="K2902" i="1"/>
  <c r="C2902" i="1"/>
  <c r="B2902" i="1"/>
  <c r="K2901" i="1"/>
  <c r="C2901" i="1"/>
  <c r="B2901" i="1"/>
  <c r="K2900" i="1"/>
  <c r="C2900" i="1"/>
  <c r="B2900" i="1"/>
  <c r="K2899" i="1"/>
  <c r="C2899" i="1"/>
  <c r="B2899" i="1"/>
  <c r="K2898" i="1"/>
  <c r="C2898" i="1"/>
  <c r="B2898" i="1"/>
  <c r="K2897" i="1"/>
  <c r="C2897" i="1"/>
  <c r="B2897" i="1"/>
  <c r="K2896" i="1"/>
  <c r="C2896" i="1"/>
  <c r="B2896" i="1"/>
  <c r="K2895" i="1"/>
  <c r="C2895" i="1"/>
  <c r="B2895" i="1"/>
  <c r="K2894" i="1"/>
  <c r="C2894" i="1"/>
  <c r="B2894" i="1"/>
  <c r="K2893" i="1"/>
  <c r="C2893" i="1"/>
  <c r="B2893" i="1"/>
  <c r="K2892" i="1"/>
  <c r="C2892" i="1"/>
  <c r="B2892" i="1"/>
  <c r="K2891" i="1"/>
  <c r="C2891" i="1"/>
  <c r="B2891" i="1"/>
  <c r="K2890" i="1"/>
  <c r="C2890" i="1"/>
  <c r="B2890" i="1"/>
  <c r="K2889" i="1"/>
  <c r="C2889" i="1"/>
  <c r="B2889" i="1"/>
  <c r="K2888" i="1"/>
  <c r="C2888" i="1"/>
  <c r="B2888" i="1"/>
  <c r="K2887" i="1"/>
  <c r="C2887" i="1"/>
  <c r="B2887" i="1"/>
  <c r="K2886" i="1"/>
  <c r="C2886" i="1"/>
  <c r="B2886" i="1"/>
  <c r="K2885" i="1"/>
  <c r="C2885" i="1"/>
  <c r="B2885" i="1"/>
  <c r="K2884" i="1"/>
  <c r="C2884" i="1"/>
  <c r="B2884" i="1"/>
  <c r="K2883" i="1"/>
  <c r="C2883" i="1"/>
  <c r="B2883" i="1"/>
  <c r="K2882" i="1"/>
  <c r="C2882" i="1"/>
  <c r="B2882" i="1"/>
  <c r="K2881" i="1"/>
  <c r="C2881" i="1"/>
  <c r="B2881" i="1"/>
  <c r="K2880" i="1"/>
  <c r="C2880" i="1"/>
  <c r="B2880" i="1"/>
  <c r="K2879" i="1"/>
  <c r="C2879" i="1"/>
  <c r="B2879" i="1"/>
  <c r="K2878" i="1"/>
  <c r="C2878" i="1"/>
  <c r="B2878" i="1"/>
  <c r="K2877" i="1"/>
  <c r="C2877" i="1"/>
  <c r="B2877" i="1"/>
  <c r="K2876" i="1"/>
  <c r="C2876" i="1"/>
  <c r="B2876" i="1"/>
  <c r="K2875" i="1"/>
  <c r="C2875" i="1"/>
  <c r="B2875" i="1"/>
  <c r="K2874" i="1"/>
  <c r="C2874" i="1"/>
  <c r="B2874" i="1"/>
  <c r="K2873" i="1"/>
  <c r="C2873" i="1"/>
  <c r="B2873" i="1"/>
  <c r="K2872" i="1"/>
  <c r="C2872" i="1"/>
  <c r="B2872" i="1"/>
  <c r="K2871" i="1"/>
  <c r="C2871" i="1"/>
  <c r="B2871" i="1"/>
  <c r="K2870" i="1"/>
  <c r="C2870" i="1"/>
  <c r="B2870" i="1"/>
  <c r="K2869" i="1"/>
  <c r="C2869" i="1"/>
  <c r="B2869" i="1"/>
  <c r="K2868" i="1"/>
  <c r="C2868" i="1"/>
  <c r="B2868" i="1"/>
  <c r="K2867" i="1"/>
  <c r="C2867" i="1"/>
  <c r="B2867" i="1"/>
  <c r="K2866" i="1"/>
  <c r="C2866" i="1"/>
  <c r="B2866" i="1"/>
  <c r="K2865" i="1"/>
  <c r="C2865" i="1"/>
  <c r="B2865" i="1"/>
  <c r="K2864" i="1"/>
  <c r="C2864" i="1"/>
  <c r="B2864" i="1"/>
  <c r="K2863" i="1"/>
  <c r="C2863" i="1"/>
  <c r="B2863" i="1"/>
  <c r="K2862" i="1"/>
  <c r="C2862" i="1"/>
  <c r="B2862" i="1"/>
  <c r="K2861" i="1"/>
  <c r="C2861" i="1"/>
  <c r="B2861" i="1"/>
  <c r="K2860" i="1"/>
  <c r="C2860" i="1"/>
  <c r="B2860" i="1"/>
  <c r="K2859" i="1"/>
  <c r="C2859" i="1"/>
  <c r="B2859" i="1"/>
  <c r="K2858" i="1"/>
  <c r="C2858" i="1"/>
  <c r="B2858" i="1"/>
  <c r="K2857" i="1"/>
  <c r="C2857" i="1"/>
  <c r="B2857" i="1"/>
  <c r="K2856" i="1"/>
  <c r="C2856" i="1"/>
  <c r="B2856" i="1"/>
  <c r="K2855" i="1"/>
  <c r="C2855" i="1"/>
  <c r="B2855" i="1"/>
  <c r="K2854" i="1"/>
  <c r="C2854" i="1"/>
  <c r="B2854" i="1"/>
  <c r="K2853" i="1"/>
  <c r="C2853" i="1"/>
  <c r="B2853" i="1"/>
  <c r="K2852" i="1"/>
  <c r="C2852" i="1"/>
  <c r="B2852" i="1"/>
  <c r="K2851" i="1"/>
  <c r="C2851" i="1"/>
  <c r="B2851" i="1"/>
  <c r="K2850" i="1"/>
  <c r="C2850" i="1"/>
  <c r="B2850" i="1"/>
  <c r="K2849" i="1"/>
  <c r="C2849" i="1"/>
  <c r="B2849" i="1"/>
  <c r="K2848" i="1"/>
  <c r="C2848" i="1"/>
  <c r="B2848" i="1"/>
  <c r="K2847" i="1"/>
  <c r="C2847" i="1"/>
  <c r="B2847" i="1"/>
  <c r="K2846" i="1"/>
  <c r="C2846" i="1"/>
  <c r="B2846" i="1"/>
  <c r="K2845" i="1"/>
  <c r="C2845" i="1"/>
  <c r="B2845" i="1"/>
  <c r="K2844" i="1"/>
  <c r="C2844" i="1"/>
  <c r="B2844" i="1"/>
  <c r="K2843" i="1"/>
  <c r="C2843" i="1"/>
  <c r="B2843" i="1"/>
  <c r="K2842" i="1"/>
  <c r="C2842" i="1"/>
  <c r="B2842" i="1"/>
  <c r="K2841" i="1"/>
  <c r="C2841" i="1"/>
  <c r="B2841" i="1"/>
  <c r="K2840" i="1"/>
  <c r="C2840" i="1"/>
  <c r="B2840" i="1"/>
  <c r="K2839" i="1"/>
  <c r="C2839" i="1"/>
  <c r="B2839" i="1"/>
  <c r="K2838" i="1"/>
  <c r="C2838" i="1"/>
  <c r="B2838" i="1"/>
  <c r="K2837" i="1"/>
  <c r="C2837" i="1"/>
  <c r="B2837" i="1"/>
  <c r="K2836" i="1"/>
  <c r="C2836" i="1"/>
  <c r="B2836" i="1"/>
  <c r="K2835" i="1"/>
  <c r="C2835" i="1"/>
  <c r="B2835" i="1"/>
  <c r="K2834" i="1"/>
  <c r="C2834" i="1"/>
  <c r="B2834" i="1"/>
  <c r="K2833" i="1"/>
  <c r="C2833" i="1"/>
  <c r="B2833" i="1"/>
  <c r="K2832" i="1"/>
  <c r="C2832" i="1"/>
  <c r="B2832" i="1"/>
  <c r="K2831" i="1"/>
  <c r="C2831" i="1"/>
  <c r="B2831" i="1"/>
  <c r="K2830" i="1"/>
  <c r="C2830" i="1"/>
  <c r="B2830" i="1"/>
  <c r="K2829" i="1"/>
  <c r="C2829" i="1"/>
  <c r="B2829" i="1"/>
  <c r="K2828" i="1"/>
  <c r="C2828" i="1"/>
  <c r="B2828" i="1"/>
  <c r="K2827" i="1"/>
  <c r="C2827" i="1"/>
  <c r="B2827" i="1"/>
  <c r="K2826" i="1"/>
  <c r="C2826" i="1"/>
  <c r="B2826" i="1"/>
  <c r="K2825" i="1"/>
  <c r="C2825" i="1"/>
  <c r="B2825" i="1"/>
  <c r="K2824" i="1"/>
  <c r="C2824" i="1"/>
  <c r="B2824" i="1"/>
  <c r="K2823" i="1"/>
  <c r="C2823" i="1"/>
  <c r="B2823" i="1"/>
  <c r="K2822" i="1"/>
  <c r="C2822" i="1"/>
  <c r="B2822" i="1"/>
  <c r="K2821" i="1"/>
  <c r="C2821" i="1"/>
  <c r="B2821" i="1"/>
  <c r="K2820" i="1"/>
  <c r="C2820" i="1"/>
  <c r="B2820" i="1"/>
  <c r="K2819" i="1"/>
  <c r="C2819" i="1"/>
  <c r="B2819" i="1"/>
  <c r="K2818" i="1"/>
  <c r="C2818" i="1"/>
  <c r="B2818" i="1"/>
  <c r="K2817" i="1"/>
  <c r="C2817" i="1"/>
  <c r="B2817" i="1"/>
  <c r="K2816" i="1"/>
  <c r="C2816" i="1"/>
  <c r="B2816" i="1"/>
  <c r="K2815" i="1"/>
  <c r="C2815" i="1"/>
  <c r="B2815" i="1"/>
  <c r="K2814" i="1"/>
  <c r="C2814" i="1"/>
  <c r="B2814" i="1"/>
  <c r="K2813" i="1"/>
  <c r="C2813" i="1"/>
  <c r="B2813" i="1"/>
  <c r="K2812" i="1"/>
  <c r="C2812" i="1"/>
  <c r="B2812" i="1"/>
  <c r="K2811" i="1"/>
  <c r="C2811" i="1"/>
  <c r="B2811" i="1"/>
  <c r="K2810" i="1"/>
  <c r="C2810" i="1"/>
  <c r="B2810" i="1"/>
  <c r="K2809" i="1"/>
  <c r="C2809" i="1"/>
  <c r="B2809" i="1"/>
  <c r="K2808" i="1"/>
  <c r="C2808" i="1"/>
  <c r="B2808" i="1"/>
  <c r="K2807" i="1"/>
  <c r="C2807" i="1"/>
  <c r="B2807" i="1"/>
  <c r="K2806" i="1"/>
  <c r="C2806" i="1"/>
  <c r="B2806" i="1"/>
  <c r="K2805" i="1"/>
  <c r="C2805" i="1"/>
  <c r="B2805" i="1"/>
  <c r="K2804" i="1"/>
  <c r="C2804" i="1"/>
  <c r="B2804" i="1"/>
  <c r="K2803" i="1"/>
  <c r="C2803" i="1"/>
  <c r="B2803" i="1"/>
  <c r="K2802" i="1"/>
  <c r="C2802" i="1"/>
  <c r="B2802" i="1"/>
  <c r="K2801" i="1"/>
  <c r="C2801" i="1"/>
  <c r="B2801" i="1"/>
  <c r="K2800" i="1"/>
  <c r="C2800" i="1"/>
  <c r="B2800" i="1"/>
  <c r="K2799" i="1"/>
  <c r="C2799" i="1"/>
  <c r="B2799" i="1"/>
  <c r="K2798" i="1"/>
  <c r="C2798" i="1"/>
  <c r="B2798" i="1"/>
  <c r="K2797" i="1"/>
  <c r="C2797" i="1"/>
  <c r="B2797" i="1"/>
  <c r="K2796" i="1"/>
  <c r="C2796" i="1"/>
  <c r="B2796" i="1"/>
  <c r="K2795" i="1"/>
  <c r="C2795" i="1"/>
  <c r="B2795" i="1"/>
  <c r="K2794" i="1"/>
  <c r="C2794" i="1"/>
  <c r="B2794" i="1"/>
  <c r="K2793" i="1"/>
  <c r="C2793" i="1"/>
  <c r="B2793" i="1"/>
  <c r="K2792" i="1"/>
  <c r="C2792" i="1"/>
  <c r="B2792" i="1"/>
  <c r="K2791" i="1"/>
  <c r="C2791" i="1"/>
  <c r="B2791" i="1"/>
  <c r="K2790" i="1"/>
  <c r="C2790" i="1"/>
  <c r="B2790" i="1"/>
  <c r="K2789" i="1"/>
  <c r="C2789" i="1"/>
  <c r="B2789" i="1"/>
  <c r="K2788" i="1"/>
  <c r="C2788" i="1"/>
  <c r="B2788" i="1"/>
  <c r="K2787" i="1"/>
  <c r="C2787" i="1"/>
  <c r="B2787" i="1"/>
  <c r="K2786" i="1"/>
  <c r="C2786" i="1"/>
  <c r="B2786" i="1"/>
  <c r="K2785" i="1"/>
  <c r="C2785" i="1"/>
  <c r="B2785" i="1"/>
  <c r="K2784" i="1"/>
  <c r="C2784" i="1"/>
  <c r="B2784" i="1"/>
  <c r="K2783" i="1"/>
  <c r="C2783" i="1"/>
  <c r="B2783" i="1"/>
  <c r="K2782" i="1"/>
  <c r="C2782" i="1"/>
  <c r="B2782" i="1"/>
  <c r="K2781" i="1"/>
  <c r="C2781" i="1"/>
  <c r="B2781" i="1"/>
  <c r="K2780" i="1"/>
  <c r="C2780" i="1"/>
  <c r="B2780" i="1"/>
  <c r="K2779" i="1"/>
  <c r="C2779" i="1"/>
  <c r="B2779" i="1"/>
  <c r="K2778" i="1"/>
  <c r="C2778" i="1"/>
  <c r="B2778" i="1"/>
  <c r="K2777" i="1"/>
  <c r="C2777" i="1"/>
  <c r="B2777" i="1"/>
  <c r="K2776" i="1"/>
  <c r="C2776" i="1"/>
  <c r="B2776" i="1"/>
  <c r="K2775" i="1"/>
  <c r="C2775" i="1"/>
  <c r="B2775" i="1"/>
  <c r="K2774" i="1"/>
  <c r="C2774" i="1"/>
  <c r="B2774" i="1"/>
  <c r="K2773" i="1"/>
  <c r="C2773" i="1"/>
  <c r="B2773" i="1"/>
  <c r="K2772" i="1"/>
  <c r="C2772" i="1"/>
  <c r="B2772" i="1"/>
  <c r="K2771" i="1"/>
  <c r="C2771" i="1"/>
  <c r="B2771" i="1"/>
  <c r="K2770" i="1"/>
  <c r="C2770" i="1"/>
  <c r="B2770" i="1"/>
  <c r="K2769" i="1"/>
  <c r="C2769" i="1"/>
  <c r="B2769" i="1"/>
  <c r="K2768" i="1"/>
  <c r="C2768" i="1"/>
  <c r="B2768" i="1"/>
  <c r="K2767" i="1"/>
  <c r="C2767" i="1"/>
  <c r="B2767" i="1"/>
  <c r="K2766" i="1"/>
  <c r="C2766" i="1"/>
  <c r="B2766" i="1"/>
  <c r="K2765" i="1"/>
  <c r="C2765" i="1"/>
  <c r="B2765" i="1"/>
  <c r="K2764" i="1"/>
  <c r="C2764" i="1"/>
  <c r="B2764" i="1"/>
  <c r="K2763" i="1"/>
  <c r="C2763" i="1"/>
  <c r="B2763" i="1"/>
  <c r="K2762" i="1"/>
  <c r="C2762" i="1"/>
  <c r="B2762" i="1"/>
  <c r="K2761" i="1"/>
  <c r="C2761" i="1"/>
  <c r="B2761" i="1"/>
  <c r="K2760" i="1"/>
  <c r="C2760" i="1"/>
  <c r="B2760" i="1"/>
  <c r="K2759" i="1"/>
  <c r="C2759" i="1"/>
  <c r="B2759" i="1"/>
  <c r="K2758" i="1"/>
  <c r="C2758" i="1"/>
  <c r="B2758" i="1"/>
  <c r="K2757" i="1"/>
  <c r="C2757" i="1"/>
  <c r="B2757" i="1"/>
  <c r="K2756" i="1"/>
  <c r="C2756" i="1"/>
  <c r="B2756" i="1"/>
  <c r="K2755" i="1"/>
  <c r="C2755" i="1"/>
  <c r="B2755" i="1"/>
  <c r="K2754" i="1"/>
  <c r="C2754" i="1"/>
  <c r="B2754" i="1"/>
  <c r="K2753" i="1"/>
  <c r="C2753" i="1"/>
  <c r="B2753" i="1"/>
  <c r="K2752" i="1"/>
  <c r="C2752" i="1"/>
  <c r="B2752" i="1"/>
  <c r="K2751" i="1"/>
  <c r="C2751" i="1"/>
  <c r="B2751" i="1"/>
  <c r="K2750" i="1"/>
  <c r="C2750" i="1"/>
  <c r="B2750" i="1"/>
  <c r="K2749" i="1"/>
  <c r="C2749" i="1"/>
  <c r="B2749" i="1"/>
  <c r="K2748" i="1"/>
  <c r="C2748" i="1"/>
  <c r="B2748" i="1"/>
  <c r="K2747" i="1"/>
  <c r="C2747" i="1"/>
  <c r="B2747" i="1"/>
  <c r="K2746" i="1"/>
  <c r="C2746" i="1"/>
  <c r="B2746" i="1"/>
  <c r="K2745" i="1"/>
  <c r="C2745" i="1"/>
  <c r="B2745" i="1"/>
  <c r="K2744" i="1"/>
  <c r="C2744" i="1"/>
  <c r="B2744" i="1"/>
  <c r="K2743" i="1"/>
  <c r="C2743" i="1"/>
  <c r="B2743" i="1"/>
  <c r="K2742" i="1"/>
  <c r="C2742" i="1"/>
  <c r="B2742" i="1"/>
  <c r="K2741" i="1"/>
  <c r="C2741" i="1"/>
  <c r="B2741" i="1"/>
  <c r="K2740" i="1"/>
  <c r="C2740" i="1"/>
  <c r="B2740" i="1"/>
  <c r="K2739" i="1"/>
  <c r="C2739" i="1"/>
  <c r="B2739" i="1"/>
  <c r="K2738" i="1"/>
  <c r="C2738" i="1"/>
  <c r="B2738" i="1"/>
  <c r="K2737" i="1"/>
  <c r="C2737" i="1"/>
  <c r="B2737" i="1"/>
  <c r="K2736" i="1"/>
  <c r="C2736" i="1"/>
  <c r="B2736" i="1"/>
  <c r="K2735" i="1"/>
  <c r="C2735" i="1"/>
  <c r="B2735" i="1"/>
  <c r="K2734" i="1"/>
  <c r="C2734" i="1"/>
  <c r="B2734" i="1"/>
  <c r="K2733" i="1"/>
  <c r="C2733" i="1"/>
  <c r="B2733" i="1"/>
  <c r="K2732" i="1"/>
  <c r="C2732" i="1"/>
  <c r="B2732" i="1"/>
  <c r="K2731" i="1"/>
  <c r="C2731" i="1"/>
  <c r="B2731" i="1"/>
  <c r="K2730" i="1"/>
  <c r="C2730" i="1"/>
  <c r="B2730" i="1"/>
  <c r="K2729" i="1"/>
  <c r="C2729" i="1"/>
  <c r="B2729" i="1"/>
  <c r="K2728" i="1"/>
  <c r="C2728" i="1"/>
  <c r="B2728" i="1"/>
  <c r="K2727" i="1"/>
  <c r="C2727" i="1"/>
  <c r="B2727" i="1"/>
  <c r="K2726" i="1"/>
  <c r="C2726" i="1"/>
  <c r="B2726" i="1"/>
  <c r="K2725" i="1"/>
  <c r="C2725" i="1"/>
  <c r="B2725" i="1"/>
  <c r="K2724" i="1"/>
  <c r="C2724" i="1"/>
  <c r="B2724" i="1"/>
  <c r="K2723" i="1"/>
  <c r="C2723" i="1"/>
  <c r="B2723" i="1"/>
  <c r="K2722" i="1"/>
  <c r="C2722" i="1"/>
  <c r="B2722" i="1"/>
  <c r="K2721" i="1"/>
  <c r="C2721" i="1"/>
  <c r="B2721" i="1"/>
  <c r="K2720" i="1"/>
  <c r="C2720" i="1"/>
  <c r="B2720" i="1"/>
  <c r="K2719" i="1"/>
  <c r="C2719" i="1"/>
  <c r="B2719" i="1"/>
  <c r="K2718" i="1"/>
  <c r="C2718" i="1"/>
  <c r="B2718" i="1"/>
  <c r="K2717" i="1"/>
  <c r="C2717" i="1"/>
  <c r="B2717" i="1"/>
  <c r="K2716" i="1"/>
  <c r="C2716" i="1"/>
  <c r="B2716" i="1"/>
  <c r="K2715" i="1"/>
  <c r="C2715" i="1"/>
  <c r="B2715" i="1"/>
  <c r="K2714" i="1"/>
  <c r="C2714" i="1"/>
  <c r="B2714" i="1"/>
  <c r="K2713" i="1"/>
  <c r="C2713" i="1"/>
  <c r="B2713" i="1"/>
  <c r="K2712" i="1"/>
  <c r="C2712" i="1"/>
  <c r="B2712" i="1"/>
  <c r="K2711" i="1"/>
  <c r="C2711" i="1"/>
  <c r="B2711" i="1"/>
  <c r="K2710" i="1"/>
  <c r="C2710" i="1"/>
  <c r="B2710" i="1"/>
  <c r="K2709" i="1"/>
  <c r="C2709" i="1"/>
  <c r="B2709" i="1"/>
  <c r="K2708" i="1"/>
  <c r="C2708" i="1"/>
  <c r="B2708" i="1"/>
  <c r="K2707" i="1"/>
  <c r="C2707" i="1"/>
  <c r="B2707" i="1"/>
  <c r="K2706" i="1"/>
  <c r="C2706" i="1"/>
  <c r="B2706" i="1"/>
  <c r="K2705" i="1"/>
  <c r="C2705" i="1"/>
  <c r="B2705" i="1"/>
  <c r="K2704" i="1"/>
  <c r="C2704" i="1"/>
  <c r="B2704" i="1"/>
  <c r="K2703" i="1"/>
  <c r="C2703" i="1"/>
  <c r="B2703" i="1"/>
  <c r="K2702" i="1"/>
  <c r="C2702" i="1"/>
  <c r="B2702" i="1"/>
  <c r="K2701" i="1"/>
  <c r="C2701" i="1"/>
  <c r="B2701" i="1"/>
  <c r="K2700" i="1"/>
  <c r="C2700" i="1"/>
  <c r="B2700" i="1"/>
  <c r="K2699" i="1"/>
  <c r="C2699" i="1"/>
  <c r="B2699" i="1"/>
  <c r="K2698" i="1"/>
  <c r="C2698" i="1"/>
  <c r="B2698" i="1"/>
  <c r="K2697" i="1"/>
  <c r="C2697" i="1"/>
  <c r="B2697" i="1"/>
  <c r="K2696" i="1"/>
  <c r="C2696" i="1"/>
  <c r="B2696" i="1"/>
  <c r="K2695" i="1"/>
  <c r="C2695" i="1"/>
  <c r="B2695" i="1"/>
  <c r="K2694" i="1"/>
  <c r="C2694" i="1"/>
  <c r="B2694" i="1"/>
  <c r="K2693" i="1"/>
  <c r="C2693" i="1"/>
  <c r="B2693" i="1"/>
  <c r="K2692" i="1"/>
  <c r="C2692" i="1"/>
  <c r="B2692" i="1"/>
  <c r="K2691" i="1"/>
  <c r="C2691" i="1"/>
  <c r="B2691" i="1"/>
  <c r="K2690" i="1"/>
  <c r="C2690" i="1"/>
  <c r="B2690" i="1"/>
  <c r="K2689" i="1"/>
  <c r="C2689" i="1"/>
  <c r="B2689" i="1"/>
  <c r="K2688" i="1"/>
  <c r="C2688" i="1"/>
  <c r="B2688" i="1"/>
  <c r="K2687" i="1"/>
  <c r="C2687" i="1"/>
  <c r="B2687" i="1"/>
  <c r="K2686" i="1"/>
  <c r="C2686" i="1"/>
  <c r="B2686" i="1"/>
  <c r="K2685" i="1"/>
  <c r="C2685" i="1"/>
  <c r="B2685" i="1"/>
  <c r="K2684" i="1"/>
  <c r="C2684" i="1"/>
  <c r="B2684" i="1"/>
  <c r="K2683" i="1"/>
  <c r="C2683" i="1"/>
  <c r="B2683" i="1"/>
  <c r="K2682" i="1"/>
  <c r="C2682" i="1"/>
  <c r="B2682" i="1"/>
  <c r="K2681" i="1"/>
  <c r="C2681" i="1"/>
  <c r="B2681" i="1"/>
  <c r="K2680" i="1"/>
  <c r="C2680" i="1"/>
  <c r="B2680" i="1"/>
  <c r="K2679" i="1"/>
  <c r="C2679" i="1"/>
  <c r="B2679" i="1"/>
  <c r="K2678" i="1"/>
  <c r="C2678" i="1"/>
  <c r="B2678" i="1"/>
  <c r="K2677" i="1"/>
  <c r="C2677" i="1"/>
  <c r="B2677" i="1"/>
  <c r="K2676" i="1"/>
  <c r="C2676" i="1"/>
  <c r="B2676" i="1"/>
  <c r="K2675" i="1"/>
  <c r="C2675" i="1"/>
  <c r="B2675" i="1"/>
  <c r="K2674" i="1"/>
  <c r="C2674" i="1"/>
  <c r="B2674" i="1"/>
  <c r="K2673" i="1"/>
  <c r="C2673" i="1"/>
  <c r="B2673" i="1"/>
  <c r="K2672" i="1"/>
  <c r="C2672" i="1"/>
  <c r="B2672" i="1"/>
  <c r="K2671" i="1"/>
  <c r="C2671" i="1"/>
  <c r="B2671" i="1"/>
  <c r="K2670" i="1"/>
  <c r="C2670" i="1"/>
  <c r="B2670" i="1"/>
  <c r="K2669" i="1"/>
  <c r="C2669" i="1"/>
  <c r="B2669" i="1"/>
  <c r="K2668" i="1"/>
  <c r="C2668" i="1"/>
  <c r="B2668" i="1"/>
  <c r="K2667" i="1"/>
  <c r="C2667" i="1"/>
  <c r="B2667" i="1"/>
  <c r="K2666" i="1"/>
  <c r="C2666" i="1"/>
  <c r="B2666" i="1"/>
  <c r="K2665" i="1"/>
  <c r="C2665" i="1"/>
  <c r="B2665" i="1"/>
  <c r="K2664" i="1"/>
  <c r="C2664" i="1"/>
  <c r="B2664" i="1"/>
  <c r="K2663" i="1"/>
  <c r="C2663" i="1"/>
  <c r="B2663" i="1"/>
  <c r="K2662" i="1"/>
  <c r="C2662" i="1"/>
  <c r="B2662" i="1"/>
  <c r="K2661" i="1"/>
  <c r="C2661" i="1"/>
  <c r="B2661" i="1"/>
  <c r="K2660" i="1"/>
  <c r="C2660" i="1"/>
  <c r="B2660" i="1"/>
  <c r="K2659" i="1"/>
  <c r="C2659" i="1"/>
  <c r="B2659" i="1"/>
  <c r="K2658" i="1"/>
  <c r="C2658" i="1"/>
  <c r="B2658" i="1"/>
  <c r="K2657" i="1"/>
  <c r="C2657" i="1"/>
  <c r="B2657" i="1"/>
  <c r="K2656" i="1"/>
  <c r="C2656" i="1"/>
  <c r="B2656" i="1"/>
  <c r="K2655" i="1"/>
  <c r="C2655" i="1"/>
  <c r="B2655" i="1"/>
  <c r="K2654" i="1"/>
  <c r="C2654" i="1"/>
  <c r="B2654" i="1"/>
  <c r="K2653" i="1"/>
  <c r="C2653" i="1"/>
  <c r="B2653" i="1"/>
  <c r="K2652" i="1"/>
  <c r="C2652" i="1"/>
  <c r="B2652" i="1"/>
  <c r="K2651" i="1"/>
  <c r="C2651" i="1"/>
  <c r="B2651" i="1"/>
  <c r="K2650" i="1"/>
  <c r="C2650" i="1"/>
  <c r="B2650" i="1"/>
  <c r="K2649" i="1"/>
  <c r="C2649" i="1"/>
  <c r="B2649" i="1"/>
  <c r="K2648" i="1"/>
  <c r="C2648" i="1"/>
  <c r="B2648" i="1"/>
  <c r="K2647" i="1"/>
  <c r="C2647" i="1"/>
  <c r="B2647" i="1"/>
  <c r="K2646" i="1"/>
  <c r="C2646" i="1"/>
  <c r="B2646" i="1"/>
  <c r="K2645" i="1"/>
  <c r="C2645" i="1"/>
  <c r="B2645" i="1"/>
  <c r="K2644" i="1"/>
  <c r="C2644" i="1"/>
  <c r="B2644" i="1"/>
  <c r="K2643" i="1"/>
  <c r="C2643" i="1"/>
  <c r="B2643" i="1"/>
  <c r="K2642" i="1"/>
  <c r="C2642" i="1"/>
  <c r="B2642" i="1"/>
  <c r="K2641" i="1"/>
  <c r="C2641" i="1"/>
  <c r="B2641" i="1"/>
  <c r="K2640" i="1"/>
  <c r="C2640" i="1"/>
  <c r="B2640" i="1"/>
  <c r="K2639" i="1"/>
  <c r="C2639" i="1"/>
  <c r="B2639" i="1"/>
  <c r="K2638" i="1"/>
  <c r="C2638" i="1"/>
  <c r="B2638" i="1"/>
  <c r="K2637" i="1"/>
  <c r="C2637" i="1"/>
  <c r="B2637" i="1"/>
  <c r="K2636" i="1"/>
  <c r="C2636" i="1"/>
  <c r="B2636" i="1"/>
  <c r="K2635" i="1"/>
  <c r="C2635" i="1"/>
  <c r="B2635" i="1"/>
  <c r="K2634" i="1"/>
  <c r="C2634" i="1"/>
  <c r="B2634" i="1"/>
  <c r="K2633" i="1"/>
  <c r="C2633" i="1"/>
  <c r="B2633" i="1"/>
  <c r="K2632" i="1"/>
  <c r="C2632" i="1"/>
  <c r="B2632" i="1"/>
  <c r="K2631" i="1"/>
  <c r="C2631" i="1"/>
  <c r="B2631" i="1"/>
  <c r="K2630" i="1"/>
  <c r="C2630" i="1"/>
  <c r="B2630" i="1"/>
  <c r="K2629" i="1"/>
  <c r="C2629" i="1"/>
  <c r="B2629" i="1"/>
  <c r="K2628" i="1"/>
  <c r="C2628" i="1"/>
  <c r="B2628" i="1"/>
  <c r="K2627" i="1"/>
  <c r="C2627" i="1"/>
  <c r="B2627" i="1"/>
  <c r="K2626" i="1"/>
  <c r="C2626" i="1"/>
  <c r="B2626" i="1"/>
  <c r="K2625" i="1"/>
  <c r="C2625" i="1"/>
  <c r="B2625" i="1"/>
  <c r="K2624" i="1"/>
  <c r="C2624" i="1"/>
  <c r="B2624" i="1"/>
  <c r="K2623" i="1"/>
  <c r="C2623" i="1"/>
  <c r="B2623" i="1"/>
  <c r="K2622" i="1"/>
  <c r="C2622" i="1"/>
  <c r="B2622" i="1"/>
  <c r="K2621" i="1"/>
  <c r="C2621" i="1"/>
  <c r="B2621" i="1"/>
  <c r="K2620" i="1"/>
  <c r="C2620" i="1"/>
  <c r="B2620" i="1"/>
  <c r="K2619" i="1"/>
  <c r="C2619" i="1"/>
  <c r="B2619" i="1"/>
  <c r="K2618" i="1"/>
  <c r="C2618" i="1"/>
  <c r="B2618" i="1"/>
  <c r="K2617" i="1"/>
  <c r="C2617" i="1"/>
  <c r="B2617" i="1"/>
  <c r="K2616" i="1"/>
  <c r="C2616" i="1"/>
  <c r="B2616" i="1"/>
  <c r="K2615" i="1"/>
  <c r="C2615" i="1"/>
  <c r="B2615" i="1"/>
  <c r="K2614" i="1"/>
  <c r="C2614" i="1"/>
  <c r="B2614" i="1"/>
  <c r="K2613" i="1"/>
  <c r="C2613" i="1"/>
  <c r="B2613" i="1"/>
  <c r="K2612" i="1"/>
  <c r="C2612" i="1"/>
  <c r="B2612" i="1"/>
  <c r="K2611" i="1"/>
  <c r="C2611" i="1"/>
  <c r="B2611" i="1"/>
  <c r="K2610" i="1"/>
  <c r="C2610" i="1"/>
  <c r="B2610" i="1"/>
  <c r="K2609" i="1"/>
  <c r="C2609" i="1"/>
  <c r="B2609" i="1"/>
  <c r="K2608" i="1"/>
  <c r="C2608" i="1"/>
  <c r="B2608" i="1"/>
  <c r="K2607" i="1"/>
  <c r="C2607" i="1"/>
  <c r="B2607" i="1"/>
  <c r="K2606" i="1"/>
  <c r="C2606" i="1"/>
  <c r="B2606" i="1"/>
  <c r="K2605" i="1"/>
  <c r="C2605" i="1"/>
  <c r="B2605" i="1"/>
  <c r="K2604" i="1"/>
  <c r="C2604" i="1"/>
  <c r="B2604" i="1"/>
  <c r="K2603" i="1"/>
  <c r="C2603" i="1"/>
  <c r="B2603" i="1"/>
  <c r="K2602" i="1"/>
  <c r="C2602" i="1"/>
  <c r="B2602" i="1"/>
  <c r="K2601" i="1"/>
  <c r="C2601" i="1"/>
  <c r="B2601" i="1"/>
  <c r="K2600" i="1"/>
  <c r="C2600" i="1"/>
  <c r="B2600" i="1"/>
  <c r="K2599" i="1"/>
  <c r="C2599" i="1"/>
  <c r="B2599" i="1"/>
  <c r="K2598" i="1"/>
  <c r="C2598" i="1"/>
  <c r="B2598" i="1"/>
  <c r="K2597" i="1"/>
  <c r="C2597" i="1"/>
  <c r="B2597" i="1"/>
  <c r="K2596" i="1"/>
  <c r="C2596" i="1"/>
  <c r="B2596" i="1"/>
  <c r="K2595" i="1"/>
  <c r="C2595" i="1"/>
  <c r="B2595" i="1"/>
  <c r="K2594" i="1"/>
  <c r="C2594" i="1"/>
  <c r="B2594" i="1"/>
  <c r="K2593" i="1"/>
  <c r="C2593" i="1"/>
  <c r="B2593" i="1"/>
  <c r="K2592" i="1"/>
  <c r="C2592" i="1"/>
  <c r="B2592" i="1"/>
  <c r="K2591" i="1"/>
  <c r="C2591" i="1"/>
  <c r="B2591" i="1"/>
  <c r="K2590" i="1"/>
  <c r="C2590" i="1"/>
  <c r="B2590" i="1"/>
  <c r="K2589" i="1"/>
  <c r="C2589" i="1"/>
  <c r="B2589" i="1"/>
  <c r="K2588" i="1"/>
  <c r="C2588" i="1"/>
  <c r="B2588" i="1"/>
  <c r="K2587" i="1"/>
  <c r="C2587" i="1"/>
  <c r="B2587" i="1"/>
  <c r="K2586" i="1"/>
  <c r="C2586" i="1"/>
  <c r="B2586" i="1"/>
  <c r="K2585" i="1"/>
  <c r="C2585" i="1"/>
  <c r="B2585" i="1"/>
  <c r="K2584" i="1"/>
  <c r="C2584" i="1"/>
  <c r="B2584" i="1"/>
  <c r="K2583" i="1"/>
  <c r="C2583" i="1"/>
  <c r="B2583" i="1"/>
  <c r="K2582" i="1"/>
  <c r="C2582" i="1"/>
  <c r="B2582" i="1"/>
  <c r="K2581" i="1"/>
  <c r="C2581" i="1"/>
  <c r="B2581" i="1"/>
  <c r="K2580" i="1"/>
  <c r="C2580" i="1"/>
  <c r="B2580" i="1"/>
  <c r="K2579" i="1"/>
  <c r="C2579" i="1"/>
  <c r="B2579" i="1"/>
  <c r="K2578" i="1"/>
  <c r="C2578" i="1"/>
  <c r="B2578" i="1"/>
  <c r="K2577" i="1"/>
  <c r="C2577" i="1"/>
  <c r="B2577" i="1"/>
  <c r="K2576" i="1"/>
  <c r="C2576" i="1"/>
  <c r="B2576" i="1"/>
  <c r="K2575" i="1"/>
  <c r="C2575" i="1"/>
  <c r="B2575" i="1"/>
  <c r="K2574" i="1"/>
  <c r="C2574" i="1"/>
  <c r="B2574" i="1"/>
  <c r="K2573" i="1"/>
  <c r="C2573" i="1"/>
  <c r="B2573" i="1"/>
  <c r="K2572" i="1"/>
  <c r="C2572" i="1"/>
  <c r="B2572" i="1"/>
  <c r="K2571" i="1"/>
  <c r="C2571" i="1"/>
  <c r="B2571" i="1"/>
  <c r="K2570" i="1"/>
  <c r="C2570" i="1"/>
  <c r="B2570" i="1"/>
  <c r="K2569" i="1"/>
  <c r="C2569" i="1"/>
  <c r="B2569" i="1"/>
  <c r="K2568" i="1"/>
  <c r="C2568" i="1"/>
  <c r="B2568" i="1"/>
  <c r="K2567" i="1"/>
  <c r="C2567" i="1"/>
  <c r="B2567" i="1"/>
  <c r="K2566" i="1"/>
  <c r="C2566" i="1"/>
  <c r="B2566" i="1"/>
  <c r="K2565" i="1"/>
  <c r="C2565" i="1"/>
  <c r="B2565" i="1"/>
  <c r="K2564" i="1"/>
  <c r="C2564" i="1"/>
  <c r="B2564" i="1"/>
  <c r="K2563" i="1"/>
  <c r="C2563" i="1"/>
  <c r="B2563" i="1"/>
  <c r="K2562" i="1"/>
  <c r="C2562" i="1"/>
  <c r="B2562" i="1"/>
  <c r="K2561" i="1"/>
  <c r="C2561" i="1"/>
  <c r="B2561" i="1"/>
  <c r="K2560" i="1"/>
  <c r="C2560" i="1"/>
  <c r="B2560" i="1"/>
  <c r="K2559" i="1"/>
  <c r="C2559" i="1"/>
  <c r="B2559" i="1"/>
  <c r="K2558" i="1"/>
  <c r="C2558" i="1"/>
  <c r="B2558" i="1"/>
  <c r="K2557" i="1"/>
  <c r="C2557" i="1"/>
  <c r="B2557" i="1"/>
  <c r="K2556" i="1"/>
  <c r="C2556" i="1"/>
  <c r="B2556" i="1"/>
  <c r="K2555" i="1"/>
  <c r="C2555" i="1"/>
  <c r="B2555" i="1"/>
  <c r="K2554" i="1"/>
  <c r="C2554" i="1"/>
  <c r="B2554" i="1"/>
  <c r="K2553" i="1"/>
  <c r="C2553" i="1"/>
  <c r="B2553" i="1"/>
  <c r="K2552" i="1"/>
  <c r="C2552" i="1"/>
  <c r="B2552" i="1"/>
  <c r="K2551" i="1"/>
  <c r="C2551" i="1"/>
  <c r="B2551" i="1"/>
  <c r="K2550" i="1"/>
  <c r="C2550" i="1"/>
  <c r="B2550" i="1"/>
  <c r="K2549" i="1"/>
  <c r="C2549" i="1"/>
  <c r="B2549" i="1"/>
  <c r="K2548" i="1"/>
  <c r="C2548" i="1"/>
  <c r="B2548" i="1"/>
  <c r="K2547" i="1"/>
  <c r="C2547" i="1"/>
  <c r="B2547" i="1"/>
  <c r="K2546" i="1"/>
  <c r="C2546" i="1"/>
  <c r="B2546" i="1"/>
  <c r="K2545" i="1"/>
  <c r="C2545" i="1"/>
  <c r="B2545" i="1"/>
  <c r="K2544" i="1"/>
  <c r="C2544" i="1"/>
  <c r="B2544" i="1"/>
  <c r="K2543" i="1"/>
  <c r="C2543" i="1"/>
  <c r="B2543" i="1"/>
  <c r="K2542" i="1"/>
  <c r="C2542" i="1"/>
  <c r="B2542" i="1"/>
  <c r="K2541" i="1"/>
  <c r="C2541" i="1"/>
  <c r="B2541" i="1"/>
  <c r="K2540" i="1"/>
  <c r="C2540" i="1"/>
  <c r="B2540" i="1"/>
  <c r="K2539" i="1"/>
  <c r="C2539" i="1"/>
  <c r="B2539" i="1"/>
  <c r="K2538" i="1"/>
  <c r="C2538" i="1"/>
  <c r="B2538" i="1"/>
  <c r="K2537" i="1"/>
  <c r="C2537" i="1"/>
  <c r="B2537" i="1"/>
  <c r="K2536" i="1"/>
  <c r="C2536" i="1"/>
  <c r="B2536" i="1"/>
  <c r="K2535" i="1"/>
  <c r="C2535" i="1"/>
  <c r="B2535" i="1"/>
  <c r="K2534" i="1"/>
  <c r="C2534" i="1"/>
  <c r="B2534" i="1"/>
  <c r="K2533" i="1"/>
  <c r="C2533" i="1"/>
  <c r="B2533" i="1"/>
  <c r="K2532" i="1"/>
  <c r="C2532" i="1"/>
  <c r="B2532" i="1"/>
  <c r="K2531" i="1"/>
  <c r="C2531" i="1"/>
  <c r="B2531" i="1"/>
  <c r="K2530" i="1"/>
  <c r="C2530" i="1"/>
  <c r="B2530" i="1"/>
  <c r="K2529" i="1"/>
  <c r="C2529" i="1"/>
  <c r="B2529" i="1"/>
  <c r="K2528" i="1"/>
  <c r="C2528" i="1"/>
  <c r="B2528" i="1"/>
  <c r="K2527" i="1"/>
  <c r="C2527" i="1"/>
  <c r="B2527" i="1"/>
  <c r="K2526" i="1"/>
  <c r="C2526" i="1"/>
  <c r="B2526" i="1"/>
  <c r="K2525" i="1"/>
  <c r="C2525" i="1"/>
  <c r="B2525" i="1"/>
  <c r="K2524" i="1"/>
  <c r="C2524" i="1"/>
  <c r="B2524" i="1"/>
  <c r="K2523" i="1"/>
  <c r="C2523" i="1"/>
  <c r="B2523" i="1"/>
  <c r="K2522" i="1"/>
  <c r="C2522" i="1"/>
  <c r="B2522" i="1"/>
  <c r="K2521" i="1"/>
  <c r="C2521" i="1"/>
  <c r="B2521" i="1"/>
  <c r="K2520" i="1"/>
  <c r="C2520" i="1"/>
  <c r="B2520" i="1"/>
  <c r="K2519" i="1"/>
  <c r="C2519" i="1"/>
  <c r="B2519" i="1"/>
  <c r="K2518" i="1"/>
  <c r="C2518" i="1"/>
  <c r="B2518" i="1"/>
  <c r="K2517" i="1"/>
  <c r="C2517" i="1"/>
  <c r="B2517" i="1"/>
  <c r="K2516" i="1"/>
  <c r="C2516" i="1"/>
  <c r="B2516" i="1"/>
  <c r="K2515" i="1"/>
  <c r="C2515" i="1"/>
  <c r="B2515" i="1"/>
  <c r="K2514" i="1"/>
  <c r="C2514" i="1"/>
  <c r="B2514" i="1"/>
  <c r="K2513" i="1"/>
  <c r="C2513" i="1"/>
  <c r="B2513" i="1"/>
  <c r="K2512" i="1"/>
  <c r="C2512" i="1"/>
  <c r="B2512" i="1"/>
  <c r="K2511" i="1"/>
  <c r="C2511" i="1"/>
  <c r="B2511" i="1"/>
  <c r="K2510" i="1"/>
  <c r="C2510" i="1"/>
  <c r="B2510" i="1"/>
  <c r="K2509" i="1"/>
  <c r="C2509" i="1"/>
  <c r="B2509" i="1"/>
  <c r="K2508" i="1"/>
  <c r="C2508" i="1"/>
  <c r="B2508" i="1"/>
  <c r="K2507" i="1"/>
  <c r="C2507" i="1"/>
  <c r="B2507" i="1"/>
  <c r="K2506" i="1"/>
  <c r="C2506" i="1"/>
  <c r="B2506" i="1"/>
  <c r="K2505" i="1"/>
  <c r="C2505" i="1"/>
  <c r="B2505" i="1"/>
  <c r="K2504" i="1"/>
  <c r="C2504" i="1"/>
  <c r="B2504" i="1"/>
  <c r="K2503" i="1"/>
  <c r="C2503" i="1"/>
  <c r="B2503" i="1"/>
  <c r="K2502" i="1"/>
  <c r="C2502" i="1"/>
  <c r="B2502" i="1"/>
  <c r="K2501" i="1"/>
  <c r="C2501" i="1"/>
  <c r="B2501" i="1"/>
  <c r="K2500" i="1"/>
  <c r="C2500" i="1"/>
  <c r="B2500" i="1"/>
  <c r="K2499" i="1"/>
  <c r="C2499" i="1"/>
  <c r="B2499" i="1"/>
  <c r="K2498" i="1"/>
  <c r="C2498" i="1"/>
  <c r="B2498" i="1"/>
  <c r="K2497" i="1"/>
  <c r="C2497" i="1"/>
  <c r="B2497" i="1"/>
  <c r="K2496" i="1"/>
  <c r="C2496" i="1"/>
  <c r="B2496" i="1"/>
  <c r="K2495" i="1"/>
  <c r="C2495" i="1"/>
  <c r="B2495" i="1"/>
  <c r="K2494" i="1"/>
  <c r="C2494" i="1"/>
  <c r="B2494" i="1"/>
  <c r="K2493" i="1"/>
  <c r="C2493" i="1"/>
  <c r="B2493" i="1"/>
  <c r="K2492" i="1"/>
  <c r="C2492" i="1"/>
  <c r="B2492" i="1"/>
  <c r="K2491" i="1"/>
  <c r="C2491" i="1"/>
  <c r="B2491" i="1"/>
  <c r="K2490" i="1"/>
  <c r="C2490" i="1"/>
  <c r="B2490" i="1"/>
  <c r="K2489" i="1"/>
  <c r="C2489" i="1"/>
  <c r="B2489" i="1"/>
  <c r="K2488" i="1"/>
  <c r="C2488" i="1"/>
  <c r="B2488" i="1"/>
  <c r="K2487" i="1"/>
  <c r="C2487" i="1"/>
  <c r="B2487" i="1"/>
  <c r="K2486" i="1"/>
  <c r="C2486" i="1"/>
  <c r="B2486" i="1"/>
  <c r="K2485" i="1"/>
  <c r="C2485" i="1"/>
  <c r="B2485" i="1"/>
  <c r="K2484" i="1"/>
  <c r="C2484" i="1"/>
  <c r="B2484" i="1"/>
  <c r="K2483" i="1"/>
  <c r="C2483" i="1"/>
  <c r="B2483" i="1"/>
  <c r="K2482" i="1"/>
  <c r="C2482" i="1"/>
  <c r="B2482" i="1"/>
  <c r="K2481" i="1"/>
  <c r="C2481" i="1"/>
  <c r="B2481" i="1"/>
  <c r="K2480" i="1"/>
  <c r="C2480" i="1"/>
  <c r="B2480" i="1"/>
  <c r="K2479" i="1"/>
  <c r="C2479" i="1"/>
  <c r="B2479" i="1"/>
  <c r="K2478" i="1"/>
  <c r="C2478" i="1"/>
  <c r="B2478" i="1"/>
  <c r="K2477" i="1"/>
  <c r="C2477" i="1"/>
  <c r="B2477" i="1"/>
  <c r="K2476" i="1"/>
  <c r="C2476" i="1"/>
  <c r="B2476" i="1"/>
  <c r="K2475" i="1"/>
  <c r="C2475" i="1"/>
  <c r="B2475" i="1"/>
  <c r="K2474" i="1"/>
  <c r="C2474" i="1"/>
  <c r="B2474" i="1"/>
  <c r="K2473" i="1"/>
  <c r="C2473" i="1"/>
  <c r="B2473" i="1"/>
  <c r="K2472" i="1"/>
  <c r="C2472" i="1"/>
  <c r="B2472" i="1"/>
  <c r="K2471" i="1"/>
  <c r="C2471" i="1"/>
  <c r="B2471" i="1"/>
  <c r="K2470" i="1"/>
  <c r="C2470" i="1"/>
  <c r="B2470" i="1"/>
  <c r="K2469" i="1"/>
  <c r="C2469" i="1"/>
  <c r="B2469" i="1"/>
  <c r="K2468" i="1"/>
  <c r="C2468" i="1"/>
  <c r="B2468" i="1"/>
  <c r="K2467" i="1"/>
  <c r="C2467" i="1"/>
  <c r="B2467" i="1"/>
  <c r="K2466" i="1"/>
  <c r="C2466" i="1"/>
  <c r="B2466" i="1"/>
  <c r="K2465" i="1"/>
  <c r="C2465" i="1"/>
  <c r="B2465" i="1"/>
  <c r="K2464" i="1"/>
  <c r="C2464" i="1"/>
  <c r="B2464" i="1"/>
  <c r="K2463" i="1"/>
  <c r="C2463" i="1"/>
  <c r="B2463" i="1"/>
  <c r="K2462" i="1"/>
  <c r="C2462" i="1"/>
  <c r="B2462" i="1"/>
  <c r="K2461" i="1"/>
  <c r="C2461" i="1"/>
  <c r="B2461" i="1"/>
  <c r="K2460" i="1"/>
  <c r="C2460" i="1"/>
  <c r="B2460" i="1"/>
  <c r="K2459" i="1"/>
  <c r="C2459" i="1"/>
  <c r="B2459" i="1"/>
  <c r="K2458" i="1"/>
  <c r="C2458" i="1"/>
  <c r="B2458" i="1"/>
  <c r="K2457" i="1"/>
  <c r="C2457" i="1"/>
  <c r="B2457" i="1"/>
  <c r="K2456" i="1"/>
  <c r="C2456" i="1"/>
  <c r="B2456" i="1"/>
  <c r="K2455" i="1"/>
  <c r="C2455" i="1"/>
  <c r="B2455" i="1"/>
  <c r="K2454" i="1"/>
  <c r="C2454" i="1"/>
  <c r="B2454" i="1"/>
  <c r="K2453" i="1"/>
  <c r="C2453" i="1"/>
  <c r="B2453" i="1"/>
  <c r="K2452" i="1"/>
  <c r="C2452" i="1"/>
  <c r="B2452" i="1"/>
  <c r="K2451" i="1"/>
  <c r="C2451" i="1"/>
  <c r="B2451" i="1"/>
  <c r="K2450" i="1"/>
  <c r="C2450" i="1"/>
  <c r="B2450" i="1"/>
  <c r="K2449" i="1"/>
  <c r="C2449" i="1"/>
  <c r="B2449" i="1"/>
  <c r="K2448" i="1"/>
  <c r="C2448" i="1"/>
  <c r="B2448" i="1"/>
  <c r="K2447" i="1"/>
  <c r="C2447" i="1"/>
  <c r="B2447" i="1"/>
  <c r="K2446" i="1"/>
  <c r="C2446" i="1"/>
  <c r="B2446" i="1"/>
  <c r="K2445" i="1"/>
  <c r="C2445" i="1"/>
  <c r="B2445" i="1"/>
  <c r="K2444" i="1"/>
  <c r="C2444" i="1"/>
  <c r="B2444" i="1"/>
  <c r="K2443" i="1"/>
  <c r="C2443" i="1"/>
  <c r="B2443" i="1"/>
  <c r="K2442" i="1"/>
  <c r="C2442" i="1"/>
  <c r="B2442" i="1"/>
  <c r="K2441" i="1"/>
  <c r="C2441" i="1"/>
  <c r="B2441" i="1"/>
  <c r="K2440" i="1"/>
  <c r="C2440" i="1"/>
  <c r="B2440" i="1"/>
  <c r="K2439" i="1"/>
  <c r="C2439" i="1"/>
  <c r="B2439" i="1"/>
  <c r="K2438" i="1"/>
  <c r="C2438" i="1"/>
  <c r="B2438" i="1"/>
  <c r="K2437" i="1"/>
  <c r="C2437" i="1"/>
  <c r="B2437" i="1"/>
  <c r="K2436" i="1"/>
  <c r="C2436" i="1"/>
  <c r="B2436" i="1"/>
  <c r="K2435" i="1"/>
  <c r="C2435" i="1"/>
  <c r="B2435" i="1"/>
  <c r="K2434" i="1"/>
  <c r="C2434" i="1"/>
  <c r="B2434" i="1"/>
  <c r="K2433" i="1"/>
  <c r="C2433" i="1"/>
  <c r="B2433" i="1"/>
  <c r="K2432" i="1"/>
  <c r="C2432" i="1"/>
  <c r="B2432" i="1"/>
  <c r="K2431" i="1"/>
  <c r="C2431" i="1"/>
  <c r="B2431" i="1"/>
  <c r="K2430" i="1"/>
  <c r="C2430" i="1"/>
  <c r="B2430" i="1"/>
  <c r="K2429" i="1"/>
  <c r="C2429" i="1"/>
  <c r="B2429" i="1"/>
  <c r="K2428" i="1"/>
  <c r="C2428" i="1"/>
  <c r="B2428" i="1"/>
  <c r="K2427" i="1"/>
  <c r="C2427" i="1"/>
  <c r="B2427" i="1"/>
  <c r="K2426" i="1"/>
  <c r="C2426" i="1"/>
  <c r="B2426" i="1"/>
  <c r="K2425" i="1"/>
  <c r="C2425" i="1"/>
  <c r="B2425" i="1"/>
  <c r="K2424" i="1"/>
  <c r="C2424" i="1"/>
  <c r="B2424" i="1"/>
  <c r="K2423" i="1"/>
  <c r="C2423" i="1"/>
  <c r="B2423" i="1"/>
  <c r="K2422" i="1"/>
  <c r="C2422" i="1"/>
  <c r="B2422" i="1"/>
  <c r="K2421" i="1"/>
  <c r="C2421" i="1"/>
  <c r="B2421" i="1"/>
  <c r="K2420" i="1"/>
  <c r="C2420" i="1"/>
  <c r="B2420" i="1"/>
  <c r="K2419" i="1"/>
  <c r="C2419" i="1"/>
  <c r="B2419" i="1"/>
  <c r="K2418" i="1"/>
  <c r="C2418" i="1"/>
  <c r="B2418" i="1"/>
  <c r="K2417" i="1"/>
  <c r="C2417" i="1"/>
  <c r="B2417" i="1"/>
  <c r="K2416" i="1"/>
  <c r="C2416" i="1"/>
  <c r="B2416" i="1"/>
  <c r="K2415" i="1"/>
  <c r="C2415" i="1"/>
  <c r="B2415" i="1"/>
  <c r="K2414" i="1"/>
  <c r="C2414" i="1"/>
  <c r="B2414" i="1"/>
  <c r="K2413" i="1"/>
  <c r="C2413" i="1"/>
  <c r="B2413" i="1"/>
  <c r="K2412" i="1"/>
  <c r="C2412" i="1"/>
  <c r="B2412" i="1"/>
  <c r="K2411" i="1"/>
  <c r="C2411" i="1"/>
  <c r="B2411" i="1"/>
  <c r="K2410" i="1"/>
  <c r="C2410" i="1"/>
  <c r="B2410" i="1"/>
  <c r="K2409" i="1"/>
  <c r="C2409" i="1"/>
  <c r="B2409" i="1"/>
  <c r="K2408" i="1"/>
  <c r="C2408" i="1"/>
  <c r="B2408" i="1"/>
  <c r="K2407" i="1"/>
  <c r="C2407" i="1"/>
  <c r="B2407" i="1"/>
  <c r="K2406" i="1"/>
  <c r="C2406" i="1"/>
  <c r="B2406" i="1"/>
  <c r="K2405" i="1"/>
  <c r="C2405" i="1"/>
  <c r="B2405" i="1"/>
  <c r="K2404" i="1"/>
  <c r="C2404" i="1"/>
  <c r="B2404" i="1"/>
  <c r="K2403" i="1"/>
  <c r="C2403" i="1"/>
  <c r="B2403" i="1"/>
  <c r="K2402" i="1"/>
  <c r="C2402" i="1"/>
  <c r="B2402" i="1"/>
  <c r="K2401" i="1"/>
  <c r="C2401" i="1"/>
  <c r="B2401" i="1"/>
  <c r="K2400" i="1"/>
  <c r="C2400" i="1"/>
  <c r="B2400" i="1"/>
  <c r="K2399" i="1"/>
  <c r="C2399" i="1"/>
  <c r="B2399" i="1"/>
  <c r="K2398" i="1"/>
  <c r="C2398" i="1"/>
  <c r="B2398" i="1"/>
  <c r="K2397" i="1"/>
  <c r="C2397" i="1"/>
  <c r="B2397" i="1"/>
  <c r="K2396" i="1"/>
  <c r="C2396" i="1"/>
  <c r="B2396" i="1"/>
  <c r="K2395" i="1"/>
  <c r="C2395" i="1"/>
  <c r="B2395" i="1"/>
  <c r="K2394" i="1"/>
  <c r="C2394" i="1"/>
  <c r="B2394" i="1"/>
  <c r="K2393" i="1"/>
  <c r="C2393" i="1"/>
  <c r="B2393" i="1"/>
  <c r="K2392" i="1"/>
  <c r="C2392" i="1"/>
  <c r="B2392" i="1"/>
  <c r="K2391" i="1"/>
  <c r="C2391" i="1"/>
  <c r="B2391" i="1"/>
  <c r="K2390" i="1"/>
  <c r="C2390" i="1"/>
  <c r="B2390" i="1"/>
  <c r="K2389" i="1"/>
  <c r="C2389" i="1"/>
  <c r="B2389" i="1"/>
  <c r="K2388" i="1"/>
  <c r="C2388" i="1"/>
  <c r="B2388" i="1"/>
  <c r="K2387" i="1"/>
  <c r="C2387" i="1"/>
  <c r="B2387" i="1"/>
  <c r="K2386" i="1"/>
  <c r="C2386" i="1"/>
  <c r="B2386" i="1"/>
  <c r="K2385" i="1"/>
  <c r="C2385" i="1"/>
  <c r="B2385" i="1"/>
  <c r="K2384" i="1"/>
  <c r="C2384" i="1"/>
  <c r="B2384" i="1"/>
  <c r="K2383" i="1"/>
  <c r="C2383" i="1"/>
  <c r="B2383" i="1"/>
  <c r="K2382" i="1"/>
  <c r="C2382" i="1"/>
  <c r="B2382" i="1"/>
  <c r="K2381" i="1"/>
  <c r="C2381" i="1"/>
  <c r="B2381" i="1"/>
  <c r="K2380" i="1"/>
  <c r="C2380" i="1"/>
  <c r="B2380" i="1"/>
  <c r="K2379" i="1"/>
  <c r="C2379" i="1"/>
  <c r="B2379" i="1"/>
  <c r="K2378" i="1"/>
  <c r="C2378" i="1"/>
  <c r="B2378" i="1"/>
  <c r="K2377" i="1"/>
  <c r="C2377" i="1"/>
  <c r="B2377" i="1"/>
  <c r="K2376" i="1"/>
  <c r="C2376" i="1"/>
  <c r="B2376" i="1"/>
  <c r="K2375" i="1"/>
  <c r="C2375" i="1"/>
  <c r="B2375" i="1"/>
  <c r="K2374" i="1"/>
  <c r="C2374" i="1"/>
  <c r="B2374" i="1"/>
  <c r="K2373" i="1"/>
  <c r="C2373" i="1"/>
  <c r="B2373" i="1"/>
  <c r="K2372" i="1"/>
  <c r="C2372" i="1"/>
  <c r="B2372" i="1"/>
  <c r="K2371" i="1"/>
  <c r="C2371" i="1"/>
  <c r="B2371" i="1"/>
  <c r="K2370" i="1"/>
  <c r="C2370" i="1"/>
  <c r="B2370" i="1"/>
  <c r="K2369" i="1"/>
  <c r="C2369" i="1"/>
  <c r="B2369" i="1"/>
  <c r="K2368" i="1"/>
  <c r="C2368" i="1"/>
  <c r="B2368" i="1"/>
  <c r="K2367" i="1"/>
  <c r="C2367" i="1"/>
  <c r="B2367" i="1"/>
  <c r="K2366" i="1"/>
  <c r="C2366" i="1"/>
  <c r="B2366" i="1"/>
  <c r="K2365" i="1"/>
  <c r="C2365" i="1"/>
  <c r="B2365" i="1"/>
  <c r="K2364" i="1"/>
  <c r="C2364" i="1"/>
  <c r="B2364" i="1"/>
  <c r="K2363" i="1"/>
  <c r="C2363" i="1"/>
  <c r="B2363" i="1"/>
  <c r="K2362" i="1"/>
  <c r="C2362" i="1"/>
  <c r="B2362" i="1"/>
  <c r="K2361" i="1"/>
  <c r="C2361" i="1"/>
  <c r="B2361" i="1"/>
  <c r="K2360" i="1"/>
  <c r="C2360" i="1"/>
  <c r="B2360" i="1"/>
  <c r="K2359" i="1"/>
  <c r="C2359" i="1"/>
  <c r="B2359" i="1"/>
  <c r="K2358" i="1"/>
  <c r="C2358" i="1"/>
  <c r="B2358" i="1"/>
  <c r="K2357" i="1"/>
  <c r="C2357" i="1"/>
  <c r="B2357" i="1"/>
  <c r="K2356" i="1"/>
  <c r="C2356" i="1"/>
  <c r="B2356" i="1"/>
  <c r="K2355" i="1"/>
  <c r="C2355" i="1"/>
  <c r="B2355" i="1"/>
  <c r="K2354" i="1"/>
  <c r="C2354" i="1"/>
  <c r="B2354" i="1"/>
  <c r="K2353" i="1"/>
  <c r="C2353" i="1"/>
  <c r="B2353" i="1"/>
  <c r="K2352" i="1"/>
  <c r="C2352" i="1"/>
  <c r="B2352" i="1"/>
  <c r="K2351" i="1"/>
  <c r="C2351" i="1"/>
  <c r="B2351" i="1"/>
  <c r="K2350" i="1"/>
  <c r="C2350" i="1"/>
  <c r="B2350" i="1"/>
  <c r="K2349" i="1"/>
  <c r="C2349" i="1"/>
  <c r="B2349" i="1"/>
  <c r="K2348" i="1"/>
  <c r="C2348" i="1"/>
  <c r="B2348" i="1"/>
  <c r="K2347" i="1"/>
  <c r="C2347" i="1"/>
  <c r="B2347" i="1"/>
  <c r="K2346" i="1"/>
  <c r="C2346" i="1"/>
  <c r="B2346" i="1"/>
  <c r="K2345" i="1"/>
  <c r="C2345" i="1"/>
  <c r="B2345" i="1"/>
  <c r="K2344" i="1"/>
  <c r="C2344" i="1"/>
  <c r="B2344" i="1"/>
  <c r="K2343" i="1"/>
  <c r="C2343" i="1"/>
  <c r="B2343" i="1"/>
  <c r="K2342" i="1"/>
  <c r="C2342" i="1"/>
  <c r="B2342" i="1"/>
  <c r="K2341" i="1"/>
  <c r="C2341" i="1"/>
  <c r="B2341" i="1"/>
  <c r="K2340" i="1"/>
  <c r="C2340" i="1"/>
  <c r="B2340" i="1"/>
  <c r="K2339" i="1"/>
  <c r="C2339" i="1"/>
  <c r="B2339" i="1"/>
  <c r="K2338" i="1"/>
  <c r="C2338" i="1"/>
  <c r="B2338" i="1"/>
  <c r="K2337" i="1"/>
  <c r="C2337" i="1"/>
  <c r="B2337" i="1"/>
  <c r="K2336" i="1"/>
  <c r="C2336" i="1"/>
  <c r="B2336" i="1"/>
  <c r="K2335" i="1"/>
  <c r="C2335" i="1"/>
  <c r="B2335" i="1"/>
  <c r="K2334" i="1"/>
  <c r="C2334" i="1"/>
  <c r="B2334" i="1"/>
  <c r="K2333" i="1"/>
  <c r="C2333" i="1"/>
  <c r="B2333" i="1"/>
  <c r="K2332" i="1"/>
  <c r="C2332" i="1"/>
  <c r="B2332" i="1"/>
  <c r="K2331" i="1"/>
  <c r="C2331" i="1"/>
  <c r="B2331" i="1"/>
  <c r="K2330" i="1"/>
  <c r="C2330" i="1"/>
  <c r="B2330" i="1"/>
  <c r="K2329" i="1"/>
  <c r="C2329" i="1"/>
  <c r="B2329" i="1"/>
  <c r="K2328" i="1"/>
  <c r="C2328" i="1"/>
  <c r="B2328" i="1"/>
  <c r="K2327" i="1"/>
  <c r="C2327" i="1"/>
  <c r="B2327" i="1"/>
  <c r="K2326" i="1"/>
  <c r="C2326" i="1"/>
  <c r="B2326" i="1"/>
  <c r="K2325" i="1"/>
  <c r="C2325" i="1"/>
  <c r="B2325" i="1"/>
  <c r="K2324" i="1"/>
  <c r="C2324" i="1"/>
  <c r="B2324" i="1"/>
  <c r="K2323" i="1"/>
  <c r="C2323" i="1"/>
  <c r="B2323" i="1"/>
  <c r="K2322" i="1"/>
  <c r="C2322" i="1"/>
  <c r="B2322" i="1"/>
  <c r="K2321" i="1"/>
  <c r="C2321" i="1"/>
  <c r="B2321" i="1"/>
  <c r="K2320" i="1"/>
  <c r="C2320" i="1"/>
  <c r="B2320" i="1"/>
  <c r="K2319" i="1"/>
  <c r="C2319" i="1"/>
  <c r="B2319" i="1"/>
  <c r="K2318" i="1"/>
  <c r="C2318" i="1"/>
  <c r="B2318" i="1"/>
  <c r="K2317" i="1"/>
  <c r="C2317" i="1"/>
  <c r="B2317" i="1"/>
  <c r="K2316" i="1"/>
  <c r="C2316" i="1"/>
  <c r="B2316" i="1"/>
  <c r="K2315" i="1"/>
  <c r="C2315" i="1"/>
  <c r="B2315" i="1"/>
  <c r="K2314" i="1"/>
  <c r="C2314" i="1"/>
  <c r="B2314" i="1"/>
  <c r="K2313" i="1"/>
  <c r="C2313" i="1"/>
  <c r="B2313" i="1"/>
  <c r="K2312" i="1"/>
  <c r="C2312" i="1"/>
  <c r="B2312" i="1"/>
  <c r="K2311" i="1"/>
  <c r="C2311" i="1"/>
  <c r="B2311" i="1"/>
  <c r="K2310" i="1"/>
  <c r="C2310" i="1"/>
  <c r="B2310" i="1"/>
  <c r="K2309" i="1"/>
  <c r="C2309" i="1"/>
  <c r="B2309" i="1"/>
  <c r="K2308" i="1"/>
  <c r="C2308" i="1"/>
  <c r="B2308" i="1"/>
  <c r="K2307" i="1"/>
  <c r="C2307" i="1"/>
  <c r="B2307" i="1"/>
  <c r="K2306" i="1"/>
  <c r="C2306" i="1"/>
  <c r="B2306" i="1"/>
  <c r="K2305" i="1"/>
  <c r="C2305" i="1"/>
  <c r="B2305" i="1"/>
  <c r="K2304" i="1"/>
  <c r="C2304" i="1"/>
  <c r="B2304" i="1"/>
  <c r="K2303" i="1"/>
  <c r="C2303" i="1"/>
  <c r="B2303" i="1"/>
  <c r="K2302" i="1"/>
  <c r="C2302" i="1"/>
  <c r="B2302" i="1"/>
  <c r="K2301" i="1"/>
  <c r="C2301" i="1"/>
  <c r="B2301" i="1"/>
  <c r="K2300" i="1"/>
  <c r="C2300" i="1"/>
  <c r="B2300" i="1"/>
  <c r="K2299" i="1"/>
  <c r="C2299" i="1"/>
  <c r="B2299" i="1"/>
  <c r="K2298" i="1"/>
  <c r="C2298" i="1"/>
  <c r="B2298" i="1"/>
  <c r="K2297" i="1"/>
  <c r="C2297" i="1"/>
  <c r="B2297" i="1"/>
  <c r="K2296" i="1"/>
  <c r="C2296" i="1"/>
  <c r="B2296" i="1"/>
  <c r="K2295" i="1"/>
  <c r="C2295" i="1"/>
  <c r="B2295" i="1"/>
  <c r="K2294" i="1"/>
  <c r="C2294" i="1"/>
  <c r="B2294" i="1"/>
  <c r="K2293" i="1"/>
  <c r="C2293" i="1"/>
  <c r="B2293" i="1"/>
  <c r="K2292" i="1"/>
  <c r="C2292" i="1"/>
  <c r="B2292" i="1"/>
  <c r="K2291" i="1"/>
  <c r="C2291" i="1"/>
  <c r="B2291" i="1"/>
  <c r="K2290" i="1"/>
  <c r="C2290" i="1"/>
  <c r="B2290" i="1"/>
  <c r="K2289" i="1"/>
  <c r="C2289" i="1"/>
  <c r="B2289" i="1"/>
  <c r="K2288" i="1"/>
  <c r="C2288" i="1"/>
  <c r="B2288" i="1"/>
  <c r="K2287" i="1"/>
  <c r="C2287" i="1"/>
  <c r="B2287" i="1"/>
  <c r="K2286" i="1"/>
  <c r="C2286" i="1"/>
  <c r="B2286" i="1"/>
  <c r="K2285" i="1"/>
  <c r="C2285" i="1"/>
  <c r="B2285" i="1"/>
  <c r="K2284" i="1"/>
  <c r="C2284" i="1"/>
  <c r="B2284" i="1"/>
  <c r="K2283" i="1"/>
  <c r="C2283" i="1"/>
  <c r="B2283" i="1"/>
  <c r="K2282" i="1"/>
  <c r="C2282" i="1"/>
  <c r="B2282" i="1"/>
  <c r="K2281" i="1"/>
  <c r="C2281" i="1"/>
  <c r="B2281" i="1"/>
  <c r="K2280" i="1"/>
  <c r="C2280" i="1"/>
  <c r="B2280" i="1"/>
  <c r="K2279" i="1"/>
  <c r="C2279" i="1"/>
  <c r="B2279" i="1"/>
  <c r="K2278" i="1"/>
  <c r="C2278" i="1"/>
  <c r="B2278" i="1"/>
  <c r="K2277" i="1"/>
  <c r="C2277" i="1"/>
  <c r="B2277" i="1"/>
  <c r="K2276" i="1"/>
  <c r="C2276" i="1"/>
  <c r="B2276" i="1"/>
  <c r="K2275" i="1"/>
  <c r="C2275" i="1"/>
  <c r="B2275" i="1"/>
  <c r="K2274" i="1"/>
  <c r="C2274" i="1"/>
  <c r="B2274" i="1"/>
  <c r="K2273" i="1"/>
  <c r="C2273" i="1"/>
  <c r="B2273" i="1"/>
  <c r="K2272" i="1"/>
  <c r="C2272" i="1"/>
  <c r="B2272" i="1"/>
  <c r="K2271" i="1"/>
  <c r="C2271" i="1"/>
  <c r="B2271" i="1"/>
  <c r="K2270" i="1"/>
  <c r="C2270" i="1"/>
  <c r="B2270" i="1"/>
  <c r="K2269" i="1"/>
  <c r="C2269" i="1"/>
  <c r="B2269" i="1"/>
  <c r="K2268" i="1"/>
  <c r="C2268" i="1"/>
  <c r="B2268" i="1"/>
  <c r="K2267" i="1"/>
  <c r="C2267" i="1"/>
  <c r="B2267" i="1"/>
  <c r="K2266" i="1"/>
  <c r="C2266" i="1"/>
  <c r="B2266" i="1"/>
  <c r="K2265" i="1"/>
  <c r="C2265" i="1"/>
  <c r="B2265" i="1"/>
  <c r="K2264" i="1"/>
  <c r="C2264" i="1"/>
  <c r="B2264" i="1"/>
  <c r="K2263" i="1"/>
  <c r="C2263" i="1"/>
  <c r="B2263" i="1"/>
  <c r="K2262" i="1"/>
  <c r="C2262" i="1"/>
  <c r="B2262" i="1"/>
  <c r="K2261" i="1"/>
  <c r="C2261" i="1"/>
  <c r="B2261" i="1"/>
  <c r="K2260" i="1"/>
  <c r="C2260" i="1"/>
  <c r="B2260" i="1"/>
  <c r="K2259" i="1"/>
  <c r="C2259" i="1"/>
  <c r="B2259" i="1"/>
  <c r="K2258" i="1"/>
  <c r="C2258" i="1"/>
  <c r="B2258" i="1"/>
  <c r="K2257" i="1"/>
  <c r="C2257" i="1"/>
  <c r="B2257" i="1"/>
  <c r="K2256" i="1"/>
  <c r="C2256" i="1"/>
  <c r="B2256" i="1"/>
  <c r="K2255" i="1"/>
  <c r="C2255" i="1"/>
  <c r="B2255" i="1"/>
  <c r="K2254" i="1"/>
  <c r="C2254" i="1"/>
  <c r="B2254" i="1"/>
  <c r="K2253" i="1"/>
  <c r="C2253" i="1"/>
  <c r="B2253" i="1"/>
  <c r="K2252" i="1"/>
  <c r="C2252" i="1"/>
  <c r="B2252" i="1"/>
  <c r="K2251" i="1"/>
  <c r="C2251" i="1"/>
  <c r="B2251" i="1"/>
  <c r="K2250" i="1"/>
  <c r="C2250" i="1"/>
  <c r="B2250" i="1"/>
  <c r="K2249" i="1"/>
  <c r="C2249" i="1"/>
  <c r="B2249" i="1"/>
  <c r="K2248" i="1"/>
  <c r="C2248" i="1"/>
  <c r="B2248" i="1"/>
  <c r="K2247" i="1"/>
  <c r="C2247" i="1"/>
  <c r="B2247" i="1"/>
  <c r="K2246" i="1"/>
  <c r="C2246" i="1"/>
  <c r="B2246" i="1"/>
  <c r="K2245" i="1"/>
  <c r="C2245" i="1"/>
  <c r="B2245" i="1"/>
  <c r="K2244" i="1"/>
  <c r="C2244" i="1"/>
  <c r="B2244" i="1"/>
  <c r="K2243" i="1"/>
  <c r="C2243" i="1"/>
  <c r="B2243" i="1"/>
  <c r="K2242" i="1"/>
  <c r="C2242" i="1"/>
  <c r="B2242" i="1"/>
  <c r="K2241" i="1"/>
  <c r="C2241" i="1"/>
  <c r="B2241" i="1"/>
  <c r="K2240" i="1"/>
  <c r="C2240" i="1"/>
  <c r="B2240" i="1"/>
  <c r="K2239" i="1"/>
  <c r="C2239" i="1"/>
  <c r="B2239" i="1"/>
  <c r="K2238" i="1"/>
  <c r="C2238" i="1"/>
  <c r="B2238" i="1"/>
  <c r="K2237" i="1"/>
  <c r="C2237" i="1"/>
  <c r="B2237" i="1"/>
  <c r="K2236" i="1"/>
  <c r="C2236" i="1"/>
  <c r="B2236" i="1"/>
  <c r="K2235" i="1"/>
  <c r="C2235" i="1"/>
  <c r="B2235" i="1"/>
  <c r="K2234" i="1"/>
  <c r="C2234" i="1"/>
  <c r="B2234" i="1"/>
  <c r="K2233" i="1"/>
  <c r="C2233" i="1"/>
  <c r="B2233" i="1"/>
  <c r="K2232" i="1"/>
  <c r="C2232" i="1"/>
  <c r="B2232" i="1"/>
  <c r="K2231" i="1"/>
  <c r="C2231" i="1"/>
  <c r="B2231" i="1"/>
  <c r="K2230" i="1"/>
  <c r="C2230" i="1"/>
  <c r="B2230" i="1"/>
  <c r="K2229" i="1"/>
  <c r="C2229" i="1"/>
  <c r="B2229" i="1"/>
  <c r="K2228" i="1"/>
  <c r="C2228" i="1"/>
  <c r="B2228" i="1"/>
  <c r="K2227" i="1"/>
  <c r="C2227" i="1"/>
  <c r="B2227" i="1"/>
  <c r="K2226" i="1"/>
  <c r="C2226" i="1"/>
  <c r="B2226" i="1"/>
  <c r="K2225" i="1"/>
  <c r="C2225" i="1"/>
  <c r="B2225" i="1"/>
  <c r="K2224" i="1"/>
  <c r="C2224" i="1"/>
  <c r="B2224" i="1"/>
  <c r="K2223" i="1"/>
  <c r="C2223" i="1"/>
  <c r="B2223" i="1"/>
  <c r="K2222" i="1"/>
  <c r="C2222" i="1"/>
  <c r="B2222" i="1"/>
  <c r="K2221" i="1"/>
  <c r="C2221" i="1"/>
  <c r="B2221" i="1"/>
  <c r="K2220" i="1"/>
  <c r="C2220" i="1"/>
  <c r="B2220" i="1"/>
  <c r="K2219" i="1"/>
  <c r="C2219" i="1"/>
  <c r="B2219" i="1"/>
  <c r="K2218" i="1"/>
  <c r="C2218" i="1"/>
  <c r="B2218" i="1"/>
  <c r="K2217" i="1"/>
  <c r="C2217" i="1"/>
  <c r="B2217" i="1"/>
  <c r="K2216" i="1"/>
  <c r="C2216" i="1"/>
  <c r="B2216" i="1"/>
  <c r="K2215" i="1"/>
  <c r="C2215" i="1"/>
  <c r="B2215" i="1"/>
  <c r="K2214" i="1"/>
  <c r="C2214" i="1"/>
  <c r="B2214" i="1"/>
  <c r="K2213" i="1"/>
  <c r="C2213" i="1"/>
  <c r="B2213" i="1"/>
  <c r="K2212" i="1"/>
  <c r="C2212" i="1"/>
  <c r="B2212" i="1"/>
  <c r="K2211" i="1"/>
  <c r="C2211" i="1"/>
  <c r="B2211" i="1"/>
  <c r="K2210" i="1"/>
  <c r="C2210" i="1"/>
  <c r="B2210" i="1"/>
  <c r="K2209" i="1"/>
  <c r="C2209" i="1"/>
  <c r="B2209" i="1"/>
  <c r="K2208" i="1"/>
  <c r="C2208" i="1"/>
  <c r="B2208" i="1"/>
  <c r="K2207" i="1"/>
  <c r="C2207" i="1"/>
  <c r="B2207" i="1"/>
  <c r="K2206" i="1"/>
  <c r="C2206" i="1"/>
  <c r="B2206" i="1"/>
  <c r="K2205" i="1"/>
  <c r="C2205" i="1"/>
  <c r="B2205" i="1"/>
  <c r="K2204" i="1"/>
  <c r="C2204" i="1"/>
  <c r="B2204" i="1"/>
  <c r="K2203" i="1"/>
  <c r="C2203" i="1"/>
  <c r="B2203" i="1"/>
  <c r="K2202" i="1"/>
  <c r="C2202" i="1"/>
  <c r="B2202" i="1"/>
  <c r="K2201" i="1"/>
  <c r="C2201" i="1"/>
  <c r="B2201" i="1"/>
  <c r="K2200" i="1"/>
  <c r="C2200" i="1"/>
  <c r="B2200" i="1"/>
  <c r="K2199" i="1"/>
  <c r="C2199" i="1"/>
  <c r="B2199" i="1"/>
  <c r="K2198" i="1"/>
  <c r="C2198" i="1"/>
  <c r="B2198" i="1"/>
  <c r="K2197" i="1"/>
  <c r="C2197" i="1"/>
  <c r="B2197" i="1"/>
  <c r="K2196" i="1"/>
  <c r="C2196" i="1"/>
  <c r="B2196" i="1"/>
  <c r="K2195" i="1"/>
  <c r="C2195" i="1"/>
  <c r="B2195" i="1"/>
  <c r="K2194" i="1"/>
  <c r="C2194" i="1"/>
  <c r="B2194" i="1"/>
  <c r="K2193" i="1"/>
  <c r="C2193" i="1"/>
  <c r="B2193" i="1"/>
  <c r="K2192" i="1"/>
  <c r="C2192" i="1"/>
  <c r="B2192" i="1"/>
  <c r="K2191" i="1"/>
  <c r="C2191" i="1"/>
  <c r="B2191" i="1"/>
  <c r="K2190" i="1"/>
  <c r="C2190" i="1"/>
  <c r="B2190" i="1"/>
  <c r="K2189" i="1"/>
  <c r="C2189" i="1"/>
  <c r="B2189" i="1"/>
  <c r="K2188" i="1"/>
  <c r="C2188" i="1"/>
  <c r="B2188" i="1"/>
  <c r="K2187" i="1"/>
  <c r="C2187" i="1"/>
  <c r="B2187" i="1"/>
  <c r="K2186" i="1"/>
  <c r="C2186" i="1"/>
  <c r="B2186" i="1"/>
  <c r="K2185" i="1"/>
  <c r="C2185" i="1"/>
  <c r="B2185" i="1"/>
  <c r="K2184" i="1"/>
  <c r="C2184" i="1"/>
  <c r="B2184" i="1"/>
  <c r="K2183" i="1"/>
  <c r="C2183" i="1"/>
  <c r="B2183" i="1"/>
  <c r="K2182" i="1"/>
  <c r="C2182" i="1"/>
  <c r="B2182" i="1"/>
  <c r="K2181" i="1"/>
  <c r="C2181" i="1"/>
  <c r="B2181" i="1"/>
  <c r="K2180" i="1"/>
  <c r="C2180" i="1"/>
  <c r="B2180" i="1"/>
  <c r="K2179" i="1"/>
  <c r="C2179" i="1"/>
  <c r="B2179" i="1"/>
  <c r="K2178" i="1"/>
  <c r="C2178" i="1"/>
  <c r="B2178" i="1"/>
  <c r="K2177" i="1"/>
  <c r="C2177" i="1"/>
  <c r="B2177" i="1"/>
  <c r="K2176" i="1"/>
  <c r="C2176" i="1"/>
  <c r="B2176" i="1"/>
  <c r="K2175" i="1"/>
  <c r="C2175" i="1"/>
  <c r="B2175" i="1"/>
  <c r="K2174" i="1"/>
  <c r="C2174" i="1"/>
  <c r="B2174" i="1"/>
  <c r="K2173" i="1"/>
  <c r="C2173" i="1"/>
  <c r="B2173" i="1"/>
  <c r="K2172" i="1"/>
  <c r="C2172" i="1"/>
  <c r="B2172" i="1"/>
  <c r="K2171" i="1"/>
  <c r="C2171" i="1"/>
  <c r="B2171" i="1"/>
  <c r="K2170" i="1"/>
  <c r="C2170" i="1"/>
  <c r="B2170" i="1"/>
  <c r="K2169" i="1"/>
  <c r="C2169" i="1"/>
  <c r="B2169" i="1"/>
  <c r="K2168" i="1"/>
  <c r="C2168" i="1"/>
  <c r="B2168" i="1"/>
  <c r="K2167" i="1"/>
  <c r="C2167" i="1"/>
  <c r="B2167" i="1"/>
  <c r="K2166" i="1"/>
  <c r="C2166" i="1"/>
  <c r="B2166" i="1"/>
  <c r="K2165" i="1"/>
  <c r="C2165" i="1"/>
  <c r="B2165" i="1"/>
  <c r="K2164" i="1"/>
  <c r="C2164" i="1"/>
  <c r="B2164" i="1"/>
  <c r="K2163" i="1"/>
  <c r="C2163" i="1"/>
  <c r="B2163" i="1"/>
  <c r="K2162" i="1"/>
  <c r="C2162" i="1"/>
  <c r="B2162" i="1"/>
  <c r="K2161" i="1"/>
  <c r="C2161" i="1"/>
  <c r="B2161" i="1"/>
  <c r="K2160" i="1"/>
  <c r="C2160" i="1"/>
  <c r="B2160" i="1"/>
  <c r="K2159" i="1"/>
  <c r="C2159" i="1"/>
  <c r="B2159" i="1"/>
  <c r="K2158" i="1"/>
  <c r="C2158" i="1"/>
  <c r="B2158" i="1"/>
  <c r="K2157" i="1"/>
  <c r="C2157" i="1"/>
  <c r="B2157" i="1"/>
  <c r="K2156" i="1"/>
  <c r="C2156" i="1"/>
  <c r="B2156" i="1"/>
  <c r="K2155" i="1"/>
  <c r="C2155" i="1"/>
  <c r="B2155" i="1"/>
  <c r="K2154" i="1"/>
  <c r="C2154" i="1"/>
  <c r="B2154" i="1"/>
  <c r="K2153" i="1"/>
  <c r="C2153" i="1"/>
  <c r="B2153" i="1"/>
  <c r="K2152" i="1"/>
  <c r="C2152" i="1"/>
  <c r="B2152" i="1"/>
  <c r="K2151" i="1"/>
  <c r="C2151" i="1"/>
  <c r="B2151" i="1"/>
  <c r="K2150" i="1"/>
  <c r="C2150" i="1"/>
  <c r="B2150" i="1"/>
  <c r="K2149" i="1"/>
  <c r="C2149" i="1"/>
  <c r="B2149" i="1"/>
  <c r="K2148" i="1"/>
  <c r="C2148" i="1"/>
  <c r="B2148" i="1"/>
  <c r="K2147" i="1"/>
  <c r="C2147" i="1"/>
  <c r="B2147" i="1"/>
  <c r="K2146" i="1"/>
  <c r="C2146" i="1"/>
  <c r="B2146" i="1"/>
  <c r="K2145" i="1"/>
  <c r="C2145" i="1"/>
  <c r="B2145" i="1"/>
  <c r="K2144" i="1"/>
  <c r="C2144" i="1"/>
  <c r="B2144" i="1"/>
  <c r="K2143" i="1"/>
  <c r="C2143" i="1"/>
  <c r="B2143" i="1"/>
  <c r="K2142" i="1"/>
  <c r="C2142" i="1"/>
  <c r="B2142" i="1"/>
  <c r="K2141" i="1"/>
  <c r="C2141" i="1"/>
  <c r="B2141" i="1"/>
  <c r="K2140" i="1"/>
  <c r="C2140" i="1"/>
  <c r="B2140" i="1"/>
  <c r="K2139" i="1"/>
  <c r="C2139" i="1"/>
  <c r="B2139" i="1"/>
  <c r="K2138" i="1"/>
  <c r="C2138" i="1"/>
  <c r="B2138" i="1"/>
  <c r="K2137" i="1"/>
  <c r="C2137" i="1"/>
  <c r="B2137" i="1"/>
  <c r="K2136" i="1"/>
  <c r="C2136" i="1"/>
  <c r="B2136" i="1"/>
  <c r="K2135" i="1"/>
  <c r="C2135" i="1"/>
  <c r="B2135" i="1"/>
  <c r="K2134" i="1"/>
  <c r="C2134" i="1"/>
  <c r="B2134" i="1"/>
  <c r="K2133" i="1"/>
  <c r="C2133" i="1"/>
  <c r="B2133" i="1"/>
  <c r="K2132" i="1"/>
  <c r="C2132" i="1"/>
  <c r="B2132" i="1"/>
  <c r="K2131" i="1"/>
  <c r="C2131" i="1"/>
  <c r="B2131" i="1"/>
  <c r="K2130" i="1"/>
  <c r="C2130" i="1"/>
  <c r="B2130" i="1"/>
  <c r="K2129" i="1"/>
  <c r="C2129" i="1"/>
  <c r="B2129" i="1"/>
  <c r="K2128" i="1"/>
  <c r="C2128" i="1"/>
  <c r="B2128" i="1"/>
  <c r="K2127" i="1"/>
  <c r="C2127" i="1"/>
  <c r="B2127" i="1"/>
  <c r="K2126" i="1"/>
  <c r="C2126" i="1"/>
  <c r="B2126" i="1"/>
  <c r="K2125" i="1"/>
  <c r="C2125" i="1"/>
  <c r="B2125" i="1"/>
  <c r="K2124" i="1"/>
  <c r="C2124" i="1"/>
  <c r="B2124" i="1"/>
  <c r="K2123" i="1"/>
  <c r="C2123" i="1"/>
  <c r="B2123" i="1"/>
  <c r="K2122" i="1"/>
  <c r="C2122" i="1"/>
  <c r="B2122" i="1"/>
  <c r="K2121" i="1"/>
  <c r="C2121" i="1"/>
  <c r="B2121" i="1"/>
  <c r="K2120" i="1"/>
  <c r="C2120" i="1"/>
  <c r="B2120" i="1"/>
  <c r="K2119" i="1"/>
  <c r="C2119" i="1"/>
  <c r="B2119" i="1"/>
  <c r="K2118" i="1"/>
  <c r="C2118" i="1"/>
  <c r="B2118" i="1"/>
  <c r="K2117" i="1"/>
  <c r="C2117" i="1"/>
  <c r="B2117" i="1"/>
  <c r="K2116" i="1"/>
  <c r="C2116" i="1"/>
  <c r="B2116" i="1"/>
  <c r="K2115" i="1"/>
  <c r="C2115" i="1"/>
  <c r="B2115" i="1"/>
  <c r="K2114" i="1"/>
  <c r="C2114" i="1"/>
  <c r="B2114" i="1"/>
  <c r="K2113" i="1"/>
  <c r="C2113" i="1"/>
  <c r="B2113" i="1"/>
  <c r="K2112" i="1"/>
  <c r="C2112" i="1"/>
  <c r="B2112" i="1"/>
  <c r="K2111" i="1"/>
  <c r="C2111" i="1"/>
  <c r="B2111" i="1"/>
  <c r="K2110" i="1"/>
  <c r="C2110" i="1"/>
  <c r="B2110" i="1"/>
  <c r="K2109" i="1"/>
  <c r="C2109" i="1"/>
  <c r="B2109" i="1"/>
  <c r="K2108" i="1"/>
  <c r="C2108" i="1"/>
  <c r="B2108" i="1"/>
  <c r="K2107" i="1"/>
  <c r="C2107" i="1"/>
  <c r="B2107" i="1"/>
  <c r="K2106" i="1"/>
  <c r="C2106" i="1"/>
  <c r="B2106" i="1"/>
  <c r="K2105" i="1"/>
  <c r="C2105" i="1"/>
  <c r="B2105" i="1"/>
  <c r="K2104" i="1"/>
  <c r="C2104" i="1"/>
  <c r="B2104" i="1"/>
  <c r="K2103" i="1"/>
  <c r="C2103" i="1"/>
  <c r="B2103" i="1"/>
  <c r="K2102" i="1"/>
  <c r="C2102" i="1"/>
  <c r="B2102" i="1"/>
  <c r="K2101" i="1"/>
  <c r="C2101" i="1"/>
  <c r="B2101" i="1"/>
  <c r="K2100" i="1"/>
  <c r="C2100" i="1"/>
  <c r="B2100" i="1"/>
  <c r="K2099" i="1"/>
  <c r="C2099" i="1"/>
  <c r="B2099" i="1"/>
  <c r="K2098" i="1"/>
  <c r="C2098" i="1"/>
  <c r="B2098" i="1"/>
  <c r="K2097" i="1"/>
  <c r="C2097" i="1"/>
  <c r="B2097" i="1"/>
  <c r="K2096" i="1"/>
  <c r="C2096" i="1"/>
  <c r="B2096" i="1"/>
  <c r="K2095" i="1"/>
  <c r="C2095" i="1"/>
  <c r="B2095" i="1"/>
  <c r="K2094" i="1"/>
  <c r="C2094" i="1"/>
  <c r="B2094" i="1"/>
  <c r="K2093" i="1"/>
  <c r="C2093" i="1"/>
  <c r="B2093" i="1"/>
  <c r="K2092" i="1"/>
  <c r="C2092" i="1"/>
  <c r="B2092" i="1"/>
  <c r="K2091" i="1"/>
  <c r="C2091" i="1"/>
  <c r="B2091" i="1"/>
  <c r="K2090" i="1"/>
  <c r="C2090" i="1"/>
  <c r="B2090" i="1"/>
  <c r="K2089" i="1"/>
  <c r="C2089" i="1"/>
  <c r="B2089" i="1"/>
  <c r="K2088" i="1"/>
  <c r="C2088" i="1"/>
  <c r="B2088" i="1"/>
  <c r="K2087" i="1"/>
  <c r="C2087" i="1"/>
  <c r="B2087" i="1"/>
  <c r="K2086" i="1"/>
  <c r="C2086" i="1"/>
  <c r="B2086" i="1"/>
  <c r="K2085" i="1"/>
  <c r="C2085" i="1"/>
  <c r="B2085" i="1"/>
  <c r="K2084" i="1"/>
  <c r="C2084" i="1"/>
  <c r="B2084" i="1"/>
  <c r="K2083" i="1"/>
  <c r="C2083" i="1"/>
  <c r="B2083" i="1"/>
  <c r="K2082" i="1"/>
  <c r="C2082" i="1"/>
  <c r="B2082" i="1"/>
  <c r="K2081" i="1"/>
  <c r="C2081" i="1"/>
  <c r="B2081" i="1"/>
  <c r="K2080" i="1"/>
  <c r="C2080" i="1"/>
  <c r="B2080" i="1"/>
  <c r="K2079" i="1"/>
  <c r="C2079" i="1"/>
  <c r="B2079" i="1"/>
  <c r="K2078" i="1"/>
  <c r="C2078" i="1"/>
  <c r="B2078" i="1"/>
  <c r="K2077" i="1"/>
  <c r="C2077" i="1"/>
  <c r="B2077" i="1"/>
  <c r="K2076" i="1"/>
  <c r="C2076" i="1"/>
  <c r="B2076" i="1"/>
  <c r="K2075" i="1"/>
  <c r="C2075" i="1"/>
  <c r="B2075" i="1"/>
  <c r="K2074" i="1"/>
  <c r="C2074" i="1"/>
  <c r="B2074" i="1"/>
  <c r="K2073" i="1"/>
  <c r="C2073" i="1"/>
  <c r="B2073" i="1"/>
  <c r="K2072" i="1"/>
  <c r="C2072" i="1"/>
  <c r="B2072" i="1"/>
  <c r="K2071" i="1"/>
  <c r="C2071" i="1"/>
  <c r="B2071" i="1"/>
  <c r="K2070" i="1"/>
  <c r="C2070" i="1"/>
  <c r="B2070" i="1"/>
  <c r="K2069" i="1"/>
  <c r="C2069" i="1"/>
  <c r="B2069" i="1"/>
  <c r="K2068" i="1"/>
  <c r="C2068" i="1"/>
  <c r="B2068" i="1"/>
  <c r="K2067" i="1"/>
  <c r="C2067" i="1"/>
  <c r="B2067" i="1"/>
  <c r="K2066" i="1"/>
  <c r="C2066" i="1"/>
  <c r="B2066" i="1"/>
  <c r="K2065" i="1"/>
  <c r="C2065" i="1"/>
  <c r="B2065" i="1"/>
  <c r="K2064" i="1"/>
  <c r="C2064" i="1"/>
  <c r="B2064" i="1"/>
  <c r="K2063" i="1"/>
  <c r="C2063" i="1"/>
  <c r="B2063" i="1"/>
  <c r="K2062" i="1"/>
  <c r="C2062" i="1"/>
  <c r="B2062" i="1"/>
  <c r="K2061" i="1"/>
  <c r="C2061" i="1"/>
  <c r="B2061" i="1"/>
  <c r="K2060" i="1"/>
  <c r="C2060" i="1"/>
  <c r="B2060" i="1"/>
  <c r="K2059" i="1"/>
  <c r="C2059" i="1"/>
  <c r="B2059" i="1"/>
  <c r="K2058" i="1"/>
  <c r="C2058" i="1"/>
  <c r="B2058" i="1"/>
  <c r="K2057" i="1"/>
  <c r="C2057" i="1"/>
  <c r="B2057" i="1"/>
  <c r="K2056" i="1"/>
  <c r="C2056" i="1"/>
  <c r="B2056" i="1"/>
  <c r="K2055" i="1"/>
  <c r="C2055" i="1"/>
  <c r="B2055" i="1"/>
  <c r="K2054" i="1"/>
  <c r="C2054" i="1"/>
  <c r="B2054" i="1"/>
  <c r="K2053" i="1"/>
  <c r="C2053" i="1"/>
  <c r="B2053" i="1"/>
  <c r="K2052" i="1"/>
  <c r="C2052" i="1"/>
  <c r="B2052" i="1"/>
  <c r="K2051" i="1"/>
  <c r="C2051" i="1"/>
  <c r="B2051" i="1"/>
  <c r="K2050" i="1"/>
  <c r="C2050" i="1"/>
  <c r="B2050" i="1"/>
  <c r="K2049" i="1"/>
  <c r="C2049" i="1"/>
  <c r="B2049" i="1"/>
  <c r="K2048" i="1"/>
  <c r="C2048" i="1"/>
  <c r="B2048" i="1"/>
  <c r="K2047" i="1"/>
  <c r="C2047" i="1"/>
  <c r="B2047" i="1"/>
  <c r="K2046" i="1"/>
  <c r="C2046" i="1"/>
  <c r="B2046" i="1"/>
  <c r="K2045" i="1"/>
  <c r="C2045" i="1"/>
  <c r="B2045" i="1"/>
  <c r="K2044" i="1"/>
  <c r="C2044" i="1"/>
  <c r="B2044" i="1"/>
  <c r="K2043" i="1"/>
  <c r="C2043" i="1"/>
  <c r="B2043" i="1"/>
  <c r="K2042" i="1"/>
  <c r="C2042" i="1"/>
  <c r="B2042" i="1"/>
  <c r="K2041" i="1"/>
  <c r="C2041" i="1"/>
  <c r="B2041" i="1"/>
  <c r="K2040" i="1"/>
  <c r="C2040" i="1"/>
  <c r="B2040" i="1"/>
  <c r="K2039" i="1"/>
  <c r="C2039" i="1"/>
  <c r="B2039" i="1"/>
  <c r="K2038" i="1"/>
  <c r="C2038" i="1"/>
  <c r="B2038" i="1"/>
  <c r="K2037" i="1"/>
  <c r="C2037" i="1"/>
  <c r="B2037" i="1"/>
  <c r="K2036" i="1"/>
  <c r="C2036" i="1"/>
  <c r="B2036" i="1"/>
  <c r="K2035" i="1"/>
  <c r="C2035" i="1"/>
  <c r="B2035" i="1"/>
  <c r="K2034" i="1"/>
  <c r="C2034" i="1"/>
  <c r="B2034" i="1"/>
  <c r="K2033" i="1"/>
  <c r="C2033" i="1"/>
  <c r="B2033" i="1"/>
  <c r="K2032" i="1"/>
  <c r="C2032" i="1"/>
  <c r="B2032" i="1"/>
  <c r="K2031" i="1"/>
  <c r="C2031" i="1"/>
  <c r="B2031" i="1"/>
  <c r="K2030" i="1"/>
  <c r="C2030" i="1"/>
  <c r="B2030" i="1"/>
  <c r="K2029" i="1"/>
  <c r="C2029" i="1"/>
  <c r="B2029" i="1"/>
  <c r="K2028" i="1"/>
  <c r="C2028" i="1"/>
  <c r="B2028" i="1"/>
  <c r="K2027" i="1"/>
  <c r="C2027" i="1"/>
  <c r="B2027" i="1"/>
  <c r="K2026" i="1"/>
  <c r="C2026" i="1"/>
  <c r="B2026" i="1"/>
  <c r="K2025" i="1"/>
  <c r="C2025" i="1"/>
  <c r="B2025" i="1"/>
  <c r="K2024" i="1"/>
  <c r="C2024" i="1"/>
  <c r="B2024" i="1"/>
  <c r="K2023" i="1"/>
  <c r="C2023" i="1"/>
  <c r="B2023" i="1"/>
  <c r="K2022" i="1"/>
  <c r="C2022" i="1"/>
  <c r="B2022" i="1"/>
  <c r="K2021" i="1"/>
  <c r="C2021" i="1"/>
  <c r="B2021" i="1"/>
  <c r="K2020" i="1"/>
  <c r="C2020" i="1"/>
  <c r="B2020" i="1"/>
  <c r="K2019" i="1"/>
  <c r="C2019" i="1"/>
  <c r="B2019" i="1"/>
  <c r="K2018" i="1"/>
  <c r="C2018" i="1"/>
  <c r="B2018" i="1"/>
  <c r="K2017" i="1"/>
  <c r="C2017" i="1"/>
  <c r="B2017" i="1"/>
  <c r="K2016" i="1"/>
  <c r="C2016" i="1"/>
  <c r="B2016" i="1"/>
  <c r="K2015" i="1"/>
  <c r="C2015" i="1"/>
  <c r="B2015" i="1"/>
  <c r="K2014" i="1"/>
  <c r="C2014" i="1"/>
  <c r="B2014" i="1"/>
  <c r="K2013" i="1"/>
  <c r="C2013" i="1"/>
  <c r="B2013" i="1"/>
  <c r="K2012" i="1"/>
  <c r="C2012" i="1"/>
  <c r="B2012" i="1"/>
  <c r="K2011" i="1"/>
  <c r="C2011" i="1"/>
  <c r="B2011" i="1"/>
  <c r="K2010" i="1"/>
  <c r="C2010" i="1"/>
  <c r="B2010" i="1"/>
  <c r="K2009" i="1"/>
  <c r="C2009" i="1"/>
  <c r="B2009" i="1"/>
  <c r="K2008" i="1"/>
  <c r="C2008" i="1"/>
  <c r="B2008" i="1"/>
  <c r="K2007" i="1"/>
  <c r="C2007" i="1"/>
  <c r="B2007" i="1"/>
  <c r="K2006" i="1"/>
  <c r="C2006" i="1"/>
  <c r="B2006" i="1"/>
  <c r="K2005" i="1"/>
  <c r="C2005" i="1"/>
  <c r="B2005" i="1"/>
  <c r="K2004" i="1"/>
  <c r="C2004" i="1"/>
  <c r="B2004" i="1"/>
  <c r="K2003" i="1"/>
  <c r="C2003" i="1"/>
  <c r="B2003" i="1"/>
  <c r="K2002" i="1"/>
  <c r="C2002" i="1"/>
  <c r="B2002" i="1"/>
  <c r="K2001" i="1"/>
  <c r="C2001" i="1"/>
  <c r="B2001" i="1"/>
  <c r="K2000" i="1"/>
  <c r="C2000" i="1"/>
  <c r="B2000" i="1"/>
  <c r="K1999" i="1"/>
  <c r="C1999" i="1"/>
  <c r="B1999" i="1"/>
  <c r="K1998" i="1"/>
  <c r="C1998" i="1"/>
  <c r="B1998" i="1"/>
  <c r="K1997" i="1"/>
  <c r="C1997" i="1"/>
  <c r="B1997" i="1"/>
  <c r="K1996" i="1"/>
  <c r="C1996" i="1"/>
  <c r="B1996" i="1"/>
  <c r="K1995" i="1"/>
  <c r="C1995" i="1"/>
  <c r="B1995" i="1"/>
  <c r="K1994" i="1"/>
  <c r="C1994" i="1"/>
  <c r="B1994" i="1"/>
  <c r="K1993" i="1"/>
  <c r="C1993" i="1"/>
  <c r="B1993" i="1"/>
  <c r="K1992" i="1"/>
  <c r="C1992" i="1"/>
  <c r="B1992" i="1"/>
  <c r="K1991" i="1"/>
  <c r="C1991" i="1"/>
  <c r="B1991" i="1"/>
  <c r="K1990" i="1"/>
  <c r="C1990" i="1"/>
  <c r="B1990" i="1"/>
  <c r="K1989" i="1"/>
  <c r="C1989" i="1"/>
  <c r="B1989" i="1"/>
  <c r="K1988" i="1"/>
  <c r="C1988" i="1"/>
  <c r="B1988" i="1"/>
  <c r="K1987" i="1"/>
  <c r="C1987" i="1"/>
  <c r="B1987" i="1"/>
  <c r="K1986" i="1"/>
  <c r="C1986" i="1"/>
  <c r="B1986" i="1"/>
  <c r="K1985" i="1"/>
  <c r="C1985" i="1"/>
  <c r="B1985" i="1"/>
  <c r="K1984" i="1"/>
  <c r="C1984" i="1"/>
  <c r="B1984" i="1"/>
  <c r="K1983" i="1"/>
  <c r="C1983" i="1"/>
  <c r="B1983" i="1"/>
  <c r="K1982" i="1"/>
  <c r="C1982" i="1"/>
  <c r="B1982" i="1"/>
  <c r="K1981" i="1"/>
  <c r="C1981" i="1"/>
  <c r="B1981" i="1"/>
  <c r="K1980" i="1"/>
  <c r="C1980" i="1"/>
  <c r="B1980" i="1"/>
  <c r="K1979" i="1"/>
  <c r="C1979" i="1"/>
  <c r="B1979" i="1"/>
  <c r="K1978" i="1"/>
  <c r="C1978" i="1"/>
  <c r="B1978" i="1"/>
  <c r="K1977" i="1"/>
  <c r="C1977" i="1"/>
  <c r="B1977" i="1"/>
  <c r="K1976" i="1"/>
  <c r="C1976" i="1"/>
  <c r="B1976" i="1"/>
  <c r="K1975" i="1"/>
  <c r="C1975" i="1"/>
  <c r="B1975" i="1"/>
  <c r="K1974" i="1"/>
  <c r="C1974" i="1"/>
  <c r="B1974" i="1"/>
  <c r="K1973" i="1"/>
  <c r="C1973" i="1"/>
  <c r="B1973" i="1"/>
  <c r="K1972" i="1"/>
  <c r="C1972" i="1"/>
  <c r="B1972" i="1"/>
  <c r="K1971" i="1"/>
  <c r="C1971" i="1"/>
  <c r="B1971" i="1"/>
  <c r="K1970" i="1"/>
  <c r="C1970" i="1"/>
  <c r="B1970" i="1"/>
  <c r="K1969" i="1"/>
  <c r="C1969" i="1"/>
  <c r="B1969" i="1"/>
  <c r="K1968" i="1"/>
  <c r="C1968" i="1"/>
  <c r="B1968" i="1"/>
  <c r="K1967" i="1"/>
  <c r="C1967" i="1"/>
  <c r="B1967" i="1"/>
  <c r="K1966" i="1"/>
  <c r="C1966" i="1"/>
  <c r="B1966" i="1"/>
  <c r="K1965" i="1"/>
  <c r="C1965" i="1"/>
  <c r="B1965" i="1"/>
  <c r="K1964" i="1"/>
  <c r="C1964" i="1"/>
  <c r="B1964" i="1"/>
  <c r="K1963" i="1"/>
  <c r="C1963" i="1"/>
  <c r="B1963" i="1"/>
  <c r="K1962" i="1"/>
  <c r="C1962" i="1"/>
  <c r="B1962" i="1"/>
  <c r="K1961" i="1"/>
  <c r="C1961" i="1"/>
  <c r="B1961" i="1"/>
  <c r="K1960" i="1"/>
  <c r="C1960" i="1"/>
  <c r="B1960" i="1"/>
  <c r="K1959" i="1"/>
  <c r="C1959" i="1"/>
  <c r="B1959" i="1"/>
  <c r="K1958" i="1"/>
  <c r="C1958" i="1"/>
  <c r="B1958" i="1"/>
  <c r="K1957" i="1"/>
  <c r="C1957" i="1"/>
  <c r="B1957" i="1"/>
  <c r="K1956" i="1"/>
  <c r="C1956" i="1"/>
  <c r="B1956" i="1"/>
  <c r="K1955" i="1"/>
  <c r="C1955" i="1"/>
  <c r="B1955" i="1"/>
  <c r="K1954" i="1"/>
  <c r="C1954" i="1"/>
  <c r="B1954" i="1"/>
  <c r="K1953" i="1"/>
  <c r="C1953" i="1"/>
  <c r="B1953" i="1"/>
  <c r="K1952" i="1"/>
  <c r="C1952" i="1"/>
  <c r="B1952" i="1"/>
  <c r="K1951" i="1"/>
  <c r="C1951" i="1"/>
  <c r="B1951" i="1"/>
  <c r="K1950" i="1"/>
  <c r="C1950" i="1"/>
  <c r="B1950" i="1"/>
  <c r="K1949" i="1"/>
  <c r="C1949" i="1"/>
  <c r="B1949" i="1"/>
  <c r="K1948" i="1"/>
  <c r="C1948" i="1"/>
  <c r="B1948" i="1"/>
  <c r="K1947" i="1"/>
  <c r="C1947" i="1"/>
  <c r="B1947" i="1"/>
  <c r="K1946" i="1"/>
  <c r="C1946" i="1"/>
  <c r="B1946" i="1"/>
  <c r="K1945" i="1"/>
  <c r="C1945" i="1"/>
  <c r="B1945" i="1"/>
  <c r="K1944" i="1"/>
  <c r="C1944" i="1"/>
  <c r="B1944" i="1"/>
  <c r="K1943" i="1"/>
  <c r="C1943" i="1"/>
  <c r="B1943" i="1"/>
  <c r="K1942" i="1"/>
  <c r="C1942" i="1"/>
  <c r="B1942" i="1"/>
  <c r="K1941" i="1"/>
  <c r="C1941" i="1"/>
  <c r="B1941" i="1"/>
  <c r="K1940" i="1"/>
  <c r="C1940" i="1"/>
  <c r="B1940" i="1"/>
  <c r="K1939" i="1"/>
  <c r="C1939" i="1"/>
  <c r="B1939" i="1"/>
  <c r="K1938" i="1"/>
  <c r="C1938" i="1"/>
  <c r="B1938" i="1"/>
  <c r="K1937" i="1"/>
  <c r="C1937" i="1"/>
  <c r="B1937" i="1"/>
  <c r="K1936" i="1"/>
  <c r="C1936" i="1"/>
  <c r="B1936" i="1"/>
  <c r="K1935" i="1"/>
  <c r="C1935" i="1"/>
  <c r="B1935" i="1"/>
  <c r="K1934" i="1"/>
  <c r="C1934" i="1"/>
  <c r="B1934" i="1"/>
  <c r="K1933" i="1"/>
  <c r="C1933" i="1"/>
  <c r="B1933" i="1"/>
  <c r="K1932" i="1"/>
  <c r="C1932" i="1"/>
  <c r="B1932" i="1"/>
  <c r="K1931" i="1"/>
  <c r="C1931" i="1"/>
  <c r="B1931" i="1"/>
  <c r="K1930" i="1"/>
  <c r="C1930" i="1"/>
  <c r="B1930" i="1"/>
  <c r="K1929" i="1"/>
  <c r="C1929" i="1"/>
  <c r="B1929" i="1"/>
  <c r="K1928" i="1"/>
  <c r="C1928" i="1"/>
  <c r="B1928" i="1"/>
  <c r="K1927" i="1"/>
  <c r="C1927" i="1"/>
  <c r="B1927" i="1"/>
  <c r="K1926" i="1"/>
  <c r="C1926" i="1"/>
  <c r="B1926" i="1"/>
  <c r="K1925" i="1"/>
  <c r="C1925" i="1"/>
  <c r="B1925" i="1"/>
  <c r="K1924" i="1"/>
  <c r="C1924" i="1"/>
  <c r="B1924" i="1"/>
  <c r="K1923" i="1"/>
  <c r="C1923" i="1"/>
  <c r="B1923" i="1"/>
  <c r="K1922" i="1"/>
  <c r="C1922" i="1"/>
  <c r="B1922" i="1"/>
  <c r="K1921" i="1"/>
  <c r="C1921" i="1"/>
  <c r="B1921" i="1"/>
  <c r="K1920" i="1"/>
  <c r="C1920" i="1"/>
  <c r="B1920" i="1"/>
  <c r="K1919" i="1"/>
  <c r="C1919" i="1"/>
  <c r="B1919" i="1"/>
  <c r="K1918" i="1"/>
  <c r="C1918" i="1"/>
  <c r="B1918" i="1"/>
  <c r="K1917" i="1"/>
  <c r="C1917" i="1"/>
  <c r="B1917" i="1"/>
  <c r="K1916" i="1"/>
  <c r="C1916" i="1"/>
  <c r="B1916" i="1"/>
  <c r="K1915" i="1"/>
  <c r="C1915" i="1"/>
  <c r="B1915" i="1"/>
  <c r="K1914" i="1"/>
  <c r="C1914" i="1"/>
  <c r="B1914" i="1"/>
  <c r="K1913" i="1"/>
  <c r="C1913" i="1"/>
  <c r="B1913" i="1"/>
  <c r="K1912" i="1"/>
  <c r="C1912" i="1"/>
  <c r="B1912" i="1"/>
  <c r="K1911" i="1"/>
  <c r="C1911" i="1"/>
  <c r="B1911" i="1"/>
  <c r="K1910" i="1"/>
  <c r="C1910" i="1"/>
  <c r="B1910" i="1"/>
  <c r="K1909" i="1"/>
  <c r="C1909" i="1"/>
  <c r="B1909" i="1"/>
  <c r="K1908" i="1"/>
  <c r="C1908" i="1"/>
  <c r="B1908" i="1"/>
  <c r="K1907" i="1"/>
  <c r="C1907" i="1"/>
  <c r="B1907" i="1"/>
  <c r="K1906" i="1"/>
  <c r="C1906" i="1"/>
  <c r="B1906" i="1"/>
  <c r="K1905" i="1"/>
  <c r="C1905" i="1"/>
  <c r="B1905" i="1"/>
  <c r="K1904" i="1"/>
  <c r="C1904" i="1"/>
  <c r="B1904" i="1"/>
  <c r="K1903" i="1"/>
  <c r="C1903" i="1"/>
  <c r="B1903" i="1"/>
  <c r="K1902" i="1"/>
  <c r="C1902" i="1"/>
  <c r="B1902" i="1"/>
  <c r="K1901" i="1"/>
  <c r="C1901" i="1"/>
  <c r="B1901" i="1"/>
  <c r="K1900" i="1"/>
  <c r="C1900" i="1"/>
  <c r="B1900" i="1"/>
  <c r="K1899" i="1"/>
  <c r="C1899" i="1"/>
  <c r="B1899" i="1"/>
  <c r="K1898" i="1"/>
  <c r="C1898" i="1"/>
  <c r="B1898" i="1"/>
  <c r="K1897" i="1"/>
  <c r="C1897" i="1"/>
  <c r="B1897" i="1"/>
  <c r="K1896" i="1"/>
  <c r="C1896" i="1"/>
  <c r="B1896" i="1"/>
  <c r="K1895" i="1"/>
  <c r="C1895" i="1"/>
  <c r="B1895" i="1"/>
  <c r="K1894" i="1"/>
  <c r="C1894" i="1"/>
  <c r="B1894" i="1"/>
  <c r="K1893" i="1"/>
  <c r="C1893" i="1"/>
  <c r="B1893" i="1"/>
  <c r="K1892" i="1"/>
  <c r="C1892" i="1"/>
  <c r="B1892" i="1"/>
  <c r="K1891" i="1"/>
  <c r="C1891" i="1"/>
  <c r="B1891" i="1"/>
  <c r="K1890" i="1"/>
  <c r="C1890" i="1"/>
  <c r="B1890" i="1"/>
  <c r="K1889" i="1"/>
  <c r="C1889" i="1"/>
  <c r="B1889" i="1"/>
  <c r="K1888" i="1"/>
  <c r="C1888" i="1"/>
  <c r="B1888" i="1"/>
  <c r="K1887" i="1"/>
  <c r="C1887" i="1"/>
  <c r="B1887" i="1"/>
  <c r="K1886" i="1"/>
  <c r="C1886" i="1"/>
  <c r="B1886" i="1"/>
  <c r="K1885" i="1"/>
  <c r="C1885" i="1"/>
  <c r="B1885" i="1"/>
  <c r="K1884" i="1"/>
  <c r="C1884" i="1"/>
  <c r="B1884" i="1"/>
  <c r="K1883" i="1"/>
  <c r="C1883" i="1"/>
  <c r="B1883" i="1"/>
  <c r="K1882" i="1"/>
  <c r="C1882" i="1"/>
  <c r="B1882" i="1"/>
  <c r="K1881" i="1"/>
  <c r="C1881" i="1"/>
  <c r="B1881" i="1"/>
  <c r="K1880" i="1"/>
  <c r="C1880" i="1"/>
  <c r="B1880" i="1"/>
  <c r="K1879" i="1"/>
  <c r="C1879" i="1"/>
  <c r="B1879" i="1"/>
  <c r="K1878" i="1"/>
  <c r="C1878" i="1"/>
  <c r="B1878" i="1"/>
  <c r="K1877" i="1"/>
  <c r="C1877" i="1"/>
  <c r="B1877" i="1"/>
  <c r="K1876" i="1"/>
  <c r="C1876" i="1"/>
  <c r="B1876" i="1"/>
  <c r="K1875" i="1"/>
  <c r="C1875" i="1"/>
  <c r="B1875" i="1"/>
  <c r="K1874" i="1"/>
  <c r="C1874" i="1"/>
  <c r="B1874" i="1"/>
  <c r="K1873" i="1"/>
  <c r="C1873" i="1"/>
  <c r="B1873" i="1"/>
  <c r="K1872" i="1"/>
  <c r="C1872" i="1"/>
  <c r="B1872" i="1"/>
  <c r="K1871" i="1"/>
  <c r="C1871" i="1"/>
  <c r="B1871" i="1"/>
  <c r="K1870" i="1"/>
  <c r="C1870" i="1"/>
  <c r="B1870" i="1"/>
  <c r="K1869" i="1"/>
  <c r="C1869" i="1"/>
  <c r="B1869" i="1"/>
  <c r="K1868" i="1"/>
  <c r="C1868" i="1"/>
  <c r="B1868" i="1"/>
  <c r="K1867" i="1"/>
  <c r="C1867" i="1"/>
  <c r="B1867" i="1"/>
  <c r="K1866" i="1"/>
  <c r="C1866" i="1"/>
  <c r="B1866" i="1"/>
  <c r="K1865" i="1"/>
  <c r="C1865" i="1"/>
  <c r="B1865" i="1"/>
  <c r="K1864" i="1"/>
  <c r="C1864" i="1"/>
  <c r="B1864" i="1"/>
  <c r="K1863" i="1"/>
  <c r="C1863" i="1"/>
  <c r="B1863" i="1"/>
  <c r="K1862" i="1"/>
  <c r="C1862" i="1"/>
  <c r="B1862" i="1"/>
  <c r="K1861" i="1"/>
  <c r="C1861" i="1"/>
  <c r="B1861" i="1"/>
  <c r="K1860" i="1"/>
  <c r="C1860" i="1"/>
  <c r="B1860" i="1"/>
  <c r="K1859" i="1"/>
  <c r="C1859" i="1"/>
  <c r="B1859" i="1"/>
  <c r="K1858" i="1"/>
  <c r="C1858" i="1"/>
  <c r="B1858" i="1"/>
  <c r="K1857" i="1"/>
  <c r="C1857" i="1"/>
  <c r="B1857" i="1"/>
  <c r="K1856" i="1"/>
  <c r="C1856" i="1"/>
  <c r="B1856" i="1"/>
  <c r="K1855" i="1"/>
  <c r="C1855" i="1"/>
  <c r="B1855" i="1"/>
  <c r="K1854" i="1"/>
  <c r="C1854" i="1"/>
  <c r="B1854" i="1"/>
  <c r="K1853" i="1"/>
  <c r="C1853" i="1"/>
  <c r="B1853" i="1"/>
  <c r="K1852" i="1"/>
  <c r="C1852" i="1"/>
  <c r="B1852" i="1"/>
  <c r="K1851" i="1"/>
  <c r="C1851" i="1"/>
  <c r="B1851" i="1"/>
  <c r="K1850" i="1"/>
  <c r="C1850" i="1"/>
  <c r="B1850" i="1"/>
  <c r="K1849" i="1"/>
  <c r="C1849" i="1"/>
  <c r="B1849" i="1"/>
  <c r="K1848" i="1"/>
  <c r="C1848" i="1"/>
  <c r="B1848" i="1"/>
  <c r="K1847" i="1"/>
  <c r="C1847" i="1"/>
  <c r="B1847" i="1"/>
  <c r="K1846" i="1"/>
  <c r="C1846" i="1"/>
  <c r="B1846" i="1"/>
  <c r="K1845" i="1"/>
  <c r="C1845" i="1"/>
  <c r="B1845" i="1"/>
  <c r="K1844" i="1"/>
  <c r="C1844" i="1"/>
  <c r="B1844" i="1"/>
  <c r="K1843" i="1"/>
  <c r="C1843" i="1"/>
  <c r="B1843" i="1"/>
  <c r="K1842" i="1"/>
  <c r="C1842" i="1"/>
  <c r="B1842" i="1"/>
  <c r="K1841" i="1"/>
  <c r="C1841" i="1"/>
  <c r="B1841" i="1"/>
  <c r="K1840" i="1"/>
  <c r="C1840" i="1"/>
  <c r="B1840" i="1"/>
  <c r="K1839" i="1"/>
  <c r="C1839" i="1"/>
  <c r="B1839" i="1"/>
  <c r="K1838" i="1"/>
  <c r="C1838" i="1"/>
  <c r="B1838" i="1"/>
  <c r="K1837" i="1"/>
  <c r="C1837" i="1"/>
  <c r="B1837" i="1"/>
  <c r="K1836" i="1"/>
  <c r="C1836" i="1"/>
  <c r="B1836" i="1"/>
  <c r="K1835" i="1"/>
  <c r="C1835" i="1"/>
  <c r="B1835" i="1"/>
  <c r="K1834" i="1"/>
  <c r="C1834" i="1"/>
  <c r="B1834" i="1"/>
  <c r="K1833" i="1"/>
  <c r="C1833" i="1"/>
  <c r="B1833" i="1"/>
  <c r="K1832" i="1"/>
  <c r="C1832" i="1"/>
  <c r="B1832" i="1"/>
  <c r="K1831" i="1"/>
  <c r="C1831" i="1"/>
  <c r="B1831" i="1"/>
  <c r="K1830" i="1"/>
  <c r="C1830" i="1"/>
  <c r="B1830" i="1"/>
  <c r="K1829" i="1"/>
  <c r="C1829" i="1"/>
  <c r="B1829" i="1"/>
  <c r="K1828" i="1"/>
  <c r="C1828" i="1"/>
  <c r="B1828" i="1"/>
  <c r="K1827" i="1"/>
  <c r="C1827" i="1"/>
  <c r="B1827" i="1"/>
  <c r="K1826" i="1"/>
  <c r="C1826" i="1"/>
  <c r="B1826" i="1"/>
  <c r="K1825" i="1"/>
  <c r="C1825" i="1"/>
  <c r="B1825" i="1"/>
  <c r="K1824" i="1"/>
  <c r="C1824" i="1"/>
  <c r="B1824" i="1"/>
  <c r="K1823" i="1"/>
  <c r="C1823" i="1"/>
  <c r="B1823" i="1"/>
  <c r="K1822" i="1"/>
  <c r="C1822" i="1"/>
  <c r="B1822" i="1"/>
  <c r="K1821" i="1"/>
  <c r="C1821" i="1"/>
  <c r="B1821" i="1"/>
  <c r="K1820" i="1"/>
  <c r="C1820" i="1"/>
  <c r="B1820" i="1"/>
  <c r="K1819" i="1"/>
  <c r="C1819" i="1"/>
  <c r="B1819" i="1"/>
  <c r="K1818" i="1"/>
  <c r="C1818" i="1"/>
  <c r="B1818" i="1"/>
  <c r="K1817" i="1"/>
  <c r="C1817" i="1"/>
  <c r="B1817" i="1"/>
  <c r="K1816" i="1"/>
  <c r="C1816" i="1"/>
  <c r="B1816" i="1"/>
  <c r="K1815" i="1"/>
  <c r="C1815" i="1"/>
  <c r="B1815" i="1"/>
  <c r="K1814" i="1"/>
  <c r="C1814" i="1"/>
  <c r="B1814" i="1"/>
  <c r="K1813" i="1"/>
  <c r="C1813" i="1"/>
  <c r="B1813" i="1"/>
  <c r="K1812" i="1"/>
  <c r="C1812" i="1"/>
  <c r="B1812" i="1"/>
  <c r="K1811" i="1"/>
  <c r="C1811" i="1"/>
  <c r="B1811" i="1"/>
  <c r="K1810" i="1"/>
  <c r="C1810" i="1"/>
  <c r="B1810" i="1"/>
  <c r="K1809" i="1"/>
  <c r="C1809" i="1"/>
  <c r="B1809" i="1"/>
  <c r="K1808" i="1"/>
  <c r="C1808" i="1"/>
  <c r="B1808" i="1"/>
  <c r="K1807" i="1"/>
  <c r="C1807" i="1"/>
  <c r="B1807" i="1"/>
  <c r="K1806" i="1"/>
  <c r="C1806" i="1"/>
  <c r="B1806" i="1"/>
  <c r="K1805" i="1"/>
  <c r="C1805" i="1"/>
  <c r="B1805" i="1"/>
  <c r="K1804" i="1"/>
  <c r="C1804" i="1"/>
  <c r="B1804" i="1"/>
  <c r="K1803" i="1"/>
  <c r="C1803" i="1"/>
  <c r="B1803" i="1"/>
  <c r="K1802" i="1"/>
  <c r="C1802" i="1"/>
  <c r="B1802" i="1"/>
  <c r="K1801" i="1"/>
  <c r="C1801" i="1"/>
  <c r="B1801" i="1"/>
  <c r="K1800" i="1"/>
  <c r="C1800" i="1"/>
  <c r="B1800" i="1"/>
  <c r="K1799" i="1"/>
  <c r="C1799" i="1"/>
  <c r="B1799" i="1"/>
  <c r="K1798" i="1"/>
  <c r="C1798" i="1"/>
  <c r="B1798" i="1"/>
  <c r="K1797" i="1"/>
  <c r="C1797" i="1"/>
  <c r="B1797" i="1"/>
  <c r="K1796" i="1"/>
  <c r="C1796" i="1"/>
  <c r="B1796" i="1"/>
  <c r="K1795" i="1"/>
  <c r="C1795" i="1"/>
  <c r="B1795" i="1"/>
  <c r="K1794" i="1"/>
  <c r="C1794" i="1"/>
  <c r="B1794" i="1"/>
  <c r="K1793" i="1"/>
  <c r="C1793" i="1"/>
  <c r="B1793" i="1"/>
  <c r="K1792" i="1"/>
  <c r="C1792" i="1"/>
  <c r="B1792" i="1"/>
  <c r="K1791" i="1"/>
  <c r="C1791" i="1"/>
  <c r="B1791" i="1"/>
  <c r="K1790" i="1"/>
  <c r="C1790" i="1"/>
  <c r="B1790" i="1"/>
  <c r="K1789" i="1"/>
  <c r="C1789" i="1"/>
  <c r="B1789" i="1"/>
  <c r="K1788" i="1"/>
  <c r="C1788" i="1"/>
  <c r="B1788" i="1"/>
  <c r="K1787" i="1"/>
  <c r="C1787" i="1"/>
  <c r="B1787" i="1"/>
  <c r="K1786" i="1"/>
  <c r="C1786" i="1"/>
  <c r="B1786" i="1"/>
  <c r="K1785" i="1"/>
  <c r="C1785" i="1"/>
  <c r="B1785" i="1"/>
  <c r="K1784" i="1"/>
  <c r="C1784" i="1"/>
  <c r="B1784" i="1"/>
  <c r="K1783" i="1"/>
  <c r="C1783" i="1"/>
  <c r="B1783" i="1"/>
  <c r="K1782" i="1"/>
  <c r="C1782" i="1"/>
  <c r="B1782" i="1"/>
  <c r="K1781" i="1"/>
  <c r="C1781" i="1"/>
  <c r="B1781" i="1"/>
  <c r="K1780" i="1"/>
  <c r="C1780" i="1"/>
  <c r="B1780" i="1"/>
  <c r="K1779" i="1"/>
  <c r="C1779" i="1"/>
  <c r="B1779" i="1"/>
  <c r="K1778" i="1"/>
  <c r="C1778" i="1"/>
  <c r="B1778" i="1"/>
  <c r="K1777" i="1"/>
  <c r="C1777" i="1"/>
  <c r="B1777" i="1"/>
  <c r="K1776" i="1"/>
  <c r="C1776" i="1"/>
  <c r="B1776" i="1"/>
  <c r="K1775" i="1"/>
  <c r="C1775" i="1"/>
  <c r="B1775" i="1"/>
  <c r="K1774" i="1"/>
  <c r="C1774" i="1"/>
  <c r="B1774" i="1"/>
  <c r="K1773" i="1"/>
  <c r="C1773" i="1"/>
  <c r="B1773" i="1"/>
  <c r="K1772" i="1"/>
  <c r="C1772" i="1"/>
  <c r="B1772" i="1"/>
  <c r="K1771" i="1"/>
  <c r="C1771" i="1"/>
  <c r="B1771" i="1"/>
  <c r="K1770" i="1"/>
  <c r="C1770" i="1"/>
  <c r="B1770" i="1"/>
  <c r="K1769" i="1"/>
  <c r="C1769" i="1"/>
  <c r="B1769" i="1"/>
  <c r="K1768" i="1"/>
  <c r="C1768" i="1"/>
  <c r="B1768" i="1"/>
  <c r="K1767" i="1"/>
  <c r="C1767" i="1"/>
  <c r="B1767" i="1"/>
  <c r="K1766" i="1"/>
  <c r="C1766" i="1"/>
  <c r="B1766" i="1"/>
  <c r="K1765" i="1"/>
  <c r="C1765" i="1"/>
  <c r="B1765" i="1"/>
  <c r="K1764" i="1"/>
  <c r="C1764" i="1"/>
  <c r="B1764" i="1"/>
  <c r="K1763" i="1"/>
  <c r="C1763" i="1"/>
  <c r="B1763" i="1"/>
  <c r="K1762" i="1"/>
  <c r="C1762" i="1"/>
  <c r="B1762" i="1"/>
  <c r="K1761" i="1"/>
  <c r="C1761" i="1"/>
  <c r="B1761" i="1"/>
  <c r="K1760" i="1"/>
  <c r="C1760" i="1"/>
  <c r="B1760" i="1"/>
  <c r="K1759" i="1"/>
  <c r="C1759" i="1"/>
  <c r="B1759" i="1"/>
  <c r="K1758" i="1"/>
  <c r="C1758" i="1"/>
  <c r="B1758" i="1"/>
  <c r="K1757" i="1"/>
  <c r="C1757" i="1"/>
  <c r="B1757" i="1"/>
  <c r="K1756" i="1"/>
  <c r="C1756" i="1"/>
  <c r="B1756" i="1"/>
  <c r="K1755" i="1"/>
  <c r="C1755" i="1"/>
  <c r="B1755" i="1"/>
  <c r="K1754" i="1"/>
  <c r="C1754" i="1"/>
  <c r="B1754" i="1"/>
  <c r="K1753" i="1"/>
  <c r="C1753" i="1"/>
  <c r="B1753" i="1"/>
  <c r="K1752" i="1"/>
  <c r="C1752" i="1"/>
  <c r="B1752" i="1"/>
  <c r="K1751" i="1"/>
  <c r="C1751" i="1"/>
  <c r="B1751" i="1"/>
  <c r="K1750" i="1"/>
  <c r="C1750" i="1"/>
  <c r="B1750" i="1"/>
  <c r="K1749" i="1"/>
  <c r="C1749" i="1"/>
  <c r="B1749" i="1"/>
  <c r="K1748" i="1"/>
  <c r="C1748" i="1"/>
  <c r="B1748" i="1"/>
  <c r="K1747" i="1"/>
  <c r="C1747" i="1"/>
  <c r="B1747" i="1"/>
  <c r="K1746" i="1"/>
  <c r="C1746" i="1"/>
  <c r="B1746" i="1"/>
  <c r="K1745" i="1"/>
  <c r="C1745" i="1"/>
  <c r="B1745" i="1"/>
  <c r="K1744" i="1"/>
  <c r="C1744" i="1"/>
  <c r="B1744" i="1"/>
  <c r="K1743" i="1"/>
  <c r="C1743" i="1"/>
  <c r="B1743" i="1"/>
  <c r="K1742" i="1"/>
  <c r="C1742" i="1"/>
  <c r="B1742" i="1"/>
  <c r="K1741" i="1"/>
  <c r="C1741" i="1"/>
  <c r="B1741" i="1"/>
  <c r="K1740" i="1"/>
  <c r="C1740" i="1"/>
  <c r="B1740" i="1"/>
  <c r="K1739" i="1"/>
  <c r="C1739" i="1"/>
  <c r="B1739" i="1"/>
  <c r="K1738" i="1"/>
  <c r="C1738" i="1"/>
  <c r="B1738" i="1"/>
  <c r="K1737" i="1"/>
  <c r="C1737" i="1"/>
  <c r="B1737" i="1"/>
  <c r="K1736" i="1"/>
  <c r="C1736" i="1"/>
  <c r="B1736" i="1"/>
  <c r="K1735" i="1"/>
  <c r="C1735" i="1"/>
  <c r="B1735" i="1"/>
  <c r="K1734" i="1"/>
  <c r="C1734" i="1"/>
  <c r="B1734" i="1"/>
  <c r="K1733" i="1"/>
  <c r="C1733" i="1"/>
  <c r="B1733" i="1"/>
  <c r="K1732" i="1"/>
  <c r="C1732" i="1"/>
  <c r="B1732" i="1"/>
  <c r="K1731" i="1"/>
  <c r="C1731" i="1"/>
  <c r="B1731" i="1"/>
  <c r="K1730" i="1"/>
  <c r="C1730" i="1"/>
  <c r="B1730" i="1"/>
  <c r="K1729" i="1"/>
  <c r="C1729" i="1"/>
  <c r="B1729" i="1"/>
  <c r="K1728" i="1"/>
  <c r="C1728" i="1"/>
  <c r="B1728" i="1"/>
  <c r="K1727" i="1"/>
  <c r="C1727" i="1"/>
  <c r="B1727" i="1"/>
  <c r="K1726" i="1"/>
  <c r="C1726" i="1"/>
  <c r="B1726" i="1"/>
  <c r="K1725" i="1"/>
  <c r="C1725" i="1"/>
  <c r="B1725" i="1"/>
  <c r="K1724" i="1"/>
  <c r="C1724" i="1"/>
  <c r="B1724" i="1"/>
  <c r="K1723" i="1"/>
  <c r="C1723" i="1"/>
  <c r="B1723" i="1"/>
  <c r="K1722" i="1"/>
  <c r="C1722" i="1"/>
  <c r="B1722" i="1"/>
  <c r="K1721" i="1"/>
  <c r="C1721" i="1"/>
  <c r="B1721" i="1"/>
  <c r="K1720" i="1"/>
  <c r="C1720" i="1"/>
  <c r="B1720" i="1"/>
  <c r="K1719" i="1"/>
  <c r="C1719" i="1"/>
  <c r="B1719" i="1"/>
  <c r="K1718" i="1"/>
  <c r="C1718" i="1"/>
  <c r="B1718" i="1"/>
  <c r="K1717" i="1"/>
  <c r="C1717" i="1"/>
  <c r="B1717" i="1"/>
  <c r="K1716" i="1"/>
  <c r="C1716" i="1"/>
  <c r="B1716" i="1"/>
  <c r="K1715" i="1"/>
  <c r="C1715" i="1"/>
  <c r="B1715" i="1"/>
  <c r="K1714" i="1"/>
  <c r="C1714" i="1"/>
  <c r="B1714" i="1"/>
  <c r="K1713" i="1"/>
  <c r="C1713" i="1"/>
  <c r="B1713" i="1"/>
  <c r="K1712" i="1"/>
  <c r="C1712" i="1"/>
  <c r="B1712" i="1"/>
  <c r="K1711" i="1"/>
  <c r="C1711" i="1"/>
  <c r="B1711" i="1"/>
  <c r="K1710" i="1"/>
  <c r="C1710" i="1"/>
  <c r="B1710" i="1"/>
  <c r="K1709" i="1"/>
  <c r="C1709" i="1"/>
  <c r="B1709" i="1"/>
  <c r="K1708" i="1"/>
  <c r="C1708" i="1"/>
  <c r="B1708" i="1"/>
  <c r="K1707" i="1"/>
  <c r="C1707" i="1"/>
  <c r="B1707" i="1"/>
  <c r="K1706" i="1"/>
  <c r="C1706" i="1"/>
  <c r="B1706" i="1"/>
  <c r="K1705" i="1"/>
  <c r="C1705" i="1"/>
  <c r="B1705" i="1"/>
  <c r="K1704" i="1"/>
  <c r="C1704" i="1"/>
  <c r="B1704" i="1"/>
  <c r="K1703" i="1"/>
  <c r="C1703" i="1"/>
  <c r="B1703" i="1"/>
  <c r="K1702" i="1"/>
  <c r="C1702" i="1"/>
  <c r="B1702" i="1"/>
  <c r="K1701" i="1"/>
  <c r="C1701" i="1"/>
  <c r="B1701" i="1"/>
  <c r="K1700" i="1"/>
  <c r="C1700" i="1"/>
  <c r="B1700" i="1"/>
  <c r="K1699" i="1"/>
  <c r="C1699" i="1"/>
  <c r="B1699" i="1"/>
  <c r="K1698" i="1"/>
  <c r="C1698" i="1"/>
  <c r="B1698" i="1"/>
  <c r="K1697" i="1"/>
  <c r="C1697" i="1"/>
  <c r="B1697" i="1"/>
  <c r="K1696" i="1"/>
  <c r="C1696" i="1"/>
  <c r="B1696" i="1"/>
  <c r="K1695" i="1"/>
  <c r="C1695" i="1"/>
  <c r="B1695" i="1"/>
  <c r="K1694" i="1"/>
  <c r="C1694" i="1"/>
  <c r="B1694" i="1"/>
  <c r="K1693" i="1"/>
  <c r="C1693" i="1"/>
  <c r="B1693" i="1"/>
  <c r="K1692" i="1"/>
  <c r="C1692" i="1"/>
  <c r="B1692" i="1"/>
  <c r="K1691" i="1"/>
  <c r="C1691" i="1"/>
  <c r="B1691" i="1"/>
  <c r="K1690" i="1"/>
  <c r="C1690" i="1"/>
  <c r="B1690" i="1"/>
  <c r="K1689" i="1"/>
  <c r="C1689" i="1"/>
  <c r="B1689" i="1"/>
  <c r="K1688" i="1"/>
  <c r="C1688" i="1"/>
  <c r="B1688" i="1"/>
  <c r="K1687" i="1"/>
  <c r="C1687" i="1"/>
  <c r="B1687" i="1"/>
  <c r="K1686" i="1"/>
  <c r="C1686" i="1"/>
  <c r="B1686" i="1"/>
  <c r="K1685" i="1"/>
  <c r="C1685" i="1"/>
  <c r="B1685" i="1"/>
  <c r="K1684" i="1"/>
  <c r="C1684" i="1"/>
  <c r="B1684" i="1"/>
  <c r="K1683" i="1"/>
  <c r="C1683" i="1"/>
  <c r="B1683" i="1"/>
  <c r="K1682" i="1"/>
  <c r="C1682" i="1"/>
  <c r="B1682" i="1"/>
  <c r="K1681" i="1"/>
  <c r="C1681" i="1"/>
  <c r="B1681" i="1"/>
  <c r="K1680" i="1"/>
  <c r="C1680" i="1"/>
  <c r="B1680" i="1"/>
  <c r="K1679" i="1"/>
  <c r="C1679" i="1"/>
  <c r="B1679" i="1"/>
  <c r="K1678" i="1"/>
  <c r="C1678" i="1"/>
  <c r="B1678" i="1"/>
  <c r="K1677" i="1"/>
  <c r="C1677" i="1"/>
  <c r="B1677" i="1"/>
  <c r="K1676" i="1"/>
  <c r="C1676" i="1"/>
  <c r="B1676" i="1"/>
  <c r="K1675" i="1"/>
  <c r="C1675" i="1"/>
  <c r="B1675" i="1"/>
  <c r="K1674" i="1"/>
  <c r="C1674" i="1"/>
  <c r="B1674" i="1"/>
  <c r="K1673" i="1"/>
  <c r="C1673" i="1"/>
  <c r="B1673" i="1"/>
  <c r="K1672" i="1"/>
  <c r="C1672" i="1"/>
  <c r="B1672" i="1"/>
  <c r="K1671" i="1"/>
  <c r="C1671" i="1"/>
  <c r="B1671" i="1"/>
  <c r="K1670" i="1"/>
  <c r="C1670" i="1"/>
  <c r="B1670" i="1"/>
  <c r="K1669" i="1"/>
  <c r="C1669" i="1"/>
  <c r="B1669" i="1"/>
  <c r="K1668" i="1"/>
  <c r="C1668" i="1"/>
  <c r="B1668" i="1"/>
  <c r="K1667" i="1"/>
  <c r="C1667" i="1"/>
  <c r="B1667" i="1"/>
  <c r="K1666" i="1"/>
  <c r="C1666" i="1"/>
  <c r="B1666" i="1"/>
  <c r="K1665" i="1"/>
  <c r="C1665" i="1"/>
  <c r="B1665" i="1"/>
  <c r="K1664" i="1"/>
  <c r="C1664" i="1"/>
  <c r="B1664" i="1"/>
  <c r="K1663" i="1"/>
  <c r="C1663" i="1"/>
  <c r="B1663" i="1"/>
  <c r="K1662" i="1"/>
  <c r="C1662" i="1"/>
  <c r="B1662" i="1"/>
  <c r="K1661" i="1"/>
  <c r="C1661" i="1"/>
  <c r="B1661" i="1"/>
  <c r="K1660" i="1"/>
  <c r="C1660" i="1"/>
  <c r="B1660" i="1"/>
  <c r="K1659" i="1"/>
  <c r="C1659" i="1"/>
  <c r="B1659" i="1"/>
  <c r="K1658" i="1"/>
  <c r="C1658" i="1"/>
  <c r="B1658" i="1"/>
  <c r="K1657" i="1"/>
  <c r="C1657" i="1"/>
  <c r="B1657" i="1"/>
  <c r="K1656" i="1"/>
  <c r="C1656" i="1"/>
  <c r="B1656" i="1"/>
  <c r="K1655" i="1"/>
  <c r="C1655" i="1"/>
  <c r="B1655" i="1"/>
  <c r="K1654" i="1"/>
  <c r="C1654" i="1"/>
  <c r="B1654" i="1"/>
  <c r="K1653" i="1"/>
  <c r="C1653" i="1"/>
  <c r="B1653" i="1"/>
  <c r="K1652" i="1"/>
  <c r="C1652" i="1"/>
  <c r="B1652" i="1"/>
  <c r="K1651" i="1"/>
  <c r="C1651" i="1"/>
  <c r="B1651" i="1"/>
  <c r="K1650" i="1"/>
  <c r="C1650" i="1"/>
  <c r="B1650" i="1"/>
  <c r="K1649" i="1"/>
  <c r="C1649" i="1"/>
  <c r="B1649" i="1"/>
  <c r="K1648" i="1"/>
  <c r="C1648" i="1"/>
  <c r="B1648" i="1"/>
  <c r="K1647" i="1"/>
  <c r="C1647" i="1"/>
  <c r="B1647" i="1"/>
  <c r="K1646" i="1"/>
  <c r="C1646" i="1"/>
  <c r="B1646" i="1"/>
  <c r="K1645" i="1"/>
  <c r="C1645" i="1"/>
  <c r="B1645" i="1"/>
  <c r="K1644" i="1"/>
  <c r="C1644" i="1"/>
  <c r="B1644" i="1"/>
  <c r="K1643" i="1"/>
  <c r="C1643" i="1"/>
  <c r="B1643" i="1"/>
  <c r="K1642" i="1"/>
  <c r="C1642" i="1"/>
  <c r="B1642" i="1"/>
  <c r="K1641" i="1"/>
  <c r="C1641" i="1"/>
  <c r="B1641" i="1"/>
  <c r="K1640" i="1"/>
  <c r="C1640" i="1"/>
  <c r="B1640" i="1"/>
  <c r="K1639" i="1"/>
  <c r="C1639" i="1"/>
  <c r="B1639" i="1"/>
  <c r="K1638" i="1"/>
  <c r="C1638" i="1"/>
  <c r="B1638" i="1"/>
  <c r="K1637" i="1"/>
  <c r="C1637" i="1"/>
  <c r="B1637" i="1"/>
  <c r="K1636" i="1"/>
  <c r="C1636" i="1"/>
  <c r="B1636" i="1"/>
  <c r="K1635" i="1"/>
  <c r="C1635" i="1"/>
  <c r="B1635" i="1"/>
  <c r="K1634" i="1"/>
  <c r="C1634" i="1"/>
  <c r="B1634" i="1"/>
  <c r="K1633" i="1"/>
  <c r="C1633" i="1"/>
  <c r="B1633" i="1"/>
  <c r="K1632" i="1"/>
  <c r="C1632" i="1"/>
  <c r="B1632" i="1"/>
  <c r="K1631" i="1"/>
  <c r="C1631" i="1"/>
  <c r="B1631" i="1"/>
  <c r="K1630" i="1"/>
  <c r="C1630" i="1"/>
  <c r="B1630" i="1"/>
  <c r="K1629" i="1"/>
  <c r="C1629" i="1"/>
  <c r="B1629" i="1"/>
  <c r="K1628" i="1"/>
  <c r="C1628" i="1"/>
  <c r="B1628" i="1"/>
  <c r="K1627" i="1"/>
  <c r="C1627" i="1"/>
  <c r="B1627" i="1"/>
  <c r="K1626" i="1"/>
  <c r="C1626" i="1"/>
  <c r="B1626" i="1"/>
  <c r="K1625" i="1"/>
  <c r="C1625" i="1"/>
  <c r="B1625" i="1"/>
  <c r="K1624" i="1"/>
  <c r="C1624" i="1"/>
  <c r="B1624" i="1"/>
  <c r="K1623" i="1"/>
  <c r="C1623" i="1"/>
  <c r="B1623" i="1"/>
  <c r="K1622" i="1"/>
  <c r="C1622" i="1"/>
  <c r="B1622" i="1"/>
  <c r="K1621" i="1"/>
  <c r="C1621" i="1"/>
  <c r="B1621" i="1"/>
  <c r="K1620" i="1"/>
  <c r="C1620" i="1"/>
  <c r="B1620" i="1"/>
  <c r="K1619" i="1"/>
  <c r="C1619" i="1"/>
  <c r="B1619" i="1"/>
  <c r="K1618" i="1"/>
  <c r="C1618" i="1"/>
  <c r="B1618" i="1"/>
  <c r="K1617" i="1"/>
  <c r="C1617" i="1"/>
  <c r="B1617" i="1"/>
  <c r="K1616" i="1"/>
  <c r="C1616" i="1"/>
  <c r="B1616" i="1"/>
  <c r="K1615" i="1"/>
  <c r="C1615" i="1"/>
  <c r="B1615" i="1"/>
  <c r="K1614" i="1"/>
  <c r="C1614" i="1"/>
  <c r="B1614" i="1"/>
  <c r="K1613" i="1"/>
  <c r="C1613" i="1"/>
  <c r="B1613" i="1"/>
  <c r="K1612" i="1"/>
  <c r="C1612" i="1"/>
  <c r="B1612" i="1"/>
  <c r="K1611" i="1"/>
  <c r="C1611" i="1"/>
  <c r="B1611" i="1"/>
  <c r="K1610" i="1"/>
  <c r="C1610" i="1"/>
  <c r="B1610" i="1"/>
  <c r="K1609" i="1"/>
  <c r="C1609" i="1"/>
  <c r="B1609" i="1"/>
  <c r="K1608" i="1"/>
  <c r="C1608" i="1"/>
  <c r="B1608" i="1"/>
  <c r="K1607" i="1"/>
  <c r="C1607" i="1"/>
  <c r="B1607" i="1"/>
  <c r="K1606" i="1"/>
  <c r="C1606" i="1"/>
  <c r="B1606" i="1"/>
  <c r="K1605" i="1"/>
  <c r="C1605" i="1"/>
  <c r="B1605" i="1"/>
  <c r="K1604" i="1"/>
  <c r="C1604" i="1"/>
  <c r="B1604" i="1"/>
  <c r="K1603" i="1"/>
  <c r="C1603" i="1"/>
  <c r="B1603" i="1"/>
  <c r="K1602" i="1"/>
  <c r="C1602" i="1"/>
  <c r="B1602" i="1"/>
  <c r="K1601" i="1"/>
  <c r="C1601" i="1"/>
  <c r="B1601" i="1"/>
  <c r="K1600" i="1"/>
  <c r="C1600" i="1"/>
  <c r="B1600" i="1"/>
  <c r="K1599" i="1"/>
  <c r="C1599" i="1"/>
  <c r="B1599" i="1"/>
  <c r="K1598" i="1"/>
  <c r="C1598" i="1"/>
  <c r="B1598" i="1"/>
  <c r="K1597" i="1"/>
  <c r="C1597" i="1"/>
  <c r="B1597" i="1"/>
  <c r="K1596" i="1"/>
  <c r="C1596" i="1"/>
  <c r="B1596" i="1"/>
  <c r="K1595" i="1"/>
  <c r="C1595" i="1"/>
  <c r="B1595" i="1"/>
  <c r="K1594" i="1"/>
  <c r="C1594" i="1"/>
  <c r="B1594" i="1"/>
  <c r="K1593" i="1"/>
  <c r="C1593" i="1"/>
  <c r="B1593" i="1"/>
  <c r="K1592" i="1"/>
  <c r="C1592" i="1"/>
  <c r="B1592" i="1"/>
  <c r="K1591" i="1"/>
  <c r="C1591" i="1"/>
  <c r="B1591" i="1"/>
  <c r="K1590" i="1"/>
  <c r="C1590" i="1"/>
  <c r="B1590" i="1"/>
  <c r="K1589" i="1"/>
  <c r="C1589" i="1"/>
  <c r="B1589" i="1"/>
  <c r="K1588" i="1"/>
  <c r="C1588" i="1"/>
  <c r="B1588" i="1"/>
  <c r="K1587" i="1"/>
  <c r="C1587" i="1"/>
  <c r="B1587" i="1"/>
  <c r="K1586" i="1"/>
  <c r="C1586" i="1"/>
  <c r="B1586" i="1"/>
  <c r="K1585" i="1"/>
  <c r="C1585" i="1"/>
  <c r="B1585" i="1"/>
  <c r="K1584" i="1"/>
  <c r="C1584" i="1"/>
  <c r="B1584" i="1"/>
  <c r="K1583" i="1"/>
  <c r="C1583" i="1"/>
  <c r="B1583" i="1"/>
  <c r="K1582" i="1"/>
  <c r="C1582" i="1"/>
  <c r="B1582" i="1"/>
  <c r="K1581" i="1"/>
  <c r="C1581" i="1"/>
  <c r="B1581" i="1"/>
  <c r="K1580" i="1"/>
  <c r="C1580" i="1"/>
  <c r="B1580" i="1"/>
  <c r="K1579" i="1"/>
  <c r="C1579" i="1"/>
  <c r="B1579" i="1"/>
  <c r="K1578" i="1"/>
  <c r="C1578" i="1"/>
  <c r="B1578" i="1"/>
  <c r="K1577" i="1"/>
  <c r="C1577" i="1"/>
  <c r="B1577" i="1"/>
  <c r="K1576" i="1"/>
  <c r="C1576" i="1"/>
  <c r="B1576" i="1"/>
  <c r="K1575" i="1"/>
  <c r="C1575" i="1"/>
  <c r="B1575" i="1"/>
  <c r="K1574" i="1"/>
  <c r="C1574" i="1"/>
  <c r="B1574" i="1"/>
  <c r="K1573" i="1"/>
  <c r="C1573" i="1"/>
  <c r="B1573" i="1"/>
  <c r="K1572" i="1"/>
  <c r="C1572" i="1"/>
  <c r="B1572" i="1"/>
  <c r="K1571" i="1"/>
  <c r="C1571" i="1"/>
  <c r="B1571" i="1"/>
  <c r="K1570" i="1"/>
  <c r="C1570" i="1"/>
  <c r="B1570" i="1"/>
  <c r="K1569" i="1"/>
  <c r="C1569" i="1"/>
  <c r="B1569" i="1"/>
  <c r="K1568" i="1"/>
  <c r="C1568" i="1"/>
  <c r="B1568" i="1"/>
  <c r="K1567" i="1"/>
  <c r="C1567" i="1"/>
  <c r="B1567" i="1"/>
  <c r="K1566" i="1"/>
  <c r="C1566" i="1"/>
  <c r="B1566" i="1"/>
  <c r="K1565" i="1"/>
  <c r="C1565" i="1"/>
  <c r="B1565" i="1"/>
  <c r="K1564" i="1"/>
  <c r="C1564" i="1"/>
  <c r="B1564" i="1"/>
  <c r="K1563" i="1"/>
  <c r="C1563" i="1"/>
  <c r="B1563" i="1"/>
  <c r="K1562" i="1"/>
  <c r="C1562" i="1"/>
  <c r="B1562" i="1"/>
  <c r="K1561" i="1"/>
  <c r="C1561" i="1"/>
  <c r="B1561" i="1"/>
  <c r="K1560" i="1"/>
  <c r="C1560" i="1"/>
  <c r="B1560" i="1"/>
  <c r="K1559" i="1"/>
  <c r="C1559" i="1"/>
  <c r="B1559" i="1"/>
  <c r="K1558" i="1"/>
  <c r="C1558" i="1"/>
  <c r="B1558" i="1"/>
  <c r="K1557" i="1"/>
  <c r="C1557" i="1"/>
  <c r="B1557" i="1"/>
  <c r="K1556" i="1"/>
  <c r="C1556" i="1"/>
  <c r="B1556" i="1"/>
  <c r="K1555" i="1"/>
  <c r="C1555" i="1"/>
  <c r="B1555" i="1"/>
  <c r="K1554" i="1"/>
  <c r="C1554" i="1"/>
  <c r="B1554" i="1"/>
  <c r="K1553" i="1"/>
  <c r="C1553" i="1"/>
  <c r="B1553" i="1"/>
  <c r="K1552" i="1"/>
  <c r="C1552" i="1"/>
  <c r="B1552" i="1"/>
  <c r="K1551" i="1"/>
  <c r="C1551" i="1"/>
  <c r="B1551" i="1"/>
  <c r="K1550" i="1"/>
  <c r="C1550" i="1"/>
  <c r="B1550" i="1"/>
  <c r="K1549" i="1"/>
  <c r="C1549" i="1"/>
  <c r="B1549" i="1"/>
  <c r="K1548" i="1"/>
  <c r="C1548" i="1"/>
  <c r="B1548" i="1"/>
  <c r="K1547" i="1"/>
  <c r="C1547" i="1"/>
  <c r="B1547" i="1"/>
  <c r="K1546" i="1"/>
  <c r="C1546" i="1"/>
  <c r="B1546" i="1"/>
  <c r="K1545" i="1"/>
  <c r="C1545" i="1"/>
  <c r="B1545" i="1"/>
  <c r="K1544" i="1"/>
  <c r="C1544" i="1"/>
  <c r="B1544" i="1"/>
  <c r="K1543" i="1"/>
  <c r="C1543" i="1"/>
  <c r="B1543" i="1"/>
  <c r="K1542" i="1"/>
  <c r="C1542" i="1"/>
  <c r="B1542" i="1"/>
  <c r="K1541" i="1"/>
  <c r="C1541" i="1"/>
  <c r="B1541" i="1"/>
  <c r="K1540" i="1"/>
  <c r="C1540" i="1"/>
  <c r="B1540" i="1"/>
  <c r="K1539" i="1"/>
  <c r="C1539" i="1"/>
  <c r="B1539" i="1"/>
  <c r="K1538" i="1"/>
  <c r="C1538" i="1"/>
  <c r="B1538" i="1"/>
  <c r="K1537" i="1"/>
  <c r="C1537" i="1"/>
  <c r="B1537" i="1"/>
  <c r="K1536" i="1"/>
  <c r="C1536" i="1"/>
  <c r="B1536" i="1"/>
  <c r="K1535" i="1"/>
  <c r="C1535" i="1"/>
  <c r="B1535" i="1"/>
  <c r="K1534" i="1"/>
  <c r="C1534" i="1"/>
  <c r="B1534" i="1"/>
  <c r="K1533" i="1"/>
  <c r="C1533" i="1"/>
  <c r="B1533" i="1"/>
  <c r="K1532" i="1"/>
  <c r="C1532" i="1"/>
  <c r="B1532" i="1"/>
  <c r="K1531" i="1"/>
  <c r="C1531" i="1"/>
  <c r="B1531" i="1"/>
  <c r="K1530" i="1"/>
  <c r="C1530" i="1"/>
  <c r="B1530" i="1"/>
  <c r="K1529" i="1"/>
  <c r="C1529" i="1"/>
  <c r="B1529" i="1"/>
  <c r="K1528" i="1"/>
  <c r="C1528" i="1"/>
  <c r="B1528" i="1"/>
  <c r="K1527" i="1"/>
  <c r="C1527" i="1"/>
  <c r="B1527" i="1"/>
  <c r="K1526" i="1"/>
  <c r="C1526" i="1"/>
  <c r="B1526" i="1"/>
  <c r="K1525" i="1"/>
  <c r="C1525" i="1"/>
  <c r="B1525" i="1"/>
  <c r="K1524" i="1"/>
  <c r="C1524" i="1"/>
  <c r="B1524" i="1"/>
  <c r="K1523" i="1"/>
  <c r="C1523" i="1"/>
  <c r="B1523" i="1"/>
  <c r="K1522" i="1"/>
  <c r="C1522" i="1"/>
  <c r="B1522" i="1"/>
  <c r="K1521" i="1"/>
  <c r="C1521" i="1"/>
  <c r="B1521" i="1"/>
  <c r="K1520" i="1"/>
  <c r="C1520" i="1"/>
  <c r="B1520" i="1"/>
  <c r="K1519" i="1"/>
  <c r="C1519" i="1"/>
  <c r="B1519" i="1"/>
  <c r="K1518" i="1"/>
  <c r="C1518" i="1"/>
  <c r="B1518" i="1"/>
  <c r="K1517" i="1"/>
  <c r="C1517" i="1"/>
  <c r="B1517" i="1"/>
  <c r="K1516" i="1"/>
  <c r="C1516" i="1"/>
  <c r="B1516" i="1"/>
  <c r="K1515" i="1"/>
  <c r="C1515" i="1"/>
  <c r="B1515" i="1"/>
  <c r="K1514" i="1"/>
  <c r="C1514" i="1"/>
  <c r="B1514" i="1"/>
  <c r="K1513" i="1"/>
  <c r="C1513" i="1"/>
  <c r="B1513" i="1"/>
  <c r="K1512" i="1"/>
  <c r="C1512" i="1"/>
  <c r="B1512" i="1"/>
  <c r="K1511" i="1"/>
  <c r="C1511" i="1"/>
  <c r="B1511" i="1"/>
  <c r="K1510" i="1"/>
  <c r="C1510" i="1"/>
  <c r="B1510" i="1"/>
  <c r="K1509" i="1"/>
  <c r="C1509" i="1"/>
  <c r="B1509" i="1"/>
  <c r="K1508" i="1"/>
  <c r="C1508" i="1"/>
  <c r="B1508" i="1"/>
  <c r="K1507" i="1"/>
  <c r="C1507" i="1"/>
  <c r="B1507" i="1"/>
  <c r="K1506" i="1"/>
  <c r="C1506" i="1"/>
  <c r="B1506" i="1"/>
  <c r="K1505" i="1"/>
  <c r="C1505" i="1"/>
  <c r="B1505" i="1"/>
  <c r="K1504" i="1"/>
  <c r="C1504" i="1"/>
  <c r="B1504" i="1"/>
  <c r="K1503" i="1"/>
  <c r="C1503" i="1"/>
  <c r="B1503" i="1"/>
  <c r="K1502" i="1"/>
  <c r="C1502" i="1"/>
  <c r="B1502" i="1"/>
  <c r="K1501" i="1"/>
  <c r="C1501" i="1"/>
  <c r="B1501" i="1"/>
  <c r="K1500" i="1"/>
  <c r="C1500" i="1"/>
  <c r="B1500" i="1"/>
  <c r="K1499" i="1"/>
  <c r="C1499" i="1"/>
  <c r="B1499" i="1"/>
  <c r="K1498" i="1"/>
  <c r="C1498" i="1"/>
  <c r="B1498" i="1"/>
  <c r="K1497" i="1"/>
  <c r="C1497" i="1"/>
  <c r="B1497" i="1"/>
  <c r="K1496" i="1"/>
  <c r="C1496" i="1"/>
  <c r="B1496" i="1"/>
  <c r="K1495" i="1"/>
  <c r="C1495" i="1"/>
  <c r="B1495" i="1"/>
  <c r="K1494" i="1"/>
  <c r="C1494" i="1"/>
  <c r="B1494" i="1"/>
  <c r="K1493" i="1"/>
  <c r="C1493" i="1"/>
  <c r="B1493" i="1"/>
  <c r="K1492" i="1"/>
  <c r="C1492" i="1"/>
  <c r="B1492" i="1"/>
  <c r="K1491" i="1"/>
  <c r="C1491" i="1"/>
  <c r="B1491" i="1"/>
  <c r="K1490" i="1"/>
  <c r="C1490" i="1"/>
  <c r="B1490" i="1"/>
  <c r="K1489" i="1"/>
  <c r="C1489" i="1"/>
  <c r="B1489" i="1"/>
  <c r="K1488" i="1"/>
  <c r="C1488" i="1"/>
  <c r="B1488" i="1"/>
  <c r="K1487" i="1"/>
  <c r="C1487" i="1"/>
  <c r="B1487" i="1"/>
  <c r="K1486" i="1"/>
  <c r="C1486" i="1"/>
  <c r="B1486" i="1"/>
  <c r="K1485" i="1"/>
  <c r="C1485" i="1"/>
  <c r="B1485" i="1"/>
  <c r="K1484" i="1"/>
  <c r="C1484" i="1"/>
  <c r="B1484" i="1"/>
  <c r="K1483" i="1"/>
  <c r="C1483" i="1"/>
  <c r="B1483" i="1"/>
  <c r="K1482" i="1"/>
  <c r="C1482" i="1"/>
  <c r="B1482" i="1"/>
  <c r="K1481" i="1"/>
  <c r="C1481" i="1"/>
  <c r="B1481" i="1"/>
  <c r="K1480" i="1"/>
  <c r="C1480" i="1"/>
  <c r="B1480" i="1"/>
  <c r="K1479" i="1"/>
  <c r="C1479" i="1"/>
  <c r="B1479" i="1"/>
  <c r="K1478" i="1"/>
  <c r="C1478" i="1"/>
  <c r="B1478" i="1"/>
  <c r="K1477" i="1"/>
  <c r="C1477" i="1"/>
  <c r="B1477" i="1"/>
  <c r="K1476" i="1"/>
  <c r="C1476" i="1"/>
  <c r="B1476" i="1"/>
  <c r="K1475" i="1"/>
  <c r="C1475" i="1"/>
  <c r="B1475" i="1"/>
  <c r="K1474" i="1"/>
  <c r="C1474" i="1"/>
  <c r="B1474" i="1"/>
  <c r="K1473" i="1"/>
  <c r="C1473" i="1"/>
  <c r="B1473" i="1"/>
  <c r="K1472" i="1"/>
  <c r="C1472" i="1"/>
  <c r="B1472" i="1"/>
  <c r="K1471" i="1"/>
  <c r="C1471" i="1"/>
  <c r="B1471" i="1"/>
  <c r="K1470" i="1"/>
  <c r="C1470" i="1"/>
  <c r="B1470" i="1"/>
  <c r="K1469" i="1"/>
  <c r="C1469" i="1"/>
  <c r="B1469" i="1"/>
  <c r="K1468" i="1"/>
  <c r="C1468" i="1"/>
  <c r="B1468" i="1"/>
  <c r="K1467" i="1"/>
  <c r="C1467" i="1"/>
  <c r="B1467" i="1"/>
  <c r="K1466" i="1"/>
  <c r="C1466" i="1"/>
  <c r="B1466" i="1"/>
  <c r="K1465" i="1"/>
  <c r="C1465" i="1"/>
  <c r="B1465" i="1"/>
  <c r="K1464" i="1"/>
  <c r="C1464" i="1"/>
  <c r="B1464" i="1"/>
  <c r="K1463" i="1"/>
  <c r="C1463" i="1"/>
  <c r="B1463" i="1"/>
  <c r="K1462" i="1"/>
  <c r="C1462" i="1"/>
  <c r="B1462" i="1"/>
  <c r="K1461" i="1"/>
  <c r="C1461" i="1"/>
  <c r="B1461" i="1"/>
  <c r="K1460" i="1"/>
  <c r="C1460" i="1"/>
  <c r="B1460" i="1"/>
  <c r="K1459" i="1"/>
  <c r="C1459" i="1"/>
  <c r="B1459" i="1"/>
  <c r="K1458" i="1"/>
  <c r="C1458" i="1"/>
  <c r="B1458" i="1"/>
  <c r="K1457" i="1"/>
  <c r="C1457" i="1"/>
  <c r="B1457" i="1"/>
  <c r="K1456" i="1"/>
  <c r="C1456" i="1"/>
  <c r="B1456" i="1"/>
  <c r="K1455" i="1"/>
  <c r="C1455" i="1"/>
  <c r="B1455" i="1"/>
  <c r="K1454" i="1"/>
  <c r="C1454" i="1"/>
  <c r="B1454" i="1"/>
  <c r="K1453" i="1"/>
  <c r="C1453" i="1"/>
  <c r="B1453" i="1"/>
  <c r="K1452" i="1"/>
  <c r="C1452" i="1"/>
  <c r="B1452" i="1"/>
  <c r="K1451" i="1"/>
  <c r="C1451" i="1"/>
  <c r="B1451" i="1"/>
  <c r="K1450" i="1"/>
  <c r="C1450" i="1"/>
  <c r="B1450" i="1"/>
  <c r="K1449" i="1"/>
  <c r="C1449" i="1"/>
  <c r="B1449" i="1"/>
  <c r="K1448" i="1"/>
  <c r="C1448" i="1"/>
  <c r="B1448" i="1"/>
  <c r="K1447" i="1"/>
  <c r="C1447" i="1"/>
  <c r="B1447" i="1"/>
  <c r="K1446" i="1"/>
  <c r="C1446" i="1"/>
  <c r="B1446" i="1"/>
  <c r="K1445" i="1"/>
  <c r="C1445" i="1"/>
  <c r="B1445" i="1"/>
  <c r="K1444" i="1"/>
  <c r="C1444" i="1"/>
  <c r="B1444" i="1"/>
  <c r="K1443" i="1"/>
  <c r="C1443" i="1"/>
  <c r="B1443" i="1"/>
  <c r="K1442" i="1"/>
  <c r="C1442" i="1"/>
  <c r="B1442" i="1"/>
  <c r="K1441" i="1"/>
  <c r="C1441" i="1"/>
  <c r="B1441" i="1"/>
  <c r="K1440" i="1"/>
  <c r="C1440" i="1"/>
  <c r="B1440" i="1"/>
  <c r="K1439" i="1"/>
  <c r="C1439" i="1"/>
  <c r="B1439" i="1"/>
  <c r="K1438" i="1"/>
  <c r="C1438" i="1"/>
  <c r="B1438" i="1"/>
  <c r="K1437" i="1"/>
  <c r="C1437" i="1"/>
  <c r="B1437" i="1"/>
  <c r="K1436" i="1"/>
  <c r="C1436" i="1"/>
  <c r="B1436" i="1"/>
  <c r="K1435" i="1"/>
  <c r="C1435" i="1"/>
  <c r="B1435" i="1"/>
  <c r="K1434" i="1"/>
  <c r="C1434" i="1"/>
  <c r="B1434" i="1"/>
  <c r="K1433" i="1"/>
  <c r="C1433" i="1"/>
  <c r="B1433" i="1"/>
  <c r="K1432" i="1"/>
  <c r="C1432" i="1"/>
  <c r="B1432" i="1"/>
  <c r="K1431" i="1"/>
  <c r="C1431" i="1"/>
  <c r="B1431" i="1"/>
  <c r="K1430" i="1"/>
  <c r="C1430" i="1"/>
  <c r="B1430" i="1"/>
  <c r="K1429" i="1"/>
  <c r="C1429" i="1"/>
  <c r="B1429" i="1"/>
  <c r="K1428" i="1"/>
  <c r="C1428" i="1"/>
  <c r="B1428" i="1"/>
  <c r="K1427" i="1"/>
  <c r="C1427" i="1"/>
  <c r="B1427" i="1"/>
  <c r="K1426" i="1"/>
  <c r="C1426" i="1"/>
  <c r="B1426" i="1"/>
  <c r="K1425" i="1"/>
  <c r="C1425" i="1"/>
  <c r="B1425" i="1"/>
  <c r="K1424" i="1"/>
  <c r="C1424" i="1"/>
  <c r="B1424" i="1"/>
  <c r="K1423" i="1"/>
  <c r="C1423" i="1"/>
  <c r="B1423" i="1"/>
  <c r="K1422" i="1"/>
  <c r="C1422" i="1"/>
  <c r="B1422" i="1"/>
  <c r="K1421" i="1"/>
  <c r="C1421" i="1"/>
  <c r="B1421" i="1"/>
  <c r="K1420" i="1"/>
  <c r="C1420" i="1"/>
  <c r="B1420" i="1"/>
  <c r="K1419" i="1"/>
  <c r="C1419" i="1"/>
  <c r="B1419" i="1"/>
  <c r="K1418" i="1"/>
  <c r="C1418" i="1"/>
  <c r="B1418" i="1"/>
  <c r="K1417" i="1"/>
  <c r="C1417" i="1"/>
  <c r="B1417" i="1"/>
  <c r="K1416" i="1"/>
  <c r="C1416" i="1"/>
  <c r="B1416" i="1"/>
  <c r="K1415" i="1"/>
  <c r="C1415" i="1"/>
  <c r="B1415" i="1"/>
  <c r="K1414" i="1"/>
  <c r="C1414" i="1"/>
  <c r="B1414" i="1"/>
  <c r="K1413" i="1"/>
  <c r="C1413" i="1"/>
  <c r="B1413" i="1"/>
  <c r="K1412" i="1"/>
  <c r="C1412" i="1"/>
  <c r="B1412" i="1"/>
  <c r="K1411" i="1"/>
  <c r="C1411" i="1"/>
  <c r="B1411" i="1"/>
  <c r="K1410" i="1"/>
  <c r="C1410" i="1"/>
  <c r="B1410" i="1"/>
  <c r="K1409" i="1"/>
  <c r="C1409" i="1"/>
  <c r="B1409" i="1"/>
  <c r="K1408" i="1"/>
  <c r="C1408" i="1"/>
  <c r="B1408" i="1"/>
  <c r="K1407" i="1"/>
  <c r="C1407" i="1"/>
  <c r="B1407" i="1"/>
  <c r="K1406" i="1"/>
  <c r="C1406" i="1"/>
  <c r="B1406" i="1"/>
  <c r="K1405" i="1"/>
  <c r="C1405" i="1"/>
  <c r="B1405" i="1"/>
  <c r="K1404" i="1"/>
  <c r="C1404" i="1"/>
  <c r="B1404" i="1"/>
  <c r="K1403" i="1"/>
  <c r="C1403" i="1"/>
  <c r="B1403" i="1"/>
  <c r="K1402" i="1"/>
  <c r="C1402" i="1"/>
  <c r="B1402" i="1"/>
  <c r="K1401" i="1"/>
  <c r="C1401" i="1"/>
  <c r="B1401" i="1"/>
  <c r="K1400" i="1"/>
  <c r="C1400" i="1"/>
  <c r="B1400" i="1"/>
  <c r="K1399" i="1"/>
  <c r="C1399" i="1"/>
  <c r="B1399" i="1"/>
  <c r="K1398" i="1"/>
  <c r="C1398" i="1"/>
  <c r="B1398" i="1"/>
  <c r="K1397" i="1"/>
  <c r="C1397" i="1"/>
  <c r="B1397" i="1"/>
  <c r="K1396" i="1"/>
  <c r="C1396" i="1"/>
  <c r="B1396" i="1"/>
  <c r="K1395" i="1"/>
  <c r="C1395" i="1"/>
  <c r="B1395" i="1"/>
  <c r="K1394" i="1"/>
  <c r="C1394" i="1"/>
  <c r="B1394" i="1"/>
  <c r="K1393" i="1"/>
  <c r="C1393" i="1"/>
  <c r="B1393" i="1"/>
  <c r="K1392" i="1"/>
  <c r="C1392" i="1"/>
  <c r="B1392" i="1"/>
  <c r="K1391" i="1"/>
  <c r="C1391" i="1"/>
  <c r="B1391" i="1"/>
  <c r="K1390" i="1"/>
  <c r="C1390" i="1"/>
  <c r="B1390" i="1"/>
  <c r="K1389" i="1"/>
  <c r="C1389" i="1"/>
  <c r="B1389" i="1"/>
  <c r="K1388" i="1"/>
  <c r="C1388" i="1"/>
  <c r="B1388" i="1"/>
  <c r="K1387" i="1"/>
  <c r="C1387" i="1"/>
  <c r="B1387" i="1"/>
  <c r="K1386" i="1"/>
  <c r="C1386" i="1"/>
  <c r="B1386" i="1"/>
  <c r="K1385" i="1"/>
  <c r="C1385" i="1"/>
  <c r="B1385" i="1"/>
  <c r="K1384" i="1"/>
  <c r="C1384" i="1"/>
  <c r="B1384" i="1"/>
  <c r="K1383" i="1"/>
  <c r="C1383" i="1"/>
  <c r="B1383" i="1"/>
  <c r="K1382" i="1"/>
  <c r="C1382" i="1"/>
  <c r="B1382" i="1"/>
  <c r="K1381" i="1"/>
  <c r="C1381" i="1"/>
  <c r="B1381" i="1"/>
  <c r="K1380" i="1"/>
  <c r="C1380" i="1"/>
  <c r="B1380" i="1"/>
  <c r="K1379" i="1"/>
  <c r="C1379" i="1"/>
  <c r="B1379" i="1"/>
  <c r="K1378" i="1"/>
  <c r="C1378" i="1"/>
  <c r="B1378" i="1"/>
  <c r="K1377" i="1"/>
  <c r="C1377" i="1"/>
  <c r="B1377" i="1"/>
  <c r="K1376" i="1"/>
  <c r="C1376" i="1"/>
  <c r="B1376" i="1"/>
  <c r="K1375" i="1"/>
  <c r="C1375" i="1"/>
  <c r="B1375" i="1"/>
  <c r="K1374" i="1"/>
  <c r="C1374" i="1"/>
  <c r="B1374" i="1"/>
  <c r="K1373" i="1"/>
  <c r="C1373" i="1"/>
  <c r="B1373" i="1"/>
  <c r="K1372" i="1"/>
  <c r="C1372" i="1"/>
  <c r="B1372" i="1"/>
  <c r="K1371" i="1"/>
  <c r="C1371" i="1"/>
  <c r="B1371" i="1"/>
  <c r="K1370" i="1"/>
  <c r="C1370" i="1"/>
  <c r="B1370" i="1"/>
  <c r="K1369" i="1"/>
  <c r="C1369" i="1"/>
  <c r="B1369" i="1"/>
  <c r="K1368" i="1"/>
  <c r="C1368" i="1"/>
  <c r="B1368" i="1"/>
  <c r="K1367" i="1"/>
  <c r="C1367" i="1"/>
  <c r="B1367" i="1"/>
  <c r="K1366" i="1"/>
  <c r="C1366" i="1"/>
  <c r="B1366" i="1"/>
  <c r="K1365" i="1"/>
  <c r="C1365" i="1"/>
  <c r="B1365" i="1"/>
  <c r="K1364" i="1"/>
  <c r="C1364" i="1"/>
  <c r="B1364" i="1"/>
  <c r="K1363" i="1"/>
  <c r="C1363" i="1"/>
  <c r="B1363" i="1"/>
  <c r="K1362" i="1"/>
  <c r="C1362" i="1"/>
  <c r="B1362" i="1"/>
  <c r="K1361" i="1"/>
  <c r="C1361" i="1"/>
  <c r="B1361" i="1"/>
  <c r="K1360" i="1"/>
  <c r="C1360" i="1"/>
  <c r="B1360" i="1"/>
  <c r="K1359" i="1"/>
  <c r="C1359" i="1"/>
  <c r="B1359" i="1"/>
  <c r="K1358" i="1"/>
  <c r="C1358" i="1"/>
  <c r="B1358" i="1"/>
  <c r="K1357" i="1"/>
  <c r="C1357" i="1"/>
  <c r="B1357" i="1"/>
  <c r="K1356" i="1"/>
  <c r="C1356" i="1"/>
  <c r="B1356" i="1"/>
  <c r="K1355" i="1"/>
  <c r="C1355" i="1"/>
  <c r="B1355" i="1"/>
  <c r="K1354" i="1"/>
  <c r="C1354" i="1"/>
  <c r="B1354" i="1"/>
  <c r="K1353" i="1"/>
  <c r="C1353" i="1"/>
  <c r="B1353" i="1"/>
  <c r="K1352" i="1"/>
  <c r="C1352" i="1"/>
  <c r="B1352" i="1"/>
  <c r="K1351" i="1"/>
  <c r="C1351" i="1"/>
  <c r="B1351" i="1"/>
  <c r="K1350" i="1"/>
  <c r="C1350" i="1"/>
  <c r="B1350" i="1"/>
  <c r="K1349" i="1"/>
  <c r="C1349" i="1"/>
  <c r="B1349" i="1"/>
  <c r="K1348" i="1"/>
  <c r="C1348" i="1"/>
  <c r="B1348" i="1"/>
  <c r="K1347" i="1"/>
  <c r="C1347" i="1"/>
  <c r="B1347" i="1"/>
  <c r="K1346" i="1"/>
  <c r="C1346" i="1"/>
  <c r="B1346" i="1"/>
  <c r="K1345" i="1"/>
  <c r="C1345" i="1"/>
  <c r="B1345" i="1"/>
  <c r="K1344" i="1"/>
  <c r="C1344" i="1"/>
  <c r="B1344" i="1"/>
  <c r="K1343" i="1"/>
  <c r="C1343" i="1"/>
  <c r="B1343" i="1"/>
  <c r="K1342" i="1"/>
  <c r="C1342" i="1"/>
  <c r="B1342" i="1"/>
  <c r="K1341" i="1"/>
  <c r="C1341" i="1"/>
  <c r="B1341" i="1"/>
  <c r="K1340" i="1"/>
  <c r="C1340" i="1"/>
  <c r="B1340" i="1"/>
  <c r="K1339" i="1"/>
  <c r="C1339" i="1"/>
  <c r="B1339" i="1"/>
  <c r="K1338" i="1"/>
  <c r="C1338" i="1"/>
  <c r="B1338" i="1"/>
  <c r="K1337" i="1"/>
  <c r="C1337" i="1"/>
  <c r="B1337" i="1"/>
  <c r="K1336" i="1"/>
  <c r="C1336" i="1"/>
  <c r="B1336" i="1"/>
  <c r="K1335" i="1"/>
  <c r="C1335" i="1"/>
  <c r="B1335" i="1"/>
  <c r="K1334" i="1"/>
  <c r="C1334" i="1"/>
  <c r="B1334" i="1"/>
  <c r="K1333" i="1"/>
  <c r="C1333" i="1"/>
  <c r="B1333" i="1"/>
  <c r="K1332" i="1"/>
  <c r="C1332" i="1"/>
  <c r="B1332" i="1"/>
  <c r="K1331" i="1"/>
  <c r="C1331" i="1"/>
  <c r="B1331" i="1"/>
  <c r="K1330" i="1"/>
  <c r="C1330" i="1"/>
  <c r="B1330" i="1"/>
  <c r="K1329" i="1"/>
  <c r="C1329" i="1"/>
  <c r="B1329" i="1"/>
  <c r="K1328" i="1"/>
  <c r="C1328" i="1"/>
  <c r="B1328" i="1"/>
  <c r="K1327" i="1"/>
  <c r="C1327" i="1"/>
  <c r="B1327" i="1"/>
  <c r="K1326" i="1"/>
  <c r="C1326" i="1"/>
  <c r="B1326" i="1"/>
  <c r="K1325" i="1"/>
  <c r="C1325" i="1"/>
  <c r="B1325" i="1"/>
  <c r="K1324" i="1"/>
  <c r="C1324" i="1"/>
  <c r="B1324" i="1"/>
  <c r="K1323" i="1"/>
  <c r="C1323" i="1"/>
  <c r="B1323" i="1"/>
  <c r="K1322" i="1"/>
  <c r="C1322" i="1"/>
  <c r="B1322" i="1"/>
  <c r="K1321" i="1"/>
  <c r="C1321" i="1"/>
  <c r="B1321" i="1"/>
  <c r="K1320" i="1"/>
  <c r="C1320" i="1"/>
  <c r="B1320" i="1"/>
  <c r="K1319" i="1"/>
  <c r="C1319" i="1"/>
  <c r="B1319" i="1"/>
  <c r="K1318" i="1"/>
  <c r="C1318" i="1"/>
  <c r="B1318" i="1"/>
  <c r="K1317" i="1"/>
  <c r="C1317" i="1"/>
  <c r="B1317" i="1"/>
  <c r="K1316" i="1"/>
  <c r="C1316" i="1"/>
  <c r="B1316" i="1"/>
  <c r="K1315" i="1"/>
  <c r="C1315" i="1"/>
  <c r="B1315" i="1"/>
  <c r="K1314" i="1"/>
  <c r="C1314" i="1"/>
  <c r="B1314" i="1"/>
  <c r="K1313" i="1"/>
  <c r="C1313" i="1"/>
  <c r="B1313" i="1"/>
  <c r="K1312" i="1"/>
  <c r="C1312" i="1"/>
  <c r="B1312" i="1"/>
  <c r="K1311" i="1"/>
  <c r="C1311" i="1"/>
  <c r="B1311" i="1"/>
  <c r="K1310" i="1"/>
  <c r="C1310" i="1"/>
  <c r="B1310" i="1"/>
  <c r="K1309" i="1"/>
  <c r="C1309" i="1"/>
  <c r="B1309" i="1"/>
  <c r="K1308" i="1"/>
  <c r="C1308" i="1"/>
  <c r="B1308" i="1"/>
  <c r="K1307" i="1"/>
  <c r="C1307" i="1"/>
  <c r="B1307" i="1"/>
  <c r="K1306" i="1"/>
  <c r="C1306" i="1"/>
  <c r="B1306" i="1"/>
  <c r="K1305" i="1"/>
  <c r="C1305" i="1"/>
  <c r="B1305" i="1"/>
  <c r="K1304" i="1"/>
  <c r="C1304" i="1"/>
  <c r="B1304" i="1"/>
  <c r="K1303" i="1"/>
  <c r="C1303" i="1"/>
  <c r="B1303" i="1"/>
  <c r="K1302" i="1"/>
  <c r="C1302" i="1"/>
  <c r="B1302" i="1"/>
  <c r="K1301" i="1"/>
  <c r="C1301" i="1"/>
  <c r="B1301" i="1"/>
  <c r="K1300" i="1"/>
  <c r="C1300" i="1"/>
  <c r="B1300" i="1"/>
  <c r="K1299" i="1"/>
  <c r="C1299" i="1"/>
  <c r="B1299" i="1"/>
  <c r="K1298" i="1"/>
  <c r="C1298" i="1"/>
  <c r="B1298" i="1"/>
  <c r="K1297" i="1"/>
  <c r="C1297" i="1"/>
  <c r="B1297" i="1"/>
  <c r="K1296" i="1"/>
  <c r="C1296" i="1"/>
  <c r="B1296" i="1"/>
  <c r="K1295" i="1"/>
  <c r="C1295" i="1"/>
  <c r="B1295" i="1"/>
  <c r="K1294" i="1"/>
  <c r="C1294" i="1"/>
  <c r="B1294" i="1"/>
  <c r="K1293" i="1"/>
  <c r="C1293" i="1"/>
  <c r="B1293" i="1"/>
  <c r="K1292" i="1"/>
  <c r="C1292" i="1"/>
  <c r="B1292" i="1"/>
  <c r="K1291" i="1"/>
  <c r="C1291" i="1"/>
  <c r="B1291" i="1"/>
  <c r="K1290" i="1"/>
  <c r="C1290" i="1"/>
  <c r="B1290" i="1"/>
  <c r="K1289" i="1"/>
  <c r="C1289" i="1"/>
  <c r="B1289" i="1"/>
  <c r="K1288" i="1"/>
  <c r="C1288" i="1"/>
  <c r="B1288" i="1"/>
  <c r="K1287" i="1"/>
  <c r="C1287" i="1"/>
  <c r="B1287" i="1"/>
  <c r="K1286" i="1"/>
  <c r="C1286" i="1"/>
  <c r="B1286" i="1"/>
  <c r="K1285" i="1"/>
  <c r="C1285" i="1"/>
  <c r="B1285" i="1"/>
  <c r="K1284" i="1"/>
  <c r="C1284" i="1"/>
  <c r="B1284" i="1"/>
  <c r="K1283" i="1"/>
  <c r="C1283" i="1"/>
  <c r="B1283" i="1"/>
  <c r="K1282" i="1"/>
  <c r="C1282" i="1"/>
  <c r="B1282" i="1"/>
  <c r="K1281" i="1"/>
  <c r="C1281" i="1"/>
  <c r="B1281" i="1"/>
  <c r="K1280" i="1"/>
  <c r="C1280" i="1"/>
  <c r="B1280" i="1"/>
  <c r="K1279" i="1"/>
  <c r="C1279" i="1"/>
  <c r="B1279" i="1"/>
  <c r="K1278" i="1"/>
  <c r="C1278" i="1"/>
  <c r="B1278" i="1"/>
  <c r="K1277" i="1"/>
  <c r="C1277" i="1"/>
  <c r="B1277" i="1"/>
  <c r="K1276" i="1"/>
  <c r="C1276" i="1"/>
  <c r="B1276" i="1"/>
  <c r="K1275" i="1"/>
  <c r="C1275" i="1"/>
  <c r="B1275" i="1"/>
  <c r="K1274" i="1"/>
  <c r="C1274" i="1"/>
  <c r="B1274" i="1"/>
  <c r="K1273" i="1"/>
  <c r="C1273" i="1"/>
  <c r="B1273" i="1"/>
  <c r="K1272" i="1"/>
  <c r="C1272" i="1"/>
  <c r="B1272" i="1"/>
  <c r="K1271" i="1"/>
  <c r="C1271" i="1"/>
  <c r="B1271" i="1"/>
  <c r="K1270" i="1"/>
  <c r="C1270" i="1"/>
  <c r="B1270" i="1"/>
  <c r="K1269" i="1"/>
  <c r="C1269" i="1"/>
  <c r="B1269" i="1"/>
  <c r="K1268" i="1"/>
  <c r="C1268" i="1"/>
  <c r="B1268" i="1"/>
  <c r="K1267" i="1"/>
  <c r="C1267" i="1"/>
  <c r="B1267" i="1"/>
  <c r="K1266" i="1"/>
  <c r="C1266" i="1"/>
  <c r="B1266" i="1"/>
  <c r="K1265" i="1"/>
  <c r="C1265" i="1"/>
  <c r="B1265" i="1"/>
  <c r="K1264" i="1"/>
  <c r="C1264" i="1"/>
  <c r="B1264" i="1"/>
  <c r="K1263" i="1"/>
  <c r="C1263" i="1"/>
  <c r="B1263" i="1"/>
  <c r="K1262" i="1"/>
  <c r="C1262" i="1"/>
  <c r="B1262" i="1"/>
  <c r="K1261" i="1"/>
  <c r="C1261" i="1"/>
  <c r="B1261" i="1"/>
  <c r="K1260" i="1"/>
  <c r="C1260" i="1"/>
  <c r="B1260" i="1"/>
  <c r="K1259" i="1"/>
  <c r="C1259" i="1"/>
  <c r="B1259" i="1"/>
  <c r="K1258" i="1"/>
  <c r="C1258" i="1"/>
  <c r="B1258" i="1"/>
  <c r="K1257" i="1"/>
  <c r="C1257" i="1"/>
  <c r="B1257" i="1"/>
  <c r="K1256" i="1"/>
  <c r="C1256" i="1"/>
  <c r="B1256" i="1"/>
  <c r="K1255" i="1"/>
  <c r="C1255" i="1"/>
  <c r="B1255" i="1"/>
  <c r="K1254" i="1"/>
  <c r="C1254" i="1"/>
  <c r="B1254" i="1"/>
  <c r="K1253" i="1"/>
  <c r="C1253" i="1"/>
  <c r="B1253" i="1"/>
  <c r="K1252" i="1"/>
  <c r="C1252" i="1"/>
  <c r="B1252" i="1"/>
  <c r="K1251" i="1"/>
  <c r="C1251" i="1"/>
  <c r="B1251" i="1"/>
  <c r="K1250" i="1"/>
  <c r="C1250" i="1"/>
  <c r="B1250" i="1"/>
  <c r="K1249" i="1"/>
  <c r="C1249" i="1"/>
  <c r="B1249" i="1"/>
  <c r="K1248" i="1"/>
  <c r="C1248" i="1"/>
  <c r="B1248" i="1"/>
  <c r="K1247" i="1"/>
  <c r="C1247" i="1"/>
  <c r="B1247" i="1"/>
  <c r="K1246" i="1"/>
  <c r="C1246" i="1"/>
  <c r="B1246" i="1"/>
  <c r="K1245" i="1"/>
  <c r="C1245" i="1"/>
  <c r="B1245" i="1"/>
  <c r="K1244" i="1"/>
  <c r="C1244" i="1"/>
  <c r="B1244" i="1"/>
  <c r="K1243" i="1"/>
  <c r="C1243" i="1"/>
  <c r="B1243" i="1"/>
  <c r="K1242" i="1"/>
  <c r="C1242" i="1"/>
  <c r="B1242" i="1"/>
  <c r="K1241" i="1"/>
  <c r="C1241" i="1"/>
  <c r="B1241" i="1"/>
  <c r="K1240" i="1"/>
  <c r="C1240" i="1"/>
  <c r="B1240" i="1"/>
  <c r="K1239" i="1"/>
  <c r="C1239" i="1"/>
  <c r="B1239" i="1"/>
  <c r="K1238" i="1"/>
  <c r="C1238" i="1"/>
  <c r="B1238" i="1"/>
  <c r="K1237" i="1"/>
  <c r="C1237" i="1"/>
  <c r="B1237" i="1"/>
  <c r="K1236" i="1"/>
  <c r="C1236" i="1"/>
  <c r="B1236" i="1"/>
  <c r="K1235" i="1"/>
  <c r="C1235" i="1"/>
  <c r="B1235" i="1"/>
  <c r="K1234" i="1"/>
  <c r="C1234" i="1"/>
  <c r="B1234" i="1"/>
  <c r="K1233" i="1"/>
  <c r="C1233" i="1"/>
  <c r="B1233" i="1"/>
  <c r="K1232" i="1"/>
  <c r="C1232" i="1"/>
  <c r="B1232" i="1"/>
  <c r="K1231" i="1"/>
  <c r="C1231" i="1"/>
  <c r="B1231" i="1"/>
  <c r="K1230" i="1"/>
  <c r="C1230" i="1"/>
  <c r="B1230" i="1"/>
  <c r="K1229" i="1"/>
  <c r="C1229" i="1"/>
  <c r="B1229" i="1"/>
  <c r="K1228" i="1"/>
  <c r="C1228" i="1"/>
  <c r="B1228" i="1"/>
  <c r="K1227" i="1"/>
  <c r="C1227" i="1"/>
  <c r="B1227" i="1"/>
  <c r="K1226" i="1"/>
  <c r="C1226" i="1"/>
  <c r="B1226" i="1"/>
  <c r="K1225" i="1"/>
  <c r="C1225" i="1"/>
  <c r="B1225" i="1"/>
  <c r="K1224" i="1"/>
  <c r="C1224" i="1"/>
  <c r="B1224" i="1"/>
  <c r="K1223" i="1"/>
  <c r="C1223" i="1"/>
  <c r="B1223" i="1"/>
  <c r="K1222" i="1"/>
  <c r="C1222" i="1"/>
  <c r="B1222" i="1"/>
  <c r="K1221" i="1"/>
  <c r="C1221" i="1"/>
  <c r="B1221" i="1"/>
  <c r="K1220" i="1"/>
  <c r="C1220" i="1"/>
  <c r="B1220" i="1"/>
  <c r="K1219" i="1"/>
  <c r="C1219" i="1"/>
  <c r="B1219" i="1"/>
  <c r="K1218" i="1"/>
  <c r="C1218" i="1"/>
  <c r="B1218" i="1"/>
  <c r="K1217" i="1"/>
  <c r="C1217" i="1"/>
  <c r="B1217" i="1"/>
  <c r="K1216" i="1"/>
  <c r="C1216" i="1"/>
  <c r="B1216" i="1"/>
  <c r="K1215" i="1"/>
  <c r="C1215" i="1"/>
  <c r="B1215" i="1"/>
  <c r="K1214" i="1"/>
  <c r="C1214" i="1"/>
  <c r="B1214" i="1"/>
  <c r="K1213" i="1"/>
  <c r="C1213" i="1"/>
  <c r="B1213" i="1"/>
  <c r="K1212" i="1"/>
  <c r="C1212" i="1"/>
  <c r="B1212" i="1"/>
  <c r="K1211" i="1"/>
  <c r="C1211" i="1"/>
  <c r="B1211" i="1"/>
  <c r="K1210" i="1"/>
  <c r="C1210" i="1"/>
  <c r="B1210" i="1"/>
  <c r="K1209" i="1"/>
  <c r="C1209" i="1"/>
  <c r="B1209" i="1"/>
  <c r="K1208" i="1"/>
  <c r="C1208" i="1"/>
  <c r="B1208" i="1"/>
  <c r="K1207" i="1"/>
  <c r="C1207" i="1"/>
  <c r="B1207" i="1"/>
  <c r="K1206" i="1"/>
  <c r="C1206" i="1"/>
  <c r="B1206" i="1"/>
  <c r="K1205" i="1"/>
  <c r="C1205" i="1"/>
  <c r="B1205" i="1"/>
  <c r="K1204" i="1"/>
  <c r="C1204" i="1"/>
  <c r="B1204" i="1"/>
  <c r="K1203" i="1"/>
  <c r="C1203" i="1"/>
  <c r="B1203" i="1"/>
  <c r="K1202" i="1"/>
  <c r="C1202" i="1"/>
  <c r="B1202" i="1"/>
  <c r="K1201" i="1"/>
  <c r="C1201" i="1"/>
  <c r="B1201" i="1"/>
  <c r="K1200" i="1"/>
  <c r="C1200" i="1"/>
  <c r="B1200" i="1"/>
  <c r="K1199" i="1"/>
  <c r="C1199" i="1"/>
  <c r="B1199" i="1"/>
  <c r="K1198" i="1"/>
  <c r="C1198" i="1"/>
  <c r="B1198" i="1"/>
  <c r="K1197" i="1"/>
  <c r="C1197" i="1"/>
  <c r="B1197" i="1"/>
  <c r="K1196" i="1"/>
  <c r="C1196" i="1"/>
  <c r="B1196" i="1"/>
  <c r="K1195" i="1"/>
  <c r="C1195" i="1"/>
  <c r="B1195" i="1"/>
  <c r="K1194" i="1"/>
  <c r="C1194" i="1"/>
  <c r="B1194" i="1"/>
  <c r="K1193" i="1"/>
  <c r="C1193" i="1"/>
  <c r="B1193" i="1"/>
  <c r="K1192" i="1"/>
  <c r="C1192" i="1"/>
  <c r="B1192" i="1"/>
  <c r="K1191" i="1"/>
  <c r="C1191" i="1"/>
  <c r="B1191" i="1"/>
  <c r="K1190" i="1"/>
  <c r="C1190" i="1"/>
  <c r="B1190" i="1"/>
  <c r="K1189" i="1"/>
  <c r="C1189" i="1"/>
  <c r="B1189" i="1"/>
  <c r="K1188" i="1"/>
  <c r="C1188" i="1"/>
  <c r="B1188" i="1"/>
  <c r="K1187" i="1"/>
  <c r="C1187" i="1"/>
  <c r="B1187" i="1"/>
  <c r="K1186" i="1"/>
  <c r="C1186" i="1"/>
  <c r="B1186" i="1"/>
  <c r="K1185" i="1"/>
  <c r="C1185" i="1"/>
  <c r="B1185" i="1"/>
  <c r="K1184" i="1"/>
  <c r="C1184" i="1"/>
  <c r="B1184" i="1"/>
  <c r="K1183" i="1"/>
  <c r="C1183" i="1"/>
  <c r="B1183" i="1"/>
  <c r="K1182" i="1"/>
  <c r="C1182" i="1"/>
  <c r="B1182" i="1"/>
  <c r="K1181" i="1"/>
  <c r="C1181" i="1"/>
  <c r="B1181" i="1"/>
  <c r="K1180" i="1"/>
  <c r="C1180" i="1"/>
  <c r="B1180" i="1"/>
  <c r="K1179" i="1"/>
  <c r="C1179" i="1"/>
  <c r="B1179" i="1"/>
  <c r="K1178" i="1"/>
  <c r="C1178" i="1"/>
  <c r="B1178" i="1"/>
  <c r="K1177" i="1"/>
  <c r="C1177" i="1"/>
  <c r="B1177" i="1"/>
  <c r="K1176" i="1"/>
  <c r="C1176" i="1"/>
  <c r="B1176" i="1"/>
  <c r="K1175" i="1"/>
  <c r="C1175" i="1"/>
  <c r="B1175" i="1"/>
  <c r="K1174" i="1"/>
  <c r="C1174" i="1"/>
  <c r="B1174" i="1"/>
  <c r="K1173" i="1"/>
  <c r="C1173" i="1"/>
  <c r="B1173" i="1"/>
  <c r="K1172" i="1"/>
  <c r="C1172" i="1"/>
  <c r="B1172" i="1"/>
  <c r="K1171" i="1"/>
  <c r="C1171" i="1"/>
  <c r="B1171" i="1"/>
  <c r="K1170" i="1"/>
  <c r="C1170" i="1"/>
  <c r="B1170" i="1"/>
  <c r="K1169" i="1"/>
  <c r="C1169" i="1"/>
  <c r="B1169" i="1"/>
  <c r="K1168" i="1"/>
  <c r="C1168" i="1"/>
  <c r="B1168" i="1"/>
  <c r="K1167" i="1"/>
  <c r="C1167" i="1"/>
  <c r="B1167" i="1"/>
  <c r="K1166" i="1"/>
  <c r="C1166" i="1"/>
  <c r="B1166" i="1"/>
  <c r="K1165" i="1"/>
  <c r="C1165" i="1"/>
  <c r="B1165" i="1"/>
  <c r="K1164" i="1"/>
  <c r="C1164" i="1"/>
  <c r="B1164" i="1"/>
  <c r="K1163" i="1"/>
  <c r="C1163" i="1"/>
  <c r="B1163" i="1"/>
  <c r="K1162" i="1"/>
  <c r="C1162" i="1"/>
  <c r="B1162" i="1"/>
  <c r="K1161" i="1"/>
  <c r="C1161" i="1"/>
  <c r="B1161" i="1"/>
  <c r="K1160" i="1"/>
  <c r="C1160" i="1"/>
  <c r="B1160" i="1"/>
  <c r="K1159" i="1"/>
  <c r="C1159" i="1"/>
  <c r="B1159" i="1"/>
  <c r="K1158" i="1"/>
  <c r="C1158" i="1"/>
  <c r="B1158" i="1"/>
  <c r="K1157" i="1"/>
  <c r="C1157" i="1"/>
  <c r="B1157" i="1"/>
  <c r="K1156" i="1"/>
  <c r="C1156" i="1"/>
  <c r="B1156" i="1"/>
  <c r="K1155" i="1"/>
  <c r="C1155" i="1"/>
  <c r="B1155" i="1"/>
  <c r="K1154" i="1"/>
  <c r="C1154" i="1"/>
  <c r="B1154" i="1"/>
  <c r="K1153" i="1"/>
  <c r="C1153" i="1"/>
  <c r="B1153" i="1"/>
  <c r="K1152" i="1"/>
  <c r="C1152" i="1"/>
  <c r="B1152" i="1"/>
  <c r="K1151" i="1"/>
  <c r="C1151" i="1"/>
  <c r="B1151" i="1"/>
  <c r="K1150" i="1"/>
  <c r="C1150" i="1"/>
  <c r="B1150" i="1"/>
  <c r="K1149" i="1"/>
  <c r="C1149" i="1"/>
  <c r="B1149" i="1"/>
  <c r="K1148" i="1"/>
  <c r="C1148" i="1"/>
  <c r="B1148" i="1"/>
  <c r="K1147" i="1"/>
  <c r="C1147" i="1"/>
  <c r="B1147" i="1"/>
  <c r="K1146" i="1"/>
  <c r="C1146" i="1"/>
  <c r="B1146" i="1"/>
  <c r="K1145" i="1"/>
  <c r="C1145" i="1"/>
  <c r="B1145" i="1"/>
  <c r="K1144" i="1"/>
  <c r="C1144" i="1"/>
  <c r="B1144" i="1"/>
  <c r="K1143" i="1"/>
  <c r="C1143" i="1"/>
  <c r="B1143" i="1"/>
  <c r="K1142" i="1"/>
  <c r="C1142" i="1"/>
  <c r="B1142" i="1"/>
  <c r="K1141" i="1"/>
  <c r="C1141" i="1"/>
  <c r="B1141" i="1"/>
  <c r="K1140" i="1"/>
  <c r="C1140" i="1"/>
  <c r="B1140" i="1"/>
  <c r="K1139" i="1"/>
  <c r="C1139" i="1"/>
  <c r="B1139" i="1"/>
  <c r="K1138" i="1"/>
  <c r="C1138" i="1"/>
  <c r="B1138" i="1"/>
  <c r="K1137" i="1"/>
  <c r="C1137" i="1"/>
  <c r="B1137" i="1"/>
  <c r="K1136" i="1"/>
  <c r="C1136" i="1"/>
  <c r="B1136" i="1"/>
  <c r="K1135" i="1"/>
  <c r="C1135" i="1"/>
  <c r="B1135" i="1"/>
  <c r="K1134" i="1"/>
  <c r="C1134" i="1"/>
  <c r="B1134" i="1"/>
  <c r="K1133" i="1"/>
  <c r="C1133" i="1"/>
  <c r="B1133" i="1"/>
  <c r="K1132" i="1"/>
  <c r="C1132" i="1"/>
  <c r="B1132" i="1"/>
  <c r="K1131" i="1"/>
  <c r="C1131" i="1"/>
  <c r="B1131" i="1"/>
  <c r="K1130" i="1"/>
  <c r="C1130" i="1"/>
  <c r="B1130" i="1"/>
  <c r="K1129" i="1"/>
  <c r="C1129" i="1"/>
  <c r="B1129" i="1"/>
  <c r="K1128" i="1"/>
  <c r="C1128" i="1"/>
  <c r="B1128" i="1"/>
  <c r="K1127" i="1"/>
  <c r="C1127" i="1"/>
  <c r="B1127" i="1"/>
  <c r="K1126" i="1"/>
  <c r="C1126" i="1"/>
  <c r="B1126" i="1"/>
  <c r="K1125" i="1"/>
  <c r="C1125" i="1"/>
  <c r="B1125" i="1"/>
  <c r="K1124" i="1"/>
  <c r="C1124" i="1"/>
  <c r="B1124" i="1"/>
  <c r="K1123" i="1"/>
  <c r="C1123" i="1"/>
  <c r="B1123" i="1"/>
  <c r="K1122" i="1"/>
  <c r="C1122" i="1"/>
  <c r="B1122" i="1"/>
  <c r="K1121" i="1"/>
  <c r="C1121" i="1"/>
  <c r="B1121" i="1"/>
  <c r="K1120" i="1"/>
  <c r="C1120" i="1"/>
  <c r="B1120" i="1"/>
  <c r="K1119" i="1"/>
  <c r="C1119" i="1"/>
  <c r="B1119" i="1"/>
  <c r="K1118" i="1"/>
  <c r="C1118" i="1"/>
  <c r="B1118" i="1"/>
  <c r="K1117" i="1"/>
  <c r="C1117" i="1"/>
  <c r="B1117" i="1"/>
  <c r="K1116" i="1"/>
  <c r="C1116" i="1"/>
  <c r="B1116" i="1"/>
  <c r="K1115" i="1"/>
  <c r="C1115" i="1"/>
  <c r="B1115" i="1"/>
  <c r="K1114" i="1"/>
  <c r="C1114" i="1"/>
  <c r="B1114" i="1"/>
  <c r="K1113" i="1"/>
  <c r="C1113" i="1"/>
  <c r="B1113" i="1"/>
  <c r="K1112" i="1"/>
  <c r="C1112" i="1"/>
  <c r="B1112" i="1"/>
  <c r="K1111" i="1"/>
  <c r="C1111" i="1"/>
  <c r="B1111" i="1"/>
  <c r="K1110" i="1"/>
  <c r="C1110" i="1"/>
  <c r="B1110" i="1"/>
  <c r="K1109" i="1"/>
  <c r="C1109" i="1"/>
  <c r="B1109" i="1"/>
  <c r="K1108" i="1"/>
  <c r="C1108" i="1"/>
  <c r="B1108" i="1"/>
  <c r="K1107" i="1"/>
  <c r="C1107" i="1"/>
  <c r="B1107" i="1"/>
  <c r="K1106" i="1"/>
  <c r="C1106" i="1"/>
  <c r="B1106" i="1"/>
  <c r="K1105" i="1"/>
  <c r="C1105" i="1"/>
  <c r="B1105" i="1"/>
  <c r="K1104" i="1"/>
  <c r="C1104" i="1"/>
  <c r="B1104" i="1"/>
  <c r="K1103" i="1"/>
  <c r="C1103" i="1"/>
  <c r="B1103" i="1"/>
  <c r="K1102" i="1"/>
  <c r="C1102" i="1"/>
  <c r="B1102" i="1"/>
  <c r="K1101" i="1"/>
  <c r="C1101" i="1"/>
  <c r="B1101" i="1"/>
  <c r="K1100" i="1"/>
  <c r="C1100" i="1"/>
  <c r="B1100" i="1"/>
  <c r="K1099" i="1"/>
  <c r="C1099" i="1"/>
  <c r="B1099" i="1"/>
  <c r="K1098" i="1"/>
  <c r="C1098" i="1"/>
  <c r="B1098" i="1"/>
  <c r="K1097" i="1"/>
  <c r="C1097" i="1"/>
  <c r="B1097" i="1"/>
  <c r="K1096" i="1"/>
  <c r="C1096" i="1"/>
  <c r="B1096" i="1"/>
  <c r="K1095" i="1"/>
  <c r="C1095" i="1"/>
  <c r="B1095" i="1"/>
  <c r="K1094" i="1"/>
  <c r="C1094" i="1"/>
  <c r="B1094" i="1"/>
  <c r="K1093" i="1"/>
  <c r="C1093" i="1"/>
  <c r="B1093" i="1"/>
  <c r="K1092" i="1"/>
  <c r="C1092" i="1"/>
  <c r="B1092" i="1"/>
  <c r="K1091" i="1"/>
  <c r="C1091" i="1"/>
  <c r="B1091" i="1"/>
  <c r="K1090" i="1"/>
  <c r="C1090" i="1"/>
  <c r="B1090" i="1"/>
  <c r="K1089" i="1"/>
  <c r="C1089" i="1"/>
  <c r="B1089" i="1"/>
  <c r="K1088" i="1"/>
  <c r="C1088" i="1"/>
  <c r="B1088" i="1"/>
  <c r="K1087" i="1"/>
  <c r="C1087" i="1"/>
  <c r="B1087" i="1"/>
  <c r="K1086" i="1"/>
  <c r="C1086" i="1"/>
  <c r="B1086" i="1"/>
  <c r="K1085" i="1"/>
  <c r="C1085" i="1"/>
  <c r="B1085" i="1"/>
  <c r="K1084" i="1"/>
  <c r="C1084" i="1"/>
  <c r="B1084" i="1"/>
  <c r="K1083" i="1"/>
  <c r="C1083" i="1"/>
  <c r="B1083" i="1"/>
  <c r="K1082" i="1"/>
  <c r="C1082" i="1"/>
  <c r="B1082" i="1"/>
  <c r="K1081" i="1"/>
  <c r="C1081" i="1"/>
  <c r="B1081" i="1"/>
  <c r="K1080" i="1"/>
  <c r="C1080" i="1"/>
  <c r="B1080" i="1"/>
  <c r="K1079" i="1"/>
  <c r="C1079" i="1"/>
  <c r="B1079" i="1"/>
  <c r="K1078" i="1"/>
  <c r="C1078" i="1"/>
  <c r="B1078" i="1"/>
  <c r="K1077" i="1"/>
  <c r="C1077" i="1"/>
  <c r="B1077" i="1"/>
  <c r="K1076" i="1"/>
  <c r="C1076" i="1"/>
  <c r="B1076" i="1"/>
  <c r="K1075" i="1"/>
  <c r="C1075" i="1"/>
  <c r="B1075" i="1"/>
  <c r="K1074" i="1"/>
  <c r="C1074" i="1"/>
  <c r="B1074" i="1"/>
  <c r="K1073" i="1"/>
  <c r="C1073" i="1"/>
  <c r="B1073" i="1"/>
  <c r="K1072" i="1"/>
  <c r="C1072" i="1"/>
  <c r="B1072" i="1"/>
  <c r="K1071" i="1"/>
  <c r="C1071" i="1"/>
  <c r="B1071" i="1"/>
  <c r="K1070" i="1"/>
  <c r="C1070" i="1"/>
  <c r="B1070" i="1"/>
  <c r="K1069" i="1"/>
  <c r="C1069" i="1"/>
  <c r="B1069" i="1"/>
  <c r="K1068" i="1"/>
  <c r="C1068" i="1"/>
  <c r="B1068" i="1"/>
  <c r="K1067" i="1"/>
  <c r="C1067" i="1"/>
  <c r="B1067" i="1"/>
  <c r="K1066" i="1"/>
  <c r="C1066" i="1"/>
  <c r="B1066" i="1"/>
  <c r="K1065" i="1"/>
  <c r="C1065" i="1"/>
  <c r="B1065" i="1"/>
  <c r="K1064" i="1"/>
  <c r="C1064" i="1"/>
  <c r="B1064" i="1"/>
  <c r="K1063" i="1"/>
  <c r="C1063" i="1"/>
  <c r="B1063" i="1"/>
  <c r="K1062" i="1"/>
  <c r="C1062" i="1"/>
  <c r="B1062" i="1"/>
  <c r="K1061" i="1"/>
  <c r="C1061" i="1"/>
  <c r="B1061" i="1"/>
  <c r="K1060" i="1"/>
  <c r="C1060" i="1"/>
  <c r="B1060" i="1"/>
  <c r="K1059" i="1"/>
  <c r="C1059" i="1"/>
  <c r="B1059" i="1"/>
  <c r="K1058" i="1"/>
  <c r="C1058" i="1"/>
  <c r="B1058" i="1"/>
  <c r="K1057" i="1"/>
  <c r="C1057" i="1"/>
  <c r="B1057" i="1"/>
  <c r="K1056" i="1"/>
  <c r="C1056" i="1"/>
  <c r="B1056" i="1"/>
  <c r="K1055" i="1"/>
  <c r="C1055" i="1"/>
  <c r="B1055" i="1"/>
  <c r="K1054" i="1"/>
  <c r="C1054" i="1"/>
  <c r="B1054" i="1"/>
  <c r="K1053" i="1"/>
  <c r="C1053" i="1"/>
  <c r="B1053" i="1"/>
  <c r="K1052" i="1"/>
  <c r="C1052" i="1"/>
  <c r="B1052" i="1"/>
  <c r="K1051" i="1"/>
  <c r="C1051" i="1"/>
  <c r="B1051" i="1"/>
  <c r="K1050" i="1"/>
  <c r="C1050" i="1"/>
  <c r="B1050" i="1"/>
  <c r="K1049" i="1"/>
  <c r="C1049" i="1"/>
  <c r="B1049" i="1"/>
  <c r="K1048" i="1"/>
  <c r="C1048" i="1"/>
  <c r="B1048" i="1"/>
  <c r="K1047" i="1"/>
  <c r="C1047" i="1"/>
  <c r="B1047" i="1"/>
  <c r="K1046" i="1"/>
  <c r="C1046" i="1"/>
  <c r="B1046" i="1"/>
  <c r="K1045" i="1"/>
  <c r="C1045" i="1"/>
  <c r="B1045" i="1"/>
  <c r="K1044" i="1"/>
  <c r="C1044" i="1"/>
  <c r="B1044" i="1"/>
  <c r="K1043" i="1"/>
  <c r="C1043" i="1"/>
  <c r="B1043" i="1"/>
  <c r="K1042" i="1"/>
  <c r="C1042" i="1"/>
  <c r="B1042" i="1"/>
  <c r="K1041" i="1"/>
  <c r="C1041" i="1"/>
  <c r="B1041" i="1"/>
  <c r="K1040" i="1"/>
  <c r="C1040" i="1"/>
  <c r="B1040" i="1"/>
  <c r="K1039" i="1"/>
  <c r="C1039" i="1"/>
  <c r="B1039" i="1"/>
  <c r="K1038" i="1"/>
  <c r="C1038" i="1"/>
  <c r="B1038" i="1"/>
  <c r="K1037" i="1"/>
  <c r="C1037" i="1"/>
  <c r="B1037" i="1"/>
  <c r="K1036" i="1"/>
  <c r="C1036" i="1"/>
  <c r="B1036" i="1"/>
  <c r="K1035" i="1"/>
  <c r="C1035" i="1"/>
  <c r="B1035" i="1"/>
  <c r="K1034" i="1"/>
  <c r="C1034" i="1"/>
  <c r="B1034" i="1"/>
  <c r="K1033" i="1"/>
  <c r="C1033" i="1"/>
  <c r="B1033" i="1"/>
  <c r="K1032" i="1"/>
  <c r="C1032" i="1"/>
  <c r="B1032" i="1"/>
  <c r="K1031" i="1"/>
  <c r="C1031" i="1"/>
  <c r="B1031" i="1"/>
  <c r="K1030" i="1"/>
  <c r="C1030" i="1"/>
  <c r="B1030" i="1"/>
  <c r="K1029" i="1"/>
  <c r="C1029" i="1"/>
  <c r="B1029" i="1"/>
  <c r="K1028" i="1"/>
  <c r="C1028" i="1"/>
  <c r="B1028" i="1"/>
  <c r="K1027" i="1"/>
  <c r="C1027" i="1"/>
  <c r="B1027" i="1"/>
  <c r="K1026" i="1"/>
  <c r="C1026" i="1"/>
  <c r="B1026" i="1"/>
  <c r="K1025" i="1"/>
  <c r="C1025" i="1"/>
  <c r="B1025" i="1"/>
  <c r="K1024" i="1"/>
  <c r="C1024" i="1"/>
  <c r="B1024" i="1"/>
  <c r="K1023" i="1"/>
  <c r="C1023" i="1"/>
  <c r="B1023" i="1"/>
  <c r="K1022" i="1"/>
  <c r="C1022" i="1"/>
  <c r="B1022" i="1"/>
  <c r="K1021" i="1"/>
  <c r="C1021" i="1"/>
  <c r="B1021" i="1"/>
  <c r="K1020" i="1"/>
  <c r="C1020" i="1"/>
  <c r="B1020" i="1"/>
  <c r="K1019" i="1"/>
  <c r="C1019" i="1"/>
  <c r="B1019" i="1"/>
  <c r="K1018" i="1"/>
  <c r="C1018" i="1"/>
  <c r="B1018" i="1"/>
  <c r="K1017" i="1"/>
  <c r="C1017" i="1"/>
  <c r="B1017" i="1"/>
  <c r="K1016" i="1"/>
  <c r="C1016" i="1"/>
  <c r="B1016" i="1"/>
  <c r="K1015" i="1"/>
  <c r="C1015" i="1"/>
  <c r="B1015" i="1"/>
  <c r="K1014" i="1"/>
  <c r="C1014" i="1"/>
  <c r="B1014" i="1"/>
  <c r="K1013" i="1"/>
  <c r="C1013" i="1"/>
  <c r="B1013" i="1"/>
  <c r="K1012" i="1"/>
  <c r="C1012" i="1"/>
  <c r="B1012" i="1"/>
  <c r="K1011" i="1"/>
  <c r="C1011" i="1"/>
  <c r="B1011" i="1"/>
  <c r="K1010" i="1"/>
  <c r="C1010" i="1"/>
  <c r="B1010" i="1"/>
  <c r="K1009" i="1"/>
  <c r="C1009" i="1"/>
  <c r="B1009" i="1"/>
  <c r="K1008" i="1"/>
  <c r="C1008" i="1"/>
  <c r="B1008" i="1"/>
  <c r="K1007" i="1"/>
  <c r="C1007" i="1"/>
  <c r="B1007" i="1"/>
  <c r="K1006" i="1"/>
  <c r="C1006" i="1"/>
  <c r="B1006" i="1"/>
  <c r="K1005" i="1"/>
  <c r="C1005" i="1"/>
  <c r="B1005" i="1"/>
  <c r="K1004" i="1"/>
  <c r="C1004" i="1"/>
  <c r="B1004" i="1"/>
  <c r="K1003" i="1"/>
  <c r="C1003" i="1"/>
  <c r="B1003" i="1"/>
  <c r="K1002" i="1"/>
  <c r="C1002" i="1"/>
  <c r="B1002" i="1"/>
  <c r="K1001" i="1"/>
  <c r="C1001" i="1"/>
  <c r="B1001" i="1"/>
  <c r="K1000" i="1"/>
  <c r="C1000" i="1"/>
  <c r="B1000" i="1"/>
  <c r="K999" i="1"/>
  <c r="C999" i="1"/>
  <c r="B999" i="1"/>
  <c r="K998" i="1"/>
  <c r="C998" i="1"/>
  <c r="B998" i="1"/>
  <c r="K997" i="1"/>
  <c r="C997" i="1"/>
  <c r="B997" i="1"/>
  <c r="K996" i="1"/>
  <c r="C996" i="1"/>
  <c r="B996" i="1"/>
  <c r="K995" i="1"/>
  <c r="C995" i="1"/>
  <c r="B995" i="1"/>
  <c r="K994" i="1"/>
  <c r="C994" i="1"/>
  <c r="B994" i="1"/>
  <c r="K993" i="1"/>
  <c r="C993" i="1"/>
  <c r="B993" i="1"/>
  <c r="K992" i="1"/>
  <c r="C992" i="1"/>
  <c r="B992" i="1"/>
  <c r="K991" i="1"/>
  <c r="C991" i="1"/>
  <c r="B991" i="1"/>
  <c r="K990" i="1"/>
  <c r="C990" i="1"/>
  <c r="B990" i="1"/>
  <c r="K989" i="1"/>
  <c r="C989" i="1"/>
  <c r="B989" i="1"/>
  <c r="K988" i="1"/>
  <c r="C988" i="1"/>
  <c r="B988" i="1"/>
  <c r="K987" i="1"/>
  <c r="C987" i="1"/>
  <c r="B987" i="1"/>
  <c r="K986" i="1"/>
  <c r="C986" i="1"/>
  <c r="B986" i="1"/>
  <c r="K985" i="1"/>
  <c r="C985" i="1"/>
  <c r="B985" i="1"/>
  <c r="K984" i="1"/>
  <c r="C984" i="1"/>
  <c r="B984" i="1"/>
  <c r="K983" i="1"/>
  <c r="C983" i="1"/>
  <c r="B983" i="1"/>
  <c r="K982" i="1"/>
  <c r="C982" i="1"/>
  <c r="B982" i="1"/>
  <c r="K981" i="1"/>
  <c r="C981" i="1"/>
  <c r="B981" i="1"/>
  <c r="K980" i="1"/>
  <c r="C980" i="1"/>
  <c r="B980" i="1"/>
  <c r="K979" i="1"/>
  <c r="C979" i="1"/>
  <c r="B979" i="1"/>
  <c r="K978" i="1"/>
  <c r="C978" i="1"/>
  <c r="B978" i="1"/>
  <c r="K977" i="1"/>
  <c r="C977" i="1"/>
  <c r="B977" i="1"/>
  <c r="K976" i="1"/>
  <c r="C976" i="1"/>
  <c r="B976" i="1"/>
  <c r="K975" i="1"/>
  <c r="C975" i="1"/>
  <c r="B975" i="1"/>
  <c r="K974" i="1"/>
  <c r="C974" i="1"/>
  <c r="B974" i="1"/>
  <c r="K973" i="1"/>
  <c r="C973" i="1"/>
  <c r="B973" i="1"/>
  <c r="K972" i="1"/>
  <c r="C972" i="1"/>
  <c r="B972" i="1"/>
  <c r="K971" i="1"/>
  <c r="C971" i="1"/>
  <c r="B971" i="1"/>
  <c r="K970" i="1"/>
  <c r="C970" i="1"/>
  <c r="B970" i="1"/>
  <c r="K969" i="1"/>
  <c r="C969" i="1"/>
  <c r="B969" i="1"/>
  <c r="K968" i="1"/>
  <c r="C968" i="1"/>
  <c r="B968" i="1"/>
  <c r="K967" i="1"/>
  <c r="C967" i="1"/>
  <c r="B967" i="1"/>
  <c r="K966" i="1"/>
  <c r="C966" i="1"/>
  <c r="B966" i="1"/>
  <c r="K965" i="1"/>
  <c r="C965" i="1"/>
  <c r="B965" i="1"/>
  <c r="K964" i="1"/>
  <c r="C964" i="1"/>
  <c r="B964" i="1"/>
  <c r="K963" i="1"/>
  <c r="C963" i="1"/>
  <c r="B963" i="1"/>
  <c r="K962" i="1"/>
  <c r="C962" i="1"/>
  <c r="B962" i="1"/>
  <c r="K961" i="1"/>
  <c r="C961" i="1"/>
  <c r="B961" i="1"/>
  <c r="K960" i="1"/>
  <c r="C960" i="1"/>
  <c r="B960" i="1"/>
  <c r="K959" i="1"/>
  <c r="C959" i="1"/>
  <c r="B959" i="1"/>
  <c r="K958" i="1"/>
  <c r="C958" i="1"/>
  <c r="B958" i="1"/>
  <c r="K957" i="1"/>
  <c r="C957" i="1"/>
  <c r="B957" i="1"/>
  <c r="K956" i="1"/>
  <c r="C956" i="1"/>
  <c r="B956" i="1"/>
  <c r="K955" i="1"/>
  <c r="C955" i="1"/>
  <c r="B955" i="1"/>
  <c r="K954" i="1"/>
  <c r="C954" i="1"/>
  <c r="B954" i="1"/>
  <c r="K953" i="1"/>
  <c r="C953" i="1"/>
  <c r="B953" i="1"/>
  <c r="K952" i="1"/>
  <c r="C952" i="1"/>
  <c r="B952" i="1"/>
  <c r="K951" i="1"/>
  <c r="C951" i="1"/>
  <c r="B951" i="1"/>
  <c r="K950" i="1"/>
  <c r="C950" i="1"/>
  <c r="B950" i="1"/>
  <c r="K949" i="1"/>
  <c r="C949" i="1"/>
  <c r="B949" i="1"/>
  <c r="K948" i="1"/>
  <c r="C948" i="1"/>
  <c r="B948" i="1"/>
  <c r="K947" i="1"/>
  <c r="C947" i="1"/>
  <c r="B947" i="1"/>
  <c r="K946" i="1"/>
  <c r="C946" i="1"/>
  <c r="B946" i="1"/>
  <c r="K945" i="1"/>
  <c r="C945" i="1"/>
  <c r="B945" i="1"/>
  <c r="K944" i="1"/>
  <c r="C944" i="1"/>
  <c r="B944" i="1"/>
  <c r="K943" i="1"/>
  <c r="C943" i="1"/>
  <c r="B943" i="1"/>
  <c r="K942" i="1"/>
  <c r="C942" i="1"/>
  <c r="B942" i="1"/>
  <c r="K941" i="1"/>
  <c r="C941" i="1"/>
  <c r="B941" i="1"/>
  <c r="K940" i="1"/>
  <c r="C940" i="1"/>
  <c r="B940" i="1"/>
  <c r="K939" i="1"/>
  <c r="C939" i="1"/>
  <c r="B939" i="1"/>
  <c r="K938" i="1"/>
  <c r="C938" i="1"/>
  <c r="B938" i="1"/>
  <c r="K937" i="1"/>
  <c r="C937" i="1"/>
  <c r="B937" i="1"/>
  <c r="K936" i="1"/>
  <c r="C936" i="1"/>
  <c r="B936" i="1"/>
  <c r="K935" i="1"/>
  <c r="C935" i="1"/>
  <c r="B935" i="1"/>
  <c r="K934" i="1"/>
  <c r="C934" i="1"/>
  <c r="B934" i="1"/>
  <c r="K933" i="1"/>
  <c r="C933" i="1"/>
  <c r="B933" i="1"/>
  <c r="K932" i="1"/>
  <c r="C932" i="1"/>
  <c r="B932" i="1"/>
  <c r="K931" i="1"/>
  <c r="C931" i="1"/>
  <c r="B931" i="1"/>
  <c r="K930" i="1"/>
  <c r="C930" i="1"/>
  <c r="B930" i="1"/>
  <c r="K929" i="1"/>
  <c r="C929" i="1"/>
  <c r="B929" i="1"/>
  <c r="K928" i="1"/>
  <c r="C928" i="1"/>
  <c r="B928" i="1"/>
  <c r="K927" i="1"/>
  <c r="C927" i="1"/>
  <c r="B927" i="1"/>
  <c r="K926" i="1"/>
  <c r="C926" i="1"/>
  <c r="B926" i="1"/>
  <c r="K925" i="1"/>
  <c r="C925" i="1"/>
  <c r="B925" i="1"/>
  <c r="K924" i="1"/>
  <c r="C924" i="1"/>
  <c r="B924" i="1"/>
  <c r="K923" i="1"/>
  <c r="C923" i="1"/>
  <c r="B923" i="1"/>
  <c r="K922" i="1"/>
  <c r="C922" i="1"/>
  <c r="B922" i="1"/>
  <c r="K921" i="1"/>
  <c r="C921" i="1"/>
  <c r="B921" i="1"/>
  <c r="K920" i="1"/>
  <c r="C920" i="1"/>
  <c r="B920" i="1"/>
  <c r="K919" i="1"/>
  <c r="C919" i="1"/>
  <c r="B919" i="1"/>
  <c r="K918" i="1"/>
  <c r="C918" i="1"/>
  <c r="B918" i="1"/>
  <c r="K917" i="1"/>
  <c r="C917" i="1"/>
  <c r="B917" i="1"/>
  <c r="K916" i="1"/>
  <c r="C916" i="1"/>
  <c r="B916" i="1"/>
  <c r="K915" i="1"/>
  <c r="C915" i="1"/>
  <c r="B915" i="1"/>
  <c r="K914" i="1"/>
  <c r="C914" i="1"/>
  <c r="B914" i="1"/>
  <c r="K913" i="1"/>
  <c r="C913" i="1"/>
  <c r="B913" i="1"/>
  <c r="K912" i="1"/>
  <c r="C912" i="1"/>
  <c r="B912" i="1"/>
  <c r="K911" i="1"/>
  <c r="C911" i="1"/>
  <c r="B911" i="1"/>
  <c r="K910" i="1"/>
  <c r="C910" i="1"/>
  <c r="B910" i="1"/>
  <c r="K909" i="1"/>
  <c r="C909" i="1"/>
  <c r="B909" i="1"/>
  <c r="K908" i="1"/>
  <c r="C908" i="1"/>
  <c r="B908" i="1"/>
  <c r="K907" i="1"/>
  <c r="C907" i="1"/>
  <c r="B907" i="1"/>
  <c r="K906" i="1"/>
  <c r="C906" i="1"/>
  <c r="B906" i="1"/>
  <c r="K905" i="1"/>
  <c r="C905" i="1"/>
  <c r="B905" i="1"/>
  <c r="K904" i="1"/>
  <c r="C904" i="1"/>
  <c r="B904" i="1"/>
  <c r="K903" i="1"/>
  <c r="C903" i="1"/>
  <c r="B903" i="1"/>
  <c r="K902" i="1"/>
  <c r="C902" i="1"/>
  <c r="B902" i="1"/>
  <c r="K901" i="1"/>
  <c r="C901" i="1"/>
  <c r="B901" i="1"/>
  <c r="K900" i="1"/>
  <c r="C900" i="1"/>
  <c r="B900" i="1"/>
  <c r="K899" i="1"/>
  <c r="C899" i="1"/>
  <c r="B899" i="1"/>
  <c r="K898" i="1"/>
  <c r="C898" i="1"/>
  <c r="B898" i="1"/>
  <c r="K897" i="1"/>
  <c r="C897" i="1"/>
  <c r="B897" i="1"/>
  <c r="K896" i="1"/>
  <c r="C896" i="1"/>
  <c r="B896" i="1"/>
  <c r="K895" i="1"/>
  <c r="C895" i="1"/>
  <c r="B895" i="1"/>
  <c r="K894" i="1"/>
  <c r="C894" i="1"/>
  <c r="B894" i="1"/>
  <c r="K893" i="1"/>
  <c r="C893" i="1"/>
  <c r="B893" i="1"/>
  <c r="K892" i="1"/>
  <c r="C892" i="1"/>
  <c r="B892" i="1"/>
  <c r="K891" i="1"/>
  <c r="C891" i="1"/>
  <c r="B891" i="1"/>
  <c r="K890" i="1"/>
  <c r="C890" i="1"/>
  <c r="B890" i="1"/>
  <c r="K889" i="1"/>
  <c r="C889" i="1"/>
  <c r="B889" i="1"/>
  <c r="K888" i="1"/>
  <c r="C888" i="1"/>
  <c r="B888" i="1"/>
  <c r="K887" i="1"/>
  <c r="C887" i="1"/>
  <c r="B887" i="1"/>
  <c r="K886" i="1"/>
  <c r="C886" i="1"/>
  <c r="B886" i="1"/>
  <c r="K885" i="1"/>
  <c r="C885" i="1"/>
  <c r="B885" i="1"/>
  <c r="K884" i="1"/>
  <c r="C884" i="1"/>
  <c r="B884" i="1"/>
  <c r="K883" i="1"/>
  <c r="C883" i="1"/>
  <c r="B883" i="1"/>
  <c r="K882" i="1"/>
  <c r="C882" i="1"/>
  <c r="B882" i="1"/>
  <c r="K881" i="1"/>
  <c r="C881" i="1"/>
  <c r="B881" i="1"/>
  <c r="K880" i="1"/>
  <c r="C880" i="1"/>
  <c r="B880" i="1"/>
  <c r="K879" i="1"/>
  <c r="C879" i="1"/>
  <c r="B879" i="1"/>
  <c r="K878" i="1"/>
  <c r="C878" i="1"/>
  <c r="B878" i="1"/>
  <c r="K877" i="1"/>
  <c r="C877" i="1"/>
  <c r="B877" i="1"/>
  <c r="K876" i="1"/>
  <c r="C876" i="1"/>
  <c r="B876" i="1"/>
  <c r="K875" i="1"/>
  <c r="C875" i="1"/>
  <c r="B875" i="1"/>
  <c r="K874" i="1"/>
  <c r="C874" i="1"/>
  <c r="B874" i="1"/>
  <c r="K873" i="1"/>
  <c r="C873" i="1"/>
  <c r="B873" i="1"/>
  <c r="K872" i="1"/>
  <c r="C872" i="1"/>
  <c r="B872" i="1"/>
  <c r="K871" i="1"/>
  <c r="C871" i="1"/>
  <c r="B871" i="1"/>
  <c r="K870" i="1"/>
  <c r="C870" i="1"/>
  <c r="B870" i="1"/>
  <c r="K869" i="1"/>
  <c r="C869" i="1"/>
  <c r="B869" i="1"/>
  <c r="K868" i="1"/>
  <c r="C868" i="1"/>
  <c r="B868" i="1"/>
  <c r="K867" i="1"/>
  <c r="C867" i="1"/>
  <c r="B867" i="1"/>
  <c r="K866" i="1"/>
  <c r="C866" i="1"/>
  <c r="B866" i="1"/>
  <c r="K865" i="1"/>
  <c r="C865" i="1"/>
  <c r="B865" i="1"/>
  <c r="K864" i="1"/>
  <c r="C864" i="1"/>
  <c r="B864" i="1"/>
  <c r="K863" i="1"/>
  <c r="C863" i="1"/>
  <c r="B863" i="1"/>
  <c r="K862" i="1"/>
  <c r="C862" i="1"/>
  <c r="B862" i="1"/>
  <c r="K861" i="1"/>
  <c r="C861" i="1"/>
  <c r="B861" i="1"/>
  <c r="K860" i="1"/>
  <c r="C860" i="1"/>
  <c r="B860" i="1"/>
  <c r="K859" i="1"/>
  <c r="C859" i="1"/>
  <c r="B859" i="1"/>
  <c r="K858" i="1"/>
  <c r="C858" i="1"/>
  <c r="B858" i="1"/>
  <c r="K857" i="1"/>
  <c r="C857" i="1"/>
  <c r="B857" i="1"/>
  <c r="K856" i="1"/>
  <c r="C856" i="1"/>
  <c r="B856" i="1"/>
  <c r="K855" i="1"/>
  <c r="C855" i="1"/>
  <c r="B855" i="1"/>
  <c r="K854" i="1"/>
  <c r="C854" i="1"/>
  <c r="B854" i="1"/>
  <c r="K853" i="1"/>
  <c r="C853" i="1"/>
  <c r="B853" i="1"/>
  <c r="K852" i="1"/>
  <c r="C852" i="1"/>
  <c r="B852" i="1"/>
  <c r="K851" i="1"/>
  <c r="C851" i="1"/>
  <c r="B851" i="1"/>
  <c r="K850" i="1"/>
  <c r="C850" i="1"/>
  <c r="B850" i="1"/>
  <c r="K849" i="1"/>
  <c r="C849" i="1"/>
  <c r="B849" i="1"/>
  <c r="K848" i="1"/>
  <c r="C848" i="1"/>
  <c r="B848" i="1"/>
  <c r="K847" i="1"/>
  <c r="C847" i="1"/>
  <c r="B847" i="1"/>
  <c r="K846" i="1"/>
  <c r="C846" i="1"/>
  <c r="B846" i="1"/>
  <c r="K845" i="1"/>
  <c r="C845" i="1"/>
  <c r="B845" i="1"/>
  <c r="K844" i="1"/>
  <c r="C844" i="1"/>
  <c r="B844" i="1"/>
  <c r="K843" i="1"/>
  <c r="C843" i="1"/>
  <c r="B843" i="1"/>
  <c r="K842" i="1"/>
  <c r="C842" i="1"/>
  <c r="B842" i="1"/>
  <c r="K841" i="1"/>
  <c r="C841" i="1"/>
  <c r="B841" i="1"/>
  <c r="K840" i="1"/>
  <c r="C840" i="1"/>
  <c r="B840" i="1"/>
  <c r="K839" i="1"/>
  <c r="C839" i="1"/>
  <c r="B839" i="1"/>
  <c r="K838" i="1"/>
  <c r="C838" i="1"/>
  <c r="B838" i="1"/>
  <c r="K837" i="1"/>
  <c r="C837" i="1"/>
  <c r="B837" i="1"/>
  <c r="K836" i="1"/>
  <c r="C836" i="1"/>
  <c r="B836" i="1"/>
  <c r="K835" i="1"/>
  <c r="C835" i="1"/>
  <c r="B835" i="1"/>
  <c r="K834" i="1"/>
  <c r="C834" i="1"/>
  <c r="B834" i="1"/>
  <c r="K833" i="1"/>
  <c r="C833" i="1"/>
  <c r="B833" i="1"/>
  <c r="K832" i="1"/>
  <c r="C832" i="1"/>
  <c r="B832" i="1"/>
  <c r="K831" i="1"/>
  <c r="C831" i="1"/>
  <c r="B831" i="1"/>
  <c r="K830" i="1"/>
  <c r="C830" i="1"/>
  <c r="B830" i="1"/>
  <c r="K829" i="1"/>
  <c r="C829" i="1"/>
  <c r="B829" i="1"/>
  <c r="K828" i="1"/>
  <c r="C828" i="1"/>
  <c r="B828" i="1"/>
  <c r="K827" i="1"/>
  <c r="C827" i="1"/>
  <c r="B827" i="1"/>
  <c r="K826" i="1"/>
  <c r="C826" i="1"/>
  <c r="B826" i="1"/>
  <c r="K825" i="1"/>
  <c r="C825" i="1"/>
  <c r="B825" i="1"/>
  <c r="K824" i="1"/>
  <c r="C824" i="1"/>
  <c r="B824" i="1"/>
  <c r="K823" i="1"/>
  <c r="C823" i="1"/>
  <c r="B823" i="1"/>
  <c r="K822" i="1"/>
  <c r="C822" i="1"/>
  <c r="B822" i="1"/>
  <c r="K821" i="1"/>
  <c r="C821" i="1"/>
  <c r="B821" i="1"/>
  <c r="K820" i="1"/>
  <c r="C820" i="1"/>
  <c r="B820" i="1"/>
  <c r="K819" i="1"/>
  <c r="C819" i="1"/>
  <c r="B819" i="1"/>
  <c r="K818" i="1"/>
  <c r="C818" i="1"/>
  <c r="B818" i="1"/>
  <c r="K817" i="1"/>
  <c r="C817" i="1"/>
  <c r="B817" i="1"/>
  <c r="K816" i="1"/>
  <c r="C816" i="1"/>
  <c r="B816" i="1"/>
  <c r="K815" i="1"/>
  <c r="C815" i="1"/>
  <c r="B815" i="1"/>
  <c r="K814" i="1"/>
  <c r="C814" i="1"/>
  <c r="B814" i="1"/>
  <c r="K813" i="1"/>
  <c r="C813" i="1"/>
  <c r="B813" i="1"/>
  <c r="K812" i="1"/>
  <c r="C812" i="1"/>
  <c r="B812" i="1"/>
  <c r="K811" i="1"/>
  <c r="C811" i="1"/>
  <c r="B811" i="1"/>
  <c r="K810" i="1"/>
  <c r="C810" i="1"/>
  <c r="B810" i="1"/>
  <c r="K809" i="1"/>
  <c r="C809" i="1"/>
  <c r="B809" i="1"/>
  <c r="K808" i="1"/>
  <c r="C808" i="1"/>
  <c r="B808" i="1"/>
  <c r="K807" i="1"/>
  <c r="C807" i="1"/>
  <c r="B807" i="1"/>
  <c r="K806" i="1"/>
  <c r="C806" i="1"/>
  <c r="B806" i="1"/>
  <c r="K805" i="1"/>
  <c r="C805" i="1"/>
  <c r="B805" i="1"/>
  <c r="K804" i="1"/>
  <c r="C804" i="1"/>
  <c r="B804" i="1"/>
  <c r="K803" i="1"/>
  <c r="C803" i="1"/>
  <c r="B803" i="1"/>
  <c r="K802" i="1"/>
  <c r="C802" i="1"/>
  <c r="B802" i="1"/>
  <c r="K801" i="1"/>
  <c r="C801" i="1"/>
  <c r="B801" i="1"/>
  <c r="K800" i="1"/>
  <c r="C800" i="1"/>
  <c r="B800" i="1"/>
  <c r="K799" i="1"/>
  <c r="C799" i="1"/>
  <c r="B799" i="1"/>
  <c r="K798" i="1"/>
  <c r="C798" i="1"/>
  <c r="B798" i="1"/>
  <c r="K797" i="1"/>
  <c r="C797" i="1"/>
  <c r="B797" i="1"/>
  <c r="K796" i="1"/>
  <c r="C796" i="1"/>
  <c r="B796" i="1"/>
  <c r="K795" i="1"/>
  <c r="C795" i="1"/>
  <c r="B795" i="1"/>
  <c r="K794" i="1"/>
  <c r="C794" i="1"/>
  <c r="B794" i="1"/>
  <c r="K793" i="1"/>
  <c r="C793" i="1"/>
  <c r="B793" i="1"/>
  <c r="K792" i="1"/>
  <c r="C792" i="1"/>
  <c r="B792" i="1"/>
  <c r="K791" i="1"/>
  <c r="C791" i="1"/>
  <c r="B791" i="1"/>
  <c r="K790" i="1"/>
  <c r="C790" i="1"/>
  <c r="B790" i="1"/>
  <c r="K789" i="1"/>
  <c r="C789" i="1"/>
  <c r="B789" i="1"/>
  <c r="K788" i="1"/>
  <c r="C788" i="1"/>
  <c r="B788" i="1"/>
  <c r="K787" i="1"/>
  <c r="C787" i="1"/>
  <c r="B787" i="1"/>
  <c r="K786" i="1"/>
  <c r="C786" i="1"/>
  <c r="B786" i="1"/>
  <c r="K785" i="1"/>
  <c r="C785" i="1"/>
  <c r="B785" i="1"/>
  <c r="K784" i="1"/>
  <c r="C784" i="1"/>
  <c r="B784" i="1"/>
  <c r="K783" i="1"/>
  <c r="C783" i="1"/>
  <c r="B783" i="1"/>
  <c r="K782" i="1"/>
  <c r="C782" i="1"/>
  <c r="B782" i="1"/>
  <c r="K781" i="1"/>
  <c r="C781" i="1"/>
  <c r="B781" i="1"/>
  <c r="K780" i="1"/>
  <c r="C780" i="1"/>
  <c r="B780" i="1"/>
  <c r="K779" i="1"/>
  <c r="C779" i="1"/>
  <c r="B779" i="1"/>
  <c r="K778" i="1"/>
  <c r="C778" i="1"/>
  <c r="B778" i="1"/>
  <c r="K777" i="1"/>
  <c r="C777" i="1"/>
  <c r="B777" i="1"/>
  <c r="K776" i="1"/>
  <c r="C776" i="1"/>
  <c r="B776" i="1"/>
  <c r="K775" i="1"/>
  <c r="C775" i="1"/>
  <c r="B775" i="1"/>
  <c r="K774" i="1"/>
  <c r="C774" i="1"/>
  <c r="B774" i="1"/>
  <c r="K773" i="1"/>
  <c r="C773" i="1"/>
  <c r="B773" i="1"/>
  <c r="K772" i="1"/>
  <c r="C772" i="1"/>
  <c r="B772" i="1"/>
  <c r="K771" i="1"/>
  <c r="C771" i="1"/>
  <c r="B771" i="1"/>
  <c r="K770" i="1"/>
  <c r="C770" i="1"/>
  <c r="B770" i="1"/>
  <c r="K769" i="1"/>
  <c r="C769" i="1"/>
  <c r="B769" i="1"/>
  <c r="K768" i="1"/>
  <c r="C768" i="1"/>
  <c r="B768" i="1"/>
  <c r="K767" i="1"/>
  <c r="C767" i="1"/>
  <c r="B767" i="1"/>
  <c r="K766" i="1"/>
  <c r="C766" i="1"/>
  <c r="B766" i="1"/>
  <c r="K765" i="1"/>
  <c r="C765" i="1"/>
  <c r="B765" i="1"/>
  <c r="K764" i="1"/>
  <c r="C764" i="1"/>
  <c r="B764" i="1"/>
  <c r="K763" i="1"/>
  <c r="C763" i="1"/>
  <c r="B763" i="1"/>
  <c r="K762" i="1"/>
  <c r="C762" i="1"/>
  <c r="B762" i="1"/>
  <c r="K761" i="1"/>
  <c r="C761" i="1"/>
  <c r="B761" i="1"/>
  <c r="K760" i="1"/>
  <c r="C760" i="1"/>
  <c r="B760" i="1"/>
  <c r="K759" i="1"/>
  <c r="C759" i="1"/>
  <c r="B759" i="1"/>
  <c r="K758" i="1"/>
  <c r="C758" i="1"/>
  <c r="B758" i="1"/>
  <c r="K757" i="1"/>
  <c r="C757" i="1"/>
  <c r="B757" i="1"/>
  <c r="K756" i="1"/>
  <c r="C756" i="1"/>
  <c r="B756" i="1"/>
  <c r="K755" i="1"/>
  <c r="C755" i="1"/>
  <c r="B755" i="1"/>
  <c r="K754" i="1"/>
  <c r="C754" i="1"/>
  <c r="B754" i="1"/>
  <c r="K753" i="1"/>
  <c r="C753" i="1"/>
  <c r="B753" i="1"/>
  <c r="K752" i="1"/>
  <c r="C752" i="1"/>
  <c r="B752" i="1"/>
  <c r="K751" i="1"/>
  <c r="C751" i="1"/>
  <c r="B751" i="1"/>
  <c r="K750" i="1"/>
  <c r="C750" i="1"/>
  <c r="B750" i="1"/>
  <c r="K749" i="1"/>
  <c r="C749" i="1"/>
  <c r="B749" i="1"/>
  <c r="K748" i="1"/>
  <c r="C748" i="1"/>
  <c r="B748" i="1"/>
  <c r="K747" i="1"/>
  <c r="C747" i="1"/>
  <c r="B747" i="1"/>
  <c r="K746" i="1"/>
  <c r="C746" i="1"/>
  <c r="B746" i="1"/>
  <c r="K745" i="1"/>
  <c r="C745" i="1"/>
  <c r="B745" i="1"/>
  <c r="K744" i="1"/>
  <c r="C744" i="1"/>
  <c r="B744" i="1"/>
  <c r="K743" i="1"/>
  <c r="C743" i="1"/>
  <c r="B743" i="1"/>
  <c r="K742" i="1"/>
  <c r="C742" i="1"/>
  <c r="B742" i="1"/>
  <c r="K741" i="1"/>
  <c r="C741" i="1"/>
  <c r="B741" i="1"/>
  <c r="K740" i="1"/>
  <c r="C740" i="1"/>
  <c r="B740" i="1"/>
  <c r="K739" i="1"/>
  <c r="C739" i="1"/>
  <c r="B739" i="1"/>
  <c r="K738" i="1"/>
  <c r="C738" i="1"/>
  <c r="B738" i="1"/>
  <c r="K737" i="1"/>
  <c r="C737" i="1"/>
  <c r="B737" i="1"/>
  <c r="K736" i="1"/>
  <c r="C736" i="1"/>
  <c r="B736" i="1"/>
  <c r="K735" i="1"/>
  <c r="C735" i="1"/>
  <c r="B735" i="1"/>
  <c r="K734" i="1"/>
  <c r="C734" i="1"/>
  <c r="B734" i="1"/>
  <c r="K733" i="1"/>
  <c r="C733" i="1"/>
  <c r="B733" i="1"/>
  <c r="K732" i="1"/>
  <c r="C732" i="1"/>
  <c r="B732" i="1"/>
  <c r="K731" i="1"/>
  <c r="C731" i="1"/>
  <c r="B731" i="1"/>
  <c r="K730" i="1"/>
  <c r="C730" i="1"/>
  <c r="B730" i="1"/>
  <c r="K729" i="1"/>
  <c r="C729" i="1"/>
  <c r="B729" i="1"/>
  <c r="K728" i="1"/>
  <c r="C728" i="1"/>
  <c r="B728" i="1"/>
  <c r="K727" i="1"/>
  <c r="C727" i="1"/>
  <c r="B727" i="1"/>
  <c r="K726" i="1"/>
  <c r="C726" i="1"/>
  <c r="B726" i="1"/>
  <c r="K725" i="1"/>
  <c r="C725" i="1"/>
  <c r="B725" i="1"/>
  <c r="K724" i="1"/>
  <c r="C724" i="1"/>
  <c r="B724" i="1"/>
  <c r="K723" i="1"/>
  <c r="C723" i="1"/>
  <c r="B723" i="1"/>
  <c r="K722" i="1"/>
  <c r="C722" i="1"/>
  <c r="B722" i="1"/>
  <c r="K721" i="1"/>
  <c r="C721" i="1"/>
  <c r="B721" i="1"/>
  <c r="K720" i="1"/>
  <c r="C720" i="1"/>
  <c r="B720" i="1"/>
  <c r="K719" i="1"/>
  <c r="C719" i="1"/>
  <c r="B719" i="1"/>
  <c r="K718" i="1"/>
  <c r="C718" i="1"/>
  <c r="B718" i="1"/>
  <c r="K717" i="1"/>
  <c r="C717" i="1"/>
  <c r="B717" i="1"/>
  <c r="K716" i="1"/>
  <c r="C716" i="1"/>
  <c r="B716" i="1"/>
  <c r="K715" i="1"/>
  <c r="C715" i="1"/>
  <c r="B715" i="1"/>
  <c r="K714" i="1"/>
  <c r="C714" i="1"/>
  <c r="B714" i="1"/>
  <c r="K713" i="1"/>
  <c r="C713" i="1"/>
  <c r="B713" i="1"/>
  <c r="K712" i="1"/>
  <c r="C712" i="1"/>
  <c r="B712" i="1"/>
  <c r="K711" i="1"/>
  <c r="C711" i="1"/>
  <c r="B711" i="1"/>
  <c r="K710" i="1"/>
  <c r="C710" i="1"/>
  <c r="B710" i="1"/>
  <c r="K709" i="1"/>
  <c r="C709" i="1"/>
  <c r="B709" i="1"/>
  <c r="K708" i="1"/>
  <c r="C708" i="1"/>
  <c r="B708" i="1"/>
  <c r="K707" i="1"/>
  <c r="C707" i="1"/>
  <c r="B707" i="1"/>
  <c r="K706" i="1"/>
  <c r="C706" i="1"/>
  <c r="B706" i="1"/>
  <c r="K705" i="1"/>
  <c r="C705" i="1"/>
  <c r="B705" i="1"/>
  <c r="K704" i="1"/>
  <c r="C704" i="1"/>
  <c r="B704" i="1"/>
  <c r="K703" i="1"/>
  <c r="C703" i="1"/>
  <c r="B703" i="1"/>
  <c r="K702" i="1"/>
  <c r="C702" i="1"/>
  <c r="B702" i="1"/>
  <c r="K701" i="1"/>
  <c r="C701" i="1"/>
  <c r="B701" i="1"/>
  <c r="K700" i="1"/>
  <c r="C700" i="1"/>
  <c r="B700" i="1"/>
  <c r="K699" i="1"/>
  <c r="C699" i="1"/>
  <c r="B699" i="1"/>
  <c r="K698" i="1"/>
  <c r="C698" i="1"/>
  <c r="B698" i="1"/>
  <c r="K697" i="1"/>
  <c r="C697" i="1"/>
  <c r="B697" i="1"/>
  <c r="K696" i="1"/>
  <c r="C696" i="1"/>
  <c r="B696" i="1"/>
  <c r="K695" i="1"/>
  <c r="C695" i="1"/>
  <c r="B695" i="1"/>
  <c r="K694" i="1"/>
  <c r="C694" i="1"/>
  <c r="B694" i="1"/>
  <c r="K693" i="1"/>
  <c r="C693" i="1"/>
  <c r="B693" i="1"/>
  <c r="K692" i="1"/>
  <c r="C692" i="1"/>
  <c r="B692" i="1"/>
  <c r="K691" i="1"/>
  <c r="C691" i="1"/>
  <c r="B691" i="1"/>
  <c r="K690" i="1"/>
  <c r="C690" i="1"/>
  <c r="B690" i="1"/>
  <c r="K689" i="1"/>
  <c r="C689" i="1"/>
  <c r="B689" i="1"/>
  <c r="K688" i="1"/>
  <c r="C688" i="1"/>
  <c r="B688" i="1"/>
  <c r="K687" i="1"/>
  <c r="C687" i="1"/>
  <c r="B687" i="1"/>
  <c r="K686" i="1"/>
  <c r="C686" i="1"/>
  <c r="B686" i="1"/>
  <c r="K685" i="1"/>
  <c r="C685" i="1"/>
  <c r="B685" i="1"/>
  <c r="K684" i="1"/>
  <c r="C684" i="1"/>
  <c r="B684" i="1"/>
  <c r="K683" i="1"/>
  <c r="C683" i="1"/>
  <c r="B683" i="1"/>
  <c r="K682" i="1"/>
  <c r="C682" i="1"/>
  <c r="B682" i="1"/>
  <c r="K681" i="1"/>
  <c r="C681" i="1"/>
  <c r="B681" i="1"/>
  <c r="K680" i="1"/>
  <c r="C680" i="1"/>
  <c r="B680" i="1"/>
  <c r="K679" i="1"/>
  <c r="C679" i="1"/>
  <c r="B679" i="1"/>
  <c r="K678" i="1"/>
  <c r="C678" i="1"/>
  <c r="B678" i="1"/>
  <c r="K677" i="1"/>
  <c r="C677" i="1"/>
  <c r="B677" i="1"/>
  <c r="K676" i="1"/>
  <c r="C676" i="1"/>
  <c r="B676" i="1"/>
  <c r="K675" i="1"/>
  <c r="C675" i="1"/>
  <c r="B675" i="1"/>
  <c r="K674" i="1"/>
  <c r="C674" i="1"/>
  <c r="B674" i="1"/>
  <c r="K673" i="1"/>
  <c r="C673" i="1"/>
  <c r="B673" i="1"/>
  <c r="K672" i="1"/>
  <c r="C672" i="1"/>
  <c r="B672" i="1"/>
  <c r="K671" i="1"/>
  <c r="C671" i="1"/>
  <c r="B671" i="1"/>
  <c r="K670" i="1"/>
  <c r="C670" i="1"/>
  <c r="B670" i="1"/>
  <c r="K669" i="1"/>
  <c r="C669" i="1"/>
  <c r="B669" i="1"/>
  <c r="K668" i="1"/>
  <c r="C668" i="1"/>
  <c r="B668" i="1"/>
  <c r="K667" i="1"/>
  <c r="C667" i="1"/>
  <c r="B667" i="1"/>
  <c r="K666" i="1"/>
  <c r="C666" i="1"/>
  <c r="B666" i="1"/>
  <c r="K665" i="1"/>
  <c r="C665" i="1"/>
  <c r="B665" i="1"/>
  <c r="K664" i="1"/>
  <c r="C664" i="1"/>
  <c r="B664" i="1"/>
  <c r="K663" i="1"/>
  <c r="C663" i="1"/>
  <c r="B663" i="1"/>
  <c r="K662" i="1"/>
  <c r="C662" i="1"/>
  <c r="B662" i="1"/>
  <c r="K661" i="1"/>
  <c r="C661" i="1"/>
  <c r="B661" i="1"/>
  <c r="K660" i="1"/>
  <c r="C660" i="1"/>
  <c r="B660" i="1"/>
  <c r="K659" i="1"/>
  <c r="C659" i="1"/>
  <c r="B659" i="1"/>
  <c r="K658" i="1"/>
  <c r="C658" i="1"/>
  <c r="B658" i="1"/>
  <c r="K657" i="1"/>
  <c r="C657" i="1"/>
  <c r="B657" i="1"/>
  <c r="K656" i="1"/>
  <c r="C656" i="1"/>
  <c r="B656" i="1"/>
  <c r="K655" i="1"/>
  <c r="C655" i="1"/>
  <c r="B655" i="1"/>
  <c r="K654" i="1"/>
  <c r="C654" i="1"/>
  <c r="B654" i="1"/>
  <c r="K653" i="1"/>
  <c r="C653" i="1"/>
  <c r="B653" i="1"/>
  <c r="K652" i="1"/>
  <c r="C652" i="1"/>
  <c r="B652" i="1"/>
  <c r="K651" i="1"/>
  <c r="C651" i="1"/>
  <c r="B651" i="1"/>
  <c r="K650" i="1"/>
  <c r="C650" i="1"/>
  <c r="B650" i="1"/>
  <c r="K649" i="1"/>
  <c r="C649" i="1"/>
  <c r="B649" i="1"/>
  <c r="K648" i="1"/>
  <c r="C648" i="1"/>
  <c r="B648" i="1"/>
  <c r="K647" i="1"/>
  <c r="C647" i="1"/>
  <c r="B647" i="1"/>
  <c r="K646" i="1"/>
  <c r="C646" i="1"/>
  <c r="B646" i="1"/>
  <c r="K645" i="1"/>
  <c r="C645" i="1"/>
  <c r="B645" i="1"/>
  <c r="K644" i="1"/>
  <c r="C644" i="1"/>
  <c r="B644" i="1"/>
  <c r="K643" i="1"/>
  <c r="C643" i="1"/>
  <c r="B643" i="1"/>
  <c r="K642" i="1"/>
  <c r="C642" i="1"/>
  <c r="B642" i="1"/>
  <c r="K641" i="1"/>
  <c r="C641" i="1"/>
  <c r="B641" i="1"/>
  <c r="K640" i="1"/>
  <c r="C640" i="1"/>
  <c r="B640" i="1"/>
  <c r="K639" i="1"/>
  <c r="C639" i="1"/>
  <c r="B639" i="1"/>
  <c r="K638" i="1"/>
  <c r="C638" i="1"/>
  <c r="B638" i="1"/>
  <c r="K637" i="1"/>
  <c r="C637" i="1"/>
  <c r="B637" i="1"/>
  <c r="K636" i="1"/>
  <c r="C636" i="1"/>
  <c r="B636" i="1"/>
  <c r="K635" i="1"/>
  <c r="C635" i="1"/>
  <c r="B635" i="1"/>
  <c r="K634" i="1"/>
  <c r="C634" i="1"/>
  <c r="B634" i="1"/>
  <c r="K633" i="1"/>
  <c r="C633" i="1"/>
  <c r="B633" i="1"/>
  <c r="K632" i="1"/>
  <c r="C632" i="1"/>
  <c r="B632" i="1"/>
  <c r="K631" i="1"/>
  <c r="C631" i="1"/>
  <c r="B631" i="1"/>
  <c r="K630" i="1"/>
  <c r="C630" i="1"/>
  <c r="B630" i="1"/>
  <c r="K629" i="1"/>
  <c r="C629" i="1"/>
  <c r="B629" i="1"/>
  <c r="K628" i="1"/>
  <c r="C628" i="1"/>
  <c r="B628" i="1"/>
  <c r="K627" i="1"/>
  <c r="C627" i="1"/>
  <c r="B627" i="1"/>
  <c r="K626" i="1"/>
  <c r="C626" i="1"/>
  <c r="B626" i="1"/>
  <c r="K625" i="1"/>
  <c r="C625" i="1"/>
  <c r="B625" i="1"/>
  <c r="K624" i="1"/>
  <c r="C624" i="1"/>
  <c r="B624" i="1"/>
  <c r="K623" i="1"/>
  <c r="C623" i="1"/>
  <c r="B623" i="1"/>
  <c r="K622" i="1"/>
  <c r="C622" i="1"/>
  <c r="B622" i="1"/>
  <c r="K621" i="1"/>
  <c r="C621" i="1"/>
  <c r="B621" i="1"/>
  <c r="K620" i="1"/>
  <c r="C620" i="1"/>
  <c r="B620" i="1"/>
  <c r="K619" i="1"/>
  <c r="C619" i="1"/>
  <c r="B619" i="1"/>
  <c r="K618" i="1"/>
  <c r="C618" i="1"/>
  <c r="B618" i="1"/>
  <c r="K617" i="1"/>
  <c r="C617" i="1"/>
  <c r="B617" i="1"/>
  <c r="K616" i="1"/>
  <c r="C616" i="1"/>
  <c r="B616" i="1"/>
  <c r="K615" i="1"/>
  <c r="C615" i="1"/>
  <c r="B615" i="1"/>
  <c r="K614" i="1"/>
  <c r="C614" i="1"/>
  <c r="B614" i="1"/>
  <c r="K613" i="1"/>
  <c r="C613" i="1"/>
  <c r="B613" i="1"/>
  <c r="K612" i="1"/>
  <c r="C612" i="1"/>
  <c r="B612" i="1"/>
  <c r="K611" i="1"/>
  <c r="C611" i="1"/>
  <c r="B611" i="1"/>
  <c r="K610" i="1"/>
  <c r="C610" i="1"/>
  <c r="B610" i="1"/>
  <c r="K609" i="1"/>
  <c r="C609" i="1"/>
  <c r="B609" i="1"/>
  <c r="K608" i="1"/>
  <c r="C608" i="1"/>
  <c r="B608" i="1"/>
  <c r="K607" i="1"/>
  <c r="C607" i="1"/>
  <c r="B607" i="1"/>
  <c r="K606" i="1"/>
  <c r="C606" i="1"/>
  <c r="B606" i="1"/>
  <c r="K605" i="1"/>
  <c r="C605" i="1"/>
  <c r="B605" i="1"/>
  <c r="K604" i="1"/>
  <c r="C604" i="1"/>
  <c r="B604" i="1"/>
  <c r="K603" i="1"/>
  <c r="C603" i="1"/>
  <c r="B603" i="1"/>
  <c r="K602" i="1"/>
  <c r="C602" i="1"/>
  <c r="B602" i="1"/>
  <c r="K601" i="1"/>
  <c r="C601" i="1"/>
  <c r="B601" i="1"/>
  <c r="K600" i="1"/>
  <c r="C600" i="1"/>
  <c r="B600" i="1"/>
  <c r="K599" i="1"/>
  <c r="C599" i="1"/>
  <c r="B599" i="1"/>
  <c r="K598" i="1"/>
  <c r="C598" i="1"/>
  <c r="B598" i="1"/>
  <c r="K597" i="1"/>
  <c r="C597" i="1"/>
  <c r="B597" i="1"/>
  <c r="K596" i="1"/>
  <c r="C596" i="1"/>
  <c r="B596" i="1"/>
  <c r="K595" i="1"/>
  <c r="C595" i="1"/>
  <c r="B595" i="1"/>
  <c r="K594" i="1"/>
  <c r="C594" i="1"/>
  <c r="B594" i="1"/>
  <c r="K593" i="1"/>
  <c r="C593" i="1"/>
  <c r="B593" i="1"/>
  <c r="K592" i="1"/>
  <c r="C592" i="1"/>
  <c r="B592" i="1"/>
  <c r="K591" i="1"/>
  <c r="C591" i="1"/>
  <c r="B591" i="1"/>
  <c r="K590" i="1"/>
  <c r="C590" i="1"/>
  <c r="B590" i="1"/>
  <c r="K589" i="1"/>
  <c r="C589" i="1"/>
  <c r="B589" i="1"/>
  <c r="K588" i="1"/>
  <c r="C588" i="1"/>
  <c r="B588" i="1"/>
  <c r="K587" i="1"/>
  <c r="C587" i="1"/>
  <c r="B587" i="1"/>
  <c r="K586" i="1"/>
  <c r="C586" i="1"/>
  <c r="B586" i="1"/>
  <c r="K585" i="1"/>
  <c r="C585" i="1"/>
  <c r="B585" i="1"/>
  <c r="K584" i="1"/>
  <c r="C584" i="1"/>
  <c r="B584" i="1"/>
  <c r="K583" i="1"/>
  <c r="C583" i="1"/>
  <c r="B583" i="1"/>
  <c r="K582" i="1"/>
  <c r="C582" i="1"/>
  <c r="B582" i="1"/>
  <c r="K581" i="1"/>
  <c r="C581" i="1"/>
  <c r="B581" i="1"/>
  <c r="K580" i="1"/>
  <c r="C580" i="1"/>
  <c r="B580" i="1"/>
  <c r="K579" i="1"/>
  <c r="C579" i="1"/>
  <c r="B579" i="1"/>
  <c r="K578" i="1"/>
  <c r="C578" i="1"/>
  <c r="B578" i="1"/>
  <c r="K577" i="1"/>
  <c r="C577" i="1"/>
  <c r="B577" i="1"/>
  <c r="K576" i="1"/>
  <c r="C576" i="1"/>
  <c r="B576" i="1"/>
  <c r="K575" i="1"/>
  <c r="C575" i="1"/>
  <c r="B575" i="1"/>
  <c r="K574" i="1"/>
  <c r="C574" i="1"/>
  <c r="B574" i="1"/>
  <c r="K573" i="1"/>
  <c r="C573" i="1"/>
  <c r="B573" i="1"/>
  <c r="K572" i="1"/>
  <c r="C572" i="1"/>
  <c r="B572" i="1"/>
  <c r="K571" i="1"/>
  <c r="C571" i="1"/>
  <c r="B571" i="1"/>
  <c r="K570" i="1"/>
  <c r="C570" i="1"/>
  <c r="B570" i="1"/>
  <c r="K569" i="1"/>
  <c r="C569" i="1"/>
  <c r="B569" i="1"/>
  <c r="K568" i="1"/>
  <c r="C568" i="1"/>
  <c r="B568" i="1"/>
  <c r="K567" i="1"/>
  <c r="C567" i="1"/>
  <c r="B567" i="1"/>
  <c r="K566" i="1"/>
  <c r="C566" i="1"/>
  <c r="B566" i="1"/>
  <c r="K565" i="1"/>
  <c r="C565" i="1"/>
  <c r="B565" i="1"/>
  <c r="K564" i="1"/>
  <c r="C564" i="1"/>
  <c r="B564" i="1"/>
  <c r="K563" i="1"/>
  <c r="C563" i="1"/>
  <c r="B563" i="1"/>
  <c r="K562" i="1"/>
  <c r="C562" i="1"/>
  <c r="B562" i="1"/>
  <c r="K561" i="1"/>
  <c r="C561" i="1"/>
  <c r="B561" i="1"/>
  <c r="K560" i="1"/>
  <c r="C560" i="1"/>
  <c r="B560" i="1"/>
  <c r="K559" i="1"/>
  <c r="C559" i="1"/>
  <c r="B559" i="1"/>
  <c r="K558" i="1"/>
  <c r="C558" i="1"/>
  <c r="B558" i="1"/>
  <c r="K557" i="1"/>
  <c r="C557" i="1"/>
  <c r="B557" i="1"/>
  <c r="K556" i="1"/>
  <c r="C556" i="1"/>
  <c r="B556" i="1"/>
  <c r="K555" i="1"/>
  <c r="C555" i="1"/>
  <c r="B555" i="1"/>
  <c r="K554" i="1"/>
  <c r="C554" i="1"/>
  <c r="B554" i="1"/>
  <c r="K553" i="1"/>
  <c r="C553" i="1"/>
  <c r="B553" i="1"/>
  <c r="K552" i="1"/>
  <c r="C552" i="1"/>
  <c r="B552" i="1"/>
  <c r="K551" i="1"/>
  <c r="C551" i="1"/>
  <c r="B551" i="1"/>
  <c r="K550" i="1"/>
  <c r="C550" i="1"/>
  <c r="B550" i="1"/>
  <c r="K549" i="1"/>
  <c r="C549" i="1"/>
  <c r="B549" i="1"/>
  <c r="K548" i="1"/>
  <c r="C548" i="1"/>
  <c r="B548" i="1"/>
  <c r="K547" i="1"/>
  <c r="C547" i="1"/>
  <c r="B547" i="1"/>
  <c r="K546" i="1"/>
  <c r="C546" i="1"/>
  <c r="B546" i="1"/>
  <c r="K545" i="1"/>
  <c r="C545" i="1"/>
  <c r="B545" i="1"/>
  <c r="K544" i="1"/>
  <c r="C544" i="1"/>
  <c r="B544" i="1"/>
  <c r="K543" i="1"/>
  <c r="C543" i="1"/>
  <c r="B543" i="1"/>
  <c r="K542" i="1"/>
  <c r="C542" i="1"/>
  <c r="B542" i="1"/>
  <c r="K541" i="1"/>
  <c r="C541" i="1"/>
  <c r="B541" i="1"/>
  <c r="K540" i="1"/>
  <c r="C540" i="1"/>
  <c r="B540" i="1"/>
  <c r="K539" i="1"/>
  <c r="C539" i="1"/>
  <c r="B539" i="1"/>
  <c r="K538" i="1"/>
  <c r="C538" i="1"/>
  <c r="B538" i="1"/>
  <c r="K537" i="1"/>
  <c r="C537" i="1"/>
  <c r="B537" i="1"/>
  <c r="K536" i="1"/>
  <c r="C536" i="1"/>
  <c r="B536" i="1"/>
  <c r="K535" i="1"/>
  <c r="C535" i="1"/>
  <c r="B535" i="1"/>
  <c r="K534" i="1"/>
  <c r="C534" i="1"/>
  <c r="B534" i="1"/>
  <c r="K533" i="1"/>
  <c r="C533" i="1"/>
  <c r="B533" i="1"/>
  <c r="K532" i="1"/>
  <c r="C532" i="1"/>
  <c r="B532" i="1"/>
  <c r="K531" i="1"/>
  <c r="C531" i="1"/>
  <c r="B531" i="1"/>
  <c r="K530" i="1"/>
  <c r="C530" i="1"/>
  <c r="B530" i="1"/>
  <c r="K529" i="1"/>
  <c r="C529" i="1"/>
  <c r="B529" i="1"/>
  <c r="K528" i="1"/>
  <c r="C528" i="1"/>
  <c r="B528" i="1"/>
  <c r="K527" i="1"/>
  <c r="C527" i="1"/>
  <c r="B527" i="1"/>
  <c r="K526" i="1"/>
  <c r="C526" i="1"/>
  <c r="B526" i="1"/>
  <c r="K525" i="1"/>
  <c r="C525" i="1"/>
  <c r="B525" i="1"/>
  <c r="K524" i="1"/>
  <c r="C524" i="1"/>
  <c r="B524" i="1"/>
  <c r="K523" i="1"/>
  <c r="C523" i="1"/>
  <c r="B523" i="1"/>
  <c r="K522" i="1"/>
  <c r="C522" i="1"/>
  <c r="B522" i="1"/>
  <c r="K521" i="1"/>
  <c r="C521" i="1"/>
  <c r="B521" i="1"/>
  <c r="K520" i="1"/>
  <c r="C520" i="1"/>
  <c r="B520" i="1"/>
  <c r="K519" i="1"/>
  <c r="C519" i="1"/>
  <c r="B519" i="1"/>
  <c r="K518" i="1"/>
  <c r="C518" i="1"/>
  <c r="B518" i="1"/>
  <c r="K517" i="1"/>
  <c r="C517" i="1"/>
  <c r="B517" i="1"/>
  <c r="K516" i="1"/>
  <c r="C516" i="1"/>
  <c r="B516" i="1"/>
  <c r="K515" i="1"/>
  <c r="C515" i="1"/>
  <c r="B515" i="1"/>
  <c r="K514" i="1"/>
  <c r="C514" i="1"/>
  <c r="B514" i="1"/>
  <c r="K513" i="1"/>
  <c r="C513" i="1"/>
  <c r="B513" i="1"/>
  <c r="K512" i="1"/>
  <c r="C512" i="1"/>
  <c r="B512" i="1"/>
  <c r="K511" i="1"/>
  <c r="C511" i="1"/>
  <c r="B511" i="1"/>
  <c r="K510" i="1"/>
  <c r="C510" i="1"/>
  <c r="B510" i="1"/>
  <c r="K509" i="1"/>
  <c r="C509" i="1"/>
  <c r="B509" i="1"/>
  <c r="K508" i="1"/>
  <c r="C508" i="1"/>
  <c r="B508" i="1"/>
  <c r="K507" i="1"/>
  <c r="C507" i="1"/>
  <c r="B507" i="1"/>
  <c r="K506" i="1"/>
  <c r="C506" i="1"/>
  <c r="B506" i="1"/>
  <c r="K505" i="1"/>
  <c r="C505" i="1"/>
  <c r="B505" i="1"/>
  <c r="K504" i="1"/>
  <c r="C504" i="1"/>
  <c r="B504" i="1"/>
  <c r="K503" i="1"/>
  <c r="C503" i="1"/>
  <c r="B503" i="1"/>
  <c r="K502" i="1"/>
  <c r="C502" i="1"/>
  <c r="B502" i="1"/>
  <c r="K501" i="1"/>
  <c r="C501" i="1"/>
  <c r="B501" i="1"/>
  <c r="K500" i="1"/>
  <c r="C500" i="1"/>
  <c r="B500" i="1"/>
  <c r="K499" i="1"/>
  <c r="C499" i="1"/>
  <c r="B499" i="1"/>
  <c r="K498" i="1"/>
  <c r="C498" i="1"/>
  <c r="B498" i="1"/>
  <c r="K497" i="1"/>
  <c r="C497" i="1"/>
  <c r="B497" i="1"/>
  <c r="K496" i="1"/>
  <c r="C496" i="1"/>
  <c r="B496" i="1"/>
  <c r="K495" i="1"/>
  <c r="C495" i="1"/>
  <c r="B495" i="1"/>
  <c r="K494" i="1"/>
  <c r="C494" i="1"/>
  <c r="B494" i="1"/>
  <c r="K493" i="1"/>
  <c r="C493" i="1"/>
  <c r="B493" i="1"/>
  <c r="K492" i="1"/>
  <c r="C492" i="1"/>
  <c r="B492" i="1"/>
  <c r="K491" i="1"/>
  <c r="C491" i="1"/>
  <c r="B491" i="1"/>
  <c r="K490" i="1"/>
  <c r="C490" i="1"/>
  <c r="B490" i="1"/>
  <c r="K489" i="1"/>
  <c r="C489" i="1"/>
  <c r="B489" i="1"/>
  <c r="K488" i="1"/>
  <c r="C488" i="1"/>
  <c r="B488" i="1"/>
  <c r="K487" i="1"/>
  <c r="C487" i="1"/>
  <c r="B487" i="1"/>
  <c r="K486" i="1"/>
  <c r="C486" i="1"/>
  <c r="B486" i="1"/>
  <c r="K485" i="1"/>
  <c r="C485" i="1"/>
  <c r="B485" i="1"/>
  <c r="K484" i="1"/>
  <c r="C484" i="1"/>
  <c r="B484" i="1"/>
  <c r="K483" i="1"/>
  <c r="C483" i="1"/>
  <c r="B483" i="1"/>
  <c r="K482" i="1"/>
  <c r="C482" i="1"/>
  <c r="B482" i="1"/>
  <c r="K481" i="1"/>
  <c r="C481" i="1"/>
  <c r="B481" i="1"/>
  <c r="K480" i="1"/>
  <c r="C480" i="1"/>
  <c r="B480" i="1"/>
  <c r="K479" i="1"/>
  <c r="C479" i="1"/>
  <c r="B479" i="1"/>
  <c r="K478" i="1"/>
  <c r="C478" i="1"/>
  <c r="B478" i="1"/>
  <c r="K477" i="1"/>
  <c r="C477" i="1"/>
  <c r="B477" i="1"/>
  <c r="K476" i="1"/>
  <c r="C476" i="1"/>
  <c r="B476" i="1"/>
  <c r="K475" i="1"/>
  <c r="C475" i="1"/>
  <c r="B475" i="1"/>
  <c r="K474" i="1"/>
  <c r="C474" i="1"/>
  <c r="B474" i="1"/>
  <c r="K473" i="1"/>
  <c r="C473" i="1"/>
  <c r="B473" i="1"/>
  <c r="K472" i="1"/>
  <c r="C472" i="1"/>
  <c r="B472" i="1"/>
  <c r="K471" i="1"/>
  <c r="C471" i="1"/>
  <c r="B471" i="1"/>
  <c r="K470" i="1"/>
  <c r="C470" i="1"/>
  <c r="B470" i="1"/>
  <c r="K469" i="1"/>
  <c r="C469" i="1"/>
  <c r="B469" i="1"/>
  <c r="K468" i="1"/>
  <c r="C468" i="1"/>
  <c r="B468" i="1"/>
  <c r="K467" i="1"/>
  <c r="C467" i="1"/>
  <c r="B467" i="1"/>
  <c r="K466" i="1"/>
  <c r="C466" i="1"/>
  <c r="B466" i="1"/>
  <c r="K465" i="1"/>
  <c r="C465" i="1"/>
  <c r="B465" i="1"/>
  <c r="K464" i="1"/>
  <c r="C464" i="1"/>
  <c r="B464" i="1"/>
  <c r="K463" i="1"/>
  <c r="C463" i="1"/>
  <c r="B463" i="1"/>
  <c r="K462" i="1"/>
  <c r="C462" i="1"/>
  <c r="B462" i="1"/>
  <c r="K461" i="1"/>
  <c r="C461" i="1"/>
  <c r="B461" i="1"/>
  <c r="K460" i="1"/>
  <c r="C460" i="1"/>
  <c r="B460" i="1"/>
  <c r="K459" i="1"/>
  <c r="C459" i="1"/>
  <c r="B459" i="1"/>
  <c r="K458" i="1"/>
  <c r="C458" i="1"/>
  <c r="B458" i="1"/>
  <c r="K457" i="1"/>
  <c r="C457" i="1"/>
  <c r="B457" i="1"/>
  <c r="K456" i="1"/>
  <c r="C456" i="1"/>
  <c r="B456" i="1"/>
  <c r="K455" i="1"/>
  <c r="C455" i="1"/>
  <c r="B455" i="1"/>
  <c r="K454" i="1"/>
  <c r="C454" i="1"/>
  <c r="B454" i="1"/>
  <c r="K453" i="1"/>
  <c r="C453" i="1"/>
  <c r="B453" i="1"/>
  <c r="K452" i="1"/>
  <c r="C452" i="1"/>
  <c r="B452" i="1"/>
  <c r="K451" i="1"/>
  <c r="C451" i="1"/>
  <c r="B451" i="1"/>
  <c r="K450" i="1"/>
  <c r="C450" i="1"/>
  <c r="B450" i="1"/>
  <c r="K449" i="1"/>
  <c r="C449" i="1"/>
  <c r="B449" i="1"/>
  <c r="K448" i="1"/>
  <c r="C448" i="1"/>
  <c r="B448" i="1"/>
  <c r="K447" i="1"/>
  <c r="C447" i="1"/>
  <c r="B447" i="1"/>
  <c r="K446" i="1"/>
  <c r="C446" i="1"/>
  <c r="B446" i="1"/>
  <c r="K445" i="1"/>
  <c r="C445" i="1"/>
  <c r="B445" i="1"/>
  <c r="K444" i="1"/>
  <c r="C444" i="1"/>
  <c r="B444" i="1"/>
  <c r="K443" i="1"/>
  <c r="C443" i="1"/>
  <c r="B443" i="1"/>
  <c r="K442" i="1"/>
  <c r="C442" i="1"/>
  <c r="B442" i="1"/>
  <c r="K441" i="1"/>
  <c r="C441" i="1"/>
  <c r="B441" i="1"/>
  <c r="K440" i="1"/>
  <c r="C440" i="1"/>
  <c r="B440" i="1"/>
  <c r="K439" i="1"/>
  <c r="C439" i="1"/>
  <c r="B439" i="1"/>
  <c r="K438" i="1"/>
  <c r="C438" i="1"/>
  <c r="B438" i="1"/>
  <c r="K437" i="1"/>
  <c r="C437" i="1"/>
  <c r="B437" i="1"/>
  <c r="K436" i="1"/>
  <c r="C436" i="1"/>
  <c r="B436" i="1"/>
  <c r="K435" i="1"/>
  <c r="C435" i="1"/>
  <c r="B435" i="1"/>
  <c r="K434" i="1"/>
  <c r="C434" i="1"/>
  <c r="B434" i="1"/>
  <c r="K433" i="1"/>
  <c r="C433" i="1"/>
  <c r="B433" i="1"/>
  <c r="K432" i="1"/>
  <c r="C432" i="1"/>
  <c r="B432" i="1"/>
  <c r="K431" i="1"/>
  <c r="C431" i="1"/>
  <c r="B431" i="1"/>
  <c r="K430" i="1"/>
  <c r="C430" i="1"/>
  <c r="B430" i="1"/>
  <c r="K429" i="1"/>
  <c r="C429" i="1"/>
  <c r="B429" i="1"/>
  <c r="K428" i="1"/>
  <c r="C428" i="1"/>
  <c r="B428" i="1"/>
  <c r="K427" i="1"/>
  <c r="C427" i="1"/>
  <c r="B427" i="1"/>
  <c r="K426" i="1"/>
  <c r="C426" i="1"/>
  <c r="B426" i="1"/>
  <c r="K425" i="1"/>
  <c r="C425" i="1"/>
  <c r="B425" i="1"/>
  <c r="K424" i="1"/>
  <c r="C424" i="1"/>
  <c r="B424" i="1"/>
  <c r="K423" i="1"/>
  <c r="C423" i="1"/>
  <c r="B423" i="1"/>
  <c r="K422" i="1"/>
  <c r="C422" i="1"/>
  <c r="B422" i="1"/>
  <c r="K421" i="1"/>
  <c r="C421" i="1"/>
  <c r="B421" i="1"/>
  <c r="K420" i="1"/>
  <c r="C420" i="1"/>
  <c r="B420" i="1"/>
  <c r="K419" i="1"/>
  <c r="C419" i="1"/>
  <c r="B419" i="1"/>
  <c r="K418" i="1"/>
  <c r="C418" i="1"/>
  <c r="B418" i="1"/>
  <c r="K417" i="1"/>
  <c r="C417" i="1"/>
  <c r="B417" i="1"/>
  <c r="K416" i="1"/>
  <c r="C416" i="1"/>
  <c r="B416" i="1"/>
  <c r="K415" i="1"/>
  <c r="C415" i="1"/>
  <c r="B415" i="1"/>
  <c r="K414" i="1"/>
  <c r="C414" i="1"/>
  <c r="B414" i="1"/>
  <c r="K413" i="1"/>
  <c r="C413" i="1"/>
  <c r="B413" i="1"/>
  <c r="K412" i="1"/>
  <c r="C412" i="1"/>
  <c r="B412" i="1"/>
  <c r="K411" i="1"/>
  <c r="C411" i="1"/>
  <c r="B411" i="1"/>
  <c r="K410" i="1"/>
  <c r="C410" i="1"/>
  <c r="B410" i="1"/>
  <c r="K409" i="1"/>
  <c r="C409" i="1"/>
  <c r="B409" i="1"/>
  <c r="K408" i="1"/>
  <c r="C408" i="1"/>
  <c r="B408" i="1"/>
  <c r="K407" i="1"/>
  <c r="C407" i="1"/>
  <c r="B407" i="1"/>
  <c r="K406" i="1"/>
  <c r="C406" i="1"/>
  <c r="B406" i="1"/>
  <c r="K405" i="1"/>
  <c r="C405" i="1"/>
  <c r="B405" i="1"/>
  <c r="K404" i="1"/>
  <c r="C404" i="1"/>
  <c r="B404" i="1"/>
  <c r="K403" i="1"/>
  <c r="C403" i="1"/>
  <c r="B403" i="1"/>
  <c r="K402" i="1"/>
  <c r="C402" i="1"/>
  <c r="B402" i="1"/>
  <c r="K401" i="1"/>
  <c r="C401" i="1"/>
  <c r="B401" i="1"/>
  <c r="K400" i="1"/>
  <c r="C400" i="1"/>
  <c r="B400" i="1"/>
  <c r="K399" i="1"/>
  <c r="C399" i="1"/>
  <c r="B399" i="1"/>
  <c r="K398" i="1"/>
  <c r="C398" i="1"/>
  <c r="B398" i="1"/>
  <c r="K397" i="1"/>
  <c r="C397" i="1"/>
  <c r="B397" i="1"/>
  <c r="K396" i="1"/>
  <c r="C396" i="1"/>
  <c r="B396" i="1"/>
  <c r="K395" i="1"/>
  <c r="C395" i="1"/>
  <c r="B395" i="1"/>
  <c r="K394" i="1"/>
  <c r="C394" i="1"/>
  <c r="B394" i="1"/>
  <c r="K393" i="1"/>
  <c r="C393" i="1"/>
  <c r="B393" i="1"/>
  <c r="K392" i="1"/>
  <c r="C392" i="1"/>
  <c r="B392" i="1"/>
  <c r="K391" i="1"/>
  <c r="C391" i="1"/>
  <c r="B391" i="1"/>
  <c r="K390" i="1"/>
  <c r="C390" i="1"/>
  <c r="B390" i="1"/>
  <c r="K389" i="1"/>
  <c r="C389" i="1"/>
  <c r="B389" i="1"/>
  <c r="K388" i="1"/>
  <c r="C388" i="1"/>
  <c r="B388" i="1"/>
  <c r="K387" i="1"/>
  <c r="C387" i="1"/>
  <c r="B387" i="1"/>
  <c r="K386" i="1"/>
  <c r="C386" i="1"/>
  <c r="B386" i="1"/>
  <c r="K385" i="1"/>
  <c r="C385" i="1"/>
  <c r="B385" i="1"/>
  <c r="K384" i="1"/>
  <c r="C384" i="1"/>
  <c r="B384" i="1"/>
  <c r="K383" i="1"/>
  <c r="C383" i="1"/>
  <c r="B383" i="1"/>
  <c r="K382" i="1"/>
  <c r="C382" i="1"/>
  <c r="B382" i="1"/>
  <c r="K381" i="1"/>
  <c r="C381" i="1"/>
  <c r="B381" i="1"/>
  <c r="K380" i="1"/>
  <c r="C380" i="1"/>
  <c r="B380" i="1"/>
  <c r="K379" i="1"/>
  <c r="C379" i="1"/>
  <c r="B379" i="1"/>
  <c r="K378" i="1"/>
  <c r="C378" i="1"/>
  <c r="B378" i="1"/>
  <c r="K377" i="1"/>
  <c r="C377" i="1"/>
  <c r="B377" i="1"/>
  <c r="K376" i="1"/>
  <c r="C376" i="1"/>
  <c r="B376" i="1"/>
  <c r="K375" i="1"/>
  <c r="C375" i="1"/>
  <c r="B375" i="1"/>
  <c r="K374" i="1"/>
  <c r="C374" i="1"/>
  <c r="B374" i="1"/>
  <c r="K373" i="1"/>
  <c r="C373" i="1"/>
  <c r="B373" i="1"/>
  <c r="K372" i="1"/>
  <c r="C372" i="1"/>
  <c r="B372" i="1"/>
  <c r="K371" i="1"/>
  <c r="C371" i="1"/>
  <c r="B371" i="1"/>
  <c r="K370" i="1"/>
  <c r="C370" i="1"/>
  <c r="B370" i="1"/>
  <c r="K369" i="1"/>
  <c r="C369" i="1"/>
  <c r="B369" i="1"/>
  <c r="K368" i="1"/>
  <c r="C368" i="1"/>
  <c r="B368" i="1"/>
  <c r="K367" i="1"/>
  <c r="C367" i="1"/>
  <c r="B367" i="1"/>
  <c r="K366" i="1"/>
  <c r="C366" i="1"/>
  <c r="B366" i="1"/>
  <c r="K365" i="1"/>
  <c r="C365" i="1"/>
  <c r="B365" i="1"/>
  <c r="K364" i="1"/>
  <c r="C364" i="1"/>
  <c r="B364" i="1"/>
  <c r="K363" i="1"/>
  <c r="C363" i="1"/>
  <c r="B363" i="1"/>
  <c r="K362" i="1"/>
  <c r="C362" i="1"/>
  <c r="B362" i="1"/>
  <c r="K361" i="1"/>
  <c r="C361" i="1"/>
  <c r="B361" i="1"/>
  <c r="K360" i="1"/>
  <c r="C360" i="1"/>
  <c r="B360" i="1"/>
  <c r="K359" i="1"/>
  <c r="C359" i="1"/>
  <c r="B359" i="1"/>
  <c r="K358" i="1"/>
  <c r="C358" i="1"/>
  <c r="B358" i="1"/>
  <c r="K357" i="1"/>
  <c r="C357" i="1"/>
  <c r="B357" i="1"/>
  <c r="K356" i="1"/>
  <c r="C356" i="1"/>
  <c r="B356" i="1"/>
  <c r="K355" i="1"/>
  <c r="C355" i="1"/>
  <c r="B355" i="1"/>
  <c r="K354" i="1"/>
  <c r="C354" i="1"/>
  <c r="B354" i="1"/>
  <c r="K353" i="1"/>
  <c r="C353" i="1"/>
  <c r="B353" i="1"/>
  <c r="K352" i="1"/>
  <c r="C352" i="1"/>
  <c r="B352" i="1"/>
  <c r="K351" i="1"/>
  <c r="C351" i="1"/>
  <c r="B351" i="1"/>
  <c r="K350" i="1"/>
  <c r="C350" i="1"/>
  <c r="B350" i="1"/>
  <c r="K349" i="1"/>
  <c r="C349" i="1"/>
  <c r="B349" i="1"/>
  <c r="K348" i="1"/>
  <c r="C348" i="1"/>
  <c r="B348" i="1"/>
  <c r="K347" i="1"/>
  <c r="C347" i="1"/>
  <c r="B347" i="1"/>
  <c r="K346" i="1"/>
  <c r="C346" i="1"/>
  <c r="B346" i="1"/>
  <c r="K345" i="1"/>
  <c r="C345" i="1"/>
  <c r="B345" i="1"/>
  <c r="K344" i="1"/>
  <c r="C344" i="1"/>
  <c r="B344" i="1"/>
  <c r="K343" i="1"/>
  <c r="C343" i="1"/>
  <c r="B343" i="1"/>
  <c r="K342" i="1"/>
  <c r="C342" i="1"/>
  <c r="B342" i="1"/>
  <c r="K341" i="1"/>
  <c r="C341" i="1"/>
  <c r="B341" i="1"/>
  <c r="K340" i="1"/>
  <c r="C340" i="1"/>
  <c r="B340" i="1"/>
  <c r="K339" i="1"/>
  <c r="C339" i="1"/>
  <c r="B339" i="1"/>
  <c r="K338" i="1"/>
  <c r="C338" i="1"/>
  <c r="B338" i="1"/>
  <c r="K337" i="1"/>
  <c r="C337" i="1"/>
  <c r="B337" i="1"/>
  <c r="K336" i="1"/>
  <c r="C336" i="1"/>
  <c r="B336" i="1"/>
  <c r="K335" i="1"/>
  <c r="C335" i="1"/>
  <c r="B335" i="1"/>
  <c r="K334" i="1"/>
  <c r="C334" i="1"/>
  <c r="B334" i="1"/>
  <c r="K333" i="1"/>
  <c r="C333" i="1"/>
  <c r="B333" i="1"/>
  <c r="K332" i="1"/>
  <c r="C332" i="1"/>
  <c r="B332" i="1"/>
  <c r="K331" i="1"/>
  <c r="C331" i="1"/>
  <c r="B331" i="1"/>
  <c r="K330" i="1"/>
  <c r="C330" i="1"/>
  <c r="B330" i="1"/>
  <c r="K329" i="1"/>
  <c r="C329" i="1"/>
  <c r="B329" i="1"/>
  <c r="K328" i="1"/>
  <c r="C328" i="1"/>
  <c r="B328" i="1"/>
  <c r="K327" i="1"/>
  <c r="C327" i="1"/>
  <c r="B327" i="1"/>
  <c r="K326" i="1"/>
  <c r="C326" i="1"/>
  <c r="B326" i="1"/>
  <c r="K325" i="1"/>
  <c r="C325" i="1"/>
  <c r="B325" i="1"/>
  <c r="K324" i="1"/>
  <c r="C324" i="1"/>
  <c r="B324" i="1"/>
  <c r="K323" i="1"/>
  <c r="C323" i="1"/>
  <c r="B323" i="1"/>
  <c r="K322" i="1"/>
  <c r="C322" i="1"/>
  <c r="B322" i="1"/>
  <c r="K321" i="1"/>
  <c r="C321" i="1"/>
  <c r="B321" i="1"/>
  <c r="K320" i="1"/>
  <c r="C320" i="1"/>
  <c r="B320" i="1"/>
  <c r="K319" i="1"/>
  <c r="C319" i="1"/>
  <c r="B319" i="1"/>
  <c r="K318" i="1"/>
  <c r="C318" i="1"/>
  <c r="B318" i="1"/>
  <c r="K317" i="1"/>
  <c r="C317" i="1"/>
  <c r="B317" i="1"/>
  <c r="K316" i="1"/>
  <c r="C316" i="1"/>
  <c r="B316" i="1"/>
  <c r="K315" i="1"/>
  <c r="C315" i="1"/>
  <c r="B315" i="1"/>
  <c r="K314" i="1"/>
  <c r="C314" i="1"/>
  <c r="B314" i="1"/>
  <c r="K313" i="1"/>
  <c r="C313" i="1"/>
  <c r="B313" i="1"/>
  <c r="K312" i="1"/>
  <c r="C312" i="1"/>
  <c r="B312" i="1"/>
  <c r="K311" i="1"/>
  <c r="C311" i="1"/>
  <c r="B311" i="1"/>
  <c r="K310" i="1"/>
  <c r="C310" i="1"/>
  <c r="B310" i="1"/>
  <c r="K309" i="1"/>
  <c r="C309" i="1"/>
  <c r="B309" i="1"/>
  <c r="K308" i="1"/>
  <c r="C308" i="1"/>
  <c r="B308" i="1"/>
  <c r="K307" i="1"/>
  <c r="C307" i="1"/>
  <c r="B307" i="1"/>
  <c r="K306" i="1"/>
  <c r="C306" i="1"/>
  <c r="B306" i="1"/>
  <c r="K305" i="1"/>
  <c r="C305" i="1"/>
  <c r="B305" i="1"/>
  <c r="K304" i="1"/>
  <c r="C304" i="1"/>
  <c r="B304" i="1"/>
  <c r="K303" i="1"/>
  <c r="C303" i="1"/>
  <c r="B303" i="1"/>
  <c r="K302" i="1"/>
  <c r="C302" i="1"/>
  <c r="B302" i="1"/>
  <c r="K301" i="1"/>
  <c r="C301" i="1"/>
  <c r="B301" i="1"/>
  <c r="K300" i="1"/>
  <c r="C300" i="1"/>
  <c r="B300" i="1"/>
  <c r="K299" i="1"/>
  <c r="C299" i="1"/>
  <c r="B299" i="1"/>
  <c r="K298" i="1"/>
  <c r="C298" i="1"/>
  <c r="B298" i="1"/>
  <c r="K297" i="1"/>
  <c r="C297" i="1"/>
  <c r="B297" i="1"/>
  <c r="K296" i="1"/>
  <c r="C296" i="1"/>
  <c r="B296" i="1"/>
  <c r="K295" i="1"/>
  <c r="C295" i="1"/>
  <c r="B295" i="1"/>
  <c r="K294" i="1"/>
  <c r="C294" i="1"/>
  <c r="B294" i="1"/>
  <c r="K293" i="1"/>
  <c r="C293" i="1"/>
  <c r="B293" i="1"/>
  <c r="K292" i="1"/>
  <c r="C292" i="1"/>
  <c r="B292" i="1"/>
  <c r="K291" i="1"/>
  <c r="C291" i="1"/>
  <c r="B291" i="1"/>
  <c r="K290" i="1"/>
  <c r="C290" i="1"/>
  <c r="B290" i="1"/>
  <c r="K289" i="1"/>
  <c r="C289" i="1"/>
  <c r="B289" i="1"/>
  <c r="K288" i="1"/>
  <c r="C288" i="1"/>
  <c r="B288" i="1"/>
  <c r="K287" i="1"/>
  <c r="C287" i="1"/>
  <c r="B287" i="1"/>
  <c r="K286" i="1"/>
  <c r="C286" i="1"/>
  <c r="B286" i="1"/>
  <c r="K285" i="1"/>
  <c r="C285" i="1"/>
  <c r="B285" i="1"/>
  <c r="K284" i="1"/>
  <c r="C284" i="1"/>
  <c r="B284" i="1"/>
  <c r="K283" i="1"/>
  <c r="C283" i="1"/>
  <c r="B283" i="1"/>
  <c r="K282" i="1"/>
  <c r="C282" i="1"/>
  <c r="B282" i="1"/>
  <c r="K281" i="1"/>
  <c r="C281" i="1"/>
  <c r="B281" i="1"/>
  <c r="K280" i="1"/>
  <c r="C280" i="1"/>
  <c r="B280" i="1"/>
  <c r="K279" i="1"/>
  <c r="C279" i="1"/>
  <c r="B279" i="1"/>
  <c r="K278" i="1"/>
  <c r="C278" i="1"/>
  <c r="B278" i="1"/>
  <c r="K277" i="1"/>
  <c r="C277" i="1"/>
  <c r="B277" i="1"/>
  <c r="K276" i="1"/>
  <c r="C276" i="1"/>
  <c r="B276" i="1"/>
  <c r="K275" i="1"/>
  <c r="C275" i="1"/>
  <c r="B275" i="1"/>
  <c r="K274" i="1"/>
  <c r="C274" i="1"/>
  <c r="B274" i="1"/>
  <c r="K273" i="1"/>
  <c r="C273" i="1"/>
  <c r="B273" i="1"/>
  <c r="K272" i="1"/>
  <c r="C272" i="1"/>
  <c r="B272" i="1"/>
  <c r="K271" i="1"/>
  <c r="C271" i="1"/>
  <c r="B271" i="1"/>
  <c r="K270" i="1"/>
  <c r="C270" i="1"/>
  <c r="B270" i="1"/>
  <c r="K269" i="1"/>
  <c r="C269" i="1"/>
  <c r="B269" i="1"/>
  <c r="K268" i="1"/>
  <c r="C268" i="1"/>
  <c r="B268" i="1"/>
  <c r="K267" i="1"/>
  <c r="C267" i="1"/>
  <c r="B267" i="1"/>
  <c r="K266" i="1"/>
  <c r="C266" i="1"/>
  <c r="B266" i="1"/>
  <c r="K265" i="1"/>
  <c r="C265" i="1"/>
  <c r="B265" i="1"/>
  <c r="K264" i="1"/>
  <c r="C264" i="1"/>
  <c r="B264" i="1"/>
  <c r="K263" i="1"/>
  <c r="C263" i="1"/>
  <c r="B263" i="1"/>
  <c r="K262" i="1"/>
  <c r="C262" i="1"/>
  <c r="B262" i="1"/>
  <c r="K261" i="1"/>
  <c r="C261" i="1"/>
  <c r="B261" i="1"/>
  <c r="K260" i="1"/>
  <c r="C260" i="1"/>
  <c r="B260" i="1"/>
  <c r="K259" i="1"/>
  <c r="C259" i="1"/>
  <c r="B259" i="1"/>
  <c r="K258" i="1"/>
  <c r="C258" i="1"/>
  <c r="B258" i="1"/>
  <c r="K257" i="1"/>
  <c r="C257" i="1"/>
  <c r="B257" i="1"/>
  <c r="K256" i="1"/>
  <c r="C256" i="1"/>
  <c r="B256" i="1"/>
  <c r="K255" i="1"/>
  <c r="C255" i="1"/>
  <c r="B255" i="1"/>
  <c r="K254" i="1"/>
  <c r="C254" i="1"/>
  <c r="B254" i="1"/>
  <c r="K253" i="1"/>
  <c r="C253" i="1"/>
  <c r="B253" i="1"/>
  <c r="K252" i="1"/>
  <c r="C252" i="1"/>
  <c r="B252" i="1"/>
  <c r="K251" i="1"/>
  <c r="C251" i="1"/>
  <c r="B251" i="1"/>
  <c r="K250" i="1"/>
  <c r="C250" i="1"/>
  <c r="B250" i="1"/>
  <c r="K249" i="1"/>
  <c r="C249" i="1"/>
  <c r="B249" i="1"/>
  <c r="K248" i="1"/>
  <c r="C248" i="1"/>
  <c r="B248" i="1"/>
  <c r="K247" i="1"/>
  <c r="C247" i="1"/>
  <c r="B247" i="1"/>
  <c r="K246" i="1"/>
  <c r="C246" i="1"/>
  <c r="B246" i="1"/>
  <c r="K245" i="1"/>
  <c r="C245" i="1"/>
  <c r="B245" i="1"/>
  <c r="K244" i="1"/>
  <c r="C244" i="1"/>
  <c r="B244" i="1"/>
  <c r="K243" i="1"/>
  <c r="C243" i="1"/>
  <c r="B243" i="1"/>
  <c r="K242" i="1"/>
  <c r="C242" i="1"/>
  <c r="B242" i="1"/>
  <c r="K241" i="1"/>
  <c r="C241" i="1"/>
  <c r="B241" i="1"/>
  <c r="K240" i="1"/>
  <c r="C240" i="1"/>
  <c r="B240" i="1"/>
  <c r="K239" i="1"/>
  <c r="C239" i="1"/>
  <c r="B239" i="1"/>
  <c r="K238" i="1"/>
  <c r="C238" i="1"/>
  <c r="B238" i="1"/>
  <c r="K237" i="1"/>
  <c r="C237" i="1"/>
  <c r="B237" i="1"/>
  <c r="K236" i="1"/>
  <c r="C236" i="1"/>
  <c r="B236" i="1"/>
  <c r="K235" i="1"/>
  <c r="C235" i="1"/>
  <c r="B235" i="1"/>
  <c r="K234" i="1"/>
  <c r="C234" i="1"/>
  <c r="B234" i="1"/>
  <c r="K233" i="1"/>
  <c r="C233" i="1"/>
  <c r="B233" i="1"/>
  <c r="K232" i="1"/>
  <c r="C232" i="1"/>
  <c r="B232" i="1"/>
  <c r="K231" i="1"/>
  <c r="C231" i="1"/>
  <c r="B231" i="1"/>
  <c r="K230" i="1"/>
  <c r="C230" i="1"/>
  <c r="B230" i="1"/>
  <c r="K229" i="1"/>
  <c r="C229" i="1"/>
  <c r="B229" i="1"/>
  <c r="K228" i="1"/>
  <c r="C228" i="1"/>
  <c r="B228" i="1"/>
  <c r="K227" i="1"/>
  <c r="C227" i="1"/>
  <c r="B227" i="1"/>
  <c r="K226" i="1"/>
  <c r="C226" i="1"/>
  <c r="B226" i="1"/>
  <c r="K225" i="1"/>
  <c r="C225" i="1"/>
  <c r="B225" i="1"/>
  <c r="K224" i="1"/>
  <c r="C224" i="1"/>
  <c r="B224" i="1"/>
  <c r="K223" i="1"/>
  <c r="C223" i="1"/>
  <c r="B223" i="1"/>
  <c r="K222" i="1"/>
  <c r="C222" i="1"/>
  <c r="B222" i="1"/>
  <c r="K221" i="1"/>
  <c r="C221" i="1"/>
  <c r="B221" i="1"/>
  <c r="K220" i="1"/>
  <c r="C220" i="1"/>
  <c r="B220" i="1"/>
  <c r="K219" i="1"/>
  <c r="C219" i="1"/>
  <c r="B219" i="1"/>
  <c r="K218" i="1"/>
  <c r="C218" i="1"/>
  <c r="B218" i="1"/>
  <c r="K217" i="1"/>
  <c r="C217" i="1"/>
  <c r="B217" i="1"/>
  <c r="K216" i="1"/>
  <c r="C216" i="1"/>
  <c r="B216" i="1"/>
  <c r="K215" i="1"/>
  <c r="C215" i="1"/>
  <c r="B215" i="1"/>
  <c r="K214" i="1"/>
  <c r="C214" i="1"/>
  <c r="B214" i="1"/>
  <c r="K213" i="1"/>
  <c r="C213" i="1"/>
  <c r="B213" i="1"/>
  <c r="K212" i="1"/>
  <c r="C212" i="1"/>
  <c r="B212" i="1"/>
  <c r="K211" i="1"/>
  <c r="C211" i="1"/>
  <c r="B211" i="1"/>
  <c r="K210" i="1"/>
  <c r="C210" i="1"/>
  <c r="B210" i="1"/>
  <c r="K209" i="1"/>
  <c r="C209" i="1"/>
  <c r="B209" i="1"/>
  <c r="K208" i="1"/>
  <c r="C208" i="1"/>
  <c r="B208" i="1"/>
  <c r="K207" i="1"/>
  <c r="C207" i="1"/>
  <c r="B207" i="1"/>
  <c r="K206" i="1"/>
  <c r="C206" i="1"/>
  <c r="B206" i="1"/>
  <c r="K205" i="1"/>
  <c r="C205" i="1"/>
  <c r="B205" i="1"/>
  <c r="K204" i="1"/>
  <c r="C204" i="1"/>
  <c r="B204" i="1"/>
  <c r="K203" i="1"/>
  <c r="C203" i="1"/>
  <c r="B203" i="1"/>
  <c r="K202" i="1"/>
  <c r="C202" i="1"/>
  <c r="B202" i="1"/>
  <c r="K201" i="1"/>
  <c r="C201" i="1"/>
  <c r="B201" i="1"/>
  <c r="K200" i="1"/>
  <c r="C200" i="1"/>
  <c r="B200" i="1"/>
  <c r="K199" i="1"/>
  <c r="C199" i="1"/>
  <c r="B199" i="1"/>
  <c r="K198" i="1"/>
  <c r="C198" i="1"/>
  <c r="B198" i="1"/>
  <c r="K197" i="1"/>
  <c r="C197" i="1"/>
  <c r="B197" i="1"/>
  <c r="K196" i="1"/>
  <c r="C196" i="1"/>
  <c r="B196" i="1"/>
  <c r="K195" i="1"/>
  <c r="C195" i="1"/>
  <c r="B195" i="1"/>
  <c r="K194" i="1"/>
  <c r="C194" i="1"/>
  <c r="B194" i="1"/>
  <c r="K193" i="1"/>
  <c r="C193" i="1"/>
  <c r="B193" i="1"/>
  <c r="K192" i="1"/>
  <c r="C192" i="1"/>
  <c r="B192" i="1"/>
  <c r="K191" i="1"/>
  <c r="C191" i="1"/>
  <c r="B191" i="1"/>
  <c r="K190" i="1"/>
  <c r="C190" i="1"/>
  <c r="B190" i="1"/>
  <c r="K189" i="1"/>
  <c r="C189" i="1"/>
  <c r="B189" i="1"/>
  <c r="K188" i="1"/>
  <c r="C188" i="1"/>
  <c r="B188" i="1"/>
  <c r="K187" i="1"/>
  <c r="C187" i="1"/>
  <c r="B187" i="1"/>
  <c r="K186" i="1"/>
  <c r="C186" i="1"/>
  <c r="B186" i="1"/>
  <c r="K185" i="1"/>
  <c r="C185" i="1"/>
  <c r="B185" i="1"/>
  <c r="K184" i="1"/>
  <c r="C184" i="1"/>
  <c r="B184" i="1"/>
  <c r="K183" i="1"/>
  <c r="C183" i="1"/>
  <c r="B183" i="1"/>
  <c r="K182" i="1"/>
  <c r="C182" i="1"/>
  <c r="B182" i="1"/>
  <c r="K181" i="1"/>
  <c r="C181" i="1"/>
  <c r="B181" i="1"/>
  <c r="K180" i="1"/>
  <c r="C180" i="1"/>
  <c r="B180" i="1"/>
  <c r="K179" i="1"/>
  <c r="C179" i="1"/>
  <c r="B179" i="1"/>
  <c r="K178" i="1"/>
  <c r="C178" i="1"/>
  <c r="B178" i="1"/>
  <c r="K177" i="1"/>
  <c r="C177" i="1"/>
  <c r="B177" i="1"/>
  <c r="K176" i="1"/>
  <c r="C176" i="1"/>
  <c r="B176" i="1"/>
  <c r="K175" i="1"/>
  <c r="C175" i="1"/>
  <c r="B175" i="1"/>
  <c r="K174" i="1"/>
  <c r="C174" i="1"/>
  <c r="B174" i="1"/>
  <c r="K173" i="1"/>
  <c r="C173" i="1"/>
  <c r="B173" i="1"/>
  <c r="K172" i="1"/>
  <c r="C172" i="1"/>
  <c r="B172" i="1"/>
  <c r="K171" i="1"/>
  <c r="C171" i="1"/>
  <c r="B171" i="1"/>
  <c r="K170" i="1"/>
  <c r="C170" i="1"/>
  <c r="B170" i="1"/>
  <c r="K169" i="1"/>
  <c r="C169" i="1"/>
  <c r="B169" i="1"/>
  <c r="K168" i="1"/>
  <c r="C168" i="1"/>
  <c r="B168" i="1"/>
  <c r="K167" i="1"/>
  <c r="C167" i="1"/>
  <c r="B167" i="1"/>
  <c r="K166" i="1"/>
  <c r="C166" i="1"/>
  <c r="B166" i="1"/>
  <c r="K165" i="1"/>
  <c r="C165" i="1"/>
  <c r="B165" i="1"/>
  <c r="K164" i="1"/>
  <c r="C164" i="1"/>
  <c r="B164" i="1"/>
  <c r="K163" i="1"/>
  <c r="C163" i="1"/>
  <c r="B163" i="1"/>
  <c r="K162" i="1"/>
  <c r="C162" i="1"/>
  <c r="B162" i="1"/>
  <c r="K161" i="1"/>
  <c r="C161" i="1"/>
  <c r="B161" i="1"/>
  <c r="K160" i="1"/>
  <c r="C160" i="1"/>
  <c r="B160" i="1"/>
  <c r="K159" i="1"/>
  <c r="C159" i="1"/>
  <c r="B159" i="1"/>
  <c r="K158" i="1"/>
  <c r="C158" i="1"/>
  <c r="B158" i="1"/>
  <c r="K157" i="1"/>
  <c r="C157" i="1"/>
  <c r="B157" i="1"/>
  <c r="K156" i="1"/>
  <c r="C156" i="1"/>
  <c r="B156" i="1"/>
  <c r="K155" i="1"/>
  <c r="C155" i="1"/>
  <c r="B155" i="1"/>
  <c r="K154" i="1"/>
  <c r="C154" i="1"/>
  <c r="B154" i="1"/>
  <c r="K153" i="1"/>
  <c r="C153" i="1"/>
  <c r="B153" i="1"/>
  <c r="K152" i="1"/>
  <c r="C152" i="1"/>
  <c r="B152" i="1"/>
  <c r="K151" i="1"/>
  <c r="C151" i="1"/>
  <c r="B151" i="1"/>
  <c r="K150" i="1"/>
  <c r="C150" i="1"/>
  <c r="B150" i="1"/>
  <c r="K149" i="1"/>
  <c r="C149" i="1"/>
  <c r="B149" i="1"/>
  <c r="K148" i="1"/>
  <c r="C148" i="1"/>
  <c r="B148" i="1"/>
  <c r="K147" i="1"/>
  <c r="C147" i="1"/>
  <c r="B147" i="1"/>
  <c r="K146" i="1"/>
  <c r="C146" i="1"/>
  <c r="B146" i="1"/>
  <c r="K145" i="1"/>
  <c r="C145" i="1"/>
  <c r="B145" i="1"/>
  <c r="K144" i="1"/>
  <c r="C144" i="1"/>
  <c r="B144" i="1"/>
  <c r="K143" i="1"/>
  <c r="C143" i="1"/>
  <c r="B143" i="1"/>
  <c r="K142" i="1"/>
  <c r="C142" i="1"/>
  <c r="B142" i="1"/>
  <c r="K141" i="1"/>
  <c r="C141" i="1"/>
  <c r="B141" i="1"/>
  <c r="K140" i="1"/>
  <c r="C140" i="1"/>
  <c r="B140" i="1"/>
  <c r="K139" i="1"/>
  <c r="C139" i="1"/>
  <c r="B139" i="1"/>
  <c r="K138" i="1"/>
  <c r="C138" i="1"/>
  <c r="B138" i="1"/>
  <c r="K137" i="1"/>
  <c r="C137" i="1"/>
  <c r="B137" i="1"/>
  <c r="K136" i="1"/>
  <c r="C136" i="1"/>
  <c r="B136" i="1"/>
  <c r="K135" i="1"/>
  <c r="C135" i="1"/>
  <c r="B135" i="1"/>
  <c r="K134" i="1"/>
  <c r="C134" i="1"/>
  <c r="B134" i="1"/>
  <c r="K133" i="1"/>
  <c r="C133" i="1"/>
  <c r="B133" i="1"/>
  <c r="K132" i="1"/>
  <c r="C132" i="1"/>
  <c r="B132" i="1"/>
  <c r="K131" i="1"/>
  <c r="C131" i="1"/>
  <c r="B131" i="1"/>
  <c r="K130" i="1"/>
  <c r="C130" i="1"/>
  <c r="B130" i="1"/>
  <c r="K129" i="1"/>
  <c r="C129" i="1"/>
  <c r="B129" i="1"/>
  <c r="K128" i="1"/>
  <c r="C128" i="1"/>
  <c r="B128" i="1"/>
  <c r="K127" i="1"/>
  <c r="C127" i="1"/>
  <c r="B127" i="1"/>
  <c r="K126" i="1"/>
  <c r="C126" i="1"/>
  <c r="B126" i="1"/>
  <c r="K125" i="1"/>
  <c r="C125" i="1"/>
  <c r="B125" i="1"/>
  <c r="K124" i="1"/>
  <c r="C124" i="1"/>
  <c r="B124" i="1"/>
  <c r="K123" i="1"/>
  <c r="C123" i="1"/>
  <c r="B123" i="1"/>
  <c r="K122" i="1"/>
  <c r="C122" i="1"/>
  <c r="B122" i="1"/>
  <c r="K121" i="1"/>
  <c r="C121" i="1"/>
  <c r="B121" i="1"/>
  <c r="K120" i="1"/>
  <c r="C120" i="1"/>
  <c r="B120" i="1"/>
  <c r="K119" i="1"/>
  <c r="C119" i="1"/>
  <c r="B119" i="1"/>
  <c r="K118" i="1"/>
  <c r="C118" i="1"/>
  <c r="B118" i="1"/>
  <c r="K117" i="1"/>
  <c r="C117" i="1"/>
  <c r="B117" i="1"/>
  <c r="K116" i="1"/>
  <c r="C116" i="1"/>
  <c r="B116" i="1"/>
  <c r="K115" i="1"/>
  <c r="C115" i="1"/>
  <c r="B115" i="1"/>
  <c r="K114" i="1"/>
  <c r="C114" i="1"/>
  <c r="B114" i="1"/>
  <c r="K113" i="1"/>
  <c r="C113" i="1"/>
  <c r="B113" i="1"/>
  <c r="K112" i="1"/>
  <c r="C112" i="1"/>
  <c r="B112" i="1"/>
  <c r="K111" i="1"/>
  <c r="C111" i="1"/>
  <c r="B111" i="1"/>
  <c r="K110" i="1"/>
  <c r="C110" i="1"/>
  <c r="B110" i="1"/>
  <c r="K109" i="1"/>
  <c r="C109" i="1"/>
  <c r="B109" i="1"/>
  <c r="K108" i="1"/>
  <c r="C108" i="1"/>
  <c r="B108" i="1"/>
  <c r="K107" i="1"/>
  <c r="C107" i="1"/>
  <c r="B107" i="1"/>
  <c r="K106" i="1"/>
  <c r="C106" i="1"/>
  <c r="B106" i="1"/>
  <c r="K105" i="1"/>
  <c r="C105" i="1"/>
  <c r="B105" i="1"/>
  <c r="K104" i="1"/>
  <c r="C104" i="1"/>
  <c r="B104" i="1"/>
  <c r="K103" i="1"/>
  <c r="C103" i="1"/>
  <c r="B103" i="1"/>
  <c r="K102" i="1"/>
  <c r="C102" i="1"/>
  <c r="B102" i="1"/>
  <c r="K101" i="1"/>
  <c r="C101" i="1"/>
  <c r="B101" i="1"/>
  <c r="K100" i="1"/>
  <c r="C100" i="1"/>
  <c r="B100" i="1"/>
  <c r="K99" i="1"/>
  <c r="C99" i="1"/>
  <c r="B99" i="1"/>
  <c r="K98" i="1"/>
  <c r="C98" i="1"/>
  <c r="B98" i="1"/>
  <c r="K97" i="1"/>
  <c r="C97" i="1"/>
  <c r="B97" i="1"/>
  <c r="K96" i="1"/>
  <c r="C96" i="1"/>
  <c r="B96" i="1"/>
  <c r="K95" i="1"/>
  <c r="C95" i="1"/>
  <c r="B95" i="1"/>
  <c r="K94" i="1"/>
  <c r="C94" i="1"/>
  <c r="B94" i="1"/>
  <c r="K93" i="1"/>
  <c r="C93" i="1"/>
  <c r="B93" i="1"/>
  <c r="K92" i="1"/>
  <c r="C92" i="1"/>
  <c r="B92" i="1"/>
  <c r="K91" i="1"/>
  <c r="C91" i="1"/>
  <c r="B91" i="1"/>
  <c r="K90" i="1"/>
  <c r="C90" i="1"/>
  <c r="B90" i="1"/>
  <c r="K89" i="1"/>
  <c r="C89" i="1"/>
  <c r="B89" i="1"/>
  <c r="K88" i="1"/>
  <c r="C88" i="1"/>
  <c r="B88" i="1"/>
  <c r="K87" i="1"/>
  <c r="C87" i="1"/>
  <c r="B87" i="1"/>
  <c r="K86" i="1"/>
  <c r="C86" i="1"/>
  <c r="B86" i="1"/>
  <c r="K85" i="1"/>
  <c r="C85" i="1"/>
  <c r="B85" i="1"/>
  <c r="K84" i="1"/>
  <c r="C84" i="1"/>
  <c r="B84" i="1"/>
  <c r="K83" i="1"/>
  <c r="C83" i="1"/>
  <c r="B83" i="1"/>
  <c r="K82" i="1"/>
  <c r="C82" i="1"/>
  <c r="B82" i="1"/>
  <c r="K81" i="1"/>
  <c r="C81" i="1"/>
  <c r="B81" i="1"/>
  <c r="K80" i="1"/>
  <c r="C80" i="1"/>
  <c r="B80" i="1"/>
  <c r="K79" i="1"/>
  <c r="C79" i="1"/>
  <c r="B79" i="1"/>
  <c r="K78" i="1"/>
  <c r="C78" i="1"/>
  <c r="B78" i="1"/>
  <c r="K77" i="1"/>
  <c r="C77" i="1"/>
  <c r="B77" i="1"/>
  <c r="K76" i="1"/>
  <c r="C76" i="1"/>
  <c r="B76" i="1"/>
  <c r="K75" i="1"/>
  <c r="C75" i="1"/>
  <c r="B75" i="1"/>
  <c r="K74" i="1"/>
  <c r="C74" i="1"/>
  <c r="B74" i="1"/>
  <c r="K73" i="1"/>
  <c r="C73" i="1"/>
  <c r="B73" i="1"/>
  <c r="K72" i="1"/>
  <c r="C72" i="1"/>
  <c r="B72" i="1"/>
  <c r="K71" i="1"/>
  <c r="C71" i="1"/>
  <c r="B71" i="1"/>
  <c r="K70" i="1"/>
  <c r="C70" i="1"/>
  <c r="B70" i="1"/>
  <c r="K69" i="1"/>
  <c r="C69" i="1"/>
  <c r="B69" i="1"/>
  <c r="K68" i="1"/>
  <c r="C68" i="1"/>
  <c r="B68" i="1"/>
  <c r="K67" i="1"/>
  <c r="C67" i="1"/>
  <c r="B67" i="1"/>
  <c r="K66" i="1"/>
  <c r="C66" i="1"/>
  <c r="B66" i="1"/>
  <c r="K65" i="1"/>
  <c r="C65" i="1"/>
  <c r="B65" i="1"/>
  <c r="K64" i="1"/>
  <c r="C64" i="1"/>
  <c r="B64" i="1"/>
  <c r="K63" i="1"/>
  <c r="C63" i="1"/>
  <c r="B63" i="1"/>
  <c r="K62" i="1"/>
  <c r="C62" i="1"/>
  <c r="B62" i="1"/>
  <c r="K61" i="1"/>
  <c r="C61" i="1"/>
  <c r="B61" i="1"/>
  <c r="K60" i="1"/>
  <c r="C60" i="1"/>
  <c r="B60" i="1"/>
  <c r="K59" i="1"/>
  <c r="C59" i="1"/>
  <c r="B59" i="1"/>
  <c r="K58" i="1"/>
  <c r="C58" i="1"/>
  <c r="B58" i="1"/>
  <c r="K57" i="1"/>
  <c r="C57" i="1"/>
  <c r="B57" i="1"/>
  <c r="K56" i="1"/>
  <c r="C56" i="1"/>
  <c r="B56" i="1"/>
  <c r="K55" i="1"/>
  <c r="C55" i="1"/>
  <c r="B55" i="1"/>
  <c r="K54" i="1"/>
  <c r="C54" i="1"/>
  <c r="B54" i="1"/>
  <c r="K53" i="1"/>
  <c r="C53" i="1"/>
  <c r="B53" i="1"/>
  <c r="K52" i="1"/>
  <c r="C52" i="1"/>
  <c r="B52" i="1"/>
  <c r="K51" i="1"/>
  <c r="C51" i="1"/>
  <c r="B51" i="1"/>
  <c r="K50" i="1"/>
  <c r="C50" i="1"/>
  <c r="B50" i="1"/>
  <c r="K49" i="1"/>
  <c r="C49" i="1"/>
  <c r="B49" i="1"/>
  <c r="K48" i="1"/>
  <c r="C48" i="1"/>
  <c r="B48" i="1"/>
  <c r="K47" i="1"/>
  <c r="C47" i="1"/>
  <c r="B47" i="1"/>
  <c r="K46" i="1"/>
  <c r="C46" i="1"/>
  <c r="B46" i="1"/>
  <c r="K45" i="1"/>
  <c r="C45" i="1"/>
  <c r="B45" i="1"/>
  <c r="K44" i="1"/>
  <c r="C44" i="1"/>
  <c r="B44" i="1"/>
  <c r="K43" i="1"/>
  <c r="C43" i="1"/>
  <c r="B43" i="1"/>
  <c r="K42" i="1"/>
  <c r="C42" i="1"/>
  <c r="B42" i="1"/>
  <c r="K41" i="1"/>
  <c r="C41" i="1"/>
  <c r="B41" i="1"/>
  <c r="K40" i="1"/>
  <c r="C40" i="1"/>
  <c r="B40" i="1"/>
  <c r="K39" i="1"/>
  <c r="C39" i="1"/>
  <c r="B39" i="1"/>
  <c r="K38" i="1"/>
  <c r="C38" i="1"/>
  <c r="B38" i="1"/>
  <c r="K37" i="1"/>
  <c r="C37" i="1"/>
  <c r="B37" i="1"/>
  <c r="K36" i="1"/>
  <c r="C36" i="1"/>
  <c r="B36" i="1"/>
  <c r="K35" i="1"/>
  <c r="C35" i="1"/>
  <c r="B35" i="1"/>
  <c r="K34" i="1"/>
  <c r="C34" i="1"/>
  <c r="B34" i="1"/>
  <c r="K33" i="1"/>
  <c r="C33" i="1"/>
  <c r="B33" i="1"/>
  <c r="K32" i="1"/>
  <c r="C32" i="1"/>
  <c r="B32" i="1"/>
  <c r="K31" i="1"/>
  <c r="C31" i="1"/>
  <c r="B31" i="1"/>
  <c r="K30" i="1"/>
  <c r="C30" i="1"/>
  <c r="B30" i="1"/>
  <c r="K29" i="1"/>
  <c r="C29" i="1"/>
  <c r="B29" i="1"/>
  <c r="K28" i="1"/>
  <c r="C28" i="1"/>
  <c r="B28" i="1"/>
  <c r="K27" i="1"/>
  <c r="C27" i="1"/>
  <c r="B27" i="1"/>
  <c r="K26" i="1"/>
  <c r="C26" i="1"/>
  <c r="B26" i="1"/>
  <c r="K25" i="1"/>
  <c r="C25" i="1"/>
  <c r="B25" i="1"/>
  <c r="K24" i="1"/>
  <c r="C24" i="1"/>
  <c r="B24" i="1"/>
  <c r="K23" i="1"/>
  <c r="C23" i="1"/>
  <c r="B23" i="1"/>
  <c r="K22" i="1"/>
  <c r="C22" i="1"/>
  <c r="B22" i="1"/>
  <c r="K21" i="1"/>
  <c r="C21" i="1"/>
  <c r="B21" i="1"/>
  <c r="K20" i="1"/>
  <c r="C20" i="1"/>
  <c r="B20" i="1"/>
  <c r="K19" i="1"/>
  <c r="C19" i="1"/>
  <c r="B19" i="1"/>
  <c r="K18" i="1"/>
  <c r="C18" i="1"/>
  <c r="B18" i="1"/>
  <c r="K17" i="1"/>
  <c r="C17" i="1"/>
  <c r="B17" i="1"/>
  <c r="K16" i="1"/>
  <c r="C16" i="1"/>
  <c r="B16" i="1"/>
  <c r="K15" i="1"/>
  <c r="C15" i="1"/>
  <c r="B15" i="1"/>
  <c r="K14" i="1"/>
  <c r="C14" i="1"/>
  <c r="B14" i="1"/>
  <c r="K13" i="1"/>
  <c r="C13" i="1"/>
  <c r="B13" i="1"/>
  <c r="K12" i="1"/>
  <c r="C12" i="1"/>
  <c r="B12" i="1"/>
  <c r="K11" i="1"/>
  <c r="C11" i="1"/>
  <c r="B11" i="1"/>
  <c r="K10" i="1"/>
  <c r="C10" i="1"/>
  <c r="B10" i="1"/>
  <c r="K9" i="1"/>
  <c r="C9" i="1"/>
  <c r="B9" i="1"/>
  <c r="K8" i="1"/>
  <c r="C8" i="1"/>
  <c r="B8" i="1"/>
  <c r="K7" i="1"/>
  <c r="C7" i="1"/>
  <c r="B7" i="1"/>
  <c r="K6" i="1"/>
  <c r="C6" i="1"/>
  <c r="B6" i="1"/>
  <c r="K5" i="1"/>
  <c r="C5" i="1"/>
  <c r="B5" i="1"/>
  <c r="K4" i="1"/>
  <c r="C4" i="1"/>
  <c r="B4" i="1"/>
  <c r="K3" i="1"/>
  <c r="C3" i="1"/>
  <c r="B3" i="1"/>
  <c r="K2" i="1"/>
  <c r="C2" i="1"/>
  <c r="B2" i="1"/>
</calcChain>
</file>

<file path=xl/sharedStrings.xml><?xml version="1.0" encoding="utf-8"?>
<sst xmlns="http://schemas.openxmlformats.org/spreadsheetml/2006/main" count="87005" uniqueCount="39173">
  <si>
    <t>RECORD #</t>
  </si>
  <si>
    <t>RECORD URL</t>
  </si>
  <si>
    <t>RECORD XML</t>
  </si>
  <si>
    <t>NAME</t>
  </si>
  <si>
    <t>TITLE</t>
  </si>
  <si>
    <t>DATE</t>
  </si>
  <si>
    <t>DESCRIPTION</t>
  </si>
  <si>
    <t>SUMMARY</t>
  </si>
  <si>
    <t>SUBJECT</t>
  </si>
  <si>
    <t>SERIES</t>
  </si>
  <si>
    <t>IMAGE URL</t>
  </si>
  <si>
    <t>b2107219x</t>
  </si>
  <si>
    <t>Acropolis</t>
  </si>
  <si>
    <t>Photograph  12.9 cm x 8 cm</t>
  </si>
  <si>
    <t>Photograph from the Arbon-Le Maistre Collection of ships, mostly from the 20th century, and including virtually all the ships which carried post-World War II migrants to Australia.</t>
  </si>
  <si>
    <t>Acropolis (Ship);Ships</t>
  </si>
  <si>
    <t>Arbon Le Maistre Collection</t>
  </si>
  <si>
    <t>b2107446x</t>
  </si>
  <si>
    <t>Adelaide Star</t>
  </si>
  <si>
    <t>Photograph  13.8 cm x 8.8 cm</t>
  </si>
  <si>
    <t>Adelaide Star (Ship);Ships</t>
  </si>
  <si>
    <t>b21074938</t>
  </si>
  <si>
    <t>Adige</t>
  </si>
  <si>
    <t>Photograph  14 cm x 8.6 cm</t>
  </si>
  <si>
    <t>Adige (Ship);Ships</t>
  </si>
  <si>
    <t>b21076340</t>
  </si>
  <si>
    <t>Alfredo Da Silva</t>
  </si>
  <si>
    <t>Photograph  13.9 cm x 8.7 cm</t>
  </si>
  <si>
    <t>Alfredo Da Silva (Ship);Ships</t>
  </si>
  <si>
    <t>b21073624</t>
  </si>
  <si>
    <t>Alta</t>
  </si>
  <si>
    <t>Photograph  13.4 cm x 8.0 cm</t>
  </si>
  <si>
    <t>Alta (Ship);Ships</t>
  </si>
  <si>
    <t>b21074550</t>
  </si>
  <si>
    <t>Amarna</t>
  </si>
  <si>
    <t>Photograph  12.8 cm x 7.6 cm</t>
  </si>
  <si>
    <t>Amarna (Ship);Ships</t>
  </si>
  <si>
    <t>b2107110x</t>
  </si>
  <si>
    <t>Amsterdam</t>
  </si>
  <si>
    <t>Amsterdam(Ship);Ships</t>
  </si>
  <si>
    <t>b21077897</t>
  </si>
  <si>
    <t>Andover Hill</t>
  </si>
  <si>
    <t>Photograph  13.3 cm x 7.9 cm</t>
  </si>
  <si>
    <t>Andover Hill (Ship);Ships</t>
  </si>
  <si>
    <t>b21080859</t>
  </si>
  <si>
    <t>Anking</t>
  </si>
  <si>
    <t>Photograph  14.0 cm x 8.7 cm</t>
  </si>
  <si>
    <t>Anking (Ship);Ships</t>
  </si>
  <si>
    <t>b21080963</t>
  </si>
  <si>
    <t>Anna Bakke</t>
  </si>
  <si>
    <t>Photograph  13.8 cm x 8.7 cm</t>
  </si>
  <si>
    <t>Anna Bakke (Ship);Ships</t>
  </si>
  <si>
    <t>b21081554</t>
  </si>
  <si>
    <t>Anselm</t>
  </si>
  <si>
    <t>Anselm (Ship);Ships</t>
  </si>
  <si>
    <t>b21084324</t>
  </si>
  <si>
    <t>Aquitania</t>
  </si>
  <si>
    <t>Photograph  12.5 cm x 8.1 cm</t>
  </si>
  <si>
    <t>Aquitania (Ship);Ships</t>
  </si>
  <si>
    <t>b21084336</t>
  </si>
  <si>
    <t>Photograph  12.9 cm x 8.0 cm</t>
  </si>
  <si>
    <t>b21084385</t>
  </si>
  <si>
    <t>Photograph  13.5 cm x 6.5 cm</t>
  </si>
  <si>
    <t>b21084415</t>
  </si>
  <si>
    <t>Photograph  13.3 cm x 7.5 cm</t>
  </si>
  <si>
    <t>b21069372</t>
  </si>
  <si>
    <t>Arthur Studio (Mount Gambier, S.A.), photographer</t>
  </si>
  <si>
    <t>Convent School students</t>
  </si>
  <si>
    <t>Negative (acetate)  15.5 cm x 11.2 cm</t>
  </si>
  <si>
    <t>Six students dressed up in dresses and fancy aprons, in the grounds of the Mount Gambier Convent School, May 1950.</t>
  </si>
  <si>
    <t>Students -- South Australia -- Mount Gambier;Catholic schools -- South Australia -- Mount Gambier;Church schools -- South Australia -- Mount Gambier</t>
  </si>
  <si>
    <t>Arthur Collection</t>
  </si>
  <si>
    <t>b21068689</t>
  </si>
  <si>
    <t>Mount Gambier fire truck</t>
  </si>
  <si>
    <t>Negative (acetate)  15.8 cm x 11.2 cm</t>
  </si>
  <si>
    <t>The Mount Gambier Emergency Fire Service truck parked outside a building. Truck is a World War Two Chev Blitz.</t>
  </si>
  <si>
    <t>Fire engines -- South Australia -- Mount Gambier;Trucks</t>
  </si>
  <si>
    <t>b21068690</t>
  </si>
  <si>
    <t>Commercial Street, Mount Gambier</t>
  </si>
  <si>
    <t>View along Commercial Street, Mount Gambier, with the premises of Lewis Shoe Co., Helmers, Capitol Milk Bar, Young's Man's Shop, A.E. Higg &amp; Son butcher, RAA office and the hotel visible.</t>
  </si>
  <si>
    <t>Commercial Street (Mount Gambier, S.A.)</t>
  </si>
  <si>
    <t>b21069207</t>
  </si>
  <si>
    <t>Students in the playground</t>
  </si>
  <si>
    <t>Infants' School students at Mount Gambier's Convent School pictured in the playground.</t>
  </si>
  <si>
    <t>Playgrounds -- South Australia -- Mount Gambier;Catholic Church -- South Australia -- Mount Gambier;Church schools -- South Australia -- Mount Gambier</t>
  </si>
  <si>
    <t>b21069219</t>
  </si>
  <si>
    <t>Primary school students at Mount Gambier's Convent School pictured in the playground, doing a maypole dance.</t>
  </si>
  <si>
    <t>b21069220</t>
  </si>
  <si>
    <t>Primary school students at Mount Gambier's Convent School.</t>
  </si>
  <si>
    <t>Students -- South Australia -- Mount Gambier;Catholic Church -- South Australia -- Mount Gambier;Church schools -- South Australia -- Mount Gambier</t>
  </si>
  <si>
    <t>b21069232</t>
  </si>
  <si>
    <t>Students (both boys and girls) at Mount Gambier's Convent School.</t>
  </si>
  <si>
    <t>b21069244</t>
  </si>
  <si>
    <t>Students at Mount Gambier's Convent School.</t>
  </si>
  <si>
    <t>b21069256</t>
  </si>
  <si>
    <t>Senior students at Mount Gambier's Convent School.</t>
  </si>
  <si>
    <t>b21069268</t>
  </si>
  <si>
    <t>b2106927x</t>
  </si>
  <si>
    <t>Senior students (prefects?) at Mount Gambier's Convent School, May 1950.</t>
  </si>
  <si>
    <t>b21069281</t>
  </si>
  <si>
    <t>Senior students at Mount Gambier's Convent School, May 1950.</t>
  </si>
  <si>
    <t>b21069293</t>
  </si>
  <si>
    <t>Senior students with a priest at Mount Gambier's Convent School, May 1950. The priest has been identified by a researcher as Father John Swann.</t>
  </si>
  <si>
    <t>b2106930x</t>
  </si>
  <si>
    <t>Four senior students, in sports uniform and with a trophy, at Mount Gambier's Convent School, May 1950.</t>
  </si>
  <si>
    <t>b21069311</t>
  </si>
  <si>
    <t>Four senior students, in sports uniform and with a trophies, at Mount Gambier's Convent School, May 1950.</t>
  </si>
  <si>
    <t>b21069323</t>
  </si>
  <si>
    <t>Students from Mount Gambier's Convent School in formation on an oval, April 1950.</t>
  </si>
  <si>
    <t>Catholic Church -- South Australia -- Mount Gambier;Church schools -- South Australia -- Mount Gambier</t>
  </si>
  <si>
    <t>b21069335</t>
  </si>
  <si>
    <t>Students from Mount Gambier's Convent School, in sports uniforms and with batons, April 1950.</t>
  </si>
  <si>
    <t>b21069347</t>
  </si>
  <si>
    <t>Students from Mount Gambier's Convent School, in sports uniforms and with flags, April 1950.</t>
  </si>
  <si>
    <t>b21069359</t>
  </si>
  <si>
    <t>Convent School exhibit</t>
  </si>
  <si>
    <t>Floral carpet with the Convent School badge in the centre, which won first prize in the 'Schools Display' category of the Mount Gambier Floral Day.</t>
  </si>
  <si>
    <t>Floral Festival (Mount Gambier : 1950);Floral carpet</t>
  </si>
  <si>
    <t>b21069360</t>
  </si>
  <si>
    <t>b21097744</t>
  </si>
  <si>
    <t>J.P. Lewis(?)</t>
  </si>
  <si>
    <t>Negative (acetate)  11.6 cm x 16 cm</t>
  </si>
  <si>
    <t>Photograph of J.P. Lewis(?) in army uniform.</t>
  </si>
  <si>
    <t>Soldiers -- South Australia -- Mount Gambier</t>
  </si>
  <si>
    <t>b21112782</t>
  </si>
  <si>
    <t>K. Osborne</t>
  </si>
  <si>
    <t>Photograph of Mr. K. Osborne and three other men examining a large gun in 1950, Mount Gambier.</t>
  </si>
  <si>
    <t>Osborne, K.;Armored vehicles, Military -- South Australia -- Mount Gambier</t>
  </si>
  <si>
    <t>b21180337</t>
  </si>
  <si>
    <t>T.L. Green</t>
  </si>
  <si>
    <t>Studio photograph of a young man named T.L. Green.</t>
  </si>
  <si>
    <t>Green, T. L.</t>
  </si>
  <si>
    <t>b21124413</t>
  </si>
  <si>
    <t>J. Bridges</t>
  </si>
  <si>
    <t>Photograph of two very young children, one of whom is Miss J. Bridges, taken in the studio in 1951, Mount Gambier.</t>
  </si>
  <si>
    <t>Bridges, J.;Children -- South Australia -- Mount Gambier</t>
  </si>
  <si>
    <t>b21124425</t>
  </si>
  <si>
    <t>W. M. Constable</t>
  </si>
  <si>
    <t>Photograph of a family of three very young children, one of whom is W. M. Constable, taken in the studio in 1950, Mount Gambier.</t>
  </si>
  <si>
    <t>Constable, W. M.;Children -- South Australia -- Mount Gambier</t>
  </si>
  <si>
    <t>b21124437</t>
  </si>
  <si>
    <t>J. F. Ayres</t>
  </si>
  <si>
    <t>Photograph of Philip, Graham and Bronte Ayres (children of Jim and Mabel Ayres)  , taken in the studio in 1950, Mount Gambier.[Information provided by Philip Ayres].</t>
  </si>
  <si>
    <t>Ayres (Family);Children -- South Australia -- Mount Gambier</t>
  </si>
  <si>
    <t>b21124449</t>
  </si>
  <si>
    <t>J. R. Barker</t>
  </si>
  <si>
    <t>Photograph of a family of three very young children, one of whom is J.R. Barker, taken in the studio in 1950, Mount Gambier.</t>
  </si>
  <si>
    <t>Barker, J. R.;Children -- South Australia -- Mount Gambier</t>
  </si>
  <si>
    <t>b21124450</t>
  </si>
  <si>
    <t>D. E. Ashby</t>
  </si>
  <si>
    <t>Photograph of a family of four young children, one of whom is D. E. Ashby, taken in the studio in 1950, Mount Gambier.</t>
  </si>
  <si>
    <t>Ashby, D. E.;Children -- South Australia -- Mount Gambier</t>
  </si>
  <si>
    <t>b21124462</t>
  </si>
  <si>
    <t>N. Burchell</t>
  </si>
  <si>
    <t>Photograph of a man and a lady taken in the studio in 1950, Mount Gambier, one of whom is N. Burchell.</t>
  </si>
  <si>
    <t>Burchell, N.</t>
  </si>
  <si>
    <t>b21124474</t>
  </si>
  <si>
    <t>K. Januszewski</t>
  </si>
  <si>
    <t>Photograph of a man and a lady and a child taken in the studio in 1950, Mount Gambier, one of whom is K. Januszewski.</t>
  </si>
  <si>
    <t>Januszewski (Family);Januszewski, K.</t>
  </si>
  <si>
    <t>b21124486</t>
  </si>
  <si>
    <t>W. Bowd</t>
  </si>
  <si>
    <t>Photograph of a man and a lady posing formally in the studio in 1950, Mount Gambier.</t>
  </si>
  <si>
    <t>Bowd, W.</t>
  </si>
  <si>
    <t>b21124498</t>
  </si>
  <si>
    <t>H. H. Ashby</t>
  </si>
  <si>
    <t>Photograph of three small children posing formally in the studio in 1950, Mount Gambier.</t>
  </si>
  <si>
    <t>Ashby, Herb (Herbert Hector), 1921-2009;Children -- South Australia -- Mount Gambier</t>
  </si>
  <si>
    <t>b21124504</t>
  </si>
  <si>
    <t>M.V. Brown</t>
  </si>
  <si>
    <t>Photograph of Miss M.V. Brown posing with her baby sister in the studio in 1950, Mount Gambier.</t>
  </si>
  <si>
    <t>Brown, M. V.;Children -- South Australia -- Mount Gambier</t>
  </si>
  <si>
    <t>b21124516</t>
  </si>
  <si>
    <t>G.E. Butler</t>
  </si>
  <si>
    <t>Photograph of the Butler children Diane, David, Duan and William posing in the studio in 1950, Mount Gambier.</t>
  </si>
  <si>
    <t>Butler (Family);Children -- South Australia -- Mount Gambier</t>
  </si>
  <si>
    <t>b21124528</t>
  </si>
  <si>
    <t>A. E. Bayley</t>
  </si>
  <si>
    <t>Photograph of Master A. E. Bayley with his baby sister posing in the studio in Mount Gambier in 1950.</t>
  </si>
  <si>
    <t>Bayley, A. E.;Children -- South Australia -- Mount Gambier</t>
  </si>
  <si>
    <t>b2112453x</t>
  </si>
  <si>
    <t>Braithwaite children</t>
  </si>
  <si>
    <t>Photograph of the three Braithwaite children (left to right) John, Peter, and William (Bill) pictured in the studio in Mount Gambier in 1950.</t>
  </si>
  <si>
    <t>Braithwaite, John;Braithwaite, Peter;Braithwaite, William;Children -- South Australia -- Mount Gambier</t>
  </si>
  <si>
    <t>b21124541</t>
  </si>
  <si>
    <t>A. Dunn</t>
  </si>
  <si>
    <t>Photograph of two ladies, one of whom is Miss A. Dunn in the studio in Mount Gambier in 1950.</t>
  </si>
  <si>
    <t>Dunn, A.;Women -- South Australia -- Mount Gambier</t>
  </si>
  <si>
    <t>b21124553</t>
  </si>
  <si>
    <t>C. Rafter</t>
  </si>
  <si>
    <t>Photograph of ballerina Miss C. Rafter in 1950, Mount Gambier.</t>
  </si>
  <si>
    <t>Rafter, C.;Ballet dancers -- South Australia -- Mount Gambier</t>
  </si>
  <si>
    <t>b21124577</t>
  </si>
  <si>
    <t>J. English</t>
  </si>
  <si>
    <t>Photograph of Miss J. English in her debutante gown in the studio in Mount Gambier in 1950.</t>
  </si>
  <si>
    <t>English, J.;Debutantes -- South Australia -- Mount Gambier</t>
  </si>
  <si>
    <t>b21124607</t>
  </si>
  <si>
    <t>K. L. Childs</t>
  </si>
  <si>
    <t>Photograph of Miss K.L. Childs dressed in a long gown in 1950, Mount Gambier.</t>
  </si>
  <si>
    <t>Childs, K. L.;Girls -- South Australia -- Mount Gambier</t>
  </si>
  <si>
    <t>b21124619</t>
  </si>
  <si>
    <t>N. Chamberlain</t>
  </si>
  <si>
    <t>Photograph of the Chamberlain children: a boy and a girl with their baby sister in 1950, Mount Gambier.</t>
  </si>
  <si>
    <t>Chamberlain, N.;Children -- South Australia -- Mount Gambier</t>
  </si>
  <si>
    <t>b21128522</t>
  </si>
  <si>
    <t>Colin and Alec Davis</t>
  </si>
  <si>
    <t>Photograph of Mr Colin Davis and Mr Alec Davis taken in the studio in Mount Gambier in 1950.</t>
  </si>
  <si>
    <t>Davis, Colin;Davis, Alec</t>
  </si>
  <si>
    <t>b21136063</t>
  </si>
  <si>
    <t>D. Skewe</t>
  </si>
  <si>
    <t>Photograph of Miss D. Skewe standing in the studio in Mount Gambier in 1951. Her debutante dress has rouched sleeves and a flounce around the skirt. She is wearing sheer gloves and holding a small posy of flowers.</t>
  </si>
  <si>
    <t>Skewe, D.;Debutantes -- South Australia -- Mount Gambier</t>
  </si>
  <si>
    <t>b21136075</t>
  </si>
  <si>
    <t>T.E. Hickling</t>
  </si>
  <si>
    <t>Photograph of Mrs T.E. Hickling holding her baby daughter in the studio in Mount Gambier in 1950. The baby is wearing a beautifully smocked dress.</t>
  </si>
  <si>
    <t>Hickling, T. E.;Infants -- South Australia -- Mount Gambier</t>
  </si>
  <si>
    <t>b21136087</t>
  </si>
  <si>
    <t>G. Bartlett</t>
  </si>
  <si>
    <t>Photograph of Miss G. Bartlett seated in the studio in Mount Gambier in 1950. She is wearing a white debutante dress which has lace on the bodice and a full long skirt.  She is wearing long gloves and holding a small posy of flowers.</t>
  </si>
  <si>
    <t>Bartlett, G., Miss;Debutantes -- South Australia -- Mount Gambier</t>
  </si>
  <si>
    <t>b21177879</t>
  </si>
  <si>
    <t>J. Blacksell</t>
  </si>
  <si>
    <t>Photograph of Miss J. Blacksell standing in the studio in Mount Gambier in 1950. She is wearing a coloured bridesmaid dress which has a gathered bodice and puff sleeves. She is wearing a headpiece, long gloves and holding a trailing bouquet of flowers.</t>
  </si>
  <si>
    <t>Blacksell, J.;Costume -- South Australia -- Mount Gambier</t>
  </si>
  <si>
    <t>b21136099</t>
  </si>
  <si>
    <t>Miss Rosemary Bateman</t>
  </si>
  <si>
    <t>Photograph of young Miss Rosemary Bateman of Millicent holding the skirt of her long dress as if to make a curtsey. Miss Bateman is about  twelve years old and this is possibly a costume for a theatrical work. [Information provided by C. Hammat].</t>
  </si>
  <si>
    <t>Bateman, Rosemary;Children -- Clothing -- South Australia -- Mount Gambier</t>
  </si>
  <si>
    <t>b21136105</t>
  </si>
  <si>
    <t>C.R. Baker</t>
  </si>
  <si>
    <t>Photograph of young Miss C.R. Baker sitting with her hands on her chin.  Her cotton spotted dress has smocking and a small white collar. She has her hair in plaits and tied with ribbons. She is approximately twelve years old.</t>
  </si>
  <si>
    <t>Baker, C. R.;Children -- South Australia -- Mount Gambier</t>
  </si>
  <si>
    <t>b21136129</t>
  </si>
  <si>
    <t>Mr H.S. Berkfield</t>
  </si>
  <si>
    <t>Photograph of Mr H.S. Berkfield seated in the studio in Mount Gambier in 1950.</t>
  </si>
  <si>
    <t>Berkfield, H. S.</t>
  </si>
  <si>
    <t>b21136130</t>
  </si>
  <si>
    <t>Nestor Buck</t>
  </si>
  <si>
    <t>Photograph of Nurse Nestor Buck (Mrs D. Buck) wearing her uniform and veil. The photograph was taken in the studio in Mount Gambier in 1950.</t>
  </si>
  <si>
    <t>Buck, Nestor;Nurses -- South Australia -- Mount Gambier</t>
  </si>
  <si>
    <t>b21136142</t>
  </si>
  <si>
    <t>Laurel Norman</t>
  </si>
  <si>
    <t>Photograph of Laurel Norman wearing a satin debutante dress with latticework on the bodice and puffed sleeves. She is holding a circlet of wired flowers.</t>
  </si>
  <si>
    <t>Norman, Laurel;Debutantes -- South Australia -- Mount Gambier</t>
  </si>
  <si>
    <t>b21136154</t>
  </si>
  <si>
    <t>Photograph of Laurel Norman seated in a satin debutante dress with latticework on the bodice and puffed sleeves. She is holding a circlet of wired flowers.</t>
  </si>
  <si>
    <t>b21136166</t>
  </si>
  <si>
    <t>Joy Orchard</t>
  </si>
  <si>
    <t>Photograph of Joy Orchard wearing a debutante dress with a dropped waist, vee neckline and short sleeves. The dress has sequins across the bodice. She is wearing long gloves and holding a posy of flowers.</t>
  </si>
  <si>
    <t>Orchard, Joy;Debutantes -- South Australia -- Mount Gambier</t>
  </si>
  <si>
    <t>b21136178</t>
  </si>
  <si>
    <t>T. Nash</t>
  </si>
  <si>
    <t>Photograph of Highland dancer Miss T. Nash sitting in the studio in Mount Gambier in 1950.</t>
  </si>
  <si>
    <t>Nash, T.;Folk dancing, Scottish -- South Australia</t>
  </si>
  <si>
    <t>b2113618x</t>
  </si>
  <si>
    <t>Mrs W.E. Pyne and daughter Elizabeth</t>
  </si>
  <si>
    <t>Mrs W.E. Pyne with her daughter Elizabeth. Mrs Pyne is seated and wearing a long dark dress with a spotted panel on the front of the bodice  Elizabeth is standing and wearing a long dress with a ruffled edge on a panel from top to bottom. They are both holding bouquets of flowers.</t>
  </si>
  <si>
    <t>Pyne, Elizabeth;Debutantes -- South Australia -- Mount Gambier</t>
  </si>
  <si>
    <t>b21177880</t>
  </si>
  <si>
    <t>W. Pratt</t>
  </si>
  <si>
    <t>Photograph of Highland dancer Miss W. Pratt sitting in the studio in Mount Gambier in 1950.</t>
  </si>
  <si>
    <t>Pratt, W.;Folk dancing, Scottish -- South Australia</t>
  </si>
  <si>
    <t>b21136191</t>
  </si>
  <si>
    <t>Glenda Laube</t>
  </si>
  <si>
    <t>Photograph of Miss Glenda Laube standing in the studio in Mount Gambier in 1950. Her long sleeveless organza debutante dress has a full skirt and she carries a fan.</t>
  </si>
  <si>
    <t>Laube, Glenda;Debutantes -- South Australia -- Mount Gambier</t>
  </si>
  <si>
    <t>b21136208</t>
  </si>
  <si>
    <t>J.F. Lewis</t>
  </si>
  <si>
    <t>Photograph of Mr J.F. Lewis wearing his porter's uniform for the South Australian Railways. His identification number on his lapel is 1359. He is wearing his Porter's cap and a fob watch. The photograph was taken in the studio in Mount Gambier in 1950.</t>
  </si>
  <si>
    <t>Lewis, J. F.;Railroads -- South Australia -- Mount Gambier -- Employees</t>
  </si>
  <si>
    <t>b2113621x</t>
  </si>
  <si>
    <t>J. Kilsby</t>
  </si>
  <si>
    <t>Photograph of Miss J. Kilsby standing in the studio in Mount Gambier in 1950. Her long bridesmaid dress has an empire line waist with medium length sleeves. She is wearing a headpiece and long gloves.</t>
  </si>
  <si>
    <t>Kilsby, J.;Costume -- South Australia -- Mount Gambier</t>
  </si>
  <si>
    <t>b21136221</t>
  </si>
  <si>
    <t>Lorraine Langlors</t>
  </si>
  <si>
    <t>Photograph of Miss Lorraine Langlors  wearing her debutante gown. The top has rouching, medium length sleeves with sequin detail on the neckline and below the waist and a straight skirt. She is carrying a fan decorated with flowers.</t>
  </si>
  <si>
    <t>Langlors, Lorraine;Debutantes -- South Australia -- Mount Gambier</t>
  </si>
  <si>
    <t>b21136233</t>
  </si>
  <si>
    <t>Miss Lewis</t>
  </si>
  <si>
    <t>Photograph of Miss Lewis wearing a coloured bridesmaid dress with lace daisies. It has a vee shaped neckline and medium length sleeves. She has matching coloured gloves and is wearing a headpiece and carrying a bouquet of fresh flowers.</t>
  </si>
  <si>
    <t>Lewis, Miss;Costume -- South Australia -- Mount Gambier</t>
  </si>
  <si>
    <t>b21136245</t>
  </si>
  <si>
    <t>M. Rogers</t>
  </si>
  <si>
    <t>Photograph of a young boy and a girl, one of whom is M. Rogers, who may be junior attendants at a wedding. The little girl is wearing a long white dress with shiny ribbon around the frills on the skirt and neckline, with shiny bows on the bodice. The boy is wearing a dark suitand bow-tie.</t>
  </si>
  <si>
    <t>Rogers, M.;Children -- Clothing -- South Australia -- Mount Gambier</t>
  </si>
  <si>
    <t>b21136257</t>
  </si>
  <si>
    <t>J. Nitschke</t>
  </si>
  <si>
    <t>Photograph of Mrs J. Nitschke wearing a summer day dress with a single strand of pearls. The photograph was taken in the studio in Mount Gambier in 1950.</t>
  </si>
  <si>
    <t>Nitschke, J.</t>
  </si>
  <si>
    <t>b21136269</t>
  </si>
  <si>
    <t>E. Ladlows</t>
  </si>
  <si>
    <t>Photograph of Nurse E. Ladlows wearing her uniform in the studio in Mount Gambier in 1950.</t>
  </si>
  <si>
    <t>Ladlows, E.;Nurses -- South Australia -- Mount Gambier</t>
  </si>
  <si>
    <t>b21136270</t>
  </si>
  <si>
    <t>Photograph of Nurse E. Ladlows wearing her uniform in the studio in Mount Gambier with another nurse in 1950.</t>
  </si>
  <si>
    <t>b21164162</t>
  </si>
  <si>
    <t>Betty Naismith on her wedding day</t>
  </si>
  <si>
    <t>Photograph of Betty Naismith, taken in the studio on her wedding day.</t>
  </si>
  <si>
    <t>Naismith, Betty Elsmere;Brides -- South Australia -- Mount Gambier;Wedding costume -- South Australia -- Mount Gambier</t>
  </si>
  <si>
    <t>b21164319</t>
  </si>
  <si>
    <t>Ron and Joan Fennell on their wedding day</t>
  </si>
  <si>
    <t>Studio portrait of Ron and Joan Fennell on their wedding day 30 December 1950.</t>
  </si>
  <si>
    <t>Fennell, Ronald;Fennell, Joan;Clothing and dress -- South Australia -- Mount Gambier</t>
  </si>
  <si>
    <t>b21164320</t>
  </si>
  <si>
    <t>M.W. Staude on her wedding day</t>
  </si>
  <si>
    <t>Photograph of Miss Staude taken in the studio on her wedding day in 1950.</t>
  </si>
  <si>
    <t>Staude, M. W.;Brides -- South Australia -- Mount Gambier;Wedding costume -- South Australia -- Mount Gambier</t>
  </si>
  <si>
    <t>b21204123</t>
  </si>
  <si>
    <t>C. H. Seinamien [?]</t>
  </si>
  <si>
    <t>Photograph of Miss Seinamein [?] taken in the studio on her wedding day in 1950.</t>
  </si>
  <si>
    <t>Brides -- South Australia -- Mount Gambier;Wedding costume -- South Australia -- Mount Gambier</t>
  </si>
  <si>
    <t>b21164332</t>
  </si>
  <si>
    <t>R.B. Jenkinson on her wedding day</t>
  </si>
  <si>
    <t>Photograph of R.B. Jenkinson taken in the studio on her wedding day in 1950.</t>
  </si>
  <si>
    <t>Jenkinson, R. B.;Brides -- South Australia -- Mount Gambier;Wedding costume -- South Australia -- Mount Gambier</t>
  </si>
  <si>
    <t>b21164344</t>
  </si>
  <si>
    <t>C.D. Jones on her wedding day</t>
  </si>
  <si>
    <t>Photograph of C.D. Jones taken in the studio on her wedding day in 1950.</t>
  </si>
  <si>
    <t>Jones, C. D.;Brides -- South Australia -- Mount Gambier;Wedding costume -- South Australia -- Mount Gambier</t>
  </si>
  <si>
    <t>b21164356</t>
  </si>
  <si>
    <t>C.J. Boneham on her wedding day</t>
  </si>
  <si>
    <t>Photograph of C.J. Boneham taken in the studio on her wedding day in 1950.</t>
  </si>
  <si>
    <t>Boneham, C. J.;Brides -- South Australia -- Mount Gambier;Wedding costume -- South Australia -- Mount Gambier</t>
  </si>
  <si>
    <t>b21164368</t>
  </si>
  <si>
    <t>N. Bell on her wedding day</t>
  </si>
  <si>
    <t>Photograph of N. Bell taken in the studio on her wedding day in 1950.</t>
  </si>
  <si>
    <t>Bell, N.;Brides -- South Australia -- Mount Gambier;Wedding costume -- South Australia -- Mount Gambier</t>
  </si>
  <si>
    <t>b2116437x</t>
  </si>
  <si>
    <t>M.W. Thompson on her wedding day</t>
  </si>
  <si>
    <t>Photograph of M.W. Thompson taken in the studio on her wedding day in 1950.</t>
  </si>
  <si>
    <t>Thompson, M. W.;Brides -- South Australia -- Mount Gambier;Wedding costume -- South Australia -- Mount Gambier</t>
  </si>
  <si>
    <t>b21164381</t>
  </si>
  <si>
    <t>J. Cutting on her wedding day</t>
  </si>
  <si>
    <t>Photograph of J. Cutting taken in the studio on her wedding day in 1950.</t>
  </si>
  <si>
    <t>Cutting, J.;Brides -- South Australia -- Mount Gambier;Wedding costume -- South Australia -- Mount Gambier</t>
  </si>
  <si>
    <t>b21164393</t>
  </si>
  <si>
    <t>J.L. Muir</t>
  </si>
  <si>
    <t>Photograph of a man and woman taken in the studio in 1950. They are both dressed for a special occasion with flowers in their buttonholes.</t>
  </si>
  <si>
    <t>Muir, J. L.;Clothing and dress -- South Australia -- Mount Gambier</t>
  </si>
  <si>
    <t>b21207999</t>
  </si>
  <si>
    <t>L.K. Milick</t>
  </si>
  <si>
    <t>Photograph of Mr and Mrs Milick taken in the studio on their wedding day in 1950.</t>
  </si>
  <si>
    <t>Milick, L. K.;Wedding costume -- South Australia -- Mount Gambier</t>
  </si>
  <si>
    <t>b2116440x</t>
  </si>
  <si>
    <t>M.E. Manser</t>
  </si>
  <si>
    <t>Photograph of Mr and Mrs Manser taken in the studio on their wedding day in 1950.</t>
  </si>
  <si>
    <t>Manser, M. E.;Wedding costume -- South Australia -- Mount Gambier</t>
  </si>
  <si>
    <t>b21164411</t>
  </si>
  <si>
    <t>J. &amp; B. Millhouse</t>
  </si>
  <si>
    <t>Photograph of Jeff Millhouse and Betty Gard of Millicent taken in the studio on their wedding day in 1950. [Information provided by Colleen Hammat].</t>
  </si>
  <si>
    <t>Millhouse, Jeffrey;Millhouse, Betty;Wedding costume -- South Australia -- Mount Gambier</t>
  </si>
  <si>
    <t>b21164423</t>
  </si>
  <si>
    <t>L. Horton</t>
  </si>
  <si>
    <t>Photograph of Mr and Mrs Horton taken in the studio on their wedding day in 1950.</t>
  </si>
  <si>
    <t>Horton, L.;Wedding costume -- South Australia -- Mount Gambier</t>
  </si>
  <si>
    <t>b21164435</t>
  </si>
  <si>
    <t>Colin Hill</t>
  </si>
  <si>
    <t>Photograph of Mr and Mrs Hill taken in the studio on their wedding day in 1950.</t>
  </si>
  <si>
    <t>Hill, Colin;Wedding costume -- South Australia -- Mount Gambier</t>
  </si>
  <si>
    <t>b21164447</t>
  </si>
  <si>
    <t>N. Walkin</t>
  </si>
  <si>
    <t>Photograph of Mr and Mrs Walkin taken in the studio on their wedding day in 1950.</t>
  </si>
  <si>
    <t>Walkin, N.;Wedding costume -- South Australia -- Mount Gambier</t>
  </si>
  <si>
    <t>b21164459</t>
  </si>
  <si>
    <t>R. Marks</t>
  </si>
  <si>
    <t>Photograph of Mr and Mrs Marks taken in the studio on their wedding day in 1950.</t>
  </si>
  <si>
    <t>Marks, R.;Wedding costume -- South Australia -- Mount Gambier</t>
  </si>
  <si>
    <t>b21164460</t>
  </si>
  <si>
    <t>M.E. Johnson on her wedding day</t>
  </si>
  <si>
    <t>Photograph of M.E. Johnson taken in the studio on her wedding day in 1950.</t>
  </si>
  <si>
    <t>Johnson, M. E.;Brides -- South Australia -- Mount Gambier;Wedding costume -- South Australia -- Mount Gambier</t>
  </si>
  <si>
    <t>b21164472</t>
  </si>
  <si>
    <t>D. Hubber</t>
  </si>
  <si>
    <t>Studio photograph of a man and woman dressed for a special occasion in 1950.</t>
  </si>
  <si>
    <t>Hubber, D.;Clothing and dress -- South Australia -- Mount Gambier</t>
  </si>
  <si>
    <t>b21164484</t>
  </si>
  <si>
    <t>N. Taylor</t>
  </si>
  <si>
    <t>Photograph of Mr and Mrs Taylor taken in the studio on their wedding day in 1950.</t>
  </si>
  <si>
    <t>Taylor, N.;Wedding costume -- South Australia -- Mount Gambier</t>
  </si>
  <si>
    <t>b21164496</t>
  </si>
  <si>
    <t>W.R. Waples</t>
  </si>
  <si>
    <t>Photograph of Mr and Mrs Waples taken in the studio on their wedding day in 1950.</t>
  </si>
  <si>
    <t>Waples, W. R.;Wedding costume -- South Australia -- Mount Gambier</t>
  </si>
  <si>
    <t>b21164502</t>
  </si>
  <si>
    <t>S. Vaughan on her wedding day</t>
  </si>
  <si>
    <t>Photograph of Miss Vaughan taken in the studio on her wedding day in 1950.</t>
  </si>
  <si>
    <t>Vaughan, S.;Brides -- South Australia -- Mount Gambier;Wedding costume -- South Australia -- Mount Gambier</t>
  </si>
  <si>
    <t>b21164514</t>
  </si>
  <si>
    <t>S.G. Beaumont</t>
  </si>
  <si>
    <t>Photograph of Mr and Mrs Beaumont taken in the studio on their wedding day in 1950.</t>
  </si>
  <si>
    <t>Beaumont, S. G.;Wedding costume -- South Australia -- Mount Gambier</t>
  </si>
  <si>
    <t>b21164526</t>
  </si>
  <si>
    <t>H.J. Thomas</t>
  </si>
  <si>
    <t>Photograph of Mr and Mrs Thomas taken in the studio on their wedding day in 1950.</t>
  </si>
  <si>
    <t>Thomas, H. J.;Wedding costume -- South Australia -- Mount Gambier</t>
  </si>
  <si>
    <t>b21164538</t>
  </si>
  <si>
    <t>C.D. Tobin</t>
  </si>
  <si>
    <t>Photograph of a man and woman taken in the studio in 1950. The man is wearing the uniform of the Australian Air Force and the woman  is dressed for a wedding  she is possibly a bridesmaid.</t>
  </si>
  <si>
    <t>Tobin, C. D.;Clothing and dress -- South Australia -- Mount Gambier;Wedding costume -- South Australia -- Mount Gambier</t>
  </si>
  <si>
    <t>b2116454x</t>
  </si>
  <si>
    <t>R. Wright</t>
  </si>
  <si>
    <t>Photograph of Mr and Mrs Wright taken in the studio on their wedding day in 1950.</t>
  </si>
  <si>
    <t>Wright, R.;Wedding costume -- South Australia -- Mount Gambier</t>
  </si>
  <si>
    <t>b21164551</t>
  </si>
  <si>
    <t>J.R. Wilson</t>
  </si>
  <si>
    <t>Photograph of Mr and Mrs Wilson taken in the studio on their wedding day in 1950.</t>
  </si>
  <si>
    <t>Wilson, J. R.;Wedding costume -- South Australia -- Mount Gambier</t>
  </si>
  <si>
    <t>b21164563</t>
  </si>
  <si>
    <t>H.C. Walker</t>
  </si>
  <si>
    <t>Photograph of Mr and Mrs Walker taken in the studio on their wedding day in 1950.</t>
  </si>
  <si>
    <t>Walker, H. C.;Wedding costume -- South Australia -- Mount Gambier</t>
  </si>
  <si>
    <t>b21164575</t>
  </si>
  <si>
    <t>W.E. Wilson</t>
  </si>
  <si>
    <t>Wilson, W. E.;Wedding costume -- South Australia -- Mount Gambier</t>
  </si>
  <si>
    <t>b21164587</t>
  </si>
  <si>
    <t>L. Collins on her wedding day</t>
  </si>
  <si>
    <t>Photograph of L. Collins taken in the studio on her wedding day in 1950.</t>
  </si>
  <si>
    <t>Collins, L.;Brides -- South Australia -- Mount Gambier;Wedding costume -- South Australia -- Mount Gambier</t>
  </si>
  <si>
    <t>b21164599</t>
  </si>
  <si>
    <t>R.A. Whitehead</t>
  </si>
  <si>
    <t>Photograph of Mr and Mrs Whitehead taken in the studio on their wedding day in 1950.</t>
  </si>
  <si>
    <t>Whitehead, R. A.;Wedding costume -- South Australia -- Mount Gambier</t>
  </si>
  <si>
    <t>b21164605</t>
  </si>
  <si>
    <t>R. Earl on her wedding day</t>
  </si>
  <si>
    <t>Photograph of R. Earl taken in the studio on her wedding day in 1950.</t>
  </si>
  <si>
    <t>Earl, R.;Brides -- South Australia -- Mount Gambier;Wedding costume -- South Australia -- Mount Gambier</t>
  </si>
  <si>
    <t>b21164617</t>
  </si>
  <si>
    <t>A.A. Edwards</t>
  </si>
  <si>
    <t>Photograph of Mr and Mrs Edwards taken in the studio on their wedding day in 1950.</t>
  </si>
  <si>
    <t>Edwards, A. A.;Wedding costume -- South Australia -- Mount Gambier</t>
  </si>
  <si>
    <t>b21164629</t>
  </si>
  <si>
    <t>D. Day</t>
  </si>
  <si>
    <t>Studio photograph of a man and woman taken in 1950. They are dressed for a special occasion, possibly a wedding, with flowers in their buttonholes.</t>
  </si>
  <si>
    <t>Day, D.;Clothing and dress -- South Australia -- Mount Gambier</t>
  </si>
  <si>
    <t>b21164630</t>
  </si>
  <si>
    <t>W. Davies on her wedding day</t>
  </si>
  <si>
    <t>Photograph of W. Davies taken in the studio on her wedding day in 1950.</t>
  </si>
  <si>
    <t>Davies, W.;Brides -- South Australia -- Mount Gambier;Wedding costume -- South Australia -- Mount Gambier</t>
  </si>
  <si>
    <t>b21164642</t>
  </si>
  <si>
    <t>V.J. Goreman on her wedding day</t>
  </si>
  <si>
    <t>Photograph of V.J. Goreman taken in the studio on her wedding day in 1950.</t>
  </si>
  <si>
    <t>Goreman, V. J.;Brides -- South Australia -- Mount Gambier;Wedding costume -- South Australia -- Mount Gambier</t>
  </si>
  <si>
    <t>b21164654</t>
  </si>
  <si>
    <t>F.G. Case on her wedding day</t>
  </si>
  <si>
    <t>Photograph of F.G. Case taken in the studio on her wedding day in 1950.</t>
  </si>
  <si>
    <t>Case, F. G.;Brides -- South Australia -- Mount Gambier;Wedding costume -- South Australia -- Mount Gambier</t>
  </si>
  <si>
    <t>b21164666</t>
  </si>
  <si>
    <t>J. Stewart</t>
  </si>
  <si>
    <t>Studio photograph of a man and woman taken in 1950. They both appear to be dressed for a wedding and the woman is holding flowers. It is possibly their wedding day.</t>
  </si>
  <si>
    <t>Stewart, J.;Clothing and dress -- South Australia -- Mount Gambier;Wedding costume -- South Australia -- Mount Gambier</t>
  </si>
  <si>
    <t>b21164678</t>
  </si>
  <si>
    <t>J. Saunders on her wedding day</t>
  </si>
  <si>
    <t>Photograph of J. Saunders taken in the studio on her wedding day in 1950.</t>
  </si>
  <si>
    <t>Saunders, J.;Brides -- South Australia -- Mount Gambier;Wedding costume -- South Australia -- Mount Gambier</t>
  </si>
  <si>
    <t>b2116468x</t>
  </si>
  <si>
    <t>A.J. Ferguson</t>
  </si>
  <si>
    <t>Photograph of Mr and Mrs A.J. Ferguson taken in the studio on their wedding day in 1950.</t>
  </si>
  <si>
    <t>Ferguson, A. J.;Wedding costume -- South Australia -- Mount Gambier</t>
  </si>
  <si>
    <t>b21164691</t>
  </si>
  <si>
    <t>J. Forrest</t>
  </si>
  <si>
    <t>Photograph of Mr and Mrs Forrest taken in the studio on their wedding day in 1950.</t>
  </si>
  <si>
    <t>Forrest, J.;Wedding costume -- South Australia -- Mount Gambier</t>
  </si>
  <si>
    <t>b21164708</t>
  </si>
  <si>
    <t>A.J. Ferguson wedding day</t>
  </si>
  <si>
    <t>Photograph of Miss Ferguson taken in the studio on her wedding day in 1950.</t>
  </si>
  <si>
    <t>Ferguson, A. J.;Brides -- South Australia -- Mount Gambier;Wedding costume -- South Australia -- Mount Gambier</t>
  </si>
  <si>
    <t>b2116471x</t>
  </si>
  <si>
    <t>R. Egan</t>
  </si>
  <si>
    <t>Photograph of Ira Egan and Keith Hope on their wedding day, taken in the studio in 1950. She is holding a flower bouquet.</t>
  </si>
  <si>
    <t>Egan, R.;Clothing and dress -- South Australia -- Mount Gambier</t>
  </si>
  <si>
    <t>b21164721</t>
  </si>
  <si>
    <t>L. Quyett</t>
  </si>
  <si>
    <t>Photograph of a newly wed couple, possibly Mr and Mrs Quyett, taken in the studio on their wedding day in 1950.</t>
  </si>
  <si>
    <t>Quyett, L.;Wedding costume -- South Australia -- Mount Gambier</t>
  </si>
  <si>
    <t>b21164733</t>
  </si>
  <si>
    <t>L. Quyett on her wedding day</t>
  </si>
  <si>
    <t>Photograph of Mrs Quyett taken in the studio on her wedding day in 1950.</t>
  </si>
  <si>
    <t>Quyett, L;Brides -- South Australia -- Mount Gambier;Wedding costume -- South Australia -- Mount Gambier</t>
  </si>
  <si>
    <t>b21164745</t>
  </si>
  <si>
    <t>R.E. Smith on her wedding day</t>
  </si>
  <si>
    <t>Photograph of R.E. Smith taken in the studio on her wedding day in 1950.</t>
  </si>
  <si>
    <t>Smith, R. E.;Brides -- South Australia -- Mount Gambier;Wedding costume -- South Australia -- Mount Gambier</t>
  </si>
  <si>
    <t>b21164757</t>
  </si>
  <si>
    <t>J.G. Spinkoton [?]</t>
  </si>
  <si>
    <t>Photograph of Miss Spinkoton [?] taken in the studio on her wedding day in 1950.</t>
  </si>
  <si>
    <t>b21164769</t>
  </si>
  <si>
    <t>R.E. Smith wedding day</t>
  </si>
  <si>
    <t>Photograph of R.E. Smith and her attendant on her wedding day in 1950. The photo was taken in the studio.</t>
  </si>
  <si>
    <t>b21164770</t>
  </si>
  <si>
    <t>C.F. Shepherd</t>
  </si>
  <si>
    <t>Photograph of Mr and Mrs Shepherd taken in the studio on their wedding day in 1950.</t>
  </si>
  <si>
    <t>Shepherd, C. F.;Wedding costume -- South Australia -- Mount Gambier</t>
  </si>
  <si>
    <t>b21164782</t>
  </si>
  <si>
    <t>J. Saunders</t>
  </si>
  <si>
    <t>Photograph of Mr and Mrs Saunders taken in the studio on their wedding day in 1950.</t>
  </si>
  <si>
    <t>Saunders, J.;Wedding costume -- South Australia -- Mount Gambier</t>
  </si>
  <si>
    <t>b21164794</t>
  </si>
  <si>
    <t>Studio photograph of the bride and groom  on R.E. Smith's wedding day in 1950. The groom is wearing the uniform of the Australian Air Force.</t>
  </si>
  <si>
    <t>Smith, R. E.;Wedding costume -- South Australia -- Mount Gambier</t>
  </si>
  <si>
    <t>b21164800</t>
  </si>
  <si>
    <t>C.W. Sims</t>
  </si>
  <si>
    <t>Photograph of Valda Sims (nee Hunter) and Colin Sims taken in the studio on their wedding day in 1950.</t>
  </si>
  <si>
    <t>Sims, Colin;Sims, Valda;Wedding costume -- South Australia -- Mount Gambier</t>
  </si>
  <si>
    <t>b21164812</t>
  </si>
  <si>
    <t>G. Smith</t>
  </si>
  <si>
    <t>Studio photograph of a man and woman taken in 1950. They are both dressed for a wedding  the woman is holding a bouquet of flowers and horseshoes.</t>
  </si>
  <si>
    <t>Smith, G.;Clothing and dress -- South Australia -- Mount Gambier;Wedding costume -- South Australia -- Mount Gambier</t>
  </si>
  <si>
    <t>b21164824</t>
  </si>
  <si>
    <t>J. Shakes</t>
  </si>
  <si>
    <t>Photograph of Mr and Mrs Shakes taken in the studio on their wedding day in 1950.</t>
  </si>
  <si>
    <t>Shakes, J.;Wedding costume -- South Australia -- Mount Gambier</t>
  </si>
  <si>
    <t>b21164836</t>
  </si>
  <si>
    <t>R. Smith</t>
  </si>
  <si>
    <t>Photograph of Mr and Mrs Smith taken in the studio on their wedding day in 1950.</t>
  </si>
  <si>
    <t>Smith, R.;Wedding costume -- South Australia -- Mount Gambier</t>
  </si>
  <si>
    <t>b21164848</t>
  </si>
  <si>
    <t>W.H. Brody on her wedding day</t>
  </si>
  <si>
    <t>Photograph of Miss Brody taken in the studio on her wedding day in 1950.</t>
  </si>
  <si>
    <t>Brody, W. H.;Brides -- South Australia -- Mount Gambier;Wedding costume -- South Australia -- Mount Gambier</t>
  </si>
  <si>
    <t>b2116485x</t>
  </si>
  <si>
    <t>A.P. Birkfield on her wedding day</t>
  </si>
  <si>
    <t>Photograph of A.P. Birkfield taken in the studio on her wedding day in 1950.</t>
  </si>
  <si>
    <t>Birkfield, A. P.;Brides -- South Australia -- Mount Gambier;Wedding costume -- South Australia -- Mount Gambier</t>
  </si>
  <si>
    <t>b21164861</t>
  </si>
  <si>
    <t>B. Barker on her wedding day</t>
  </si>
  <si>
    <t>Photograph of Miss Barker taken in the studio on her wedding day in 1950.</t>
  </si>
  <si>
    <t>Barker, B.;Brides -- South Australia -- Mount Gambier;Wedding costume -- South Australia -- Mount Gambier</t>
  </si>
  <si>
    <t>b21164873</t>
  </si>
  <si>
    <t>K. Briggs</t>
  </si>
  <si>
    <t>Photograph of Mr and Mrs Keith Briggs of Beachport, taken in the studio on their wedding day in 1950. [Information provided by Colleen Hammat].</t>
  </si>
  <si>
    <t>Briggs (Family);Wedding costume -- South Australia -- Mount Gambier</t>
  </si>
  <si>
    <t>b21164885</t>
  </si>
  <si>
    <t>Row Bell</t>
  </si>
  <si>
    <t>Studio photograph of a young woman dressed for a wedding in 1950. She is holding a large bouquet of flowers and could be a bridesmaid.</t>
  </si>
  <si>
    <t>Bell, Row;Wedding costume -- South Australia -- Mount Gambier</t>
  </si>
  <si>
    <t>b21164897</t>
  </si>
  <si>
    <t>E.K. Newman on her wedding day</t>
  </si>
  <si>
    <t>Photograph of Miss Newman taken in the studio on her wedding day in 1950.</t>
  </si>
  <si>
    <t>Newman, E. K.;Brides -- South Australia -- Mount Gambier;Wedding costume -- South Australia -- Mount Gambier</t>
  </si>
  <si>
    <t>b21164903</t>
  </si>
  <si>
    <t>L.M. O'Brien on her wedding day</t>
  </si>
  <si>
    <t>Photograph of Miss O'Brien taken in the studio on her wedding day in 1950.</t>
  </si>
  <si>
    <t>O'Brien, L. M.;Brides -- South Australia -- Mount Gambier;Wedding costume -- South Australia -- Mount Gambier</t>
  </si>
  <si>
    <t>b21164915</t>
  </si>
  <si>
    <t>E.K. Newman</t>
  </si>
  <si>
    <t>Photograph of Mr and Mrs Newman taken in the studio on their wedding day in 1950.</t>
  </si>
  <si>
    <t>Newman, E. K.;Wedding costume -- South Australia -- Mount Gambier</t>
  </si>
  <si>
    <t>b21164927</t>
  </si>
  <si>
    <t>L.R. Newton</t>
  </si>
  <si>
    <t>Photograph of Mr and Mrs Newton taken in the studio on their wedding day in 1950.</t>
  </si>
  <si>
    <t>Newton, Len;Wedding costume -- South Australia -- Mount Gambier</t>
  </si>
  <si>
    <t>b21164939</t>
  </si>
  <si>
    <t>W.J. Noble</t>
  </si>
  <si>
    <t>Photograph of Mr and Mrs Noble taken in the studio on their wedding day in 1950.</t>
  </si>
  <si>
    <t>Noble, W. J.;Wedding costume -- South Australia -- Mount Gambier</t>
  </si>
  <si>
    <t>b21164940</t>
  </si>
  <si>
    <t>D. Perrian</t>
  </si>
  <si>
    <t>Photograph of Mr and Mrs Perrian taken in the studio on their wedding day in 1950.</t>
  </si>
  <si>
    <t>Perrian, D.;Wedding costume -- South Australia -- Mount Gambier</t>
  </si>
  <si>
    <t>b21164952</t>
  </si>
  <si>
    <t>J. Pudney</t>
  </si>
  <si>
    <t>Photograph of Mr and Mrs Pudney taken in the studio on their wedding day in 1950.</t>
  </si>
  <si>
    <t>Pudney, J.;Wedding costume -- South Australia -- Mount Gambier</t>
  </si>
  <si>
    <t>b21164964</t>
  </si>
  <si>
    <t>R.J. Putland</t>
  </si>
  <si>
    <t>Photograph of Mr and Mrs Putland taken in the studio on their wedding day in 1950.</t>
  </si>
  <si>
    <t>Putland, R. J.;Wedding costume -- South Australia -- Mount Gambier</t>
  </si>
  <si>
    <t>b21164976</t>
  </si>
  <si>
    <t>J.I. Poppin</t>
  </si>
  <si>
    <t>Photograph of Mr and Mrs Poppin taken in the studio on their wedding day in 1950.</t>
  </si>
  <si>
    <t>Poppin, J. I.;Wedding costume -- South Australia -- Mount Gambier</t>
  </si>
  <si>
    <t>b21164988</t>
  </si>
  <si>
    <t>M.J. Knight on her wedding day</t>
  </si>
  <si>
    <t>Photograph of M.J. Knight taken in the studio on her wedding day in 1950.</t>
  </si>
  <si>
    <t>Knight, M. J.;Brides -- South Australia -- Mount Gambier;Wedding costume -- South Australia -- Mount Gambier</t>
  </si>
  <si>
    <t>b2116499x</t>
  </si>
  <si>
    <t>W. Kuhl</t>
  </si>
  <si>
    <t>Photograph of Mr and Mrs Kuhl taken in the studio on their wedding day in 1950.</t>
  </si>
  <si>
    <t>Kuhl, W.;Wedding costume -- South Australia -- Mount Gambier</t>
  </si>
  <si>
    <t>b21165002</t>
  </si>
  <si>
    <t>R.H. Knight on her wedding day</t>
  </si>
  <si>
    <t>Photograph of Miss Knight taken in the studio on her wedding day in 1950.</t>
  </si>
  <si>
    <t>Knight, R. H.;Brides -- South Australia -- Mount Gambier;Wedding costume -- South Australia -- Mount Gambier</t>
  </si>
  <si>
    <t>b21165014</t>
  </si>
  <si>
    <t>E. Roughana</t>
  </si>
  <si>
    <t>Photograph of Mr and Mrs Roughana taken in the studio on their wedding day in 1950.</t>
  </si>
  <si>
    <t>Roughana, E.;Wedding costume -- South Australia -- Mount Gambier</t>
  </si>
  <si>
    <t>b21165026</t>
  </si>
  <si>
    <t>H. Lawson</t>
  </si>
  <si>
    <t>Photograph of Mr and Mrs Lawson taken in the studio on their wedding day in 1950.</t>
  </si>
  <si>
    <t>Lawson, H.;Wedding costume -- South Australia -- Mount Gambier</t>
  </si>
  <si>
    <t>b21165038</t>
  </si>
  <si>
    <t>D. Larcombe</t>
  </si>
  <si>
    <t>Photograph of Mr and Mrs Larcombe taken in the studio on their wedding day in 1950.</t>
  </si>
  <si>
    <t>Larcombe, D.;Wedding costume -- South Australia -- Mount Gambier</t>
  </si>
  <si>
    <t>b2116504x</t>
  </si>
  <si>
    <t>R.H. Knight</t>
  </si>
  <si>
    <t>Photograph of Mr and Mrs Knight taken in the studio on their wedding day in 1950.</t>
  </si>
  <si>
    <t>Knight, R. H.;Wedding costume -- South Australia -- Mount Gambier</t>
  </si>
  <si>
    <t>b21165051</t>
  </si>
  <si>
    <t>M.J. Knight</t>
  </si>
  <si>
    <t>Knight, M. J.;Wedding costume -- South Australia -- Mount Gambier</t>
  </si>
  <si>
    <t>b21165063</t>
  </si>
  <si>
    <t>P.T. Laslett on her wedding day</t>
  </si>
  <si>
    <t>Photograph of P.T. Laslett taken in the studio on her wedding day in 1950.</t>
  </si>
  <si>
    <t>Laslett, P. T.;Brides -- South Australia -- Mount Gambier;Wedding costume -- South Australia -- Mount Gambier</t>
  </si>
  <si>
    <t>b21165105</t>
  </si>
  <si>
    <t>B. Liddle on her wedding day</t>
  </si>
  <si>
    <t>Photograph of B. Liddle taken in the studio on her wedding day in 1950.</t>
  </si>
  <si>
    <t>Liddle, B.;Brides -- South Australia -- Mount Gambier;Wedding costume -- South Australia -- Mount Gambier</t>
  </si>
  <si>
    <t>b21165336</t>
  </si>
  <si>
    <t>Pipe Band - New Years Day Sports</t>
  </si>
  <si>
    <t>Photograph of the Pipe Band during the parade on New Years Day Sports in Mount Gambier in 1950. The band is marching past the South Australian Hotel.</t>
  </si>
  <si>
    <t>Parades -- South Australia -- Mount Gambier;Pipe bands -- South Australia -- Mount Gambier</t>
  </si>
  <si>
    <t>b21167357</t>
  </si>
  <si>
    <t>Cyclists Dawson and Ward</t>
  </si>
  <si>
    <t>Photograph of two cyclists Dawson and Ward taken in the studio in Mount Gambier in 1950.</t>
  </si>
  <si>
    <t>Dawson, Mr;Ward, Mr;Cyclists -- South Australia -- Mount Gambier</t>
  </si>
  <si>
    <t>b21167941</t>
  </si>
  <si>
    <t>A.A. Scott</t>
  </si>
  <si>
    <t>Photograph of Miss Scott dressed as a ballerina taken in the studio in Mount Gambier in 1950. She is approximately six years old.</t>
  </si>
  <si>
    <t>Scott, A. A.;Children -- South Australia -- Mount Gambier;Ballet dancers -- South Australia -- Mount Gambier</t>
  </si>
  <si>
    <t>b21168660</t>
  </si>
  <si>
    <t>V. Nikou</t>
  </si>
  <si>
    <t>Photograph of young Mr. Nikou playing his violin. The photograph was taken in the studio in Mount Gambier in 1950.</t>
  </si>
  <si>
    <t>Nikou, V.;Violinists -- South Australia -- Mount Gambier</t>
  </si>
  <si>
    <t>b21168672</t>
  </si>
  <si>
    <t>C.H. Kelly</t>
  </si>
  <si>
    <t>Photograph of Miss Kelly at approximately four years of age. She is wearing a stylish corduroy dress with a matching bonnet tied with ribbons and is holding a stuffed toy.</t>
  </si>
  <si>
    <t>Kelly, C. H.;Children -- South Australia -- Mount Gambier</t>
  </si>
  <si>
    <t>b21168684</t>
  </si>
  <si>
    <t>C. Ireland</t>
  </si>
  <si>
    <t>Photograph of Master Ireland taken in the studio in Mount Gambier in 1950. He is approximately eleven years old and is wearing a suit.</t>
  </si>
  <si>
    <t>Ireland, C;Children -- South Australia -- Mount Gambier</t>
  </si>
  <si>
    <t>b21168696</t>
  </si>
  <si>
    <t>N. Huihn</t>
  </si>
  <si>
    <t>Photograph of Miss Huihn taken at her confirmation or first communion. She is wearing a veil and carrying flowers and her rosary beads. She is approximately eleven years old.</t>
  </si>
  <si>
    <t>Huihn, N.;Confirmation -- South Australia -- Mount Gambier;Children -- Clothing -- South Australia -- Mount Gambier</t>
  </si>
  <si>
    <t>b21168702</t>
  </si>
  <si>
    <t>Guzelian</t>
  </si>
  <si>
    <t>Photograph of Miss Guzelian taken in the studio in Mount Gambier in 1950 when she was approximately eight years old. She has short dark straight hair and a summer dress.</t>
  </si>
  <si>
    <t>Guzelian, Miss;Children -- South Australia -- Mount Gambier</t>
  </si>
  <si>
    <t>b21168714</t>
  </si>
  <si>
    <t>F. Grinter</t>
  </si>
  <si>
    <t>Photograph of the three Grinter sisters taken in the studio in Mount Gambier in 1950. They are approximately seven, four and one year old.</t>
  </si>
  <si>
    <t>Grinter, F.;Children -- South Australia -- Mount Gambier</t>
  </si>
  <si>
    <t>b21168726</t>
  </si>
  <si>
    <t>C. Hill</t>
  </si>
  <si>
    <t>Photograph of Miss Hill dressed in a long ruffled dress, matching bonnet and gloves sitting in the studio in Mount Gambier in 1950. She is approximately seven years old.</t>
  </si>
  <si>
    <t>Hill, C.;Children -- South Australia -- Mount Gambier;Children -- Clothing -- South Australia -- Mount Gambier</t>
  </si>
  <si>
    <t>b21223579</t>
  </si>
  <si>
    <t>Deso siblings</t>
  </si>
  <si>
    <t>Photograph of the five Deso siblings, two boys and three girls, taken in the studio in Mount Gambier in 1950. They are all under ten years old.</t>
  </si>
  <si>
    <t>Deso, M.;Deso (Family);Children -- South Australia -- Mount Gambier</t>
  </si>
  <si>
    <t>b21168738</t>
  </si>
  <si>
    <t>Waters children</t>
  </si>
  <si>
    <t>Photograph of the two older Waters children looking at their baby brother or sister. The girl is approximately nine years old and her brother is approximately eleven years old. The baby is possibly six months old.</t>
  </si>
  <si>
    <t>Waters (Family);Children -- South Australia -- Mount Gambier</t>
  </si>
  <si>
    <t>b2116874x</t>
  </si>
  <si>
    <t>Kilsby siblings</t>
  </si>
  <si>
    <t>Photograph of the Kilsby children taken in the studio in Mount Gambier in 1950. The boy is approximately four years old and his sister is possibly five years old. They are cuddling furry toys. A researcher believes the children are Terrence James Kilsby and his older sister Janet, the two eldest siblings from a family of six children.</t>
  </si>
  <si>
    <t>Kilsby, F. J.;Children -- South Australia -- Mount Gambier</t>
  </si>
  <si>
    <t>b21168751</t>
  </si>
  <si>
    <t>T. Gerang</t>
  </si>
  <si>
    <t>Photograph of Miss Gerang dressed in her confirmation/first communion dress in 1950.  She is approximately eleven years old and is wearing a veil, white dress and gloves.</t>
  </si>
  <si>
    <t>Gerang, T.;Confirmation -- South Australia -- Mount Gambier;Children -- Clothing -- South Australia -- Mount Gambier</t>
  </si>
  <si>
    <t>b21168775</t>
  </si>
  <si>
    <t>B.P. Kestle</t>
  </si>
  <si>
    <t>Photograph of Mrs Kestle holding her baby which is dressed in a long Christening gown. The baby is approximately six months old.</t>
  </si>
  <si>
    <t>Kestle, B. P.;Infants -- South Australia -- Mount Gambier;Mothers -- South Australia -- Mount Gambier</t>
  </si>
  <si>
    <t>b21168787</t>
  </si>
  <si>
    <t>L.T. Jabobs</t>
  </si>
  <si>
    <t>Photograph of Miss Jabobs taken in the studio in Mount Gambier in 1950.  She is approximately eight years old and has short straight hair clipped back with a daisy clip. She is holding a much loved doll.</t>
  </si>
  <si>
    <t>Jabobs, L. T.;Children -- South Australia -- Mount Gambier</t>
  </si>
  <si>
    <t>b21168799</t>
  </si>
  <si>
    <t>W.A. Habner</t>
  </si>
  <si>
    <t>Photograph of Master Habner seated on the arm of an armchair in the studio in Mount Gambier in 1950. He is approximately two years old and is wearing a sailor suit and has a head of curls.</t>
  </si>
  <si>
    <t>Habner, W. A.;Children -- South Australia -- Mount Gambier</t>
  </si>
  <si>
    <t>b21168805</t>
  </si>
  <si>
    <t>M. Burnett</t>
  </si>
  <si>
    <t>Photograph of Miss Burnett taken in the studio in Mount Gambier when she was approximately twleve years old. She is wearing her school uniform and her blonde hair is in plaits tied with tartan ribbons.</t>
  </si>
  <si>
    <t>Burnett, M.;School children -- South Australia -- Mount Gambier</t>
  </si>
  <si>
    <t>b21168817</t>
  </si>
  <si>
    <t>G. Robinson</t>
  </si>
  <si>
    <t>Photograph of Master Robinson taken in the studio in Mount Gambier in 1950 when he was approximately ten years old. He is wearing his kilt, sporran, jacket and beret.</t>
  </si>
  <si>
    <t>Robinson, G.;Children -- South Australia -- Mount Gambier;Costume -- Scotland</t>
  </si>
  <si>
    <t>b21168829</t>
  </si>
  <si>
    <t>H.N. Taylor</t>
  </si>
  <si>
    <t>Photograph of Miss Taylor when she was aproximately four years old. Her dark hair is styled in shoulder length ringlets and her short dress is decorated with layers of lace. She is clutching a toy rabbit.</t>
  </si>
  <si>
    <t>Taylor, H. N.;Children -- South Australia -- Mount Gambier</t>
  </si>
  <si>
    <t>b21168830</t>
  </si>
  <si>
    <t>E. Hunter</t>
  </si>
  <si>
    <t>Photograph of Marge Hunter, wife of Eric Hunter, with her baby daughter taken in the studio in Mount Gambier in 1950. The baby is approximately six months old and is wearing a long lace and embroidered dress. According to a researcher, Marge Hunter had a photo of all of her daughters taken at about the same age in the same dress.</t>
  </si>
  <si>
    <t>Hunter, E.;Infants -- South Australia -- Mount Gambier;Mothers -- South Australia -- Mount Gambier</t>
  </si>
  <si>
    <t>b21168842</t>
  </si>
  <si>
    <t>Rymill siblings</t>
  </si>
  <si>
    <t>Photograph of the three Rymill children taken in the studio in Mount Gambier in 1950. The two boys are approximately ten and five years old and their sister is approximately twelve years old.</t>
  </si>
  <si>
    <t>Rymill, R.;Children -- South Australia -- Mount Gambier</t>
  </si>
  <si>
    <t>b21168854</t>
  </si>
  <si>
    <t>A.J.R. Wallis</t>
  </si>
  <si>
    <t>Photograph of Mrs Wallis holding her baby son on her lap in the studio in Mount Gambier in 1950. The child who is approximately eight months old is wearing a romper suit and has a rolled curl on the top of his head.</t>
  </si>
  <si>
    <t>Wallis, A. J. R.;Infants -- South Australia -- Mount Gambier;Mothers -- South Australia -- Mount Gambier</t>
  </si>
  <si>
    <t>b21168866</t>
  </si>
  <si>
    <t>Engel children</t>
  </si>
  <si>
    <t>Photograph of the two Engel sisters taken in the studio in Mount Gambier in 1950. They are approximately seven and four years old and both have large bows in their short bobbed blonde hair.</t>
  </si>
  <si>
    <t>Engel, K.;Children -- South Australia -- Mount Gambier</t>
  </si>
  <si>
    <t>b21168878</t>
  </si>
  <si>
    <t>Earl siblings</t>
  </si>
  <si>
    <t>Photograph of the two Earl siblings taken in the studio in Mount Gambier in 1950. The girl is approximately ten years old and she is sitting with her younger brother who is approximately five years old.</t>
  </si>
  <si>
    <t>Earl, H. A.;Children -- South Australia -- Mount Gambier</t>
  </si>
  <si>
    <t>b2116888x</t>
  </si>
  <si>
    <t>T. Corigliano</t>
  </si>
  <si>
    <t>Photograph of Miss Corigliano taken in 1950 when she was approximately thirteen years old. In this photograph she is wearing her school uniform and is cuddling her pet golden cocker spaniel.</t>
  </si>
  <si>
    <t>Corigliano, T.;Children -- South Australia -- Mount Gambier;Dogs -- South Australia -- Mount Gambier</t>
  </si>
  <si>
    <t>b21168891</t>
  </si>
  <si>
    <t>J. Davies</t>
  </si>
  <si>
    <t>Photograph of teenager J. Davies who is wearing his Scottish Band uniform and carrying his bagpipes under one arm.</t>
  </si>
  <si>
    <t>Davies, J.;Costume -- Scotland;Bagpipers -- South Australia -- Mount Gambier</t>
  </si>
  <si>
    <t>b21168908</t>
  </si>
  <si>
    <t>M.W. Coulson</t>
  </si>
  <si>
    <t>Photograph of Mrs Coulson and her three daughters taken in the studio in Mount Gambier in 1950.</t>
  </si>
  <si>
    <t>Coulson, M. W.;Coulson (Family);Children -- South Australia -- Mount Gambier</t>
  </si>
  <si>
    <t>b2116891x</t>
  </si>
  <si>
    <t>Ferguson sisters</t>
  </si>
  <si>
    <t>Photograph of the two Ferguson sisters taken in the studio in Mount Gambier in 1950. The girls are approximately three and five years old and are shown looking at a book.</t>
  </si>
  <si>
    <t>Ferguson, P. C.;Children -- South Australia -- Mount Gambier</t>
  </si>
  <si>
    <t>b21168921</t>
  </si>
  <si>
    <t>White children</t>
  </si>
  <si>
    <t>Photograph of the six children from the White family taken in the studio in Mount Gambier in 1950. There are four boys and two girls ranging in age from two to eleven years old.</t>
  </si>
  <si>
    <t>White, E. N.;White (Family);Children -- South Australia -- Mount Gambier</t>
  </si>
  <si>
    <t>b21168933</t>
  </si>
  <si>
    <t>Wallis siblings</t>
  </si>
  <si>
    <t>Photograph of the Wallis siblings taken in 1950. The boy is approximately four years old and has dark hair. He is holding a toy rabbit. His sister is approximately two years old and has fair hair.</t>
  </si>
  <si>
    <t>Wallis (Family);Children -- South Australia -- Mount Gambier</t>
  </si>
  <si>
    <t>b21168945</t>
  </si>
  <si>
    <t>McDonald children</t>
  </si>
  <si>
    <t>Photograph of the six McDonald children taken in the studio in Mount Gambier in 1950. There are four boys, a girl, and a baby approximately four months old.</t>
  </si>
  <si>
    <t>McDonald, S. N.;McDonald (Family);Children -- South Australia -- Mount Gambier</t>
  </si>
  <si>
    <t>b21168957</t>
  </si>
  <si>
    <t>H.A. McKeaugh</t>
  </si>
  <si>
    <t>Photograph of Miss McKeaugh who is approximately four years old holding her hobby horse. She has long fair hair pulled back in pig tails and tied with ribbons.</t>
  </si>
  <si>
    <t>McKeaugh, H. A.;Children -- South Australia -- Mount Gambier</t>
  </si>
  <si>
    <t>b21168969</t>
  </si>
  <si>
    <t>A. Cook</t>
  </si>
  <si>
    <t>Photograph of Miss Cook taken in the studio in Mount Gambier in 1950 when she was approximately nine years old. She has short hair tied with a large ribbon.</t>
  </si>
  <si>
    <t>Cook, A.;Children -- South Australia -- Mount Gambier</t>
  </si>
  <si>
    <t>b21168970</t>
  </si>
  <si>
    <t>R.W. Wright</t>
  </si>
  <si>
    <t>Photograph of Miss Wright taken in the studio in Mount Gambier in 1950 when she was approximately five years old. She has short curly blonde hair tied with a large ribbon.</t>
  </si>
  <si>
    <t>Wright, R. W.;Children -- South Australia -- Mount Gambier</t>
  </si>
  <si>
    <t>b21168982</t>
  </si>
  <si>
    <t>Thompson children</t>
  </si>
  <si>
    <t>Photograph of the Thompson children taken in 1950. The boy is approximately five years old and has blond hair. His sister is approximately four years old and has tight blonde curls.</t>
  </si>
  <si>
    <t>Thompson, A.;Children -- South Australia -- Mount Gambier</t>
  </si>
  <si>
    <t>b21168994</t>
  </si>
  <si>
    <t>A.C. Hookings</t>
  </si>
  <si>
    <t>Photograph of Miss Hookings holding her doll in the studio in Mount Gambier in 1950. She is approximately five years old and has short wavy hair tied with a ribbon.</t>
  </si>
  <si>
    <t>Hookings, A. C.;Children -- South Australia -- Mount Gambier</t>
  </si>
  <si>
    <t>b21169007</t>
  </si>
  <si>
    <t>W. Smith</t>
  </si>
  <si>
    <t>Photograph of teenager Miss Smith taken in the studio in Mount Gambier in 1950. She is wearing her school uniform.</t>
  </si>
  <si>
    <t>Smith, W.;School children -- South Australia -- Mount Gambier</t>
  </si>
  <si>
    <t>b21169019</t>
  </si>
  <si>
    <t>H. Smith</t>
  </si>
  <si>
    <t>Photograph of Miss Smith seated in the studio in Mount Gambier in 1950. She is wearing a long dress and gloves. Her long hair is arranged in ringlets and she is holding a basket of flowers.</t>
  </si>
  <si>
    <t>Smith, H.;Children -- South Australia -- Mount Gambier;Children -- Clothing -- South Australia -- Mount Gambier</t>
  </si>
  <si>
    <t>b21169032</t>
  </si>
  <si>
    <t>B. Creek</t>
  </si>
  <si>
    <t>Photograph of Miss B. Creek wearing her Girl Guides uniform in 1950. She is approximately fourteen years old.</t>
  </si>
  <si>
    <t>Creek, B.;Girl Guides -- South Australia -- Mount Gambier</t>
  </si>
  <si>
    <t>b21169044</t>
  </si>
  <si>
    <t>McLaren children</t>
  </si>
  <si>
    <t>Photograph of the six McLaren children taken in the studio in 1950. There are four girls and two boys and their ages range from approximately ten months to nine years old.</t>
  </si>
  <si>
    <t>McLaren, B.;McLaren (Family);Children -- South Australia -- Mount Gambier</t>
  </si>
  <si>
    <t>b21169056</t>
  </si>
  <si>
    <t>Mulqueeny children</t>
  </si>
  <si>
    <t>Photograph of the two Mulqueeny sisters taken in Mount Gambier in 1950. The girls are approximately four and six years old and they have short dark hair styles. According to a researcher, the children are the daughters of the late James and Val Mulqueeny, of Mount Gambier. Their names are Judy and Heather Mulqueeny.</t>
  </si>
  <si>
    <t>Mulqueeny, J.;Children -- South Australia -- Mount Gambier</t>
  </si>
  <si>
    <t>b2116907x</t>
  </si>
  <si>
    <t>Kaiser siblings</t>
  </si>
  <si>
    <t>1 photograph : acetate, negative, black and white   11.6 x 16 cm;still image sti rdacontent;other x rdamedia;sheet nb rdacarrier</t>
  </si>
  <si>
    <t>Photograph of seven members of the Kaiser siblings. A family member has confirmed that 'they are Charles Spencer Kaiser, Ellen Jean Kaiser, Heather Anne Kaiser, George Edward Kaiser, Theodore Charles Kaiser, Peter Ivan Kaiser, Francis David Kaiser. They are the children of Theodore Charles Kaiser Snr &amp; Ellen Ruth Kaiser'. Another researcher has suggested that 'Theodore Charles Kaiser' was actually Theo John Kaiser, born 12 June 1953.</t>
  </si>
  <si>
    <t>Kaiser (Family);Children -- South Australia -- Mount Gambier</t>
  </si>
  <si>
    <t>b21169093</t>
  </si>
  <si>
    <t>Lockwood family</t>
  </si>
  <si>
    <t>Photograph of four generations of the Lockwood family. The members consist of great grandfather, grandfather, father and new baby.</t>
  </si>
  <si>
    <t>Lockwood, R. L.;Lockwood (Family)</t>
  </si>
  <si>
    <t>b2116910x</t>
  </si>
  <si>
    <t>Miss Sims and her dog</t>
  </si>
  <si>
    <t>Studio photograph of Miss Sims with her black and white pet dog. Miss Sims is a teenager and has short dark wavy hair.</t>
  </si>
  <si>
    <t>Sims, T.;Children -- South Australia -- Mount Gambier;Dogs -- South Australia -- Mount Gambier</t>
  </si>
  <si>
    <t>b21169111</t>
  </si>
  <si>
    <t>Laurier siblings</t>
  </si>
  <si>
    <t>Photograph of the Laurier siblings taken in the studio in Mount Gambier in 1950. The three boys are approximately eighteen, fourteen and four years old and their sister is approximately ten years old.</t>
  </si>
  <si>
    <t>Laurier (Family);Children -- South Australia -- Mount Gambier</t>
  </si>
  <si>
    <t>b21169123</t>
  </si>
  <si>
    <t>D. Guerin</t>
  </si>
  <si>
    <t>Photograph of Master Guerin who is approximately twelve years old in the studio in Mount Gambier in 1950.  He is wearing a suit.</t>
  </si>
  <si>
    <t>Guerin, D.;Children -- South Australia -- Mount Gambier</t>
  </si>
  <si>
    <t>b21169135</t>
  </si>
  <si>
    <t>Mrs Naughton and her baby</t>
  </si>
  <si>
    <t>Studio photograph of Mrs Naughton holding her baby who is dressed in a long christening gown. The baby is approximately six months old.</t>
  </si>
  <si>
    <t>Naughton, C.;Infants -- South Australia -- Mount Gambier;Mothers -- South Australia -- Mount Gambier</t>
  </si>
  <si>
    <t>b21169147</t>
  </si>
  <si>
    <t>Parkinson children</t>
  </si>
  <si>
    <t>Photograph of the three Parkinson brothers taken in the studio in Mount Gambier in 1950. Their ages range from thirteen to three years. The youngest is holding a stuffed toy dog.</t>
  </si>
  <si>
    <t>Parkinson (Family);Children -- South Australia -- Mount Gambier</t>
  </si>
  <si>
    <t>b21169159</t>
  </si>
  <si>
    <t>Mrs Pycroft and baby</t>
  </si>
  <si>
    <t>Studio photograph of Mrs Pycroft holding her baby who is dressed in a long christening gown. The baby is approximately six months old.</t>
  </si>
  <si>
    <t>Pycroft, V. R.;Mothers -- South Australia -- Mount Gambier;Infants -- South Australia -- Mount Gambier</t>
  </si>
  <si>
    <t>b21169160</t>
  </si>
  <si>
    <t>Ey siblings</t>
  </si>
  <si>
    <t>Photograph of Jillian and Peter Ey of Millicent, taken in the studio in Mount Gambier in 1950. [Information provided by Colleen Hammat].</t>
  </si>
  <si>
    <t>Ey (Family);Children -- South Australia -- Mount Gambier</t>
  </si>
  <si>
    <t>b21169172</t>
  </si>
  <si>
    <t>C.J. Lovell</t>
  </si>
  <si>
    <t>Studio photograph of Miss Lovell dressed in a long gown, long gloves and holding a basket of flowers. She is approximately seven years old.</t>
  </si>
  <si>
    <t>Lovell, C. J.;Children -- South Australia -- Mount Gambier</t>
  </si>
  <si>
    <t>b21169184</t>
  </si>
  <si>
    <t>Mrs Drabraiew and her daughter</t>
  </si>
  <si>
    <t>Photograph of Mrs Drabraiew and her daughter taken in the studio in Mount Gambier in 1950. The little girl is approximately six years old and has short wavy fair hair.</t>
  </si>
  <si>
    <t>Drabraiew, N.;Children -- South Australia -- Mount Gambier;Mothers -- South Australia -- Mount Gambier</t>
  </si>
  <si>
    <t>b21169202</t>
  </si>
  <si>
    <t>Lewis children</t>
  </si>
  <si>
    <t>Photograph of the Lewis children taken in 1950 in the studio in Mount Gambier. The boy is approximately ten years old and his sister is a similar age. They are both wearing their school uniforms.</t>
  </si>
  <si>
    <t>Lewis, H.;School children -- South Australia -- Mount Gambier</t>
  </si>
  <si>
    <t>b21169214</t>
  </si>
  <si>
    <t>R. Paul</t>
  </si>
  <si>
    <t>Photograph of Miss Paul taken in the studio in Mount Gambier in 1950.  She is approximately four years old and is clutching a toy dog under her arm.</t>
  </si>
  <si>
    <t>Paul, R.;Children -- South Australia -- Mount Gambier</t>
  </si>
  <si>
    <t>b21172985</t>
  </si>
  <si>
    <t>A mother and her baby</t>
  </si>
  <si>
    <t>Studio photograph of Mrs Lawson with her baby daughter who is approximately seven months old.</t>
  </si>
  <si>
    <t>Lawson, L. K.;Mothers -- South Australia -- Mount Gambier;Infants -- South Australia -- Mount Gambier</t>
  </si>
  <si>
    <t>b21172997</t>
  </si>
  <si>
    <t>A mother and her child</t>
  </si>
  <si>
    <t>Studio photograph of Mrs Lehmann with her daughter who is approximately one year old.</t>
  </si>
  <si>
    <t>Lehmann, F.;Mothers -- South Australia -- Mount Gambier;Infants -- South Australia -- Mount Gambier</t>
  </si>
  <si>
    <t>b2117300x</t>
  </si>
  <si>
    <t>Laslett sisters</t>
  </si>
  <si>
    <t>Photograph of three adult sisters (from left)  Una, Emily and Rosa Laslett.</t>
  </si>
  <si>
    <t>Laslett, Una;Laslett, Emily;Laslett, Rosa</t>
  </si>
  <si>
    <t>b21173011</t>
  </si>
  <si>
    <t>Father and son</t>
  </si>
  <si>
    <t>Photograph of Mr Little with his son who is approximately eleven years old taken in the studio in Mount Gambier in 1950. Both are wearing suits with ties.</t>
  </si>
  <si>
    <t>Little, A. G.;Clothing and dress -- South Australia -- Mount Gambier;Fathers and sons -- South Australia -- Mount Gambier</t>
  </si>
  <si>
    <t>b21173023</t>
  </si>
  <si>
    <t>A.B. Kenny</t>
  </si>
  <si>
    <t>Photograph of a man and a lady taken in the studio in Mount Gambier in 1950. One of the couple may be A.B. Kenny.</t>
  </si>
  <si>
    <t>Kenny, A. B.</t>
  </si>
  <si>
    <t>b21173035</t>
  </si>
  <si>
    <t>Pratt family</t>
  </si>
  <si>
    <t>Studio photograph of four teenage siblings from the Pratt family. There are two boys and two girls.</t>
  </si>
  <si>
    <t>Pratt, W.;Children -- South Australia -- Mount Gambier;Children -- Clothing -- South Australia -- Mount Gambier</t>
  </si>
  <si>
    <t>b21173047</t>
  </si>
  <si>
    <t>Peacock family group</t>
  </si>
  <si>
    <t>Studio photograph of Mr and Mrs Peacock with their three sons and baby daughter.</t>
  </si>
  <si>
    <t>Peacock, W. J.;Peacock (Family)</t>
  </si>
  <si>
    <t>b21173059</t>
  </si>
  <si>
    <t>Norman children</t>
  </si>
  <si>
    <t>Photograph of three siblings from the Norman family taken in the studio in Mount Gambier in 1950. There are two girls and a boy all pre-school age.</t>
  </si>
  <si>
    <t>Norman, A. L.;Children -- South Australia -- Mount Gambier</t>
  </si>
  <si>
    <t>b21173060</t>
  </si>
  <si>
    <t>Kittel family</t>
  </si>
  <si>
    <t>Studio photograph of Mr and Mrs Kittel and their baby son who is approximately seven months old.</t>
  </si>
  <si>
    <t>Kittel, H. W.;Kittel (Family);Clothing and dress -- South Australia -- Mount Gambier</t>
  </si>
  <si>
    <t>b21173072</t>
  </si>
  <si>
    <t>Kluge brothers</t>
  </si>
  <si>
    <t>Photograph of brothers P.L. and J.W. Kluge taken in the studio in Mount Gambier in 1950. Both are wearing lapel badges.</t>
  </si>
  <si>
    <t>Kluge, P. L.;Kluge, J. W.;Clothing and dress -- South Australia -- Mount Gambier</t>
  </si>
  <si>
    <t>b21173084</t>
  </si>
  <si>
    <t>F.A.A. Barnes</t>
  </si>
  <si>
    <t>Studio photograph of a lady, man and young girl who are dressed for a special occasion in 1950. The ladies are wearing long dresses and the older lady is holding a posy of flowers.</t>
  </si>
  <si>
    <t>Barnes, F. A. A.;Clothing and dress -- South Australia -- Mount Gambier</t>
  </si>
  <si>
    <t>b21173096</t>
  </si>
  <si>
    <t>Barry children</t>
  </si>
  <si>
    <t>Photograph of two girls and two boys from the Barry family taken in the studio in Mount Gambier. The girls are approximately nine and two years old and the boys are approximately five and eight years old.</t>
  </si>
  <si>
    <t>Barry, J.;Children -- South Australia -- Mount Gambier;Children -- Clothing -- South Australia -- Mount Gambier</t>
  </si>
  <si>
    <t>b21173102</t>
  </si>
  <si>
    <t>A mother and her young son</t>
  </si>
  <si>
    <t>Studio photograph of Mrs Bellenger with her young son standing in her lap. The boy is approximately two years old.</t>
  </si>
  <si>
    <t>Bellenger, S. P.;Mothers and sons -- South Australia -- Mount Gambier</t>
  </si>
  <si>
    <t>b21173114</t>
  </si>
  <si>
    <t>Mother and son</t>
  </si>
  <si>
    <t>Photograph of Mrs Butterworth and her son taken in the studio in Mount Gambier in 1950. The boy is approximately six years old.</t>
  </si>
  <si>
    <t>Butterworth, E. L.;Mothers and sons -- South Australia -- Mount Gambier</t>
  </si>
  <si>
    <t>b21173126</t>
  </si>
  <si>
    <t>R.J. Smith</t>
  </si>
  <si>
    <t>Photograph of a man and a lady sitting in the studio in Mount Gambier in 1950. One of them may be R.J. Smith.</t>
  </si>
  <si>
    <t>Smith, R. J.</t>
  </si>
  <si>
    <t>b21173138</t>
  </si>
  <si>
    <t>A.L. Stratford</t>
  </si>
  <si>
    <t>Photograph of a young man and woman taken in the studio in Mount Gambier in 1950. One of them may be A.L. Stratford.</t>
  </si>
  <si>
    <t>Stratford, A. L.</t>
  </si>
  <si>
    <t>b2117314x</t>
  </si>
  <si>
    <t>J. Seebohm</t>
  </si>
  <si>
    <t>Photograph of two young ladies taken in the studio in Mount Gambier in 1950. They both have their hair done fashionably and one girl is wearing a dress with a bold print design. One of them may be J. Seebohm.</t>
  </si>
  <si>
    <t>Seebohm, J.;Clothing and dress -- South Australia -- Mount Gambier</t>
  </si>
  <si>
    <t>b21173151</t>
  </si>
  <si>
    <t>Sims family</t>
  </si>
  <si>
    <t>Photograph of three generations of the Sims family taken in the studio in Mount Gambier. The photograph depicts the grandmother, parents and young baby.</t>
  </si>
  <si>
    <t>Sims, W. A.;Sims (Family)</t>
  </si>
  <si>
    <t>b21173163</t>
  </si>
  <si>
    <t>Allan children</t>
  </si>
  <si>
    <t>Photograph of three siblings from the Allan family taken in the studio in Mount Gambier. Depicted are a girl approximately five years old, her brother approximately three years old and a curly haired toddler.</t>
  </si>
  <si>
    <t>Allen, O.;Children -- South Australia -- Mount Gambier;Children -- Clothing -- South Australia -- Mount Gambier</t>
  </si>
  <si>
    <t>b21173175</t>
  </si>
  <si>
    <t>Brown children</t>
  </si>
  <si>
    <t>Photograph of a brother and his two young sisters taken in the studio in Mount Gambier in 1950. The boy is wearing a suit and tie and his sisters have matching knitted dresses and hair ribbons.</t>
  </si>
  <si>
    <t>Brown, H.;Children -- South Australia -- Mount Gambier;Children -- Clothing -- South Australia -- Mount Gambier</t>
  </si>
  <si>
    <t>b21173199</t>
  </si>
  <si>
    <t>Shephard children</t>
  </si>
  <si>
    <t>Photograph of three brothers from the Shephard family. L-R: Allan Stewart Shephard, born 6 July 1940, died 11 June 2007, married 12 March 1966 Judith Ann Mackrell. Owen Ralph Shephard, born 23 April 1943, married 18 April 1970 Olga Ingrid Jay Heemskerk. Brian Trevor Shephard, born 26 November 1941, married 26 September 1964 Elva Joy Lucas.</t>
  </si>
  <si>
    <t>Shephard, Allan Stewart, 1940-2007;Shephard, Brian Trevor, 1941-;Shephard, Owen Ralph, 1943-;Children -- South Australia -- Mount Gambier</t>
  </si>
  <si>
    <t>b21173205</t>
  </si>
  <si>
    <t>Rowe children</t>
  </si>
  <si>
    <t>Photograph of the Rowe siblings taken in the studio in Mount Gambier in 1950. The girl and the boy are possibly in their early teenage years.</t>
  </si>
  <si>
    <t>Rowe, W. L.;Children -- South Australia -- Mount Gambier</t>
  </si>
  <si>
    <t>b21173217</t>
  </si>
  <si>
    <t>W.V. Rogers</t>
  </si>
  <si>
    <t>Photograph of Vin and Major Rogers in suits taken in the studio in 1950.  [Information provided by Colleen Hammat].</t>
  </si>
  <si>
    <t>Rogers (Family)</t>
  </si>
  <si>
    <t>b21173229</t>
  </si>
  <si>
    <t>F. Dixon</t>
  </si>
  <si>
    <t>Photograph of a man and woman taken in the studio in Mount Gambier in 1950. One of the two may be F. Dixon.</t>
  </si>
  <si>
    <t>Dixon, F.</t>
  </si>
  <si>
    <t>b21173230</t>
  </si>
  <si>
    <t>Mrs Elkins and her baby</t>
  </si>
  <si>
    <t>Photograph of Mrs Elkins looking at her baby in the studio in Mount Gambier in 1950.The baby who is approximately five months old is resting on an exquisitely crocheted shawl.</t>
  </si>
  <si>
    <t>Elkins, A. R.;Infants -- South Australia -- Mount Gambier;Mothers -- South Australia -- Mount Gambier</t>
  </si>
  <si>
    <t>b21173242</t>
  </si>
  <si>
    <t>H.A. Day</t>
  </si>
  <si>
    <t>Photograph of a man and woman taken in the studio in Mount Gambier in 1950. One of the two may be H.A. Day.</t>
  </si>
  <si>
    <t>Day, H. A.</t>
  </si>
  <si>
    <t>b21173266</t>
  </si>
  <si>
    <t>R.A. Dixon</t>
  </si>
  <si>
    <t>Photograph of a young man and a young lady taken in the studio in Mount Gambier in 1950. One of them may be R.A. Dixon.</t>
  </si>
  <si>
    <t>Dixon, R. A.</t>
  </si>
  <si>
    <t>b21173278</t>
  </si>
  <si>
    <t>K.M. Fowler</t>
  </si>
  <si>
    <t>Photograph of Mr and Mrs Fowler and their adult son taken in the studio in Mount Gambier in 1950. Mr Fowler is wearing a three piece suit with a fob watch and chain. Both the men are wearing lapel pins.</t>
  </si>
  <si>
    <t>Fowler, K. M.</t>
  </si>
  <si>
    <t>b2117328x</t>
  </si>
  <si>
    <t>Mr and Mrs Rowe and children</t>
  </si>
  <si>
    <t>Photograph of Mr and Mrs Rowe and their son and daughter taken in the studio in Mount Gambier in 1950. See also BRG 347/6097.</t>
  </si>
  <si>
    <t>Rowe, W. E.;Rowe (Family)</t>
  </si>
  <si>
    <t>b21173308</t>
  </si>
  <si>
    <t>Three children dressed for an occasion</t>
  </si>
  <si>
    <t>Studio photograph of three little children dressed for a special occasion in 1950. The girl is older and is wearing a long tiered dress and carries a posy. The two little boys are dressed in waistcoats and tails and carry gloves.</t>
  </si>
  <si>
    <t>Furness, G.;Children -- South Australia -- Mount Gambier;Children -- Clothing -- South Australia -- Mount Gambier</t>
  </si>
  <si>
    <t>b21173321</t>
  </si>
  <si>
    <t>J. Foster</t>
  </si>
  <si>
    <t>Photograph of two ladies wearing spotted dresses sitting in the studio in Mount Gambier in 1950. One of the ladies may be J. Foster.</t>
  </si>
  <si>
    <t>Foster, J.</t>
  </si>
  <si>
    <t>b21173333</t>
  </si>
  <si>
    <t>Drougenelle family</t>
  </si>
  <si>
    <t>Photograph of Mr and Mrs Drougenelle and their adult son and daughter taken in the studio in Mount Gambier in 1950.</t>
  </si>
  <si>
    <t>Drougenelle, R.M;Drougenelle (Family)</t>
  </si>
  <si>
    <t>b21173345</t>
  </si>
  <si>
    <t>R.M. Doody</t>
  </si>
  <si>
    <t>Photograph of a young man and woman taken in the studio in Mount Gambier in 1950. One of the two may be R.M. Doody. The woman is wearing a hat with flowers.</t>
  </si>
  <si>
    <t>Doody, R. M.;Clothing and dress -- South Australia -- Mount Gambier</t>
  </si>
  <si>
    <t>b21173357</t>
  </si>
  <si>
    <t>Drewitt children</t>
  </si>
  <si>
    <t>Studio photograph of three sisters and a brother from the Drewitt family taken in 1950. Their ages range from around three to nine.</t>
  </si>
  <si>
    <t>Drewitt, M. E.;Children -- South Australia -- Mount Gambier;Children -- Clothing -- South Australia -- Mount Gambier</t>
  </si>
  <si>
    <t>b21173370</t>
  </si>
  <si>
    <t>Duigan children</t>
  </si>
  <si>
    <t>Photograph of three children from the Duigan family taken in the studio in Mount Gambier in 1950. The older sister is Anne, the child holding the teddy bear is Michael, the baby Richard.</t>
  </si>
  <si>
    <t>Duigan (Family);Children -- South Australia -- Mount Gambier;Children -- Clothing -- South Australia -- Mount Gambier</t>
  </si>
  <si>
    <t>b21173394</t>
  </si>
  <si>
    <t>Clayson family</t>
  </si>
  <si>
    <t>Studio photograph of Mr and Mrs Clayson and their two sons taken in 1950. The boys are approximately five years old and nine months old.</t>
  </si>
  <si>
    <t>Clayson, W.;Clayson (Family)</t>
  </si>
  <si>
    <t>b21173400</t>
  </si>
  <si>
    <t>Clayson children</t>
  </si>
  <si>
    <t>Studio photograph of the two Clayson brothers who are approximately five years old and nine months old. See also BRG 347/6038.</t>
  </si>
  <si>
    <t>Clayson, W.;Children -- South Australia -- Mount Gambier</t>
  </si>
  <si>
    <t>b21173412</t>
  </si>
  <si>
    <t>Mrs Walker and her children</t>
  </si>
  <si>
    <t>Studio photograph of Mrs Walker and her daughter and son taken in 1950. The girl is approximately seven years old and the boy is approximately four years old. Mrs Walker is wearing a dark dress with stitched or embroidered flowers across the front.</t>
  </si>
  <si>
    <t>Walker, J., Mrs;Clothing and dress -- South Australia -- Mount Gambier;Children -- Clothing -- South Australia -- Mount Gambier</t>
  </si>
  <si>
    <t>b21173424</t>
  </si>
  <si>
    <t>Copping children</t>
  </si>
  <si>
    <t>Photograph of two girls and a boy from the Copping family taken in the studio in 1950. The girls are approximately five years old and seven months old and their brother is approximately three years old.</t>
  </si>
  <si>
    <t>Copping, L. W.;Children -- South Australia -- Mount Gambier;Children -- Clothing -- South Australia -- Mount Gambier</t>
  </si>
  <si>
    <t>b21173436</t>
  </si>
  <si>
    <t>C.J. Edwards</t>
  </si>
  <si>
    <t>Photograph of a young man and woman taken in the studio in Mount Gambier in 1950. One of the two may be C.J. Edwards.</t>
  </si>
  <si>
    <t>Edwards, C. J.</t>
  </si>
  <si>
    <t>b21173448</t>
  </si>
  <si>
    <t>Two young boys in white jackets and bow ties</t>
  </si>
  <si>
    <t>Photograph of two young boys wearing white jackets and bow ties. One of them may be J. Edwards and they are approximately thirteen and ten years old.</t>
  </si>
  <si>
    <t>Edwards, J.;Children -- Clothing -- South Australia -- Mount Gambier</t>
  </si>
  <si>
    <t>b2117345x</t>
  </si>
  <si>
    <t>H.E. Woodligh</t>
  </si>
  <si>
    <t>Photograph of Mrs Woodligh and her daughter taken in the studio in 1950.  The girl is approximately twelve years old.</t>
  </si>
  <si>
    <t>Woodligh, H. E.;Mothers and daughters -- South Australia -- Mount Gambier</t>
  </si>
  <si>
    <t>b21233366</t>
  </si>
  <si>
    <t>F.A. Wicker</t>
  </si>
  <si>
    <t>Photograph of Mrs Wicker with her baby standing on her lap taken in the studio in 1950.</t>
  </si>
  <si>
    <t>Wicker, F. A.;Mothers -- South Australia -- Mount Gambier;Infants -- South Australia -- Mount Gambier</t>
  </si>
  <si>
    <t>b21173461</t>
  </si>
  <si>
    <t>Wilkinson children</t>
  </si>
  <si>
    <t>Photograph of Dorothy, Stuart, Robert and Malcolm Wilkinson taken in the studio in 1950. Their ages range from about three to seven. The family lived near Naracoorte and Mt. Burr.</t>
  </si>
  <si>
    <t>Wilkinson (Family);Children -- South Australia -- Mount Gambier</t>
  </si>
  <si>
    <t>b21173473</t>
  </si>
  <si>
    <t>Young Walker sisters</t>
  </si>
  <si>
    <t>Photograph of the Walker sisters taken in the studio in Mount Gambier in 1950. They are approximately four years old and nine months old. The baby is wearing a knitted dress.</t>
  </si>
  <si>
    <t>Walker, G. W.;Children -- South Australia -- Mount Gambier;Children -- Clothing -- South Australia -- Mount Gambier</t>
  </si>
  <si>
    <t>b2123338x</t>
  </si>
  <si>
    <t>Wilson children</t>
  </si>
  <si>
    <t>Photograph of four teenage children from the Wilson family taken in the studio in Mount Gambier in 1950. There are three girls and a boy.</t>
  </si>
  <si>
    <t>Wilson, E. R.;Children -- South Australia -- Mount Gambier;Children -- Clothing -- South Australia -- Mount Gambier</t>
  </si>
  <si>
    <t>b21173485</t>
  </si>
  <si>
    <t>Frank Wright</t>
  </si>
  <si>
    <t>Photograph of Frank Wright and a woman taken in the studio in Mount Gambier in 1950.</t>
  </si>
  <si>
    <t>Wright, Frank</t>
  </si>
  <si>
    <t>b21173497</t>
  </si>
  <si>
    <t>R.J. Turner</t>
  </si>
  <si>
    <t>Photograph of a young couple, one of which is R.J. Turner taken in the studio in Mount Gambier in 1950.</t>
  </si>
  <si>
    <t>Turner, R. J.</t>
  </si>
  <si>
    <t>b21173503</t>
  </si>
  <si>
    <t>Dean and Ann Tompkins</t>
  </si>
  <si>
    <t>1 photograph : negative, acetate, black and white   11.6 x 16 cm;still image sti rdacontent;other x rdamedia;other nz rdacarrier</t>
  </si>
  <si>
    <t>Photograph of Dean Tompkins and his baby sister Ann, taken in the studio in Mount Gambier in 1950. Dean is approximately five years old and Ann, who has a curl on the top of her head, is approximately seven months old. The baby is wearing a knitted dress and booties. Ann and Dean are the children of Robert Edward Tompkins and wife Rhonda (nee Battye), of Millicent.</t>
  </si>
  <si>
    <t>Tompkins, Dean, 1942-;Tompkins, Ann;Infants -- South Australia -- Mount Gambier;Children -- Clothing -- South Australia -- Mount Gambier</t>
  </si>
  <si>
    <t>b21173515</t>
  </si>
  <si>
    <t>Tregenza children</t>
  </si>
  <si>
    <t>Photograph of an older sister and her two younger brothers taken in 1950. The two older children are wearing their school uniforms.</t>
  </si>
  <si>
    <t>Tregenza, L.;Children -- South Australia -- Mount Gambier;Children -- Clothing -- South Australia -- Mount Gambier</t>
  </si>
  <si>
    <t>b21173527</t>
  </si>
  <si>
    <t>Young Taylor brothers</t>
  </si>
  <si>
    <t>Studio photograph of three brothers from the Taylor family, aged from about ten to fifteen. They are all wearing jackets with lapel pins and ties.</t>
  </si>
  <si>
    <t>Taylor, A. J.;Children -- South Australia -- Mount Gambier</t>
  </si>
  <si>
    <t>b21173539</t>
  </si>
  <si>
    <t>McKay family</t>
  </si>
  <si>
    <t>Studio photograph of four generations of the one family. Represented are the great grandmother, grandmother, mother and baby. One of these may be R.R. McKay.</t>
  </si>
  <si>
    <t>McKay, R. R.;McKay (Family)</t>
  </si>
  <si>
    <t>b21173540</t>
  </si>
  <si>
    <t>A.C. McCourt</t>
  </si>
  <si>
    <t>Photograph of Mr and Mrs McCourt and their daughter and son taken in the studio in Mount Gambier in 1950.</t>
  </si>
  <si>
    <t>McCourt, A. C.;McCourt (Family)</t>
  </si>
  <si>
    <t>b21173552</t>
  </si>
  <si>
    <t>L. McEvoy</t>
  </si>
  <si>
    <t>Photograph of a young man and woman taken in the studio in Mount Gambier in 1950. One of the two may be L. McEvoy.</t>
  </si>
  <si>
    <t>McEvoy, L.</t>
  </si>
  <si>
    <t>b21173564</t>
  </si>
  <si>
    <t>S. McCullough</t>
  </si>
  <si>
    <t>Photograph of a man and a woman taken in the studio in Mount Gambier in 1950. One of the two may be S. McCullough.</t>
  </si>
  <si>
    <t>McCullough, S.</t>
  </si>
  <si>
    <t>b21173576</t>
  </si>
  <si>
    <t>Hogg children</t>
  </si>
  <si>
    <t>Photograph of the three brothers from the Hogg family taken in the studio in Mount Gambier in 1950. Their ages range from ten to fourteen. They are all wearing jackets with lapel badges and ties.</t>
  </si>
  <si>
    <t>Hogg, A. T.;Children -- South Australia -- Mount Gambier</t>
  </si>
  <si>
    <t>b21173588</t>
  </si>
  <si>
    <t>Young Hunt sisters</t>
  </si>
  <si>
    <t>Photograph of three teenage sisters from the Hunt family taken in the studio in Mount Gambier in 1950. They are wearing similar striped dresses with collars.</t>
  </si>
  <si>
    <t>Hunt, V. D.;Hunt (Family);Children -- South Australia -- Mount Gambier</t>
  </si>
  <si>
    <t>b2117359x</t>
  </si>
  <si>
    <t>Hutchesson children</t>
  </si>
  <si>
    <t>Photograph of the children of Ernest and Margaret (nee Kerr) Hutchesson, (from left) Graham, Jennifer, Douglas and Beverley. The girls are wearing smocked dresses and the boys are wearing shorts.</t>
  </si>
  <si>
    <t>Hutchesson (Family);Children -- South Australia -- Mount Gambier;Children -- Clothing -- South Australia -- Mount Gambier</t>
  </si>
  <si>
    <t>b21173606</t>
  </si>
  <si>
    <t>L. Millard</t>
  </si>
  <si>
    <t>Photograph of a young lady and young man, one of which may be L. Millard, taken in the studio in Mount Gambier in 1950.</t>
  </si>
  <si>
    <t>Millard, L.</t>
  </si>
  <si>
    <t>b21173618</t>
  </si>
  <si>
    <t>J.B. Murray</t>
  </si>
  <si>
    <t>Photograph of two girls approximately eleven and thirteen years old taken in the studio in Mount Gambier in 1950. One or both of the girls may be from the Murray family.</t>
  </si>
  <si>
    <t>Murray, J. B.;Children -- South Australia -- Mount Gambier</t>
  </si>
  <si>
    <t>b2117362x</t>
  </si>
  <si>
    <t>Milne children</t>
  </si>
  <si>
    <t>Photograph of a brother and sister from the Milne family taken in the studio in Mount Gambier in 1950. The boy is approximately five years old and his sister is approximately one year old.</t>
  </si>
  <si>
    <t>Milne, R. S.;Children -- South Australia -- Mount Gambier</t>
  </si>
  <si>
    <t>b21173631</t>
  </si>
  <si>
    <t>Mullan family</t>
  </si>
  <si>
    <t>Photograph of Ruth Mullan, Barry Mullan, Melva Mullan, Ronald Mullan and Valma Mullan taken in the studio in Mount Gambier in 1950.</t>
  </si>
  <si>
    <t>Mullan, R. J.;Mullan (Family);Children -- Clothing -- South Australia -- Mount Gambier</t>
  </si>
  <si>
    <t>b21173643</t>
  </si>
  <si>
    <t>McIntyre sisters</t>
  </si>
  <si>
    <t>Photograph of Miss McIntyre holding her baby sister in the studio in Mount Gambier in 1950. The girls are approximately five years old and one year old.</t>
  </si>
  <si>
    <t>McIntyre, W. J.;Children -- Clothing -- South Australia -- Mount Gambier</t>
  </si>
  <si>
    <t>b21173655</t>
  </si>
  <si>
    <t>Three children from the Wright family</t>
  </si>
  <si>
    <t>Studio photograph of two boys with their baby sister who is wearing a long christening gown. The boys are approximately nine and three years old.</t>
  </si>
  <si>
    <t>Wright (Family);Children -- Clothing -- South Australia -- Mount Gambier</t>
  </si>
  <si>
    <t>b21173667</t>
  </si>
  <si>
    <t>Telfer children</t>
  </si>
  <si>
    <t>Photograph of a sister and her two brothers taken in the studio in Mount Gambier in 1950. The girl is approximately five years old and her brothers are approximately three years old and one year old.</t>
  </si>
  <si>
    <t>Telfer, G. M.;Children -- South Australia -- Mount Gambier</t>
  </si>
  <si>
    <t>b21173679</t>
  </si>
  <si>
    <t>Temby sisters</t>
  </si>
  <si>
    <t>Photograph of an older sister seated with her younger sister standing behind her. Their ages are possibly fourteen and five years old. The younger girl is wearing a smocked dress and her sister is wearing a belted dress with a string-tie collar.</t>
  </si>
  <si>
    <t>Temby, J.;Children -- Clothing -- South Australia -- Mount Gambier</t>
  </si>
  <si>
    <t>b21173680</t>
  </si>
  <si>
    <t>Mrs Tregoning and her son</t>
  </si>
  <si>
    <t>Studio photograph of Mrs Tregoning and her son who is approximately five years old. The boy is holding a stuffed toy dog.</t>
  </si>
  <si>
    <t>Tregoning, G. H.;Mothers and sons -- South Australia -- Mount Gambier</t>
  </si>
  <si>
    <t>b21173692</t>
  </si>
  <si>
    <t>Dean children</t>
  </si>
  <si>
    <t>Photograph of a blond brother and sister taken in the studio in Mount Gambier in 1950. The boy is approximately four years old and his sister is approximately eighteen months old. The girl is holding a stuffed toy dog.</t>
  </si>
  <si>
    <t>Dean, D. E.;Children -- South Australia -- Mount Gambier</t>
  </si>
  <si>
    <t>b21173709</t>
  </si>
  <si>
    <t>A young man and lady</t>
  </si>
  <si>
    <t>Photograph of a young man and lady taken in the studio in Mount Gambier in 1950. One of them may be W. Thomson. The lady has some flowers pinned to her jacket.</t>
  </si>
  <si>
    <t>Thomson, W.</t>
  </si>
  <si>
    <t>b21173710</t>
  </si>
  <si>
    <t>Clark family children</t>
  </si>
  <si>
    <t>Photograph of three girls and a boy from the Clark family taken in the studio in Mount Gambier in 1950. The boy is wearing a suit and tie. The girls are wearing velvet dresses with lace and velvet colllars.</t>
  </si>
  <si>
    <t>Clark, M.;Children -- South Australia -- Mount Gambier;Children -- Clothing -- South Australia -- Mount Gambier</t>
  </si>
  <si>
    <t>b21173722</t>
  </si>
  <si>
    <t>Cochrane children</t>
  </si>
  <si>
    <t>Studio photograph of Lynnette, John and Dianne Cockrum of Millicent. The girls are wearing matching velvet and lace dresses and hair ribbons.</t>
  </si>
  <si>
    <t>Cochrane (Family);Children -- South Australia -- Mount Gambier;Children -- Clothing -- South Australia -- Mount Gambier</t>
  </si>
  <si>
    <t>b21173734</t>
  </si>
  <si>
    <t>Carraill brothers</t>
  </si>
  <si>
    <t>Photograph of two brothers approximately two and four years old. They are sitting back to back and wearing smocked shirts.</t>
  </si>
  <si>
    <t>Carraill, S.;Children -- South Australia -- Mount Gambier;Children -- Clothing -- South Australia -- Mount Gambier</t>
  </si>
  <si>
    <t>b21173746</t>
  </si>
  <si>
    <t>Little Burdon sisters</t>
  </si>
  <si>
    <t>Studio photograph of two little girls from the Burdon family who are approximately three years old and eighteen months old. They have blonde curly hair and are wearing smocked dresses.</t>
  </si>
  <si>
    <t>Burdon, F.;Children -- South Australia -- Mount Gambier;Children -- Clothing -- South Australia -- Mount Gambier</t>
  </si>
  <si>
    <t>b21173758</t>
  </si>
  <si>
    <t>W. Lattin</t>
  </si>
  <si>
    <t>Photograph of an older man and woman taken in the studio in Mount Gambier in 1950. One of the two may be W. lattin.</t>
  </si>
  <si>
    <t>Lattin, W.</t>
  </si>
  <si>
    <t>b2117376x</t>
  </si>
  <si>
    <t>R. Ladlow</t>
  </si>
  <si>
    <t>Photograph of a man and a lady taken in the studio in Mount Gambier in 1950. One of them may be R. Ladlow.</t>
  </si>
  <si>
    <t>Ladlow, R.</t>
  </si>
  <si>
    <t>b21173771</t>
  </si>
  <si>
    <t>Lawrence children</t>
  </si>
  <si>
    <t>Photograph of a brother and sister from the Lawrence family taken in the studio in Mount Gambier in 1950. They are teenagers.</t>
  </si>
  <si>
    <t>Lawrence, H.;Children -- South Australia -- Mount Gambier</t>
  </si>
  <si>
    <t>b21173783</t>
  </si>
  <si>
    <t>Little Ashby sisters</t>
  </si>
  <si>
    <t>Photograph of two little girls from the Ashby family taken inn the studio. They are Suzanne (approximately nine months old) and Shirley (approximately five years old).</t>
  </si>
  <si>
    <t>Ashby, C. J.;Children -- South Australia -- Mount Gambier</t>
  </si>
  <si>
    <t>b21173795</t>
  </si>
  <si>
    <t>Mrs Barrows and children</t>
  </si>
  <si>
    <t>Photograph of Mrs Barrows with her three daughters and two sons taken in the studio in 1950. Their ages range from the baby up to a girl who is possibly eight years old. The girls are wearing smocked dresses with collars.</t>
  </si>
  <si>
    <t>Barrows, B.;Barrows (Family);Children -- Clothing -- South Australia -- Mount Gambier</t>
  </si>
  <si>
    <t>b21173801</t>
  </si>
  <si>
    <t>Mrs Brice and her daughter</t>
  </si>
  <si>
    <t>Photograph of Mrs Brice with her baby daughter standing on her lap taken in the studio in Mount Gambier in 1950.</t>
  </si>
  <si>
    <t>Brice, R.;Mothers and daughters -- South Australia -- Mount Gambier;Children -- Clothing -- South Australia -- Mount Gambier</t>
  </si>
  <si>
    <t>b21233494</t>
  </si>
  <si>
    <t>Bawden children</t>
  </si>
  <si>
    <t>Studio photograph of the three Bawden children in 1950. The two girls are approximately seven and three and their brother is approximately five years old. See also BRG 347/6083.</t>
  </si>
  <si>
    <t>Bawden, R. J.;Children -- South Australia -- Mount Gambier</t>
  </si>
  <si>
    <t>b21173813</t>
  </si>
  <si>
    <t>Studio photograph of the three Bawden children in 1950. The two girls are approximately seven and three and their brother is approximately five years old. See also BRG 347/6082.</t>
  </si>
  <si>
    <t>b21173825</t>
  </si>
  <si>
    <t>Kentish children</t>
  </si>
  <si>
    <t>Studio photograph of the two girls and two boys from the Kentish family taken in 1950. The boys are approximately eleven and thirteen years old and their sisters are approximately four and five years old. They are looking at a mechanical toy.</t>
  </si>
  <si>
    <t>Kentish, C. H.;Children -- South Australia -- Mount Gambier</t>
  </si>
  <si>
    <t>b21173837</t>
  </si>
  <si>
    <t>Photograph of a mother (possibly Mrs Jennings) with her son who is approximately five years old taken in the studio in Mount Gambier in 1950.</t>
  </si>
  <si>
    <t>Jennings, M.;Mothers and sons -- South Australia -- Mount Gambier</t>
  </si>
  <si>
    <t>b21173849</t>
  </si>
  <si>
    <t>Photograph of two boys and a girl from the Hutchesson family taken in the studio in Mount Gambier in 1950. The children have a toy car set and stuffed dog.</t>
  </si>
  <si>
    <t>Hutchesson, H. T.;Children -- South Australia -- Mount Gambier</t>
  </si>
  <si>
    <t>b21173850</t>
  </si>
  <si>
    <t>A mother and her baby son</t>
  </si>
  <si>
    <t>Studio photograph of a mother (possibly Mrs Glynn) and her baby son who is approximately six months old and is wearing a smocked romper suit.</t>
  </si>
  <si>
    <t>Glynn, M.;Children -- Clothing -- South Australia -- Mount Gambier</t>
  </si>
  <si>
    <t>b21173862</t>
  </si>
  <si>
    <t>James children</t>
  </si>
  <si>
    <t>Studio photograph of a brother and sister from the James family taken in the studio in Mount Gambier in 1950. The boy is approximately three years old and his sister is approximately ten months old.</t>
  </si>
  <si>
    <t>James (Family);Children -- South Australia -- Mount Gambier;Children -- Clothing -- South Australia -- Mount Gambier</t>
  </si>
  <si>
    <t>b21173874</t>
  </si>
  <si>
    <t>Jones children</t>
  </si>
  <si>
    <t>Photograph of two girls and a boy from the Jones family taken in the studio in Mount Gambier in 1950. The girls are approximately  fourteen and ten years old and their brother is approximately six years old.</t>
  </si>
  <si>
    <t>Jones (Family);Children -- South Australia -- Mount Gambier</t>
  </si>
  <si>
    <t>b21173886</t>
  </si>
  <si>
    <t>M.R. Hills</t>
  </si>
  <si>
    <t>Photograph of a man and a woman taken in the studio in Mount Gambier in 1950. One of the two may be M.R. Hills.</t>
  </si>
  <si>
    <t>Hills, M. R.</t>
  </si>
  <si>
    <t>b21175640</t>
  </si>
  <si>
    <t>Ward siblings</t>
  </si>
  <si>
    <t>Photograph of Charmaine and Edwin Ward of Millicent taken in the studio in Mount Gambier in 1950. The laughing baby, Charmaine, born 29 September 1949, is approximately nine months old and has her two front teeth. The boy, Edwin, aged 6, born 27 August 1943, is wearing a suit and the baby a pretty white dress. Children of Thomas Walter Ward and Jean Martha Minna (nee Ey).</t>
  </si>
  <si>
    <t>Ward, Charmaine, 1949-;Ward, Edwin, 1943-;Children -- South Australia -- Millicent.</t>
  </si>
  <si>
    <t>b21176279</t>
  </si>
  <si>
    <t>McCormick brothers</t>
  </si>
  <si>
    <t>Photograph of the three sons of R.C. McCormick - (from left) Ken, Colin and Ivan McCormack.</t>
  </si>
  <si>
    <t>McCormick (Family)</t>
  </si>
  <si>
    <t>b21176280</t>
  </si>
  <si>
    <t>H.T. White</t>
  </si>
  <si>
    <t>Photograph of two ladies and a young child who could possibly be aged three years. One of the women is assumed to be H.T. White. The photograph was taken in Mount Gambier in 1950.</t>
  </si>
  <si>
    <t>White, H. T.</t>
  </si>
  <si>
    <t>b21176292</t>
  </si>
  <si>
    <t>Wapling siblings</t>
  </si>
  <si>
    <t>Photograph of a brother and sister from the L. Wapling family taken in the studio in Mount Gambier in 1950. The boy is approximately five years old and his little sister is possibly three years old.</t>
  </si>
  <si>
    <t>Wapling (Family)</t>
  </si>
  <si>
    <t>b21176309</t>
  </si>
  <si>
    <t>Walker siblings</t>
  </si>
  <si>
    <t>Photograph of a brother and sister from the N. Walker family taken in the studio in Mount Gambier in 1950. The boy is approximately four years old and his little sister is possibly one year old.</t>
  </si>
  <si>
    <t>Walker (Family)</t>
  </si>
  <si>
    <t>b21176310</t>
  </si>
  <si>
    <t>Waples siblings</t>
  </si>
  <si>
    <t>Photograph of a brother and sister from the R.J. Waples family taken in the studio in Mount Gambier in 1950. The boy is approximately three years old and his baby sister is possibly seven months old. The little boy is wearing a sailor suit.</t>
  </si>
  <si>
    <t>Waples (Family)</t>
  </si>
  <si>
    <t>b21176322</t>
  </si>
  <si>
    <t>Whitehead children</t>
  </si>
  <si>
    <t>Photograph of a brother and sister from the G.W. Whitehead family taken in the studio in Mount Gambier in 1950. The girl is approximately four years old and her baby brother is approximately nine months old.</t>
  </si>
  <si>
    <t>Whitehead (Family)</t>
  </si>
  <si>
    <t>b21176346</t>
  </si>
  <si>
    <t>Mr &amp; Mrs C.G. Towill</t>
  </si>
  <si>
    <t>Photograph of Mr and Mrs C.G. Towill taken in the studio in Mount Gambier in 1950. They are dressed for a special occasion as Mrs Towill is wearing a veiled hat.</t>
  </si>
  <si>
    <t>Towill, C. G., Mr;Towill, C. G., Mrs</t>
  </si>
  <si>
    <t>b21176358</t>
  </si>
  <si>
    <t>Brother and sister</t>
  </si>
  <si>
    <t>Photograph of two siblings taken in the studio in Mount Gambier in 1950. The boy is approximately four years old and his sister is approximately two years old.</t>
  </si>
  <si>
    <t>Children -- South Australia -- Mount Gambier</t>
  </si>
  <si>
    <t>b21176371</t>
  </si>
  <si>
    <t>Tompkins children</t>
  </si>
  <si>
    <t>Photograph of three children of Robert Edward and Rhonda Tompkins of Millicent taken in the studio in Mount Gambier in 1950. Dean and his younger sister Ann are possibly aged five and four years old and their baby sister Judith is approximately seven months old.</t>
  </si>
  <si>
    <t>Tompkins, Dean, 1942-;Tompkins, Ann;Tompkins, Judith;Tompkins (Family);Infants -- South Australia -- Mount Gambier.;Children -- Clothing -- South Australia -- Mount Gambier.</t>
  </si>
  <si>
    <t>b21176383</t>
  </si>
  <si>
    <t>Telford children</t>
  </si>
  <si>
    <t>Photograph of a brother and sister from the R.C. Telford family taken in the studio in Mount Gambier in 1950. The boy is approximately four years old and his sister is approximately eleven months old.</t>
  </si>
  <si>
    <t>Telford (Family)</t>
  </si>
  <si>
    <t>b21176395</t>
  </si>
  <si>
    <t>Sparrow siblings</t>
  </si>
  <si>
    <t>Photograph of Peter Victor Sparrow and Lorayne Sparrow, children of Victor Frederick Sparrow, taken in the studio in Mount Gambier in 1950. The girl is approximately seven years old and her baby brother is approximately eleven months old.</t>
  </si>
  <si>
    <t>Sparrow (Family)</t>
  </si>
  <si>
    <t>b21176401</t>
  </si>
  <si>
    <t>Schulz children</t>
  </si>
  <si>
    <t>Photograph of a brother and sister from the C.A.H Schulz family taken in the studio in Mount Gambier in 1950. The boy is approximately five years old and his baby sister is approximately eighteen months old.</t>
  </si>
  <si>
    <t>Schultz (Family)</t>
  </si>
  <si>
    <t>b21176413</t>
  </si>
  <si>
    <t>Sewart children</t>
  </si>
  <si>
    <t>Photograph of a brother and sister from the J. Sewart family taken in the studio in Mount Gambier in 1950. The boy is approximately four years old and his baby sister is approximately ten months old.</t>
  </si>
  <si>
    <t>Sewart (Family)</t>
  </si>
  <si>
    <t>b21176425</t>
  </si>
  <si>
    <t>Scanlon brothers</t>
  </si>
  <si>
    <t>Photograph of the two Scanlon brothers (children of A. Scanlon) taken in the studio in Mount Gambier in 1950. They are approximately four and two years old.</t>
  </si>
  <si>
    <t>Scanlon (Family)</t>
  </si>
  <si>
    <t>b21227317</t>
  </si>
  <si>
    <t>Smith siblings</t>
  </si>
  <si>
    <t>Photograph of the Smith siblings, children of W.C.F. Smith, taken in the studio in Mount Gambier in 1950. The boy is about four years old and is supporting his younger sister who is seated on a table.</t>
  </si>
  <si>
    <t>Smith (Family)</t>
  </si>
  <si>
    <t>b21176437</t>
  </si>
  <si>
    <t>Photograph of the children of W.C.F. Smith, taken in the studio in Mount Gambier in 1950. The boy is approximately four years old and his sister is approximately eleven months old.</t>
  </si>
  <si>
    <t>b21176449</t>
  </si>
  <si>
    <t>Saffin family</t>
  </si>
  <si>
    <t>Photograph of the Saffin brothers, children of F.R. Saffin, taken in the studio in Mount Gambier in 1950. The boys are approximately five and three years old and are playing with a model train set.</t>
  </si>
  <si>
    <t>Saffin (Family)</t>
  </si>
  <si>
    <t>b21176450</t>
  </si>
  <si>
    <t>Mr &amp; Mrs A.A. Staude</t>
  </si>
  <si>
    <t>Photograph of Mr and Mrs A.A. Staude taken in the studio in Mount Gambier in 1950.</t>
  </si>
  <si>
    <t>Staude, A. A.</t>
  </si>
  <si>
    <t>b21176462</t>
  </si>
  <si>
    <t>Smith brothers</t>
  </si>
  <si>
    <t>Photograph of two brothers from the G.V. Smith family. The boys are approximately eight and five years old.</t>
  </si>
  <si>
    <t>b21176474</t>
  </si>
  <si>
    <t>Stevens siblings</t>
  </si>
  <si>
    <t>Photograph of two siblings from the M. Stevens family taken in the studio in Mount Gambier in 1950. The girl is approximately four years old and has short curly blonde hair.  Her baby brother is approximately ten months old.</t>
  </si>
  <si>
    <t>Stevens (Family)</t>
  </si>
  <si>
    <t>b21176486</t>
  </si>
  <si>
    <t>Stanke children</t>
  </si>
  <si>
    <t>Photograph of two siblings from the J. Stanke family taken in the studio in Mount Gambier in 1950. The older brother is approximately three years old and the baby who is approximately six months old is resting next to him.  The baby is wearing a long Christening gown.</t>
  </si>
  <si>
    <t>Stanke (Family)</t>
  </si>
  <si>
    <t>b21176498</t>
  </si>
  <si>
    <t>Schultz siblings</t>
  </si>
  <si>
    <t>Photograph of children of I.M. Schultz, showing an older brother with his younger twin sisters taken in the studio in Mount Gambier in 1950.  The boy is approximately nine years old and the girls are approximately five years old.</t>
  </si>
  <si>
    <t>b21176504</t>
  </si>
  <si>
    <t>Roberts sisters</t>
  </si>
  <si>
    <t>Photograph of Jill, Pam and Cheryl from the J. Roberts family taken in the studio in Mount Gambier in 1950.</t>
  </si>
  <si>
    <t>Roberts (Family)</t>
  </si>
  <si>
    <t>b21176516</t>
  </si>
  <si>
    <t>Spain brothers</t>
  </si>
  <si>
    <t>Photograph of the two Spain adult brothers taken in the studio in Mount Gambier in 1950. One is possibly F.C. Spain.</t>
  </si>
  <si>
    <t>Spain (Family)</t>
  </si>
  <si>
    <t>b21176528</t>
  </si>
  <si>
    <t>Mrs Rose with her child</t>
  </si>
  <si>
    <t>Photograph of Mrs A. Rose holding her baby in the studio in Mount Gambier in 1950. The baby is approximately five months old.</t>
  </si>
  <si>
    <t>Rose, A.</t>
  </si>
  <si>
    <t>b2117653x</t>
  </si>
  <si>
    <t>Steinborner sisters</t>
  </si>
  <si>
    <t>Photograph of the two Steinborner sisters, children of C.T. Steinborner, taken in the studio in Mount Gambier in 1950. The girls are approximately nine and one year old.</t>
  </si>
  <si>
    <t>Steinborner (Family)</t>
  </si>
  <si>
    <t>b21176541</t>
  </si>
  <si>
    <t>Photograph of R.R. Rymill's three children, taken in the studio in Mount Gambier in 1950.  The girl is approximately ten years old and her brothers are approximately seven years and two years old.</t>
  </si>
  <si>
    <t>Rymill (Family)</t>
  </si>
  <si>
    <t>b21176553</t>
  </si>
  <si>
    <t>R.R. Rymill with his son</t>
  </si>
  <si>
    <t>Photograph of Mr Rymill holding his youngest son in Mount Gambier in 1950. Mr Rymill is wearing his ribbons on his Australian Army uniform.</t>
  </si>
  <si>
    <t>Rymill, R. R.</t>
  </si>
  <si>
    <t>b21176565</t>
  </si>
  <si>
    <t>A. Riley</t>
  </si>
  <si>
    <t>Photograph of two ladies wearing hats taken in the studio in Mount Gambier in 1950. The lady with the glasses is Mrs A. Riley, formerly Magdelene Dwyer of Mount Gambier. The other lady is Bernice Brown of Melbourne. The photograph was taken on the occasion of Magdalene Dwyer's wedding.</t>
  </si>
  <si>
    <t>Riley, A.</t>
  </si>
  <si>
    <t>b21176577</t>
  </si>
  <si>
    <t>Pratt brothers</t>
  </si>
  <si>
    <t>Photograph of the two Pratt brothers (D. Pratt) as adults taken in studio in Mount Gambier in 1950.</t>
  </si>
  <si>
    <t>Pratt, D.</t>
  </si>
  <si>
    <t>b21176589</t>
  </si>
  <si>
    <t>Summerfield siblings</t>
  </si>
  <si>
    <t>Photograph of two little children from the R.J. Summerfield family taken in the studio in Mount Gambier in 1950.  The children are close in age, approximately three and four years old.</t>
  </si>
  <si>
    <t>Summerfield (Family)</t>
  </si>
  <si>
    <t>b21176590</t>
  </si>
  <si>
    <t>b21176607</t>
  </si>
  <si>
    <t>O'Connor children</t>
  </si>
  <si>
    <t>Photograph of two girls and a boy from the T.P. O'Connor family taken in the studio in Mount Gambier in 1950. The girls are approximately nine and four years old and their brother is approximately seven years old. The older girl has long ringlets in her hair.</t>
  </si>
  <si>
    <t>O'Connor (Family)</t>
  </si>
  <si>
    <t>b21176619</t>
  </si>
  <si>
    <t>Mr &amp; Mrs U. Neverauskas</t>
  </si>
  <si>
    <t>Photograph of Mr and Mrs U. Neverauskas taken in the studio in Mount Gambier in 1950.</t>
  </si>
  <si>
    <t>Neverauskas, U.</t>
  </si>
  <si>
    <t>b21176620</t>
  </si>
  <si>
    <t>Duigan brothers</t>
  </si>
  <si>
    <t>Photograph of the two Duigan brothers, sons of H. Duigan, taken in the studio in Mount Gambier in 1950. The boys are approximately three and four years old.</t>
  </si>
  <si>
    <t>Duigan (Family)</t>
  </si>
  <si>
    <t>b21176632</t>
  </si>
  <si>
    <t>Vandpeer children</t>
  </si>
  <si>
    <t>Photograph of a little boy and his sister from the A.S. Vandpeer family. He is approximately four years old and the baby is possibly six months old.</t>
  </si>
  <si>
    <t>Vandpeer (Family)</t>
  </si>
  <si>
    <t>b21176644</t>
  </si>
  <si>
    <t>Dianne and Desmond Neale</t>
  </si>
  <si>
    <t>Photograph of Dianne (now Dianne Townsend) and her brother Desmond Neale.</t>
  </si>
  <si>
    <t>Neale, Desmond;Neale, Dianne</t>
  </si>
  <si>
    <t>b21176656</t>
  </si>
  <si>
    <t>Nicholls family</t>
  </si>
  <si>
    <t>Photograph of Mrs F. Nicholls with her son and daughter taken in the studio in Mount Gambier in 1950. The boy, who is wearing his school uniform, is approximately fourteen years old and the girl is approximately nine years old.</t>
  </si>
  <si>
    <t>Nicholls (Family)</t>
  </si>
  <si>
    <t>b21176668</t>
  </si>
  <si>
    <t>Main siblings</t>
  </si>
  <si>
    <t>Photograph of a brother and his sister from the J.M. Main family taken in the studio in Mount Gambier in 1950. The girl is possibly ten years old and the boy is possibly eight years old.</t>
  </si>
  <si>
    <t>Main (Family)</t>
  </si>
  <si>
    <t>b2117667x</t>
  </si>
  <si>
    <t>Mitchell sisters</t>
  </si>
  <si>
    <t>Photograph of the three daughters of William Spiller Mitchell, taken in the studio in Mount Gambier in 1950. The girls, from left, Heather Doone Mitchell, Elizabeth McLaren Mitchell and Helen Anne Mitchell are approximately four and three years old and the baby is possibly about one year old.</t>
  </si>
  <si>
    <t>Mitchell (Family)</t>
  </si>
  <si>
    <t>b21176681</t>
  </si>
  <si>
    <t>D. McPhail</t>
  </si>
  <si>
    <t>Photograph of Mr and Mrs D. McPhail taken in the studio in Mount Gambier in 1950. Mr McPhail is wearing the uniform of the Australian Army.  Mrs McPhail is wearing a distinctive brooch which features a horseshoe and a dog.</t>
  </si>
  <si>
    <t>McPhail, D.</t>
  </si>
  <si>
    <t>b21176693</t>
  </si>
  <si>
    <t>Wood siblings</t>
  </si>
  <si>
    <t>Photograph of four children from the E. Wood family. The two girls are approximately ten and six years old and the two boys are approximately thirteen and nine years old.</t>
  </si>
  <si>
    <t>Wood (Family)</t>
  </si>
  <si>
    <t>b21176711</t>
  </si>
  <si>
    <t>Medhurst famiily</t>
  </si>
  <si>
    <t>Photograph of three boys and two girls from the E. Medhurst family taken in the studio in Mount Gambier in 1950.  The ages of the children range from approximately seven to two years old.</t>
  </si>
  <si>
    <t>Medhurst (Family)</t>
  </si>
  <si>
    <t>b21176723</t>
  </si>
  <si>
    <t>Menzies family</t>
  </si>
  <si>
    <t>Photograph of Mr and Mrs A. Menzies and their son and daughter taken in Mount Gambier in 1950. The children are approximately seven and eight years old.</t>
  </si>
  <si>
    <t>Menzies (Family)</t>
  </si>
  <si>
    <t>b21176735</t>
  </si>
  <si>
    <t>W.J. White</t>
  </si>
  <si>
    <t>Photograph of a young man and woman, possibly a brother and sister.</t>
  </si>
  <si>
    <t>White, W. J.</t>
  </si>
  <si>
    <t>b21176747</t>
  </si>
  <si>
    <t>A. Weir</t>
  </si>
  <si>
    <t>Photograph of an older man and a young teenage boy, possibly a grandfather and his grandson from the A. Weir family. The photograph was taken in the studio in Mount Gambier in 1950.</t>
  </si>
  <si>
    <t>Weir, A.</t>
  </si>
  <si>
    <t>b21176759</t>
  </si>
  <si>
    <t>Teakle children</t>
  </si>
  <si>
    <t>Photograph of a boy and a girl from the A. Teakle family taken in the studio in Mount Gambier in 1950. The girl is approximately four years old and her brother is approximately two years old.</t>
  </si>
  <si>
    <t>Teakle (Family)</t>
  </si>
  <si>
    <t>b21176772</t>
  </si>
  <si>
    <t>Teakle family</t>
  </si>
  <si>
    <t>Photograph of two girls and two boys from the G.H. Teakle family taken in the studio in Mount Gambier in 1950. The girls have extremely blonde hair and are aged approximately fifteen and seven years old.  The boys are approximately thirteen and ten years old.</t>
  </si>
  <si>
    <t>b21176784</t>
  </si>
  <si>
    <t>Pfitzner sisters</t>
  </si>
  <si>
    <t>Photograph of the two little Pfitzner sisters (daughters of W.K. Pfitzner) taken in the studio in Mount Gambier in 1950. They are approximately two and four years old.</t>
  </si>
  <si>
    <t>Pfitzner (Family)</t>
  </si>
  <si>
    <t>b21176796</t>
  </si>
  <si>
    <t>Perryman sisters</t>
  </si>
  <si>
    <t>Photograph of two little girls from the R.J. Perryman family who are possibly twins and are aged approximately four years old.</t>
  </si>
  <si>
    <t>Perryman (Family)</t>
  </si>
  <si>
    <t>b21176814</t>
  </si>
  <si>
    <t>Mrs Pasfield with her baby</t>
  </si>
  <si>
    <t>Photograph of Mrs J.M. Pasfield holding her baby who is approximately three months old.</t>
  </si>
  <si>
    <t>Pasfield, J. M.</t>
  </si>
  <si>
    <t>b21176826</t>
  </si>
  <si>
    <t>Mrs Pettingill with her baby</t>
  </si>
  <si>
    <t>Photograph of Mrs D. Pettingill holding her baby who is approximately nine months old.</t>
  </si>
  <si>
    <t>Pettingill, D.</t>
  </si>
  <si>
    <t>b21176838</t>
  </si>
  <si>
    <t>Photograph of four children from the A.L. Norman family taken in the studio in Mount Gambier in 1950. The two older girls have long ringlets in their hair and are approximately nine and seven years old.  Their brother is approximately eight years old and the baby who is possibly ten months old also has lots of curls.</t>
  </si>
  <si>
    <t>Norman (Family)</t>
  </si>
  <si>
    <t>b2117684x</t>
  </si>
  <si>
    <t>Norgate children</t>
  </si>
  <si>
    <t>Photograph of a brother and sister from the A.R. Norgate family. The girl is approximately five years old and has thick long dark hair.  Her brother is approximately four years old.</t>
  </si>
  <si>
    <t>Norgate (Family)</t>
  </si>
  <si>
    <t>b21176851</t>
  </si>
  <si>
    <t>Nilsson family</t>
  </si>
  <si>
    <t>Photograph of the Nilsson family with the parents and young boy. The baby boy is approximately twelve months old.</t>
  </si>
  <si>
    <t>Nilsson (Family)</t>
  </si>
  <si>
    <t>b21176863</t>
  </si>
  <si>
    <t>H.L. Nicholson</t>
  </si>
  <si>
    <t>Photograph of two boys and a young man, possibly brothers taken in Mount Gambier in 1950. The photograph was commissioned by H.L. Nicholson.</t>
  </si>
  <si>
    <t>Nicholson, H. L.</t>
  </si>
  <si>
    <t>b21176875</t>
  </si>
  <si>
    <t>Uren family</t>
  </si>
  <si>
    <t>Photograph of Mr and Mrs R. Uren with their two daughters and son. A researcher has identified the people in this family photograph as: Essie Daphne Uren, nee Coombe (1914-1997)  Elizabeth Joy Uren (1947-1960)  standing: Margaret Ruth Uren (1939-)  Malcolm John Uren (1943-)  Francis Arthur Reginald 'Reg' Uren (1912-2002).  Reg was a school master.</t>
  </si>
  <si>
    <t>Uren (Family)</t>
  </si>
  <si>
    <t>b21176887</t>
  </si>
  <si>
    <t>Medhurst sisters</t>
  </si>
  <si>
    <t>Photograph of twin sisters Evelyn and Mavis Medhurst, daughters of James and Rita Medhurst of Glencoe East. The photograph was taken for their 21st birthday on 25 October 1951. They have short blonde wavy hair and are dressed identically.</t>
  </si>
  <si>
    <t>b21176899</t>
  </si>
  <si>
    <t>Marks children</t>
  </si>
  <si>
    <t>Photograph of the daughters of Mr &amp; Mrs K D Marks - Deirdre sitting and Shirley standing. The girls are aged approximately four and six years.</t>
  </si>
  <si>
    <t>Marks, Shirley;Marks, Deirdre</t>
  </si>
  <si>
    <t>b21176905</t>
  </si>
  <si>
    <t>Mann children</t>
  </si>
  <si>
    <t>Photograph of a brother and his baby sister from the K. Mann family taken in the studio in Mount Gambier in 1950. The boy is approximately four years old and the baby is approximately eight months old.</t>
  </si>
  <si>
    <t>Mann (Family)</t>
  </si>
  <si>
    <t>b21176917</t>
  </si>
  <si>
    <t>Muller family</t>
  </si>
  <si>
    <t>Photograph of Mrs S.M. Muller with her three sons and daughter taken in the studio in Mount Gambier in 1950. The two older children are wearing their school uniforms.</t>
  </si>
  <si>
    <t>Muller (Family)</t>
  </si>
  <si>
    <t>b21176929</t>
  </si>
  <si>
    <t>Moyle family</t>
  </si>
  <si>
    <t>Photograph of The Reverend and Mrs G. Moyle with their baby daughter taken in the studio in Mount Gambier in 1950. The baby is approximately six months old and wearing a smocked frock.</t>
  </si>
  <si>
    <t>Moyle (Family)</t>
  </si>
  <si>
    <t>b21176930</t>
  </si>
  <si>
    <t>Miller children</t>
  </si>
  <si>
    <t>Photograph of the children of A. Miller taken in the studio in Mount Gambier in 1950. The girl is approximately three years old and the baby is possibly seven months old.</t>
  </si>
  <si>
    <t>Miller (Family)</t>
  </si>
  <si>
    <t>b21176942</t>
  </si>
  <si>
    <t>Mansell children</t>
  </si>
  <si>
    <t>Photograph of the two boys and two girls from the D.J. Mansell family taken in the studio in Mount Gambier in 1950.</t>
  </si>
  <si>
    <t>Mansell (Family)</t>
  </si>
  <si>
    <t>b21176954</t>
  </si>
  <si>
    <t>Murphy children</t>
  </si>
  <si>
    <t>Photograph of a brother and sister from the R.J. Murphy family taken in Mount Gambier in 1950.  The boy is approximately three years old and the baby is possibly three months old, and both children are wearing smocked clothing.</t>
  </si>
  <si>
    <t>Murphy (Family)</t>
  </si>
  <si>
    <t>b21176966</t>
  </si>
  <si>
    <t>Menzies children</t>
  </si>
  <si>
    <t>Photograph of a brother and sister from the W.E. Menzies family taken in Mount Gambier in 1950.  The boy is approximately four years old and the baby is possibly three months old.</t>
  </si>
  <si>
    <t>b2117698x</t>
  </si>
  <si>
    <t>Kilsby children</t>
  </si>
  <si>
    <t>Photograph of two little brothers from the J.A. Kilsby family taken in the studio in Mount Gambier in 1950. They are approximately three years old and one year old.</t>
  </si>
  <si>
    <t>Kilsby (Family)</t>
  </si>
  <si>
    <t>b21176991</t>
  </si>
  <si>
    <t>Leamey children</t>
  </si>
  <si>
    <t>Photograph of three children from the Leamey family taken in Mount Gambier in 1950. The children are David, Geoffrey (baby) and older half brother John Bowles.</t>
  </si>
  <si>
    <t>Leamy (Family)</t>
  </si>
  <si>
    <t>b21177004</t>
  </si>
  <si>
    <t>Mrs Kilsby with her baby</t>
  </si>
  <si>
    <t>Photograph of Elsa Lo-ine Kilsby (nee Vorwerk) looking at her baby who is dressed in a long christening gown. According to a researcher, this picture appears to be Janet the first child, a girl. Elsa had six children  three girls and three boys.</t>
  </si>
  <si>
    <t>Kilsby, F. J.</t>
  </si>
  <si>
    <t>b21177028</t>
  </si>
  <si>
    <t>Januszewska family</t>
  </si>
  <si>
    <t>Photograph of a lady, two men and a little girl who is possibly two years old.  The lady is wearing a large veiled hat and gloves with her summer dress. The photograph was commissioned by H. Januszewska.</t>
  </si>
  <si>
    <t>Januszewska, H.</t>
  </si>
  <si>
    <t>b2117703x</t>
  </si>
  <si>
    <t>Johnston children</t>
  </si>
  <si>
    <t>Photograph of a brother and sister from the O. Johnston family taken in the studio in Mount Gambier in 1950. The boy is approximately three years old and his sister is approximately one year old.</t>
  </si>
  <si>
    <t>Johnston (Family)</t>
  </si>
  <si>
    <t>b21177041</t>
  </si>
  <si>
    <t>Janes children</t>
  </si>
  <si>
    <t>Photograph of two sisters and a brother from the A.L. Janes family taken in the studio in Mount Gambier in 1950. The girls are approximately six and three years old and the boy is approximately four years old.</t>
  </si>
  <si>
    <t>Janes (Family)</t>
  </si>
  <si>
    <t>b21177053</t>
  </si>
  <si>
    <t>Harris children</t>
  </si>
  <si>
    <t>Photograph of two sisters from the J.C. Harris family. The girls are approximately four and six years old and have curly hair and are wearing matching dresses.</t>
  </si>
  <si>
    <t>Harris (Family)</t>
  </si>
  <si>
    <t>b21177065</t>
  </si>
  <si>
    <t>Holloway children</t>
  </si>
  <si>
    <t>Photograph of two brothers and a sister from the L.C. Holloway family taken in Mount Gambier in 1950. The boys are approximately eight and four years old and their sister is approximately ten years old.</t>
  </si>
  <si>
    <t>Holloway (Family)</t>
  </si>
  <si>
    <t>b21177077</t>
  </si>
  <si>
    <t>Hunt family</t>
  </si>
  <si>
    <t>Photograph of two boys aged in their early teenage years, assumed to be brothers. The photograph was commissioned by R.T. Hunt.</t>
  </si>
  <si>
    <t>Hunt, R. T.</t>
  </si>
  <si>
    <t>b21177089</t>
  </si>
  <si>
    <t>Gerachty children</t>
  </si>
  <si>
    <t>Photograph of three boys and a girl from the M. Gerachty family taken in Mount Gambier in 1950. The ages of the boys range from four years to thirteen years and their sister is approximately ten years old.</t>
  </si>
  <si>
    <t>Gerachty (Family)</t>
  </si>
  <si>
    <t>b21177090</t>
  </si>
  <si>
    <t>Essex siblings</t>
  </si>
  <si>
    <t>Photograph of a brother and sister from the N. Essex family when they were in their early teenage years. The photograph was taken in Mount Gambier in 1950.</t>
  </si>
  <si>
    <t>Essex (Family)</t>
  </si>
  <si>
    <t>b21177107</t>
  </si>
  <si>
    <t>Fitzgerald children</t>
  </si>
  <si>
    <t>Photograph of two girls and two boys from the M.F. Fitzgerald family taken in Mount Gambier in 1950. The youngest boy is approximately three years old and the oldest girl is approximately eleven years old.</t>
  </si>
  <si>
    <t>Fitzgerald (Family)</t>
  </si>
  <si>
    <t>b21177119</t>
  </si>
  <si>
    <t>M.E. Fitzgerald</t>
  </si>
  <si>
    <t>Photograph of two ladies, possibly mother and daughter, one of whom is assumed to be M.E. Fitzgerald.</t>
  </si>
  <si>
    <t>Fitzgerald, M. E.</t>
  </si>
  <si>
    <t>b21177120</t>
  </si>
  <si>
    <t>Furniss family</t>
  </si>
  <si>
    <t>Photograph of Mr and Mrs R.R. Furniss family with their son and daughter taken in 1950.  The boy is approximately three years old and the girl about eighteen months old.</t>
  </si>
  <si>
    <t>Furniss (Family)</t>
  </si>
  <si>
    <t>b21227329</t>
  </si>
  <si>
    <t>Filmer siblings</t>
  </si>
  <si>
    <t>The three Filmer siblings, children of G.W. Filmer, in the Mount Gambier Studio. There are two boys, aged about eight and three, and their sister is aged about five.</t>
  </si>
  <si>
    <t>Filmer (Family)</t>
  </si>
  <si>
    <t>b21179220</t>
  </si>
  <si>
    <t>Mount Gambier Town Council</t>
  </si>
  <si>
    <t>Photograph of seventeen members of the Mount Gambier Town Council plus the Mayor taken in the studio in 1950.</t>
  </si>
  <si>
    <t>City council members -- South Australia -- Mount Gambier</t>
  </si>
  <si>
    <t>b21179712</t>
  </si>
  <si>
    <t>G. Slattery</t>
  </si>
  <si>
    <t>Photograph of Mr and Mrs Slattery and their four attendants on their wedding day in 1950.  The bride is wearing a lace jacket over a long satin dress with a train. Her long veil is exquisitely embroidered with flowers.  Her two bridesmaids, possibly her two sisters are wearing full dresses with full skirts and snoods over their hair.</t>
  </si>
  <si>
    <t>Slattery, G.;Wedding costume -- South Australia -- Mount Gambier</t>
  </si>
  <si>
    <t>b21179724</t>
  </si>
  <si>
    <t>C. Smith</t>
  </si>
  <si>
    <t>Photograph of the bride, her attendant and her flowergirl. The bride is wearing a satin gown with a long train and she carries a bouquet. The two attendants are wearing long dresses with flounces and carry contrasting coloured posies.</t>
  </si>
  <si>
    <t>Smith, C.</t>
  </si>
  <si>
    <t>b21179736</t>
  </si>
  <si>
    <t>C. Taylor</t>
  </si>
  <si>
    <t>Photograph of the bride, C. Taylor wearing her wedding dress and standing to one side so that the full extent of the train and veil can be seen. She is holding a large bouquet of flowers and horseshoe good luck charms.</t>
  </si>
  <si>
    <t>Taylor, C.;Wedding costume -- South Australia -- Mount Gambier;Brides -- South Australia -- Mount Gambier</t>
  </si>
  <si>
    <t>b21179748</t>
  </si>
  <si>
    <t>M.C. Taylor</t>
  </si>
  <si>
    <t>Photograph of the bride, M.C. Taylor with her two attendants and a flowergirl on her wedding day in 1950. Her dress is a concoction of satin and lace and she is wearing a headband of flowers to hold her long veil in place. Her attendants are wearing satin dresses with lace overskirts and matching long lace gloves. The tiny flowergirl is wearing a bonnet with her long dress and carries a basket of flowers.</t>
  </si>
  <si>
    <t>Taylor, M. C.;Brides -- South Australia -- Mount Gambier;Wedding costume -- South Australia -- Mount Gambier</t>
  </si>
  <si>
    <t>b2117975x</t>
  </si>
  <si>
    <t>A. McIntyre</t>
  </si>
  <si>
    <t>Photograph of the bride, A. McIntyre standing with her attendant on her wedding day in 1950. The bride's dress is satin with lace around the neckline. She is carrying good luck charms of satin covered horseshoes and slippers. Her attendant is also wearing a satin dress and she is wearing a picture hat and carries a posy of contrasting flowers.</t>
  </si>
  <si>
    <t>McIntyre, A.;Brides -- South Australia -- Mount Gambier;Wedding costume -- South Australia -- Mount Gambier</t>
  </si>
  <si>
    <t>b21179773</t>
  </si>
  <si>
    <t>R. Blackall</t>
  </si>
  <si>
    <t>Photograph of Mr and Mrs Blackall and their four attendants and flowergirl on their wedding day in 1950. The bride is wearing a tiered lace dress and carries a bouquet of lilies and ferns. Her two attendants are seated and wear identical shot silk ruffled gowns. The flowergirl is wearing a tiered tulle dress and she is carrying a small posy of flowers.</t>
  </si>
  <si>
    <t>Blackall, R.;Brides -- South Australia -- Mount Gambier;Wedding costume -- South Australia -- Mount Gambier</t>
  </si>
  <si>
    <t>b21179785</t>
  </si>
  <si>
    <t>R.J. Blackmore and I. Shelton</t>
  </si>
  <si>
    <t>Photograph of the double wedding of R.J. Blackmore and I. Shelton. The photograph depicts two brides, two bridegrooms and four attendants.</t>
  </si>
  <si>
    <t>Blackmore, R. J.;Shelton, I.;Wedding costume -- South Australia -- Mount Gambier;Brides -- South Australia -- Mount Gambier</t>
  </si>
  <si>
    <t>b21179797</t>
  </si>
  <si>
    <t>Gladys Davis (nee Harrap)</t>
  </si>
  <si>
    <t>Photograph of Gladys Maude Davis (nee Harrap) who married to Ren Davis. The close up photograph shows the bride seated and looking away from the camera. She is wearing a short sleeved lace jacket over her bridal dress and her long veil is edged with embroidery. Her bouquet includes rose, dahlias and maidenhair fern.</t>
  </si>
  <si>
    <t>Davis, Gladys Maude;Brides -- South Australia -- Mount Gambier;Wedding costume -- South Australia -- Mount Gambier</t>
  </si>
  <si>
    <t>b21179803</t>
  </si>
  <si>
    <t>M. Dohnt</t>
  </si>
  <si>
    <t>Photograph of Mr and Mrs M. Dohnt on their wedding day in 1950. The bride is wearing a smart below the knee length suit and carries a posy of flowers and slippers and horseshoe good luck charms. She is wearing a small veiled hat with a large bow and blossoms.</t>
  </si>
  <si>
    <t>Dohnt, M.;Brides -- South Australia -- Mount Gambier;Wedding costume -- South Australia -- Mount Gambier</t>
  </si>
  <si>
    <t>b21179815</t>
  </si>
  <si>
    <t>I. Shelton</t>
  </si>
  <si>
    <t>Photograph of Mr and Mrs I. Shelton on their wedding day in 1950. This couple shared a double wedding with Mr and Mrs Blackmore. The bride is wearing a full length lace dress and long sheer gloves. She is carrying a bouquet of roses.</t>
  </si>
  <si>
    <t>Shelton, I.;Blackmore, R. J.;Brides -- South Australia -- Mount Gambier;Wedding costume -- South Australia -- Mount Gambier</t>
  </si>
  <si>
    <t>b21183946</t>
  </si>
  <si>
    <t>Bellenger family</t>
  </si>
  <si>
    <t>Photograph of Mr and Mrs T.H. Bellenger with their five adult daughters and two adult sons taken in the studio in Mount Gambier in 1950.</t>
  </si>
  <si>
    <t>Bellenger (Family)</t>
  </si>
  <si>
    <t>b21183958</t>
  </si>
  <si>
    <t>E.R. Earl</t>
  </si>
  <si>
    <t>Photograph of a young lady seated in the studio in Mount Gambier wearing a long evening dress and holding a bouquet of flowers. Her partner is wearing a striped suit and satin tie. One of the two is E.R. Earl.</t>
  </si>
  <si>
    <t>Earl, E. R.</t>
  </si>
  <si>
    <t>b2118396x</t>
  </si>
  <si>
    <t>W.A. Jackway</t>
  </si>
  <si>
    <t>Photograph of members of the Jackway family taken in the studio in Mount Gambier in 1950. The photograph depicts five young ladies and three young men.</t>
  </si>
  <si>
    <t>Jackway, W. A.</t>
  </si>
  <si>
    <t>b21183995</t>
  </si>
  <si>
    <t>Munford(?) family</t>
  </si>
  <si>
    <t>Photograph of five sons and a baby daughter from the Munford(?) family taken in the studio in Mount Gambier in 1950. The school age boys are wearing the uniform of the Marist Brothers College.</t>
  </si>
  <si>
    <t>Munford (Family)</t>
  </si>
  <si>
    <t>b21184008</t>
  </si>
  <si>
    <t>Maloney wedding</t>
  </si>
  <si>
    <t>Photograph of the bride and bridegroom with their two attendants after their wedding in 1950.</t>
  </si>
  <si>
    <t>Brides -- South Australia -- Mount Gambier;Brides -- South Australia -- Mount Gambier</t>
  </si>
  <si>
    <t>b2118401x</t>
  </si>
  <si>
    <t>Pahl family</t>
  </si>
  <si>
    <t>Photograph of Mr and Mrs C. Pahl with their three daughters and two sons taken in the studio in Mount Gambier in 1950.</t>
  </si>
  <si>
    <t>Pahl (Family)</t>
  </si>
  <si>
    <t>b21184446</t>
  </si>
  <si>
    <t>Mount Gambier Convent School students</t>
  </si>
  <si>
    <t>Photograph of the students from the Convent in Mount Gambier possibly on the occasion of their confirmation, or first communion for the younger girls.</t>
  </si>
  <si>
    <t>Students -- South Australia -- Mount Gambier;Catholic Church -- South Australia -- Mount Gambier</t>
  </si>
  <si>
    <t>b21184653</t>
  </si>
  <si>
    <t>R.G. Hinton</t>
  </si>
  <si>
    <t>Photograph of two racing cyclists sitting astride their bicycles in the studio in Mount Gambier in 1950. A large trophy cup is beside them and one of the cyclists is R.G. Hinton.</t>
  </si>
  <si>
    <t>Hinton, R. G.;Cyclists -- South Australia -- Mount Gambier</t>
  </si>
  <si>
    <t>b21184732</t>
  </si>
  <si>
    <t>Girls basketball team from Mount Gambier High School</t>
  </si>
  <si>
    <t>Photograph of eight girls from the basketball team at Mount Gambier High School, wearing their uniforms. According to a researcher, seated second on left is Jennifer Marks (a sister to Carol Marks who married Ken Stafford).</t>
  </si>
  <si>
    <t>Mount Gambier High School (S.A.) -- Students;Basketball players -- South Australia -- Mount Gambier</t>
  </si>
  <si>
    <t>b21184963</t>
  </si>
  <si>
    <t>Prefects from Mount Gambier High School</t>
  </si>
  <si>
    <t>Photograph of six prefects from Mount Gambier High School. From left: Malcolm Kay, Malcolm Haines, Malcolm McDowell, Bob Aston, Jack Neale, Peter Milhouse.</t>
  </si>
  <si>
    <t>Mount Gambier High School -- Students -- South Australia</t>
  </si>
  <si>
    <t>b21184975</t>
  </si>
  <si>
    <t>Tennis players from Mount Gambier High School</t>
  </si>
  <si>
    <t>Photograph of eight girl tennis players from Mount Gambier High School taken in 1950.</t>
  </si>
  <si>
    <t>Tennis players -- South Australia -- Mount Gambier;Mount Gambier High School -- Students -- South Australia</t>
  </si>
  <si>
    <t>b21184987</t>
  </si>
  <si>
    <t>Athletes from Mount Gambier High School</t>
  </si>
  <si>
    <t>Photograph of four boys and four girls athletes from Mount Gambier High School taken in 1950. They are holding trophies.</t>
  </si>
  <si>
    <t>Athletes -- South Australia -- Mount Gambier;Mount Gambier High School -- Students -- South Australia</t>
  </si>
  <si>
    <t>b21184999</t>
  </si>
  <si>
    <t>Cricket team from Mount Gambier High School</t>
  </si>
  <si>
    <t>Photograph of the cricket team from Mount Gambier High School taken in 1950.</t>
  </si>
  <si>
    <t>Cricket players -- South Australia -- Mount Gambier;Mount Gambier High School -- Students -- South Australia</t>
  </si>
  <si>
    <t>b21185001</t>
  </si>
  <si>
    <t>Football team from Mount Gambier High School</t>
  </si>
  <si>
    <t>Photograph of the football team from Mount Gambier High School taken in 1950.</t>
  </si>
  <si>
    <t>Australian football players -- South Australia -- Mount Gambier;Australian football teams -- South Australia -- Mount Gambier;Mount Gambier High School -- Students</t>
  </si>
  <si>
    <t>b21185013</t>
  </si>
  <si>
    <t>Girl Prefects from Mount Gambier High School</t>
  </si>
  <si>
    <t>Photograph of six girl prefects from Mount Gambier High School taken in 1950.</t>
  </si>
  <si>
    <t>b21185025</t>
  </si>
  <si>
    <t>Baseball players from Mount Gambier High School</t>
  </si>
  <si>
    <t>Photograph of the boys baseball team from Mount Gambier High School taken in 1950.</t>
  </si>
  <si>
    <t>Baseball players -- South Australia -- Mount Gambier;Mount Gambier High School -- Students -- South Australia</t>
  </si>
  <si>
    <t>b21185098</t>
  </si>
  <si>
    <t>The "A"  Basketball Team from Mount Gambier High School</t>
  </si>
  <si>
    <t>Photograph of eight members from the "A" Girls Basketball Team from Mount Gambier High School in 1950.</t>
  </si>
  <si>
    <t>Mount Gambier High School -- Students -- South Australia;Netball players -- South Australia -- Mount Gambier</t>
  </si>
  <si>
    <t>b21187411</t>
  </si>
  <si>
    <t>Kongorong Cricket Club</t>
  </si>
  <si>
    <t>Photograph of members from the Kongorong Cricket Club taken in 1950.</t>
  </si>
  <si>
    <t>Kongorong Cricket Club;Cricket players -- South Australia -- Kongorong</t>
  </si>
  <si>
    <t>b21187514</t>
  </si>
  <si>
    <t>South Gambier Cricket Club</t>
  </si>
  <si>
    <t>Photograph of members of the South Gambier Cricket Club taken in 1950.</t>
  </si>
  <si>
    <t>Cricket -- South Australia -- Mount Gambier;Cricket players -- South Australia -- Mount Gambier</t>
  </si>
  <si>
    <t>b21187757</t>
  </si>
  <si>
    <t>View overlooking the lake at Mount Gambier</t>
  </si>
  <si>
    <t>Photograph overlooking the lake at Mount Gambier with the newly built shelter and lookout visible.</t>
  </si>
  <si>
    <t>Mount Gambier (S.A.)</t>
  </si>
  <si>
    <t>b21187824</t>
  </si>
  <si>
    <t>Junior Choral Society</t>
  </si>
  <si>
    <t>Photograph of girls and boys from the Junior Choral Society taken in 1950.</t>
  </si>
  <si>
    <t>Children -- South Australia -- Mount Gambier;Choirs (Music) -- South Australia -- Mount Gambier;Choral societies -- South Australia -- Mount Gambier</t>
  </si>
  <si>
    <t>b21187848</t>
  </si>
  <si>
    <t>Manhattan Club</t>
  </si>
  <si>
    <t>Photograph of members of the Manhattan Club taken in the studio in Mount Gambier in 1950. Those present include Evelyn Arthur, Marg Davis, Bob Francis, Col Davis, Eric Arthur and Bob Telfer.</t>
  </si>
  <si>
    <t>Arthur, Evelyn;Davis, Marg;Francis, Bob;Davis, Col;Arthur, Eric;Telfer, Bob;Manhattan Club (Mount Gambier, S.A.)</t>
  </si>
  <si>
    <t>b21187885</t>
  </si>
  <si>
    <t>Farmers Conference 1950</t>
  </si>
  <si>
    <t>Photograph of delegates at the Farmers Conference held at Mount Gambier in 1950.</t>
  </si>
  <si>
    <t>Farmers -- South Australia -- Mount Gambier</t>
  </si>
  <si>
    <t>b21187952</t>
  </si>
  <si>
    <t>Manhattan Club Fund Raising Event</t>
  </si>
  <si>
    <t>Photograph of eight men and eight ladies in reverse roles dressed as debutantes and their partners during a fund raising event at the Manhattan Club in Mount Gambier in 1950.</t>
  </si>
  <si>
    <t>Manhattan Club (Mount Gambier, S.A.)</t>
  </si>
  <si>
    <t>b21188658</t>
  </si>
  <si>
    <t>Hopgood Motor Showrooms</t>
  </si>
  <si>
    <t>Photograph of the show window of Hopgood Motors where two cars are displayed amongst a setting of plants and shrubs. On the windows are advertisements for Dodge, Vanguard and De Soto.</t>
  </si>
  <si>
    <t>Hopgood Motor Showrooms;Showrooms -- South Australia -- Mount Gambier;Automobiles -- South Australia -- Mount Gambier</t>
  </si>
  <si>
    <t>b21188968</t>
  </si>
  <si>
    <t>Spehr's</t>
  </si>
  <si>
    <t>Photograph of the interior Spehr's Barber Shop which features five elaborately upholstered leather barbers chairs. Shaving items are available as well as shampoos and talcum powder.</t>
  </si>
  <si>
    <t>Spehr, W.;Barbering -- South Australia -- Mount Gambier;Stores, Retail -- South Australia -- Mount Gambier</t>
  </si>
  <si>
    <t>b21188981</t>
  </si>
  <si>
    <t>Photograph of the interior of Spehr's Barbers Shop which features six elaborately upholstered leather barbers chairs. Shaving items are available as well as shampoos and talcum powder.</t>
  </si>
  <si>
    <t>b21189018</t>
  </si>
  <si>
    <t>Electricity Supply Mount Gambier</t>
  </si>
  <si>
    <t>Photograph of possibly the generator at the Electricity Supply Station at Mount Gambier in 1950. According to a researcher, the Power Station was situated in Ferrers Street. The site, as of 2018, has a Target shopping centre located on it.</t>
  </si>
  <si>
    <t>Electric power plants -- South Australia -- Mount Gambier</t>
  </si>
  <si>
    <t>b21189031</t>
  </si>
  <si>
    <t>Photograph of possibly the generator at the Electricity Supply Station at Mount Gambier in 1950. A large component is being lowered into place by chains on a pulley.</t>
  </si>
  <si>
    <t>b21189043</t>
  </si>
  <si>
    <t>b21189067</t>
  </si>
  <si>
    <t>b21189092</t>
  </si>
  <si>
    <t>Shell tanker in Sturt Street</t>
  </si>
  <si>
    <t>Photograph of a Shell tanker number 1745 parked in Sturt Street outside Dr Hawkins House which is now the Returned Services League Building.</t>
  </si>
  <si>
    <t>Shell Company of Australia;Trucks -- South Australia -- Mount Gambier;Tankers -- South Australia -- Mount Gambier</t>
  </si>
  <si>
    <t>b21189110</t>
  </si>
  <si>
    <t>South Australian Railway Bus</t>
  </si>
  <si>
    <t>Photograph of a parked bus from the SAR Passenger Service, Mount Gambier to Naracoorte.</t>
  </si>
  <si>
    <t>Buses -- South Australia -- Mount Gambier</t>
  </si>
  <si>
    <t>b21189122</t>
  </si>
  <si>
    <t>Spehr's Mens Hairdressing</t>
  </si>
  <si>
    <t>Photograph of clients receiving shaves and haircuts in the Spehr's Mens Hairdressing Shop in Mount Gambier in 1950. The hairdresser on the far left (foreground) of this photo is the shop proprietor, Walter Stanley Spehr (18/9/1911 to 25/8/2010).</t>
  </si>
  <si>
    <t>b21189134</t>
  </si>
  <si>
    <t>A 1950s kitchen</t>
  </si>
  <si>
    <t>Photograph of a typical 1950's kitchen showing the stove in a chimney alcove complete with a mantlepiece. Metal cannisters for sugar, tea and coffee are on this shelf. A large table is in the centre of the kitchen with a dresser and fridge against the wall.</t>
  </si>
  <si>
    <t>Interior architecture -- South Australia -- Mount Gambier;Kitchens -- South Australia -- Mount Gambier;Interior decoration -- South Australia -- Mount Gambier</t>
  </si>
  <si>
    <t>b2118916x</t>
  </si>
  <si>
    <t>A 1950s bedroom</t>
  </si>
  <si>
    <t>Photograph of a typical 1950's bedroom featuring a double bed with a wooden headboard and fan shaped pillows which match the curtains. On the dressing table is a crystal set of trinket and candlestick holders. A tallboy and chair complete the bedroom.</t>
  </si>
  <si>
    <t>Interior decoration -- South Australia -- Mount Gambier;Bedrooms -- South Australia -- Mount Gambier</t>
  </si>
  <si>
    <t>b21189195</t>
  </si>
  <si>
    <t>A 1950s sitting room</t>
  </si>
  <si>
    <t>Photograph of a typical 1950's sitting room featuring a gas fire under a mantlepiece. On this shelf are photographs of family members in uniform and a couple of ornaments. A sofa and deep armchair are positioned near the fire and a sideboard and small table complete the room.  An ashtray on a stand and a bakelite radio complement the room.</t>
  </si>
  <si>
    <t>Interior decoration -- South Australia -- Mount Gambier;Interior architecture -- South Australia -- Mount Gambier</t>
  </si>
  <si>
    <t>b21189237</t>
  </si>
  <si>
    <t>Young's Menswear shop display window</t>
  </si>
  <si>
    <t>Display window of Young's Menswear shop, Commercial Street West, Mount Gambier featuring suit jackets, hats, socks, ties and cravats. The photograph was taken at night and the display is well lit. According to a researcher, the shop was started by Max Young and his brothers after World War Two. The last operator of this business was Peter Roberts who commenced working for Max Young as a youth. The business ceased, and closed its doors in late 2017 .</t>
  </si>
  <si>
    <t>Young's (Firm);Stores, Retail -- South Australia -- Mount Gambier</t>
  </si>
  <si>
    <t>b21189298</t>
  </si>
  <si>
    <t>Fidlers the Grocer shop window display in 1950</t>
  </si>
  <si>
    <t>Photograph of a shop display window showing Rinso, Lipton Tea, tins of Sundowner jams(one shilling and sevenpence), Mildura lime juice cordial, Kipperettes smoked fillets, Hudson's orange cordial, Boston baked beans, garden peas,bottles of flavour essences, Nestles condensed milk(one shilling and sixpence).</t>
  </si>
  <si>
    <t>Fidler &amp; Webb (Firm);Stores, Retail -- South Australia -- Mount Gambier</t>
  </si>
  <si>
    <t>b21189304</t>
  </si>
  <si>
    <t>Shell Garage in Mount Gambier</t>
  </si>
  <si>
    <t>Photograph of the Shell Garage in Mount Gambier depicting the various oils used for servicing cars.</t>
  </si>
  <si>
    <t>Shell Company of Australia;Garages -- South Australia -- Mount Gambier</t>
  </si>
  <si>
    <t>b21192339</t>
  </si>
  <si>
    <t>Typical sitting room in a 1950s house</t>
  </si>
  <si>
    <t>Photograph of a typical sitting room in a Mount Gambier house showing a sofa and armchair adorned with cushions. A tall wooden flowerstand is nearby and the curtains are made from lace and floral fabric. A rug is on the polished floorboards.</t>
  </si>
  <si>
    <t>b21192340</t>
  </si>
  <si>
    <t>Floral window display in the Fidler and Webb store</t>
  </si>
  <si>
    <t>Photograph of the prize winning window display in the Fidler and Webb store in 1950 in Mount Gambier. A large display of dahlias, gladiolus and greenery is featured with draped satin material and ornaments.</t>
  </si>
  <si>
    <t>Fidler &amp; Webb (Firm);Stores, Retail -- South Australia -- Mount Gambier;Floral decorations -- South Australia -- Mount Gambier</t>
  </si>
  <si>
    <t>b21192352</t>
  </si>
  <si>
    <t>Photograph of a window display in the Fidler and Webb store in 1950 in Mount Gambier. The third prize winner featured a large display of dahlias, gladiolus and greenery draped with velvet material.</t>
  </si>
  <si>
    <t>b21192364</t>
  </si>
  <si>
    <t>Floral display in the windows of the Goldsbrough Mort and Company Limited Auctioneers Stock and Station Agents</t>
  </si>
  <si>
    <t>Photograph of a floral window display in the Goldsbrough Mort and Company Limited Actioneers Stock and Station Agents. Window boxes of flowers appear above the door, on the window sills and at pavements level. In 1950 businesses in Mount Gambier were encouraged to decorate their streetscapes with floral displays. According to a researcher, Elders, at this particular time, were situated in part of The Mount Gambier Hotel at the Main Corner of Commercial Street West and Penola Road. This part of the Hotel faced directly onto Commercial Street.</t>
  </si>
  <si>
    <t>Goldsbrough Mort &amp; Company;Floral decorations -- South Australia -- Mount Gambier</t>
  </si>
  <si>
    <t>b21192376</t>
  </si>
  <si>
    <t>Government Produce Department</t>
  </si>
  <si>
    <t>Photograph of carcasses of pork hanging in the Government Produce Department. The carcasses were entered in the South Australian Baconer Competition in 1950.</t>
  </si>
  <si>
    <t>Pork industry and trade -- South Australia -- Mount Gambier</t>
  </si>
  <si>
    <t>b21193010</t>
  </si>
  <si>
    <t>Street scene in Mount Gambier</t>
  </si>
  <si>
    <t>Photograph of a street scene in Mount Gambier showing the Post Office, Bonds Tours, Chartered Accountants and Elders.</t>
  </si>
  <si>
    <t>Bonds Tours;Elder's Trustee and Executor Company.;Streets -- South Australia -- Mount Gambier;Post office buildings -- South Australia -- Mount Gambier</t>
  </si>
  <si>
    <t>b21193022</t>
  </si>
  <si>
    <t>Hustlers Store in Mount Gambier</t>
  </si>
  <si>
    <t>Photograph of a street scene in Mount Gambier in 1950 showing Hustlers Store flanked by Harry Taylors Menswear and the Sun Insurance Agency.</t>
  </si>
  <si>
    <t>Hustlers Department Store;Harry Taylors Menswear;Sun Insurance Agency;Streets -- South Australia -- Mount Gambier;Department stores -- South Australia -- Mount Gambier;Stores, Retail -- South Australia -- Mount Gambier</t>
  </si>
  <si>
    <t>b21193058</t>
  </si>
  <si>
    <t>Lange and Company</t>
  </si>
  <si>
    <t>Photograph of a building on the corner of Compton Street Mount Gambier. The building looks derelict but possibly was a general store previously. Faded advertising for jelly crystals, custard powder, tea and coffee are visible. According to a researcher, the site, as of 2018, is occupied by a sports store.</t>
  </si>
  <si>
    <t>Streets -- South Australia -- Mount Gambier;Stores, Retail -- South Australia -- Mount Gambier</t>
  </si>
  <si>
    <t>b21193071</t>
  </si>
  <si>
    <t>Patersons Home Furnishers Mount Gambier</t>
  </si>
  <si>
    <t>Photograph of Patersons Home Furnishers in Mount Gambier taken in 1950.</t>
  </si>
  <si>
    <t>Petersons Home Furnishers;Furniture industry and trade -- South Australia -- Mount Gambier;Stores, Retail -- South Australia -- Mount Gambier</t>
  </si>
  <si>
    <t>b21193083</t>
  </si>
  <si>
    <t>Street scene in Mount Gambier on the corner of Compton Street</t>
  </si>
  <si>
    <t>Photograph of the buildings on the corner of Compton Street in Mount Gambier. A business next door is the agent for McKay, Massey and Harris Pty. Ltd.</t>
  </si>
  <si>
    <t>b21193216</t>
  </si>
  <si>
    <t>Buildings on the corner of Compton Street Mount Gambier</t>
  </si>
  <si>
    <t>Photograph of buildings on the corner of Compton Street in Mount Gambier. One of the buildings is possible Lange and Co.</t>
  </si>
  <si>
    <t>Streets -- South Australia -- Mount Gambier</t>
  </si>
  <si>
    <t>b21195365</t>
  </si>
  <si>
    <t>Neway Cash and Carry Store in Mount Gambier</t>
  </si>
  <si>
    <t>Photograph of Neway Cash and Carry Stores in Commerical Street West in Mount Gambier taken in 1950.  Westpac Bank is now situated on this site. The display windows are full of crockery and dresses and a rack of bicycles from the repair shop next door line the kerb in front of Neways.</t>
  </si>
  <si>
    <t>Neway Cash and Carry Store;Stores, Retail -- South Australia -- Mount Gambier</t>
  </si>
  <si>
    <t>b21195377</t>
  </si>
  <si>
    <t>Commercial Street and Gray Street Mount Gambier</t>
  </si>
  <si>
    <t>Photograph of the building on the corner of Commercial Street and Gray Street South in Mount Gambier. A ulitity car and passenger car are in the street. Nearby is a dressing making salon and Leith and Company clothing specialists.</t>
  </si>
  <si>
    <t>b21195389</t>
  </si>
  <si>
    <t>St. Andrews Presbyterian Church Choir</t>
  </si>
  <si>
    <t>Photograph of the choir of St Andrews Presbyterian Church in Mount Gambier grouped in the choir stalls under the massive pipe organ. Boys are lined on one side, young girls on the other and adults in the middle stalls. The church is decorated with flowers and foliage as if for a special occasion.</t>
  </si>
  <si>
    <t>St. Andrews Church (Mount Gambier, S.A.);Choirs (Music) -- South Australia -- Mount Gambier;Church buildings -- South Australia -- Mount Gambier</t>
  </si>
  <si>
    <t>b21195638</t>
  </si>
  <si>
    <t>Miniature Debutantes at the Highland Ball in Mount Gambier</t>
  </si>
  <si>
    <t>Photograph of fifteen young children dressed as Miniature Debutantes for the Highland Ball in Mount Gambier in 1950.</t>
  </si>
  <si>
    <t>Debutantes -- South Australia -- Mount Gambier;Balls (parties) -- South Australia -- Mount Gambier</t>
  </si>
  <si>
    <t>b21195869</t>
  </si>
  <si>
    <t>Mount Gambier High School Debutantes</t>
  </si>
  <si>
    <t>Photograph of ten young debutantes from the Mount Gambier High School dressed in their ballgowns in 1950.</t>
  </si>
  <si>
    <t>b21195961</t>
  </si>
  <si>
    <t>Mount Gambier May Ball debutantes</t>
  </si>
  <si>
    <t>Photograph of nineteen debutantes at the May Ball held in Mount Gambier in 1950.</t>
  </si>
  <si>
    <t>Debutantes -- South Australia -- Mount Gambier</t>
  </si>
  <si>
    <t>b20843288</t>
  </si>
  <si>
    <t>Thamm, J., photographer</t>
  </si>
  <si>
    <t>P.S. Coonawarra head on approaching Morgan</t>
  </si>
  <si>
    <t>OUTSIZE 1;Photoprint  15.5 x 10 cm</t>
  </si>
  <si>
    <t>The 'Coonawarra' approaching Morgan.</t>
  </si>
  <si>
    <t>Coonawarra (Paddle steamer);Paddle steamers -- Murray River (N.S.W. - S.A.)</t>
  </si>
  <si>
    <t>Godson Collection</t>
  </si>
  <si>
    <t>b20852344</t>
  </si>
  <si>
    <t>Ritchard's shack on the Coorong</t>
  </si>
  <si>
    <t>Photoprint  15 x 10 cm</t>
  </si>
  <si>
    <t>Dick Cremer's holiday shack on the Coorong, (which later became the Strathalbyn Club shack), in a row of small seafront shacks, with cars parked close by, the mainland visible in the distance over the water.</t>
  </si>
  <si>
    <t>Vacation Homes -- South Australia -- Coorong, The;Coorong, The (S.A.)</t>
  </si>
  <si>
    <t>b20855813</t>
  </si>
  <si>
    <t>Looking across river from Mannum lookout</t>
  </si>
  <si>
    <t>1 photograph : black and white   15.5 x 9 cm;still image sti rdacontent;unmediated n rdamedia;sheet nb rdacarrier</t>
  </si>
  <si>
    <t>Looking across river from the Mannum lookout, small island centre and road over the hills opposite. This image forms the left side panel of a panorama view. See PRG 1258/2/921 for the right side panel.</t>
  </si>
  <si>
    <t>Murray River (N.S.W. - S.A.);Mannum (S.A.)</t>
  </si>
  <si>
    <t>b20855849</t>
  </si>
  <si>
    <t>Building the new pump house for Mannum-Adelaide pipeline</t>
  </si>
  <si>
    <t>Photoprint  15.5 x 9 cm</t>
  </si>
  <si>
    <t>The new pump house for the Mannum-Adelaide pipeline, under construction, with the pipeline trench visible on the right.  There are no vehicles, machinery or workmen in view.</t>
  </si>
  <si>
    <t>Pipelines -- South Australia.;Water-supply -- South Australia.;Pumping stations -- South Australia -- Mannum.;Mannum Adelaide pipeline.</t>
  </si>
  <si>
    <t>b20858292</t>
  </si>
  <si>
    <t>Memorial to Captains Cadell and Randell at Swan Hill</t>
  </si>
  <si>
    <t>Photoprint  10 x 15 cm</t>
  </si>
  <si>
    <t>Memorial to Captains Cadell and Randell opening up the river trade, at Swan Hill, celebrating their journeys to Swan Hill on the 'Lady Augusta' and 'Mary Ann', arriving at Swan Hill on 17 September 1853.</t>
  </si>
  <si>
    <t>Randell, W. R. (William Richard), 1824-1911;Cadell, Francis, 1822-1879;Memorials -- Victoria -- Swan Hill;Steam navigation -- Murray River (N.S.W.-S.A.);Inland water transportation -- Murray River (N.S.W.-S.A.)</t>
  </si>
  <si>
    <t>b20863718</t>
  </si>
  <si>
    <t>Narrung ferry approaching</t>
  </si>
  <si>
    <t>Narrung ferry transporting cars, approaching over the lake.</t>
  </si>
  <si>
    <t>Ferries -- South Australia -- Narrung;Narrung (S.A.)</t>
  </si>
  <si>
    <t>b20859648</t>
  </si>
  <si>
    <t>Hume Dam wall with water pouring through the open valves</t>
  </si>
  <si>
    <t>View of the Hume Dam wall, showing water pouring through open valves, with two people silhouetted in the white water, taken January 1950.</t>
  </si>
  <si>
    <t>Water-storage -- Murray River (N.S.W.-S.A.);Reservoirs -- Australia;Hume Weir (N.S.W. and Vic.)</t>
  </si>
  <si>
    <t>b20860699</t>
  </si>
  <si>
    <t>Frank Beverige with 'P.S. Roy' replica at Berri</t>
  </si>
  <si>
    <t>Photoprint  15 x 11 cm</t>
  </si>
  <si>
    <t>Frank Beverige with 'P.S. Roy' replica, at Berri opposite Martin's Bend.</t>
  </si>
  <si>
    <t>Beverige, Frank;Roy (Paddle steamer);River life -- Murray River (N.S.W.-S.A.);River life -- South Australia -- Berri</t>
  </si>
  <si>
    <t>b31315872</t>
  </si>
  <si>
    <t>Oldfields Bakery Pty Ltd</t>
  </si>
  <si>
    <t>Edgar Oldfield inspecting a machine</t>
  </si>
  <si>
    <t>1 photograph : black and white   16.5 x 21.9 cm;RESERVE 4;still image sti rdacontent;unmediated n rdamedia;sheet nr rdacarrier</t>
  </si>
  <si>
    <t>Edgar Oldfield explaining the function of one of the machines to visitors.</t>
  </si>
  <si>
    <t>Oldfields Bakery Pty Ltd;Bakers and bakeries -- South Australia</t>
  </si>
  <si>
    <t>b31315884</t>
  </si>
  <si>
    <t>5AD broad[approximately st with Jack Eade</t>
  </si>
  <si>
    <t>A broadcast by 5AD at the factory, with employee Jack Eade (in white) being interviewed. The sound recordist, with reel to reel tape player standing on one side.</t>
  </si>
  <si>
    <t>b31315896</t>
  </si>
  <si>
    <t>Inspection of the new factory</t>
  </si>
  <si>
    <t>1 photograph : black and white   19.8 x 24.9 cm;RESERVE 4;still image sti rdacontent;unmediated n rdamedia;sheet nr rdacarrier</t>
  </si>
  <si>
    <t>Visitors on the factory floor as employees go about their work.</t>
  </si>
  <si>
    <t>b30170229</t>
  </si>
  <si>
    <t>Holman children</t>
  </si>
  <si>
    <t>1 photograph : digital copy;still image sti rdacontent;computer c rdamedia;online resource cr rdacarrier</t>
  </si>
  <si>
    <t>Studio portrait photograph of Helen, Joan and Mark Holman.</t>
  </si>
  <si>
    <t>Holman, Helen;Holman, Joan;Holman, Mark;Holman family;Girls -- South Australia -- Portraits -- 20th century;Boys -- South Australia -- Portraits -- 20th century</t>
  </si>
  <si>
    <t>Portrait Collection</t>
  </si>
  <si>
    <t>b30267109</t>
  </si>
  <si>
    <t>Rainsford, Keith C., photographer</t>
  </si>
  <si>
    <t>Katherine Ann (Sue) Corbin</t>
  </si>
  <si>
    <t>1 electronic file (photograph) : black and white   18.6 x 24.5 cm;still image sti rdacontent;computer c rdamedia;online resource cr rdacarrier</t>
  </si>
  <si>
    <t>Katherine Ann (Sue) Corbin (1920-2003) on her wedding day to Lloyd Kay Bromley. They married at Christ Church, North Adelaide. She wore the same dress as her mother, sister, and daughter. She is the daughter of John and Margaret Corbin of Brougham Place, North Adelaide. She later qualified as a solicitor in Adelaide, and later practised in Sydney.</t>
  </si>
  <si>
    <t>Corbin, Katherine Ann, 1920-2003.;Women -- South Australia.;Wedding Costume -- South Australia.</t>
  </si>
  <si>
    <t>b30267110</t>
  </si>
  <si>
    <t>1 electronic file (photograph) : black and white   24.5 x 18.6 cm;still image sti rdacontent;computer c rdamedia;online resource cr rdacarrier</t>
  </si>
  <si>
    <t>Katherine Ann (Sue) Corbin (1920-2003) on her wedding day to Lloyd Kay Bromley. She is with Judy Campbell, her nices Susie, Elizabeth and Maria Willis, and her cousin Clive Corbin. They married at Christ Church, North Adelaide. She wore the same dress as her mother, sister, and daughter. She is the daughter of John and Margaret Corbin of Brougham Place, North Adelaide. She later qualified as a solicitor in Adelaide, and later practised in Sydney.</t>
  </si>
  <si>
    <t>b31386404</t>
  </si>
  <si>
    <t>1st Commonwealth Parliamentary Association Conference, Wellington</t>
  </si>
  <si>
    <t>1 photograph : black and white   15.0 x 21.0 cm;still image sti rdacontent;unmediated n rdamedia;sheet nr rdacarrier;OUTSIZE 1</t>
  </si>
  <si>
    <t>1st Commonwealth Parliamentary Association conference, Wellington, New Zealand: A. Lyell McEwin (Chief Secretary), Sir George Harvey-Watt (Fifeshire, UK) and Vincent Gair (Queensland Premier).</t>
  </si>
  <si>
    <t>McEwin, Lyell (Alexander Lyell), Sir, 1897-1988.;Gair, Vincent Clair, 1902-1980.</t>
  </si>
  <si>
    <t>Sir Lyell McEwin Collection</t>
  </si>
  <si>
    <t>b31386416</t>
  </si>
  <si>
    <t>Wright, L. M., photographer</t>
  </si>
  <si>
    <t>Queenstown view</t>
  </si>
  <si>
    <t>1 photograph : black and white   21.0 x 16.0 cm;still image sti rdacontent;unmediated n rdamedia;sheet nr rdacarrier;OUTSIZE 1</t>
  </si>
  <si>
    <t>Mountain view outside Queenstown, New Zealand.</t>
  </si>
  <si>
    <t>Queenstown (New Zealand).</t>
  </si>
  <si>
    <t>b31386428</t>
  </si>
  <si>
    <t>1 photograph : black and white   16.0 x 21.0 cm;still image sti rdacontent;unmediated n rdamedia;sheet nr rdacarrier;OUTSIZE 1</t>
  </si>
  <si>
    <t>Queenstown Ski Field, New Zealand.</t>
  </si>
  <si>
    <t>b3138643x</t>
  </si>
  <si>
    <t>Lake Queenstown, New Zealand.</t>
  </si>
  <si>
    <t>b29160509</t>
  </si>
  <si>
    <t>Tubercular Soldiers' Aid Society</t>
  </si>
  <si>
    <t>Grave of explorer William Darton Kekwick at Blinman</t>
  </si>
  <si>
    <t>Photograph (black and white print)  10.5 cm x 15.5 cm;RESERVE 1;still image sti rdacontent;unmediated n rdamedia;sheet nb rdacarrier</t>
  </si>
  <si>
    <t>Graves at Blinman Cemetery, with the grave of explorer William Darton Kekwick in the foreground.</t>
  </si>
  <si>
    <t>Kekwick, William Darton, 1822-1872;Cemeteries -- South Australia -- Blinman;Explorers -- South Australia;Memorials -- South Australia -- Blinman</t>
  </si>
  <si>
    <t>Blinman Collection</t>
  </si>
  <si>
    <t>b20814033</t>
  </si>
  <si>
    <t>Excavations at Angorichina Hostel</t>
  </si>
  <si>
    <t>Photograph (black and white print)  7.9 cm x 9.9 cm;RESERVE 1;still image sti rdacontent;unmediated n rdamedia;sheet nb rdacarrier</t>
  </si>
  <si>
    <t>Excavations get underway for the underground room at Angorichina Hostel.</t>
  </si>
  <si>
    <t>Sanatoriums -- South Australia -- Angorichina;Tuberculosis -- Hospitals -- South Australia -- Angorichina;Angorichina (S.A.);Angorichina Hostel (S.A.)</t>
  </si>
  <si>
    <t>Angorichina Collection</t>
  </si>
  <si>
    <t>b20814069</t>
  </si>
  <si>
    <t>Construction work at Angorichina</t>
  </si>
  <si>
    <t>Photograph (black and white print)  6.9 cm x 11.4 cm;RESERVE 1;still image sti rdacontent;unmediated n rdamedia;sheet nb rdacarrier</t>
  </si>
  <si>
    <t>The Hostel's underground room under construction.</t>
  </si>
  <si>
    <t>Sanatoriums -- South Australia -- Angorichina;Building -- South Australia -- Angorichina;Tuberculosis -- Hospitals -- South Australia -- Angorichina;Angorichina (S.A.);Angorichina Hostel (S.A.)</t>
  </si>
  <si>
    <t>b20814045</t>
  </si>
  <si>
    <t>Construction work at Angorichina Hostel</t>
  </si>
  <si>
    <t>The Hostel's underground room during construction.</t>
  </si>
  <si>
    <t>b20814070</t>
  </si>
  <si>
    <t>Photograph (black and white print)  6.9 cm x 11.5 cm;RESERVE 1;still image sti rdacontent;unmediated n rdamedia;sheet nb rdacarrier</t>
  </si>
  <si>
    <t>b20814057</t>
  </si>
  <si>
    <t>b20814082</t>
  </si>
  <si>
    <t>Photograph (black and white print)  6.7 cm x 10.7 cm;RESERVE 1;still image sti rdacontent;unmediated n rdamedia;sheet nb rdacarrier</t>
  </si>
  <si>
    <t>The Hostel's underground room nearing completion.</t>
  </si>
  <si>
    <t>b20814094</t>
  </si>
  <si>
    <t>Photograph (black and white print)  6.8 cm x 10.9 cm;RESERVE 1;still image sti rdacontent;unmediated n rdamedia;sheet nb rdacarrier</t>
  </si>
  <si>
    <t>The hostel's underground room nearing completion.</t>
  </si>
  <si>
    <t>b20814100</t>
  </si>
  <si>
    <t>Underground room at Angorichina Hostel</t>
  </si>
  <si>
    <t>Photograph (black and white print)  6.5 cm x 11.1 cm;RESERVE 1;still image sti rdacontent;unmediated n rdamedia;sheet nb rdacarrier</t>
  </si>
  <si>
    <t>The Hostel's underground room after completion.</t>
  </si>
  <si>
    <t>b20814781</t>
  </si>
  <si>
    <t>Patients from Angorichina Hostel</t>
  </si>
  <si>
    <t>Photograph (black and white print)  6.5 cm x 10.8 cm;RESERVE 1;still image sti rdacontent;unmediated n rdamedia;sheet nb rdacarrier</t>
  </si>
  <si>
    <t>Patients from Angorichina Hostel grouped around a car.</t>
  </si>
  <si>
    <t>b20814823</t>
  </si>
  <si>
    <t>Five male patients at Angorichina Hostel</t>
  </si>
  <si>
    <t>Photograph (black and white print)  6.1 cm x 8.5 cm;RESERVE 1;still image sti rdacontent;unmediated n rdamedia;sheet nb rdacarrier</t>
  </si>
  <si>
    <t>Five men who were patients at Angorichina Hostel.</t>
  </si>
  <si>
    <t>Sanatoriums -- South Australia -- Angorichina;Tuberculosis -- Hospitals -- South Australia -- Angorichina;Angorichina (S.A.)</t>
  </si>
  <si>
    <t>b20814811</t>
  </si>
  <si>
    <t>People who had been patients at Angorichina Hostel</t>
  </si>
  <si>
    <t>Photograph (black and white print)  7.0 cm x 11.4 cm;RESERVE 1;still image sti rdacontent;unmediated n rdamedia;sheet nb rdacarrier</t>
  </si>
  <si>
    <t>Three men and two women who were patients at Angorichina Hostel.</t>
  </si>
  <si>
    <t>b2081477x</t>
  </si>
  <si>
    <t>Photograph (black and white print)  6.8 cm x 11.1 cm;RESERVE 1;still image sti rdacontent;unmediated n rdamedia;sheet nb rdacarrier</t>
  </si>
  <si>
    <t>Patients from Angorichina Hostel.</t>
  </si>
  <si>
    <t>b2081480x</t>
  </si>
  <si>
    <t>Large group of patients from Angorichina Hostel.</t>
  </si>
  <si>
    <t>b20814768</t>
  </si>
  <si>
    <t>A group of patients from Angorichina Hostel.</t>
  </si>
  <si>
    <t>b20814756</t>
  </si>
  <si>
    <t>Patients and a nurse from Angorichina Hospital</t>
  </si>
  <si>
    <t>Photograph (black and white print)  6.6 cm x 11.3 cm;RESERVE 1;still image sti rdacontent;unmediated n rdamedia;sheet nb rdacarrier</t>
  </si>
  <si>
    <t>A group of patients and a nurse from Angorichina Hostel.</t>
  </si>
  <si>
    <t>b29160510</t>
  </si>
  <si>
    <t>Photograph (B&amp;W print)  10.7 cm x 15.4 cm;RESERVE 1;still image sti rdacontent;unmediated n rdamedia;sheet nb rdacarrier</t>
  </si>
  <si>
    <t>Detail of the grave stone of explorer William Darton Kekwick in the foreground.</t>
  </si>
  <si>
    <t>b30171799</t>
  </si>
  <si>
    <t>Port Adelaide Rowing Club flying to Perth</t>
  </si>
  <si>
    <t>1 photograph : black and white   30.6 x 25 cm;still image sti rdacontent;computer c rdamedia;online resource cr rdacarrier</t>
  </si>
  <si>
    <t>Digital copy of a group portrait of the Port Adelaide Rowing Club boarding a Trans Australia Airlines plane Flight 512 to Perth, Western Australia, in 1950. From top: Ken Carter, Harold Smith, Derek Swan, Frank Cockburn, Ivan Bell, Ross Webb, Ron Simpson, Keith Coldwell, Arthur Smithson.</t>
  </si>
  <si>
    <t>Port Adelaide Rowing Club;Rowing -- South Australia -- Port Adelaide;Airplanes -- South Australia -- Adelaide</t>
  </si>
  <si>
    <t>Port Adelaide Rowing Club Collection</t>
  </si>
  <si>
    <t>b30246829</t>
  </si>
  <si>
    <t>Keith Coldwell King's Cup crew</t>
  </si>
  <si>
    <t>1 photograph : black and white, colour, sepia +   17.8 x 13 cm;still image sti rdacontent;unmediated n rdamedia;sheet nb rdacarrier</t>
  </si>
  <si>
    <t>Crew of the 1950 Keith Coldwell King's Cup team, cox J. Pengelley, str. K. Coldwell (P.A.R.C.), L. Williamson, K. Morris, J. Hill, W. Nerlich, M. Pike, R. Coldwell, (P.A.R.C.),bow A. Smithson (P.A.R.C). The 1950 event was held in Victoria.</t>
  </si>
  <si>
    <t>Port Adelaide Rowing Club;King's Cup (Boat race);Rowing -- South Australia -- Port Adelaide</t>
  </si>
  <si>
    <t>b30248310</t>
  </si>
  <si>
    <t>Winners, senior pairs</t>
  </si>
  <si>
    <t>1 photograph : black and white   20.2 x 15 cm;still image sti rdacontent;unmediated n rdamedia;sheet nb rdacarrier</t>
  </si>
  <si>
    <t>Winners, senior pairs, Mildura Easter Regatta, 1950. Ross Webb (str.), Ron Simpson (bow), Don Coldwell (cox).</t>
  </si>
  <si>
    <t>Port Adelaide Rowing Club;Rowing -- South Australia -- Port Adelaide;Regattas -- Victoria -- Mildura</t>
  </si>
  <si>
    <t>b30249557</t>
  </si>
  <si>
    <t>Championship Maiden Eights Season 1950 to 1951</t>
  </si>
  <si>
    <t>1 photograph : black and white   18.1 x 13 cm;still image sti rdacontent;unmediated n rdamedia;sheet nb rdacarrier</t>
  </si>
  <si>
    <t>R. Page (bow), D. Nenke, F. Skuce, G. Westmorland, R. Simpson, J. Ward, K. Simmons (str.), G. Coldwell (cox), G. Brock, R.A. Francis (coach).</t>
  </si>
  <si>
    <t>Port Adelaide Rowing Club;Rowing -- South Australia -- Port Adelaide</t>
  </si>
  <si>
    <t>b30249867</t>
  </si>
  <si>
    <t>Championship Senior Four season 1950 to 1951</t>
  </si>
  <si>
    <t>1 photograph : black and white   12 x 15.8 cm;still image sti rdacontent;unmediated n rdamedia;sheet nb rdacarrier</t>
  </si>
  <si>
    <t>A. Smithson (bow), A. Wellman, C. Williams (stroke), K. Coldwell (cox), C. Davis.</t>
  </si>
  <si>
    <t>Port Adelaide Rowing Club;Rowing -- South Australia -- Port Adelaide;Port Adelaide Rowing Club;Rowing -- South Australia -- Port Adelaide</t>
  </si>
  <si>
    <t>b31993175</t>
  </si>
  <si>
    <t>Smith, Keith Macpherson, Sir, 1890-1955</t>
  </si>
  <si>
    <t>Tablet marking the landing spot of the Vickers Vimy</t>
  </si>
  <si>
    <t>[approximately 1950]</t>
  </si>
  <si>
    <t>1 photograph : black and white   20.4 x 25.9 cm;RESERVE 1;still image sti rdacontent;unmediated n rdamedia;sheet nb rdacarrier</t>
  </si>
  <si>
    <t>View of a tablet created to mark the spot where the Vickers Vimy first touched down in Australia. Inscribed on tablet: 'The first aeroplane to fly from England to Australia landed here 10th December 1919'.</t>
  </si>
  <si>
    <t>England-Australia air race, 1919;Air pilots -- Monuments -- Northern Territory -- Darwin.;Airplane racing.</t>
  </si>
  <si>
    <t>Ross and Keith Smith Collection</t>
  </si>
  <si>
    <t>b31993242</t>
  </si>
  <si>
    <t>Memorial at Fannie Bay</t>
  </si>
  <si>
    <t>1 photograph : black and white   20.7 x 25.4 cm;RESERVE 1;still image sti rdacontent;unmediated n rdamedia;sheet nb rdacarrier</t>
  </si>
  <si>
    <t>Memorial at Fannie Bay, Port Darwin, erected by the Commonwealth of Australia, commemorating the landing of the first aerial flight from England to Australia, 10 December 1919.</t>
  </si>
  <si>
    <t>b31993278</t>
  </si>
  <si>
    <t>Ross Smith Avenue, Darwin</t>
  </si>
  <si>
    <t>View of Ross Smith Avenue, Darwin, once part of the old Darwin aerodrome.</t>
  </si>
  <si>
    <t>b31999232</t>
  </si>
  <si>
    <t>Sir Keith Smith</t>
  </si>
  <si>
    <t>1 photograph : black and white   9.4 x [x] cm;OUTSIZE 1;RESERVE 1;still image sti rdacontent;unmediated n rdamedia;sheet nb rdacarrier;Photograph (print) black and white</t>
  </si>
  <si>
    <t>Portion of a photograph of Sir Keith Smith and an unidentified man, location and date of photograph unknown.</t>
  </si>
  <si>
    <t>Smith, Keith Macpherson,  Sir, 1890-1955</t>
  </si>
  <si>
    <t>b31998410</t>
  </si>
  <si>
    <t>1 photograph : black and white   7.5 x 16 cm;RESERVE 1;still image sti rdacontent;unmediated n rdamedia;sheet nb rdacarrier;Photograph (print) black and white</t>
  </si>
  <si>
    <t>Sir Keith Smith photographed at a function in Victoria.</t>
  </si>
  <si>
    <t>b31998562</t>
  </si>
  <si>
    <t>1 photograph : black and white   3.6 x 12.2 cm;RESERVE 1;still image sti rdacontent;unmediated n rdamedia;sheet nb rdacarrier;Photograph (print) black and white</t>
  </si>
  <si>
    <t>Sir Keith Smith in a double-breasted suit.</t>
  </si>
  <si>
    <t>b31998549</t>
  </si>
  <si>
    <t>1 photograph : black and white   3.7 x 16.5 cm;RESERVE 1;still image sti rdacontent;unmediated n rdamedia;sheet nb rdacarrier;Photograph (print) black and white</t>
  </si>
  <si>
    <t>A fragment of a larger group photograph showing Sir Keith Smith sitting in a chair, location unknown.</t>
  </si>
  <si>
    <t>b32000236</t>
  </si>
  <si>
    <t>Smith, Keith MacPherson, Sir, 1890-1955</t>
  </si>
  <si>
    <t>1 photograph : black and white   5.2 x 7.5 cm;OUTSIZE 1;RESERVE 1 xx;still image sti rdacontent;unmediated n rdamedia;sheet nb rdacarrier</t>
  </si>
  <si>
    <t>Passport type photograph of Sir Keith Smith.</t>
  </si>
  <si>
    <t>b3200025x</t>
  </si>
  <si>
    <t>1 photograph : black and white   5.4 x 8.9 cm;RESERVE 1;still image sti rdacontent;unmediated n rdamedia;sheet nb rdacarrier</t>
  </si>
  <si>
    <t>b21128212</t>
  </si>
  <si>
    <t>Mr. Alan Burdon MP</t>
  </si>
  <si>
    <t>Photograph of Mr. Alan Burdon MP taken in the studio in Mount Gambier.</t>
  </si>
  <si>
    <t>Burdon, Allan, 1914-2001;Politicians -- South Australia -- Mount Gambier</t>
  </si>
  <si>
    <t>b21165269</t>
  </si>
  <si>
    <t>C. Gifford on her wedding day</t>
  </si>
  <si>
    <t>Photograph of Miss Gifford taken in the studio on her wedding day.</t>
  </si>
  <si>
    <t>Gifford, C.;Brides -- South Australia -- Mount Gambier;Wedding costume -- South Australia -- Mount Gambier</t>
  </si>
  <si>
    <t>b21166936</t>
  </si>
  <si>
    <t>Isobel Kentish</t>
  </si>
  <si>
    <t>Photograph of Mary Isobel Jean Kentish, nee McLennan, born 28 September 1911, Isobel married Malcom Kentish on 4 January 1941. She died on 9 March 2002. Taken in the Arthur Studio, Mount Gambier, she is wearing a velvet dress and a corsage.</t>
  </si>
  <si>
    <t>Kentish, Mary Isobel Jean, 1911-2002;Clothing and dress -- South Australia -- Mount Gambier</t>
  </si>
  <si>
    <t>b21166948</t>
  </si>
  <si>
    <t>A. Kuhl</t>
  </si>
  <si>
    <t>Photograph of Mr Kuhl taken in the studio in Mount Gambier.</t>
  </si>
  <si>
    <t>Kuhl, A.</t>
  </si>
  <si>
    <t>b2116695x</t>
  </si>
  <si>
    <t>C. Nostic</t>
  </si>
  <si>
    <t>Photograph of Mr Nostic taken in the studio in Mount Gambier. He is wearing a suit and is standing behind a chair.</t>
  </si>
  <si>
    <t>Nostic, C.</t>
  </si>
  <si>
    <t>b21169068</t>
  </si>
  <si>
    <t>E. C. Bruhn</t>
  </si>
  <si>
    <t>Photograph of Miss Bruhn in a ballet pose. She is wearing a show girl costume and carrying a large hat box. She is approximately nine years old.</t>
  </si>
  <si>
    <t>Bruhn, E. C.;Children -- South Australia -- Mount Gambier;Costume -- Children -- South Australia -- Mount Gambier</t>
  </si>
  <si>
    <t>b21169081</t>
  </si>
  <si>
    <t>G. Brooks' daughter</t>
  </si>
  <si>
    <t>Photograph of a young Miss Brooks dressed in an off the shoulder long gown with a large brimmed bonnet and holding a basket of flowers. She is approximately eight years old.</t>
  </si>
  <si>
    <t>Children -- South Australia -- Mount Gambier;Costume -- Children -- South Australia -- Mount Gambier</t>
  </si>
  <si>
    <t>b20842429</t>
  </si>
  <si>
    <t>Barge 29 approaching Murray Bridge</t>
  </si>
  <si>
    <t>OUTSIZE 1;Photoprint  15 x 10 cm</t>
  </si>
  <si>
    <t>The 'Barge 29'approaching Murray Bridge with helmsman standing at wheel and flag flying. [Comment from F. Tucker: 'This has got to be the "D26" barge which Alan Moritz purchased at about this time at Echuca and brought back to Murray Bridge using an outboard as propulsion'].</t>
  </si>
  <si>
    <t>Barge 29 (Barge);Barges -- South Australia -- Murray Bridge;Barges -- Murray River (N.S.W.-S.A.)</t>
  </si>
  <si>
    <t>b20842430</t>
  </si>
  <si>
    <t>Barge D26</t>
  </si>
  <si>
    <t>Barge 'D26' looking derelict and part-submerged, supporting a passenger ramp and service pole, with unidentified river boat.</t>
  </si>
  <si>
    <t>Barge D26 (Barge);Barges -- Murray River (N.S.W.-S.A.)</t>
  </si>
  <si>
    <t>b20842491</t>
  </si>
  <si>
    <t>Bejo at Murray Bridge</t>
  </si>
  <si>
    <t>The 'Bejo' formerly 'W.F.B.', formerly 'Eric'.</t>
  </si>
  <si>
    <t>Bejo (Paddle steamer);Paddle steamers -- Murray River (N.S.W. - S.A.)</t>
  </si>
  <si>
    <t>b20841954</t>
  </si>
  <si>
    <t>Advance</t>
  </si>
  <si>
    <t>Photoprint  10.5 x 13 cm;OUTSIZE 1</t>
  </si>
  <si>
    <t>The 'Advance' barge.</t>
  </si>
  <si>
    <t>Advance (Barge);Barges -- Murray River (N.S.W.-S.A.)</t>
  </si>
  <si>
    <t>b2084251x</t>
  </si>
  <si>
    <t>Bessie</t>
  </si>
  <si>
    <t>OUTSIZE 1;Photoprint  15.25 x 8.75 cm</t>
  </si>
  <si>
    <t>'Bessie' motor launch.</t>
  </si>
  <si>
    <t>Bessie (Launch);Launches -- Murray River (N.S.W. - S.A.)</t>
  </si>
  <si>
    <t>b20843276</t>
  </si>
  <si>
    <t>P.S. Coonawarra</t>
  </si>
  <si>
    <t>OUTSIZE 1;Photoprint  15.5 x 9.5 cm</t>
  </si>
  <si>
    <t>The 'P.S. Coonawarra' crowded with passengers.</t>
  </si>
  <si>
    <t>b2084329x</t>
  </si>
  <si>
    <t>OUTSIZE 1;Photoprint  10.5 x 13.5 cm</t>
  </si>
  <si>
    <t>The 'Coonawarra', a stern view.</t>
  </si>
  <si>
    <t>b20843884</t>
  </si>
  <si>
    <t>P.S. Edwards with P.S. Melbourne, Hero and Coonawarra at Echuca</t>
  </si>
  <si>
    <t>OUTSIZE 1;Photoprint  13 x 10 cm</t>
  </si>
  <si>
    <t>'P.S Edwards' at rear, with 'Melbourne' and 'Hero' in foreground and 'P.S. Coonawarra' distant on opposite bank, at Echuca.</t>
  </si>
  <si>
    <t>Edwards (Paddle steamer);Melbourne (Paddle steamer);Hero (Paddle steamer);Paddle steamers -- Murray River (N.S.W. - S.A.);Paddle steamers -- Victoria -- Echuca</t>
  </si>
  <si>
    <t>b20844049</t>
  </si>
  <si>
    <t>Elma, motor vessel</t>
  </si>
  <si>
    <t>'Elma', Clarrie Rowe's small motor launch, with several men sitting under a shade at the stern, wooden rowboat in foreground.</t>
  </si>
  <si>
    <t>Elma (Launch);River boats -- Murray River (N.S.W.-S.A.);Launches -- Murray River (N.S.W.-S.A.)</t>
  </si>
  <si>
    <t>b20865466</t>
  </si>
  <si>
    <t>River Murray Flag displayed over a bale of hay on board P.S. Gem</t>
  </si>
  <si>
    <t>Photoprint  15 x 10.5 cm</t>
  </si>
  <si>
    <t>R.M. Flag displayed over a bale of hay, on board 'P.S. Gem', at Swan Hill.</t>
  </si>
  <si>
    <t>Gem (Paddle steamer);Paddle steamers -- Murray River (N.S.W. - S.A.) -- Flags, insignia, etc.</t>
  </si>
  <si>
    <t>b20845273</t>
  </si>
  <si>
    <t>Isabele, turned into a houseboat</t>
  </si>
  <si>
    <t>Photoprint  15.5 x 10 cm</t>
  </si>
  <si>
    <t>Stern and side view of 'Isabele', fastened to river bank, with gang plank.</t>
  </si>
  <si>
    <t>Isabele (River boat);River boats -- Murray River (N.S.W. - S.A.)</t>
  </si>
  <si>
    <t>b20845443</t>
  </si>
  <si>
    <t>P.S. Jumna</t>
  </si>
  <si>
    <t>Side view of 'P.S. Jumna' small two-man paddle steamer, approaching a road bridge. A researcher has provided the following information: This is P.S. Jumna on the Vasse River approaching the Causeway Bridge in Busselton Western Australia. The man in stern tending the engine is Rev. R. E. Davies the designer, builder and operator of the 'Jumna', modelled on the famous Paddle Tug Jumna, of Littlehampton Sussex England, which operated there towing sailing ships in and out of harbour in the late 1800s to early 1900s. Rev. Davies 'Jumna' ran from late 1939 to 1955 and then again in the early 1960s. 'Jumna' has been refurbished and is on display at the Busselton Historical Society's Old Butter factory Museum in Busselton.</t>
  </si>
  <si>
    <t>Jumna (Paddle steamer);Paddle steamers -- Western Australia</t>
  </si>
  <si>
    <t>b20865661</t>
  </si>
  <si>
    <t>Australia's first female riverboat Captain, Captain Pearl Hogg at the wheel of P.S. Kookaburra</t>
  </si>
  <si>
    <t>Close up of Captain Pearl Hogg at the wheel of 'P.S. Kookaburra'.</t>
  </si>
  <si>
    <t>Hogg, Pearl;Kookaburra (Paddle steamer);Women ship captains -- Murray River (N.S.W.-S.A.) -- Firsts;Ship captains -- Murray River (N.S.W.-S.A.);Paddle steamers -- Murray River (N.S.W. - S.A.)</t>
  </si>
  <si>
    <t>b20846083</t>
  </si>
  <si>
    <t>Screw launch Loyalty</t>
  </si>
  <si>
    <t>Side view of motor vessel 'Loyalty', with enclosed deck for tourists, at Murray Bridge. A researcher has provided the information that one of the 'Loyalty's drivers was Burt Williams.</t>
  </si>
  <si>
    <t>Loyalty (Launch);River boats -- South Australia -- Murray Bridge;Launches -- Murray River (N.S.W. - S.A.)</t>
  </si>
  <si>
    <t>b20866021</t>
  </si>
  <si>
    <t>Captain Lance McLean standing at the upper deck rails of P.S. Marion</t>
  </si>
  <si>
    <t>Captain L. McLean standing at the upper deck rails of 'P.S. Marion'.</t>
  </si>
  <si>
    <t>McLean, Lance;Marion (Paddle steamer);Ship captains -- Murray River (N.S.W.-S.A.);Paddle steamers -- Murray River (N.S.W.-S.A.)</t>
  </si>
  <si>
    <t>b20846666</t>
  </si>
  <si>
    <t>M.V. Mary Ann with anchor raised</t>
  </si>
  <si>
    <t>Photoprint  15 x 9.5 cm</t>
  </si>
  <si>
    <t>Side view of 'M.V. Mary Ann', anchor raised and with two men on deck, in calm water.</t>
  </si>
  <si>
    <t>Mary Ann (Launch);Launches -- Murray River (N.S.W. - S.A.)</t>
  </si>
  <si>
    <t>b20847038</t>
  </si>
  <si>
    <t>P.S. Monada sunk at Morgan</t>
  </si>
  <si>
    <t>Front and side view of 'P.S. Monada' sunk at Morgan, bow almost submerged, tilting towards river.</t>
  </si>
  <si>
    <t>Monada (Paddle steamer) -- Shipwreck;Paddle steamers -- South Australia -- Morgan -- Shipwrecks;Paddle steamers -- Murray River (N.S.W. - S.A.)</t>
  </si>
  <si>
    <t>b20847166</t>
  </si>
  <si>
    <t>P.S. Murrabit with barge at Morgan</t>
  </si>
  <si>
    <t>Photoprint  15.5 x 9.5 cm</t>
  </si>
  <si>
    <t>Bow view of 'P.S. Murrabit' with unnamed barge, tied to river bank at Morgan.</t>
  </si>
  <si>
    <t>Murrabit (Paddle steamer);Paddle steamers -- Murray River (N.S.W. - S.A.)</t>
  </si>
  <si>
    <t>b20847798</t>
  </si>
  <si>
    <t>Engine of motor launch Paringa</t>
  </si>
  <si>
    <t>Photoprint  14.5 x 9 cm</t>
  </si>
  <si>
    <t>Side view of the engine of motor launch 'Paringa', 9 h.p. engine, complete cost 135 pounds nett, built by P.W. Richards, Adelaide.</t>
  </si>
  <si>
    <t>Paringa (Launch);River boats -- Murray River (N.S.W. - S.A.);Launches -- Murray River (N.S.W. - S.A.)</t>
  </si>
  <si>
    <t>b20848602</t>
  </si>
  <si>
    <t>P.S. Renella pumping sand near Berri when used as sand dredge</t>
  </si>
  <si>
    <t>Bow view of 'P.S. Renella', with marker buoys out, pumping sand near Berri, in period when it was used as a sand dredge, against background of tall gum trees.</t>
  </si>
  <si>
    <t>Renella (Paddle steamer);Dredges -- South Australia -- Berri Region;Paddle steamers -- Murray River (N.S.W. - S.A.)</t>
  </si>
  <si>
    <t>b20848614</t>
  </si>
  <si>
    <t>P.S. Renella pumping sand near Berri</t>
  </si>
  <si>
    <t>Side view of 'P.S. Renella', pumping sand near Berri, during period it was used as a sand dredge.</t>
  </si>
  <si>
    <t>Renella (Paddle steamer);Dredges -- South Australia -- Berri;Paddle steamers -- Murray River (N.S.W. - S.A.)</t>
  </si>
  <si>
    <t>b20848778</t>
  </si>
  <si>
    <t>Screw motor vessel Riverina formerly ketch Trix</t>
  </si>
  <si>
    <t>Photoprint  9.5 x 9 cm</t>
  </si>
  <si>
    <t>Bow and side view of screw motor vessel 'Riverina', formally ketch 'Trix', tied up at small jetty, perhaps on the Murray Lakes.</t>
  </si>
  <si>
    <t>Riverina (Launch);Launches -- Murray River (N.S.W. - S.A.)</t>
  </si>
  <si>
    <t>b20852253</t>
  </si>
  <si>
    <t>George Ross relaxing in a chair outside a shack at The Coorong</t>
  </si>
  <si>
    <t>Photoprint  15 x 9 cm</t>
  </si>
  <si>
    <t>George Ross relaxing in a chair outside Andy Ross's shack at Nine Mile Point, Younghusband Peninsula, at The Coorong.</t>
  </si>
  <si>
    <t>Vacation homes -- South Australia -- Coorong, The</t>
  </si>
  <si>
    <t>b20851753</t>
  </si>
  <si>
    <t>Berri Methodist Church with bell tower</t>
  </si>
  <si>
    <t>Berri Methodist Church with bell tower.</t>
  </si>
  <si>
    <t>Berri Methodist Church;Methodist Church -- South Australia -- Berri;Church buildings -- South Australia -- Berri</t>
  </si>
  <si>
    <t>b20853233</t>
  </si>
  <si>
    <t>Hare Street, Echuca, looking north to the river</t>
  </si>
  <si>
    <t>Photoprint  15.5 x 10.5 cm</t>
  </si>
  <si>
    <t>Hare Street, Echuca, with Palace Hotel on the left, and Union Club on the right, looking north to the river.</t>
  </si>
  <si>
    <t>Hare Street (Echuca, Vic.);Echuca (Vic.) -- Buildings, structures, etc.</t>
  </si>
  <si>
    <t>b20853245</t>
  </si>
  <si>
    <t>View of Hare Street Echuca looking south</t>
  </si>
  <si>
    <t>View of the buildings either side of Hare Street, Echuca, looking north.</t>
  </si>
  <si>
    <t>b20853348</t>
  </si>
  <si>
    <t>Captain S. Shetliff's house in the early 1850s</t>
  </si>
  <si>
    <t>Captain S. Shetliff's home early in the period 1850-1929. 'Passed to daughter Amelia, thence to her husband and later to their daughter. Sold in 1946 to Mr &amp; Mrs Sleader'.</t>
  </si>
  <si>
    <t>Shetliff, Samuel;Historic buildings -- South Australia -- Goolwa;Architecture, Domestic -- South Australia -- Goolwa;Goolwa (S.A.) -- Buildings, structures, etc.</t>
  </si>
  <si>
    <t>b20853361</t>
  </si>
  <si>
    <t>Furniture in Captain Shetliff's old house</t>
  </si>
  <si>
    <t>Photoprint  10.5 x 15.5 cm</t>
  </si>
  <si>
    <t>The furniture in Captain Shetliff's old house at Goolwa, showing cedar chest of drawers, clock and cane-backed wooden rocking chair.</t>
  </si>
  <si>
    <t>Shetliff, Samuel;Architecture, Domestic -- South Australia -- Goolwa;Historic buildings -- South Australia -- Goolwa</t>
  </si>
  <si>
    <t>b20853506</t>
  </si>
  <si>
    <t>Anglican Church, Goolwa</t>
  </si>
  <si>
    <t>The Anglican Church, Goolwa, with clock tower, two men standing at the gate of the stone wall encircling the church.</t>
  </si>
  <si>
    <t>Anglican Church of Australia -- South Australia -- Goolwa;Goolwa (S.A.) -- Churches</t>
  </si>
  <si>
    <t>b20853737</t>
  </si>
  <si>
    <t>Goolwa Bathing Pool</t>
  </si>
  <si>
    <t>Photoprint  15.5 x 8.5 cm</t>
  </si>
  <si>
    <t>Goolwa Bathing Pool, a small semi-enclosed area on the beach, with a small yacht and boat tied up, and a mixed group of bathers posing in the wet sand.</t>
  </si>
  <si>
    <t>Swimming pools -- South Australia -- Goolwa</t>
  </si>
  <si>
    <t>b20853774</t>
  </si>
  <si>
    <t>Graham's castle, Goolwa</t>
  </si>
  <si>
    <t>Graham's castle, Goolwa, with two small girls on the front porch, and  garden and hedge obscuring the view of the lower storey.</t>
  </si>
  <si>
    <t>Graham's Castle (House : Goolwa, S.A.);Historic buildings -- South Australia -- Goolwa;Goolwa (S.A.) -- Buildings, structures, etc.</t>
  </si>
  <si>
    <t>b20853786</t>
  </si>
  <si>
    <t>Goolwa slip engine</t>
  </si>
  <si>
    <t>Goolwa slip engine.</t>
  </si>
  <si>
    <t>Marine engines;Goolwa (S.A.)</t>
  </si>
  <si>
    <t>b20853993</t>
  </si>
  <si>
    <t>P.S. Renmark at Goolwa Wharf</t>
  </si>
  <si>
    <t>Bow and side view of 'P.S. Renmark' tied up at Goolwa Wharf, with no activity or people. 'P.S. Renmark' was converted to this configuration for tourist passenger use in 1949. [See Ron Parson's 'Ships of the Inland Rivers' for further information].</t>
  </si>
  <si>
    <t>Renmark (Paddle steamer);Paddle steamers -- South Australia -- Goolwa</t>
  </si>
  <si>
    <t>b20854092</t>
  </si>
  <si>
    <t>Tug Hebe which arrived at Goolwa through Murray Mouth</t>
  </si>
  <si>
    <t>Photoprint  10.5 x 13.5 cm</t>
  </si>
  <si>
    <t>View looking down over the Tug 'Hebe' which arrived at Goolwa, through the Murray Mouth, on trip from Mackay, Queensland. Two crew are standing near the bow, which is tied up to the wharf, at Goolwa.</t>
  </si>
  <si>
    <t>Hebe (Tugboat);Tugboats -- South Australia -- Goolwa;Goolwa (S.A.)</t>
  </si>
  <si>
    <t>b20854274</t>
  </si>
  <si>
    <t>Scale plan of the location of the River Murray barrages</t>
  </si>
  <si>
    <t>Scale plan showing the location of the River Murray barrages constructed for the River Murray Commission, photographed from the commemmorative plaque at Goolwa.</t>
  </si>
  <si>
    <t>Barrages -- Murray River Estuary (N.S.W.-S.A.);Barrages -- South Australia -- Goolwa;Goolwa (S.A.)</t>
  </si>
  <si>
    <t>b20854298</t>
  </si>
  <si>
    <t>Aerial view of River Murray Estuary barrages showing Mundoo Barrage</t>
  </si>
  <si>
    <t>Photoprint  14 x 10 cm</t>
  </si>
  <si>
    <t>Aerial view of River Murray barrages showing Mundoo barrage and Mundoo channel, Goolwa channel and Murray Mouth.</t>
  </si>
  <si>
    <t>Aerial views -- Murray River Estuary (N.S.W.-S.A.);Barrages -- South Australia -- Goolwa Region;Barrages -- Murray River Estuary (N.S.W.-S.A.)</t>
  </si>
  <si>
    <t>b20854304</t>
  </si>
  <si>
    <t>Goolwa barrages stretching to the horizon</t>
  </si>
  <si>
    <t>Goolwa barrages stretching to the horizon with faint shoreline visible.</t>
  </si>
  <si>
    <t>b20854316</t>
  </si>
  <si>
    <t>Goolwa barrages completed with view to opposite shore</t>
  </si>
  <si>
    <t>Goolwa barrages completed, with a view from the sandhill grass tussocks, past the commemmorative plaques either side of the barrage entrance, across to the opposite side.</t>
  </si>
  <si>
    <t>Barrages -- Murray River Estuary (N.S.W.-S.A.);Barrages -- South Australia -- Goolwa</t>
  </si>
  <si>
    <t>b20854328</t>
  </si>
  <si>
    <t>The valves at the lock in operation</t>
  </si>
  <si>
    <t>Showing the valves at the lock in operation, with a man controlling with a lever, far right.</t>
  </si>
  <si>
    <t>Locks (Hydraulic engineering) -- South Australia -- Goolwa;Barrages -- South Australia -- Goolwa</t>
  </si>
  <si>
    <t>b2085433x</t>
  </si>
  <si>
    <t>Goolwa barrages with turn table lock closed</t>
  </si>
  <si>
    <t>Goolwa barrage, showing the turn table lock closed, allowing access to the rail track along the top of the barrage.</t>
  </si>
  <si>
    <t>Locks (Hydraulic engineering) -- South Australia -- Goolwa;Barrages -- Murray River Estuary (N.S.W.-S.A.);Barrages -- South Australia -- Goolwa</t>
  </si>
  <si>
    <t>b20854341</t>
  </si>
  <si>
    <t>Tauwitchere Barrage, receding into the distance</t>
  </si>
  <si>
    <t>Tauwitchere Barrage connecting Pelican Point to Tauwitchere Island and beyond.</t>
  </si>
  <si>
    <t>Barrages -- South Australia -- Goolwa Region;Barrages -- Murray River Estuary (N.S.W.-S.A.)</t>
  </si>
  <si>
    <t>b20854390</t>
  </si>
  <si>
    <t>View of Horseshoe Bay, Port Elliot, from the foreshore</t>
  </si>
  <si>
    <t>View of Horseshoe Bay, Port Elliot from the mainland foreshore, showing rocky outcrops at centre.</t>
  </si>
  <si>
    <t>Port Elliot (S.A.) -- Description and travel</t>
  </si>
  <si>
    <t>b20854407</t>
  </si>
  <si>
    <t>View along the foreshore of Horseshoe Bay, Port Elliot</t>
  </si>
  <si>
    <t>View along the foreshore of Horseshoe Bay, Port Elliot, towards a rocky headland, with a road leading down to a small wharf and boat landing.</t>
  </si>
  <si>
    <t>b20854419</t>
  </si>
  <si>
    <t>View along the foreshore of Horseshoe Bay, Port Elliot to a rocky point or headland.</t>
  </si>
  <si>
    <t>b20854596</t>
  </si>
  <si>
    <t>Moorook pumping station</t>
  </si>
  <si>
    <t>Moorook pumping station.</t>
  </si>
  <si>
    <t>Pumping stations -- South Australia -- Moorook;Irrigation engineering -- South Australia -- Moorook</t>
  </si>
  <si>
    <t>b20855357</t>
  </si>
  <si>
    <t>Mrs W. Reske and Mrs R. Holden in a small boat at a river landing</t>
  </si>
  <si>
    <t>Mrs W. Reske and Mrs R. Holden seated in a small boat with an outboard, at a small river landing, near Mannum.</t>
  </si>
  <si>
    <t>Holden, R., Mrs;Reske, W., Mrs;Boats and boating -- Murray River (N.S.W. - S.A.);Boats and boating -- South Australia -- Mannum</t>
  </si>
  <si>
    <t>b20855461</t>
  </si>
  <si>
    <t>The boiler from the Mary Ann displayed in Mannum Reserve</t>
  </si>
  <si>
    <t>Photoprint  9.5 x 15 cm</t>
  </si>
  <si>
    <t>The boiler from Captain Randell's 'P.S. Mary Ann', displayed under roof at Mannum Reserve.</t>
  </si>
  <si>
    <t>Mary Ann (Paddle steamer);Boilers -- South Australia -- Mannum;Steam engines -- South Australia -- Mannum</t>
  </si>
  <si>
    <t>b20855473</t>
  </si>
  <si>
    <t>View of the River Murray at Mannum from the recreation ground rotunda</t>
  </si>
  <si>
    <t>View of the river from the recreation ground, near the rotunda, high river.</t>
  </si>
  <si>
    <t>Rotundas -- South Australia -- Mannum</t>
  </si>
  <si>
    <t>b20855783</t>
  </si>
  <si>
    <t>Two ferries operating on the Cowirra side</t>
  </si>
  <si>
    <t>Photoprint  16.5 x 11.5 cm</t>
  </si>
  <si>
    <t>Two ferries alongside, each loaded with cars, operating on the Cowirra side of the river, at Mannum.</t>
  </si>
  <si>
    <t>Ferries -- South Australia -- Mannum</t>
  </si>
  <si>
    <t>b20855795</t>
  </si>
  <si>
    <t>Looking downstream from Mannum lookout</t>
  </si>
  <si>
    <t>Looking downstream from Mannum lookout, over part of the town, in high water.</t>
  </si>
  <si>
    <t>Mannum (S.A.)</t>
  </si>
  <si>
    <t>b20855801</t>
  </si>
  <si>
    <t>1 photograph : black and white   15.5 x 9cm;still image sti rdacontent;unmediated n rdamedia;sheet nb rdacarrier</t>
  </si>
  <si>
    <t>Looking across river from the Mannum lookout. This image forms the right side panel of a panorama view. See PRG 1258/2/922 for the left side panel.</t>
  </si>
  <si>
    <t>b20855825</t>
  </si>
  <si>
    <t>Looking upstream from Mannum lookout</t>
  </si>
  <si>
    <t>Looking upstream from Mannum lookout.</t>
  </si>
  <si>
    <t>b20855837</t>
  </si>
  <si>
    <t>Building pump house and plant at Mannum</t>
  </si>
  <si>
    <t>Building pump house and plant.</t>
  </si>
  <si>
    <t>Irrigation engineering -- South Australia -- Mannum;Pumping stations -- South Australia -- Mannum</t>
  </si>
  <si>
    <t>b20855965</t>
  </si>
  <si>
    <t>Aerial view upstream at Mannum</t>
  </si>
  <si>
    <t>Aerial view upstream of Mannum, showing the river bend with the main road on left.</t>
  </si>
  <si>
    <t>Mannum Region (S.A.) -- Aerial photographs;Mannum (S.A.) -- Aerial views</t>
  </si>
  <si>
    <t>b20857196</t>
  </si>
  <si>
    <t>Morgan punt at river landing</t>
  </si>
  <si>
    <t>Morgan punt at landing, with gates open.</t>
  </si>
  <si>
    <t>Ferries -- South Australia -- Morgan</t>
  </si>
  <si>
    <t>b20857433</t>
  </si>
  <si>
    <t>Syd French's truck load of mallee on the Morgan punt</t>
  </si>
  <si>
    <t>Syd French's truck load of mallee transported on the Morgan punt, the gate open for him to drive off, two men standing opposite.</t>
  </si>
  <si>
    <t>Ferries -- South Australia -- Morgan;Morgan (S.A.)</t>
  </si>
  <si>
    <t>b20857482</t>
  </si>
  <si>
    <t>Cadell ferry</t>
  </si>
  <si>
    <t>Cadell ferry at the road landing, a man standing on the shore, two girls watching from the rails beside the road.</t>
  </si>
  <si>
    <t>Ferries -- South Australia -- Cadell</t>
  </si>
  <si>
    <t>b20858991</t>
  </si>
  <si>
    <t>Cliff at Bunyip Reach near Renmark</t>
  </si>
  <si>
    <t>Cliff at Bunyip Reach near Renmark, showing deeply indented cliff face above, and weathered slopes below it, down to the grassy river edge.</t>
  </si>
  <si>
    <t>Landforms -- South Australia -- Renmark Region;Geology -- South Australia -- Renmark Region</t>
  </si>
  <si>
    <t>b20861357</t>
  </si>
  <si>
    <t>The old hand-operated Tilpa Punt</t>
  </si>
  <si>
    <t>Photoprint  11.5 x 11.5 cm</t>
  </si>
  <si>
    <t>A. Temby with his pet dog on the old hand-operated Tilpa Punt.</t>
  </si>
  <si>
    <t>Temby, A.;Ferries -- New South Wales -- Darling River;Tilpa (N.S.W.)</t>
  </si>
  <si>
    <t>b20861473</t>
  </si>
  <si>
    <t>Remains of the natural avenue of trees at Eyre's campsite at Moorundie</t>
  </si>
  <si>
    <t>Remains of the natural avenue of trees at Eyre's campsite at Moorundie.</t>
  </si>
  <si>
    <t>Eyre, Edward John, 1815-1901;Historic sites -- Murray River (N.S.W.-S.A.);Historic sites -- South Australia -- Moorundie</t>
  </si>
  <si>
    <t>b20861485</t>
  </si>
  <si>
    <t>Remains of Eyre's original campsite on the Murray at Moorundie</t>
  </si>
  <si>
    <t>Remains of Eyre's original camp site at Moorundie on the Murray.</t>
  </si>
  <si>
    <t>b20861734</t>
  </si>
  <si>
    <t>Cliffs on the Murray River</t>
  </si>
  <si>
    <t>Cliffs scene, Murray River, possibly in Little Devil's Elbow region, Upper Murray, showing sedimentary levels in cliff face.</t>
  </si>
  <si>
    <t>Landforms -- Murray River (N.S.W.-S.A.);Geology -- Murray River (N.S.W.-S.A.)</t>
  </si>
  <si>
    <t>b20861771</t>
  </si>
  <si>
    <t>River scene en route from Echuca</t>
  </si>
  <si>
    <t>River scene en route from Echuca, with sandy beach and thickly timbered river bank.</t>
  </si>
  <si>
    <t>Natural areas -- Murray River (N.S.W.-S.A.);Echuca Region (Vic.)</t>
  </si>
  <si>
    <t>b20861813</t>
  </si>
  <si>
    <t>Pumping plant near Perricoota Station, Upper River Murray</t>
  </si>
  <si>
    <t>Pumping plant on the Upper River Murray near Perricoota Station.</t>
  </si>
  <si>
    <t>Water-supply -- Murray River (N.S.W.-S.A.).;Pumping stations -- Murray River (N.S.W.-S.A.).;Perricoota Station.</t>
  </si>
  <si>
    <t>b20861977</t>
  </si>
  <si>
    <t>Placid river scene on the Upper River Murray</t>
  </si>
  <si>
    <t>Placid river scene on the Upper River Murray, trees reflected in water.</t>
  </si>
  <si>
    <t>Stream ecology -- Murray River (N.S.W.-S.A.);Murray River (N.S.W.-S.A.)</t>
  </si>
  <si>
    <t>b20862003</t>
  </si>
  <si>
    <t>Cattle walking along narrow river point</t>
  </si>
  <si>
    <t>Cattle walking along a narrow point on the Murray River, silhouetted against the water.</t>
  </si>
  <si>
    <t>Cattle -- Murray River (N.S.W.-S.A.)</t>
  </si>
  <si>
    <t>b20862027</t>
  </si>
  <si>
    <t>Lower River cliffs towering above the Murray</t>
  </si>
  <si>
    <t>Lower River cliffs towering above the Murray.</t>
  </si>
  <si>
    <t>Geology -- Murray River (N.S.W.-S.A.);Landforms -- Murray River (N.S.W.-S.A.)</t>
  </si>
  <si>
    <t>b20862039</t>
  </si>
  <si>
    <t>Lower River cliffs on the Murray</t>
  </si>
  <si>
    <t>Lower River cliffs on the Murray, towering above the river.</t>
  </si>
  <si>
    <t>b20862040</t>
  </si>
  <si>
    <t>Lower Murray River cliffs</t>
  </si>
  <si>
    <t>Low Murray River cliffs, showing horizontal weathering.</t>
  </si>
  <si>
    <t>Geology -- Murray River (N.S.W.-S.A.);Landforms -- Murray River (N.S.W.-S.A.);Soil erosion -- Murray River (N.S.W.-S.A.)</t>
  </si>
  <si>
    <t>b20862052</t>
  </si>
  <si>
    <t>Towering cliffs over the Lower Murray River</t>
  </si>
  <si>
    <t>Towering cliffs along the Lower Murray River, showing site of a past cliff fall and weathering, a boatshed or cave bottom right.</t>
  </si>
  <si>
    <t>b20862064</t>
  </si>
  <si>
    <t>Lower Murray River view with campsite and clothes hanging on line</t>
  </si>
  <si>
    <t>Photoprint  15.5 x 10.5</t>
  </si>
  <si>
    <t>Lower Murray River view, showing a campsite with clothes hanging on a line, a woman and child, small tents, and a small stone hut at rear.</t>
  </si>
  <si>
    <t>River life -- Murray River (N.S.W.-S.A.);Camping -- Murray River (N.S.W.-S.A.)</t>
  </si>
  <si>
    <t>b20862076</t>
  </si>
  <si>
    <t>River scene on the Lower Murray with tiny shacks or dwellings</t>
  </si>
  <si>
    <t>River scene on the Lower Murray, with tiny shacks or dwellings just visible behind large river gums.</t>
  </si>
  <si>
    <t>River life -- Murray River (N.S.W.-S.A.);Dwellings -- Murray River (N.S.W.-S.A.)</t>
  </si>
  <si>
    <t>b2086209x</t>
  </si>
  <si>
    <t>Natural river scene on the Lower Murray</t>
  </si>
  <si>
    <t>Natural river scene, Lower Murray, with trees on both banks and high cliffs ahead.</t>
  </si>
  <si>
    <t>Natural areas -- Murray River (N.S.W.-S.A.);Stream ecology -- Murray River (N.S.W.-S.A.)</t>
  </si>
  <si>
    <t>b20862143</t>
  </si>
  <si>
    <t>Shacks on river bank coming downstream on the lower River Murray</t>
  </si>
  <si>
    <t>Shacks and outbuildings on the river bank coming downstream on the lower River Murray, with cleared banks and small path to the landing area.</t>
  </si>
  <si>
    <t>Dwellings -- Murray River Region (N.S.W.-S.A.);Vacation homes -- Murray River Region (N.S.W.-S.A.)</t>
  </si>
  <si>
    <t>b20862167</t>
  </si>
  <si>
    <t>Border cliffs on the lower River Murray</t>
  </si>
  <si>
    <t>Photoprint  14.5 x 10 cm</t>
  </si>
  <si>
    <t>Border cliffs on the lower River Murray, viewed from the river.</t>
  </si>
  <si>
    <t>Landforms -- Murray River Region (N.S.W.-S.A.);Geology -- Murray River Region (N.S.W.-S.A.)</t>
  </si>
  <si>
    <t>b20862179</t>
  </si>
  <si>
    <t>River scene on the Lower Murray with densely timbered riverbank</t>
  </si>
  <si>
    <t>River scene on the Lower Murray with densely timbered riverbank.</t>
  </si>
  <si>
    <t>Trees -- Australia, Southeastern;Natural areas -- Murray River (N.S.W.-S.A.)</t>
  </si>
  <si>
    <t>b20862210</t>
  </si>
  <si>
    <t>Irrigation channel off the Murrumbidgee River</t>
  </si>
  <si>
    <t>Photoprint  13 x 10 cm</t>
  </si>
  <si>
    <t>Irrigation channel off Murrumbidgee River.</t>
  </si>
  <si>
    <t>Irrigation -- Murrumbidgee River (N.S.W.-A.C.T.).;Water-supply -- Murrumbidgee River (N.S.W.-A.C.T.).</t>
  </si>
  <si>
    <t>b20862313</t>
  </si>
  <si>
    <t>Yanko Weir on the Murrumbidgee</t>
  </si>
  <si>
    <t>People walking across the Yanko Weir, on the Murrumbidgee.</t>
  </si>
  <si>
    <t>Dams -- Murrumbidgee River (N.S.W. and A.C.T.);Weirs -- New South Wales;Yanko Weir</t>
  </si>
  <si>
    <t>b20863536</t>
  </si>
  <si>
    <t>View of Wentworth Bridge from a boat passing through</t>
  </si>
  <si>
    <t>View of Wentworth Bridge taken from a passing riverboat, with onlookers on the bridge, and a line of trucks and cars waiting to cross.</t>
  </si>
  <si>
    <t>Bridges -- New South Wales -- Wentworth;Wentworth (N.S.W.) -- Buildings, structures, etc.</t>
  </si>
  <si>
    <t>b20863561</t>
  </si>
  <si>
    <t>Captain Hogg, Commander of the Loyalty and his wife Pearl</t>
  </si>
  <si>
    <t>Captain Hogg (Paddy), Commander of the 'Loyalty' and his wife Pearl, who was the only woman to hold a Captain's certificate.</t>
  </si>
  <si>
    <t>Hogg, Pearl;Hogg, Hillary;Loyalty (Motor launch);Women ship captains -- Murray River (N.S.W.-S.A.) -- Firsts;Ship captains -- Murray River (N.S.W.-S.A.)</t>
  </si>
  <si>
    <t>b2086372x</t>
  </si>
  <si>
    <t>Narrung ferry at landing with the ferry operator at side</t>
  </si>
  <si>
    <t>Narrung ferry at the landing with the ferry operator working at the side.</t>
  </si>
  <si>
    <t>Ferries -- South Australia -- Narrung</t>
  </si>
  <si>
    <t>b20863731</t>
  </si>
  <si>
    <t>Remains of Narrung jetty</t>
  </si>
  <si>
    <t>The remains of Narrung Jetty, with Point Malcolm in the distance opposite.</t>
  </si>
  <si>
    <t>Jetties -- South Australia -- Narrung;Narrung (S.A.)</t>
  </si>
  <si>
    <t>b20863743</t>
  </si>
  <si>
    <t>Remains of the Narrung Jetty with Point Malcolm opposite</t>
  </si>
  <si>
    <t>The remains of the Narrung Jetty with Point Malcolm opposite.</t>
  </si>
  <si>
    <t>Jetties -- South Australia -- Narrung</t>
  </si>
  <si>
    <t>b20863755</t>
  </si>
  <si>
    <t>View of the Narrung landscape and low vegetation</t>
  </si>
  <si>
    <t>View of the low lying Narrung landscape and vegetation, a flat expanse without buildings or people.</t>
  </si>
  <si>
    <t>Natural areas -- South Australia -- Narrung;Coorong, The (S.A.)</t>
  </si>
  <si>
    <t>b2085965x</t>
  </si>
  <si>
    <t>View overlooking the completed Hume Reservoir</t>
  </si>
  <si>
    <t>View overlooking the completed Hume Reservoir.</t>
  </si>
  <si>
    <t>Reservoirs -- Australia;Hume Reservoir (N.S.W.);Hume Weir (N.S.W. and Vic.)</t>
  </si>
  <si>
    <t>b20859661</t>
  </si>
  <si>
    <t>Eildon Dam under construction</t>
  </si>
  <si>
    <t>Photoprint  11 x 10 cm</t>
  </si>
  <si>
    <t>Eildon dam under construction showing extensive excavation work.</t>
  </si>
  <si>
    <t>Reservoirs -- Design and construction;Eildon Dam (Vic.)</t>
  </si>
  <si>
    <t>b20859673</t>
  </si>
  <si>
    <t>Steel tunnel 23 feet in diameter being constructed</t>
  </si>
  <si>
    <t>Steel tunnel 23 feet in diameter being constructed as part of the Eildon dam construction, showing men working inside the tunnel with a crane lowering a section.</t>
  </si>
  <si>
    <t>Reservoirs -- Design and construction;Eildon (Vic.)</t>
  </si>
  <si>
    <t>b20859739</t>
  </si>
  <si>
    <t>Seven mile drilling camp with main Snowy Mountain Range behind</t>
  </si>
  <si>
    <t>Seven mile drilling camp with rows of tents on left, transportable buildings on right, and the Snowy Mountain Range behind.</t>
  </si>
  <si>
    <t>Snowy Mountains Hydro-Electric Scheme;Snowy Mountains Region (N.S.W.) -- Social conditions;Huts -- New South Wales -- Snowy Mountains;Snowy Mountains (N.S.W.)</t>
  </si>
  <si>
    <t>b20866203</t>
  </si>
  <si>
    <t>Cup awarded to Captain George Johnston of P.S. Albury in 1855</t>
  </si>
  <si>
    <t>Cup presented to Captain George Johnston from the people of Albury, after his arrival at Albury in the 'P.S. Albury', 2 October 1855, with the barge 'Wakool' in tow, carrying a large cargo of supplies.</t>
  </si>
  <si>
    <t>Johnston, G. B. (George Bain), 1829-1882;Albury (Paddle steamer);Inland water transportation -- Murray River (N.S.W. - S.A.) -- Firsts;Steam navigation -- Murray River (N.S.W. - S.A.) -- Firsts</t>
  </si>
  <si>
    <t>b20860018</t>
  </si>
  <si>
    <t>Captain Charles Oliver's Masters certificate</t>
  </si>
  <si>
    <t>Photoprint  13.5 x 10 cm</t>
  </si>
  <si>
    <t>Front view of Captain Charles Oliver's Certificate of competency as Master of a steamer trading on the River Murray, dated 27 July, 1874.</t>
  </si>
  <si>
    <t>Oliver, Charles, 1840-1923;Ship captains -- Murray River (N.S.W.-S.A.)</t>
  </si>
  <si>
    <t>b2086002x</t>
  </si>
  <si>
    <t>Reverse of Captain Oliver's Masters certificate</t>
  </si>
  <si>
    <t>Reverse side of Captain Charles Oliver's Masters certificate, dated 25 July 1874, providing his place and date of birth as 10 August 1840, Lincolnshire, and his address as Milang, South Australia.</t>
  </si>
  <si>
    <t>b20860067</t>
  </si>
  <si>
    <t>Indenture papers of Andrew Willcock dated May 1864</t>
  </si>
  <si>
    <t>Photoprint  14.5 x 10.5 cm</t>
  </si>
  <si>
    <t>Indenture papers of Andrew Willcock, dated May 1864, providing information that he is the son of Oliver Willcock, and will be apprenticed to learn the art or trade of engineer from Andrew Jones.</t>
  </si>
  <si>
    <t>Willcock, Andrew;Marine engineering -- Study and teaching;Marine engineering -- Murray River (N.S.W.-S.A.)</t>
  </si>
  <si>
    <t>b20860079</t>
  </si>
  <si>
    <t>Engineer Andrew Willcock's certificate for River Murray</t>
  </si>
  <si>
    <t>Photoprint  12.5 x 10.5 cm</t>
  </si>
  <si>
    <t>Photograph of Engineer Andrew Willcock's certificate of Competence as Engineer on a steam vessel trading on the River Murray, dated March 1875.</t>
  </si>
  <si>
    <t>b20860080</t>
  </si>
  <si>
    <t>Andrew Willcock's Master's certificate for River Murray steamers</t>
  </si>
  <si>
    <t>Photograph of the front of Andrew Willcock's certificate of competency as Master of a steamer trading on the River Murray, dated 7 January, 1886.</t>
  </si>
  <si>
    <t>Willcock, Andrew;Ship captains -- Murray River (N.S.W.-S.A.)</t>
  </si>
  <si>
    <t>b20866197</t>
  </si>
  <si>
    <t>Gold medal to commemorate voyage by Capt. Francis Cadell in the 'Lady Augusta' in 1853</t>
  </si>
  <si>
    <t>Photograph of reverse sides of Francis Cadell's gold medal struck to commemorate the opening of steam navigation and commerce on the River Murray, and the river voyage of the 'Lady Augusta', 1853.</t>
  </si>
  <si>
    <t>Cadell, Francis, 1822-1879;Lady Augusta (Paddle steamer);Steam navigation -- Murray River (N.S.W. - S.A.) -- Medals;Inland water transportation -- Murray River (N.S.W. - S.A.) -- Medals</t>
  </si>
  <si>
    <t>b20860389</t>
  </si>
  <si>
    <t>Captain William Freeman examining a river chart</t>
  </si>
  <si>
    <t>Captain William Freeman examining a rare river chart, thought to be drawn by Gus Pierce.</t>
  </si>
  <si>
    <t>Freeman, William;Pierce, Gus;Steam navigation -- Murray River (N.S.W.-S.A.);Nautical charts -- Murray River (N.S.W.-S.A.);Ship captains -- Murray River (N.S.W.-S.A.)</t>
  </si>
  <si>
    <t>b2086047x</t>
  </si>
  <si>
    <t>Captain Lance McLean</t>
  </si>
  <si>
    <t>Photoprint  11.5 x 9.5 cm</t>
  </si>
  <si>
    <t>Head and shoulders profile of Captain Lance McLean, pipe in mouth, at the wheel of a paddle steamer.</t>
  </si>
  <si>
    <t>McLean, Lance;Ship captains -- Murray River (N.S.W.-S.A.)</t>
  </si>
  <si>
    <t>b20860559</t>
  </si>
  <si>
    <t>Reg Gobbett steering barge to Berri</t>
  </si>
  <si>
    <t>Reg Gobbett steering a barge to Berri, wearing singlet and rolled up trousers and sitting on a crate.</t>
  </si>
  <si>
    <t>Gobbett, Reg;Barges -- Murray River (N.S.W.-S.A.);Barges -- South Australia -- Berri Region</t>
  </si>
  <si>
    <t>b21095322</t>
  </si>
  <si>
    <t>Edmonds, John, photographer</t>
  </si>
  <si>
    <t>Tailem Bend</t>
  </si>
  <si>
    <t>Photograph(photoprint)  5.1 cm x 8.3 cm</t>
  </si>
  <si>
    <t>View of a street in Tailem Bend. This could be Station Drive.</t>
  </si>
  <si>
    <t>Tailem Bend (S.A.)</t>
  </si>
  <si>
    <t>John Edmonds Collection</t>
  </si>
  <si>
    <t>b2927641x</t>
  </si>
  <si>
    <t>Illustrations Ltd, photographer</t>
  </si>
  <si>
    <t>Interdominion group photo, Perth</t>
  </si>
  <si>
    <t>1 photograph : black and white   13.7 cm x 20.2 cm;still image sti rdacontent;unmediated n rdamedia;sheet nb rdacarrier</t>
  </si>
  <si>
    <t>Group photo of men and women at the Interdominion harness racing event, Perth.</t>
  </si>
  <si>
    <t>Harness racehorses -- Western Australia;Perth (W.A.)</t>
  </si>
  <si>
    <t>Murdoch Family Collection</t>
  </si>
  <si>
    <t>b29276408</t>
  </si>
  <si>
    <t>Rainsford, R. J. (Ross J.), photographer</t>
  </si>
  <si>
    <t>Bride entering church</t>
  </si>
  <si>
    <t>1 photograph : black and white   18.7 cm x 23.8 cm;still image sti rdacontent;unmediated n rdamedia;sheet nb rdacarrier</t>
  </si>
  <si>
    <t>Bride, accompanied by her father and bridesmaids, ready to enter the church.</t>
  </si>
  <si>
    <t>Brides -- South Australia;Adelaide (S.A.)</t>
  </si>
  <si>
    <t>b29285951</t>
  </si>
  <si>
    <t>Casely sisters camping in the Adelaide hills</t>
  </si>
  <si>
    <t>1 photograph : black and white   8.6 cm x 14.3 cm;still image sti rdacontent;unmediated n rdamedia;sheet nb rdacarrier</t>
  </si>
  <si>
    <t>The Casely sisters' tent and campsite in the Adelaide hills. Assumed to be Gladys Casely pictured.</t>
  </si>
  <si>
    <t>Casely, Mary Gladys, 1895-1973;Casely (Family);Camping -- South Australia -- Adelaide Hills</t>
  </si>
  <si>
    <t>b32030782</t>
  </si>
  <si>
    <t>Thomas Hallett</t>
  </si>
  <si>
    <t>[Approximately 1950]</t>
  </si>
  <si>
    <t>1 photograph : black and white   36.7 x 29.0 cm;RESERVE 11;still image sti rdacontent;unmediated n rdamedia;sheet nb rdacarrier</t>
  </si>
  <si>
    <t>Studio portrait photograph of Thomas 'Thos.' Hallett, son of Job Hallett, the founder of Hallett Bricks.</t>
  </si>
  <si>
    <t>Hallett, Thomas, 1882-1969;J. Hallett &amp; Son Ltd.;Brickmakers -- South Australia.</t>
  </si>
  <si>
    <t>b31315756</t>
  </si>
  <si>
    <t>Advertisement for OldfieldÔÇÖs bread</t>
  </si>
  <si>
    <t>1 photograph : black and white   15.7 x 20.7 cm;RESERVE 4;still image sti rdacontent;unmediated n rdamedia;sheet nr rdacarrier</t>
  </si>
  <si>
    <t>Advertisement for OldfieldÔÇÖs bread at unidentified location. Sign by Russell Ads.</t>
  </si>
  <si>
    <t>Oldfields Bakery Pty Ltd;Advertising;Bakers and bakeries -- South Australia</t>
  </si>
  <si>
    <t>b31315768</t>
  </si>
  <si>
    <t>Promotional display for OldfieldÔÇÖs bread</t>
  </si>
  <si>
    <t>1 photograph : black and white   21.4 x 19.7 cm;RESERVE 4;still image sti rdacontent;unmediated n rdamedia;sheet nr rdacarrier</t>
  </si>
  <si>
    <t>Promotional display for OldfieldÔÇÖs bread in an unidentified shop. The photograph of the premises (item no.37) is featured in the display.</t>
  </si>
  <si>
    <t>b3131577x</t>
  </si>
  <si>
    <t>Graham Watts in fancy dress to promote bread.</t>
  </si>
  <si>
    <t>1 photograph : black and white   13.2 x 8.1 cm;RESERVE 4;still image sti rdacontent;unmediated n rdamedia;sheet nr rdacarrier</t>
  </si>
  <si>
    <t>Graham Watts, Aroona Road, Kilkenny, in fancy dress to promote bread. The company had a delivery section based at the Kilkenny plant.</t>
  </si>
  <si>
    <t>b31315781</t>
  </si>
  <si>
    <t>Float promoting Oldfield's baby rusks</t>
  </si>
  <si>
    <t>1 photograph : black and white   16 x 21.2 cm;RESERVE 4;still image sti rdacontent;unmediated n rdamedia;sheet nr rdacarrier</t>
  </si>
  <si>
    <t>A young man in baker's uniform with a float promoting Oldfield's products ÔÇô possibly for a Labor Day parade.The float features boxes of 'Oldfield's health rusks' with dolls for the babies. It appears to have been built on an early motor cycle, with the dr.</t>
  </si>
  <si>
    <t>b31315902</t>
  </si>
  <si>
    <t>Official opening ceremony of the bread factory at Findon</t>
  </si>
  <si>
    <t>1 photograph : black and white   18.9 x 24.8 cm;RESERVE 4;still image sti rdacontent;unmediated n rdamedia;sheet nr rdacarrier</t>
  </si>
  <si>
    <t>Mr Frank Moore (Semaphore) speaking at the opening of the Bread Factory at Findon. Seated are (from left): Colin Oldfield, Mr Williams (Mayor of Woodville), unknown, Edgar D. Oldfield, Muriel Oldfield and Hilda Oldfield.</t>
  </si>
  <si>
    <t>b31315914</t>
  </si>
  <si>
    <t>Invitation to the opening of the automatic oven</t>
  </si>
  <si>
    <t>1 photograph : black and white   11.3 x 15 cm;RESERVE 4;still image sti rdacontent;unmediated n rdamedia;sheet nr rdacarrier</t>
  </si>
  <si>
    <t>Invitation issued to the official opening by the premier of South Australia, Don Dunstan, of the firt fully automatic bking plant in South Australia, 22 February 1972.</t>
  </si>
  <si>
    <t>b31316037</t>
  </si>
  <si>
    <t>Members of the Oldfield family</t>
  </si>
  <si>
    <t>1 photograph : black and white   16 x 21.1 cm;RESERVE 4;still image sti rdacontent;unmediated n rdamedia;sheet nr rdacarrier</t>
  </si>
  <si>
    <t>Members of the Oldfield family in front of MV Westralia at Port Adelaide. Edgar Oldfield on the right.</t>
  </si>
  <si>
    <t>b31316062</t>
  </si>
  <si>
    <t>Dough in large (proving?) bins</t>
  </si>
  <si>
    <t>1 photograph : black and white   30 x 38.4 cm, on mount 38 x 47.3 cm;RESERVE 4;still image sti rdacontent;unmediated n rdamedia;sheet nr rdacarrier</t>
  </si>
  <si>
    <t>Dough in large bins  caption reads 'Dough for 5000 loaves of "Bread-at-its-Best".</t>
  </si>
  <si>
    <t>b31315136</t>
  </si>
  <si>
    <t>Albie James unloading the ovens</t>
  </si>
  <si>
    <t>1 photograph : black and white   16.3 x 24 cm;RESERVE 4;still image sti rdacontent;unmediated n rdamedia;sheet nr rdacarrier</t>
  </si>
  <si>
    <t>Albie James unloading the ovens prior to the bread going to the packing bays.</t>
  </si>
  <si>
    <t>James, Albie;Oldfields Bakery Pty Ltd;Bakers and bakeries -- South Australia</t>
  </si>
  <si>
    <t>b31315148</t>
  </si>
  <si>
    <t>A view of the three dividers</t>
  </si>
  <si>
    <t>1 photograph : black and white   17.1 x 25 cm;RESERVE 4;still image sti rdacontent;unmediated n rdamedia;sheet nr rdacarrier</t>
  </si>
  <si>
    <t>A view of the three dividers, with an employee working at one of them.</t>
  </si>
  <si>
    <t>Oldfields Bakery Pty Ltd -- Employees;Bakers and bakeries -- South Australia;Machinery in the workplace -- South Australia</t>
  </si>
  <si>
    <t>b3131515x</t>
  </si>
  <si>
    <t>Stan Witzowski with bread coming out of the oven</t>
  </si>
  <si>
    <t>1 photograph : black and white   20.4 x 25.3 cm;RESERVE 4;still image sti rdacontent;unmediated n rdamedia;sheet nr rdacarrier</t>
  </si>
  <si>
    <t>Stan Witzowski with bread coming out of the oven. Process referred to as 'drawing the bread'.</t>
  </si>
  <si>
    <t>Witzowski, Stan;Oldfields Bakery Pty Ltd -- Employees;Bakers and bakeries -- South Australia;Machinery in the workplace -- South Australia</t>
  </si>
  <si>
    <t>b31315173</t>
  </si>
  <si>
    <t>View from the catwalks above the oven at Oldfields bakery</t>
  </si>
  <si>
    <t>1 photograph : black and white   16.4 x 12 cm;RESERVE 4;still image sti rdacontent;unmediated n rdamedia;sheet nr rdacarrier</t>
  </si>
  <si>
    <t>View from the catwalks above the oven showing the top of the provers at Oldfields bakery.</t>
  </si>
  <si>
    <t>Oldfields Bakery Pty Ltd;Bakers and bakeries -- South Australia;Machinery in the workplace -- South Australia</t>
  </si>
  <si>
    <t>b31315203</t>
  </si>
  <si>
    <t>Bread being sliced and wrapped</t>
  </si>
  <si>
    <t>1 photograph : black and white   20.5 x 25.3 cm;RESERVE 4;still image sti rdacontent;unmediated n rdamedia;sheet nr rdacarrier</t>
  </si>
  <si>
    <t>Bread being sliced and wrapped by a male employee.</t>
  </si>
  <si>
    <t>b31315227</t>
  </si>
  <si>
    <t>Inspection tour at opening of the new equipment</t>
  </si>
  <si>
    <t>1 photograph : black and white   16.5 x 21.6 cm;RESERVE 4;still image sti rdacontent;unmediated n rdamedia;sheet nr rdacarrier</t>
  </si>
  <si>
    <t>Inspection tour at opening of the new equipment. Jack Eade (foreman) on top right  Doug Wright with cap  spindle moulder on left  men in front 'tinning up' Vienna loaves.</t>
  </si>
  <si>
    <t>Eade, Jack;Oldfields Bakery Pty Ltd;Bakers and bakeries -- South Australia</t>
  </si>
  <si>
    <t>b31315318</t>
  </si>
  <si>
    <t>Premises at Jervois Street, Albert Park</t>
  </si>
  <si>
    <t>1 photograph : black and white   10.1 x 47 cm;RESERVE 4;still image sti rdacontent;unmediated n rdamedia;sheet nr rdacarrier</t>
  </si>
  <si>
    <t>Premises at Jervois Street, Albert Park, with stables on the left. Edgar OldfieldÔÇÖs black Buick is second from right  two of the horse drawn vans outside the stables. [approximately 1950].</t>
  </si>
  <si>
    <t>Oldfields Bakery Pty Ltd;Automobiles -- South Australia -- Albert Park;Bakers and bakeries -- South Australia</t>
  </si>
  <si>
    <t>b3131532x</t>
  </si>
  <si>
    <t>1 photograph : black and white   17.8 x 24.8 cm;RESERVE 4;still image sti rdacontent;unmediated n rdamedia;sheet nr rdacarrier</t>
  </si>
  <si>
    <t>Premises at Jervois Street, Albert Park. The semis are being loaded with racks of bread to take it to the Woolnough Distribution Centre (corner of Woolnough and Semaphore Roads) to save the horses.</t>
  </si>
  <si>
    <t>b31315604</t>
  </si>
  <si>
    <t>View of a 'motor bike van'</t>
  </si>
  <si>
    <t>1 photograph : black and white   7 x 11.5 cm;RESERVE 4;still image sti rdacontent;unmediated n rdamedia;sheet nr rdacarrier</t>
  </si>
  <si>
    <t>An employee with his 'motor bike van' used for a short time by Oldfields. Its operational life was short (1950-1956) as it was not powerful enough.</t>
  </si>
  <si>
    <t>Oldfields Bakery Pty Ltd;Bakers and bakeries -- South Australia;Delivery of goods -- South Australia</t>
  </si>
  <si>
    <t>b31315616</t>
  </si>
  <si>
    <t>An employee talking to a customer with his 'motor bike van' in the foreground. These vans were only used for a short time (1950-1956) by Oldfields as they were not powerful enough.</t>
  </si>
  <si>
    <t>b31315628</t>
  </si>
  <si>
    <t>Decorated horse-drawn delivery van</t>
  </si>
  <si>
    <t>Two men with a decorated horse-drawn van.</t>
  </si>
  <si>
    <t>Oldfields Bakery Pty Ltd;Bakers and bakeries -- South Australia;Horse-drawn vehicles -- South Australia</t>
  </si>
  <si>
    <t>b3141770x</t>
  </si>
  <si>
    <t>West Australian Newspapers</t>
  </si>
  <si>
    <t>James Wallace Sandford on a Commission</t>
  </si>
  <si>
    <t>1 photograph : black &amp; white   15.8 x 20.6 cm;still image sti rdacontent;unmediated n rdamedia;sheet nb rdacarrier</t>
  </si>
  <si>
    <t>Photograph of James Wallace Sandford (sitting second from the right) on a commission, possibly the Commonwealth Grants Commission. 7 other men are sitting and standing around.</t>
  </si>
  <si>
    <t>Sandford, James Wallace, Sir, 1879-1958.;Politicians -- Australia.</t>
  </si>
  <si>
    <t>General Collection</t>
  </si>
  <si>
    <t>b29572277</t>
  </si>
  <si>
    <t>Edna Gridley</t>
  </si>
  <si>
    <t>1 photograph : black and white   11.6 x 7.8 cm;OUTSIZE 1;still image sti rdacontent;unmediated n rdamedia;sheet nb rdacarrier</t>
  </si>
  <si>
    <t>Edna Gridley holding melons or pumpkins in a market garden at Marion. To see a selection of photographs in this collection, search on Archival number PRG 1631/45.</t>
  </si>
  <si>
    <t>Women -- South Australia -- Marion;Truck farming -- South Australia;Marion (S.A.)</t>
  </si>
  <si>
    <t>Margaret E. Ragless Collection;Portrait Collection</t>
  </si>
  <si>
    <t>b29572289</t>
  </si>
  <si>
    <t>Market garden ladies</t>
  </si>
  <si>
    <t>1 photograph : black and white   7.8 x 11.6 cm;OUTSIZE 1;still image sti rdacontent;unmediated n rdamedia;sheet nb rdacarrier</t>
  </si>
  <si>
    <t>Market garden ladies of Marion including Edna Gridley. To see a selection of photographs in this collection, search on Archival number PRG 1631/45.</t>
  </si>
  <si>
    <t>b29526784</t>
  </si>
  <si>
    <t>Motor mechanics class</t>
  </si>
  <si>
    <t>1 photograph : black and white   10.0 x 15.2 cm;OUTSIZE 1;still image sti rdacontent;unmediated n rdamedia;sheet nb rdacarrier</t>
  </si>
  <si>
    <t>Motor mechanics class attended by Margaret Arnott-Rogers. To see a selection of photographs in this collection, search on Archival number PRG 1631/5.</t>
  </si>
  <si>
    <t>Automobiles -- South Australia;Education -- South Australia</t>
  </si>
  <si>
    <t>Margaret E. Ragless Collection</t>
  </si>
  <si>
    <t>b29526796</t>
  </si>
  <si>
    <t>1 photograph : black and white   17.8 x 23.9 cm;OUTSIZE 1;still image sti rdacontent;unmediated n rdamedia;sheet nb rdacarrier</t>
  </si>
  <si>
    <t>Motor mechanics class attended by Margaret Arnott-Rogers. Men are standing around observing, as one man is explaining about the mechanics of a car. To see a selection of photographs in this collection, search on Archival number PRG 1631/5.</t>
  </si>
  <si>
    <t>b29526802</t>
  </si>
  <si>
    <t>1 photograph : black and white   17.2 x 23.8 cm;OUTSIZE 1;still image sti rdacontent;unmediated n rdamedia;sheet nb rdacarrier</t>
  </si>
  <si>
    <t>Motor mechanics class attended by Margaret Arnott-Rogers. Men are standing around observing the mechanics of a car engine. To see a selection of photographs in this collection, search on Archival number PRG 1631/5.</t>
  </si>
  <si>
    <t>b29594388</t>
  </si>
  <si>
    <t>Blum, Ron, 1934-, photographer</t>
  </si>
  <si>
    <t>Port Broughton</t>
  </si>
  <si>
    <t>1 photograph : black and white   15.8 x 21.5 cm;OUTSIZE 1;still image sti rdacontent;unmediated n rdamedia;sheet nb rdacarrier</t>
  </si>
  <si>
    <t>View of a winch towards the water at Port Broughton.</t>
  </si>
  <si>
    <t>Port Broughton (S.A.)</t>
  </si>
  <si>
    <t>Margaret E. Ragless Collection;Port Broughton Collection</t>
  </si>
  <si>
    <t>b29594418</t>
  </si>
  <si>
    <t>Port Broughton hotel</t>
  </si>
  <si>
    <t>1 photograph : black and white   23.8 x 29.5 cm;still image sti rdacontent;unmediated n rdamedia;sheet nb rdacarrier</t>
  </si>
  <si>
    <t>View of Port Broughton hotel from the jetty.</t>
  </si>
  <si>
    <t>Jetties -- South Australia -- Port Broughton;Hotels -- South Australia -- Port Broughton;Port Broughton (S.A.)</t>
  </si>
  <si>
    <t>b30138061</t>
  </si>
  <si>
    <t>Ship docked at Port Adelaide</t>
  </si>
  <si>
    <t>1 photograph : acetate, negative, black and white   5.6 x 8.2 cm;RESERVE 1 negatives;still image sti rdacontent;unmediated n rdamedia;sheet nb rdacarrier</t>
  </si>
  <si>
    <t>A ship docked at Port Adelaide. To see a selection of photographs in this collection, search on Archival number PRG 1642/13.</t>
  </si>
  <si>
    <t>Ships -- South Australia -- Port Adelaide;Port Adelaide (S.A.)</t>
  </si>
  <si>
    <t>Vernon Smith Collection;Port Adelaide Collection</t>
  </si>
  <si>
    <t>b30138073</t>
  </si>
  <si>
    <t>Shipping scene, Port Adelaide</t>
  </si>
  <si>
    <t>1 photograph : acetate, negative, black and white   8.2 x 5.1 cm;RESERVE 1 negatives;still image sti rdacontent;unmediated n rdamedia;sheet nb rdacarrier</t>
  </si>
  <si>
    <t>View of a shipping scene at Port Adelaide. To see a selection of photographs in this collection, search on Archival number PRG 1642/13.</t>
  </si>
  <si>
    <t>b30138097</t>
  </si>
  <si>
    <t>Ships at Port Adelaide</t>
  </si>
  <si>
    <t>1 photograph : acetate, negative, black and white   5.7 x 8.2 cm;RESERVE 1 negatives;still image sti rdacontent;unmediated n rdamedia;sheet nb rdacarrier</t>
  </si>
  <si>
    <t>View of ships at Port Adelaide. A small sailboat, which has a swastika on its sail is on the river. To see a selection of photographs in this collection, search on Archival number PRG 1642/13.</t>
  </si>
  <si>
    <t>b30138127</t>
  </si>
  <si>
    <t>Ship at Port Adelaide</t>
  </si>
  <si>
    <t>View of a ship at Port Adelaide. To see a selection of photographs in this collection, search on Archival number PRG 1642/13.</t>
  </si>
  <si>
    <t>b30153682</t>
  </si>
  <si>
    <t>Largs Bay Womans Hockey Club</t>
  </si>
  <si>
    <t>1 photograph : black and white   10.5 x 15.1 cm;OUTSIZE 1;still image sti rdacontent;unmediated n rdamedia;sheet nb rdacarrier</t>
  </si>
  <si>
    <t>Team photogrpah of the Largs Bay Womans Hockey Club. Back row L-R: Jean Jarvis, Barbara Moore, Dorothy Smith, Gwenda Conlon, Beth Vayne (nee Austin), Gwen Crammond. Front row L-R: Maureen Goldsworthy (nee Austin, twin sister of Beth Vayne), Pauline Pethick, Denise Jepson, Jean Allen, Betty Jones. To see a selection of photographs in this collection, search on Archival number PRG 1642/24.</t>
  </si>
  <si>
    <t>Hockey -- South Australia -- Largs Bay;Women -- South Australia -- Largs Bay;Largs Bay (S.A.)</t>
  </si>
  <si>
    <t>Vernon Smith Collection;Largs Bay Collection</t>
  </si>
  <si>
    <t>b30135692</t>
  </si>
  <si>
    <t>One thousand dozen sox</t>
  </si>
  <si>
    <t>1 photograph : black and white   25.4 x 22 cm;RESERVE 1;still image sti rdacontent;unmediated n rdamedia;sheet nb rdacarrier</t>
  </si>
  <si>
    <t>Window display of 1000 dozen socks at give-away prices, Charles Moore and Co.</t>
  </si>
  <si>
    <t>Charles Moore &amp; Company;Show windows;Hosiery</t>
  </si>
  <si>
    <t>Acre 378 Collection</t>
  </si>
  <si>
    <t>b30224780</t>
  </si>
  <si>
    <t>Family photograph</t>
  </si>
  <si>
    <t>1 photograph : black and white   3.9 x 5.4 cm;OUTSIZE 1;still image sti rdacontent;unmediated n rdamedia;sheet nb rdacarrier</t>
  </si>
  <si>
    <t>Family photograph showing 2 adults with 7 children, probably one line of the Kelly Family.</t>
  </si>
  <si>
    <t>Families -- South Australia</t>
  </si>
  <si>
    <t>Dominic Michael Kelly Collection</t>
  </si>
  <si>
    <t>b30224810</t>
  </si>
  <si>
    <t>1 photograph : black and white   6.1 x 10.5 cm;OUTSIZE 1;still image sti rdacontent;unmediated n rdamedia;sheet nb rdacarrier</t>
  </si>
  <si>
    <t>Family photograph showing 2 adults with 3 children, probably one line of the Kelly Family.</t>
  </si>
  <si>
    <t>b30265794</t>
  </si>
  <si>
    <t>Rembrandt Studio, photographer</t>
  </si>
  <si>
    <t>Frederick Charles Bromley</t>
  </si>
  <si>
    <t>1 electronic file (photograph) : sepia   20.3 x 15.1 cm;still image sti rdacontent;computer c rdamedia;online resource cr rdacarrier</t>
  </si>
  <si>
    <t>Portrait photograph of Frederick Charles Bromley (1887-1953), sitting down at a desk.</t>
  </si>
  <si>
    <t>Bromley, Frederick Charles, 1887-1953.;South Australian Lawn Tennis Association.</t>
  </si>
  <si>
    <t>b30297047</t>
  </si>
  <si>
    <t>Children with a horse and dray</t>
  </si>
  <si>
    <t>1 electronic file (photograph) : black and white   6.1 x 10.4 cm;still image sti rdacontent;computer c rdamedia;online resource cr rdacarrier</t>
  </si>
  <si>
    <t>Three children with a horse and dray, possibly family of Donald Keith South.</t>
  </si>
  <si>
    <t>Children -- South Australia.;Horse drawn vehicles -- South Australia.</t>
  </si>
  <si>
    <t>b30297497</t>
  </si>
  <si>
    <t>Cat on a taxi</t>
  </si>
  <si>
    <t>A cat sitting on top of a taxi car, possibly belonging to Don South.</t>
  </si>
  <si>
    <t>Cats -- South Australia.;Taxicabs -- South Australia.</t>
  </si>
  <si>
    <t>b30297503</t>
  </si>
  <si>
    <t>Don South with two women</t>
  </si>
  <si>
    <t>Don South with two women.</t>
  </si>
  <si>
    <t>South, Donald Keith, 1914-1995.;Women -- South Australia.</t>
  </si>
  <si>
    <t>b30297515</t>
  </si>
  <si>
    <t>Three women in a rock</t>
  </si>
  <si>
    <t>Three women standing in a rock formation.</t>
  </si>
  <si>
    <t>Women -- South Australia.</t>
  </si>
  <si>
    <t>b30297527</t>
  </si>
  <si>
    <t>Man by a taxi</t>
  </si>
  <si>
    <t>1 electronic file (photograph) : black and white   6.4 x 10.4 cm;still image sti rdacontent;computer c rdamedia;online resource cr rdacarrier</t>
  </si>
  <si>
    <t>Man standing by a taxi, 'Black &amp; White Service', possibly a member of the South Family.</t>
  </si>
  <si>
    <t>Taxicabs -- South Australia.;Men -- South Australia.</t>
  </si>
  <si>
    <t>b30297552</t>
  </si>
  <si>
    <t>Don South with women</t>
  </si>
  <si>
    <t>Don South with a group of women, including a couple of young girls.</t>
  </si>
  <si>
    <t>South, Donald Keith, 1914-1995.;Women -- South Australia.;Girls -- South Australia.</t>
  </si>
  <si>
    <t>b3029759x</t>
  </si>
  <si>
    <t>House at 5 Coralie Street, Plympton</t>
  </si>
  <si>
    <t>1 electronic file (photograph) : black and white   7.2 x 12.5 cm;still image sti rdacontent;computer c rdamedia;online resource cr rdacarrier</t>
  </si>
  <si>
    <t>View of the house owned by Don South at 5 Coralie Street, Plympton.</t>
  </si>
  <si>
    <t>Architecture, Domestic -- South Australia -- Plympton.;Plympton (S.A.)</t>
  </si>
  <si>
    <t>b30297618</t>
  </si>
  <si>
    <t>Woman with girls</t>
  </si>
  <si>
    <t>1 electronic file (photograph) : black and white   5.6 x 8.0 cm;still image sti rdacontent;computer c rdamedia;online resource cr rdacarrier</t>
  </si>
  <si>
    <t>A woman with two girls. One is holding a dog.</t>
  </si>
  <si>
    <t>Women -- South Australia.;Girls -- South Australia.</t>
  </si>
  <si>
    <t>b30297643</t>
  </si>
  <si>
    <t>Monkey riding a bicycle</t>
  </si>
  <si>
    <t>1 electronic file (photograph) : black and white   5.2 x 7.8 cm;still image sti rdacontent;computer c rdamedia;online resource cr rdacarrier</t>
  </si>
  <si>
    <t>A monkey riding a bicycle in front of an audience.</t>
  </si>
  <si>
    <t>Monkeys -- South Australia.;Bicycles -- South Australia.;Crowds -- South Australia.</t>
  </si>
  <si>
    <t>b30298313</t>
  </si>
  <si>
    <t>Young girl in a toy car</t>
  </si>
  <si>
    <t>1 electronic file (photograph) : black and white   7.6 x 5.2 cm;still image sti rdacontent;computer c rdamedia;online resource cr rdacarrier</t>
  </si>
  <si>
    <t>A young girl, Coral, sitting in a toy car.</t>
  </si>
  <si>
    <t>Girls -- South Australia.</t>
  </si>
  <si>
    <t>b30298374</t>
  </si>
  <si>
    <t>Don South with another man</t>
  </si>
  <si>
    <t>1 electronic file (photograph) : black and white   10.4 x 5.9 cm;still image sti rdacontent;computer c rdamedia;online resource cr rdacarrier</t>
  </si>
  <si>
    <t>Two men standing together including Don South on the right hand side.</t>
  </si>
  <si>
    <t>South, Donald Keith, 1914-1995.;Men -- South Australia.</t>
  </si>
  <si>
    <t>b30297084</t>
  </si>
  <si>
    <t>Don South with three women</t>
  </si>
  <si>
    <t>1 electronic file (photograph) : black and white   8.0 x 5.7 cm;still image sti rdacontent;computer c rdamedia;online resource cr rdacarrier</t>
  </si>
  <si>
    <t>Don South with three women on a rock by the ocean.</t>
  </si>
  <si>
    <t>b3029969x</t>
  </si>
  <si>
    <t>Oldsmobile wedding car</t>
  </si>
  <si>
    <t>1 electronic file (photograph) : black and white   8.4 x 8.3 cm;still image sti rdacontent;computer c rdamedia;online resource cr rdacarrier</t>
  </si>
  <si>
    <t>Don South's Oldsmobile in front of a church.</t>
  </si>
  <si>
    <t>Oldsmobile automobile;Automobiles -- South Australia.</t>
  </si>
  <si>
    <t>b30299718</t>
  </si>
  <si>
    <t>Don South's Oldsmobile</t>
  </si>
  <si>
    <t>1 electronic file (photograph) : black and white   5.9 x 10.4 cm;still image sti rdacontent;computer c rdamedia;online resource cr rdacarrier</t>
  </si>
  <si>
    <t>Don South's Oldsmobile in front of his house at 5 Coralie Street, Plympton.</t>
  </si>
  <si>
    <t>Oldsmobile automobile.;Architecture, Domestic -- South Australia -- Plympton.;Automobiles -- South Australia.</t>
  </si>
  <si>
    <t>Plympton Collection</t>
  </si>
  <si>
    <t>b3029972x</t>
  </si>
  <si>
    <t>1 electronic file (photograph) : black and white   5.9 x 10.5 cm;still image sti rdacontent;computer c rdamedia;online resource cr rdacarrier</t>
  </si>
  <si>
    <t>b30299731</t>
  </si>
  <si>
    <t>1 electronic file (photograph) : black and white   6.0 x 10.4 cm;still image sti rdacontent;computer c rdamedia;online resource cr rdacarrier</t>
  </si>
  <si>
    <t>Don South's Oldsmobile with people inside.</t>
  </si>
  <si>
    <t>Oldsmobile automobile.;Automobiles -- South Australia.</t>
  </si>
  <si>
    <t>b30299755</t>
  </si>
  <si>
    <t>Don South's Oldsmobile with the boot completely full. Items have been strapped onto it with rope.</t>
  </si>
  <si>
    <t>b30299779</t>
  </si>
  <si>
    <t>Don South's Oldsmobile with a woman at the wheel.</t>
  </si>
  <si>
    <t>b3027851x</t>
  </si>
  <si>
    <t>Modern Photo Service, photographer</t>
  </si>
  <si>
    <t>Charles W. South with a woman</t>
  </si>
  <si>
    <t>1 electronic file (photograph) : black and white   7.8 x 12.9 cm;still image sti rdacontent;computer c rdamedia;online resource cr rdacarrier</t>
  </si>
  <si>
    <t>Charles W. South having drinks with a woman.</t>
  </si>
  <si>
    <t>South, Charles William, 1904-</t>
  </si>
  <si>
    <t>b30289634</t>
  </si>
  <si>
    <t>Group of men</t>
  </si>
  <si>
    <t>1 electronic file (photograph): black and white   8.0 x 13.2 cm;still image sti rdacontent;computer c rdamedia;online resource cr rdacarrier</t>
  </si>
  <si>
    <t>Group of men, including Charles W. South, second from left.</t>
  </si>
  <si>
    <t>South, Charles William, 1904-;Men -- South Australia.</t>
  </si>
  <si>
    <t>b31123739</t>
  </si>
  <si>
    <t>Customs House, Port MacDonnell</t>
  </si>
  <si>
    <t>1 photograph : black and white   5.5 x 8.0 cm;OUTSIZE 1;still image sti rdacontent;unmediated n rdamedia;sheet nb rdacarrier</t>
  </si>
  <si>
    <t>Partial view of the Port MacDonnell Customs House, which was also a Police Station, and now a Maritime Museum. It has a WWII German sea mine on display in front of the building.</t>
  </si>
  <si>
    <t>Port Macdonnell and District Maritime Museum (S.A.);Historic buildings -- South Australia -- Port Macdonnell</t>
  </si>
  <si>
    <t>b31123788</t>
  </si>
  <si>
    <t>Man on a rock stack</t>
  </si>
  <si>
    <t>1 photograph : black and white   5.4 x 8.0 cm;OUTSIZE 1;still image sti rdacontent;unmediated n rdamedia;sheet nb rdacarrier</t>
  </si>
  <si>
    <t>Man sitting on a rock stack looking out to the ocean, possibly near Port MacDonnell, in the southeast of South Australia.</t>
  </si>
  <si>
    <t>Coasts -- South Australia.</t>
  </si>
  <si>
    <t>b31123806</t>
  </si>
  <si>
    <t>Jetty</t>
  </si>
  <si>
    <t>View of a jetty stretching out from the shore. It has a shack halfway along, and is possibly the jetty for a town in the southeast of South Australia.</t>
  </si>
  <si>
    <t>Jetties -- South Australia.</t>
  </si>
  <si>
    <t>b31124069</t>
  </si>
  <si>
    <t>People at Wilpena Pound</t>
  </si>
  <si>
    <t>1 photograph : black and white   5.3 x 7.8 cm;OUTSIZE 1;still image sti rdacontent;unmediated n rdamedia;sheet nb rdacarrier</t>
  </si>
  <si>
    <t>A man and a woman standing in the garden of the chalet at Wilpena Pound.</t>
  </si>
  <si>
    <t>Gardens -- South Australia -- Wilpena Pound;Wilpena Pound (S.A.)</t>
  </si>
  <si>
    <t>Wilpena Pound</t>
  </si>
  <si>
    <t>b31124082</t>
  </si>
  <si>
    <t>Wilpena Pound chalet</t>
  </si>
  <si>
    <t>1 photograph : black and white   5.4 x 7.9 cm;OUTSIZE 1;still image sti rdacontent;unmediated n rdamedia;sheet nb rdacarrier</t>
  </si>
  <si>
    <t>View of the chalet at Wilpena Pound.</t>
  </si>
  <si>
    <t>Wilpena Pound Collection</t>
  </si>
  <si>
    <t>b3112415x</t>
  </si>
  <si>
    <t>Four men with a Land Rover</t>
  </si>
  <si>
    <t>1 photograph : black and white   5.4 x 7.8 cm;OUTSIZE 1;still image sti rdacontent;unmediated n rdamedia;sheet nb rdacarrier</t>
  </si>
  <si>
    <t>Four men with a Land Rover. Three of them are sitting on the bumper of the car.</t>
  </si>
  <si>
    <t>Men -- South Australia.;Automobiles -- South Australia.</t>
  </si>
  <si>
    <t>b31124161</t>
  </si>
  <si>
    <t>Three men sitting outside a bar</t>
  </si>
  <si>
    <t>1 photograph : black and white   5.6 x 8.1 cm;OUTSIZE 1;still image sti rdacontent;unmediated n rdamedia;sheet nb rdacarrier</t>
  </si>
  <si>
    <t>Three men sitting outside a bar. They are wearing flared suits.</t>
  </si>
  <si>
    <t>Men -- South Australia.</t>
  </si>
  <si>
    <t>b31124185</t>
  </si>
  <si>
    <t>River view</t>
  </si>
  <si>
    <t>View of a bend in a river, with trees lining both shores.</t>
  </si>
  <si>
    <t>Rivers -- South Australia</t>
  </si>
  <si>
    <t>b3112527x</t>
  </si>
  <si>
    <t>Boats on a lake</t>
  </si>
  <si>
    <t>Boats on a lake, possibly the Blue Lake at Mount Gambier.</t>
  </si>
  <si>
    <t>Lakes -- South Australia;Boats and boating -- South Australia</t>
  </si>
  <si>
    <t>b31125293</t>
  </si>
  <si>
    <t>b31125347</t>
  </si>
  <si>
    <t>Farm shed</t>
  </si>
  <si>
    <t>1 photograph : black and white   5.4 x 8.2 cm;OUTSIZE 1;still image sti rdacontent;unmediated n rdamedia;sheet nb rdacarrier</t>
  </si>
  <si>
    <t>View of a farm shed on an unidentified farm, possibly in the southeast region of South Australia.</t>
  </si>
  <si>
    <t>Sheds -- South Australia.;Farms -- South Australia.</t>
  </si>
  <si>
    <t>b31125359</t>
  </si>
  <si>
    <t>b31125360</t>
  </si>
  <si>
    <t>Roadway</t>
  </si>
  <si>
    <t>1 photograph : black and white   5.6 x 8.2 cm;OUTSIZE 1;still image sti rdacontent;unmediated n rdamedia;sheet nb rdacarrier</t>
  </si>
  <si>
    <t>View of a roadway snaking into the distance, possibly in the southeast of South Australia.</t>
  </si>
  <si>
    <t>Roads -- South Australia</t>
  </si>
  <si>
    <t>b31125372</t>
  </si>
  <si>
    <t>Farm view</t>
  </si>
  <si>
    <t>1 photograph : black and white   5.3 x 8.1 cm;OUTSIZE 1;still image sti rdacontent;unmediated n rdamedia;sheet nb rdacarrier</t>
  </si>
  <si>
    <t>View of a farm with sheds and grass, possibly in the southeast of South Australia.</t>
  </si>
  <si>
    <t>Farms -- South Australia.;Sheds -- South Australia.</t>
  </si>
  <si>
    <t>b31125384</t>
  </si>
  <si>
    <t>Farm buildings</t>
  </si>
  <si>
    <t>View of buildings and sheds on an unidentified property, possibly in the southeast of South Australia.</t>
  </si>
  <si>
    <t>b31125402</t>
  </si>
  <si>
    <t>Man standing in a garden</t>
  </si>
  <si>
    <t>An unidentified man standing on a lawn, surrounded by gardens.</t>
  </si>
  <si>
    <t>Lawns -- South Australia.;Gardens -- South Australia.</t>
  </si>
  <si>
    <t>b31125414</t>
  </si>
  <si>
    <t>House and garden</t>
  </si>
  <si>
    <t>View of a house, driveway, and garden, possibly on a farm.</t>
  </si>
  <si>
    <t>Architecture, Domestic -- South Australia.;Gardens -- South Australia.</t>
  </si>
  <si>
    <t>b3112544x</t>
  </si>
  <si>
    <t>Wool truck</t>
  </si>
  <si>
    <t>1 photograph : black and white   5.3 x 8.0 cm;OUTSIZE 1;still image sti rdacontent;unmediated n rdamedia;sheet nb rdacarrier</t>
  </si>
  <si>
    <t>Men loading bales of wool onto a truck.</t>
  </si>
  <si>
    <t>Wool industry -- South Australia.;Trucks -- South Australia.</t>
  </si>
  <si>
    <t>b31125463</t>
  </si>
  <si>
    <t>b31125487</t>
  </si>
  <si>
    <t>Drive up to a farm</t>
  </si>
  <si>
    <t>View of the drive up to a farm.</t>
  </si>
  <si>
    <t>Farms -- South Australia.</t>
  </si>
  <si>
    <t>b31125542</t>
  </si>
  <si>
    <t>House</t>
  </si>
  <si>
    <t>View of a house, possibly on a farm. A lawn and trees cover the front.</t>
  </si>
  <si>
    <t>Architecture, Domestic -- South Australia</t>
  </si>
  <si>
    <t>b31125591</t>
  </si>
  <si>
    <t>Man sitting on a bale of wool</t>
  </si>
  <si>
    <t>1 photograph : black and white   8.1 x 5.4 cm;OUTSIZE 1;still image sti rdacontent;unmediated n rdamedia;sheet nb rdacarrier</t>
  </si>
  <si>
    <t>A man sitting on a bale of wool in a shed.</t>
  </si>
  <si>
    <t>Wool industry -- South Australia</t>
  </si>
  <si>
    <t>b31125529</t>
  </si>
  <si>
    <t>View of Roseworthy College</t>
  </si>
  <si>
    <t>1 photograph : black and white   5.2 x 7.8 cm;OUTSIZE 1;still image sti rdacontent;unmediated n rdamedia;sheet nb rdacarrier</t>
  </si>
  <si>
    <t>View of Roseworthy College.</t>
  </si>
  <si>
    <t>Roseworthy Agricultural College;Architecture -- South Australia -- Roseworthy</t>
  </si>
  <si>
    <t>b31124021</t>
  </si>
  <si>
    <t>Men in cricket whites</t>
  </si>
  <si>
    <t>1 photograph : black and white   8.0 x 5.6 cm;OUTSIZE 1;still image sti rdacontent;unmediated n rdamedia;sheet nb rdacarrier</t>
  </si>
  <si>
    <t>Two men, John Verco and Karl, standing in their cricket whites.</t>
  </si>
  <si>
    <t>Men -- South Australia;Cricket players -- South Australia</t>
  </si>
  <si>
    <t>b31124033</t>
  </si>
  <si>
    <t>Man in a town</t>
  </si>
  <si>
    <t>1 photograph : black and white   5.5 x 7.9 cm;OUTSIZE 1;still image sti rdacontent;unmediated n rdamedia;sheet nb rdacarrier</t>
  </si>
  <si>
    <t>A man standing on a bridge, in front of a town.</t>
  </si>
  <si>
    <t>Men -- South Australia</t>
  </si>
  <si>
    <t>b31124045</t>
  </si>
  <si>
    <t>Man with a dog</t>
  </si>
  <si>
    <t>1 photograph : black and white   7.9 x 5.6 cm;OUTSIZE 1;still image sti rdacontent;unmediated n rdamedia;sheet nb rdacarrier</t>
  </si>
  <si>
    <t>A man sitting on an outdoor bed with with a small dog.</t>
  </si>
  <si>
    <t>Men -- South Australia;Dogs -- South Australia</t>
  </si>
  <si>
    <t>b31123831</t>
  </si>
  <si>
    <t>John Verco with a land rover</t>
  </si>
  <si>
    <t>1 photograph : black and white   5.4 x 10.3 cm;OUTSIZE 1;still image sti rdacontent;unmediated n rdamedia;sheet nb rdacarrier</t>
  </si>
  <si>
    <t>John Verco with his land rover. The number plate is S.A. 267-471.</t>
  </si>
  <si>
    <t>Verco, John;Land Rover automobile;Automobiles -- South Australia</t>
  </si>
  <si>
    <t>b31126364</t>
  </si>
  <si>
    <t>Baby, Margaret Marie Mibus</t>
  </si>
  <si>
    <t>1 photograph : black and white   6.0 x 10.4 cm;OUTSIZE 1;still image sti rdacontent;unmediated n rdamedia;sheet nb rdacarrier</t>
  </si>
  <si>
    <t>A baby, Margaret Marie Mibus, aged 7 months, sitting in a chair in the garden of a house.</t>
  </si>
  <si>
    <t>Infants -- South Australia.</t>
  </si>
  <si>
    <t>b31126558</t>
  </si>
  <si>
    <t>Kingston Soldiers Memorial Hospital</t>
  </si>
  <si>
    <t>1 photograph : black and white   5.2 x 8.0 cm;OUTSIZE 1;still image sti rdacontent;unmediated n rdamedia;sheet nb rdacarrier</t>
  </si>
  <si>
    <t>View of the Kingston Soldiers Memorial Hospital.</t>
  </si>
  <si>
    <t>Hospitals -- South Australia -- Kingston, S.E;Kingston S.E. (S.A.)</t>
  </si>
  <si>
    <t>Kingston Collection</t>
  </si>
  <si>
    <t>b31126315</t>
  </si>
  <si>
    <t>Mrs. Barney in her garden</t>
  </si>
  <si>
    <t>1 photograph : black and white   6.2 x 10.5 cm;OUTSIZE 1;still image sti rdacontent;unmediated n rdamedia;sheet nb rdacarrier</t>
  </si>
  <si>
    <t>Mrs. Barney by her flower garden at her home, 'Daleford', at Hindmarsh.</t>
  </si>
  <si>
    <t>Gardens -- South Australia -- Hindmarsh.;Architecture, Domestic -- South Australia -- Hindmarsh.</t>
  </si>
  <si>
    <t>Hindmarsh Collection</t>
  </si>
  <si>
    <t>b31126996</t>
  </si>
  <si>
    <t>Boase, Frank, photographer</t>
  </si>
  <si>
    <t>Man in a suit</t>
  </si>
  <si>
    <t>1 photograph : black and white   20.2 x 14.5 cm;OUTSIZE 1;still image sti rdacontent;unmediated n rdamedia;sheet nb rdacarrier</t>
  </si>
  <si>
    <t>Portrait photograph of a man in a suit.</t>
  </si>
  <si>
    <t>Clothing and dress -- South Australia</t>
  </si>
  <si>
    <t>b31126777</t>
  </si>
  <si>
    <t>Man and woman in a garden</t>
  </si>
  <si>
    <t>1 photograph : black and white   19.0 x 13.8 cm;OUTSIZE 1;still image sti rdacontent;unmediated n rdamedia;sheet nb rdacarrier</t>
  </si>
  <si>
    <t>Man and a woman standing in a garden behind some flowers.</t>
  </si>
  <si>
    <t>Gardens -- South Australia.;Clothing and dress -- South Australia.</t>
  </si>
  <si>
    <t>b31459444</t>
  </si>
  <si>
    <t>Phillips, Keith P. (Keith Planta), 1898-1973</t>
  </si>
  <si>
    <t>Adelaide, South Australia</t>
  </si>
  <si>
    <t>1 photograph : black and white  28.8 x 23.6 cm;RESERVE 1 prints;still image sti rdacontent;unmediated n rdamedia;sheet nb rdacarrier</t>
  </si>
  <si>
    <t>"The city skyline with Mt. Lofty ranges in the background taken from the Memorial Drive (Davis Cup Stand)".</t>
  </si>
  <si>
    <t>Cheer Up Hut (Adelaide, S.A.);Parliament House (Adelaide, S.A.);Adelaide (S.A.)</t>
  </si>
  <si>
    <t>Keith Phillips Collection</t>
  </si>
  <si>
    <t>b31123697</t>
  </si>
  <si>
    <t>Crompton (Family)</t>
  </si>
  <si>
    <t>Wisteria at Stonyfell</t>
  </si>
  <si>
    <t>1 photograph : black and white   13.4 x 8.2 cm;RESERVE 1 a;still image sti rdacontent;unmediated n rdamedia;sheet nb rdacarrier</t>
  </si>
  <si>
    <t>White wisteria alongside Stonyfell House.</t>
  </si>
  <si>
    <t>Wisteria;Stonyfell (House : S.A.);Stonyfell (S.A.)</t>
  </si>
  <si>
    <t>b31123715</t>
  </si>
  <si>
    <t>1 photograph : black and white   8.2 x 13.5 cm;RESERVE 1 a;still image sti rdacontent;unmediated n rdamedia;sheet nb rdacarrier</t>
  </si>
  <si>
    <t>White wisteria alongside garden path to Stonyfell House.</t>
  </si>
  <si>
    <t>b31123727</t>
  </si>
  <si>
    <t>White Wisteria at Stonyfell</t>
  </si>
  <si>
    <t>1 photograph : black and white   8.6 x 13.7 cm;RESERVE 1 a;still image sti rdacontent;unmediated n rdamedia;sheet nb rdacarrier</t>
  </si>
  <si>
    <t>Caption on back of photograph reads: 'Stonyfell House from the front, with white wisteria.'</t>
  </si>
  <si>
    <t>b31126029</t>
  </si>
  <si>
    <t>Wisteria on Stonyfell House</t>
  </si>
  <si>
    <t>1 photograph : black and white   8.5 x 5.8 cm;RESERVE 1 a;still image sti rdacontent;unmediated n rdamedia;sheet nb rdacarrier</t>
  </si>
  <si>
    <t>White wisteria spreads over the roof of Stonyfell House.</t>
  </si>
  <si>
    <t>b31388310</t>
  </si>
  <si>
    <t>Walls St, Iron Knob</t>
  </si>
  <si>
    <t>1 photograph : black and white   5.5 x 8.0 cm;still image sti rdacontent;unmediated n rdamedia;sheet nr rdacarrier;OUTSIZE 1</t>
  </si>
  <si>
    <t>Street scene, Iron Knob, looking east from school down Walls St.</t>
  </si>
  <si>
    <t>Architecture, Domestic -- South Australia -- Iron Knob.;Iron Knob (S.A.)</t>
  </si>
  <si>
    <t>Sir Lyell McEwin Collection;Iron Knob Collection</t>
  </si>
  <si>
    <t>b31388322</t>
  </si>
  <si>
    <t>Watson St, Iron Knob</t>
  </si>
  <si>
    <t>Houses in Watson Street, Iron Knob.</t>
  </si>
  <si>
    <t>b31388334</t>
  </si>
  <si>
    <t>Moroney St, Iron Knob</t>
  </si>
  <si>
    <t>1 photograph : black and white   8.0 x 5.5 cm;still image sti rdacontent;unmediated n rdamedia;sheet nr rdacarrier;OUTSIZE 1</t>
  </si>
  <si>
    <t>View of Moroney Street, Iron Knob, with houses on the left and a church on the right.</t>
  </si>
  <si>
    <t>b31388346</t>
  </si>
  <si>
    <t>Farrell Terrace, Iron Knob</t>
  </si>
  <si>
    <t>View of Farrell Terrace, Iron Knob.</t>
  </si>
  <si>
    <t>b31388358</t>
  </si>
  <si>
    <t>Rankine St, Iron Knob</t>
  </si>
  <si>
    <t>View of houses on Rankine Street, Iron Knob.</t>
  </si>
  <si>
    <t>b3138836x</t>
  </si>
  <si>
    <t>Lewis Terrace, Iron Knob</t>
  </si>
  <si>
    <t>Building behind trees on Lewis Terrace, Iron Knob, showing the front of the school.</t>
  </si>
  <si>
    <t>Schools -- South Australia -- Iron Knob.;Iron Knob (S.A.)</t>
  </si>
  <si>
    <t>b31388383</t>
  </si>
  <si>
    <t>Sir Lyell McEwin with Police Commissioner Johns</t>
  </si>
  <si>
    <t>1 photograph : black and white   8.0 x 13.0 cm;still image sti rdacontent;unmediated n rdamedia;sheet nr rdacarrier;OUTSIZE 1</t>
  </si>
  <si>
    <t>Two men seated in office, by microphone. Sir Lyell McEwin on left, with Police Commissioner Johns, in Port Augusta.</t>
  </si>
  <si>
    <t>McEwin, Lyell (Alexander Lyell), Sir, 1897-1988.;Johns, W. F. (William Francis), 1885-1972.;Port Augusta (S.A.)</t>
  </si>
  <si>
    <t>b31388395</t>
  </si>
  <si>
    <t>1 photograph : black and white   18.0 x 22.5 cm;still image sti rdacontent;unmediated n rdamedia;sheet nr rdacarrier;OUTSIZE 1</t>
  </si>
  <si>
    <t>Two men seated in office, in front of a radio. Sir Lyell McEwin on left, with Police Commissioner Johns, in Mount Gambier.</t>
  </si>
  <si>
    <t>McEwin, Lyell (Alexander Lyell), Sir, 1897-1988.;Johns, W. F. (William Francis), 1885-1972.;Mount Gambier (S.A.)</t>
  </si>
  <si>
    <t>b31388401</t>
  </si>
  <si>
    <t>Krischock, Henry, photographer</t>
  </si>
  <si>
    <t>Opening of Parliament</t>
  </si>
  <si>
    <t>1 photograph : black and white   20.0 x 15.5 cm;still image sti rdacontent;unmediated n rdamedia;sheet nr rdacarrier;OUTSIZE 1</t>
  </si>
  <si>
    <t>Opening of Parliament.</t>
  </si>
  <si>
    <t>Parliament House (Adelaide, S.A.);Politicians -- South Australia -- Adelaide.</t>
  </si>
  <si>
    <t>Sir Lyell McEwin Collection;Parliament House Collection</t>
  </si>
  <si>
    <t>b31388516</t>
  </si>
  <si>
    <t>Cabinet meeting</t>
  </si>
  <si>
    <t>1 photograph : black and white   15.0 x 20.5 cm;still image sti rdacontent;unmediated n rdamedia;sheet nr rdacarrier;OUTSIZE 1</t>
  </si>
  <si>
    <t>Group of 8 men seated and one standing around a table on a formal occasion, possibly a cabinet meeting. Sir Lyell McEwin is third from right, and Sir Thomas Playford is third from left. Many of the men are wearing medals.</t>
  </si>
  <si>
    <t>McEwin, Lyell (Alexander Lyell), Sir, 1897-1988.;Playford, Thomas, Sir, 1896-1981.;Politicians -- South Australia -- Adelaide.</t>
  </si>
  <si>
    <t>b31388528</t>
  </si>
  <si>
    <t>Group of politicians</t>
  </si>
  <si>
    <t>1 photograph : black and white   19.0 x 24.0 cm;still image sti rdacontent;unmediated n rdamedia;sheet nr rdacarrier;OUTSIZE 1</t>
  </si>
  <si>
    <t>Formal group shot of eight formally dressed men, with three seated in front of the other five standing. Centre front is Sir Tom Playford, and left front is Sir Lyell McEwin, possibly a Cabinet group, or group of politicians.</t>
  </si>
  <si>
    <t>b3138853x</t>
  </si>
  <si>
    <t>Ford Motor Company Cocktail Party</t>
  </si>
  <si>
    <t>1 photograph : black and white   19.0 x 25.5 cm;still image sti rdacontent;unmediated n rdamedia;sheet nr rdacarrier;OUTSIZE 1</t>
  </si>
  <si>
    <t>Group of men at a cocktail party to honour Mr C.A. Smith of Ford Motor Company: L-R: G.S. Johnson (SA branch manager)  C.A. Smith (Managing Director for Australia)  E. Scott Inglis (Director of Vehicle Sales)  Sir Lyell McEwin (Chief Secretary).</t>
  </si>
  <si>
    <t>McEwin, Lyell (Alexander Lyell), Sir, 1897-1988.;Ford Motor Company.</t>
  </si>
  <si>
    <t>b31388541</t>
  </si>
  <si>
    <t>C.A. Smith (Managing Director) giving a speech at Ford Motor Company cocktail party in his honour. Sir Lyell McEwin is second from left.</t>
  </si>
  <si>
    <t>McEwin, Lyell (Alexander Lyell), Sir, 1897-1988.;Ford Motor Company.;Clothing and dress -- South Australia.</t>
  </si>
  <si>
    <t>b21903323</t>
  </si>
  <si>
    <t>Rawson, Henry James, 1917-</t>
  </si>
  <si>
    <t>Photographs</t>
  </si>
  <si>
    <t>1909-1980</t>
  </si>
  <si>
    <t>20 cm;OUTSIZE 7 [copies];RESERVE 1, oversize shelves;Photograph (print)</t>
  </si>
  <si>
    <t>Photographs ranging from a 1909 photograph of Rawson's Hackney Hotel to naval photographs from World War II, construction of his home and family photographs.</t>
  </si>
  <si>
    <t>Hackney Hotel (Hackney, S.A.)</t>
  </si>
  <si>
    <t>b30267122</t>
  </si>
  <si>
    <t>Margaret Watt Corbin nee Ogilvie</t>
  </si>
  <si>
    <t>1950 January 3</t>
  </si>
  <si>
    <t>Margaret Watt Corbin (nee Ogilvie) (1879-1967) on the wedding day of her daughter Katherine Ann (Sue) Corbin, at the front door of her home 'Alanda'. She was married to Dr. John Corbin.</t>
  </si>
  <si>
    <t>Corbin, Margaret Watt.;Women -- South Australia.;Clothing and dress -- South Australia -- North Adelaide</t>
  </si>
  <si>
    <t>b31386441</t>
  </si>
  <si>
    <t>International Criminal Police Commision, Holland</t>
  </si>
  <si>
    <t>1950 June 17</t>
  </si>
  <si>
    <t>1 photograph : black and white   12.0 x 18.0 cm;still image sti rdacontent;unmediated n rdamedia;sheet nr rdacarrier;OUTSIZE 1</t>
  </si>
  <si>
    <t>Delegates at meeting of the International Police Commission, Holland  includes SA representatives Commander W. Johns and Inspector King, in the International Room of Justice, the Peace Palace, The Hague</t>
  </si>
  <si>
    <t>Johns, W. F. (William Francis), 1885-1972.</t>
  </si>
  <si>
    <t>b29276780</t>
  </si>
  <si>
    <t>Para Roy</t>
  </si>
  <si>
    <t>1950 May 2</t>
  </si>
  <si>
    <t>1 photograph : black and white (tinted)   15.1 cm x 25.7 cm;PRG 1617/5/5 RESERVE 11;still image sti rdacontent;unmediated n rdamedia;sheet nb rdacarrier</t>
  </si>
  <si>
    <t>'Para Roy' winning the Hambletonian Cup, Gawler. E.H. Murdoch was the owner-breeder of the the horse, and R. Fryar was the Reinsman. The silks of the jockeys, and the grass and trees have been colour tinted.</t>
  </si>
  <si>
    <t>Murdoch, Enoch Henry, 1894-1965;Harness racehorses -- South Australia -- Gawler;Horse racing -- South Australia -- Gawler;Para Roy (Race horse);Gawler (S.A.)</t>
  </si>
  <si>
    <t>b29276792</t>
  </si>
  <si>
    <t>1 photograph : black and white (tinted)   17.8 cm x 25.7 cm;PRG 1617/5/6 RESERVE 11;still image sti rdacontent;unmediated n rdamedia;sheet nb rdacarrier</t>
  </si>
  <si>
    <t>Mrs. T. Phillips placing a garland on 'Para Roy' after winning the Hambletonian Cup, Gawler. E.H. Murdoch was the owner-breeder of the the horse, and R. Fryar was the Reinsman. The silks of the jockeys and the garland have been colour tinted.</t>
  </si>
  <si>
    <t>b31126388</t>
  </si>
  <si>
    <t>Andersons and Mrs. Barney</t>
  </si>
  <si>
    <t>1950 October 15</t>
  </si>
  <si>
    <t>1 photograph : black and white   6.1 x 10.4 cm;OUTSIZE 1;still image sti rdacontent;unmediated n rdamedia;sheet nb rdacarrier</t>
  </si>
  <si>
    <t>Ethel Anderson (later Verco), Richard (Dick) Anderson, and Mrs. Barney standing by a car at Wallaroo, holding crabs.</t>
  </si>
  <si>
    <t>Anderson, Richard Outram.;Verco, Ethel Victoria Diamond, 1897-1992.;Automobiles -- South Australia -- Wallaroo.</t>
  </si>
  <si>
    <t>Wallaroo Collection</t>
  </si>
  <si>
    <t>b21172626</t>
  </si>
  <si>
    <t>Irvine family</t>
  </si>
  <si>
    <t>1950[?]</t>
  </si>
  <si>
    <t>Photograph of Mr and Mrs Irvine and their three children taken in the studio in Mount Gambier in the early 1950's.</t>
  </si>
  <si>
    <t>Irvine, W. H.;Irvine (Family);Children -- South Australia -- Mount Gambier</t>
  </si>
  <si>
    <t>b31386453</t>
  </si>
  <si>
    <t>Advertiser Newspapers Ltd, photographer</t>
  </si>
  <si>
    <t>Opening of 'Centenary Homes'</t>
  </si>
  <si>
    <t>1951 August 3</t>
  </si>
  <si>
    <t>1 photograph : black and white   11.0 x 15.5 cm;still image sti rdacontent;unmediated n rdamedia;sheet nr rdacarrier;OUTSIZE 1</t>
  </si>
  <si>
    <t>Opening of 'Centenary Homes' of Adelaide Benevolent and Strangers' Friend Society Incorporated. A. Lyell McEwin is second from left.</t>
  </si>
  <si>
    <t>McEwin, Lyell (Alexander Lyell), Sir, 1897-1988;Adelaide Benevolent and Strangers' Friend Society.</t>
  </si>
  <si>
    <t>b29270042</t>
  </si>
  <si>
    <t>Pritchard, Hal, photographer</t>
  </si>
  <si>
    <t>Ann Pritchard and brother</t>
  </si>
  <si>
    <t>1951 July 29</t>
  </si>
  <si>
    <t>1 photograph : black and white   11.4 x 7 cm;still image sti rdacontent;unmediated n rdamedia;sheet nb rdacarrier</t>
  </si>
  <si>
    <t>Ann Pritchard standing in a stroller, in a backyard. To see all photographs in this collection, search on Archival number PRG 1561/5/1.</t>
  </si>
  <si>
    <t>Infants -- South Australia -- Adelaide</t>
  </si>
  <si>
    <t>Pritchard Family Collection</t>
  </si>
  <si>
    <t>b29270017</t>
  </si>
  <si>
    <t>1951 March 23</t>
  </si>
  <si>
    <t>1 photograph : black and white   7 x 11.4 cm;still image sti rdacontent;unmediated n rdamedia;sheet nb rdacarrier</t>
  </si>
  <si>
    <t>Ann Pritchard and her brother shaded by an umbrella. Photograph shows an outdoor crib. To see all photographs in this collection, search on Archival number PRG 1561/5/1.</t>
  </si>
  <si>
    <t>b31126376</t>
  </si>
  <si>
    <t>Richard Anderson</t>
  </si>
  <si>
    <t>1951 May 13</t>
  </si>
  <si>
    <t>1 photograph : black and white   10.6 x 6.2 cm;OUTSIZE 1;still image sti rdacontent;unmediated n rdamedia;sheet nb rdacarrier</t>
  </si>
  <si>
    <t>Richard (Dick) Anderson, sitting on a rock at Mount Gambier.</t>
  </si>
  <si>
    <t>Anderson, Richard Outram.</t>
  </si>
  <si>
    <t>Mount Gambier Collection</t>
  </si>
  <si>
    <t>b31989159</t>
  </si>
  <si>
    <t>The Hon. Richard Casey, Captain Ambrose, and Sir Keith Smith</t>
  </si>
  <si>
    <t>1951 October 22</t>
  </si>
  <si>
    <t>1 photograph : black and white   11.8 x 16.2 cm;RESERVE 1;still image sti rdacontent;unmediated n rdamedia;sheet nb rdacarrier</t>
  </si>
  <si>
    <t>Australian statesman The Hon. Richard Casey, Captain Lewis Robert Ambrose (Qantas Empire Airways), and Sir Keith Smith in Singapore 22 October 1951.</t>
  </si>
  <si>
    <t>Smith, Keith Macpherson,  Sir, 1890-1955;Casey, Richard Gardiner Casey, Baron, 1890-1976;Ambrose, Lewis Robert, 1906-</t>
  </si>
  <si>
    <t>b31126418</t>
  </si>
  <si>
    <t>Richard Anderson at Rapid Bay</t>
  </si>
  <si>
    <t>1951 October 7</t>
  </si>
  <si>
    <t>Richard (Dick) Anderson standing on the jetty at Rapid Bay with the lilmestone quarry behind him.</t>
  </si>
  <si>
    <t>Anderson, Richard Outram.;Jetties -- South Australia -- Rapid Bay;Limestone -- South Australia -- Rapid Bay;Rapid Bay (S.A.)</t>
  </si>
  <si>
    <t>Rapid Bay Collection</t>
  </si>
  <si>
    <t>b31380797</t>
  </si>
  <si>
    <t>Group of German carpenters</t>
  </si>
  <si>
    <t>1951, February</t>
  </si>
  <si>
    <t>1 photograph : black and white   13.4 x 8.1 cm;RESERVE 1 a;still image sti rdacontent;unmediated n rdamedia;sheet nb rdacarrier</t>
  </si>
  <si>
    <t>Erwin Aeuckens, (far left), in a carpenter's uniform, with seven other men at a building site in Hamburg in February 1951.</t>
  </si>
  <si>
    <t>Aeuckens, Erwin Arthur, 1919-1976;Carpenters -- Germany -- Hamburg</t>
  </si>
  <si>
    <t>Aeuckens Collection</t>
  </si>
  <si>
    <t>b29276652</t>
  </si>
  <si>
    <t>A double, Kadina</t>
  </si>
  <si>
    <t>1952 April 1</t>
  </si>
  <si>
    <t>1 photograph : black and white (tinted)   30.3 cm x 38.6 cm;PRG 1617/5/4 RESERVE 11;still image sti rdacontent;unmediated n rdamedia;sheet nb rdacarrier</t>
  </si>
  <si>
    <t>Composite photograph made from four original photographs of the horses 'Kiwi Para' and 'Para Rip' in Kadina, 1952. 'Kiwi Para' won the Sapling Stakes, and 'Para Rip' won the Moonta Handicap. E.H. Murdoch was the owner-breeder of the two horses. The silks of the jockeys and the rooftops have been colour tinted.</t>
  </si>
  <si>
    <t>Murdoch, Enoch Henry, 1894-1965;Harness racehorses -- South Australia -- Kadina;Horse racing -- South Australia -- Kadina;Kadina (S.A.)</t>
  </si>
  <si>
    <t>b29270078</t>
  </si>
  <si>
    <t>1952 February</t>
  </si>
  <si>
    <t>1 photograph : black and white   11.5 x 6.9 cm;still image sti rdacontent;unmediated n rdamedia;sheet nb rdacarrier</t>
  </si>
  <si>
    <t>Ann Pritchard in a toy car, with brother, in a backyard. Sheets are hanging from the line. To see all photographs in this collection, search on Archival number PRG 1561/5/1.</t>
  </si>
  <si>
    <t>b29270066</t>
  </si>
  <si>
    <t>Ann Pritchard</t>
  </si>
  <si>
    <t>1952 January</t>
  </si>
  <si>
    <t>Ann Pritchard at the beach, wearing a bonnet. To see all photographs in this collection, search on Archival number PRG 1561/5/1.</t>
  </si>
  <si>
    <t>Infants -- South Australia -- Adelaide;Beaches -- South Australia</t>
  </si>
  <si>
    <t>b31989214</t>
  </si>
  <si>
    <t>Sir Keith Smith and Dame Pattie Menzies</t>
  </si>
  <si>
    <t>1952 March 1</t>
  </si>
  <si>
    <t>1 photograph : black and white   25.6 x 20.3 cm;RESERVE 1;still image sti rdacontent;unmediated n rdamedia;sheet nb rdacarrier</t>
  </si>
  <si>
    <t>Sir Keith Smith and Dame Pattie Menzies arrive for the launching of H.M.A.S. Voyager at Cockatoo Island, Sydney, on 1 March 1952. Includes notations regarding launching.</t>
  </si>
  <si>
    <t>Smith, Keith Macpherson,  Sir, 1890-1955;Menzies, Pattie, Dame</t>
  </si>
  <si>
    <t>b31989196</t>
  </si>
  <si>
    <t>Sir Keith and Lady Smith with Prime Minister Menzies</t>
  </si>
  <si>
    <t>1 photograph : black and white   16 x 20.6 cm;RESERVE 1;still image sti rdacontent;unmediated n rdamedia;sheet nb rdacarrier</t>
  </si>
  <si>
    <t>Sir Keith Smith, Lady Smith, Dame Pattie Menzies and Prime Minister Menzies after the launch of the H.M.A.S. Voyager at Cockatoo Island, Sydney 1 March 1952.</t>
  </si>
  <si>
    <t>Smith, Keith Macpherson,  Sir, 1890-1955;Smith, Anita, Lady, 1894-1986;Menzies, Pattie, Dame;Menzies, Robert, Sir, 1894-1978</t>
  </si>
  <si>
    <t>b30259654</t>
  </si>
  <si>
    <t>Bob Lepley and other King's Cup Crew members</t>
  </si>
  <si>
    <t>1953 April 18</t>
  </si>
  <si>
    <t>1 photograph : black and white   17.8 x 12.9 cm;still image sti rdacontent;unmediated n rdamedia;sheet nb rdacarrier</t>
  </si>
  <si>
    <t>Bob Lepley, selected to represent South Australia in the seven seat of the King's Cup Crew on the 18th April 1953, Swan River, Perth. Bob Lepley was a life member of the Port Adelaide Rowing Club.</t>
  </si>
  <si>
    <t>Lepley, Bob;Port Adelaide Rowing Club;Rowing -- South Australia -- Port Adelaide</t>
  </si>
  <si>
    <t>b30849147</t>
  </si>
  <si>
    <t>Swenn Studios, photographer</t>
  </si>
  <si>
    <t>Rowing Four on the Port River</t>
  </si>
  <si>
    <t>1953 February 15</t>
  </si>
  <si>
    <t>1 photograph : black and white   21.5 x 16.4 cm;RESERVE 1 a;still image sti rdacontent;unmediated n rdamedia;sheet nb rdacarrier</t>
  </si>
  <si>
    <t>P. Peterson (cox), J. Conley (str.), B. Herriman (3), R. Glover (2), W. Herriman (bow).</t>
  </si>
  <si>
    <t>b29594315</t>
  </si>
  <si>
    <t>1953 July 31</t>
  </si>
  <si>
    <t>1 photograph : black and white   14.3 x 20.8 cm;OUTSIZE 1;still image sti rdacontent;unmediated n rdamedia;sheet nb rdacarrier</t>
  </si>
  <si>
    <t>Railway jetty at Port Broughton.</t>
  </si>
  <si>
    <t>Jetties -- South Australia -- Port Broughton;Port Broughton (S.A.)</t>
  </si>
  <si>
    <t>b29276561</t>
  </si>
  <si>
    <t>1953 March 31</t>
  </si>
  <si>
    <t>1 photograph : black and white (tinted)   31.3 cm x 38.0 cm;PRG 1617/5/3 RESERVE 11;still image sti rdacontent;unmediated n rdamedia;sheet nb rdacarrier</t>
  </si>
  <si>
    <t>Composite photograph made from four original photographs of the horses 'Fan's Sister' and 'Para Hope' in Kadina, 1953. 'Fan's Sister won the 1st Division of the Sapling Stakes, and 'Para Hope' won the second division. E.H. Murdoch was the owner-breeder of the two horses. The silks of the jockeys have been colour tinted.</t>
  </si>
  <si>
    <t>b21183387</t>
  </si>
  <si>
    <t>Valda Fay Lewis nee Hutchesson</t>
  </si>
  <si>
    <t>1953 March 7</t>
  </si>
  <si>
    <t>Wedding of Valda Fay Hutchesson to Maxwell 'Max' Lewis on 7 March 1953. Left to Right: Laurel Hutchesson (bride's sister), Helen Haines (bride's cousin), Valda Fay Hutchesson (bride), Lynette Height, Betty Hutchesson (bride's sister) and Gloria Norman.</t>
  </si>
  <si>
    <t>Hutchesson, Laurel;Hutchesson, Valda Fay;Haines, Helen;Height, Lynette;Norman, Gloria;Brides -- South Australia -- Mount Gambier;Wedding costume -- South Australia -- Mount Gambier</t>
  </si>
  <si>
    <t>b31826337</t>
  </si>
  <si>
    <t>Grimmett, Vic, 1923-2017, photographer</t>
  </si>
  <si>
    <t>Ruth Moulds</t>
  </si>
  <si>
    <t>1953 October</t>
  </si>
  <si>
    <t>1 photograph : acetate, negative, black and white   6 x 6 cm;RESERVE 1 negatives;still image sti rdacontent;unmediated n rdamedia;sheet nb rdacarrier</t>
  </si>
  <si>
    <t>Ruth Moulds at her 21st birthday party</t>
  </si>
  <si>
    <t>Moulds, Aileen Ruth, 1932-;Birthday parties -- South Australia;Women's clothing -- South Australia;Evening gowns -- South Australia</t>
  </si>
  <si>
    <t>Grimmett Collection</t>
  </si>
  <si>
    <t>b31827846</t>
  </si>
  <si>
    <t>Ruth Moulds, second from left, with friends at her 21st birthday party.</t>
  </si>
  <si>
    <t>b31828322</t>
  </si>
  <si>
    <t>Two guests at Ruth Moulds 21st birthday party</t>
  </si>
  <si>
    <t>Two guests at Ruth Moulds 21st birthday party.</t>
  </si>
  <si>
    <t>Birthday parties -- South Australia</t>
  </si>
  <si>
    <t>b31828334</t>
  </si>
  <si>
    <t>Ruth Moulds with her parents and an older man at her 21st birthday party.</t>
  </si>
  <si>
    <t>Moulds, Aileen Ruth, 1932-;Moulds, Harrold John, 1894-1980;Paynter, Myra, 1895-1978;Birthday parties -- South Australia;Women's clothing -- South Australia;Evening gowns -- South Australia</t>
  </si>
  <si>
    <t>b31828383</t>
  </si>
  <si>
    <t>Ruth Moulds with her mother and two older people at her 21st birthday party.</t>
  </si>
  <si>
    <t>Moulds, Aileen Ruth, 1932-;Paynter, Myra, 1895-1978;Birthday parties -- South Australia;Women's clothing -- South Australia;Evening gowns -- South Australia</t>
  </si>
  <si>
    <t>b31828395</t>
  </si>
  <si>
    <t>Ruth Moulds 21st birthday party</t>
  </si>
  <si>
    <t>Two unidentified guests at Ruth Moulds 21st birthday party.</t>
  </si>
  <si>
    <t>Birthday parties -- South Australia;Women's clothing -- South Australia</t>
  </si>
  <si>
    <t>b31828401</t>
  </si>
  <si>
    <t>b31826350</t>
  </si>
  <si>
    <t>b31826362</t>
  </si>
  <si>
    <t>Ruth Moulds with her parents</t>
  </si>
  <si>
    <t>Ruth Moulds with her mother and father at her 21st birthday party</t>
  </si>
  <si>
    <t>b31826386</t>
  </si>
  <si>
    <t>Ruth Moulds cutting her 21st birthday cake</t>
  </si>
  <si>
    <t>Moulds, Aileen Ruth, 1932-;Birthday parties -- South Australia;Birthday cakes -- South Australia;Women's clothing -- South Australia;Evening gowns -- South Australia</t>
  </si>
  <si>
    <t>b31827585</t>
  </si>
  <si>
    <t>Table set for Ruth Moulds 21st birthday party</t>
  </si>
  <si>
    <t>Table set for Ruth Moulds 21st birthday party. On the table are the birthday cake, chicken platters, other cakes, glasses containing serviettes marking the coronation of Queen Elizabeth II, and bottles of Woodroofe's Kola Beer and Carbonated Grape Fruit.</t>
  </si>
  <si>
    <t>Moulds, Aileen Ruth, 1932-;Woodroofe's (Firm);Birthday Cakes South Australia;Birthday parties -- South Australia;Soft drinks -- South Australia</t>
  </si>
  <si>
    <t>b31827780</t>
  </si>
  <si>
    <t>Myra and Harrold Moulds with another woman.</t>
  </si>
  <si>
    <t>Myra and Harrold Moulds standing either side of an older woman at their daughter's 21st birthday party.</t>
  </si>
  <si>
    <t>Moulds, Harrold John, 1894-1980;Paynter, Myra, 1895-1978;Birthday parties -- South Australia;Women's clothing -- South Australia;Evening gowns -- South Australia</t>
  </si>
  <si>
    <t>b31828413</t>
  </si>
  <si>
    <t>Geraldine Juniper with her daughter Margaret Ann</t>
  </si>
  <si>
    <t>Geraldine Juniper nee Judd with her daughter Margaret Ann Juniper.</t>
  </si>
  <si>
    <t>Juniper, Margaret Ann, 1953-;Judd, Geraldine Patricia;Women's clothing -- South Australia</t>
  </si>
  <si>
    <t>b31828425</t>
  </si>
  <si>
    <t>b31828449</t>
  </si>
  <si>
    <t>b31828450</t>
  </si>
  <si>
    <t>b31828462</t>
  </si>
  <si>
    <t>Margaret Ann Juniper</t>
  </si>
  <si>
    <t>Margaret Ann Juniper.</t>
  </si>
  <si>
    <t>Juniper, Margaret Ann, 1953-</t>
  </si>
  <si>
    <t>b31828474</t>
  </si>
  <si>
    <t>Geraldine O'Farrell</t>
  </si>
  <si>
    <t>Geraldine O'Farrell.</t>
  </si>
  <si>
    <t>O'Farrell, Geraldine Ann</t>
  </si>
  <si>
    <t>b31828607</t>
  </si>
  <si>
    <t>O'Farrell, Geraldine Ann;Smoking -- South Australia</t>
  </si>
  <si>
    <t>b31828620</t>
  </si>
  <si>
    <t>b31828632</t>
  </si>
  <si>
    <t>b31828644</t>
  </si>
  <si>
    <t>b31828656</t>
  </si>
  <si>
    <t>b31826106</t>
  </si>
  <si>
    <t>St. Ignatius College student opera</t>
  </si>
  <si>
    <t>1953 October 5</t>
  </si>
  <si>
    <t>Students prepare for the St. Ignatius College student opera.</t>
  </si>
  <si>
    <t>St. Ignatius College (Norwood, S.A.);College and school drama, Australian -- South Australia</t>
  </si>
  <si>
    <t>b3182612x</t>
  </si>
  <si>
    <t>b31826143</t>
  </si>
  <si>
    <t>b31826155</t>
  </si>
  <si>
    <t>b31826167</t>
  </si>
  <si>
    <t>b31826040</t>
  </si>
  <si>
    <t>A teacher helps students prepare for the St. Ignatius College student opera.</t>
  </si>
  <si>
    <t>b31826180</t>
  </si>
  <si>
    <t>b31826192</t>
  </si>
  <si>
    <t>b31826209</t>
  </si>
  <si>
    <t>b31826210</t>
  </si>
  <si>
    <t>b31826258</t>
  </si>
  <si>
    <t>Jesuit priests at St. Ignatius College</t>
  </si>
  <si>
    <t>Jesuit priests talk with Archbishop of Adelaide, Matthew Beovich, at St. Ignatius College.</t>
  </si>
  <si>
    <t>Beovich, Matthew, 1896-1981;St. Ignatius College (Norwood, S.A.);Priests -- South Australia</t>
  </si>
  <si>
    <t>b31826222</t>
  </si>
  <si>
    <t>b31826234</t>
  </si>
  <si>
    <t>b31826246</t>
  </si>
  <si>
    <t>b31826088</t>
  </si>
  <si>
    <t>b3182609x</t>
  </si>
  <si>
    <t>b31275680</t>
  </si>
  <si>
    <t>King family</t>
  </si>
  <si>
    <t>1953 September 27</t>
  </si>
  <si>
    <t>A woman pours a West End Bitter Beer into a tankard held by a man who has one leg.</t>
  </si>
  <si>
    <t>Amputees -- South Australia;Beer -- South Australia</t>
  </si>
  <si>
    <t>b31275692</t>
  </si>
  <si>
    <t>A woman sits with four children.</t>
  </si>
  <si>
    <t>King (Family)</t>
  </si>
  <si>
    <t>b31275722</t>
  </si>
  <si>
    <t>A young boy.</t>
  </si>
  <si>
    <t>b31275746</t>
  </si>
  <si>
    <t>A girl holding a doll poses for the camera.</t>
  </si>
  <si>
    <t>King (Family);Dolls -- South Australia</t>
  </si>
  <si>
    <t>b31275758</t>
  </si>
  <si>
    <t>b3127576x</t>
  </si>
  <si>
    <t>A boy in school uniform poses for the camera.</t>
  </si>
  <si>
    <t>King (Family);Uniforms -- South Australia</t>
  </si>
  <si>
    <t>b3182593x</t>
  </si>
  <si>
    <t>Irene Henderson</t>
  </si>
  <si>
    <t>Miss Irene Henderson.</t>
  </si>
  <si>
    <t>Henderson, Irene;Children -- South Australia</t>
  </si>
  <si>
    <t>b31825989</t>
  </si>
  <si>
    <t>Michael Tait</t>
  </si>
  <si>
    <t>Master Michael Tait.</t>
  </si>
  <si>
    <t>Tait, Michael;Children -- South Australia</t>
  </si>
  <si>
    <t>b31825990</t>
  </si>
  <si>
    <t>Michael Tait with his mother</t>
  </si>
  <si>
    <t>Michael Tait sitting on his mother's lap.</t>
  </si>
  <si>
    <t>b3026733x</t>
  </si>
  <si>
    <t>Kenneth - Pape wedding</t>
  </si>
  <si>
    <t>1954 April 03</t>
  </si>
  <si>
    <t>Wedding of Beryl, only daughter of Howard Cecil Pape and Nora Gertrude nee Egel of 34 Elizabeth Street, Norwood, to Richard, only son of Henry Samuel Kennedy and Edith Elizabeth nee Elshaug of 2A Stepney Street, Stepney, solemnised at Wesley Methodist Church Norwood at 7.00 p.m. on 3 April 1954.</t>
  </si>
  <si>
    <t>Pape, Beryl;Kenneth, Richard;Weddings -- South Australia</t>
  </si>
  <si>
    <t>b30267377</t>
  </si>
  <si>
    <t>Pape, Beverley;Kenneth, Richard;Weddings -- South Australia</t>
  </si>
  <si>
    <t>b30267365</t>
  </si>
  <si>
    <t>b30267432</t>
  </si>
  <si>
    <t>Ball - Evans wedding</t>
  </si>
  <si>
    <t>1954 April 20</t>
  </si>
  <si>
    <t>Ball - Evans wedding conducted at St. Andrew's church, Walkerville.</t>
  </si>
  <si>
    <t>Evans, Tony;Ball, Pam;St. Andrew's Church (Walkerville, S.A.);Weddings -- South Australia</t>
  </si>
  <si>
    <t>b3026750x</t>
  </si>
  <si>
    <t>Evans, Tony;Ball, Pam;Weddings -- South Australia</t>
  </si>
  <si>
    <t>b30267511</t>
  </si>
  <si>
    <t>b30267420</t>
  </si>
  <si>
    <t>b31829156</t>
  </si>
  <si>
    <t>Debutante, Marian Graham</t>
  </si>
  <si>
    <t>1954 April 23</t>
  </si>
  <si>
    <t>Debutante and Woodland's old scholar, Marian Graham made her debut at Lordello House, East Terrace.</t>
  </si>
  <si>
    <t>Debutantes -- South Australia;Evening gowns -- South Australia;Women's clothing -- South Australia;Graham, Marian</t>
  </si>
  <si>
    <t>b31829557</t>
  </si>
  <si>
    <t>Debutante, Janet Martin</t>
  </si>
  <si>
    <t>Debutante and Woodland's old scholar, Janet Martin made her debut at Lordello House, East Terrace.</t>
  </si>
  <si>
    <t>Debutantes -- South Australia;Evening gowns -- South Australia;Women's clothing -- South Australia;Martin, Janet</t>
  </si>
  <si>
    <t>b31829569</t>
  </si>
  <si>
    <t>b31829570</t>
  </si>
  <si>
    <t>b31829594</t>
  </si>
  <si>
    <t>b31829600</t>
  </si>
  <si>
    <t>b31829612</t>
  </si>
  <si>
    <t>Debutante, Sally Drew</t>
  </si>
  <si>
    <t>Debutante and Woodland's old scholar, Sally Drew made her debut at Lordello House, East Terrace.</t>
  </si>
  <si>
    <t>Debutantes -- South Australia;Evening gowns -- South Australia;Women's clothing -- South Australia;Drew, Sally Elizabeth, 1936-2014</t>
  </si>
  <si>
    <t>b31829624</t>
  </si>
  <si>
    <t>b31829636</t>
  </si>
  <si>
    <t>b31829648</t>
  </si>
  <si>
    <t>b3182965x</t>
  </si>
  <si>
    <t>b3182917x</t>
  </si>
  <si>
    <t>b31829661</t>
  </si>
  <si>
    <t>b31829673</t>
  </si>
  <si>
    <t>b31829685</t>
  </si>
  <si>
    <t>Debutantes  Janet Martin, Marian Graham, and Sally Drew.</t>
  </si>
  <si>
    <t>Debutantes and Woodland's old scholars, L to R: Janet Martin, Marian Graham and Sally Drew made her debut at Lordello House, East Terrace.</t>
  </si>
  <si>
    <t>Debutantes -- South Australia;Evening gowns -- South Australia;Women's clothing -- South Australia;Drew, Sally Elizabeth, 1936-2014;Graham, Marian;Martin, Janet</t>
  </si>
  <si>
    <t>b31829697</t>
  </si>
  <si>
    <t>b31829181</t>
  </si>
  <si>
    <t>b31829193</t>
  </si>
  <si>
    <t>b3182920x</t>
  </si>
  <si>
    <t>b3182951x</t>
  </si>
  <si>
    <t>b31829521</t>
  </si>
  <si>
    <t>b31829533</t>
  </si>
  <si>
    <t>b31829545</t>
  </si>
  <si>
    <t>b30268564</t>
  </si>
  <si>
    <t>Anderson - Hartmann wedding</t>
  </si>
  <si>
    <t>1954 April 24</t>
  </si>
  <si>
    <t>Margaret Anderson - Otto Hartmann wedding conducted by Father Daniel OÔÇÖSullivan at Our Lady of Dolours church, Kingswood, South Australia.</t>
  </si>
  <si>
    <t>Anderson, Margaret;Weddings -- South Australia</t>
  </si>
  <si>
    <t>b30268576</t>
  </si>
  <si>
    <t>b3026859x</t>
  </si>
  <si>
    <t>Anderson, Margaret;Hartmann, Otto;O'Sullivan, Daniel;Weddings -- South Australia</t>
  </si>
  <si>
    <t>b30268606</t>
  </si>
  <si>
    <t>b30268552</t>
  </si>
  <si>
    <t>b30268758</t>
  </si>
  <si>
    <t>Hickey - Kelsey wedding</t>
  </si>
  <si>
    <t>1954 April 26</t>
  </si>
  <si>
    <t>Wedding of Patricia Mary Hickey, daughter of Mr. and Mrs. J. Hickey of Cowandilla, to Dene Ernest Kesley, youngest son of Mr. and Mrs. E.W. Kelsey of Seaton Park, conducted with Nuptual Mass at Queen of Angels Church, Thebarton, South Australia.</t>
  </si>
  <si>
    <t>Hickey, Patricia Mary;Kelsey, Dene Ernest;Queen of Angels Catholic Church (Thebarton, S.A.);Weddings -- South Australia</t>
  </si>
  <si>
    <t>b30268783</t>
  </si>
  <si>
    <t>b30268801</t>
  </si>
  <si>
    <t>b30268813</t>
  </si>
  <si>
    <t>b30268722</t>
  </si>
  <si>
    <t>Hickey, Patricia Mary;Kelsey, Dene Ernest;Weddings -- South Australia</t>
  </si>
  <si>
    <t>b29594364</t>
  </si>
  <si>
    <t>Port Broughton jetty</t>
  </si>
  <si>
    <t>1954 August 11</t>
  </si>
  <si>
    <t>1 photograph : black and white   16.3 x 21.5 cm;OUTSIZE 1;still image sti rdacontent;unmediated n rdamedia;sheet nb rdacarrier</t>
  </si>
  <si>
    <t>Railway jetty at Port Broughton, undergoing repair work.</t>
  </si>
  <si>
    <t>b31128968</t>
  </si>
  <si>
    <t>Wedding</t>
  </si>
  <si>
    <t>1954 December</t>
  </si>
  <si>
    <t>Unidentified wedding that took place at the Payneham Road Methodist Church in late 1954. Names that maybe associated with this wedding are Slack or Rossi.</t>
  </si>
  <si>
    <t>Weddings -- South Australia</t>
  </si>
  <si>
    <t>b3112897x</t>
  </si>
  <si>
    <t>Payneham Road Methodist Church (Payneham, S.A.);Weddings -- South Australia;Church architecture -- South Australia -- Payneham</t>
  </si>
  <si>
    <t>b31128981</t>
  </si>
  <si>
    <t>Payneham Road Methodist Church (Payneham, S.A.);Weddings -- South Australia;Methodist Church -- Clergy</t>
  </si>
  <si>
    <t>b31128993</t>
  </si>
  <si>
    <t>Payneham Road Methodist Church (Payneham, S.A.);Weddings -- South Australia</t>
  </si>
  <si>
    <t>b31128956</t>
  </si>
  <si>
    <t>b31128865</t>
  </si>
  <si>
    <t>1954 December 11</t>
  </si>
  <si>
    <t>Unidentified wedding that took place in the Daughters of Charity Chapel, Hutt Street, Adelaide, on Saturday 11 December 1954.</t>
  </si>
  <si>
    <t>b31128841</t>
  </si>
  <si>
    <t>b31128877</t>
  </si>
  <si>
    <t>Daughters of Charity (Adelaide, S.A.);Weddings -- South Australia;Church architecture -- South Australia -- Adelaide</t>
  </si>
  <si>
    <t>b31128853</t>
  </si>
  <si>
    <t>b31128312</t>
  </si>
  <si>
    <t>Barker - Ahern wedding</t>
  </si>
  <si>
    <t>1954 December 4</t>
  </si>
  <si>
    <t>Wedding of Theresa 'Terry' Frances Barker, daughter of Felix Francis Barker and Bridget Frances Crowhurst, to John Ahern, son of John Ahern and Cecilia Grace Sarah Willis, celebrated in the Sacred Heart College Chapel, South Australia, on Saturday 4 December 1954. The celebrant was Rev. Fr. W.E. Heading, the Best man was William James Ahern and the Bridesmaid was Kathleen Veronica Barker.</t>
  </si>
  <si>
    <t>Barker, Theresa Frances, 1927-;Barker, Felix Francis, 1896-1978;Sacred Heart College Chapel (Somerton Park, S.A.);Weddings -- South Australia</t>
  </si>
  <si>
    <t>b31128336</t>
  </si>
  <si>
    <t>Barker, Theresa Frances, 1927-;Ahern, John, 1927-2012;Sacred Heart College Chapel (Somerton Park, S.A.);Weddings -- South Australia;Church architecture -- South Australia -- Adelaide</t>
  </si>
  <si>
    <t>b30850770</t>
  </si>
  <si>
    <t>Barker, Theresa Frances, 1927-;Ahern, John, 1927-2012;Sacred Heart College Chapel (Somerton Park, S.A.);Weddings -- South Australia;Wedding cakes -- South Australia</t>
  </si>
  <si>
    <t>b31128348</t>
  </si>
  <si>
    <t>b31128518</t>
  </si>
  <si>
    <t>Barker, Theresa Frances, 1927-;Ahern, John, 1927-2012;Barker, Felix Francis, 1896-1978;Crowhurst, Bridget Frances, 1901-1977;Sacred Heart College Chapel (Somerton Park, S.A.);Weddings -- South Australia</t>
  </si>
  <si>
    <t>b31128531</t>
  </si>
  <si>
    <t>Barker, Theresa Frances, 1927-;Ahern, John, 1927-2012;Ahern, John, -1966;Willis, Cecilia Grace Sarah, 1898-1986;Sacred Heart College Chapel (Somerton Park, S.A.);Weddings -- South Australia</t>
  </si>
  <si>
    <t>b31128294</t>
  </si>
  <si>
    <t>Barker, Theresa Frances, 1927-;Ahern, John, 1927-2012;Sacred Heart College Chapel (Somerton Park, S.A.);Weddings -- South Australia</t>
  </si>
  <si>
    <t>b31128300</t>
  </si>
  <si>
    <t>b31128737</t>
  </si>
  <si>
    <t>Lynch - Roberts wedding</t>
  </si>
  <si>
    <t>Wedding of Patricia, only child of John Patrick Lynch and Olive Bertha nee Leaney of 10 Cuming Street, Mile End, to Donald Roberts, younger son of Osric Syd St. Ives Roberts and Dorothy Catherine nee Eldredge of Clare, solemnised at St. Francis Xavier's Cathedral, Wakefield Street, Adelaide, South Australia, on Saturday 4 December 1954.</t>
  </si>
  <si>
    <t>Lynch, Patricia Nellie, 1927-;Roberts, Donald;Cathedral Church of St. Francis Xavier (Adelaide, S.A.);Weddings -- South Australia</t>
  </si>
  <si>
    <t>b31128804</t>
  </si>
  <si>
    <t>Lynch, Patricia Nellie, 1927-;Roberts, Donald;Cathedral Church of St. Francis Xavier (Adelaide, S.A.);Weddings -- South Australia;Wedding cakes -- South Australia</t>
  </si>
  <si>
    <t>b31128762</t>
  </si>
  <si>
    <t>b31128774</t>
  </si>
  <si>
    <t>b31128786</t>
  </si>
  <si>
    <t>b31128798</t>
  </si>
  <si>
    <t>b30267389</t>
  </si>
  <si>
    <t>Murray - Roberts wedding</t>
  </si>
  <si>
    <t>1954 February 27</t>
  </si>
  <si>
    <t>Murray - Roberts wedding.</t>
  </si>
  <si>
    <t>Murray, Jean;Roberts, John;Weddings -- South Australia</t>
  </si>
  <si>
    <t>b30267390</t>
  </si>
  <si>
    <t>b30267407</t>
  </si>
  <si>
    <t>b29276640</t>
  </si>
  <si>
    <t>A holiday double</t>
  </si>
  <si>
    <t>1954 January</t>
  </si>
  <si>
    <t>1 photograph : black and white (tinted)   30.3 cm x 38.7 cm;PRG 1617/5/2 RESERVE 11;still image sti rdacontent;unmediated n rdamedia;sheet nb rdacarrier</t>
  </si>
  <si>
    <t>Composite photograph made from five original photographs of the horse 'Nevamaid' and its jockey, and the horse 'Marie Limond', 1950. 'Nevamaid' won the harness racing event 'A.N.A. Free-For-All' at Wayville. The reinsman was T. Butterworth. 'Marie Limond' ridden by D. Coleman won the Glenunga Handicap at Victoria Park. E.H. Murdoch was the breeder of both horses. The silks of the jockeys have been colour tinted.</t>
  </si>
  <si>
    <t>Murdoch, Enoch Henry, 1894-1965;Harness racehorses -- South Australia -- Adelaide;Horse racing -- South Australia -- Adelaide;Victoria Park Racecourse (Adelaide, S.A.);Wayville (S.A.)</t>
  </si>
  <si>
    <t>b31273439</t>
  </si>
  <si>
    <t>South Australia tennis Championships at Memorial Drive</t>
  </si>
  <si>
    <t>1954 January 2</t>
  </si>
  <si>
    <t>Lew Hoad and Ken Rosewall playing doubles tennis against Malcolm Anderson and Barry Phillips-Moore. Hoad and Rosewall won 6-3, 6-2, 6-2.</t>
  </si>
  <si>
    <t>Anderson, Mal, (Malcolm James), 1935-;Hoad, Lew, 1934-1994;Phillips-Moore, Barry, 1938-;Rosewall, Ken, (Kenneth Robert), 1934-;Memorial Drive (Adelaide, S.A.);Tennis players -- South Australia -- Adelaide</t>
  </si>
  <si>
    <t>b30266415</t>
  </si>
  <si>
    <t>Pape - Telfer wedding</t>
  </si>
  <si>
    <t>1954 January 23</t>
  </si>
  <si>
    <t>Wedding of Shirley, second daughter of Howard Cecil Pape and Nora Gertrude nee Egel of 34 Elizabeth Street, Norwood, to John, only son of Claude Rex Pape and Edna May nee Bronson of 31 Donegal Street, Norwood, solemnised at Wesley Methodist Church Norwood at 7.00 p.m. on 23 January 1954.</t>
  </si>
  <si>
    <t>Pape, John;Telfer, Shirley;Weddings -- South Australia</t>
  </si>
  <si>
    <t>b30267316</t>
  </si>
  <si>
    <t>b30267328</t>
  </si>
  <si>
    <t>Wedding of Shirley, second daughter of Claude Rex Telfer and Edna May (nee Bronson) of 34 Elizabeth Street, Norwood, to John, only son of Howard Cecil Pape and Nora Gertrude (nee Egel) of 31 Donegal Street, Norwood, solemnised at Wesley Methodist Church Norwood at 7.00 p.m. on 23 January 1954.</t>
  </si>
  <si>
    <t>b30268977</t>
  </si>
  <si>
    <t>Ellis - Sage wedding</t>
  </si>
  <si>
    <t>1954 July 24</t>
  </si>
  <si>
    <t>Wedding of Jean Ellis, daughter of Mr. S.J.H. Ellis of Malvern and the late Mrs. Ellis, to Tom Sage, elder son of Mr. R.J. Sage of Eden hills and the late Mrs. Sage, conducted at Elgin Methodist Church, Woodville Park, South Australia.</t>
  </si>
  <si>
    <t>Ellis, Jean Audrey;Sage, Tom Muirden;Elgin Methodist Church;Weddings -- South Australia</t>
  </si>
  <si>
    <t>b30268990</t>
  </si>
  <si>
    <t>b30269015</t>
  </si>
  <si>
    <t>b30268953</t>
  </si>
  <si>
    <t>b31831382</t>
  </si>
  <si>
    <t>Robert and Catherine Brown</t>
  </si>
  <si>
    <t>1954 June 26</t>
  </si>
  <si>
    <t>Robert and Catherine Brown.</t>
  </si>
  <si>
    <t>Brown, Catherine;Brown, Robert;Children -- South Australia</t>
  </si>
  <si>
    <t>b31831485</t>
  </si>
  <si>
    <t>Mary Black</t>
  </si>
  <si>
    <t>Mary Black.</t>
  </si>
  <si>
    <t>Black, Mary;Children -- South Australia</t>
  </si>
  <si>
    <t>b31831497</t>
  </si>
  <si>
    <t>b31831503</t>
  </si>
  <si>
    <t>b31831515</t>
  </si>
  <si>
    <t>b31831394</t>
  </si>
  <si>
    <t>b31831400</t>
  </si>
  <si>
    <t>b31831412</t>
  </si>
  <si>
    <t>Catherine Brown</t>
  </si>
  <si>
    <t>Catherine Brown.</t>
  </si>
  <si>
    <t>Brown, Catherine;Children -- South Australia</t>
  </si>
  <si>
    <t>b31831424</t>
  </si>
  <si>
    <t>b31831436</t>
  </si>
  <si>
    <t>b31831448</t>
  </si>
  <si>
    <t>Robert Brown</t>
  </si>
  <si>
    <t>Robert Brown.</t>
  </si>
  <si>
    <t>Brown, Robert;Children -- South Australia</t>
  </si>
  <si>
    <t>b31831461</t>
  </si>
  <si>
    <t>b31831473</t>
  </si>
  <si>
    <t>b31386465</t>
  </si>
  <si>
    <t>First starter of the 'Sunday Advertiser' 1,000-Mile Trial</t>
  </si>
  <si>
    <t>1954 June 5</t>
  </si>
  <si>
    <t>1 photograph : black and white   13.0 x 25.0 cm;still image sti rdacontent;unmediated n rdamedia;sheet nr rdacarrier;OUTSIZE 1</t>
  </si>
  <si>
    <t>Start of the Sunday Advertiser 1000-mile reliability trial: Mr M.C. Briggs (driver, obscured), of Port Augusta is driving a Ford Mercury, while the Hon. A Lyell McEwin waves the Starter's flag. Mr Douglas Verco (President of Sporting Car Club of SA) is standing  nearby at the event on Sir Lewis Cohen Avenue.</t>
  </si>
  <si>
    <t>McEwin, Lyell (Alexander Lyell), Sir, 1897-1988;Briggs, M. C.;Verco, Wilfred Douglas.;Sporting Car Club of South Australia.</t>
  </si>
  <si>
    <t>b31386477</t>
  </si>
  <si>
    <t>Start of the 'Sunday Advertiser' 1,000-mile Trial</t>
  </si>
  <si>
    <t>General view of start of the Sunday Advertiser 1000-mile reliability trial with people gathered around on Sir Lewis Cohen Avenue. The Hon A. Lyell McEwin is on the right talkng to Mr. W. Douglas Verco (President of the Sporting Car Club of S.A.)</t>
  </si>
  <si>
    <t>McEwin, Lyell (Alexander Lyell), Sir, 1897-1988.;Verco, Wilfred Douglas.;Sporting Car Club of South Australia.</t>
  </si>
  <si>
    <t>b31386489</t>
  </si>
  <si>
    <t>A. Lyell McEwin with first competitor, Mr. M.C. Briggs to leave the starting line of the Sunday Advertiser 1000-mile reliability trial, in a Ford Mercury.</t>
  </si>
  <si>
    <t>McEwin, Lyell (Alexander Lyell), Sir, 1897-1988;Briggs, M. C.</t>
  </si>
  <si>
    <t>b31836884</t>
  </si>
  <si>
    <t>Royal tour decoration</t>
  </si>
  <si>
    <t>1954 March</t>
  </si>
  <si>
    <t>Large portrait of Queen Elizabeth II on the front of the Myer department store during the royal visit to Adelaide in March 1954.</t>
  </si>
  <si>
    <t>Elizabeth II, Queen of Great Britain, 1926-;Royal visitors -- South Australia -- Adelaide;Visits of state -- South Australia -- Adelaide;Portraits -- South Australia -- Adelaide</t>
  </si>
  <si>
    <t>b31836896</t>
  </si>
  <si>
    <t>St. Peter's Cathedral</t>
  </si>
  <si>
    <t>St. Peter's Cathedral floodlit during the royal visit to Adelaide in March 1954.</t>
  </si>
  <si>
    <t>St. Peter's Cathedral (Adelaide, S.A.);Royal visitors -- South Australia -- Adelaide;Visits of state -- South Australia -- Adelaide</t>
  </si>
  <si>
    <t>b31837128</t>
  </si>
  <si>
    <t>General Post Office, Adelaide</t>
  </si>
  <si>
    <t>Street decorations and the floodlit General Post Office during the royal visit to Adelaide in March 1954.</t>
  </si>
  <si>
    <t>General Post Office (Adelaide, S.A.);Post office buildings -- South Australia -- Adelaide;Royal visitors -- South Australia -- Adelaide;Visits of state -- South Australia -- Adelaide</t>
  </si>
  <si>
    <t>b3183713x</t>
  </si>
  <si>
    <t>Street decorations for the royal visit</t>
  </si>
  <si>
    <t>Night view looking south along King William Road from near St. Peter's Cathedral to the Central Business District of Adelaide during the royal visit in March 1954.</t>
  </si>
  <si>
    <t>Royal visitors -- South Australia -- Adelaide;Visits of state -- South Australia -- Adelaide</t>
  </si>
  <si>
    <t>b31837141</t>
  </si>
  <si>
    <t>Night view looking north from Victoria Square, Adelaide, during the royal visit in March 1954. The statue of Queen Victoria is in the centre of the photograph with the illuminated towers of the General Post Office on the left and the Town Hall on the right.</t>
  </si>
  <si>
    <t>General Post Office (Adelaide, S.A.);Town Hall (Adelaide, S.A.);Post office buildings -- South Australia -- Adelaide;Royal visitors -- South Australia -- Adelaide;Street decoration -- South Australia -- Adelaide;Visits of state -- South Australia -- Adelaide</t>
  </si>
  <si>
    <t>b31837153</t>
  </si>
  <si>
    <t>Victoria Square street decorations for the royal visit</t>
  </si>
  <si>
    <t>Elevated night view of Victoria Square, Adelaide, from near the intersection with Angas Street. The floodlit clock tower of the General Post Office is near the centre and that of the Town Hall further down King William street is on the right.</t>
  </si>
  <si>
    <t>b31837268</t>
  </si>
  <si>
    <t>Commonwealth Bank of Australia during royal visit</t>
  </si>
  <si>
    <t>Night view of the Commonwealth Bank of Australia building, King William Street, Adelaide, decorated for the royal visit.</t>
  </si>
  <si>
    <t>Commonwealth Bank of Australia;Bank buildings -- South Australia -- Adelaide;Royal visitors -- South Australia -- Adelaide;Street decoration -- South Australia -- Adelaide;Visits of state -- South Australia -- Adelaide</t>
  </si>
  <si>
    <t>Grimmett Collection;Acre 170 Collection</t>
  </si>
  <si>
    <t>b3183727x</t>
  </si>
  <si>
    <t>Moore's Department Store during the royal visit</t>
  </si>
  <si>
    <t>Night view of Moore's Department Store, Victoria Square, Adelaide, illuminated for the royal visit.</t>
  </si>
  <si>
    <t>Charles Moore &amp; Company;Department stores -- South Australia -- Adelaide;Royal visitors -- South Australia -- Adelaide;Street decoration -- South Australia -- Adelaide;Visits of state -- South Australia -- Adelaide</t>
  </si>
  <si>
    <t>Grimmett Collection;Acre 378 Collection</t>
  </si>
  <si>
    <t>b31457782</t>
  </si>
  <si>
    <t>1 photograph : black and white  29 x 24.2 cm;RESERVE 1 prints;still image sti rdacontent;unmediated n rdamedia;sheet nb rdacarrier</t>
  </si>
  <si>
    <t>"During Royal Tours the city is gaily and brilliantly illuminated. This picture taken from Victoria Square shows the Town Hall and General Post Office and some other city buildings".</t>
  </si>
  <si>
    <t>b31457721</t>
  </si>
  <si>
    <t>Art Gallery of South Australia</t>
  </si>
  <si>
    <t>Art Gallery of South Australia, North Terrace, Adelaide, decorated for the 1954 Royal visit by Queen Elizabeth II and the Duke of Edinburgh.</t>
  </si>
  <si>
    <t>b3138660x</t>
  </si>
  <si>
    <t>Queen Elizabeth II and party</t>
  </si>
  <si>
    <t>HM Queen Elizabeth, HRH the Duke of Edinburgh and party leaving car for an unknown occasion. Lyell McEwin is at rear of party, and partly obscured behind HRH.</t>
  </si>
  <si>
    <t>McEwin, Lyell (Alexander Lyell), Sir, 1897-1988;Elizabeth II, Queen of Great Britain, 1926-;Visits of state -- South Australia -- Adelaide.;Royal visitors -- South Australia -- Adelaide.</t>
  </si>
  <si>
    <t>b31386611</t>
  </si>
  <si>
    <t>Queen Elizabeth II at the airport</t>
  </si>
  <si>
    <t>HM Queen Elizabeth, HRH the Duke of Edinburgh and party, walking away from large crowds, possibly leaving from the airport.</t>
  </si>
  <si>
    <t>Elizabeth II, Queen of Great Britain, 1926-;Philip, Prince, consort of Elizabeth II, Queen of Great Britain, 1921- -- Travel -- South Australia -- Adelaide.;Visits of state -- South Australia -- Adelaide.;Royal visitors -- South Australia -- Adelaide.;Crowds -- South Australia -- Adelaide.</t>
  </si>
  <si>
    <t>b31386623</t>
  </si>
  <si>
    <t>Queen Elizabeth II with the Lord Mayor of Adelaide</t>
  </si>
  <si>
    <t>HM Queen Elizabeth and the Lord Mayor of Adelaide, J. S. Philps outside Adelaide Town Hall. A large crowd is gathered on tiered benches. Mr. &amp; Mrs. T. Playford and Mr. and Mrs. A. Lyell McEwin are at left edge of 4th row.</t>
  </si>
  <si>
    <t>McEwin, Lyell (Alexander Lyell), Sir, 1897-1988.;McEwin, Dora Winifred, 1898-1981.;Elizabeth II, Queen of Great Britain, 1926-;Playford, Thomas, Sir, 1896-1981;Visits of state -- South Australia -- Adelaide.;Royal visitors -- South Australia -- Adelaide.;Crowds -- South Australia -- Adelaide.</t>
  </si>
  <si>
    <t>b31386635</t>
  </si>
  <si>
    <t>Queen Elizabeth II greeting a couple</t>
  </si>
  <si>
    <t>HM Queen Elizabeth greeting an unknown couple (back to camera) on arrival at a public event. Lyell McEwin is foreground, side on, to left.</t>
  </si>
  <si>
    <t>McEwin, Lyell (Alexander Lyell), Sir, 1897-1988.;Elizabeth II, Queen of Great Britain, 1926-;Visits of state -- South Australia -- Adelaide.;Royal visitors -- South Australia -- Adelaide.;Crowds -- South Australia -- Adelaide.</t>
  </si>
  <si>
    <t>b31386647</t>
  </si>
  <si>
    <t>Large choir and symphony orchestra performing</t>
  </si>
  <si>
    <t>Very large massed choir behind Symphony Orchestra and bands for a night time occasion during the visit of Queen Elizabeth II to South Australia.</t>
  </si>
  <si>
    <t>Elizabeth II, Queen of Great Britain, 1926-;Choirs (Music) -- South Australia.;Visits of state -- South Australia -- Adelaide.;Royal visitors -- South Australia -- Adelaide.</t>
  </si>
  <si>
    <t>b31386659</t>
  </si>
  <si>
    <t>Outdoor event for Queen Elizabeth II.</t>
  </si>
  <si>
    <t>Large crowd of people waiting behind cordoned-off area at an outdoor event. It is a formal occasion meriting morning suits, during the visit of Queen Elizabeth II to South Australia.</t>
  </si>
  <si>
    <t>Elizabeth II, Queen of Great Britain, 1926-;Visits of state -- South Australia -- Adelaide.;Royal visitors -- South Australia -- Adelaide.;Crowds -- South Australia -- Adelaide.;Clothing and dress -- South Australia.</t>
  </si>
  <si>
    <t>b31386660</t>
  </si>
  <si>
    <t>Queen Elizabeth II boarding an airplane</t>
  </si>
  <si>
    <t>1 photograph : black and white   25.5 x 20.1 cm;still image sti rdacontent;unmediated n rdamedia;sheet nr rdacarrier;OUTSIZE 1</t>
  </si>
  <si>
    <t>Officer, HM Queen Elizabeth II, HRH the Duke of Edinburgh, A. Lyell McEwin, towards steps of plane.</t>
  </si>
  <si>
    <t>McEwin, Lyell (Alexander Lyell), Sir, 1897-1988.;Elizabeth II, Queen of Great Britain, 1926-;Philip, Prince, consort of Elizabeth II, Queen of Great Britain, 1921- -- Travel -- South Australia -- Adelaide.;Visits of state -- South Australia -- Adelaide.;Royal visitors -- South Australia -- Adelaide.;Airplanes -- South Australia.</t>
  </si>
  <si>
    <t>b31386672</t>
  </si>
  <si>
    <t>1 photograph : black and white   24.8 x  20.5 cm;still image sti rdacontent;unmediated n rdamedia;sheet nr rdacarrier;OUTSIZE 1</t>
  </si>
  <si>
    <t>Officer, HM Queen Elizabeth II,  A. Lyell McEwin, towards steps of plane.</t>
  </si>
  <si>
    <t>b3183744x</t>
  </si>
  <si>
    <t>Royal visit to Adelaide</t>
  </si>
  <si>
    <t>1954 March 19</t>
  </si>
  <si>
    <t>Viewed from the first level of the Victoria Buildings, crowds gather along Flinders Street to view the 'Royal Progress' through the streets of Adelaide during the royal visit of Queen Elizabeth II and the Duke of Edinburgh.</t>
  </si>
  <si>
    <t>General Post Office (Adelaide, S.A.);Royal visitors -- South Australia -- Adelaide;Mounted police -- South Australia -- Adelaide;Police horses -- South Australia -- Adelaide;Street decoration -- South Australia -- Adelaide;Visits of state -- South Australia -- Adelaide</t>
  </si>
  <si>
    <t>Grimmett Collection;Acre 236 Collection</t>
  </si>
  <si>
    <t>b31837529</t>
  </si>
  <si>
    <t>Viewed from the first level of the Victoria Buildings, two elderly women look toward the camera as crowds along Flinders Street begin to disperse after seeing the 'Royal Progress' through the streets of Adelaide during the royal visit of Queen Elizabeth II and the Duke of Edinburgh.</t>
  </si>
  <si>
    <t>Royal visitors -- South Australia -- Adelaide;Street decoration -- South Australia -- Adelaide;Visits of state -- South Australia -- Adelaide</t>
  </si>
  <si>
    <t>b31386568</t>
  </si>
  <si>
    <t>Queen Elizabeth II arrival at Parafield</t>
  </si>
  <si>
    <t>Group of people being presented to HM Queen Elizabeth II (partly obscured) on her arrival at Parafield Airport. Hon. T. Playford (Premier) and Mrs. Playford are immediately behind the Queen. A. Lyell and Mrs. McEwin are next in line to be presented (backs to camera in group on left).</t>
  </si>
  <si>
    <t>McEwin, Lyell (Alexander Lyell), Sir, 1897-1988.;Playford, Thomas, Sir, 1896-1981.;McEwin, Dora Winifred, 1898-1981.;Elizabeth II, Queen of Great Britain, 1926-;Visits of state -- South Australia.;Royal visitors -- South Australia.;Parafield Airport.;Airplanes -- South Australia -- Parafield.</t>
  </si>
  <si>
    <t>b3138657x</t>
  </si>
  <si>
    <t>A. Lyell McEwin and Mrs D. Winifred McEwin being presented to HM Queen Elizabeth II and HRH the Duke of Edinburgh at Parafield Airport. Mr and  Mrs Playford are to the right, with another couple next in line.</t>
  </si>
  <si>
    <t>b31837645</t>
  </si>
  <si>
    <t>1954 March 23</t>
  </si>
  <si>
    <t>Along the route people wave to Queen Elizabeth II and the Duke of Edinburgh riding in a DE 36hp Daimler landaulette on their way to the opening of the South Australian state parliament, Adelaide.</t>
  </si>
  <si>
    <t>Elizabeth II, Queen of Great Britain, 1926-;Philip, Prince, consort of Elizabeth II, Queen of Great Britain, 1921-;Daimler automobile;Royal visitors -- South Australia -- Adelaide;Visits of state -- South Australia -- Adelaide</t>
  </si>
  <si>
    <t>b31838005</t>
  </si>
  <si>
    <t>Along the route people wave to Queen Elizabeth II and the Duke of Edinburgh riding in a DE 36hp Daimler landaulette on their way to the opening of the South Australian State Parliament, Adelaide.</t>
  </si>
  <si>
    <t>b31838017</t>
  </si>
  <si>
    <t>b31838029</t>
  </si>
  <si>
    <t>b31838030</t>
  </si>
  <si>
    <t>On Victoria Drive near the university footbridge people wave to Queen Elizabeth II and the Duke of Edinburgh riding in a DE 36hp Daimler landaulette on their way to the opening of the South Australian State Parliament, Adelaide.</t>
  </si>
  <si>
    <t>b31838042</t>
  </si>
  <si>
    <t>Children watch a large contingent of police marching with left shoulder arms and bayonets fixed in the Adelaide Parklands during the 1954 Royal Visit.</t>
  </si>
  <si>
    <t>Police -- South Australia;Royal visitors -- South Australia -- Adelaide;Visits of state -- South Australia -- Adelaide</t>
  </si>
  <si>
    <t>b31386581</t>
  </si>
  <si>
    <t>Queen Elizabeth II and party leaving Parliament House</t>
  </si>
  <si>
    <t>Aerial (possibly from roof of 1 King William St) view of North Terrace outside Parliament House, showing: official party exiting Parliament House, crowds gathered, mounted police and military officers and band ceremoniously aligned.</t>
  </si>
  <si>
    <t>Elizabeth II, Queen of Great Britain, 1926-;Visits of state -- South Australia -- Adelaide.;Royal visitors -- South Australia -- Adelaide.;Crowds -- South Australia -- Adelaide.;Automobiles -- South Australia -- Adelaide</t>
  </si>
  <si>
    <t>b31386593</t>
  </si>
  <si>
    <t>Queen Elizabeth II inside Parliament House</t>
  </si>
  <si>
    <t>Inside Parliament House for the Opening of Parliament. HM Queen Elizabeth II seated centre front. Other officials and Parliamentary officers, and more than 30 Members are in the Chamber, with journalists and onlookers in the Gallery.</t>
  </si>
  <si>
    <t>Elizabeth II, Queen of Great Britain, 1926-;Parliament House (Adelaide, S.A.);Visits of state -- South Australia -- Adelaide.;Royal visitors -- South Australia -- Adelaide.;Parliament House (Adelaide, S.A.)</t>
  </si>
  <si>
    <t>b2927008x</t>
  </si>
  <si>
    <t>Boy and girl hanging washing</t>
  </si>
  <si>
    <t>1954 May</t>
  </si>
  <si>
    <t>1 photograph : black and white   6.4 x 8.9 cm;still image sti rdacontent;unmediated n rdamedia;sheet nb rdacarrier</t>
  </si>
  <si>
    <t>Boy and girl hanging out the washing, and standing on buckets to reach. To see all photographs in this collection, search on Archival number PRG 1561/5/1.</t>
  </si>
  <si>
    <t>Laundry -- South Australia</t>
  </si>
  <si>
    <t>b29270091</t>
  </si>
  <si>
    <t>Boy and girl with toys</t>
  </si>
  <si>
    <t>1 photograph : black and white   6.6 x 11.4 cm;still image sti rdacontent;unmediated n rdamedia;sheet nb rdacarrier</t>
  </si>
  <si>
    <t>Boy in toy car and girl on a tricycle. To see all photographs in this collection, search on Archival number PRG 1561/5/1.</t>
  </si>
  <si>
    <t>Tricycles -- South Australia;Toys -- South Australia</t>
  </si>
  <si>
    <t>b30268850</t>
  </si>
  <si>
    <t>Mattschoss - Burgess wedding</t>
  </si>
  <si>
    <t>1954 May 1</t>
  </si>
  <si>
    <t>Wedding of Valmae Mattschoss, younger daughter of Mr. and Mrs. A. Mattschoss of Kapunda, to Jim Burgess, only son of Mrs. and the late Mr. H.J. Burgess of Morphettville, conducted Christ Church, Kapunda, South Australia.</t>
  </si>
  <si>
    <t>Mattschoss, Valmae;Burgess, Jim;Christ Church (Kapunda, S.A.);Weddings -- South Australia</t>
  </si>
  <si>
    <t>b30268862</t>
  </si>
  <si>
    <t>b30268874</t>
  </si>
  <si>
    <t>b30268886</t>
  </si>
  <si>
    <t>b30268837</t>
  </si>
  <si>
    <t>b30268916</t>
  </si>
  <si>
    <t>Harris - Irvine wedding</t>
  </si>
  <si>
    <t>1954 May 8</t>
  </si>
  <si>
    <t>Wedding of Margaret Harris, 18 year old clerk, to William Irvine, 24 year old woolclasser, conducted at Holy Trinity Church, Adelaide, South Australia.</t>
  </si>
  <si>
    <t>Harris, Margaret Yivonne;Irvine, William Vaughan;Holy Trinity Church (Adelaide, S.A.);Weddings -- South Australia</t>
  </si>
  <si>
    <t>b30268928</t>
  </si>
  <si>
    <t>b3026893x</t>
  </si>
  <si>
    <t>b30268941</t>
  </si>
  <si>
    <t>b31982682</t>
  </si>
  <si>
    <t>Del Monte Palace Hotel, Henley Road</t>
  </si>
  <si>
    <t>1954 November</t>
  </si>
  <si>
    <t>Photograph (b&amp;w print)  6.2 x 8.4 cm;RESERVE 1</t>
  </si>
  <si>
    <t>View of the Del Monte Palace Hotel on Henley Road at Henley Beach.</t>
  </si>
  <si>
    <t>Del Monte Palace Hotel (Henley Beach, S.A.);Hotels -- South Australia -- Henley Beach</t>
  </si>
  <si>
    <t>Henley Beach Collection</t>
  </si>
  <si>
    <t>b30850459</t>
  </si>
  <si>
    <t>Keogh - Penn wedding</t>
  </si>
  <si>
    <t>1954 November 13</t>
  </si>
  <si>
    <t>Wedding of Cecilia Keogh, youngest daughter of John Keogh and the late Catherine Keogh, nee Moloney, of Southwark, to John Penn, only son of Frank Laurence Penn and Johanna Ellen Penn, nee Howard, of Hectorville, solemnised with Nuptual Mass at Sacred Heart Church, Hindmarsh, South Australia, at 9.30 am on Saturday 13 November 1954.</t>
  </si>
  <si>
    <t>Keogh, Cecilia;Penn, John;Sacred Heart Church (Hindmarsh, S.A.);Weddings -- South Australia</t>
  </si>
  <si>
    <t>b30850496</t>
  </si>
  <si>
    <t>Keogh, Cecilia;Penn, John;Sacred Heart Church (Hindmarsh, S.A.);Weddings -- South Australia;Church architecture -- South Australia -- Adelaide</t>
  </si>
  <si>
    <t>b30850502</t>
  </si>
  <si>
    <t>b30850435</t>
  </si>
  <si>
    <t>b30850514</t>
  </si>
  <si>
    <t>b30850320</t>
  </si>
  <si>
    <t>b30850563</t>
  </si>
  <si>
    <t>Bishop - Burford wedding</t>
  </si>
  <si>
    <t>1954 November 20</t>
  </si>
  <si>
    <t>Bishop - Burford wedding, 20 November 1954.</t>
  </si>
  <si>
    <t>b30850587</t>
  </si>
  <si>
    <t>b30850538</t>
  </si>
  <si>
    <t>b30850733</t>
  </si>
  <si>
    <t>Menz - Moulden wedding</t>
  </si>
  <si>
    <t>1954 November 27</t>
  </si>
  <si>
    <t>Wedding of Shirley Menz, younger daughter of Bernard Menz and Coral Crystal Menz, nee Clisby, of 70 Ashley Street, Torrensville, to Kenneth Moulden, elder son of Harold and Lila May Moulden, nee Osborne, of Colac, Victoria, celebrated in the Torrensville Methodist Church, South Australia, on Saturday 27 November 1954.</t>
  </si>
  <si>
    <t>Menz, Shirley Coral;Moulden, Kenneth;Torrensville Methodist Church (Torrensville, S.A.);Weddings -- South Australia;Church architecture -- South Australia -- Adelaide</t>
  </si>
  <si>
    <t>b30850745</t>
  </si>
  <si>
    <t>b30850769</t>
  </si>
  <si>
    <t>Menz, Shirley Coral;Moulden, Kenneth;Torrensville Methodist Church (Torrensville, S.A.);Weddings -- South Australia</t>
  </si>
  <si>
    <t>b30850605</t>
  </si>
  <si>
    <t>b30576581</t>
  </si>
  <si>
    <t>Schrader - Edwards wedding</t>
  </si>
  <si>
    <t>1954 October 16</t>
  </si>
  <si>
    <t>Wedding of Valerie Edwards, daughter of Mr. Alfred John Edwards and Mrs. Iris Catherine Edwards nee Hodge of Torrens Park, to Roger Kenneth Schrader, son of the late Mr. Vincent Arnold Schrader and Mrs. Elsie Gladys Schrader nee Sanders, conducted at St. Michael's Church of England, Mitcham, South Australia.</t>
  </si>
  <si>
    <t>Edwards, Valerie Edith, 1927-;Schrader, Roger Kenneth, 1927-2007;St. Michael's Church (Semaphore, S.A.);Weddings -- South Australia</t>
  </si>
  <si>
    <t>b30576349</t>
  </si>
  <si>
    <t>b30576593</t>
  </si>
  <si>
    <t>b30576611</t>
  </si>
  <si>
    <t>b30576635</t>
  </si>
  <si>
    <t>b30576647</t>
  </si>
  <si>
    <t>b30576544</t>
  </si>
  <si>
    <t>b31244890</t>
  </si>
  <si>
    <t>Violet Edith Frost (nee Murray) with bridesmaid</t>
  </si>
  <si>
    <t>1 photograph (digital copy) : black and white;still image sti rdacontent;computer c rdamedia;online resource cr rdacarrier;image file TIFF 68.3 mb 5788 x 4126 pixels.</t>
  </si>
  <si>
    <t>Digital copy of a black and white photograph of Violet Edith Frost (nee Murray) [left] posing for a traditional 'photograph in the mirror' with bridesmaid Shirley Grubb (nee Robinson) in the bedroom of her mother, Jean Dorothy Murray, at Woodside.</t>
  </si>
  <si>
    <t>Frost, Violet Edith, 1935-1997;Grubb, Shirley;Wedding costume -- South Australia -- Woodside;Brides -- South Australia -- Woodside;Bridesmaids -- South Australia -- Woodside</t>
  </si>
  <si>
    <t>Oakbank Collection;Portrait Collection</t>
  </si>
  <si>
    <t>b31244944</t>
  </si>
  <si>
    <t>Arthur and Violet Frost (nee Murray) with wedding cars</t>
  </si>
  <si>
    <t>1 photograph (digital copy) : black and white;still image sti rdacontent;computer c rdamedia;online resource cr rdacarrier;image file TIFF 67.5 mb 5843 x 4038 pixels.</t>
  </si>
  <si>
    <t>Digital copy of a black and white photograph of Arthur Stanley Frost and Violet Edith Frost (nee Murray) [right] posing for a photograph with bridesmaid Shirley Grubb (nee Robinson) and best man Maurice 'Mick' William Frost beside the Holden wedding cars, Oakbank.</t>
  </si>
  <si>
    <t>Frost, Arthur Stanley, 1927-2000;Frost, Violet Edith, 1935-1997;Grubb, Shirley;Frost, Maurice William, 1929-1996;Frost (Family);Weddings -- South Australia -- Oakbank;Wedding costume -- South Australia -- Oakbank</t>
  </si>
  <si>
    <t>b31244956</t>
  </si>
  <si>
    <t>Arthur and Violet Frost (nee Murray) cutting their wedding cake</t>
  </si>
  <si>
    <t>1 photograph (digital copy) : black and white;still image sti rdacontent;computer c rdamedia;online resource cr rdacarrier;image file TIFF 66.7 mb 4064 x 5737 pixels.</t>
  </si>
  <si>
    <t>Digital copy of a black and white photograph of Arthur Stanley Frost and Violet Edith Frost (nee Murray) cutting their wedding cake at the reception, with bridesmaid Shirley Grubb (nee Robinson) sitting to the right.</t>
  </si>
  <si>
    <t>Frost, Arthur Stanley, 1927-2000;Frost, Violet Edith, 1935-1997;Grubb, Shirley;Frost (Family);Weddings -- South Australia -- Oakbank;Wedding costume -- South Australia -- Oakbank;Wedding cakes -- South Australia -- Oakbank</t>
  </si>
  <si>
    <t>b3124497x</t>
  </si>
  <si>
    <t>Violet Edith Frost (nee Murray) with parents on her wedding day</t>
  </si>
  <si>
    <t>1 photograph (digital copy) : black and white;still image sti rdacontent;computer c rdamedia;online resource cr rdacarrier;image file TIFF 69.1 mb 5883 x 4107 pixels.</t>
  </si>
  <si>
    <t>Digital copy of a black and white photograph of Violet Edith Frost (nee Murray) [centre left] on her wedding day, posing with her bridesmaid Shirley Grubb (nee Robinson) [left] and her parents, Fred and Jean Murray (nee Bottroff), with Holden wedding cars in view. Photograph taken on Archie Cameron's farm, Oakbank.</t>
  </si>
  <si>
    <t>Frost, Violet Edith, 1935-1997;Grubb, Shirley;Murray, Jean Dorothy, 1913-1986;Murray, Frederick Ernest, 1912-1995;Murray (Family);Frost (Family);Weddings -- South Australia -- Oakbank;Wedding costume -- South Australia -- Oakbank</t>
  </si>
  <si>
    <t>b31244877</t>
  </si>
  <si>
    <t>Wedding of Arthur Stanley Frost and Violet Edith Frost (nee Murray)</t>
  </si>
  <si>
    <t>Digital copy of a black and white photograph of Arthur and Violet Frost (nee Murray) standing outside the Oakbank Methodist Church following their marriage ceremony, with bridesmaid Shirley Grubb (nee Robinson) and best man Maurice 'Mick' William Frost standing to the right.</t>
  </si>
  <si>
    <t>b31244889</t>
  </si>
  <si>
    <t>Arthur Stanley Frost and Violet Edith Frost (nee Murray) on their wedding day</t>
  </si>
  <si>
    <t>Digital copy of a black and white photograph of Arthur and Violet Frost (nee Murray) [right] posing for photographs on Archie Cameron's farm at Oakbank, following their marriage ceremony. Bridesmaid Shirley Grubb (Robinson) and best man Maurice 'Mick' William Frost are standing to the left.</t>
  </si>
  <si>
    <t>b30576659</t>
  </si>
  <si>
    <t>Leedham - Ketteridge wedding</t>
  </si>
  <si>
    <t>1954 October 23</t>
  </si>
  <si>
    <t>Wedding of Noel Ketteridge, daughter of Ralph and Winifred Ketteridge, to John Leedham, son of Harold and Gertrude Leedham nee Knabe, conducted in St. Matthew's Church, Marryatville, South Australia.</t>
  </si>
  <si>
    <t>Ketteridge, Noel Pamela, 1930-;Leedham, John Julian, 1930-;St. Matthews Church (Marryatville, S.A.);Weddings -- South Australia</t>
  </si>
  <si>
    <t>b30576714</t>
  </si>
  <si>
    <t>b30576726</t>
  </si>
  <si>
    <t>b30576738</t>
  </si>
  <si>
    <t>b3057674x</t>
  </si>
  <si>
    <t>b31832866</t>
  </si>
  <si>
    <t>Wedding cars outside St Matthew's Anglican church</t>
  </si>
  <si>
    <t>Wedding cars outside St Matthew's Anglican church, Kensington Road, Marryatville, for the wedding of Noel Ketteridge to John Leedham.</t>
  </si>
  <si>
    <t>St. Matthews Church (Marryatville, S.A.);Church buildings -- South Australia -- Marryatville</t>
  </si>
  <si>
    <t>b30576763</t>
  </si>
  <si>
    <t>Tohl - Judd wedding</t>
  </si>
  <si>
    <t>1954 October 30</t>
  </si>
  <si>
    <t>Wedding of Margaret Judd, younger daughter of Richard William Judd and Josphine Ivy Judd nee Delaney of 11 Way Avenue, Myrtle Bank, to Brian Tohl, youngest son of Mrs. Mary Agnes Tohl of 186 Kensington Road, Marryatville, and the late Mr. Michael Tohl,  performed by Rev. Fr. Killian in St. Raphael's Church, Parkside, South Australia.</t>
  </si>
  <si>
    <t>Judd, Margaret Elaine;Tohl, Brian;St. Raphaels Church (Parkside, S.A.);Weddings -- South Australia</t>
  </si>
  <si>
    <t>b30576830</t>
  </si>
  <si>
    <t>b30576842</t>
  </si>
  <si>
    <t>Judd, Margaret Elaine;Tohl, Brian;St. Raphaels Church (Parkside, S.A.);Weddings -- South Australia;Church architecture -- South Australia -- Parkside</t>
  </si>
  <si>
    <t>b30576787</t>
  </si>
  <si>
    <t>b30576854</t>
  </si>
  <si>
    <t>b30576799</t>
  </si>
  <si>
    <t>b30577007</t>
  </si>
  <si>
    <t>Swan - Kaden wedding</t>
  </si>
  <si>
    <t>Wedding of Nancy Lee Kaden, daughter of Frederick William Kaden and Minnie Maud Ellen Kaden, nee Lee, of Greeba via Cleve, to Kenneth William Swan, son of William Arthur Swan and Elizabeth May Swan nee Coghlan, of 18 Divett Place, Alberton, performed in St. John's Church, Halifax Street, Adelaide, South Australia.</t>
  </si>
  <si>
    <t>Kaden, Nancy Lee, 1927-;Swan, Kenneth William, 1925-;St. John's Church (Parkside, S.A.);Weddings -- South Australia;Church architecture -- South Australia -- Adelaide</t>
  </si>
  <si>
    <t>b30576866</t>
  </si>
  <si>
    <t>b30577020</t>
  </si>
  <si>
    <t>b30577032</t>
  </si>
  <si>
    <t>b30577044</t>
  </si>
  <si>
    <t>b29276512</t>
  </si>
  <si>
    <t>Harness-racing horses and their jockeys</t>
  </si>
  <si>
    <t>1954 October 5</t>
  </si>
  <si>
    <t>1 photograph : black and white (tinted)   25.5 cm x 37.4 cm;PRG 1617/5/1 RESERVE 11;still image sti rdacontent;unmediated n rdamedia;sheet nb rdacarrier</t>
  </si>
  <si>
    <t>Composite photograph made from three original photographs of the winning harness-racing horses at the Para Handicap, Kadina in 1954. 'Helendale' won beating 'Wondering' and 'McKinney Rose'. The trainer-reinsman was T. Butterworth. The silks of the jockeys, and the grass and trees have been colour tinted.</t>
  </si>
  <si>
    <t>Harness racehorses -- South Australia -- Kadina;Horse racing -- South Australia -- Kadina;Kadina (S.A.)</t>
  </si>
  <si>
    <t>b30269076</t>
  </si>
  <si>
    <t>Neal - Cunningham wedding</t>
  </si>
  <si>
    <t>1954 September 18</t>
  </si>
  <si>
    <t>Wedding of Gwenda Neal, second daughter of Mr. James Charles Neal and Mrs. May Neal of 34 Alexander Street, Largs Bay, to Evan Cunningham, elder son of Mr. Daniel Michael Cunningham and Mrs. Ethel Rose Cunningham nee Morgan of 8 Seventh Avenue, Cheltenham, conducted at St. Bede's Anglican Church, Semaphore, South Australia.</t>
  </si>
  <si>
    <t>Neal, Gwenda Elizabeth;Cunningham, Evan Edward;St. Bede's Anglican Church (Semaphore, S.A.);Weddings -- South Australia</t>
  </si>
  <si>
    <t>b30269088</t>
  </si>
  <si>
    <t>b30269040</t>
  </si>
  <si>
    <t>b31386490</t>
  </si>
  <si>
    <t>C.A. Parsons opening, Whyalla</t>
  </si>
  <si>
    <t>1954 September 27</t>
  </si>
  <si>
    <t>Men at an opening event for C.A. Parsons, Whyalla. L-R: Freddie Brown (Captain of English Eleven, reporting for News Mail), J. Stanley Murray (Chairman of Directors, News Limited) of Rosedale, Mt. Pleasant, Sir Lyell McEwin (Chief Secretary, Minister of Health and Minister of Mines).</t>
  </si>
  <si>
    <t>McEwin, Lyell (Alexander Lyell), Sir, 1897-1988;Brown, Frederick Richard, 1910-1991.</t>
  </si>
  <si>
    <t>b31386507</t>
  </si>
  <si>
    <t>Regent Studios, photographer</t>
  </si>
  <si>
    <t>Hon T. Playford (Premier), Sir Claude Gibbs, (Manager C.A. Parsons (London)), and Sir Lyell McEwin, at opening of C.A. Parsons, Whyalla</t>
  </si>
  <si>
    <t>McEwin, Lyell (Alexander Lyell), Sir, 1897-1988.;Playford, Thomas, Sir, 1896-1981.;Gibb, Claude Dixon, Sir.</t>
  </si>
  <si>
    <t>b31386519</t>
  </si>
  <si>
    <t>Men at opening of C.A. Parsons, Whyalla, R-L: Mr Geo Lewsthwaite (accountant, BHP), Sir Lyell McEwin, Mr Kleeman (Superintendent, BHP Whyalla) with back to camera, and two unidentified men at opening of CA Parsons, Whyalla.</t>
  </si>
  <si>
    <t>McEwin, Lyell (Alexander Lyell), Sir, 1897-1988.</t>
  </si>
  <si>
    <t>b31386520</t>
  </si>
  <si>
    <t>Men at opening of C.A. Parsons, Whyalla, L-R: (?), Sir Claude Gibb (Managing Director, C.A. Parsons, London), (?), Mr. Geof Gerard (Chairman, SA Chamber of Commerce), Sir Lyell McEwin. They are standing near the wing of a plane.</t>
  </si>
  <si>
    <t>McEwin, Lyell (Alexander Lyell), Sir, 1897-1988.;Gibb, Claude Dixon, Sir.;Airplanes -- South Australia -- Whyalla.</t>
  </si>
  <si>
    <t>b31386532</t>
  </si>
  <si>
    <t>Large group of male officials at opening of C.A. Parsons, Whyalla, with four identified L-R: Hon T Playford, Sir Mellis Napier (Chief Justice, SA), Mr. R.K. Kleeman (Superintendent, BHP Whyalla), Sir Lyell McEwin. The group are waling into a large factory space.</t>
  </si>
  <si>
    <t>McEwin, Lyell (Alexander Lyell), Sir, 1897-1988.;Playford, Thomas, Sir, 1896-1981.;Napier, Mellis, Sir, 1882-1976.;Kleeman, R. K.</t>
  </si>
  <si>
    <t>b31386544</t>
  </si>
  <si>
    <t>Large group male officials and staff at opening of C.A. Parsons, Whyalla, with four identified, L-R: Hon T Playford, Sir Mellis Napier (Chief Justice, SA),  Sir Lyell McEwin, Mr R.K. Kleeman (Superintendent, BHP Whyalla).</t>
  </si>
  <si>
    <t>b31386556</t>
  </si>
  <si>
    <t>Large group of people inspecting works at opening of C.A. Parsons, Whyalla. Sir Lyell McEwin and Mr R.K. Kleeman are identified as foreground right, with backs to camera.</t>
  </si>
  <si>
    <t>McEwin, Lyell (Alexander Lyell), Sir, 1897-1988.;Kleeman, R. K.</t>
  </si>
  <si>
    <t>b30269131</t>
  </si>
  <si>
    <t>Sage - Sage wedding</t>
  </si>
  <si>
    <t>1954 September 4</t>
  </si>
  <si>
    <t>Wedding of two people by the name of Sage at St. Margaret's Church, Woodville, South Australia.</t>
  </si>
  <si>
    <t>St. Margaret's Church (Woodville, S.A.);Weddings -- South Australia</t>
  </si>
  <si>
    <t>b30269143</t>
  </si>
  <si>
    <t>b30269155</t>
  </si>
  <si>
    <t>b30269118</t>
  </si>
  <si>
    <t>b21932360</t>
  </si>
  <si>
    <t>Lothian, Noel, 1915-2004, photographer</t>
  </si>
  <si>
    <t>Slides relating to Royal Visits</t>
  </si>
  <si>
    <t>1954, 1963, 1986</t>
  </si>
  <si>
    <t>16 cm;RESERVE 1;Photograph (slide) acetate</t>
  </si>
  <si>
    <t>Slides relating to Royal Visits by Queen Elizabeth and the Queen Mother.</t>
  </si>
  <si>
    <t>Elizabeth II, Queen of Great Britain, 1926- -- Travel -- South Australia -- Adelaide;Elizabeth, Queen, consort of George VI, King of Great Britain, 1900-2002 -- Travel -- South Australia;Visits of state -- South Australia -- Adelaide</t>
  </si>
  <si>
    <t>b31386969</t>
  </si>
  <si>
    <t>Aroona Dam, Leigh Creek</t>
  </si>
  <si>
    <t>1955 April</t>
  </si>
  <si>
    <t>1 photograph : black and white   18.0 x 24.5 cm;still image sti rdacontent;unmediated n rdamedia;sheet nr rdacarrier;OUTSIZE 1</t>
  </si>
  <si>
    <t>View of Aroona Dam, Leigh Creek.</t>
  </si>
  <si>
    <t>Dams -- South Australia -- Leigh Creek.;Aroona Dam (Flinders Ranges Region, S.A.)</t>
  </si>
  <si>
    <t>Sir Lyell McEwin Collection;Leigh Creek Collection</t>
  </si>
  <si>
    <t>b31386970</t>
  </si>
  <si>
    <t>b21126343</t>
  </si>
  <si>
    <t>Aquatic Club speedboat races</t>
  </si>
  <si>
    <t>1955 January 1</t>
  </si>
  <si>
    <t>A competitor and spectators at the Aquatic Club speedboat races on Valley Lake, Mount Gambier, 1 January 1955.</t>
  </si>
  <si>
    <t>Aquatic sports -- South Australia -- Mount Gambier</t>
  </si>
  <si>
    <t>b31386994</t>
  </si>
  <si>
    <t>Cocktail Party at Hotel Adelphi</t>
  </si>
  <si>
    <t>1955 October 26</t>
  </si>
  <si>
    <t>1 photograph : black and white   15.5 x 20.5 cm;still image sti rdacontent;unmediated n rdamedia;sheet nr rdacarrier;OUTSIZE 1</t>
  </si>
  <si>
    <t>Commonwealth Oil Refineries Cocktail party, at the Hotel Adelphi, Perth. L-R: S. Powell (Chairman. Guinea Airways Pty Ltd, S.A.), W.J. Clarke (Merchandising Officer, C.O.R. W.A.), Mrs W.J. Clarke, Sir Lyell McEwin (Deputy Premier, S.A.), Lady McEwin.</t>
  </si>
  <si>
    <t>McEwin, Lyell (Alexander Lyell), Sir, 1897-1988.;McEwin, Dora Winifred, 1898-1981.</t>
  </si>
  <si>
    <t>b21112599</t>
  </si>
  <si>
    <t>Bruce Ridland's 21st birthday</t>
  </si>
  <si>
    <t>1955 September 17</t>
  </si>
  <si>
    <t>Bruce Ridland cutting his 21st birthday cake at a party held in his honour at his parent's house on 17 September 1955. From left: Police Inspector William 'Jock' Ridland, Beverly Ridland, Bruce Ridland, Lily Jane 'Lil' Ridland nee Dunmore, and Ian Ridland.</t>
  </si>
  <si>
    <t>Ridland, Bruce Alan, 1934-;Ridland, Beverley, 1935-;Ridland, Ian, 1936-;Ridland, William;Dunmore, Lily Jane;Ridland(Family);Cake -- South Australia -- Mount Gambier;Birthday cakes -- South Australia -- Mount Gambier</t>
  </si>
  <si>
    <t>b21114596</t>
  </si>
  <si>
    <t>Beverley and William Ridland</t>
  </si>
  <si>
    <t>1957 January 25</t>
  </si>
  <si>
    <t>Beverley Ridland with her father, Police Inspector William 'Jock' Ridland, on 25th January 1957.</t>
  </si>
  <si>
    <t>Ridland, Beverley, 1935-;Ridland, William;Costume -- Scotland</t>
  </si>
  <si>
    <t>b30135412</t>
  </si>
  <si>
    <t>News and Sunday Mail, photographer</t>
  </si>
  <si>
    <t>Singer Sewing Club</t>
  </si>
  <si>
    <t>1957 October</t>
  </si>
  <si>
    <t>1 photograph : black and white,   15.9 x 11.1 cm;RESERVE 1;still image sti rdacontent;unmediated n rdamedia;sheet nb rdacarrier</t>
  </si>
  <si>
    <t>Six women and girls sewing on Singer sewing machines in Moore's Department Store.</t>
  </si>
  <si>
    <t>Charles Moore &amp; Company;Department stores -- South Australia -- Adelaide;Stores, Retail -- South Australia -- Adelaide;Sewing machines</t>
  </si>
  <si>
    <t>b31279119</t>
  </si>
  <si>
    <t>Barossa Vintage Festival</t>
  </si>
  <si>
    <t>1958 April 12</t>
  </si>
  <si>
    <t>Tarac Ltd. float pulled by a tractor in the 1958 Barossa Vintage Festival passing the premises of E. Schrapel &amp; Sons Ltd, Tanunda.</t>
  </si>
  <si>
    <t>Tarac Technologies;Parades -- South Australia -- Tanunda</t>
  </si>
  <si>
    <t>Grimmett Collection;Tanunda Collection</t>
  </si>
  <si>
    <t>b31279144</t>
  </si>
  <si>
    <t>Tintara Wines float advertising Barbecue Burgundy pulled by a tractor in the 1958 Barossa Vintage Festival passing the premises of E. Schrapel &amp; Sons Ltd, Tanunda.</t>
  </si>
  <si>
    <t>Tintara Wines;Parades -- South Australia -- Tanunda</t>
  </si>
  <si>
    <t>b31279156</t>
  </si>
  <si>
    <t>Lyndoch float pulled by a tractor in the 1958 Barossa Vintage Festival passing the premises of E. Schrapel &amp; Sons Ltd, Tanunda.</t>
  </si>
  <si>
    <t>Parades -- South Australia -- Tanunda</t>
  </si>
  <si>
    <t>b3127917x</t>
  </si>
  <si>
    <t>Nuriootpa town float carrying Joy Nettelbeck and an escort of guards  P. Petrovich, D. Atze, A. Lehmann and P. Ladd, pulled by a tractor in the 1958 Barossa Vintage Festival passing the premises of E. Schrapel &amp; Sons Ltd, Tanunda.</t>
  </si>
  <si>
    <t>Nettelbeck, Joy;Parades -- South Australia -- Tanunda</t>
  </si>
  <si>
    <t>b31279193</t>
  </si>
  <si>
    <t>Barossa Rose by Orlando float pulled by a tractor in the 1958 Barossa Vintage Festival, Tanunda.</t>
  </si>
  <si>
    <t>Orlando Wines;Parades -- South Australia -- Tanunda</t>
  </si>
  <si>
    <t>b3127920x</t>
  </si>
  <si>
    <t>Miss Koch the Rowland Flat 'Queen of Wine' in her barrel carriage in the 1958 Barossa Vintage Festival, Tanunda.</t>
  </si>
  <si>
    <t>b31279211</t>
  </si>
  <si>
    <t>Marching girls in the Barossa Vintage Festival, Tanunda.</t>
  </si>
  <si>
    <t>b31279223</t>
  </si>
  <si>
    <t>Marching girls on Tanunda Oval.</t>
  </si>
  <si>
    <t>Festivals -- South Australia -- Tanunda</t>
  </si>
  <si>
    <t>b31279235</t>
  </si>
  <si>
    <t>Dancers on Tanunda Oval.</t>
  </si>
  <si>
    <t>b31387081</t>
  </si>
  <si>
    <t>South Australia. Department of Lands, photographer</t>
  </si>
  <si>
    <t>Sir Lyell McEwin with the Queen Mother</t>
  </si>
  <si>
    <t>1958 March 5</t>
  </si>
  <si>
    <t>1 photograph : black and white   15.5 x 11.0 cm;still image sti rdacontent;unmediated n rdamedia;sheet nr rdacarrier;OUTSIZE 1</t>
  </si>
  <si>
    <t>Queen Elizabeth the Queen Mother and Sir Lyell McEwin at opening of Queen Elizabeth Hospital.</t>
  </si>
  <si>
    <t>McEwin, Lyell (Alexander Lyell), Sir, 1897-1988.;Elizabeth, Queen, consort of George VI, King of Great Britain, 1900-2002;Queen Elizabeth Hospital (Woodville, S.A.);Hospitals -- South Australia -- Woodville.</t>
  </si>
  <si>
    <t>b31387093</t>
  </si>
  <si>
    <t>Queen Elizabeth the Queen Mother and Sir Lyell McEwin at opening of Queen Elizabeth Hospital</t>
  </si>
  <si>
    <t>b21107555</t>
  </si>
  <si>
    <t>Speed boat on Valley Lake</t>
  </si>
  <si>
    <t>1959 October 12</t>
  </si>
  <si>
    <t>View looking east of a speed boat on Valley Lake, Mount Gambier, 12 October 1959.</t>
  </si>
  <si>
    <t>Motorboats -- South Australia -- Mount Gambier;Lakes -- South Australia -- Mount Gambier</t>
  </si>
  <si>
    <t>b21165117</t>
  </si>
  <si>
    <t>R. Pearson</t>
  </si>
  <si>
    <t>approximately 1950</t>
  </si>
  <si>
    <t>Photograph of Mr and Mrs R. Pearson taken in the studio on their wedding day.</t>
  </si>
  <si>
    <t>Pearson, R.;Wedding costume -- South Australia -- Mount Gambier</t>
  </si>
  <si>
    <t>b21165129</t>
  </si>
  <si>
    <t>R. Manser on her wedding day</t>
  </si>
  <si>
    <t>Photograph of Miss Manser taken in the studio on her wedding day.</t>
  </si>
  <si>
    <t>Manser, R.;Brides -- South Australia -- Mount Gambier;Wedding costume -- South Australia -- Mount Gambier</t>
  </si>
  <si>
    <t>b21165130</t>
  </si>
  <si>
    <t>b21165142</t>
  </si>
  <si>
    <t>P. Zelenko</t>
  </si>
  <si>
    <t>Photograph of Mr and Mrs Zelenko taken in the studio on their wedding day.</t>
  </si>
  <si>
    <t>Zelenko, P.;Wedding costume -- South Australia -- Mount Gambier</t>
  </si>
  <si>
    <t>b21165154</t>
  </si>
  <si>
    <t>C. Mitchell</t>
  </si>
  <si>
    <t>Studio photograph of a man and woman dressed for a special occasion, possibly it is their wedding day.</t>
  </si>
  <si>
    <t>Mitchell, C.;Clothing and dress -- South Australia -- Mount Gambier</t>
  </si>
  <si>
    <t>b21165166</t>
  </si>
  <si>
    <t>J. White on her wedding day</t>
  </si>
  <si>
    <t>Photograph of Miss J. White taken in the studio on her wedding day.</t>
  </si>
  <si>
    <t>White, J.;Brides -- South Australia -- Mount Gambier;Wedding costume -- South Australia -- Mount Gambier</t>
  </si>
  <si>
    <t>b21165178</t>
  </si>
  <si>
    <t>J. Williams</t>
  </si>
  <si>
    <t>Photograph of Mr and Mrs Williams taken in the studio on their wedding day.</t>
  </si>
  <si>
    <t>Williams, J.;Wedding costume -- South Australia -- Mount Gambier</t>
  </si>
  <si>
    <t>b2116518x</t>
  </si>
  <si>
    <t>J.W. Agnew on her wedding day</t>
  </si>
  <si>
    <t>Photograph of Miss Agnew taken in the studio on her wedding day.</t>
  </si>
  <si>
    <t>Agnew, J. W.;Brides -- South Australia -- Mount Gambier;Wedding costume -- South Australia -- Mount Gambier</t>
  </si>
  <si>
    <t>b21165191</t>
  </si>
  <si>
    <t>B. Balnaves</t>
  </si>
  <si>
    <t>Photograph of Mr and Mrs Balnaves taken in the studio on their wedding day.</t>
  </si>
  <si>
    <t>Balnaves, B.;Brides -- South Australia -- Mount Gambier;Wedding costume -- South Australia -- Mount Gambier</t>
  </si>
  <si>
    <t>b21165208</t>
  </si>
  <si>
    <t>A.F. Ryan on her wedding day</t>
  </si>
  <si>
    <t>Photograph of Miss Ryan taken in the studio on her wedding day.</t>
  </si>
  <si>
    <t>Ryan, A. F.;Brides -- South Australia -- Mount Gambier;Wedding costume -- South Australia -- Mount Gambier</t>
  </si>
  <si>
    <t>b2116521x</t>
  </si>
  <si>
    <t>M. VonEinen on her wedding day</t>
  </si>
  <si>
    <t>Photograph of Miss VonEinen taken in the studio on her wedding day.</t>
  </si>
  <si>
    <t>VonEinen, M.;Brides -- South Australia -- Mount Gambier;Wedding costume -- South Australia -- Mount Gambier</t>
  </si>
  <si>
    <t>b20814239</t>
  </si>
  <si>
    <t>Sundial at Angorichina Hostel</t>
  </si>
  <si>
    <t>Photograph (black and white print)  6.3 cm x 8.8 cm;RESERVE 1;still image sti rdacontent;unmediated n rdamedia;sheet nb rdacarrier</t>
  </si>
  <si>
    <t>The sundial at Angorichina Hostel.</t>
  </si>
  <si>
    <t>Sanatoriums -- South Australia -- Angorichina;Sundials -- South Australia -- Angorichina;Tuberculosis -- Hospitals -- South Australia -- Angorichina;Angorichina (S.A.);Angorichina Hostel (S.A.)</t>
  </si>
  <si>
    <t>b20814872</t>
  </si>
  <si>
    <t>Sister Lillicrapp, Miss Ethel Barnes and patients from Angorichina Hostel.</t>
  </si>
  <si>
    <t>Photograph (black and white print)  11.4 cm x 15.1 cm;RESERVE 1;still image sti rdacontent;unmediated n rdamedia;sheet nb rdacarrier</t>
  </si>
  <si>
    <t>Sister Lillicrapp and Sister Bolger with three patients from Angorichina Hostel.</t>
  </si>
  <si>
    <t>Sanatoriums -- South Australia -- Angorichina;Nurses -- South Australia;Tuberculosis -- Hospitals -- South Australia -- Angorichina;Angorichina (S.A.);Angorichina Hostel (S.A.)</t>
  </si>
  <si>
    <t>b20814835</t>
  </si>
  <si>
    <t>Women who worked at Angorichina Hostel</t>
  </si>
  <si>
    <t>Photograph (black and white print)  12.0 cm x 20.5 cm;RESERVE 1;still image sti rdacontent;unmediated n rdamedia;sheet nb rdacarrier</t>
  </si>
  <si>
    <t>A group of women, probably members of the Angorichina club, a group of mainly young business girls recruited by the Secretary Ella Cleggett to help with fundraising etc.</t>
  </si>
  <si>
    <t>Sanatoriums -- South Australia -- Angorichina;Women -- South Australia;Tuberculosis -- Hospitals -- South Australia -- Angorichina;Angorichina (S.A.);Angorichina Hostel (S.A.)</t>
  </si>
  <si>
    <t>b26639555</t>
  </si>
  <si>
    <t>St Alban the Martyr Anglican Church (Richmond, S.A.)</t>
  </si>
  <si>
    <t>Photo of the interior of the Mission Hall</t>
  </si>
  <si>
    <t>8.7 cm x 12.9 cm;Photograph (print) black and white</t>
  </si>
  <si>
    <t>View of the interior of St Alban's Mission Hall at Richmond, looking from the back towards the front of the hall.</t>
  </si>
  <si>
    <t>St Alban the Martyr Church (Richmond, S.A.);Anglican Church -- South Australia -- Richmond</t>
  </si>
  <si>
    <t>b29239588</t>
  </si>
  <si>
    <t>Anglican Church of Australia. Diocese of Adelaide</t>
  </si>
  <si>
    <t>St Peter's Cathedral illuminated</t>
  </si>
  <si>
    <t>Photograph (black and white print)  28.3 cm x 13.1 cm;still image sti rdacontent;unmediated n rdamedia;sheet nb rdacarrier</t>
  </si>
  <si>
    <t>The entrance to St. Peter's Cathedral illuminated at night.</t>
  </si>
  <si>
    <t>St. Peter's Cathedral (Adelaide, S.A.);Anglican Church -- South Australia -- Adelaide</t>
  </si>
  <si>
    <t>Acre 704 Collection</t>
  </si>
  <si>
    <t>b30170679</t>
  </si>
  <si>
    <t>Mark Holman</t>
  </si>
  <si>
    <t>[approximately 1945-1955]</t>
  </si>
  <si>
    <t>Black and white studio portrait photograph of Mark Holman as a boy.</t>
  </si>
  <si>
    <t>Holman, Mark;Holman family;Boys -- South Australia -- Portraits -- 20th century</t>
  </si>
  <si>
    <t>b29261399</t>
  </si>
  <si>
    <t>Clements, Alwin Spencer, 1917-, photographer</t>
  </si>
  <si>
    <t>Defence Standards Laboratories at Finsbury</t>
  </si>
  <si>
    <t>approximately 1945-1960</t>
  </si>
  <si>
    <t>1 photograph : black and white   10.7 x 20.9 cm;OUTSIZE 1;still image sti rdacontent;unmediated n rdamedia;sheet nb rdacarrier</t>
  </si>
  <si>
    <t>Photograph of a brick building with a tiled roof, identified as the 'Defence Standards Laboratories Finsbury S.A.'.</t>
  </si>
  <si>
    <t>Defence Standards Laboratories (Australia);Buildings -- South Australia</t>
  </si>
  <si>
    <t>Clements Collection</t>
  </si>
  <si>
    <t>b31244579</t>
  </si>
  <si>
    <t>Maurice 'Mick' William Frost, SA Police</t>
  </si>
  <si>
    <t>[approximately 1948-1955]</t>
  </si>
  <si>
    <t>1 photograph (digital copy) : sepia;still image sti rdacontent;computer c rdamedia;online resource cr rdacarrier;image file TIFF 56.1 mb 3605 x 5445 pixels.</t>
  </si>
  <si>
    <t>Digital copy of a black and white studio photograph of Maurice 'Mick' William Frost in South Australian Police uniform. Mick was a member of the Police Motorcycle Division. Handwriting reads number '30190' on original verso.</t>
  </si>
  <si>
    <t>Frost, Maurice William, 1929-1996;Police -- South Australia -- Adelaide</t>
  </si>
  <si>
    <t>b29261387</t>
  </si>
  <si>
    <t>Staff of the Munitions Supply Laboratories</t>
  </si>
  <si>
    <t>approximately 1949-1955</t>
  </si>
  <si>
    <t>1 photograph : black and white   13.8 x 23.4 cm;OUTSIZE 1;still image sti rdacontent;unmediated n rdamedia;sheet nb rdacarrier</t>
  </si>
  <si>
    <t>Photograph of twenty men and women posing in two lines at the side of a building, each identified by handwritten names under the image. The caption reads 'Original staff of Munitions Supply Laboratories when established in 1949'.</t>
  </si>
  <si>
    <t>Munitions Supply Laboratories (Australia);Munitions -- South Australia;Men -- South Australia;Women -- South Australia</t>
  </si>
  <si>
    <t>b31244701</t>
  </si>
  <si>
    <t>Violet Edith Murray, Oakbank</t>
  </si>
  <si>
    <t>[approximately 1950-1953]</t>
  </si>
  <si>
    <t>1 photograph (digital copy) : black and white, negative;still image sti rdacontent;computer c rdamedia;online resource cr rdacarrier;image file TIFF 160 mb 7667 x 10978 pixels.</t>
  </si>
  <si>
    <t>Digital copy of a black and white photograph of Violet Edith Murray standing beside Arthur Stanley Frost's Dodge truck.</t>
  </si>
  <si>
    <t>Murray, Violet Edith, 1935-1997;Women -- South Australia -- Oakbank</t>
  </si>
  <si>
    <t>b31244713</t>
  </si>
  <si>
    <t>Arthur Stanley Frost and Violet Edith Murray, Oakbank</t>
  </si>
  <si>
    <t>1 photograph (digital copy) : black and white, negative;still image sti rdacontent;computer c rdamedia;online resource cr rdacarrier;image file TIFF 149 mb 10760 x 7298 pixels.</t>
  </si>
  <si>
    <t>Digital copy of a black and white photograph of Arthur Stanley Frost and Violet Edith Murray sitting on the front bumper bar of Arthur's Dodge truck, Oakbank.</t>
  </si>
  <si>
    <t>Frost, Arthur Stanley, 1927-2000;Murray, Violet Edith, 1935-1997;Men -- South Australia -- Woodside;Women -- South Australia -- Woodside;Dodge trucks</t>
  </si>
  <si>
    <t>b31244683</t>
  </si>
  <si>
    <t>Arthur Stanley Frost and Violet Edith Murray</t>
  </si>
  <si>
    <t>[approximately 1952-1954]</t>
  </si>
  <si>
    <t>1 photograph (digital copy) : black and white, negative;still image sti rdacontent;computer c rdamedia;online resource cr rdacarrier;image file TIFF 152 mb 7453 x 10720 pixels.</t>
  </si>
  <si>
    <t>Digital copy of a black and white photograph of Arthur Stanley Frost and Violet Edith Murray.</t>
  </si>
  <si>
    <t>Frost, Arthur Stanley, 1927-2000;Murray, Violet Edith, 1935-1997;Men -- South Australia -- Oakbank;Women -- South Australia -- Oakbank</t>
  </si>
  <si>
    <t>b31244725</t>
  </si>
  <si>
    <t>Violet Edith Murray</t>
  </si>
  <si>
    <t>1 photograph (digital copy) : black and white, negative;still image sti rdacontent;computer c rdamedia;online resource cr rdacarrier;image file TIFF 150 mb 7346 x 10753 pixels.</t>
  </si>
  <si>
    <t>Digital copy of a black and white photograph of Violet Edith Murray, believed to be at Oakbank.</t>
  </si>
  <si>
    <t>b31244737</t>
  </si>
  <si>
    <t>Arthur Stanley Frost</t>
  </si>
  <si>
    <t>1 photograph (digital copy) : black and white, negative;still image sti rdacontent;computer c rdamedia;online resource cr rdacarrier;image file TIFF 143 mb 7183 x 10506 pixels.</t>
  </si>
  <si>
    <t>Digital copy of a black and white photograph of Arthur Stanley Frost, believed to be at Oakbank.</t>
  </si>
  <si>
    <t>Frost, Arthur Stanley, 1927-2000;Men -- South Australia -- Oakbank</t>
  </si>
  <si>
    <t>b31244749</t>
  </si>
  <si>
    <t>1 photograph (digital copy) : black and white, negative;still image sti rdacontent;computer c rdamedia;online resource cr rdacarrier;image file TIFF 145 mb 7458 x 10512 pixels.</t>
  </si>
  <si>
    <t>b21073442</t>
  </si>
  <si>
    <t>Alsatia</t>
  </si>
  <si>
    <t>Photograph  12.0 cm x 7.9 cm</t>
  </si>
  <si>
    <t>Alsatia (Ship);Ships</t>
  </si>
  <si>
    <t>b21078117</t>
  </si>
  <si>
    <t>Andria</t>
  </si>
  <si>
    <t>Photograph  13.0 cm x 7.8 cm</t>
  </si>
  <si>
    <t>Andria (Ship);Ships</t>
  </si>
  <si>
    <t>b21078415</t>
  </si>
  <si>
    <t>Ange Schiaffino</t>
  </si>
  <si>
    <t>Ange Schiaffino (Ship);Ships</t>
  </si>
  <si>
    <t>b21078427</t>
  </si>
  <si>
    <t>b21078439</t>
  </si>
  <si>
    <t>Photograph  11.7 cm x 8.0 cm</t>
  </si>
  <si>
    <t>b2108161x</t>
  </si>
  <si>
    <t>Anshun</t>
  </si>
  <si>
    <t>Photograph  13.0 cm x 8.0 cm</t>
  </si>
  <si>
    <t>Anshun (Ship);Ships</t>
  </si>
  <si>
    <t>b2108239x</t>
  </si>
  <si>
    <t>Antwerp</t>
  </si>
  <si>
    <t>Photograph  12.7 cm x 6.1 cm</t>
  </si>
  <si>
    <t>Antwerp (Ship);Ships</t>
  </si>
  <si>
    <t>b21082509</t>
  </si>
  <si>
    <t>Anzac</t>
  </si>
  <si>
    <t>Photograph  13.9 cm x 8.4 cm</t>
  </si>
  <si>
    <t>Anzac (Ship);Ships</t>
  </si>
  <si>
    <t>b21082510</t>
  </si>
  <si>
    <t>Photograph  13.7 cm x 8.5 cm</t>
  </si>
  <si>
    <t>b21102107</t>
  </si>
  <si>
    <t>Commonwealth Bank Manager's residence</t>
  </si>
  <si>
    <t>Photograph of the Commonwealth Bank Manager's residence in 1951, Mount Gambier.</t>
  </si>
  <si>
    <t>Commonwealth Bank of Australia -- Buildings;Bank buildings -- South Australia -- Mount Gambier;Dwellings -- South Australia -- Mount Gambier</t>
  </si>
  <si>
    <t>b21102119</t>
  </si>
  <si>
    <t>Wahroonga Guest House</t>
  </si>
  <si>
    <t>Wahroonga Guest House, Bay Road, Mount Gambier, later renamed Le Cavalier Court Motel.</t>
  </si>
  <si>
    <t>Guest houses -- South Australia -- Mount Gambier</t>
  </si>
  <si>
    <t>b2111271x</t>
  </si>
  <si>
    <t>Mary Sheard and Col Davis</t>
  </si>
  <si>
    <t>Photograph of Mary Sheard and Col Davis at a dance in 1951, Mount Gambier.</t>
  </si>
  <si>
    <t>Davis, Col;Sheard, Mary;Dance parties -- South Australia -- Mount Gambier</t>
  </si>
  <si>
    <t>b21112745</t>
  </si>
  <si>
    <t>Ken McPherson</t>
  </si>
  <si>
    <t>Photograph of (from left) Jeff Giddings, Mary Sheard, Ken McPherson, and Shirley Giddings at a social function in 1951, Mount Gambier.</t>
  </si>
  <si>
    <t>Giddings, Shirley;Sheard, Mary;Giddings, Jeff;McPherson, Ken</t>
  </si>
  <si>
    <t>b21112757</t>
  </si>
  <si>
    <t>Jeff and Shirley Giddings</t>
  </si>
  <si>
    <t>Photograph of Jeff and Shirley Giddings at a social function in 1951, Mount Gambier.</t>
  </si>
  <si>
    <t>Giddings, Shirley;Giddings, Jeff;Dance parties -- South Australia -- Mount Gambier</t>
  </si>
  <si>
    <t>b21122593</t>
  </si>
  <si>
    <t>J. R. Shepherdson</t>
  </si>
  <si>
    <t>Photograph of Miss J. R. Shepherson taken in the studio in 1951, Mount Gambier.</t>
  </si>
  <si>
    <t>Shepherdson, J. R.</t>
  </si>
  <si>
    <t>b2112422x</t>
  </si>
  <si>
    <t>L. J. Thompson</t>
  </si>
  <si>
    <t>Photograph of L. J. Thomson taken in the studio in 1951, Mount Gambier. She is possibly dressed in a nurse's uniform.</t>
  </si>
  <si>
    <t>Thomson, L. J.;Nurses -- South Australia -- Mount Gambier</t>
  </si>
  <si>
    <t>b21124231</t>
  </si>
  <si>
    <t>Arthur Studio (Mount Gambier, S.A.)</t>
  </si>
  <si>
    <t>D. Smith</t>
  </si>
  <si>
    <t>Photograph of a young couple dressed in formal wear and taken in the studio.  The woman is possibly D. Smith dressed in a debutante dress.</t>
  </si>
  <si>
    <t>Smith, D.;Debutantes -- South Australia -- Mount Gambier</t>
  </si>
  <si>
    <t>b21124243</t>
  </si>
  <si>
    <t>V. Shephard</t>
  </si>
  <si>
    <t>Photograph of Miss V. Shephard posing in the studio in her Mount Gambier High School uniform in 1951.</t>
  </si>
  <si>
    <t>Shephard, V.;Students -- South Australia -- Mount Gambier</t>
  </si>
  <si>
    <t>b21124255</t>
  </si>
  <si>
    <t>Les Easther</t>
  </si>
  <si>
    <t>Photograph of Mr. Les Easther posing in the studio in 1951, Mount Gambier.</t>
  </si>
  <si>
    <t>Easther, Les</t>
  </si>
  <si>
    <t>b21124267</t>
  </si>
  <si>
    <t>A. Smeldt</t>
  </si>
  <si>
    <t>Photograph of A. Smeldt posing in the studio in a formal gown in 1951, Mount Gambier.</t>
  </si>
  <si>
    <t>Smeldt, A.;Debutantes -- South Australia -- Mount Gambier</t>
  </si>
  <si>
    <t>b21124279</t>
  </si>
  <si>
    <t>V. Schulz</t>
  </si>
  <si>
    <t>Photograph of V. Schulz posing in the studio in a formal gown in 1951, Mount Gambier.</t>
  </si>
  <si>
    <t>Schulz, V.;Debutantes -- South Australia -- Mount Gambier</t>
  </si>
  <si>
    <t>b21124280</t>
  </si>
  <si>
    <t>M. Ridgway</t>
  </si>
  <si>
    <t>Photograph of a young M. Ridgway dressed in a kilt posing in the studio in Mount Gambier.</t>
  </si>
  <si>
    <t>Ridgway, M.;Children -- South Australia -- Mount Gambier;Costume -- Scotland</t>
  </si>
  <si>
    <t>b21124292</t>
  </si>
  <si>
    <t>H. Reid</t>
  </si>
  <si>
    <t>Photograph of Miss H. Reid wearing the sash for First Prize in the Port MacDonnell Jubilee Henley Girl Competition in 1951.</t>
  </si>
  <si>
    <t>Reid, H.;Girls -- South Australia -- Port MacDonnell;Beauty contests -- South Australia -- Port MacDonnell</t>
  </si>
  <si>
    <t>b21124309</t>
  </si>
  <si>
    <t>Beverley Vivian</t>
  </si>
  <si>
    <t>Photograph of Miss Beverley Vivian dressed formally and wearing a tartan sash posing for a photograph in the studio in Mount Gambier in 1951.</t>
  </si>
  <si>
    <t>Vivian, Beverley;Girls -- South Australia -- Mount Gambier</t>
  </si>
  <si>
    <t>b21180349</t>
  </si>
  <si>
    <t>J. Roberts</t>
  </si>
  <si>
    <t>Photograph of Miss J. Roberts dressed formally and holding a floral bouquet for a photograph in the studio in Mount Gambier in 1951.</t>
  </si>
  <si>
    <t>Roberts, J.;Debutantes -- South Australia -- Mount Gambier</t>
  </si>
  <si>
    <t>b21124310</t>
  </si>
  <si>
    <t>G. Ackland</t>
  </si>
  <si>
    <t>Photograph of Miss G. Ackland in her debutante dress posing for a photograph in the studio in Mount Gambier in 1951.</t>
  </si>
  <si>
    <t>Ackland, G.;Debutantes -- South Australia -- Mount Gambier</t>
  </si>
  <si>
    <t>b21124322</t>
  </si>
  <si>
    <t>Miss Downes</t>
  </si>
  <si>
    <t>Photograph of Miss Downes in her debutante dress posing for a photograph in the studio in Mount Gambier in 1951.</t>
  </si>
  <si>
    <t>Downes, Miss;Debutantes -- South Australia -- Mount Gambier</t>
  </si>
  <si>
    <t>b21124334</t>
  </si>
  <si>
    <t>V. Close</t>
  </si>
  <si>
    <t>Photograph of Miss V. Close in her debutante dress posing for a photograph in the studio in Mount Gambier in 1951.</t>
  </si>
  <si>
    <t>Close, V.;Debutantes -- South Australia -- Mount Gambier</t>
  </si>
  <si>
    <t>b21124346</t>
  </si>
  <si>
    <t>Kathleen Uphill</t>
  </si>
  <si>
    <t>Photograph of Miss Kathleen Uphill (later married Ron Green) in her debutante dress posing for a photograph in the studio in Mount Gambier in 1951.</t>
  </si>
  <si>
    <t>Uphill, Kathleen;Debutantes -- South Australia -- Mount Gambier</t>
  </si>
  <si>
    <t>b21124358</t>
  </si>
  <si>
    <t>Mr. Von Einem</t>
  </si>
  <si>
    <t>Photograph of Mr Von Einem in a dinner suit wearing a ceremonial vest for a photograph in the studio in Mount Gambier in 1951.</t>
  </si>
  <si>
    <t>Von Einem, Mr</t>
  </si>
  <si>
    <t>b2112436x</t>
  </si>
  <si>
    <t>V. Young</t>
  </si>
  <si>
    <t>Photograph of Miss V. Young wearing her debutante dress in a photograph taken in the studio in 1951, Mount Gambier.</t>
  </si>
  <si>
    <t>Young, V.;Debutantes -- South Australia -- Mount Gambier</t>
  </si>
  <si>
    <t>b21124371</t>
  </si>
  <si>
    <t>P. H. Hosking</t>
  </si>
  <si>
    <t>Photograph of Miss P. H. Hosking wearing her debutante dress in a photograph taken in the studio in 1951, Mount Gambier.</t>
  </si>
  <si>
    <t>Hosking, P. H.;Debutantes -- South Australia -- Mount Gambier</t>
  </si>
  <si>
    <t>b21124383</t>
  </si>
  <si>
    <t>P. Anderson</t>
  </si>
  <si>
    <t>Photograph of Miss P. Anderson wearing her debutante dress for a photograph taken in the studio in 1951, Mount Gambier.</t>
  </si>
  <si>
    <t>Anderson, P.;Debutantes -- South Australia -- Mount Gambier</t>
  </si>
  <si>
    <t>b21124395</t>
  </si>
  <si>
    <t>A.A. Bigham</t>
  </si>
  <si>
    <t>Photograph of Miss A.A. Bigham wearing her Highland Dancing outfit for a photograph taken in the studio in 1951, Mount Gambier.</t>
  </si>
  <si>
    <t>Bigham, A. A.;Costume -- Scotland</t>
  </si>
  <si>
    <t>b21180350</t>
  </si>
  <si>
    <t>Valerie Bawden</t>
  </si>
  <si>
    <t>Photograph of Miss Valerie Bawden wearing her debutante dress for a photograph taken in the studio in 1950, Mount Gambier.</t>
  </si>
  <si>
    <t>Bawden, Valerie;Debutantes -- South Australia -- Mount Gambier</t>
  </si>
  <si>
    <t>b21124401</t>
  </si>
  <si>
    <t>H. Creek</t>
  </si>
  <si>
    <t>Photograph of Miss H. Creek wearing her debutante dress for a photograph taken in the studio in 1951, Mount Gambier.</t>
  </si>
  <si>
    <t>Creek, H.;Debutantes -- South Australia -- Mount Gambier</t>
  </si>
  <si>
    <t>b21124565</t>
  </si>
  <si>
    <t>High School</t>
  </si>
  <si>
    <t>Photograph of two girls and a boy from the Mount Gambier High School in 1951.</t>
  </si>
  <si>
    <t>Students -- South Australia -- Mount Gambier</t>
  </si>
  <si>
    <t>b21124589</t>
  </si>
  <si>
    <t>G. L. Johnson</t>
  </si>
  <si>
    <t>Photograph of Nurse Miss G. L. Johnson in the studio in Mount Gambier in 1950.</t>
  </si>
  <si>
    <t>Johnson, G. L.;Nurses -- South Australia -- Mount Gambier</t>
  </si>
  <si>
    <t>b21124590</t>
  </si>
  <si>
    <t>P. Jelfs</t>
  </si>
  <si>
    <t>Photograph of nurse Miss P. Jelfs in Mount Gambier in 1951.</t>
  </si>
  <si>
    <t>Jelfs, P.;Nurses -- South Australia -- Mount Gambier</t>
  </si>
  <si>
    <t>b21124620</t>
  </si>
  <si>
    <t>P. Nicholls</t>
  </si>
  <si>
    <t>Photograph of nurse Miss P. Nicholls in 1951,Mount Gambier.</t>
  </si>
  <si>
    <t>Nicholls, P.;Nurses -- South Australia -- Mount Gambier</t>
  </si>
  <si>
    <t>b21124644</t>
  </si>
  <si>
    <t>Photograph of Miss J. Nitschke dressed in her debutante gown posing in the studio in Mount Gambier in 1951.</t>
  </si>
  <si>
    <t>Nitschke, J.;Debutantes -- South Australia -- Mount Gambier</t>
  </si>
  <si>
    <t>b21180398</t>
  </si>
  <si>
    <t>Osborne</t>
  </si>
  <si>
    <t>Photograph of Miss Osborne dressed in her debutante gown posing in the studio in Mount Gambier in 1951.</t>
  </si>
  <si>
    <t>Osborne, Miss;Debutantes -- South Australia -- Mount Gambier</t>
  </si>
  <si>
    <t>b21124656</t>
  </si>
  <si>
    <t>A. Parish</t>
  </si>
  <si>
    <t>Photograph of Miss A. Parish dressed in her debutante gown posing in the studio in Mount Gambier in 1951.</t>
  </si>
  <si>
    <t>Parish, A.;Debutantes -- South Australia -- Mount Gambier</t>
  </si>
  <si>
    <t>b21180404</t>
  </si>
  <si>
    <t>D. Seebohm</t>
  </si>
  <si>
    <t>Photograph of Miss D. Seebohm dressed in her debutante gown posing in the studio in Mount Gambier in 1951.</t>
  </si>
  <si>
    <t>Seebohm, D.;Debutantes -- South Australia -- Mount Gambier</t>
  </si>
  <si>
    <t>b21180428</t>
  </si>
  <si>
    <t>B.M. Perryman</t>
  </si>
  <si>
    <t>Photograph of Miss B.M. Perryman dressed in her debutante gown posing in the studio in Mount Gambier in 1951.</t>
  </si>
  <si>
    <t>Perryman, B. M.;Debutantes -- South Australia -- Mount Gambier</t>
  </si>
  <si>
    <t>b21124668</t>
  </si>
  <si>
    <t>P.T. Simpson</t>
  </si>
  <si>
    <t>Photograph of Miss P.T. Simpson dressed in her debutante gown posing in the studio in Mount Gambier in 1951.</t>
  </si>
  <si>
    <t>Simpson, P. T.;Debutantes -- South Australia -- Mount Gambier</t>
  </si>
  <si>
    <t>b2112467x</t>
  </si>
  <si>
    <t>Miss T. Elford and Miss Ilsley</t>
  </si>
  <si>
    <t>Photograph of Miss T. Elford and Miss Ilsley dressed in their formal gowns posing in the studio in Mount Gambier in 1951.</t>
  </si>
  <si>
    <t>Ilsley, Miss;Elford, T.;Debutantes -- South Australia -- Mount Gambier</t>
  </si>
  <si>
    <t>b21124681</t>
  </si>
  <si>
    <t>L. Reid</t>
  </si>
  <si>
    <t>Photograph of Nurse L. Reid posing in the studio in Mount Gambier in 1951.</t>
  </si>
  <si>
    <t>Reid, L.;Nurses -- South Australia -- Mount Gambier</t>
  </si>
  <si>
    <t>b21124693</t>
  </si>
  <si>
    <t>P. Sneizek</t>
  </si>
  <si>
    <t>Photograph of Mr and Mrs P. Sneizek posing in the studio in Mount Gambier in 1951.</t>
  </si>
  <si>
    <t>Sneizek, P.</t>
  </si>
  <si>
    <t>b2112470x</t>
  </si>
  <si>
    <t>N. Turnbull</t>
  </si>
  <si>
    <t>Photograph of Miss N. Turnbull posing in the studio in Mount Gambier in 1951. She is wearing a smart uniform.</t>
  </si>
  <si>
    <t>Turnbull, N.</t>
  </si>
  <si>
    <t>b2118043x</t>
  </si>
  <si>
    <t>M. Radley</t>
  </si>
  <si>
    <t>Photograph of Miss M. Radley posing in the studio in Mount Gambier in 1951. She is wearing a debutante gown.</t>
  </si>
  <si>
    <t>Radley, M.;Debutantes -- South Australia -- Mount Gambier</t>
  </si>
  <si>
    <t>b21124711</t>
  </si>
  <si>
    <t>N. Spehr</t>
  </si>
  <si>
    <t>Photograph of Miss N. Spehr dressed in a long dress posing in the studio in Mount Gambier in 1951.</t>
  </si>
  <si>
    <t>Spehr, N.</t>
  </si>
  <si>
    <t>b21124723</t>
  </si>
  <si>
    <t>A. Saunders</t>
  </si>
  <si>
    <t>Photograph of young Miss A. Saunders dressed in a long dress posing in the studio in Mount Gambier in 1951.</t>
  </si>
  <si>
    <t>Saunders, A.</t>
  </si>
  <si>
    <t>b21124917</t>
  </si>
  <si>
    <t>M. Taylor</t>
  </si>
  <si>
    <t>Photograph of Miss M. Taylor in her debutante gown posing in the studio in Mount Gambier in 1951.</t>
  </si>
  <si>
    <t>Taylor, M.;Debutantes -- South Australia -- Mount Gambier</t>
  </si>
  <si>
    <t>b21124929</t>
  </si>
  <si>
    <t>M. English</t>
  </si>
  <si>
    <t>Photograph of young Miss M. English in a long dress posing in the studio in Mount Gambier in 1951.</t>
  </si>
  <si>
    <t>English, M.</t>
  </si>
  <si>
    <t>b21124930</t>
  </si>
  <si>
    <t>M. Hatley</t>
  </si>
  <si>
    <t>Photograph of Miss M. Hatley in her debutante gown posing in the studio in Mount Gambier in 1951.</t>
  </si>
  <si>
    <t>Hatley, M.;Debutantes -- South Australia -- Mount Gambier</t>
  </si>
  <si>
    <t>b21124942</t>
  </si>
  <si>
    <t>T.C. Herbst</t>
  </si>
  <si>
    <t>Photograph of young Miss T.C. Herbst in a long dress and bonnet posing in the studio in Mount Gambier in 1951.</t>
  </si>
  <si>
    <t>Herbst, T. C.</t>
  </si>
  <si>
    <t>b21124954</t>
  </si>
  <si>
    <t>M.R. Walters</t>
  </si>
  <si>
    <t>Photograph of young Miss M.R. Walters (or possibly Miss Thompson) in a long dress and bonnet posing in the studio in Mount Gambier in 1951.</t>
  </si>
  <si>
    <t>Walters, M. R.</t>
  </si>
  <si>
    <t>b21135496</t>
  </si>
  <si>
    <t>H. Watson</t>
  </si>
  <si>
    <t>Photograph of Miss H. Watson sitting in the studio in Mount Gambier in her debutante dress in 1951.  Her dress features an off-the-shoulder style on one side only. This is counter balanced by large buttons on the other side of the bodice. She carries a small posy of flowers.</t>
  </si>
  <si>
    <t>Watson, H.;Debutantes -- South Australia -- Mount Gambier</t>
  </si>
  <si>
    <t>b21135502</t>
  </si>
  <si>
    <t>F. Williams</t>
  </si>
  <si>
    <t>Photograph of Miss F. Williams seated in the studio in Mount Gambier in a floral long dress with a scooped frill around the bodice and a ribbon on the waist.</t>
  </si>
  <si>
    <t>Williams, F.;Costume -- South Australia -- Mount Gambier</t>
  </si>
  <si>
    <t>b21135514</t>
  </si>
  <si>
    <t>Beverly Morrish</t>
  </si>
  <si>
    <t>Photograph of Miss Beverly Morrish seated in the studio in Mount Gambier in 1951.  Her long debutante dress has small gathered sleeves and gathering across the bodice. She is wearing short lace gloves and carrying a small spray of flowers.</t>
  </si>
  <si>
    <t>Morrish, Beverly;Debutantes -- South Australia -- Mount Gambier</t>
  </si>
  <si>
    <t>b21135526</t>
  </si>
  <si>
    <t>Photograph of musician Mr V. Nikou holding his violin in the studio in Mount Gambier in 1951.</t>
  </si>
  <si>
    <t>b21135538</t>
  </si>
  <si>
    <t>S. Winterfield</t>
  </si>
  <si>
    <t>Photograph of a young lady and man dressed for a Scottish ball. The lady's long dress has tiers and frills around the skirt and she is wearing a tartan sash. The man is dressed in Highland attire. The photograph was taken in the studio in Mount Gambier in 1951.</t>
  </si>
  <si>
    <t>Winterfield, S.;Debutantes -- South Australia -- Mount Gambier</t>
  </si>
  <si>
    <t>b2113554x</t>
  </si>
  <si>
    <t>Photograph of Miss S. Winterfield seated in the studio in Mount Gambier in 1951. Her long white debutante dress features a full skirt of frills and the satin bodice has soft puffed sleeves. She is wearing a tartan sash over her shoulder pinned with a large thistle brooch.</t>
  </si>
  <si>
    <t>b21135551</t>
  </si>
  <si>
    <t>Bernice Robinson</t>
  </si>
  <si>
    <t>Photograph of Miss Bernice Robinson seated in the studio in Mount Gambier in 1951. Her long white dress is offset by a tartan sash over one shoulder. She is holding a small spray of flowers.</t>
  </si>
  <si>
    <t>Robinson, Bernice;Debutantes -- South Australia -- Mount Gambier</t>
  </si>
  <si>
    <t>b21135563</t>
  </si>
  <si>
    <t>R. Peake</t>
  </si>
  <si>
    <t>Photograph of Miss R. Peake seated in the studio in Mount Gambier in 1951. Her long lace bridesmaid dress has large puffed sleeves and she is wearing a matching lace hat.</t>
  </si>
  <si>
    <t>Peake, R.;Costume -- South Australia -- Mount Gambier</t>
  </si>
  <si>
    <t>b21135575</t>
  </si>
  <si>
    <t>Beverley Ridland</t>
  </si>
  <si>
    <t>Photograph of Beverley Ridland seated in the studio in Mount Gambier in 1951. She is wearing a fur stole over her long evening dress which has a tight bodice and a full skirt. She is carrying a small spray of flowers.</t>
  </si>
  <si>
    <t>Ridland, Beverley, 1935-;Debutantes -- South Australia -- Mount Gambier</t>
  </si>
  <si>
    <t>b21135587</t>
  </si>
  <si>
    <t>J. Richardson</t>
  </si>
  <si>
    <t>Photograph of Miss J. Richardson seated in the studio in Mount Gambier in 1951. Her long debutante dress has lace panels in the skirt and a lace frill over the bodice.</t>
  </si>
  <si>
    <t>Richardson, J.;Debutantes -- South Australia -- Mount Gambier</t>
  </si>
  <si>
    <t>b21135599</t>
  </si>
  <si>
    <t>Valda Hoath</t>
  </si>
  <si>
    <t>Photograph of Miss Valda Hoath of Mount Burr, sitting in the studio in Mount Gambier in 1951. Her long white lace debutante gown has short puffed sleeves and a vee neckline. She wears long lace gloves and holds a bouquet of flowers.</t>
  </si>
  <si>
    <t>Hoath, Valda M.;Debutantes -- South Australia -- Mount Gambier</t>
  </si>
  <si>
    <t>b21135605</t>
  </si>
  <si>
    <t>J. Sickerdick</t>
  </si>
  <si>
    <t>Photograph of Nurse J. Sickerdick in her uniform and cape and veil. The photograph was taken in the studio in Mount Gambier in 1951.</t>
  </si>
  <si>
    <t>Sickerdick, J.;Nurses -- South Australia -- Mount Gambier</t>
  </si>
  <si>
    <t>b21135617</t>
  </si>
  <si>
    <t>Miss F. Lucas</t>
  </si>
  <si>
    <t>Photograph of young Miss F. Lucas sitting in the studio in Mount Gambier in 1951. She is approximately four years old and is wearing a smocked floral print dress and holding a toy dog. Her long ringlets are tied with a ribbon.</t>
  </si>
  <si>
    <t>Lucas, F.;Children -- Clothing -- South Australia -- Mount Gambier</t>
  </si>
  <si>
    <t>b2117765x</t>
  </si>
  <si>
    <t>Miss M. Judd</t>
  </si>
  <si>
    <t>Photograph of Miss M. Judd sitting in the studio in Mount Gambier in 1951. She is wearing a lace gown with a draped collar and long lace sleeves, and is holding a posy of flowers.</t>
  </si>
  <si>
    <t>Judd, M.;Debutantes -- South Australia -- Mount Gambier</t>
  </si>
  <si>
    <t>b21135629</t>
  </si>
  <si>
    <t>R. Lampard</t>
  </si>
  <si>
    <t>Photograph of Miss R. Lampard seated in the studio in Mount Gambier in 1951. Her satin debutante gown has a short overlay of lace on the skirt and lace across the bodice.  Her long gloves are made of matching lace.</t>
  </si>
  <si>
    <t>Lampard, R.;Debutantes -- South Australia -- Mount Gambier</t>
  </si>
  <si>
    <t>b21135630</t>
  </si>
  <si>
    <t>M. Brooksby</t>
  </si>
  <si>
    <t>Photograph of Miss M. Brooksby sitting in the studio in Mount Gambier in 1951. Her off-the-shoulder lace gown has small pearl buttons on the bodice. She is wearing a three-strand pearl necklace.</t>
  </si>
  <si>
    <t>Brooksby, M.;Debutantes -- South Australia -- Mount Gambier</t>
  </si>
  <si>
    <t>b21177703</t>
  </si>
  <si>
    <t>M. Boddington</t>
  </si>
  <si>
    <t>Photograph of Miss J. Boddington sitting in the studio in Mount Gambier in 1951. Her gown has ribbon on the bodice, sleeves and full skirt and she wears a tartan sash pinned with a large brooch at the shoulder. She is carrying a posy of flowers.</t>
  </si>
  <si>
    <t>Boddington, M.;Debutantes -- South Australia -- Mount Gambier</t>
  </si>
  <si>
    <t>b21135654</t>
  </si>
  <si>
    <t>D. Aston</t>
  </si>
  <si>
    <t>Photograph of Mr D. Aston wearing a blazer with the Australian coat of arms on the pocket. Part of the embroidered inscription is "Advertiser Youth". He is sitting the studio in Mount Gambier in 1951.</t>
  </si>
  <si>
    <t>Aston, D.</t>
  </si>
  <si>
    <t>b21135666</t>
  </si>
  <si>
    <t>J.D. Cameron</t>
  </si>
  <si>
    <t>Photograph of two young girls dressed as possibly Romeo and Juliet. They are approximately eleven years old. The photograph was taken in the studio in Mount Gambier in 1951.</t>
  </si>
  <si>
    <t>Cameron, J. D.;Costume -- South Australia -- Mount Gambier;Children -- Clothing -- South Australia -- Mount Gambier</t>
  </si>
  <si>
    <t>b21135678</t>
  </si>
  <si>
    <t>M. Doman</t>
  </si>
  <si>
    <t>Photograph of M. Doman wearing a long white evening dress, possibly for a Highland or debutante ball. The organza dress has a full skirt and a broderie anglaise bodice. She has matching short white lace gloves.</t>
  </si>
  <si>
    <t>Doman, M.;Debutantes -- South Australia -- Mount Gambier</t>
  </si>
  <si>
    <t>b21177715</t>
  </si>
  <si>
    <t>M. Best</t>
  </si>
  <si>
    <t>Photograph of Miss M. Best wearing a long white evening dress with a overskirt cut higher in the front and a gathered neckline in the same fabric. She is carrying a posy of flowers.</t>
  </si>
  <si>
    <t>Best, M.;Doman, Miss;Debutantes -- South Australia -- Mount Gambier</t>
  </si>
  <si>
    <t>b2113568x</t>
  </si>
  <si>
    <t>J. Lewis</t>
  </si>
  <si>
    <t>Photograph of Police Officer J. Lewis wearing his uniform with the number 805 above his service ribbons. He is sitting in the studio in Mount Gambier in 1951.</t>
  </si>
  <si>
    <t>Lewis, J.;Police -- South Australia -- Mount Gambier</t>
  </si>
  <si>
    <t>b21135691</t>
  </si>
  <si>
    <t>R.B. Stephens</t>
  </si>
  <si>
    <t>Photograph of young Highland dancer Miss R.B. Stephens wearing her Scottish dancing attire and seated next to a large trophy. The photograph was taken in the studio in Mount Gambier in 1951.</t>
  </si>
  <si>
    <t>Stephens, R. B.;Folk dancing, Scottish -- South Australia</t>
  </si>
  <si>
    <t>b21135708</t>
  </si>
  <si>
    <t>Gabriel sisters</t>
  </si>
  <si>
    <t>Photograph of the Gabriel sisters wearing identical brodiere anglaise debutante dresses with small collars and short sleeves. They are wearing long white gloves and holding long sprays of flowers.</t>
  </si>
  <si>
    <t>Gabriel (Family);Debutantes -- South Australia -- Mount Gambier</t>
  </si>
  <si>
    <t>b2113571x</t>
  </si>
  <si>
    <t>R.L. Williams</t>
  </si>
  <si>
    <t>Photograph of Miss R.L. Williams sitting in the studio in Mount Gambier in 1951.  She is wearing a long lace evening dress with a scalloped neckline and small lace sleeves. She is holding a small posy of flowers.</t>
  </si>
  <si>
    <t>Williams, R. L.;Debutantes -- South Australia -- Mount Gambier</t>
  </si>
  <si>
    <t>b21177739</t>
  </si>
  <si>
    <t>Barbara Whan</t>
  </si>
  <si>
    <t>Photograph of Barbara Whan sitting in the studio in Mount Gambier in 1951. She is wearing a long lace evening dress with a scalloped neckline and small lace sleeves, and holding a small posy of flowers. [Previously thought to be M. Walker  since confirmed and corrected by researcher].</t>
  </si>
  <si>
    <t>Whan, Barbara;Debutantes -- South Australia -- Mount Gambier</t>
  </si>
  <si>
    <t>b21135721</t>
  </si>
  <si>
    <t>Photograph of Miss Barbara Whan sitting in the studio in Mount Gambier in 1951 wearing a debutante dress with lace puffed sleeves and bodice, a square neckline and small flowers on the front of the bodice. (This photograph is identical with /3639: V. Whennan).</t>
  </si>
  <si>
    <t>b21135733</t>
  </si>
  <si>
    <t>M. Tye</t>
  </si>
  <si>
    <t>Photograph of Miss M. Tye in a long evening gown sitting in the studio in Mount Gambier in 1951. Her dress has a scalloped neckline and a full tulle skirt.</t>
  </si>
  <si>
    <t>Tye, M.;Debutantes -- South Australia -- Mount Gambier</t>
  </si>
  <si>
    <t>b21135745</t>
  </si>
  <si>
    <t>W. Tibbles</t>
  </si>
  <si>
    <t>Photograph of Miss W. Tibbles wearing a long evening gown featuring satin edged net petals over a full skirt. The bodice is lace with a vee neckline.</t>
  </si>
  <si>
    <t>Tibbles, W.;Debutantes -- South Australia -- Mount Gambier</t>
  </si>
  <si>
    <t>b21135757</t>
  </si>
  <si>
    <t>Valda Whennen</t>
  </si>
  <si>
    <t>Photograph of Miss Valda Whennen seated in the studio in Mount Gambier in 1951. Her long evening gown has a full skirt, lace bodice with small flowers and puffed sleeves. (This photograph is identical to /3636: B. Whan).</t>
  </si>
  <si>
    <t>Whennen, Valda;Debutantes -- South Australia -- Mount Gambier</t>
  </si>
  <si>
    <t>b21135769</t>
  </si>
  <si>
    <t>Photograph of Miss H. Watson seated in the studio in Mount Gambier in 1951. Her debutante gown has a tiered skirt and small covered buttons on the front of the bodice. She is holding a spray of flowers.</t>
  </si>
  <si>
    <t>b21177806</t>
  </si>
  <si>
    <t>B. Marks</t>
  </si>
  <si>
    <t>Photograph of Miss B. Marks seated in the studio in Mount Gambier in 1951. Her debutante gown has a tiered skirt and small covered buttons on the front of the bodice. She is holding a spray of flowers. (Photograph /3610 is of the same subject but name given is Miss H. Watson, the same name as /3640).</t>
  </si>
  <si>
    <t>Marks, B.;Debutantes -- South Australia -- Mount Gambier</t>
  </si>
  <si>
    <t>b21135770</t>
  </si>
  <si>
    <t>K. McLeod</t>
  </si>
  <si>
    <t>Photograph of young piper Miss K. McLeod in her Scottish pipe band uniform with her bagpipes and prize at her side. The photograph was taken in the studio in Mount Gambier in 1951.</t>
  </si>
  <si>
    <t>McLeod, K.;Bagpipers -- South Australia -- Mount Gambier</t>
  </si>
  <si>
    <t>b21135782</t>
  </si>
  <si>
    <t>P. Nash</t>
  </si>
  <si>
    <t>Photograph of Mrs P. Nash wearing a long evening dress with sequin flowers motifs stitched to the full skirt. The motif is repeated on the scalloped edged bodice.</t>
  </si>
  <si>
    <t>Nash, P.;Debutantes -- South Australia -- Mount Gambier</t>
  </si>
  <si>
    <t>b21135794</t>
  </si>
  <si>
    <t>Photograph of Miss M. Rogers seated in the studio in Mount Gambier in 1951. Her debutante dress has a lace overlay, small collar and short puffed sleeves. She is holding a posy of fresh flowers.</t>
  </si>
  <si>
    <t>Rogers, M.;Debutantes -- South Australia -- Mount Gambier</t>
  </si>
  <si>
    <t>b21135800</t>
  </si>
  <si>
    <t>Shirley Pettingill</t>
  </si>
  <si>
    <t>Photograph of Miss S. Pettingill wearing a debutante dress featuring a pleated bodice with wide pleated shoulder straps. She is carrying a posy of flowers. Shirley Pettingill was about 18 at the time of this photograph. She was one of the three 'Pettingill daughters'.</t>
  </si>
  <si>
    <t>Pettingill, Shirley;Debutantes -- South Australia -- Mount Gambier</t>
  </si>
  <si>
    <t>b21177831</t>
  </si>
  <si>
    <t>Maureen Gibout</t>
  </si>
  <si>
    <t>Photograph of Miss Maureen Gibaut of Mount Burr, wearing a lace debutante dress featuring a pleated neckline on the bodice. She is carrying a posy of flowers.</t>
  </si>
  <si>
    <t>Gibout, Maureen;Debutantes -- South Australia -- Mount Gambier</t>
  </si>
  <si>
    <t>b21135812</t>
  </si>
  <si>
    <t>H. Gordon</t>
  </si>
  <si>
    <t>Photograph of Miss H. Gordon seated in the studio in Mount Gambier in 1951. Her long debutante dress has a full skirt and a standup off the shoulder neckline. She is holding a posy of flowers.</t>
  </si>
  <si>
    <t>Gordon, H.;Debutantes -- South Australia -- Mount Gambier</t>
  </si>
  <si>
    <t>b21135824</t>
  </si>
  <si>
    <t>Photograph of Miss H. Gordon seated in the studio in Mount Gambier in 1951. Her long debutante dress has a full skirt and a standup off the shoulder neckline. She is holding a posy of flowers. (A slightly different pose from photograph /3647).</t>
  </si>
  <si>
    <t>b21135836</t>
  </si>
  <si>
    <t>Shirley Hosking</t>
  </si>
  <si>
    <t>Photograph of Miss Shirley Hosking (later married John White) seated in the studio in Mount Gambier in 1951. She is wearing a long debutante dress featuring a frilled neckline and a tulle overlay over the full skirt.</t>
  </si>
  <si>
    <t>Hosking, Shirley;Debutantes -- South Australia -- Mount Gambier</t>
  </si>
  <si>
    <t>b21135848</t>
  </si>
  <si>
    <t>Y. Klieve</t>
  </si>
  <si>
    <t>Photograph of Miss Y. Klieve sitting in the studio in Mount Gambier in 1951 wearing a long debutante dress with lace on the bodice and a Peter Pan collar with small puffed sleeves.  She is carrying a small posy with extra flowers on ribbons.</t>
  </si>
  <si>
    <t>Klieve, Y.;Debutantes -- South Australia -- Mount Gambier</t>
  </si>
  <si>
    <t>b2113585x</t>
  </si>
  <si>
    <t>S. Ind</t>
  </si>
  <si>
    <t>Photograph of Miss S. Ind in the studio in Mount Gambier in 1951. She is wearing a debutante dress with ornate clasps around the rouched neckline and she is carrying a large bouquet of flowers.</t>
  </si>
  <si>
    <t>Ind, S.;Debutantes -- South Australia -- Mount Gambier</t>
  </si>
  <si>
    <t>b21135642</t>
  </si>
  <si>
    <t>Betty Bodey</t>
  </si>
  <si>
    <t>Photograph of Betty Bodey (who later became Mrs. Brian Clayfield) wearing a debutante dress with a single strap over one shoulder. A small corsage of flowers is pinned on the strap and she has knotted a pearl necklace around her neck.</t>
  </si>
  <si>
    <t>Bodey, Betty;Debutantes -- South Australia -- Mount Gambier</t>
  </si>
  <si>
    <t>b21135861</t>
  </si>
  <si>
    <t>E. Hawker</t>
  </si>
  <si>
    <t>Photograph of Miss E. Hawker seated in the studio in Mount Gambier in 1951. She is wearing a lace debutante dress with lace puffed sleeves and long white gloves. She is holding a small posy.</t>
  </si>
  <si>
    <t>Hawker, E., Miss;Debutantes -- South Australia -- Mount Gambier</t>
  </si>
  <si>
    <t>b21135873</t>
  </si>
  <si>
    <t>W. Houston</t>
  </si>
  <si>
    <t>Photograph of Miss W. Houston wearing a broderie anglaise debutante dress which has a fitted bodice, full skirt and small sleeves. She is carrying a delicate posy of flowers and ferns.</t>
  </si>
  <si>
    <t>Houston, W.;Debutantes -- South Australia -- Mount Gambier</t>
  </si>
  <si>
    <t>b21135885</t>
  </si>
  <si>
    <t>V. Bignell</t>
  </si>
  <si>
    <t>Photograph of Miss V. Bignell seated in the studio in Mount Gambier in 1951. Her long debutante dress has gathering across the bodice, small soft capped sleeves, and a full skirt. She carries a spray of flowers.</t>
  </si>
  <si>
    <t>Bignell, V.;Debutantes -- South Australia -- Mount Gambier</t>
  </si>
  <si>
    <t>b21135897</t>
  </si>
  <si>
    <t>M. Dixon</t>
  </si>
  <si>
    <t>Photograph of Miss M. Dixon seated in the studio in Mount Gambier in 1951. She is wearing a debutante dress with a lace top and a tulle overlay on a full skirt. She carries a posy of flowers.</t>
  </si>
  <si>
    <t>Dixon, M.;Debutantes -- South Australia -- Mount Gambier</t>
  </si>
  <si>
    <t>b21135903</t>
  </si>
  <si>
    <t>S. Frost</t>
  </si>
  <si>
    <t>Photograph of Miss S. Frost sitting in the studio in Mount Gambier in 1951.  Her debutante dress has small flowers on the full skirt and lace shoulder straps. She is wearing sheer long gloves and carrying a posy.</t>
  </si>
  <si>
    <t>Frost, S.;Debutantes -- South Australia -- Mount Gambier</t>
  </si>
  <si>
    <t>b21135915</t>
  </si>
  <si>
    <t>B. Chant</t>
  </si>
  <si>
    <t>Photograph of Miss B. Chant sitting in the studio in Mount Gambier in her debutante gown. The dress has lace and frills around the neckline and lace on the long full skirt.  She is carrying a posy of flowers.</t>
  </si>
  <si>
    <t>Chant, B.;Debutantes -- South Australia -- Mount Gambier</t>
  </si>
  <si>
    <t>b21135927</t>
  </si>
  <si>
    <t>J. Greer</t>
  </si>
  <si>
    <t>Photograph of Miss J. Greer wearing her debutante dress in the studio in Mount Gambier in 1951. The gown has a leaf motif in satin around the neckline, sleeves and skirt. She is wearing sheer gloves and holds a posy of flowers.</t>
  </si>
  <si>
    <t>Greer, J.;Debutantes -- South Australia -- Mount Gambier</t>
  </si>
  <si>
    <t>b21135939</t>
  </si>
  <si>
    <t>N. Chuck</t>
  </si>
  <si>
    <t>Photograph of Miss N. Chuck seated in the studio in Mount Gambier in a lace and tulle evening dress. She is holding a bouquet of orchids and wears a three-strand pearl necklace.</t>
  </si>
  <si>
    <t>Chuck, N.;Debutantes -- South Australia -- Mount Gambier</t>
  </si>
  <si>
    <t>b21135940</t>
  </si>
  <si>
    <t>b21135952</t>
  </si>
  <si>
    <t>Mr. Millhouse</t>
  </si>
  <si>
    <t>Photograph of Mr Millhouse wearing the regalia of the Freemasons. The photograph was taken in the studio in Mount Gambier in 1951.</t>
  </si>
  <si>
    <t>Millhouse, Mr;Freemasons -- South Australia -- Mount Gambier</t>
  </si>
  <si>
    <t>b21135964</t>
  </si>
  <si>
    <t>Nancy Vale</t>
  </si>
  <si>
    <t>Photograph of Nancy Vale seated in the studio in Mount Gambier wearing a bridesmaid dress with satin ribbon bows on the full skirt and ribbon around the waist. She is also wearing a small headpiece and carrying a posy.</t>
  </si>
  <si>
    <t>Vale, Nancy;Costume -- South Australia -- Mount Gambier</t>
  </si>
  <si>
    <t>b21135976</t>
  </si>
  <si>
    <t>V. Clark</t>
  </si>
  <si>
    <t>Photograph of Miss V. Clark seated in the studio in Mount Gambier in 1951. She is wearing a debutante dress which has a leaf motif around the cape and down the front of the dress. She is wearing a floral headpiece and carrying a small posy of flowers.</t>
  </si>
  <si>
    <t>Clark, V.;Debutantes -- South Australia -- Mount Gambier</t>
  </si>
  <si>
    <t>b21135988</t>
  </si>
  <si>
    <t>Mr Carthew</t>
  </si>
  <si>
    <t>Photograph of Mr Carthew, headmaster of the Mount Gambier High School.</t>
  </si>
  <si>
    <t>Carthew, Mr.;Teachers -- South Australia -- Mount Gambier</t>
  </si>
  <si>
    <t>b2113599x</t>
  </si>
  <si>
    <t>S. Emery</t>
  </si>
  <si>
    <t>Photograph of Mrs S. Emery playing the banjo. The banjo has been signed with many autographs. The photograph was taken in the studio in Mount Gambier in 1951.</t>
  </si>
  <si>
    <t>Emery, S.;Musicians -- South Australia -- Mount Gambier</t>
  </si>
  <si>
    <t>b21136002</t>
  </si>
  <si>
    <t>M. Clark</t>
  </si>
  <si>
    <t>Photograph of M. Clark in her uniform complete with cape and veil, sitting in the studio in Mount Gambier in 1951.</t>
  </si>
  <si>
    <t>Clark, M.;Nurses -- South Australia -- Mount Gambier</t>
  </si>
  <si>
    <t>b21136014</t>
  </si>
  <si>
    <t>Miss Carrison</t>
  </si>
  <si>
    <t>Photograph of Miss Carrison standing in the studio in Mount Gambier in her bridesmaid dress. She is wearing a headpiece with veil, long gloves and is holding a bouquet of flowers.</t>
  </si>
  <si>
    <t>Carrison, Miss;Costume -- South Australia -- Mount Gambier</t>
  </si>
  <si>
    <t>b21136026</t>
  </si>
  <si>
    <t>Molly Douglas</t>
  </si>
  <si>
    <t>Photograph of Molly Douglas standing in her debutante long satin dress. The top has medium length sleeves and a flounce around the hips. The skirt is full and she carries a small posy.</t>
  </si>
  <si>
    <t>Douglas, Molly;Debutantes -- South Australia -- Mount Gambier</t>
  </si>
  <si>
    <t>b21136038</t>
  </si>
  <si>
    <t>J. Douglas</t>
  </si>
  <si>
    <t>Photograph of Miss J. Douglas standing in the studio in Mount Gambier in her debutante dress which has short sleeves and ribbon and lace across the bodice.  She wears long gloves and carries a small posy of flowers.</t>
  </si>
  <si>
    <t>Douglas, J.;Debutantes -- South Australia -- Mount Gambier</t>
  </si>
  <si>
    <t>b2113604x</t>
  </si>
  <si>
    <t>A. Glanville</t>
  </si>
  <si>
    <t>Photograph of Miss A. Glanville in her Highland dancing outfit. She is seated in the studio in Mount Gambier in 1951.</t>
  </si>
  <si>
    <t>Glanville, A.;Folk dancing, Scottish -- South Australia -- Mount Gambier</t>
  </si>
  <si>
    <t>b21136051</t>
  </si>
  <si>
    <t>Mavis Gunn</t>
  </si>
  <si>
    <t>Photograph of Miss Mavis Gunn seated in the studio in Mount Gambier in 1951. She is wearing her debutante dress and holding a sequinned fan. Her dress has ribbon bows on the full skirt.</t>
  </si>
  <si>
    <t>Gunn, Mavis;Debutantes -- South Australia -- Mount Gambier</t>
  </si>
  <si>
    <t>b21136117</t>
  </si>
  <si>
    <t>Joan Campbell</t>
  </si>
  <si>
    <t>Photograph of Miss Joan Campbell seated in the studio in Mount Gambier in 1951. Her long debutante gown is spread around her and features embossed flowers on the tulle overlay. This theme is repeated on the bodice.</t>
  </si>
  <si>
    <t>Campbell, Joan;Debutantes -- South Australia -- Mount Gambier</t>
  </si>
  <si>
    <t>b21136294</t>
  </si>
  <si>
    <t>N. Oldfield</t>
  </si>
  <si>
    <t>Photograph of the Oldfield children taken in the studio in Mount Gambier in 1951. There are two boys and a girl.</t>
  </si>
  <si>
    <t>Oldfield (Family);Children -- Clothing -- South Australia -- Mount Gambier</t>
  </si>
  <si>
    <t>b21136300</t>
  </si>
  <si>
    <t>G. Nekov</t>
  </si>
  <si>
    <t>Photograph of a man and a youth, one of whom is G. Nekov. They are wearing suits and sitting in the studio in Mount Gambier in 1951.</t>
  </si>
  <si>
    <t>Nekov, G.</t>
  </si>
  <si>
    <t>b21136312</t>
  </si>
  <si>
    <t>A.R. Pycroft</t>
  </si>
  <si>
    <t>Photograph of the three Pycroft sisters,  wearing identical smocked dress and matching brooches. They are seated in the studio in Mount Gambier in 1951.</t>
  </si>
  <si>
    <t>Pycroft (Family);Children -- Clothing -- South Australia -- Mount Gambier</t>
  </si>
  <si>
    <t>b21136324</t>
  </si>
  <si>
    <t>Kevin and Susan Radley</t>
  </si>
  <si>
    <t>Photograph of the Radley children, Kevin Terrance and Susan Margaret, sitting in the studio in Mount Gambier in 1951. The little boy has tight blonde curls and is dressed in a sailor suit and the younger sister is wearing a lace and ribbon baby dress and holding a toy rabbit.</t>
  </si>
  <si>
    <t>Radley (Family);Children -- Clothing -- South Australia -- Mount Gambier</t>
  </si>
  <si>
    <t>b21136336</t>
  </si>
  <si>
    <t>Ann and Dale Perkins</t>
  </si>
  <si>
    <t>Photograph of the Lesley Ann and William Dale Perkins in fancy dress. Ann is wearing a Little Bo Peep costume and Dale is wearing a 'little boy blue' costume. They are in the studio in Mount Gambier in 1951.</t>
  </si>
  <si>
    <t>Perkins, Lesley Ann, 1943-;Perkins, William Dale, 1947-;Children -- Clothing -- South Australia -- Mount Gambier;Costume -- South Australia -- Mount Gambier</t>
  </si>
  <si>
    <t>b21136348</t>
  </si>
  <si>
    <t>K. C. Virgo</t>
  </si>
  <si>
    <t>Photograph of the Virgo children seated in the studio in Mount Gambier in 1951. The two older brothers are wearing suits and ties and the younger sister is wearing an infant's dress trimmed with lace.</t>
  </si>
  <si>
    <t>Virgo (Family);Children -- Clothing -- South Australia -- Mount Gambier</t>
  </si>
  <si>
    <t>b2113635x</t>
  </si>
  <si>
    <t>B. Nittles</t>
  </si>
  <si>
    <t>Photograph of the Nittles children sitting in the studio in Mount Gambier in 1951. The two older brothers are wearing suits with lace handkerchiefs in the pockets and the younger sister is wearing a velvet dress trimmed with a lace collar.</t>
  </si>
  <si>
    <t>Nittles (Family);Children -- Clothing -- South Australia -- Mount Gambier</t>
  </si>
  <si>
    <t>b21136361</t>
  </si>
  <si>
    <t>J.M. Passfield</t>
  </si>
  <si>
    <t>Photograph of Mrs J.M. Passfield with her baby daughter in the studio in Mount Gambier in 1951. The baby is wearing an exquisite smocked dress with embroidery on the skirt.</t>
  </si>
  <si>
    <t>Passfield (Family);Mothers -- South Australia -- Mount Gambier;Infants -- South Australia -- Mount Gambier</t>
  </si>
  <si>
    <t>b21136373</t>
  </si>
  <si>
    <t>Photograph of the Williams family, one of whom is F. Williams. They are in the studio in Mount Gambier in 1951. The family consists of mother, father, son and daughter.</t>
  </si>
  <si>
    <t>Williams (Family)</t>
  </si>
  <si>
    <t>b21136385</t>
  </si>
  <si>
    <t>T. Welling</t>
  </si>
  <si>
    <t>Photograph of Mr and Mrs Welling  and daughters Bridget and Judy taken in the studio in Mount Gambier in 1951.</t>
  </si>
  <si>
    <t>Welling (Family)</t>
  </si>
  <si>
    <t>b21136397</t>
  </si>
  <si>
    <t>A.R. McArthur</t>
  </si>
  <si>
    <t>Photograph of the McArthur children taken in the studio in Mount Gambier in 1951. The girl is approximately five years old and is wearing a tartan skirt and holding a fluffy toy dog, and her younger brother is approximately three years old and is wearing corduroy overalls and holding a string of beads.</t>
  </si>
  <si>
    <t>McArthur (Family);Children -- Clothing -- South Australia -- Mount Gambier</t>
  </si>
  <si>
    <t>b21136403</t>
  </si>
  <si>
    <t>Leonie and Paul Zanker</t>
  </si>
  <si>
    <t>Photograph of the Zanker sisters taken in the studio in Mount Gambier in 1951. Leonie Anne Zanker, born 22 September, 1949, Mount Gambier with sister Paul Zanker, born ca.1951. Their parents are Frederick Alfred/Alfred Frederick Zanker (cousin of Francis Alfred Zanker) and Doreen Heather Anderson.  Seen here the sisters wear identical smocked dresses with fluffy boleros. The younger girl is clutching a toy dog.</t>
  </si>
  <si>
    <t>Zanker (Family);Children -- Clothing -- South Australia -- Mount Gambier</t>
  </si>
  <si>
    <t>b21177910</t>
  </si>
  <si>
    <t>M.D. Poulton</t>
  </si>
  <si>
    <t>Photograph of the Poulton brothers taken in the studio in Mount Gambier in 1951. The two boys are approximately eighteen months and four years old and wearing knitted tops. The younger boy is clutching some plastic toys.</t>
  </si>
  <si>
    <t>Poulton (Family);Children -- Clothing -- South Australia -- Mount Gambier</t>
  </si>
  <si>
    <t>b21136415</t>
  </si>
  <si>
    <t>A. Norman</t>
  </si>
  <si>
    <t>Photograph of the Norman family in the studio in Mount Gambier in 1951. The family comprises the mother, father and two little boys. The twins are dressed in sailor suits.</t>
  </si>
  <si>
    <t>b21136427</t>
  </si>
  <si>
    <t>Kath and Jim Pick</t>
  </si>
  <si>
    <t>Photograph of Kath Pick and Jim Pick (Jnr). The young man is wearing the school uniform of Sacred Heart College and the young lady is wearing a jacket and scarf. The photograph was taken in the studio in Mount Gambier in 1951.</t>
  </si>
  <si>
    <t>Pick, Kath;Pick, Jim</t>
  </si>
  <si>
    <t>b21136439</t>
  </si>
  <si>
    <t>H. Sutterby</t>
  </si>
  <si>
    <t>Photograph of the Sutterby children taken in the studio in Mount Gambier in 1951. There are two little girls and a younger brother. The girls are dressed in short-sleeved dresses.</t>
  </si>
  <si>
    <t>Sutterby (Family);Children -- Clothing -- South Australia -- Mount Gambier</t>
  </si>
  <si>
    <t>b21136440</t>
  </si>
  <si>
    <t>R. Stephens</t>
  </si>
  <si>
    <t>Photograph of a young couple, one of which is R. Stephens, sitting in the studio in Mount Gambier in 1951. The young lady has short crimped hair and is wearing a dark suit and a blouse with a tie at the neck.  The man is dressed in a suit.</t>
  </si>
  <si>
    <t>Stephens, R.</t>
  </si>
  <si>
    <t>b21136452</t>
  </si>
  <si>
    <t>F.A. Hunter</t>
  </si>
  <si>
    <t>Photograph of Mrs F.A. Hunter sitting in the studio in Mount Gambier in 1951. She is holding on her lap her daughter who is dressed in a lace baby dress.</t>
  </si>
  <si>
    <t>Hunter (Family);Mothers -- South Australia -- Mount Gambier;Infants -- South Australia -- Mount Gambier</t>
  </si>
  <si>
    <t>b21136464</t>
  </si>
  <si>
    <t>J.J. Hennessy</t>
  </si>
  <si>
    <t>Photograph of two Hennessy brothers taken in the studio in Mount Gambier in 1951. They are approximately two and four years old and dressed in similar shirts, jumper and shorts.</t>
  </si>
  <si>
    <t>Hennessy (Family);Children -- Clothing -- South Australia -- Mount Gambier</t>
  </si>
  <si>
    <t>b21136476</t>
  </si>
  <si>
    <t>W.G. Johnstone</t>
  </si>
  <si>
    <t>Photograph of the Reverend W.G. Johnstone and his wife sitting in the studio in Mount Gambier in 1951. Mrs Johnstone is wearing a sprig of lily-of-the-valley pinned to her dress.</t>
  </si>
  <si>
    <t>Johnstone (Family)</t>
  </si>
  <si>
    <t>b21136488</t>
  </si>
  <si>
    <t>L.S. Holman</t>
  </si>
  <si>
    <t>Photograph of the Holman family sitting in the studio in Mount Gambier in 1951. The family comprises a mother, father and son.</t>
  </si>
  <si>
    <t>Holman (Family)</t>
  </si>
  <si>
    <t>b2113649x</t>
  </si>
  <si>
    <t>J.E. Johnson</t>
  </si>
  <si>
    <t>Photograph of the Johnson children taken in the studio in Mount Gambier in 1951. There are two older brothers and a sister. The boys are wearing spotted shirts and the little sister is wearing a baby dress trimmed with lace and bows.</t>
  </si>
  <si>
    <t>Johnson (Family);Children -- Clothing -- South Australia -- Mount Gambier</t>
  </si>
  <si>
    <t>b21136506</t>
  </si>
  <si>
    <t>Trevor and Judith Lamb</t>
  </si>
  <si>
    <t>Photograph of the Lamb siblings, baby Trevor and his older sister Judith, taken in the studio in Mount Gambier in 1951. The baby is wearing smocked baby dress with a quiff, while the little girl has blonde curls and is wearing a smocked dress.</t>
  </si>
  <si>
    <t>Lamb, Trevor Robert, 1951-;Lamb, Judith, 1949-;Lamb (Family);Children -- Clothing -- South Australia -- Mount Gambier</t>
  </si>
  <si>
    <t>b21136518</t>
  </si>
  <si>
    <t>G. Manefield</t>
  </si>
  <si>
    <t>Photograph of Mrs G. Manefield with her baby daughter taken in the studio in Mount Gambier in 1951. Mrs Manefield is wearing a dress and coat with a spiral motif around the lapels. The baby is approximately four months old and is wearing a smocked long dress.</t>
  </si>
  <si>
    <t>Manefield (Family);Mothers -- South Australia -- Mount Gambier;Infants -- South Australia -- Mount Gambier</t>
  </si>
  <si>
    <t>b2113652x</t>
  </si>
  <si>
    <t>H.E. Langeluddecke</t>
  </si>
  <si>
    <t>Photograph of the three Langeluddecke sisters taken in the studio in Mount Gambier in 1951. The eldest child (right)is Joy Elizabeth (later Mrs Miller), the second child (left) is Anthea Mary, and the baby is Maxine Helen (later Mrs Need). The older girls are wearing velvet dresses with lace and embroidery on the collars and the baby is wearing a smocked dress.</t>
  </si>
  <si>
    <t>Langeluddecke (Family);Children -- Clothing -- South Australia -- Mount Gambier</t>
  </si>
  <si>
    <t>b21136531</t>
  </si>
  <si>
    <t>J. Murphy</t>
  </si>
  <si>
    <t>Photograph of the Murphy children taken in the studio in Mount Gambier in 1951. The children consist of an older boy, two younger girls and a baby. The boy is wearing a suit, one of the girls has long ringlets and the baby is wearing a smocked dress. According to a researcher, the children are Zita, Joseph, Margaret (baby) and Elizabeth Murphy. Their parents are Jack and Kate Murphy.</t>
  </si>
  <si>
    <t>Murphy (Family);Children -- Clothing -- South Australia -- Mount Gambier</t>
  </si>
  <si>
    <t>b21136543</t>
  </si>
  <si>
    <t>C.C. Allen</t>
  </si>
  <si>
    <t>Photograph of the Allen children taken in the studio in Mount Gambier in 1951. The children are approximately four and two years old. The older sister is wearing a puffed sleeved short dress and is holding a fluffy toy dog and the little brother is wearing a shirt and shorts suit.</t>
  </si>
  <si>
    <t>Allen (Family);Children -- Clothing -- South Australia -- Mount Gambier</t>
  </si>
  <si>
    <t>b21136555</t>
  </si>
  <si>
    <t>D. Abbey</t>
  </si>
  <si>
    <t>Photograph of the Abbey brothers taken in the studio in Mount Gambier in 1951. The little boys are approximately five and three years old. They are wearing shirts and shorts and the younger one is holding a fluffy toy dog.</t>
  </si>
  <si>
    <t>Abbey (Family)</t>
  </si>
  <si>
    <t>b21136567</t>
  </si>
  <si>
    <t>M.M. Bruhn</t>
  </si>
  <si>
    <t>Photograph of Mrs Bruhn holding her baby in the studio in Mount Gambier in 1951. Mrs Bruhn is wearing a dark suit and a pearl necklace and the baby, who is approximately six months old, is dressed in a long baby dress trimmed with lace.</t>
  </si>
  <si>
    <t>Bruhn (Family);Mothers -- South Australia -- Mount Gambier;Infants -- South Australia -- Mount Gambier</t>
  </si>
  <si>
    <t>b21136579</t>
  </si>
  <si>
    <t>N. Creaser</t>
  </si>
  <si>
    <t>Photograph of a young couple, one of which is N. Creaser, sitting the studio in Mount Gambier in 1951. The young lady is wearing a light coloured suit and the young man is wearing a suit and tie.</t>
  </si>
  <si>
    <t>Creaser (Family)</t>
  </si>
  <si>
    <t>b21136580</t>
  </si>
  <si>
    <t>C. Clifford</t>
  </si>
  <si>
    <t>Photograph of the Clifford children taken in the studio in Mount Gambier in 1951. The family consists of an older sister, younger brother and a baby.</t>
  </si>
  <si>
    <t>Clifford (Family);Children -- Clothing -- South Australia -- Mount Gambier</t>
  </si>
  <si>
    <t>b21136592</t>
  </si>
  <si>
    <t>Kenneth Crafter and family</t>
  </si>
  <si>
    <t>1 photograph : black and white, negative, acetate   11.6 cm x 16 cm;still image sti rdacontent;other x rdamedia;other nz rdacarrier</t>
  </si>
  <si>
    <t>Photograph of the Crafter family taken in the studio in Mount Gambier in 1951. The family comprises a mother, father, Kenneth Herbert Crafter (1920-1979) and a young boy and girl, possibly Barry and Heather. The children are possibly twins.</t>
  </si>
  <si>
    <t>Crafter (Family)</t>
  </si>
  <si>
    <t>b21136609</t>
  </si>
  <si>
    <t>Coutanche children</t>
  </si>
  <si>
    <t>Photograph of the Coutanche children (from left): Barry, Barb, Robert, and Di (the baby). The boys are dressed in suits and the older girl in a cardigan and dress. The baby girl is wearing a patterned cardigan over a baby dress and is holding a fluffy toy dog.</t>
  </si>
  <si>
    <t>Coutanche (Family);Children -- Clothing -- South Australia -- Mount Gambier</t>
  </si>
  <si>
    <t>b21136610</t>
  </si>
  <si>
    <t>A. Green</t>
  </si>
  <si>
    <t>Photograph of the Green family consisting of mother, father and baby boy. The baby is wearing a shorts and shirt suit and holding a wooden toy.</t>
  </si>
  <si>
    <t>Green (Family)</t>
  </si>
  <si>
    <t>b21136622</t>
  </si>
  <si>
    <t>D.W. Dow</t>
  </si>
  <si>
    <t>Photograph of the Dow children sitting in the studio in Mount Gambier in 1951. They are approximately three years old and ten months old. The older sister is wearing a dress with pintucks and lace on the collar and pockets and a large bow in her hair and the baby brother is wearing a jumper over his romper suit.</t>
  </si>
  <si>
    <t>Dow (Family);Children -- Clothing -- South Australia -- Mount Gambier</t>
  </si>
  <si>
    <t>b21136634</t>
  </si>
  <si>
    <t>G. C. Steele</t>
  </si>
  <si>
    <t>Photograph of the two Steele brothers who are approximately five and four years old.  They are wearing their Scottish ties, kilts and sporrans.</t>
  </si>
  <si>
    <t>Steele (Family);Children -- Clothing -- South Australia -- Mount Gambier</t>
  </si>
  <si>
    <t>b21136646</t>
  </si>
  <si>
    <t>D. Stephens</t>
  </si>
  <si>
    <t>Photograph of the Stephens family sitting the studio in Mount Gambier in 1951. The family comprises mother, father, daughter and baby son. The children are approximately two years old and nine months old.  The little girl is wearing a smocked dress and two ribbons in her hair and the baby is wearing a romper suit with a quiff.</t>
  </si>
  <si>
    <t>Stephens (Family)</t>
  </si>
  <si>
    <t>b21177922</t>
  </si>
  <si>
    <t>L. Widdison</t>
  </si>
  <si>
    <t>Photograph of the Widdison brothers sitting the studio in Mount Gambier in 1951. Both wear serge suits.</t>
  </si>
  <si>
    <t>Widdison (Family)</t>
  </si>
  <si>
    <t>b21136658</t>
  </si>
  <si>
    <t>Photograph of the Williams family taken in the studio in Mount Gambier in 1951. The family comprises mother, father, older son, daughter, and younger son. Mrs Williams is wearing a plaid jacket, the little girl is wearing a velvet dress with a tartan ribbon in her hair. The father and son are wearing suits and the baby is wearing a smocked romper suit.</t>
  </si>
  <si>
    <t>b2113666x</t>
  </si>
  <si>
    <t>M. Zanol</t>
  </si>
  <si>
    <t>Photograph of a young couple, one of which is M. Zanol. The man is wearing a striped suit and the lady is wearing a dark corduroy jacket and a pearl necklace. The photograph was taken in the studio in Mount Gambier in 1951.</t>
  </si>
  <si>
    <t>Zanol, M.</t>
  </si>
  <si>
    <t>b21177934</t>
  </si>
  <si>
    <t>Mulligan children</t>
  </si>
  <si>
    <t>Photograph of the four Mulligan children (left to right) Teresa 7 yrs, Barry  5 yrs, Raymond 1 yr, Christine 9 yrs, children of Noreen and Phillip Mulligan of Penola. (information supplied by a family member). The two girls wear printed dresses and the younger boy wears a smocked outfit and is holding a toy dog. The photograph was taken in the studio in Mount Gambier in 1951.</t>
  </si>
  <si>
    <t>Mulligan (Family);Children -- Clothing -- South Australia -- Mount Gambier</t>
  </si>
  <si>
    <t>b21136671</t>
  </si>
  <si>
    <t>W. Matthey</t>
  </si>
  <si>
    <t>Photograph of the three young Matthey sisters. They are approximately three, two and one years old. They are wearing identical dresses trimmed with broderie anglaise lace. The photograph was taken in the studio in Mount Gambier in 1951.</t>
  </si>
  <si>
    <t>Matthey (Family);Children -- Clothing -- South Australia -- Mount Gambier</t>
  </si>
  <si>
    <t>b21136683</t>
  </si>
  <si>
    <t>D.H. Matthews</t>
  </si>
  <si>
    <t>Photograph of the Matthews children taken in the studio in Mount Gambier in 1951.  The older brother is approximately eight years old and his younger sister is about five years old. She is wearing a smocked dress and a fluffy bolero and he is wearing a  serge suit.</t>
  </si>
  <si>
    <t>Matthews (Family);Children -- Clothing -- South Australia -- Mount Gambier</t>
  </si>
  <si>
    <t>b21136695</t>
  </si>
  <si>
    <t>A. D. Wilkin</t>
  </si>
  <si>
    <t>Photograph of the Wilkin children taken in the studio in Mount Gambier in 1951. The boy is approximately six years old and the little girl is about one year old. He is wearing a woollen jacket and his younger sister is wearing a smocked satin dress.</t>
  </si>
  <si>
    <t>Wilkin (Family);Children -- Clothing -- South Australia -- Mount Gambier</t>
  </si>
  <si>
    <t>b21177946</t>
  </si>
  <si>
    <t>J. Tarrant</t>
  </si>
  <si>
    <t>Photograph of Mrs J. Tarrant and child taken in the studio in Mount Gambier in 1951. Her daughter is about two years old.</t>
  </si>
  <si>
    <t>Tarrant (Family)</t>
  </si>
  <si>
    <t>b21136701</t>
  </si>
  <si>
    <t>W.J. McGrice</t>
  </si>
  <si>
    <t>Photograph of Mr and Mrs W.J. McGrice seated in the studio in Mount Gambier in 1951. Mrs McGrice is wearing a black beaded cardigan and Mr McGrice is wearing a suit.</t>
  </si>
  <si>
    <t>McGrice (Family)</t>
  </si>
  <si>
    <t>b21136713</t>
  </si>
  <si>
    <t>Photograph of the two Norman children seated in the studio in Mount Gambier in 1951. The  boy is approximately six years old and is wearing his school uniform and his baby sister is wearing a smocked short cotton dress.</t>
  </si>
  <si>
    <t>b21163509</t>
  </si>
  <si>
    <t>Miss B. T. Sutton on her wedding day</t>
  </si>
  <si>
    <t>Photograph of Miss Bridget Teresa Sutton taken in the studio on her wedding day on 10 September 1951 to James Russell Hay.</t>
  </si>
  <si>
    <t>Sutton, Bridget Teresa, 1923-;Brides -- South Australia -- Mount Gambier;Wedding costume -- South Australia -- Mount Gambier</t>
  </si>
  <si>
    <t>b21163558</t>
  </si>
  <si>
    <t>Eleanor Vause nee Dunn on her wedding day</t>
  </si>
  <si>
    <t>Eleanor Marie Vause, only daughter of Samuel and Eileen Dunn, on her wedding day, 25 January 1951. Eleanor married Harry Edward Vause, son of Thomas and the late Mabel Vause.</t>
  </si>
  <si>
    <t>Vause, Eleanor Marie;Brides -- South Australia -- Mount Gambier;Wedding costume -- South Australia -- Mount Gambier</t>
  </si>
  <si>
    <t>b21163650</t>
  </si>
  <si>
    <t>Florence White on her wedding day</t>
  </si>
  <si>
    <t>Photograph of Florence May White on her wedding day, 21 December 1951, when she married Lionel Newman Stanes.</t>
  </si>
  <si>
    <t>White, Florence May;Brides -- South Australia -- Mount Gambier;Wedding costume -- South Australia -- Mount Gambier</t>
  </si>
  <si>
    <t>b21163674</t>
  </si>
  <si>
    <t>Morva Fay Norman on her wedding day</t>
  </si>
  <si>
    <t>Photograph of Morva Fay Norman, who married Kenneth Neil McAskill, taken in the studio on her wedding day on 10 November 1951.</t>
  </si>
  <si>
    <t>Norman, Morva Fay;Brides -- South Australia -- Mount Gambier;Wedding costume -- South Australia -- Mount Gambier</t>
  </si>
  <si>
    <t>b21177132</t>
  </si>
  <si>
    <t>Citizen's Band</t>
  </si>
  <si>
    <t>Photograph of three drummers from the Citizen's Band taken in the studio in Mount Gambier in 1951. The men are wearing uniforms complete with braid on their shoulders and caps.</t>
  </si>
  <si>
    <t>Bands (Music) -- South Australia -- Mount Gambier</t>
  </si>
  <si>
    <t>b21184859</t>
  </si>
  <si>
    <t>Basketball A team from Mount Gambier High School</t>
  </si>
  <si>
    <t>Photograph of eight girl members of the "A" Basketball Team at Mount Gambier High School.</t>
  </si>
  <si>
    <t>b21184860</t>
  </si>
  <si>
    <t>Girls' hockey team at Mount Gambier High School</t>
  </si>
  <si>
    <t>Photograph of twelve girls from the Hockey Team at Mount Gambier High School in 1951.</t>
  </si>
  <si>
    <t>Mount Gambier High School (S.A.) -- Students;Hockey players -- South Australia -- Mount Gambier</t>
  </si>
  <si>
    <t>b21184872</t>
  </si>
  <si>
    <t>Photograph of six girls and six boys from the Mount Gambier High School tennis team taken in 1951.</t>
  </si>
  <si>
    <t>Mount Gambier High School (S.A.) -- Students;Tennis players -- South Australia -- Mount Gambier</t>
  </si>
  <si>
    <t>b21184896</t>
  </si>
  <si>
    <t>Cricket eleven from Mount Gambier High School</t>
  </si>
  <si>
    <t>Photograph of the cricket team from Mount Gambier High School in 1951.</t>
  </si>
  <si>
    <t>Mount Gambier High School (S.A.) -- Students;Cricket players -- South Australia -- Mount Gambier</t>
  </si>
  <si>
    <t>b21184902</t>
  </si>
  <si>
    <t>Football Team from Mount Gambier High School</t>
  </si>
  <si>
    <t>Photograph of the football team from Mount Gambier High School in 1951.</t>
  </si>
  <si>
    <t>Australian football teams -- South Australia -- Mount Gambier;Australian football players -- South Australia -- Mount Gambier;Mount Gambier High School -- Students</t>
  </si>
  <si>
    <t>b21184914</t>
  </si>
  <si>
    <t>Male students from Mount Gambier High School</t>
  </si>
  <si>
    <t>Photograph of sixty six male students from Mount Gambier High School. They are positioned in front of the Honour Boards which depict names showing winners of scholarships, old scholars who died in the European War and also Head Prefects from 1922 to 1951.</t>
  </si>
  <si>
    <t>b21184926</t>
  </si>
  <si>
    <t>Female students from Mount Gambier High School</t>
  </si>
  <si>
    <t>Photograph of fifty two female students from Mount Gambier High School. They are positioned in front of the Honour Boards which depict names showing winners of scholarships, old scholars who died in the European War and also Head Prefects from 1922 to 1951.</t>
  </si>
  <si>
    <t>b21184938</t>
  </si>
  <si>
    <t>Photograph of thirty two male students from Mount Gambier High School. They are positioned in front of the Honour Boards which depict names showing winners of scholarships, old scholars who died in the European War and also Head Prefects from 1922 to 1951.</t>
  </si>
  <si>
    <t>b2118494x</t>
  </si>
  <si>
    <t>Photograph of forty male students from Mount Gambier High School. They are positioned in front of the Honour Boards which depict names showing winners of scholarships, old scholars who died in the European War and also Head Prefects from 1922 to 1951.</t>
  </si>
  <si>
    <t>b21184951</t>
  </si>
  <si>
    <t>Photograph of fifty one female students from Mount Gambier High School. They are positioned in front of the Honour Boards which depict names showing winners of scholarships, old scholars who died in the European War and also Head Prefects from 1922 to 1951.</t>
  </si>
  <si>
    <t>b21186170</t>
  </si>
  <si>
    <t>Glencoe Cricket Club</t>
  </si>
  <si>
    <t>Photograph of members of the Glencoe Cricket Team in 1951.</t>
  </si>
  <si>
    <t>Glencoe Cricket Club;Cricket -- South Australia -- Glencoe;Cricket players -- South Australia -- Glencoe</t>
  </si>
  <si>
    <t>b21186182</t>
  </si>
  <si>
    <t>Yahl Cricket Club</t>
  </si>
  <si>
    <t>Photograph of members and officials of the Yahl Cricket Club in 1951.</t>
  </si>
  <si>
    <t>Yahl Cricket Club;Cricket players -- South Australia -- Yahl</t>
  </si>
  <si>
    <t>b21187496</t>
  </si>
  <si>
    <t>South Gambier Football Club</t>
  </si>
  <si>
    <t>Photograph of players and officials from the South Gambier Football Club taken in 1951. Arch Ryan is 2nd row from the back 2nd person in from the left.</t>
  </si>
  <si>
    <t>South Gambier Football Club;Australian football players -- South Australia -- Mount Gambier</t>
  </si>
  <si>
    <t>b21187502</t>
  </si>
  <si>
    <t>Tantanoola Football Club</t>
  </si>
  <si>
    <t>Photograph of players from the Tantanoola Football Club taken in 1951.</t>
  </si>
  <si>
    <t>Tantanoola Football Club;Australian football players -- South Australia -- Tantanoola;Australian football teams -- South Australia -- Tantanoola</t>
  </si>
  <si>
    <t>b21187526</t>
  </si>
  <si>
    <t>Photograph of members of the Tantanoola Football Club taken in 1951.</t>
  </si>
  <si>
    <t>b2118785x</t>
  </si>
  <si>
    <t>Performance of a play in Mount Gambier in 1951</t>
  </si>
  <si>
    <t>Photograph of actors possibly from the Mount Gambier Players performing a play (possibly 'Mikado') in 1951 dressed as Chinese or Japanese characters.</t>
  </si>
  <si>
    <t>Amateur theater -- South Australia -- Mount Gambier</t>
  </si>
  <si>
    <t>b21187861</t>
  </si>
  <si>
    <t>C. Crafter</t>
  </si>
  <si>
    <t>Photograph of two young ballet dancers one of which is C. Crafter taken in 1951.</t>
  </si>
  <si>
    <t>Crafter, C.;Ballet dancers -- South Australia -- Mount Gambier;Costume -- South Australia -- Mount Gambier;Children -- South Australia -- Mount Gambier</t>
  </si>
  <si>
    <t>b21187873</t>
  </si>
  <si>
    <t>Apex meeting</t>
  </si>
  <si>
    <t>Photograph of Apex members at an Annual Dinner in Mount Gambier in 1951.</t>
  </si>
  <si>
    <t>Apex Club of Mount Gambier</t>
  </si>
  <si>
    <t>b21187940</t>
  </si>
  <si>
    <t>Photograph of dancer C. Crafter and five other young dancers performing the can-can dance in the studio in Mount Gambier in 1951.</t>
  </si>
  <si>
    <t>Dancers -- South Australia -- Mount Gambier;Children -- South Australia -- Mount Gambier</t>
  </si>
  <si>
    <t>b21188919</t>
  </si>
  <si>
    <t>Frees the Tobacconist</t>
  </si>
  <si>
    <t>Photograph of the display window at Frees the Tobacconist in 1951. Packets of cigarettes, pipes, cigars, lighters, ash trays, shaving cream, aftershave, toothpaste, razors and straps, shoe laces and tobacco are on display. The advertisement states that Red Capstans are the Empires favoured cigarette.</t>
  </si>
  <si>
    <t>Frees (Firm);Stores, Retail -- South Australia -- Mount Gambier</t>
  </si>
  <si>
    <t>b21192832</t>
  </si>
  <si>
    <t>W.S. Lynch Footwear Shop</t>
  </si>
  <si>
    <t>Photograph of the window display of the W.S. Lynch Footwear Shop in Mount Gambier in 1951. Rubber boots, slippers, work boots and shoes are on display.</t>
  </si>
  <si>
    <t>W.S. Lynch Footwear;Stores, Retail -- South Australia -- Mount Gambier;Footwear -- South Australia -- Mount Gambier;Display of merchandise -- South Australia -- Mount Gambier</t>
  </si>
  <si>
    <t>b21192856</t>
  </si>
  <si>
    <t>Giffords Hotel</t>
  </si>
  <si>
    <t>Photograph of the saloon bar at Giffords Hotel in Mount Gambier in 1951.  Bottles of spirits and rows of glasses are set out.</t>
  </si>
  <si>
    <t>Giffords Hotel (Mount Gambier, S.A.);Hotels -- South Australia -- Mount Gambier;Interior architecture -- South Australia -- Mount Gambier</t>
  </si>
  <si>
    <t>b21192868</t>
  </si>
  <si>
    <t>Electric Supply</t>
  </si>
  <si>
    <t>Photograph of the heavy machinery supplying electricity to Mount Gambier in March 1951.</t>
  </si>
  <si>
    <t>ETSA Corporation;Electric power plants -- South Australia -- Mount Gambier</t>
  </si>
  <si>
    <t>b21227457</t>
  </si>
  <si>
    <t>Bar at Gifford's Hotel</t>
  </si>
  <si>
    <t>View of an empty front bar at Gifford's Hotel, Mount Gambier.</t>
  </si>
  <si>
    <t>b21227469</t>
  </si>
  <si>
    <t>b21193101</t>
  </si>
  <si>
    <t>Haig Motors</t>
  </si>
  <si>
    <t>Photograph of Haig Motors Limited on Watson Terrace Mount Gambier. There are four bowsers on the footpath outside.</t>
  </si>
  <si>
    <t>Haig's Garage;Garages -- South Australia -- Mount Gambier</t>
  </si>
  <si>
    <t>b21193113</t>
  </si>
  <si>
    <t>Bay Road</t>
  </si>
  <si>
    <t>Photograph of buildings on Bay Road in Mount Gambier in 1951. H.J. Trevorrow Insurance Agent and Phillips Duffield Barry Chartered Accountants were tenants in 1951. Later this was the Commonwealth Bank.</t>
  </si>
  <si>
    <t>H.J. Trevorrow Insurance Agent;Phillips Duffield Barry Chartered Accountants;Commonwealth Bank of Australia -- Buildings;Buildings -- South Australia -- Mount Gambier;Bank buildings -- South Australia -- Mount Gambier</t>
  </si>
  <si>
    <t>b21193125</t>
  </si>
  <si>
    <t>Sunshine Motors Staff</t>
  </si>
  <si>
    <t>Photograph of thirty two staff members of Sunshine Motors standing outside the business in Mount Gambier in 1951.</t>
  </si>
  <si>
    <t>Sunshine Motors (Mount Gambier, S.A.);Automobile industry and trade -- South Australia -- Mount Gambier -- Employees</t>
  </si>
  <si>
    <t>b21193162</t>
  </si>
  <si>
    <t>Sunshine Motors Commercial Street East</t>
  </si>
  <si>
    <t>Photograph of the building housing Sunshine Motors in Mount Gambier. Three cars are parked outside this business.</t>
  </si>
  <si>
    <t>Sunshine Motors (Mount Gambier, S.A.);Automobile industry and trade -- South Australia -- Mount Gambier</t>
  </si>
  <si>
    <t>b21195857</t>
  </si>
  <si>
    <t>Mount Gambier Convent Debutante Ball</t>
  </si>
  <si>
    <t>Photograph of twelve young debutantes from the Mount Gambier Convent with their chaperone before the Ball in 1951.</t>
  </si>
  <si>
    <t>b21195870</t>
  </si>
  <si>
    <t>Mount Gambier High School debutantes</t>
  </si>
  <si>
    <t>Photograph of ten young debutantes from the Mount Gambier High School dressed in their ballgowns in 1951.</t>
  </si>
  <si>
    <t>b21195997</t>
  </si>
  <si>
    <t>Glencoe debutantes</t>
  </si>
  <si>
    <t>Photograph of five debutantes and their chaperone before the Glencoe Ball held in 1951.</t>
  </si>
  <si>
    <t>Debutantes -- South Australia -- Glencoe</t>
  </si>
  <si>
    <t>b30162191</t>
  </si>
  <si>
    <t>Smith, Dorothy Vernon, photographer</t>
  </si>
  <si>
    <t>Ship at a jetty</t>
  </si>
  <si>
    <t>1 photograph : acetate, negative, black and white   8.4 x 8.5 cm;RESERVE 1 negatives;still image sti rdacontent;unmediated n rdamedia;sheet nb rdacarrier</t>
  </si>
  <si>
    <t>Ship at the end of a jetty, on the West Coast of South Australia, viewed from the S.S. 'Wookata', captained by W.F. Lee. To see a selection of photographs in this collection, search on Archival number PRG 1642/27.</t>
  </si>
  <si>
    <t>Jetties -- South Australia;Ships -- South Australia</t>
  </si>
  <si>
    <t>Vernon Smith Collection</t>
  </si>
  <si>
    <t>b30162300</t>
  </si>
  <si>
    <t>Small boat coming back from to Flinders Island</t>
  </si>
  <si>
    <t>Small boat coming back from Flinders Island, near Elliston, to the S.S. 'Wookata', captained by W.F. Lee. To see a selection of photographs in this collection, search on Archival number PRG 1642/27.</t>
  </si>
  <si>
    <t>Boats and boating -- South Australia;Flinders Island (S.A.)</t>
  </si>
  <si>
    <t>b30162312</t>
  </si>
  <si>
    <t>Streaky Bay jetty</t>
  </si>
  <si>
    <t>1 photograph : acetate, negative, black and white   8.5 x 8.5 cm;RESERVE 1 negatives;still image sti rdacontent;unmediated n rdamedia;sheet nb rdacarrier</t>
  </si>
  <si>
    <t>End of the Streaky Bay jetty viewed from the S.S. 'Wookata', captained by W.F. Lee. To see a selection of photographs in this collection, search on Archival number PRG 1642/27.</t>
  </si>
  <si>
    <t>Jetties -- South Australia -- Streaky Bay;Streaky Bay (S.A.)</t>
  </si>
  <si>
    <t>Vernon Smith Collection;Streaky Bay Collection</t>
  </si>
  <si>
    <t>b30162154</t>
  </si>
  <si>
    <t>The end of a jetty, on the West Coast of South Australia, viewed from the S.S. 'Wookata', captain by W.F. Lee. To see a selection of photographs in this collection, search on Archival number PRG 1642/27.</t>
  </si>
  <si>
    <t>Jetties -- South Australia</t>
  </si>
  <si>
    <t>b30162208</t>
  </si>
  <si>
    <t>End of a jetty</t>
  </si>
  <si>
    <t>End of a jetty, on the West Coast of South Australia, viewed from the S.S. 'Wookata', captained by W.F. Lee. To see a selection of photographs in this collection, search on Archival number PRG 1642/27.</t>
  </si>
  <si>
    <t>b30162221</t>
  </si>
  <si>
    <t>Wheat stacks on a jetty</t>
  </si>
  <si>
    <t>Wheat stacks on a jetty either being loaded or unloaded from a ship, on the West Coast of South Australia, viewed from a ship. To see a selection of photographs in this collection, search on Archival number PRG 1642/27.</t>
  </si>
  <si>
    <t>b30162245</t>
  </si>
  <si>
    <t>Soldiers memorial, Elliston</t>
  </si>
  <si>
    <t>Soldiers memorial at Elliston. To see a selection of photographs in this collection, search on Archival number PRG 1642/27.</t>
  </si>
  <si>
    <t>Memorials -- South Australia -- Elliston;Elliston (S.A.)</t>
  </si>
  <si>
    <t>Vernon Smith Collection;Elliston Collection</t>
  </si>
  <si>
    <t>b30162257</t>
  </si>
  <si>
    <t>Horses by the shore</t>
  </si>
  <si>
    <t>Horses by the shore on the West Coast of South Australia. To see a selection of photographs in this collection, search on Archival number PRG 1642/27.</t>
  </si>
  <si>
    <t>Horses -- South Australia</t>
  </si>
  <si>
    <t>b30162270</t>
  </si>
  <si>
    <t>Street of a town</t>
  </si>
  <si>
    <t>Street of a town, possibly Elliston, on the West Coast of South Australia. To see a selection of photographs in this collection, search on Archival number PRG 1642/27.</t>
  </si>
  <si>
    <t>b30162282</t>
  </si>
  <si>
    <t>Birds on a ship's mast</t>
  </si>
  <si>
    <t>Birds on the line between the masts of a ship, possibly the S.S. 'Wookata' on the West Coast of South Australia, captained by W.F. Lee. To see a selection of photographs in this collection, search on Archival number PRG 1642/27.</t>
  </si>
  <si>
    <t>Masts and rigging -- South Australia;Birds -- South Australia</t>
  </si>
  <si>
    <t>b30162294</t>
  </si>
  <si>
    <t>Small boat headed to Flinders Island</t>
  </si>
  <si>
    <t>Small boat with a load for Flinders Island, near Elliston, from the S.S. 'Wookata', captained by W.F. Lee. Mr. Eickhoff is in the bow. To see a selection of photographs in this collection, search on Archival number PRG 1642/27.</t>
  </si>
  <si>
    <t>b3112642x</t>
  </si>
  <si>
    <t>Richard and Ethel Anderson at Port Elliot</t>
  </si>
  <si>
    <t>Richard (Dick) and Ethel Anderson with Ken at Port Elliot.</t>
  </si>
  <si>
    <t>Anderson, Richard Outram.;Verco, Ethel Victoria Diamond, 1897-1992.;Automobiles -- South Australia -- Port Elliot;Port Elliot (S.A.)</t>
  </si>
  <si>
    <t>Port Elliot Collection</t>
  </si>
  <si>
    <t>b20814513</t>
  </si>
  <si>
    <t>A bull and a young calf at the Angorichina Hostel</t>
  </si>
  <si>
    <t>Photograph (black and white print)  5.9 cm x 8.6 cm;RESERVE 1;still image sti rdacontent;unmediated n rdamedia;sheet nb rdacarrier</t>
  </si>
  <si>
    <t>A bull and a young calf at the Angorichina Hostel.</t>
  </si>
  <si>
    <t>Sanatoriums -- South Australia -- Angorichina;Cattle -- South Australia -- Angorichina;Tuberculosis -- Hospitals -- South Australia -- Angorichina;Angorichina (S.A.);Angorichina Hostel (S.A.)</t>
  </si>
  <si>
    <t>b3024710x</t>
  </si>
  <si>
    <t>1 photograph : black and white   17.8 x 13 cm;still image sti rdacontent;unmediated n rdamedia;sheet nb rdacarrier</t>
  </si>
  <si>
    <t>Crew of the 1951 Keith Coldwell King's Cup team: cox C. Davis, str. P. Morelli, L. Williamson, K. Coldwell (P.A.R.C.), J. Hill, R. Partington, K. Simmons (P.A.R.C.), D. Davies, bow A. Smithson (P.A.R.C.). The 1951 event was held in Queensland.</t>
  </si>
  <si>
    <t>b30247160</t>
  </si>
  <si>
    <t>Keith Coldwell King's Cup crew group photograph</t>
  </si>
  <si>
    <t>Crew, in uniform, of the South Australian 1951 King's Cup team, top row: D. Davies, R. Partington, J. Hill, L. Williamson, P. Morelli, C. Davis cox, J. Bollen coach. Bottom row: R. Pike, K. Simmons (P.A.R.C.), K. Coldwell (P.A.R.C.), A. Smithson (P.A.R.C.). The 1951 event was held in Queensland.</t>
  </si>
  <si>
    <t>b30248206</t>
  </si>
  <si>
    <t>Maiden four season 1951 to 1952</t>
  </si>
  <si>
    <t>1 photograph : black and white   21 x 15.5 cm;still image sti rdacontent;unmediated n rdamedia;sheet nb rdacarrier</t>
  </si>
  <si>
    <t>Maiden four season 1951-1952. Bob Page (bow), Jack Ward, Dave Wade, Graham Coldwell (str.), Keith Smyth (cox).</t>
  </si>
  <si>
    <t>b30250602</t>
  </si>
  <si>
    <t>Championship Senior Eights season 1951 to 1952</t>
  </si>
  <si>
    <t>1 photograph : black and white   18 x 12.7 cm;still image sti rdacontent;unmediated n rdamedia;sheet nb rdacarrier</t>
  </si>
  <si>
    <t>F. Skuce (bow), R. Webb, R. Simpson, R. Coldwell, K. Simmons, E. Tucker (str.), G Coldwell, C. Davis (cox).</t>
  </si>
  <si>
    <t>b30250638</t>
  </si>
  <si>
    <t>Championship Junior Eights season 1951 to 1952</t>
  </si>
  <si>
    <t>1 photograph : black and white,   17.7 x 12.4 cm;still image sti rdacontent;unmediated n rdamedia;sheet nb rdacarrier</t>
  </si>
  <si>
    <t>E. Tucker (bow), J. Ward, F. Skuce, F. Cockburn, K. Simmonds, R. Simpson, D. Wade, G. Coldwell (stroke), G. Brock (cox).</t>
  </si>
  <si>
    <t>b29239631</t>
  </si>
  <si>
    <t>St Peter's Cathedral</t>
  </si>
  <si>
    <t>Photograph (black and white print)  19.7 cm x 24.7 cm;still image sti rdacontent;unmediated n rdamedia;sheet nb rdacarrier</t>
  </si>
  <si>
    <t>Bishop Robin greeting the Governor, Sir Willoughby Norrie, on the steps of St. Peter's Cathedral, with Murray Gordon (assistant cathedral organist), Very Rev G.H. Jose (Dean of Adelaide), and Wilfred Dennis (Server).</t>
  </si>
  <si>
    <t>Norrie, Willoughby, Sir, 1893-1977;Jose, G. H. (George Herbert), 1868-1956;St. Peter's Cathedral (Adelaide, S.A.);Anglican Church -- South Australia -- Adelaide</t>
  </si>
  <si>
    <t>b20843318</t>
  </si>
  <si>
    <t>[approximately 1951]</t>
  </si>
  <si>
    <t>OUTSIZE 1;Photoprint  14 x 10 cm</t>
  </si>
  <si>
    <t>The 'Coonawarra' at Ned's corner station.</t>
  </si>
  <si>
    <t>Coonawarra (Paddle steamer);Paddle steamers -- Victoria -- Ned's Corner;Paddle steamers -- Murray River (N.S.W. - S.A.)</t>
  </si>
  <si>
    <t>b2084332x</t>
  </si>
  <si>
    <t>M.V. Coonawarra</t>
  </si>
  <si>
    <t>The 'M.V. Coonawarra' with the 'P.S. Rothbury' in Lock 4.</t>
  </si>
  <si>
    <t>Coonawarra (Paddle steamer);Rothbury (Paddle steamer);Paddle steamers -- Murray River (N.S.W. - S.A.)</t>
  </si>
  <si>
    <t>b20865922</t>
  </si>
  <si>
    <t>Captains Ern Randell and Paddy Hogg on P.S. Marion</t>
  </si>
  <si>
    <t>Captains Ern Randell and Captain Hillary (Paddy) Hogg  on top deck of 'P.S. Marion'.</t>
  </si>
  <si>
    <t>Hogg, Hillary;Randell, Ern;Marion (Paddle steamer);Ship captains -- Murray River (N.S.W.-S.A.);Paddle steamers -- Murray River (N.S.W.-S.A.)</t>
  </si>
  <si>
    <t>b30163171</t>
  </si>
  <si>
    <t>Auburn property</t>
  </si>
  <si>
    <t>1 photograph : acetate, negative, black and white   5.7 x 8.4 cm;RESERVE 1 negatives;still image sti rdacontent;unmediated n rdamedia;sheet nb rdacarrier</t>
  </si>
  <si>
    <t>View of the farmhouse that Clement Penfold Smith lived at from 1951-1960, at 10 Elder Street, Auburn, at Lots 75-78, Section 260. To see a selection of photographs in this collection, search on Archival number PRG 1642/27.</t>
  </si>
  <si>
    <t>Windmills -- South Australia -- Auburn;Architecture, Domestic -- South Australia -- Auburn;Auburn (S.A.)</t>
  </si>
  <si>
    <t>Vernon Smith Collection;Auburn Collection</t>
  </si>
  <si>
    <t>b30135564</t>
  </si>
  <si>
    <t>'An Expression of Loyalty to Our Queen'</t>
  </si>
  <si>
    <t>1 photograph : black and white   25 x 20 cm;RESERVE 1;still image sti rdacontent;unmediated n rdamedia;sheet nb rdacarrier</t>
  </si>
  <si>
    <t>Display windows featuring baby clothes and baby shawls with photographs of the Queen, Prince Philip, Prince Charles and Princess Anne.</t>
  </si>
  <si>
    <t>Charles Moore &amp; Company;Show windows</t>
  </si>
  <si>
    <t>b29557987</t>
  </si>
  <si>
    <t>Penrose, Victor, photographer</t>
  </si>
  <si>
    <t>South African Touring Cricket Team</t>
  </si>
  <si>
    <t>1 photograph : black and white   19.1 x 24.4 cm;RARE BOOK ROOM C35 F9;still image sti rdacontent;unmediated n rdamedia;sheet nb rdacarrier</t>
  </si>
  <si>
    <t>South African Touring Cricket Team photograph signed by the players for Sir Donald and Lady Bradman. Back row L-R: H.J. Tayfield, J.C. Watkins, A.R.A. Murray, M.G. Melle. Middle row L-R: W. Ferguson (Scorer), K.J. Funston, H.J. Keith, E.B. Norton, G. Innes, E.R. Fuller. Front row L-R: J.H.B Waite, P.N.F. Mansell, J.E. Cheetham (Captain), K.G. Viljoen (Manager), D.J. McGlew (Vice-Captain), W.R. Endean, R.A. McLean.</t>
  </si>
  <si>
    <t>Bradman, Donald, Sir, 1908-2001;Cricket players -- South Africa</t>
  </si>
  <si>
    <t>Bradman Collection;Bradman Collection : photographs</t>
  </si>
  <si>
    <t>b21072115</t>
  </si>
  <si>
    <t>Achilleus</t>
  </si>
  <si>
    <t>Photograph  14.9 cm x 10.9 cm</t>
  </si>
  <si>
    <t>Achilleus (Ship);Ships</t>
  </si>
  <si>
    <t>b21072371</t>
  </si>
  <si>
    <t>Adajo</t>
  </si>
  <si>
    <t>Photograph  13.6 cm x 8.8 cm</t>
  </si>
  <si>
    <t>Adajo (Ship);Ships</t>
  </si>
  <si>
    <t>b21071597</t>
  </si>
  <si>
    <t>Abraham Graetz</t>
  </si>
  <si>
    <t>Photograph  13 cm x 8 cm</t>
  </si>
  <si>
    <t>Abraham Graetz (Ship);Ships</t>
  </si>
  <si>
    <t>b21075372</t>
  </si>
  <si>
    <t>Alcinous</t>
  </si>
  <si>
    <t>Photograph  13.9 cm x 8.8 cm</t>
  </si>
  <si>
    <t>Alcinous (Ship);Ships</t>
  </si>
  <si>
    <t>b21072577</t>
  </si>
  <si>
    <t>Allobrogia</t>
  </si>
  <si>
    <t>Photograph  13.5 cm x 8.0 cm</t>
  </si>
  <si>
    <t>Allobrogia (Ship);Ships</t>
  </si>
  <si>
    <t>b21072681</t>
  </si>
  <si>
    <t>Almahrosa</t>
  </si>
  <si>
    <t>Almahrosa (Ship);Ships</t>
  </si>
  <si>
    <t>b21073594</t>
  </si>
  <si>
    <t>Alstertal</t>
  </si>
  <si>
    <t>Photograph  13.4 cm x 8.2 cm</t>
  </si>
  <si>
    <t>Alstertal (Ship);Ships</t>
  </si>
  <si>
    <t>b21073600</t>
  </si>
  <si>
    <t>Alstertor</t>
  </si>
  <si>
    <t>Photograph  13.4 cm x 7.2 cm</t>
  </si>
  <si>
    <t>Alstertor (Ship);Ships</t>
  </si>
  <si>
    <t>b2107026x</t>
  </si>
  <si>
    <t>Amerikanis</t>
  </si>
  <si>
    <t>Photograph  13.5 cm x 7.6 cm</t>
  </si>
  <si>
    <t>Amerikanis(Ship);Ships</t>
  </si>
  <si>
    <t>b21070271</t>
  </si>
  <si>
    <t>Photograph  14.1 cm x 8.8 cm</t>
  </si>
  <si>
    <t>b21070301</t>
  </si>
  <si>
    <t>Amerskerk</t>
  </si>
  <si>
    <t>Photograph  13.4 cm x 8.3 cm</t>
  </si>
  <si>
    <t>Amerskerk(Ship);Ships</t>
  </si>
  <si>
    <t>b21070313</t>
  </si>
  <si>
    <t>b21070325</t>
  </si>
  <si>
    <t>b21070386</t>
  </si>
  <si>
    <t>Amherst</t>
  </si>
  <si>
    <t>Amherst(Ship);Ships</t>
  </si>
  <si>
    <t>b21070398</t>
  </si>
  <si>
    <t>Photograph  13.2 cm x 7.9 cm</t>
  </si>
  <si>
    <t>b21070921</t>
  </si>
  <si>
    <t>Amstelkroon</t>
  </si>
  <si>
    <t>Photograph  13.1 cm x 7.7 cm</t>
  </si>
  <si>
    <t>Amstelkroon(Ship);Ships</t>
  </si>
  <si>
    <t>b2108189x</t>
  </si>
  <si>
    <t>Antilles</t>
  </si>
  <si>
    <t>Antilles (Ship);Ships</t>
  </si>
  <si>
    <t>b21083897</t>
  </si>
  <si>
    <t>Apollon</t>
  </si>
  <si>
    <t>Photograph  13.3 cm x 5.9 cm</t>
  </si>
  <si>
    <t>Apollon (Ship);Ships</t>
  </si>
  <si>
    <t>b21083903</t>
  </si>
  <si>
    <t>b21068707</t>
  </si>
  <si>
    <t>'Three Oaks' under construction</t>
  </si>
  <si>
    <t>View of the house 'Three Oaks', located at 68 Bay Road, Mount Gambier, under construction.</t>
  </si>
  <si>
    <t>Three Oaks (House : Mount Gambier, S.A.);House construction -- South Australia -- Mount Gambier;Buildings -- South Australia -- Mount Gambier</t>
  </si>
  <si>
    <t>b21100871</t>
  </si>
  <si>
    <t>New South Wales Bank</t>
  </si>
  <si>
    <t>Photograph of New South Wales bank in May 1952, Mount Gambier.</t>
  </si>
  <si>
    <t>Bank of New South Wales -- Buildings;Banks and banking -- South Australia -- Mount Gambier</t>
  </si>
  <si>
    <t>b21102090</t>
  </si>
  <si>
    <t>State homes in 1952</t>
  </si>
  <si>
    <t>Photograph of State homes in 1952, Mount Gambier.</t>
  </si>
  <si>
    <t>Dwellings -- South Australia -- Mount Gambier</t>
  </si>
  <si>
    <t>b21112721</t>
  </si>
  <si>
    <t>Photograph of Marg and Jeff Watkins and another man at the Manhattan Club in 1952, Mount Gambier.</t>
  </si>
  <si>
    <t>Watkins, Jeff;Watkins, Marg;Manhattan Club (Mount Gambier, S.A.)</t>
  </si>
  <si>
    <t>b21112769</t>
  </si>
  <si>
    <t>A.G. Sealey family</t>
  </si>
  <si>
    <t>Photograph of Mr and Mrs A.G. Sealey and their family at a social function in 1952, Mount Gambier.</t>
  </si>
  <si>
    <t>Sealey (Family);Sealey, A. G.</t>
  </si>
  <si>
    <t>b21163534</t>
  </si>
  <si>
    <t>June Christine Norman on her wedding day</t>
  </si>
  <si>
    <t>Photograph of June Christine Norman, who married Allen Leonard Dean,  taken in the studio on her wedding day on 19 January 1952.</t>
  </si>
  <si>
    <t>Norman, June Christine;Brides -- South Australia -- Mount Gambier;Wedding costume -- South Australia -- Mount Gambier</t>
  </si>
  <si>
    <t>b21165233</t>
  </si>
  <si>
    <t>Shirley Clayfield on her wedding day</t>
  </si>
  <si>
    <t>Photograph of Miss Shirley Clayfield on her wedding day to Mr Jack Berkefeld. [Identication provided by M. McKenzie].</t>
  </si>
  <si>
    <t>Clayfield, Shirley;Brides -- South Australia -- Mount Gambier;Wedding costume -- South Australia -- Mount Gambier</t>
  </si>
  <si>
    <t>b21165245</t>
  </si>
  <si>
    <t>J. Berkefeld on her wedding day</t>
  </si>
  <si>
    <t>Photograph of Miss Berkefeld taken in the studio on her wedding day.</t>
  </si>
  <si>
    <t>Berkefeld, J.;Brides -- South Australia -- Mount Gambier;Wedding costume -- South Australia -- Mount Gambier</t>
  </si>
  <si>
    <t>b21165257</t>
  </si>
  <si>
    <t>B. Balnaves on her wedding day</t>
  </si>
  <si>
    <t>Photograph of Miss Balnaves taken in the studio on her wedding day.</t>
  </si>
  <si>
    <t>b21168647</t>
  </si>
  <si>
    <t>G.H. (Ian) Tregoning</t>
  </si>
  <si>
    <t>Photograph of Master Tregoning taken in the studio in Mount Gambier in 1952. He is approximately four years old and is holding a toy dog.</t>
  </si>
  <si>
    <t>Tregoning, G. H.;Children -- South Australia -- Mount Gambier</t>
  </si>
  <si>
    <t>b21173898</t>
  </si>
  <si>
    <t>Frank and Joan Hoppenbrouwers</t>
  </si>
  <si>
    <t>Photograph of  Frank and Joan Hoppenbrouwers on their wedding day, 10 May 1952, taken in the studio in Mount Gambier.</t>
  </si>
  <si>
    <t>Hoppenbrouwers, Frank;Hoppenbrouwers, Joan</t>
  </si>
  <si>
    <t>b21183004</t>
  </si>
  <si>
    <t>John Williams</t>
  </si>
  <si>
    <t>Photograph of Mr and Mrs Williams and their four attendants on their wedding day in 1952. The dresses of the ladies are made of satin and the bridesmaids are wearing small hats.</t>
  </si>
  <si>
    <t>Williams, John;Brides -- South Australia -- Mount Gambier;Wedding costume -- South Australia -- Mount Gambier</t>
  </si>
  <si>
    <t>b21183028</t>
  </si>
  <si>
    <t>D. Scragg</t>
  </si>
  <si>
    <t>Photograph of Mrs Scragg and her two bridesmaids and flowergirl on her wedding day in 1952. The bridal gown is satin and lace and the bride's bouquet includes crysanthemums and fern.</t>
  </si>
  <si>
    <t>Scragg, D;Brides -- South Australia -- Mount Gambier;Wedding costume -- South Australia -- Mount Gambier</t>
  </si>
  <si>
    <t>b2118303x</t>
  </si>
  <si>
    <t>A.R. Dowdell</t>
  </si>
  <si>
    <t>Photograph of Mrs Dowdell taken on her wedding day in 1952.  The long lace and satin gown encircles the bride and she is carrying a large bouquet of flowers.</t>
  </si>
  <si>
    <t>Dowdell, A. R.;Brides -- South Australia -- Mount Gambier;Wedding costume -- South Australia -- Mount Gambier</t>
  </si>
  <si>
    <t>b21183041</t>
  </si>
  <si>
    <t>K. Turnbull</t>
  </si>
  <si>
    <t>Photograph of Mrs Turnbull on her wedding day with her two bridesmaids and flowergirl. The bride is wearing a long satin dress with a chiffon overlay and small buttons down the front.</t>
  </si>
  <si>
    <t>Turnbull, K.;Brides -- South Australia -- Mount Gambier;Wedding costume -- South Australia -- Mount Gambier</t>
  </si>
  <si>
    <t>b21183053</t>
  </si>
  <si>
    <t>R. Heuzenroeder</t>
  </si>
  <si>
    <t>Photograph of Mrs Heuzenroeder and her two attendants on her wedding day in 1952. All three are wearing long satin dresses and carrying posies of flowers.</t>
  </si>
  <si>
    <t>Heuzenroeder, R.;Brides -- South Australia -- Mount Gambier;Wedding costume -- South Australia -- Mount Gambier</t>
  </si>
  <si>
    <t>b21183065</t>
  </si>
  <si>
    <t>J. Berkefeld</t>
  </si>
  <si>
    <t>Photograph of Mr and Mrs Berkefeld and their four attendants, flowergirl and pageboy. The little boy is wearing a white satin suit and carrying a cushion. The attendant's dresses are made of lace.</t>
  </si>
  <si>
    <t>b21183077</t>
  </si>
  <si>
    <t>G.E. Buhlman</t>
  </si>
  <si>
    <t>Photograph of Mr and Mrs Buhlman and their seven attendants and young flowergirl taken on their wedding day in 1952. The ladies are all wearing long lace dresses.</t>
  </si>
  <si>
    <t>Buhlman, G. E.;Brides -- South Australia -- Mount Gambier;Wedding costume -- South Australia -- Mount Gambier</t>
  </si>
  <si>
    <t>b21183089</t>
  </si>
  <si>
    <t>T. Braithwaite</t>
  </si>
  <si>
    <t>Photograph of Mr and Mrs Braithwaite on their wedding day in 1952. The closeup photograph shows the couple seated in the studio.</t>
  </si>
  <si>
    <t>Braithwaite, T.;Brides -- South Australia -- Mount Gambier;Wedding costume -- South Australia -- Mount Gambier</t>
  </si>
  <si>
    <t>b21183090</t>
  </si>
  <si>
    <t>Photograph of the bride Mrs Braithwaite on her wedding day with her flowergirl. The bridal gown is fashioned from lattice pattern silk.</t>
  </si>
  <si>
    <t>b21183107</t>
  </si>
  <si>
    <t>A.W. Birks</t>
  </si>
  <si>
    <t>Photograph of Mr and Mrs Birks and their four attendants and flowergirl on their wedding day in 1952. The little girl is wearing a gathered bonnet and muff with her long silk dress.</t>
  </si>
  <si>
    <t>Birks, A. W.;Brides -- South Australia -- Mount Gambier;Wedding costume -- South Australia -- Mount Gambier</t>
  </si>
  <si>
    <t>b21183119</t>
  </si>
  <si>
    <t>P. Cullen</t>
  </si>
  <si>
    <t>Photograph of the bride Mrs Cullen with her three attendants on her wedding day in 1952. The bride's gown is made of lace and she is carrying a large bouquet of gladiolus.</t>
  </si>
  <si>
    <t>Cullen, P.;Brides -- South Australia -- Mount Gambier;Wedding costume -- South Australia -- Mount Gambier</t>
  </si>
  <si>
    <t>b21183120</t>
  </si>
  <si>
    <t>E.M. Altoffer</t>
  </si>
  <si>
    <t>Photograph of Mr and Mrs Altoffer and their four attendants on their wedding day in 1952. The bridal gown has a long lace train and the dresses of the attendants are full skirted and have lace tiers.</t>
  </si>
  <si>
    <t>Altoffer, E. M.;Brides -- South Australia -- Mount Gambier;Wedding costume -- South Australia -- Mount Gambier</t>
  </si>
  <si>
    <t>b21183132</t>
  </si>
  <si>
    <t>Photograph of the bride Mrs E.M. Altoffer seated in the studio on her wedding day in 1952.</t>
  </si>
  <si>
    <t>b21183144</t>
  </si>
  <si>
    <t>B. Taylor</t>
  </si>
  <si>
    <t>Photograph of Mr and Mrs B. Taylor and their two attendants on their wedding day in 1952. The bride is wearing a drop waisted silk flowing gown and is carrying a bouquet and good luck horse shoes.</t>
  </si>
  <si>
    <t>Taylor, B.;Brides -- South Australia -- Mount Gambier;Wedding costume -- South Australia -- Mount Gambier</t>
  </si>
  <si>
    <t>b21183156</t>
  </si>
  <si>
    <t>B.F. Balnaves</t>
  </si>
  <si>
    <t>Photograph of Mr and Mrs Balnaves on their wedding day in 1952.  The bride's long sleeved gown has tiers of lace on the skirt.</t>
  </si>
  <si>
    <t>Balnaves, B. F.;Brides -- South Australia -- Mount Gambier;Wedding costume -- South Australia -- Mount Gambier</t>
  </si>
  <si>
    <t>b21183168</t>
  </si>
  <si>
    <t>A.F. Ryan</t>
  </si>
  <si>
    <t>Photograph of the bride Mrs A.F. Ryan with her two attendants on her wedding day in 1952. The bride is carrying a small prayer book and a spray of flowers.  The lace dresses of the attendants have scalloped necklines and are worn with small matching hats.</t>
  </si>
  <si>
    <t>b2118317x</t>
  </si>
  <si>
    <t>M. Nash</t>
  </si>
  <si>
    <t>Photograph of the bride Mrs M. Nash on her wedding day in 1952. She is wearing a flowing silk dress with a lace train and is carrying a large bouquet of lilies.</t>
  </si>
  <si>
    <t>Nash, M.;Brides -- South Australia -- Mount Gambier;Wedding costume -- South Australia -- Mount Gambier</t>
  </si>
  <si>
    <t>b21183181</t>
  </si>
  <si>
    <t>I.M. Dow</t>
  </si>
  <si>
    <t>Photograph of Mr and Mrs Dow on their wedding day in 1952. The bride's gown has lace overlay and train over satin and she is carrying roses and good luck horse shoes.</t>
  </si>
  <si>
    <t>Dow, I. M.;Brides -- South Australia -- Mount Gambier;Wedding costume -- South Australia -- Mount Gambier</t>
  </si>
  <si>
    <t>b21183193</t>
  </si>
  <si>
    <t>Photograph of the bride Mrs N. Chuck with her two small bridesmaids on her wedding day in 1952. The girls are holding her lace and satin train.</t>
  </si>
  <si>
    <t>Chuck, N.;Brides -- South Australia -- Mount Gambier;Wedding costume -- South Australia -- Mount Gambier</t>
  </si>
  <si>
    <t>b21183934</t>
  </si>
  <si>
    <t>Von Stanke siblings</t>
  </si>
  <si>
    <t>Photograph of siblings from the Von Stanke family consisting of six girls and two boys taken in the studio in Mount Gambier in 1952. It shows  the Dickson girls and the Pulford boys (their mother married twice). Back row, left to right :Joan Dickson (married John Ridge), Tesna Dickson (married Harold Jones, Joyce Dickson (married Ehregott Von Stanke.  Front Row, left to right: Robert Pulford, Syliva Dickson (married Keith Ridge). Sitting: Kevin Pulford, Betty Dickson (married Ern Von Stanke).</t>
  </si>
  <si>
    <t>Von Stanke (Family);Dickson (Family);Pulford (Family)</t>
  </si>
  <si>
    <t>b21184768</t>
  </si>
  <si>
    <t>Atheletes from Mount Gambier High School</t>
  </si>
  <si>
    <t>Photograph of three boys and three girls atheletes from Mount Gambier High School.</t>
  </si>
  <si>
    <t>Mount Gambier High School (S.A.) -- Students;Athletes -- South Australia -- Mount Gambier</t>
  </si>
  <si>
    <t>b2118477x</t>
  </si>
  <si>
    <t>Photograph of thirteen boy and girl tennis players from Mount Gambier High School.</t>
  </si>
  <si>
    <t>b21184781</t>
  </si>
  <si>
    <t>Mount Gambier High School 'A' Cricket Team</t>
  </si>
  <si>
    <t>Mount Gambier High School 'A' Cricket Team. Standing L-R: R. Lane, K. Peacock, P. White, L. Finnis, D. Aston. Sitting L-R: G. Young, T. Kerslake, I. Ridland, P. Mitchell (Capt.), G. Ellis, D. Gordon, R. Martiensen.</t>
  </si>
  <si>
    <t>b21184793</t>
  </si>
  <si>
    <t>Senior boys from Mount Gambier High School</t>
  </si>
  <si>
    <t>Photograph of eight senior students from Mount Gambier High School in 1952.</t>
  </si>
  <si>
    <t>Mount Gambier High School (S.A.) -- Students</t>
  </si>
  <si>
    <t>b2118480x</t>
  </si>
  <si>
    <t>Mount Gambier High School 'A' Football Team</t>
  </si>
  <si>
    <t>Mount Gambier High School 'A' Football Team. Front Row L-R: G. Young, R. Hunter, L. Illsley, K. Howell. Second Row L-R: R. Laslett, G. Kuhl, P. White, G. Ellis (Capt.), P. Mitchell, L. Finnis, M. White. Third Row L-R: M. Davis, W. Judd, L. Ridland, K. Peacock, H. Meinck, R. Hayman. Back Row L-R: D. Bilney, D. Young, K. Stafford, T. Kerslake.</t>
  </si>
  <si>
    <t>Mount Gambier High School (S.A.) -- Students;Australian football players -- South Australia -- Mount Gambier;Australian football teams -- South Australia -- Mount Gambier</t>
  </si>
  <si>
    <t>b21184811</t>
  </si>
  <si>
    <t>Basketball A and B teams at Mount Gambier High School</t>
  </si>
  <si>
    <t>Photograph of A and B Girls basketball teams from Mount Gambier High School in 1952.</t>
  </si>
  <si>
    <t>b21184823</t>
  </si>
  <si>
    <t>Mount Gambier High School Library Committee</t>
  </si>
  <si>
    <t>Mt Gambier High School Library Committee of 1952. Includes 1st, 2nd and 3rd year students. Back Row L-R James Helmore, Gavin Downes, John Telford, Trevor John Mitchell (married Heather McKinnon), Bruce MacIntosh, Robert Sauders (married Rosalind Turner), John Hill. Middle Row L-R Helen Pratt, Helen Osborne, Heather Burston, Peggy D. Stevens (married Malcolm Schwarz), Judy Main (married Hamish Smith), Margaret Pitman. Front Row L-R Shirley Doreen Hinton (married Bryan Feast), Heather June Shelton (married John Allen), Margaret Vorwerk, Jenny Pitman, Dawn Watson, Janette Brown, unknown.</t>
  </si>
  <si>
    <t>b21184835</t>
  </si>
  <si>
    <t>Mount Gambier High School 'A' Baseball Team</t>
  </si>
  <si>
    <t>Mount Gambier High School 'A' Baseball Team with winning shield and cups. Standing L-R: Graham Taylor, A. Roderick, Donald Aston, Roger Klose. Sitting L-R: B. Burns, Robert Kay, Robert Martiensen (Capt.), Geoff Haines, Anthony Sellar, Trevor Bawden.</t>
  </si>
  <si>
    <t>Mount Gambier High School (S.A.) -- Students;Baseball players -- South Australia -- Mount Gambier</t>
  </si>
  <si>
    <t>b21184847</t>
  </si>
  <si>
    <t>Mount Gambier High School Girls hockey team</t>
  </si>
  <si>
    <t>Photograph of twelve girl team members from the hockey team at Mount Gambier High School.</t>
  </si>
  <si>
    <t>b21184884</t>
  </si>
  <si>
    <t>Senior girl students from Mount Gambier High School</t>
  </si>
  <si>
    <t>Photograph of eight girl students from Mount Gambier High School in 1952.</t>
  </si>
  <si>
    <t>b21227433</t>
  </si>
  <si>
    <t>Wandilo Cricket team</t>
  </si>
  <si>
    <t>Photograph of members of the Wandilo Cricket Team.</t>
  </si>
  <si>
    <t>Wandilo Cricket Club;Cricket players -- South Australia -- Wandilo</t>
  </si>
  <si>
    <t>b21186224</t>
  </si>
  <si>
    <t>Photograph of members of the South Gambier Cricket Club taken in the studio in Mount Gambier in 1952.</t>
  </si>
  <si>
    <t>South Gambier Cricket Club;Cricket players -- South Australia -- Mount Gambier</t>
  </si>
  <si>
    <t>b2118740x</t>
  </si>
  <si>
    <t>Mount Schank Cricket Club</t>
  </si>
  <si>
    <t>Photograph of members from the Mt Schank Cricket Club taken in 1952.</t>
  </si>
  <si>
    <t>Mount Schank Cricket Club;Cricket players -- South Australia -- Mount Gambier</t>
  </si>
  <si>
    <t>b21187423</t>
  </si>
  <si>
    <t>Photograph of members from the South Gambier Cricket Club taken in 1952.</t>
  </si>
  <si>
    <t>b21187435</t>
  </si>
  <si>
    <t>Photograph of members from the Yahl Cricket Club taken in 1952. Their young mascot holds a cricket ball.</t>
  </si>
  <si>
    <t>b21187903</t>
  </si>
  <si>
    <t>Gambier Scout Troop</t>
  </si>
  <si>
    <t>Photograph of boys and leaders from the Gambier Scout Troop taken in the studio in Mount Gambier in 1952.</t>
  </si>
  <si>
    <t>Boy Scouts -- South Australia -- Mount Gambier;Boys -- South Australia -- Mount Gambier</t>
  </si>
  <si>
    <t>b21187927</t>
  </si>
  <si>
    <t>Mount Gambier Wolf Cub Pack</t>
  </si>
  <si>
    <t>Photograph of cubs and leaders from the Mount Gambier Wolf Cub Pack taken in the studio in 1952.</t>
  </si>
  <si>
    <t>Cub Scouts -- South Australia -- Mount Gambier;Boy Scouts -- South Australia -- Mount Gambier</t>
  </si>
  <si>
    <t>b21192844</t>
  </si>
  <si>
    <t>Davis Brothers</t>
  </si>
  <si>
    <t>Photograph of stacks of tyres at the Davis Brothers Garage, 67 Commercial Street East, Mount Gambier, May 1952. There are car, motor bike and truck tyres.</t>
  </si>
  <si>
    <t>Davis Brothers Garage;Garages -- South Australia -- Mount Gambier;Automobiles -- Tires</t>
  </si>
  <si>
    <t>b2119287x</t>
  </si>
  <si>
    <t>Hustlers</t>
  </si>
  <si>
    <t>Photograph of the napery section of the Hustlers Department Shop in Mount Gambier in 1952.  On sale are rolls of material, sheets, towels and carpets. Some of material is nine shillings and threepence and some is seven shillings and elevenpence a yard.</t>
  </si>
  <si>
    <t>Hustlers Department Store;Department stores -- South Australia -- Mount Gambier;Display of merchandise -- South Australia -- Mount Gambier</t>
  </si>
  <si>
    <t>b21192881</t>
  </si>
  <si>
    <t>Photograph of a section of the Hustlers Department Shop in Mount Gambier in December 1952.  On sale are scarves, nightwear, hoisery, toys, hats, dresses and baskets.</t>
  </si>
  <si>
    <t>b21193137</t>
  </si>
  <si>
    <t>ANZ Bank Mount Gambier</t>
  </si>
  <si>
    <t>Photograph of the Australia and New Zealand Bank Limited which was formerly Union Bank. This building is opposite Fidlers in Mount Gambier. According to a researcher, this building has since been demolished.</t>
  </si>
  <si>
    <t>Australia and New Zealand Banking Group -- Buildings;Banks and banking -- South Australia -- Mount Gambier</t>
  </si>
  <si>
    <t>b21195286</t>
  </si>
  <si>
    <t>Hustlers Store Mount Gambier</t>
  </si>
  <si>
    <t>Photograph of the outside of the Hustlers Store in Mount Gambier in 1952. The photograph was taken at night and the light from the display windows is shining into the street.</t>
  </si>
  <si>
    <t>b21195407</t>
  </si>
  <si>
    <t>Bonds Tours of Mount Gambier</t>
  </si>
  <si>
    <t>Photograph of the offices of Bonds Tours in Bay Road in Mount Gambier.  The photograph was taken at night with the office lights spilling into the street.  A Bonds Greyhound Lines coach is parked in the entrance. Tours to Portland, The Lakes, day trips in and around Mount Gambier are offered for sale.</t>
  </si>
  <si>
    <t>Bonds Tours;Buses -- South Australia -- Mount Gambier</t>
  </si>
  <si>
    <t>b21195912</t>
  </si>
  <si>
    <t>Highland Ball debutantes</t>
  </si>
  <si>
    <t>Photograph of eight debutantes and their partners dressed for the Highland Ball held in Mount Gambier in 1952. There are also two young girls in highland costume.</t>
  </si>
  <si>
    <t>b21195936</t>
  </si>
  <si>
    <t>Freemason Lodge debutantes</t>
  </si>
  <si>
    <t>Photograph of five ladies making their debut with their partners at the Ball at the Freemason Lodge in Mount Gambier in August 1952.</t>
  </si>
  <si>
    <t>b21195948</t>
  </si>
  <si>
    <t>Photograph of fourteen students from Mount Gambier High School making their debut in 1952.</t>
  </si>
  <si>
    <t>b2119595x</t>
  </si>
  <si>
    <t>b2119600x</t>
  </si>
  <si>
    <t>Christ Church debutantes</t>
  </si>
  <si>
    <t>Photograph of six debutantes and their partners before the Ball held in Mount Gambier in 1952.</t>
  </si>
  <si>
    <t>b21196011</t>
  </si>
  <si>
    <t>Mount Gambier Convent debutantes</t>
  </si>
  <si>
    <t>Photograph of six debutantes and their chaperone before making their debut in Mount Gambier in 1952.</t>
  </si>
  <si>
    <t>b30131844</t>
  </si>
  <si>
    <t>Ragless, G. B.</t>
  </si>
  <si>
    <t>Almond blossom</t>
  </si>
  <si>
    <t>1 photograph : black and white   15.9 x 20.9 cm;OUTSIZE 1;still image sti rdacontent;unmediated n rdamedia;sheet nb rdacarrier</t>
  </si>
  <si>
    <t>Almond blossom at 'Wattiparinga', Clovelly Park. A young lady is standing amongst the trees. To see a selection of photographs in this collection, search on Archival number PRG 1631/99.</t>
  </si>
  <si>
    <t>Almond -- South Australia;Trees -- South Australia -- Clovelly Park;Clovelly Park (S.A.)</t>
  </si>
  <si>
    <t>Margaret E. Ragless Collection;Clovelly Park Collection</t>
  </si>
  <si>
    <t>b30850101</t>
  </si>
  <si>
    <t>Championship Senior Eight</t>
  </si>
  <si>
    <t>1 photograph : black and white   25.3 x 20.1 cm;RESERVE 1 a;still image sti rdacontent;unmediated n rdamedia;sheet nb rdacarrier</t>
  </si>
  <si>
    <t>A.C. Davis (cox), G.D. Coldwell (str.), R. Lepley (7), K.L. Coldwell (6), J. Hill, W. Mayfield (4), Don Simpson (3), R.K. Coldwell (2), E. Tucker (bow).</t>
  </si>
  <si>
    <t>b30247196</t>
  </si>
  <si>
    <t>King's Cup crew</t>
  </si>
  <si>
    <t>1 photograph : blue and white   17.8 x 13 cm;still image sti rdacontent;unmediated n rdamedia;sheet nb rdacarrier</t>
  </si>
  <si>
    <t>Crew of the 1952 Keith Coldwell King's Cup team. The 1952 event was held in New South Wales.</t>
  </si>
  <si>
    <t>b30247500</t>
  </si>
  <si>
    <t>Christening the four 'V.C. Cawte'.</t>
  </si>
  <si>
    <t>1 photograph : black and white   24.2 x 17.6 cm;still image sti rdacontent;unmediated n rdamedia;sheet nb rdacarrier</t>
  </si>
  <si>
    <t>Christening the 'V. C. Cawte', season 1952-1953. V.C. Cawte (President), M. Flavel, R. Webb, Mrs Cawte, G. Coldwell (Captain).</t>
  </si>
  <si>
    <t>Cawte, V. C.;Port Adelaide Rowing Club;Rowing -- South Australia -- Port Adelaide</t>
  </si>
  <si>
    <t>b30247937</t>
  </si>
  <si>
    <t>Christening the eight</t>
  </si>
  <si>
    <t>1 photograph : black and white   23 x 18.8 cm;still image sti rdacontent;unmediated n rdamedia;sheet nb rdacarrier</t>
  </si>
  <si>
    <t>Christening the eight, J.H. Clouston, opening day season 1952-1953. G.D. Coldwell (captain), E. Tucker, R. Leply, Mrs Fotheringham.</t>
  </si>
  <si>
    <t>b30249855</t>
  </si>
  <si>
    <t>Champion Senior and Junior Fours season 1952 to 1953</t>
  </si>
  <si>
    <t>1 photograph : black and white   16.8 x 12 cm;still image sti rdacontent;unmediated n rdamedia;sheet nb rdacarrier</t>
  </si>
  <si>
    <t>R. Lepley (bow), W. Mayfield, R. Simpson (str.), G. Coldwell (cox), C. Davis.</t>
  </si>
  <si>
    <t>b30250651</t>
  </si>
  <si>
    <t>Championship Senior Eight season 1952 to 1953</t>
  </si>
  <si>
    <t>1 photograph : black and white,   13 x 18 cm;still image sti rdacontent;unmediated n rdamedia;sheet nb rdacarrier</t>
  </si>
  <si>
    <t>E. Tucker (bow), R. Coldwell, R. Simpson, W. Mayfield, J. Hill, K. Coldwell, R. Lepley, G. Coldwell (str.), C. Davis (cox).</t>
  </si>
  <si>
    <t>b31995962</t>
  </si>
  <si>
    <t>[approximately 1952]</t>
  </si>
  <si>
    <t>1 photograph : black and white   16 x 21 cm;RESERVE 1;still image sti rdacontent;unmediated n rdamedia;sheet nb rdacarrier;Photograph (print) black and white</t>
  </si>
  <si>
    <t>Sir Keith Smith seated at a desk. Photograph very similar to PRG 18/56/55 and PRG 18/56/63</t>
  </si>
  <si>
    <t>b31995780</t>
  </si>
  <si>
    <t>Sir Keith Smith seated at a desk. Photograph very similar to PRG 18/56/55 and PRG 18/56/64</t>
  </si>
  <si>
    <t>b31995743</t>
  </si>
  <si>
    <t>Lady Anita Smith</t>
  </si>
  <si>
    <t>1 photograph : black and white   15.8 x 16 cm;RESERVE 1;still image sti rdacontent;unmediated n rdamedia;sheet nb rdacarrier;Photograph (print) black and white</t>
  </si>
  <si>
    <t>Lady Anita Smith. Photograph by Anthony Denney of Vogue Studio, London, for Conde Nast Publications Ltd.</t>
  </si>
  <si>
    <t>Smith, Anita, Lady, 1894-1986</t>
  </si>
  <si>
    <t>b31994854</t>
  </si>
  <si>
    <t>Sir Keith Smith. Photograph by Anthony Denney of Vogue Studio, London, for Conde Nast Publications Ltd.</t>
  </si>
  <si>
    <t>b31126443</t>
  </si>
  <si>
    <t>Richard Anderson gravestone</t>
  </si>
  <si>
    <t>[Approximately 1952]</t>
  </si>
  <si>
    <t>Richard (Dick) Anderson's gravestone in a cemetery. He was married to Ethel Victoria Diamond Anderson (later Verco), and died in 1957.</t>
  </si>
  <si>
    <t>Anderson, Richard Outram.;Sepulchral monuments -- South Australia.</t>
  </si>
  <si>
    <t>b31244841</t>
  </si>
  <si>
    <t>Violet Edith Murray in nursing uniform, Woodside Hospital</t>
  </si>
  <si>
    <t>1 photograph (digital copy) : black and white;still image sti rdacontent;computer c rdamedia;online resource cr rdacarrier;image file TIFF 70.1 mb 4195 x 5843 pixels.</t>
  </si>
  <si>
    <t>Digital copy of a black and white photograph of Violet Edith Murray in nursing uniform, believed to be at the Woodside hospital, where Violet worked prior to her marriage.</t>
  </si>
  <si>
    <t>Murray, Violet Edith, 1935-1997;Nurses -- South Australia -- Woodside;Women -- South Australia -- Woodside</t>
  </si>
  <si>
    <t>Woodside Collection;Portrait Collection</t>
  </si>
  <si>
    <t>b21076613</t>
  </si>
  <si>
    <t>Aliki Livanos</t>
  </si>
  <si>
    <t>Photograph  13.3 cm x 8.2 cm</t>
  </si>
  <si>
    <t>Aliki Livanos (Ship);Ships</t>
  </si>
  <si>
    <t>b21074422</t>
  </si>
  <si>
    <t>Amar</t>
  </si>
  <si>
    <t>Photograph  13.7 cm x 8.7 cm</t>
  </si>
  <si>
    <t>Amar (Ship);Ships</t>
  </si>
  <si>
    <t>b21074914</t>
  </si>
  <si>
    <t>Amber</t>
  </si>
  <si>
    <t>Amber (Ship);Ships</t>
  </si>
  <si>
    <t>b21076996</t>
  </si>
  <si>
    <t>Anastasis</t>
  </si>
  <si>
    <t>Photograph  14.1 cm x 8.9 cm</t>
  </si>
  <si>
    <t>Anastasis (Ship);Ships</t>
  </si>
  <si>
    <t>b21078385</t>
  </si>
  <si>
    <t>Anega</t>
  </si>
  <si>
    <t>Anega (Ship);Ships</t>
  </si>
  <si>
    <t>b21078440</t>
  </si>
  <si>
    <t>Angel Park</t>
  </si>
  <si>
    <t>Angel Park (Ship);Ships</t>
  </si>
  <si>
    <t>b21077940</t>
  </si>
  <si>
    <t>Andrea Doria</t>
  </si>
  <si>
    <t>Andrea Doria (Ship);Ships</t>
  </si>
  <si>
    <t>b21081141</t>
  </si>
  <si>
    <t>Anna Taylor</t>
  </si>
  <si>
    <t>Photograph  13.9 cm x 8.6 cm</t>
  </si>
  <si>
    <t>Anna Taylor (Ship);Ships</t>
  </si>
  <si>
    <t>b21081918</t>
  </si>
  <si>
    <t>b21084130</t>
  </si>
  <si>
    <t>Appledore</t>
  </si>
  <si>
    <t>Photograph  12.9 cm x 7.7 cm</t>
  </si>
  <si>
    <t>Appledore (Ship);Ships</t>
  </si>
  <si>
    <t>b21084531</t>
  </si>
  <si>
    <t>Aramac</t>
  </si>
  <si>
    <t>Photograph  11.8 cm x 7.8 cm</t>
  </si>
  <si>
    <t>Aramac (Ship);Ships</t>
  </si>
  <si>
    <t>b21102077</t>
  </si>
  <si>
    <t>Fitzgerald residence in 1953</t>
  </si>
  <si>
    <t>Photograph of the Fitzgerald residence in 1953, Mount Gambier.</t>
  </si>
  <si>
    <t>b21102089</t>
  </si>
  <si>
    <t>Sunnyside House</t>
  </si>
  <si>
    <t>Photograph of Sunnyside House in 1953, Mount Gambier.</t>
  </si>
  <si>
    <t>Sunnyside (House : Mount Gambier, S.A.);Dwellings -- South Australia -- Mount Gambier</t>
  </si>
  <si>
    <t>b21102727</t>
  </si>
  <si>
    <t>Shell Film Unit</t>
  </si>
  <si>
    <t>Photograph of equipment being loaded into the film unit van.</t>
  </si>
  <si>
    <t>Shell Company of Australia;Motion pictures -- South Australia -- Mount Gambier</t>
  </si>
  <si>
    <t>b21102739</t>
  </si>
  <si>
    <t>Mount Gambier Airport</t>
  </si>
  <si>
    <t>Photograph of Ansett Airways aeroplane at Mount Gambier Airport.</t>
  </si>
  <si>
    <t>Ansett Airlines of Australia;Airplanes -- South Australia -- Mount Gambier;Airports -- South Australia -- Mount Gambier</t>
  </si>
  <si>
    <t>b21102740</t>
  </si>
  <si>
    <t>Sunshine Motors</t>
  </si>
  <si>
    <t>Photograph of a group of staff outside Sunshine Motors, Mount Gambier.</t>
  </si>
  <si>
    <t>b21102752</t>
  </si>
  <si>
    <t>J. Hewill</t>
  </si>
  <si>
    <t>Photograph of two men on horseback in a paddock with cattle.</t>
  </si>
  <si>
    <t>Hewill, J.;Cattle -- South Australia -- Mount Gambier;Horsemen and horsewomen -- South Australia -- Mount Gambier</t>
  </si>
  <si>
    <t>b21102788</t>
  </si>
  <si>
    <t>Mobile Film Unit</t>
  </si>
  <si>
    <t>Photograph of the Mobile Film Unit van outside a farm building.</t>
  </si>
  <si>
    <t>Motion pictures -- South Australia -- Mount Gambier;Farm buildings -- South Australia -- Mount Gambier</t>
  </si>
  <si>
    <t>b2110279x</t>
  </si>
  <si>
    <t>Lange's Garage</t>
  </si>
  <si>
    <t>Photograph of Lange's garage, Mount Gambier.</t>
  </si>
  <si>
    <t>Lange's Garage (Mount Gambier, S.A.);Garages -- South Australia -- Mount Gambier</t>
  </si>
  <si>
    <t>b21102806</t>
  </si>
  <si>
    <t>b21102818</t>
  </si>
  <si>
    <t>Photograph of a man talking to a lady with two dogs at the front gate of a house.</t>
  </si>
  <si>
    <t>Hewill, J.;Gates -- South Australia -- Mount Gambier;Dogs -- South Australia -- Mount Gambier</t>
  </si>
  <si>
    <t>b2110282x</t>
  </si>
  <si>
    <t>Photograph of men seated at a formal dinner for Sunshine Motors.</t>
  </si>
  <si>
    <t>Sunshine Motors (Mount Gambier, S.A.) -- Employees;Dinners and dining -- South Australia -- Mount Gambier</t>
  </si>
  <si>
    <t>b21102831</t>
  </si>
  <si>
    <t>Photograph of a film being shown to an audience in a church hall.</t>
  </si>
  <si>
    <t>Motion pictures -- South Australia -- Mount Gambier;Halls -- South Australia -- Mount Gambier</t>
  </si>
  <si>
    <t>b21102867</t>
  </si>
  <si>
    <t>Radiata</t>
  </si>
  <si>
    <t>Photograph of radiata pine planks loaded on a truck at a timber yard.</t>
  </si>
  <si>
    <t>Timber industry and trade -- South Australia -- Mount Gambier</t>
  </si>
  <si>
    <t>b21102909</t>
  </si>
  <si>
    <t>J. Holland &amp; Company</t>
  </si>
  <si>
    <t>Photograph of an industrial building.</t>
  </si>
  <si>
    <t>J. Holland &amp; Company (Firm)</t>
  </si>
  <si>
    <t>b2110508x</t>
  </si>
  <si>
    <t>Presbyterian</t>
  </si>
  <si>
    <t>Photograph of a group of parishioners outside the Presbyterian Church in Mount Gambier in 1953.</t>
  </si>
  <si>
    <t>Presbyterian Church -- South Australia -- Mount Gambier;Presbyterians -- South Australia -- Mount Gambier</t>
  </si>
  <si>
    <t>b21105091</t>
  </si>
  <si>
    <t>b21105108</t>
  </si>
  <si>
    <t>Photograph of a group of girls and boys outside the Presbyterian Church in Mount Gambier in 1953.</t>
  </si>
  <si>
    <t>Children -- South Australia -- Mount Gambier;Presbyterians -- South Australia -- Mount Gambier;Presbyterian Church -- South Australia -- Mount Gambier</t>
  </si>
  <si>
    <t>b2110511x</t>
  </si>
  <si>
    <t>b21105133</t>
  </si>
  <si>
    <t>Photograph of many young children outside the Presbyterian Church in Mount Gambier in 1953.</t>
  </si>
  <si>
    <t>b21112605</t>
  </si>
  <si>
    <t>K. England</t>
  </si>
  <si>
    <t>Photograph of a bridal couple, one of them K. England, leaving a Presbyterian Church in Mount Gambier after their wedding.</t>
  </si>
  <si>
    <t>England, K.;Brides -- South Australia -- Mount Gambier;Presbyterian Church -- South Australia -- Mount Gambier;Wedding costume -- South Australia -- Mount Gambier</t>
  </si>
  <si>
    <t>b21112617</t>
  </si>
  <si>
    <t>Denis Hall - cricketer</t>
  </si>
  <si>
    <t>Photograph of a young Denis Hall as a schoolboy holding a cricket bat in 1953, Mount Gambier.</t>
  </si>
  <si>
    <t>Hall, Denis;Cricket players -- South Australia -- Mount Gambier</t>
  </si>
  <si>
    <t>b21112629</t>
  </si>
  <si>
    <t>J. Hewgill</t>
  </si>
  <si>
    <t>Photograph of a lady and two men with two horses and four dogs on a property in 1953, Mount Gambier.</t>
  </si>
  <si>
    <t>Hewgill, J.;Horsemen and horsewomen -- South Australia -- Mount Gambier;Dogs -- South Australia -- Mount Gambier;Horses -- South Australia -- Mount Gambier</t>
  </si>
  <si>
    <t>b21112642</t>
  </si>
  <si>
    <t>R. Elliott</t>
  </si>
  <si>
    <t>Photograph of a bride and groom entering a wedding car in 1953, Mount Gambier.</t>
  </si>
  <si>
    <t>Elliott, R.;Brides -- South Australia -- Mount Gambier;Wedding costume -- South Australia -- Mount Gambier</t>
  </si>
  <si>
    <t>b21112654</t>
  </si>
  <si>
    <t>G.P. Horrigan</t>
  </si>
  <si>
    <t>Photograph of Mr and Mrs G.P. Horrigan after their wedding at the Catholic Church in 1953, Mount Gambier.</t>
  </si>
  <si>
    <t>Horrigan, G. P.;Catholic Church -- South Australia -- Mount Gambier;Brides -- South Australia -- Mount Gambier;Wedding costume -- South Australia -- Mount Gambier</t>
  </si>
  <si>
    <t>b21112666</t>
  </si>
  <si>
    <t>Photograph of the wedding party and guests of J. Berkefeld in 1953, Mount Gambier.</t>
  </si>
  <si>
    <t>Berkefeld, J.;Brides -- South Australia -- Mount Gambier;Weddings -- South Australia -- Mount Gambier</t>
  </si>
  <si>
    <t>b21112678</t>
  </si>
  <si>
    <t>A. B. Harvey and family</t>
  </si>
  <si>
    <t>Photograph of a wife and three children, possibly wife is A.B. Harvey in 1953, Mount Gambier.</t>
  </si>
  <si>
    <t>Harvey, A. B.;Harvey (Family)</t>
  </si>
  <si>
    <t>b21112691</t>
  </si>
  <si>
    <t>Mr and Mrs J. Hewill</t>
  </si>
  <si>
    <t>Photograph of Mr and Mrs J. Hewill in their sitting room in 1853, Mount Gambier.</t>
  </si>
  <si>
    <t>Hewill, J.;Hewill, Mrs</t>
  </si>
  <si>
    <t>b21112708</t>
  </si>
  <si>
    <t>Denis Hall</t>
  </si>
  <si>
    <t>Photograph of Denis Hall in his school uniform with his cricket bat in 1953, Mount Gambier.</t>
  </si>
  <si>
    <t>Hall, Denis;Cricket players  -- South Australia -- Mount Gambier</t>
  </si>
  <si>
    <t>b21112733</t>
  </si>
  <si>
    <t>Mr and Mrs H.G. Wright</t>
  </si>
  <si>
    <t>Photograph of Mr and Mrs H.G. Wright after their marriage in 1953, Mount Gambier.</t>
  </si>
  <si>
    <t>Wright, H. G.;Brides -- South Australia -- Mount Gambier;Wedding costume -- South Australia -- Mount Gambier</t>
  </si>
  <si>
    <t>b21113944</t>
  </si>
  <si>
    <t>Laught Garden Party</t>
  </si>
  <si>
    <t>Photograph of several ladies at the Laught Garden Party in 1953, Mount Gambier.</t>
  </si>
  <si>
    <t>Entertaining -- South Australia -- Mount Gambier</t>
  </si>
  <si>
    <t>b21113956</t>
  </si>
  <si>
    <t>Manhattan Frank Cleves Band</t>
  </si>
  <si>
    <t>Photograph of members of the jazz band, the Frank Cleves Band, playing at the Manhattan Dance Club in 1953, Mount Gambier. Couples are dancing on the dancefloor.</t>
  </si>
  <si>
    <t>Cleves, Frank;Manhattan Club (Mount Gambier, S.A.);Jazz -- South Australia</t>
  </si>
  <si>
    <t>b21114006</t>
  </si>
  <si>
    <t>Photograph of a group of ladies at the Laught Garden Party in 1953, Mount Gambier.</t>
  </si>
  <si>
    <t>b21114389</t>
  </si>
  <si>
    <t>Mobil Quest</t>
  </si>
  <si>
    <t>Photograph of  six men and three ladies, possibly winners of the 1953 Mobil Talent Quest, about to board an Ansett Airways aeroplane.</t>
  </si>
  <si>
    <t>Mobil Talent Quest;Music -- Competitions -- South Australia -- Mount Gambier</t>
  </si>
  <si>
    <t>b21114390</t>
  </si>
  <si>
    <t>Photograph of four men and two ladies, possibly winners of the 1953 Mobil Talent Quest about to board an Ansett Airways aeroplane.</t>
  </si>
  <si>
    <t>b2112131x</t>
  </si>
  <si>
    <t>Photograph of a cabaret act at the Manhattan Club 1953, Mount Gambier.</t>
  </si>
  <si>
    <t>b21121321</t>
  </si>
  <si>
    <t>Photograph of a comedy cabaret act at the Manhattan Club 1953, Mount Gambier.</t>
  </si>
  <si>
    <t>b21121333</t>
  </si>
  <si>
    <t>b21121394</t>
  </si>
  <si>
    <t>Photograph of a man dressed as a baby in a pram - part of the comedy cabaret act at the Manhattan Club in 1953, Mount Gambier.</t>
  </si>
  <si>
    <t>b21121436</t>
  </si>
  <si>
    <t>Photograph of Ken McPherson during a comedy act at the Manhattan Club in Mount Gambier.</t>
  </si>
  <si>
    <t>McPherson, Ken;Manhattan Club (Mount Gambier, S.A.)</t>
  </si>
  <si>
    <t>b21128728</t>
  </si>
  <si>
    <t>Miss Zanchetta</t>
  </si>
  <si>
    <t>Miss Zanchetta in her bridal dress and pearl diadem, taken in the studio in Mount Gambier in 1953.</t>
  </si>
  <si>
    <t>Zanchetta, Miss;Brides -- South Australia -- Mount Gambier</t>
  </si>
  <si>
    <t>b2116664x</t>
  </si>
  <si>
    <t>Laslett family</t>
  </si>
  <si>
    <t>Photograph of the Laslett family consisting of (L to R): Robert Lacy Laslett (born 1940), Muriel Elisabeth Laslett (born 1911), John Victor Laslett (b 1952), Rosalie Elisabeth Laslett (b 1942), John Lacy Laslett (b 1911), Kym Trenton Laslett (b 1947). Taken at Arthur studio at Mount Gambier in 1953 but the family was living at Snowtown at the time.</t>
  </si>
  <si>
    <t>Laslett, J. L.;Laslett (Family);Children -- Clothing -- South Australia -- Mount Gambier</t>
  </si>
  <si>
    <t>b21182917</t>
  </si>
  <si>
    <t>Photograph of Mr and Mrs J.R. Wilson on their wedding day in 1953 with their two attendants. The bridal gown is made from satin with lace trim.</t>
  </si>
  <si>
    <t>Wilson, J. R.;Brides -- South Australia -- Mount Gambier;Wedding costume -- South Australia -- Mount Gambier</t>
  </si>
  <si>
    <t>b21182930</t>
  </si>
  <si>
    <t>Peggy Meertens</t>
  </si>
  <si>
    <t>Photograph of the bride Peggy Meertens (Mrs Sid Williams) of Millicent  on her wedding day in 1953. Her long satin gown and veil encircles her feet.</t>
  </si>
  <si>
    <t>Meertens, Peggy;Brides -- South Australia -- Mount Gambier;Wedding costume -- South Australia -- Mount Gambier</t>
  </si>
  <si>
    <t>b21182942</t>
  </si>
  <si>
    <t>L. Zeitlhofer</t>
  </si>
  <si>
    <t>Photograph of Mr and Mrs Zeitlhofer on their wedding day in 1953. The bride is wearing a short dress and is carrying a spray of orchids and a horse shoe for luck.</t>
  </si>
  <si>
    <t>Zeithofer, L.;Brides -- South Australia -- Mount Gambier;Wedding costume -- South Australia -- Mount Gambier</t>
  </si>
  <si>
    <t>b21182954</t>
  </si>
  <si>
    <t>R.J. Whitehead</t>
  </si>
  <si>
    <t>Photograph of the bride Mrs Whitehead on her wedding day in 1953. The lace train of her gown encircles her and she is carrying a large bouquet of flowers and a good luck horse shoe.</t>
  </si>
  <si>
    <t>Whitehead, R. J.;Brides -- South Australia -- Mount Gambier;Wedding costume -- South Australia -- Mount Gambier</t>
  </si>
  <si>
    <t>b21182966</t>
  </si>
  <si>
    <t>R.L. Wilson</t>
  </si>
  <si>
    <t>Photograph of Mrs R.L. Wilson and her five attendants on her wedding day in 1953. The group includes two matrons of honour, two bridesmaids and a small flowergirl. The bride is wearing a long lace dress with a train and a mid-length veil. The attendants are wearing long dresses with puff sleeves and floral head pieces.</t>
  </si>
  <si>
    <t>Wilson, R. L.;Brides -- South Australia -- Mount Gambier;Wedding costume -- South Australia -- Mount Gambier</t>
  </si>
  <si>
    <t>b21182978</t>
  </si>
  <si>
    <t>J.R. Wallis</t>
  </si>
  <si>
    <t>Photograph of the bride Mrs Wallis with her two attendants and flowergirl on her wedding day in 1953. The bride is wearing a satin dress with buttons down the front and a long train and veil. The two attendants are wearing short sleeved dresses with long skirts and lace overlays and hats.</t>
  </si>
  <si>
    <t>Wallis, J. R.;Brides -- South Australia -- Mount Gambier;Wedding costume -- South Australia -- Mount Gambier</t>
  </si>
  <si>
    <t>b2118298x</t>
  </si>
  <si>
    <t>E.H. Whitehead</t>
  </si>
  <si>
    <t>Photograph of the bride Mrs Whitehead with her matron of honour and flowergirl on her wedding day in 1953. The bride is wearing a lace dress with a long train and a mid-length veil. Her attendants wear long dresses with short sleeves and hair pieces. The flowergirl is holding a large basket of flowers.</t>
  </si>
  <si>
    <t>Whitehead, E. H.;Brides -- South Australia -- Mount Gambier;Wedding costume -- South Australia -- Mount Gambier</t>
  </si>
  <si>
    <t>b21182991</t>
  </si>
  <si>
    <t>D.R. Williams</t>
  </si>
  <si>
    <t>Photograph of Mr and Mrs D.R. Williams on their wedding day in 1953. The long bridal gown has short sleeves and the long veil is finely embroidered and held in place by a coronet.</t>
  </si>
  <si>
    <t>Williams, D. R.;Brides -- South Australia -- Mount Gambier;Wedding costume -- South Australia -- Mount Gambier</t>
  </si>
  <si>
    <t>b21183016</t>
  </si>
  <si>
    <t>F. Waters</t>
  </si>
  <si>
    <t>Photograph of Mr and Mrs Waters and their four attendants and flowergirl on their wedding day in 1953. The bridal gown has a lace overlay and train.</t>
  </si>
  <si>
    <t>Waters, F.;Brides -- South Australia -- Mount Gambier;Wedding costume -- South Australia -- Mount Gambier</t>
  </si>
  <si>
    <t>b21183314</t>
  </si>
  <si>
    <t>L. Klik</t>
  </si>
  <si>
    <t>Photograph of Mr and Mrs L. Klik on their wedding day with two attendants and two young bridesmaids. The bride's gown is strapless and she is wearing long gloves and a long veil.</t>
  </si>
  <si>
    <t>Klik, L.;Brides -- South Australia -- Mount Gambier;Wedding costume -- South Australia -- Mount Gambier</t>
  </si>
  <si>
    <t>b21183338</t>
  </si>
  <si>
    <t>J.B. Kennett</t>
  </si>
  <si>
    <t>Photograph of the bride Mrs J.B. Kennett on her wedding day in 1953. Her bridal gown has many ruffles and panels of lace. The long train encircles the bride.</t>
  </si>
  <si>
    <t>Kennett, J. B.;Brides -- South Australia -- Mount Gambier;Wedding costume -- South Australia -- Mount Gambier</t>
  </si>
  <si>
    <t>b2118334x</t>
  </si>
  <si>
    <t>K. Dwyer</t>
  </si>
  <si>
    <t>Photograph of the bride Mrs K. Dwyer taken on her wedding day in 1953.  Her lace and chiffon gown is worn with a long veil.</t>
  </si>
  <si>
    <t>Dwyer, K.;Brides -- South Australia -- Mount Gambier;Wedding costume -- South Australia -- Mount Gambier</t>
  </si>
  <si>
    <t>b21183430</t>
  </si>
  <si>
    <t>Colin and Verna Gilmore</t>
  </si>
  <si>
    <t>Photograph of Mr Colin Gilmore and his bride, formerly Miss Verna Patzel, and their four attendants on their wedding day in 1953. The lace bridal gown has short sleeves and the bride is carrying a bouquet of lilies and good luck horse shoes.</t>
  </si>
  <si>
    <t>Gilmore, Colin;Gilmore, Verna;Brides -- South Australia -- Mount Gambier;Wedding costume -- South Australia -- Mount Gambier</t>
  </si>
  <si>
    <t>b21183508</t>
  </si>
  <si>
    <t>D. Kilsby</t>
  </si>
  <si>
    <t>Wedding photo of Mrs Dene Kilsby (nee Wallace) taken on 28th March 1953. Bridesmaids from left to right: Jean Wallace, Elva Lucas (flower girl), Shirley Crouch, and Betty Wallace.</t>
  </si>
  <si>
    <t>Kilsby, Dene, Mrs;Brides -- South Australia -- Mount Gambier;Wedding costume -- South Australia -- Mount Gambier</t>
  </si>
  <si>
    <t>b21183880</t>
  </si>
  <si>
    <t>R. Walker</t>
  </si>
  <si>
    <t>Photograph of Mr and Mrs R. Walker with their six sons and baby daughter taken in the studio in Mount Gambier in 1953.  The ages of the sons range from approximately five to approximately eighteen years old.  The baby girl is possibly eleven months old.</t>
  </si>
  <si>
    <t>Walker, R.;Walker (Family)</t>
  </si>
  <si>
    <t>b21183909</t>
  </si>
  <si>
    <t>A.M. Williams</t>
  </si>
  <si>
    <t>Photograph of Mr and Mrs A.M. Williams and their family of three sons and two daughters taken in 1953 when they were dressed for a formal occasion. Mrs Williams is wearing a corsage with her suit and two of her sons are wearing a sprig of blossom in their lapels.</t>
  </si>
  <si>
    <t>Williams, A. M.;Williams (Family)</t>
  </si>
  <si>
    <t>b21183910</t>
  </si>
  <si>
    <t>G.T. Kilsby</t>
  </si>
  <si>
    <t>Photograph of seven men and a lady one of which is G.T. Kilsby taken in the studio in Mount Gambier in 1953.  The photograph possibly depicts adult siblings from the Kilsby family.</t>
  </si>
  <si>
    <t>Kilsby, G. T.;Kilsby (Family)</t>
  </si>
  <si>
    <t>b21183971</t>
  </si>
  <si>
    <t>Wittwer family</t>
  </si>
  <si>
    <t>Photograph of Mr and Mrs E.G. Wittwer with their two daughters and two sons taken in the studio in Mount Gambier in 1953.  The ages of the children range from approximately thirteen to five years.</t>
  </si>
  <si>
    <t>Wittwer (Family)</t>
  </si>
  <si>
    <t>b21187599</t>
  </si>
  <si>
    <t>Photograph of members and officials from the Glencoe Cricket Club taken in 1953.</t>
  </si>
  <si>
    <t>b21187605</t>
  </si>
  <si>
    <t>Glencoe "B" Football Team</t>
  </si>
  <si>
    <t>Photograph of members and officials from the Glencoe "B" Premier Football team taken in 1953.</t>
  </si>
  <si>
    <t>Glencoe Football Club;Australian football players -- South Australia -- Glencoe;Australian football teams -- South Australia -- Glencoe</t>
  </si>
  <si>
    <t>b21187617</t>
  </si>
  <si>
    <t>Glencoe Football Team</t>
  </si>
  <si>
    <t>Photograph of members and officials from the Glencoe Premier Football team taken in 1953.</t>
  </si>
  <si>
    <t>b21187629</t>
  </si>
  <si>
    <t>Photograph of the South Gambier Cricket Club with their trophy taken in 1953.</t>
  </si>
  <si>
    <t>South Gambier Cricket Club;Cricket -- South Australia -- Mount Gambier;Cricket players -- South Australia -- Mount Gambier</t>
  </si>
  <si>
    <t>b21187897</t>
  </si>
  <si>
    <t>Citizens Military Forces</t>
  </si>
  <si>
    <t>Photograph of seventeen officers from South Australian Scottish Regiment of the Citizens Military Forces taken in the studio in Mount Gambier in 1953.</t>
  </si>
  <si>
    <t>Soldiers -- South Australia -- Mount Gambier;Military uniforms</t>
  </si>
  <si>
    <t>b21192819</t>
  </si>
  <si>
    <t>Singer Sewing Machine Showroom</t>
  </si>
  <si>
    <t>Photograph of several models of Singer Sewing Machines in the Showrooms in Mount Gambier in October 1953.</t>
  </si>
  <si>
    <t>Sewing-machine industry -- South Australia -- Mount Gambier;Stores, retail -- South Australia -- Mount Gambier;Display of merchandise -- South Australia -- Mount Gambier</t>
  </si>
  <si>
    <t>b21192820</t>
  </si>
  <si>
    <t>Australia and New Zealand Bank</t>
  </si>
  <si>
    <t>Photograph of the teller area of the Australia and New Zealand Bank in Mount Gambier in July 1953.</t>
  </si>
  <si>
    <t>Australia and New Zealand Banking Group -- Buildings;Banks and banking -- South Australia -- Mount Gambier;Interior architecture -- South Australia -- Mount Gambier</t>
  </si>
  <si>
    <t>b21195882</t>
  </si>
  <si>
    <t>Dartmoor debutantes</t>
  </si>
  <si>
    <t>Photograph of twenty two debutantes from Dartmoor dressed in their ballgowns in 1953. There are also young girls with posies.</t>
  </si>
  <si>
    <t>Debutantes -- Victoria -- Dartmoor</t>
  </si>
  <si>
    <t>b21195894</t>
  </si>
  <si>
    <t>Photograph of twelve debutantes from the Mount Gambier High School dressed in their ballgowns in 1953.</t>
  </si>
  <si>
    <t>b21195900</t>
  </si>
  <si>
    <t>b21196023</t>
  </si>
  <si>
    <t>Church of England Ball debutantes</t>
  </si>
  <si>
    <t>Photograph of five debutantes and their partners before making their debut at the Church of England Ball in Mount Gambier in 1953.</t>
  </si>
  <si>
    <t>b21196035</t>
  </si>
  <si>
    <t>Photograph of twenty two debutantes from Dartmoor making their debut  in 1953.</t>
  </si>
  <si>
    <t>b21196084</t>
  </si>
  <si>
    <t>Photograph of seven debutantes with their partners before their debut at the Highland Ball in Mount Gambier in 1953. According to a researcher, the first two men, left to right, are Graham Main and Kevin Day. The fourth man is Don McKenzie and the man furthest right is Trevor Kain.</t>
  </si>
  <si>
    <t>b21196102</t>
  </si>
  <si>
    <t>Photograph of seven debutantes and their partners making their debut at the Highland Ball held in 1953. They are accompanied by four small girls in evening dresses.</t>
  </si>
  <si>
    <t>b20841942</t>
  </si>
  <si>
    <t>Paddle steamer 'Adelaide' at Moama</t>
  </si>
  <si>
    <t>Photoprint  15.5 x 9.75 cm;OUTSIZE 1</t>
  </si>
  <si>
    <t>The 'Adelaide' at Moama, 1953.</t>
  </si>
  <si>
    <t>Adelaide (Paddle steamer);Paddle steamers -- New South Wales -- Moama;Paddle steamers -- Murray River (N.S.W. - S.A.)</t>
  </si>
  <si>
    <t>b21051355</t>
  </si>
  <si>
    <t>Dimond Studio, photographer</t>
  </si>
  <si>
    <t>Women dressed as Christmas puddings for the John Martin's pageant</t>
  </si>
  <si>
    <t>Photograph  20.8 cm x 15.8 cm</t>
  </si>
  <si>
    <t>A group of women dressed in costume as Christmas puddings posing for the camera in a street in Adelaide. The woman are part of the John Martin's Christmas pageant and are standing in front of the "Three Little Pigs" float.</t>
  </si>
  <si>
    <t>John Martin &amp; Co;Parades -- South Australia -- Adelaide;Pageants -- South Australia -- Adelaide;Christmas -- South Australia -- Adelaide;Costume -- South Australia -- Adelaide</t>
  </si>
  <si>
    <t>John Martin Collection</t>
  </si>
  <si>
    <t>b3182867x</t>
  </si>
  <si>
    <t>Dawe family</t>
  </si>
  <si>
    <t>Dawe family.</t>
  </si>
  <si>
    <t>Dawe (Family)</t>
  </si>
  <si>
    <t>b31828772</t>
  </si>
  <si>
    <t>b31828784</t>
  </si>
  <si>
    <t>b31828796</t>
  </si>
  <si>
    <t>b31828875</t>
  </si>
  <si>
    <t>b31828887</t>
  </si>
  <si>
    <t>b31828905</t>
  </si>
  <si>
    <t>b31828917</t>
  </si>
  <si>
    <t>b31828693</t>
  </si>
  <si>
    <t>b3182870x</t>
  </si>
  <si>
    <t>b31828711</t>
  </si>
  <si>
    <t>b31828723</t>
  </si>
  <si>
    <t>b31828735</t>
  </si>
  <si>
    <t>b31828747</t>
  </si>
  <si>
    <t>b31828759</t>
  </si>
  <si>
    <t>b31828760</t>
  </si>
  <si>
    <t>b31828930</t>
  </si>
  <si>
    <t>Ann O'Donohue</t>
  </si>
  <si>
    <t>Ann O'Donohue.</t>
  </si>
  <si>
    <t>b31829107</t>
  </si>
  <si>
    <t>b31829119</t>
  </si>
  <si>
    <t>b31829120</t>
  </si>
  <si>
    <t>b31829132</t>
  </si>
  <si>
    <t>b31829144</t>
  </si>
  <si>
    <t>b3122779x</t>
  </si>
  <si>
    <t>Whitely, Anthony, 1928-2002, photographer</t>
  </si>
  <si>
    <t>Victoria Square</t>
  </si>
  <si>
    <t>1 photograph : black and white   5.4 x 8.1 cm;still image sti rdacontent;unmediated n rdamedia;sheet nb rdacarrier</t>
  </si>
  <si>
    <t>View from Victoria Square looking towards the GPO.</t>
  </si>
  <si>
    <t>Automobiles -- South Australia.;Victoria Square (Adelaide, S.A.)</t>
  </si>
  <si>
    <t>Adelaide Views Collection;Victoria Square Collection</t>
  </si>
  <si>
    <t>b31227880</t>
  </si>
  <si>
    <t>Looking down King William Street</t>
  </si>
  <si>
    <t>1 photograph : black and white   5.5 x 7.8 cm;still image sti rdacontent;unmediated n rdamedia;sheet nb rdacarrier</t>
  </si>
  <si>
    <t>View looking south down King William Street.</t>
  </si>
  <si>
    <t>King William Street (Adelaide, S.A.)</t>
  </si>
  <si>
    <t>Adelaide Views Collection;King William Street Collection</t>
  </si>
  <si>
    <t>b31227909</t>
  </si>
  <si>
    <t>Looking along Grenfell Street</t>
  </si>
  <si>
    <t>1 photograph : black and white   5.5 x 7.9 cm;still image sti rdacontent;unmediated n rdamedia;sheet nb rdacarrier</t>
  </si>
  <si>
    <t>View looking east along Grenfell Street. Gawler Place on left in foreground.</t>
  </si>
  <si>
    <t>Roads -- South Australia -- Adelaide.;Grenfell Street (Adelaide, S.A.)</t>
  </si>
  <si>
    <t>Adelaide Views Collection</t>
  </si>
  <si>
    <t>b31227910</t>
  </si>
  <si>
    <t>Looking along King William Street</t>
  </si>
  <si>
    <t>View looking north along King William Street.</t>
  </si>
  <si>
    <t>Roads -- South Australia -- Adelaide.;King William Street (Adelaide, S.A.)</t>
  </si>
  <si>
    <t>b31227922</t>
  </si>
  <si>
    <t>Looking along Hindley Street</t>
  </si>
  <si>
    <t>Hindley Street at night with Cadman Bros on the left.</t>
  </si>
  <si>
    <t>Roads -- South Australia -- Adelaide.;Hindley Street (Adelaide, S.A.)</t>
  </si>
  <si>
    <t>Adelaide Views Collection;Hindley Street Collection</t>
  </si>
  <si>
    <t>b31227934</t>
  </si>
  <si>
    <t>King William Street at night</t>
  </si>
  <si>
    <t>1 photograph : black and white   7.9 x 5.5 cm;still image sti rdacontent;unmediated n rdamedia;sheet nb rdacarrier</t>
  </si>
  <si>
    <t>View along King William Street at night, looking north.</t>
  </si>
  <si>
    <t>b31227958</t>
  </si>
  <si>
    <t>Port Augusta Railway Station</t>
  </si>
  <si>
    <t>View of the Port Augusta Railway Station.</t>
  </si>
  <si>
    <t>Railroad Stations -- South Australia -- Port Augusta.</t>
  </si>
  <si>
    <t>Port Augusta Collection</t>
  </si>
  <si>
    <t>b31227806</t>
  </si>
  <si>
    <t>John Martin's store</t>
  </si>
  <si>
    <t>1 photograph : black and white   5.3 x 8.1 cm;still image sti rdacontent;unmediated n rdamedia;sheet nb rdacarrier</t>
  </si>
  <si>
    <t>View of John Martin's store decorated for the Queen's Coronation.</t>
  </si>
  <si>
    <t>John Martin &amp; Co.;Elizabeth II, Queen of Great Britain, 1926-  -- Coronation.</t>
  </si>
  <si>
    <t>Adelaide Views Collection;John Martin Collection</t>
  </si>
  <si>
    <t>b31227818</t>
  </si>
  <si>
    <t>Johns Martin's store</t>
  </si>
  <si>
    <t>1 photograph : black and white   5.4 x 7.9 cm;still image sti rdacontent;unmediated n rdamedia;sheet nb rdacarrier</t>
  </si>
  <si>
    <t>View of John Martin &amp; Co store decorated for the Queen's Coronation.</t>
  </si>
  <si>
    <t>b3122782x</t>
  </si>
  <si>
    <t>b31227831</t>
  </si>
  <si>
    <t>Rundle Street decorated for the Queen's coronation</t>
  </si>
  <si>
    <t>View of Rundle Street decorated for the Queen's Coronation. Signs for Birks can be seen.</t>
  </si>
  <si>
    <t>Birks Chemist.;Elizabeth II, Queen of Great Britain, 1926-  -- Coronation.;Rundle Street (Adelaide, S.A.)</t>
  </si>
  <si>
    <t>Adelaide Views Collection;Rundle Street Collection</t>
  </si>
  <si>
    <t>b31227843</t>
  </si>
  <si>
    <t>1 photograph : black and white   5.6 x 7.9 cm;still image sti rdacontent;unmediated n rdamedia;sheet nb rdacarrier</t>
  </si>
  <si>
    <t>View of Rundle Street decorated for the Queen's Coronation.</t>
  </si>
  <si>
    <t>Elizabeth II, Queen of Great Britain, 1926-  -- Coronation.;Rundle Street (Adelaide, S.A.)</t>
  </si>
  <si>
    <t>b31227855</t>
  </si>
  <si>
    <t>Adelaide Town Hall</t>
  </si>
  <si>
    <t>1 photograph : black and white   7.8 x 5.6 cm;still image sti rdacontent;unmediated n rdamedia;sheet nb rdacarrier</t>
  </si>
  <si>
    <t>View of Adelaide Town Hall decorated for the Queen's coronation.</t>
  </si>
  <si>
    <t>Adelaide Town Hall.;Elizabeth II, Queen of Great Britain, 1926-  -- Coronation.;King William Street (Adelaide, S.A.)</t>
  </si>
  <si>
    <t>b31227867</t>
  </si>
  <si>
    <t>Adelaide Town Hall and Post Office</t>
  </si>
  <si>
    <t>View of Adelaide Town Hall decorated for the Queen's coronation, and the Post Office.</t>
  </si>
  <si>
    <t>b31227879</t>
  </si>
  <si>
    <t>1 photograph : black and white   7.8 x 5.5 cm;still image sti rdacontent;unmediated n rdamedia;sheet nb rdacarrier</t>
  </si>
  <si>
    <t>b30582994</t>
  </si>
  <si>
    <t>Championship Senior Eight 19[53]</t>
  </si>
  <si>
    <t>1 photograph : black and white   20.3 x 25.2 cm;RESERVE 1 a;still image sti rdacontent;unmediated n rdamedia;sheet nb rdacarrier</t>
  </si>
  <si>
    <t>A.C. Davis (cox), G.D. Coldwell (str.), R. Lepley (7), K.L. Coldwell (6), J. Hill (5), W. Mayfield (4), Ron Simpson (3), R.K. Coldwell (2), F. Tucker (bow). [Stamp on back of photograph reads 'Fenwick Print 48 Hrs. Developing &amp; Printing Service'.</t>
  </si>
  <si>
    <t>b30250389</t>
  </si>
  <si>
    <t>Championship Senior Eights, season 1953 to 1954</t>
  </si>
  <si>
    <t>1 photograph : black and white   17.5 x 13 cm;still image sti rdacontent;unmediated n rdamedia;sheet nb rdacarrier</t>
  </si>
  <si>
    <t>R. Hodgeman (bow), F. Cockburn, R. Webb, R. Simpson, Ron Simpson, R. Coldwell, A. Smithson (str.), K. Coldwell, C. Davis (cox).</t>
  </si>
  <si>
    <t>b31996206</t>
  </si>
  <si>
    <t>Portrait of Lady Anita Smith</t>
  </si>
  <si>
    <t>[approximately 1953]</t>
  </si>
  <si>
    <t>1 photograph : black and white   17.8 x 25.4 cm;RESERVE 1;still image sti rdacontent;unmediated n rdamedia;sheet nb rdacarrier;Photograph (print) black and white</t>
  </si>
  <si>
    <t>Portrait of Lady Anita Smith, possibly taken during a visit to the United States in 1953. Across bottom of photograph is 'Proofs Only Associated News Photographic Services, Inc. 20 West 57th Street, New York City'.</t>
  </si>
  <si>
    <t>b31273634</t>
  </si>
  <si>
    <t>1953 calendar</t>
  </si>
  <si>
    <t>A 1953 calendar advertising Coca-Cola on the side of a cabinet.</t>
  </si>
  <si>
    <t>Calendars -- South Australia;Furniture -- South Australia</t>
  </si>
  <si>
    <t>b30276457</t>
  </si>
  <si>
    <t>Pederick, R., photographer</t>
  </si>
  <si>
    <t>Party celebration</t>
  </si>
  <si>
    <t>1 electronic file (photograph) : black and white   15.1 x 20.6 cm;still image sti rdacontent;computer c rdamedia;online resource cr rdacarrier</t>
  </si>
  <si>
    <t>Group of men and women, including Charles William South Junior, dressed in suits and dresses celebrating a party in a backyard. They are all in good spirits.</t>
  </si>
  <si>
    <t>South, Charles William, 1904-;Men -- South Australia.;Women -- South Australia.;Parties -- South Australia.</t>
  </si>
  <si>
    <t>b30583287</t>
  </si>
  <si>
    <t>Rowers on the Port River</t>
  </si>
  <si>
    <t>1 photograph : black and white   25.2 x 20.2 cm;RESERVE 1 a;still image sti rdacontent;unmediated n rdamedia;sheet nb rdacarrier</t>
  </si>
  <si>
    <t>A Port Adelaide Rowing Club Four rowing on the Port River near the Birkenhead Bridge.  [Stamp on back of photograph reads 'Fenwick Print 48 Hrs. Developing &amp; Printing Service'].</t>
  </si>
  <si>
    <t>Port Adelaide Rowing Club;Rowing -- South Australia -- Port Adelaide;Bridges -- South Australia -- Birkenhead;Bridges -- South Australia -- Port Adelaide;Birkenhead Bridge (Port Adelaide, S.A.)</t>
  </si>
  <si>
    <t>b30848945</t>
  </si>
  <si>
    <t>Championship and Senior Eights winners</t>
  </si>
  <si>
    <t>1 photograph : black and white   27.5 x 12.4 cm;RESERVE 1 a;still image sti rdacontent;unmediated n rdamedia;sheet nb rdacarrier</t>
  </si>
  <si>
    <t>Rowers on the Port River, season 1952/53: A. Davis (cox), G.D. Coldwell (8), R. Lepley (7), K.L. Coldwell (4), J. Hill (5), W. Mayfield (4), Ron Simpson (3), R.K. Coldwell (2), E. Tucker (bow). [Stamp on back of photograph reads 'Fenwick Print 48 Hrs. Developing &amp; Printing Service'].</t>
  </si>
  <si>
    <t>b21072127</t>
  </si>
  <si>
    <t>Photograph  14 cm x 9 cm</t>
  </si>
  <si>
    <t>b21074148</t>
  </si>
  <si>
    <t>Adderley Sleigh</t>
  </si>
  <si>
    <t>Adderley Sleigh;Ships</t>
  </si>
  <si>
    <t>b21074999</t>
  </si>
  <si>
    <t>Adjulant</t>
  </si>
  <si>
    <t>Photograph  13.8 cm x 9 cm</t>
  </si>
  <si>
    <t>Adjulant (Ship);Ships</t>
  </si>
  <si>
    <t>b21072917</t>
  </si>
  <si>
    <t>Almirante</t>
  </si>
  <si>
    <t>Almirante (Ship);Ships</t>
  </si>
  <si>
    <t>b21073235</t>
  </si>
  <si>
    <t>Alpha</t>
  </si>
  <si>
    <t>Photograph  11.9 cm x 8.0 cm</t>
  </si>
  <si>
    <t>Alpha (Ship);Ships</t>
  </si>
  <si>
    <t>b21070854</t>
  </si>
  <si>
    <t>Amstelbrug</t>
  </si>
  <si>
    <t>Photograph  13.6 cm x 6.3 cm</t>
  </si>
  <si>
    <t>AmsteIbrug (Ship);Ships</t>
  </si>
  <si>
    <t>b21078208</t>
  </si>
  <si>
    <t>Andros</t>
  </si>
  <si>
    <t>Andros (Ship);Ships</t>
  </si>
  <si>
    <t>b21080720</t>
  </si>
  <si>
    <t>Anita</t>
  </si>
  <si>
    <t>Photograph  13.0 cm x 7.6 cm</t>
  </si>
  <si>
    <t>Anita (Ship);Ships</t>
  </si>
  <si>
    <t>b21081001</t>
  </si>
  <si>
    <t>Anna C</t>
  </si>
  <si>
    <t>Photograph  11.4 cm x 8.3 cm</t>
  </si>
  <si>
    <t>Anna C (Ship);Ships</t>
  </si>
  <si>
    <t>b21081219</t>
  </si>
  <si>
    <t>Anne De Bretagne</t>
  </si>
  <si>
    <t>Anne De Bretagne (Ship);Ships</t>
  </si>
  <si>
    <t>b21081797</t>
  </si>
  <si>
    <t>Anteriority</t>
  </si>
  <si>
    <t>Anteriority (Ship);Ships</t>
  </si>
  <si>
    <t>b21083708</t>
  </si>
  <si>
    <t>Apj Anjli</t>
  </si>
  <si>
    <t>Photograph  13.9 cm x 8.5 cm</t>
  </si>
  <si>
    <t>Apj Anjli (Ship);Ships</t>
  </si>
  <si>
    <t>b21082595</t>
  </si>
  <si>
    <t>Aorangi</t>
  </si>
  <si>
    <t>Aorangi (Ship);Ships</t>
  </si>
  <si>
    <t>b21083010</t>
  </si>
  <si>
    <t>Apj Akash</t>
  </si>
  <si>
    <t>Photograph  13.6 cm x 8.6 cm</t>
  </si>
  <si>
    <t>Apj Akash (Ship);Ships</t>
  </si>
  <si>
    <t>b21100901</t>
  </si>
  <si>
    <t>Jak's Corner general store</t>
  </si>
  <si>
    <t>Photograph of Jak's Corner general store with vehicles and people out the front in 1954, Mount Gambier.</t>
  </si>
  <si>
    <t>Jak's Corner General Store;Stores, Retail -- South Australia -- Mount Gambier</t>
  </si>
  <si>
    <t>b21100913</t>
  </si>
  <si>
    <t>Bank of New South Wales</t>
  </si>
  <si>
    <t>Photograph of the Bank of New South Wales building in Mount Gambier on 3rd November 1954  also shows Arthurs photographic studio.</t>
  </si>
  <si>
    <t>Banks and banking -- South Australia -- Mount Gambier;Stores, Retail -- South Australia -- Mount Gambier</t>
  </si>
  <si>
    <t>b21101450</t>
  </si>
  <si>
    <t>Queen's visit</t>
  </si>
  <si>
    <t>Photograph of the Queen and Duke of Edinburgh's visit to the lakes in 1954 with the Mayor and Lady Mayoress, Mount Gambier.</t>
  </si>
  <si>
    <t>Visits of state -- South Australia -- Mount Gambier</t>
  </si>
  <si>
    <t>b21101462</t>
  </si>
  <si>
    <t>Photograph of the Queen and Duke of Edinburgh in an open topped car on their visit to the lakes in 1954, Mount Gambier.</t>
  </si>
  <si>
    <t>b21101498</t>
  </si>
  <si>
    <t>Photograph of the Queen and Duke of Edinburgh with the Mayor and Lady Mayoress outside Elizabeth Park on 26th February 1954, Mount Gambier.</t>
  </si>
  <si>
    <t>Elizabeth II, Queen of Great Britain, 1926-;Philip, Prince, consort of Elizabeth II, Queen of Great Britain, 1921-;Visits of state -- South Australia -- Mount Gambier</t>
  </si>
  <si>
    <t>b21101978</t>
  </si>
  <si>
    <t>Yahl School</t>
  </si>
  <si>
    <t>Yahl School with tree flanked entrance in 1954 viewed from Yahl Hill Road.</t>
  </si>
  <si>
    <t>Yahl School;Schools -- South Australia -- Yahl</t>
  </si>
  <si>
    <t>b2110198x</t>
  </si>
  <si>
    <t>Methodist Church</t>
  </si>
  <si>
    <t>Photograph of the Methodist Church in 1954, Mount Gambier.</t>
  </si>
  <si>
    <t>Methodist Church -- South Australia -- Mount Gambier</t>
  </si>
  <si>
    <t>b21101991</t>
  </si>
  <si>
    <t>St. Paul's Royal Visit</t>
  </si>
  <si>
    <t>Photograph of St. Paul's Church decorated with the words "God Bless Our Queen" for the Royal Visit on 26th of February 1954, Mount Gambier.</t>
  </si>
  <si>
    <t>St. Paul's Church (Mount Gambier, S.A.);Church buildings -- South Australia -- Mount Gambier;Visits of state -- South Australia -- Mount Gambier</t>
  </si>
  <si>
    <t>b21102016</t>
  </si>
  <si>
    <t>Photograph of the Bank of New South Wales on 3rd November 1954, Mount Gambier.</t>
  </si>
  <si>
    <t>Bank of New South Wales -- Buildings;Bank buildings -- South Australia -- Mount Gambier</t>
  </si>
  <si>
    <t>b21102065</t>
  </si>
  <si>
    <t>Bank of New South Wales Manager's residence</t>
  </si>
  <si>
    <t>Photograph of the Bank of NSW Manager's possible residence in 1954, Mount Gambier.</t>
  </si>
  <si>
    <t>Bank of New South Wales -- Buildings;Bank buildings -- South Australia -- Mount Gambier;Dwellings -- South Australia -- Mount Gambier</t>
  </si>
  <si>
    <t>b21102764</t>
  </si>
  <si>
    <t>Pritchard's Quarry</t>
  </si>
  <si>
    <t>Photograph of stone blocks after being cut in a quarry.</t>
  </si>
  <si>
    <t>Pritchard's Quarry (Mount Gambier, S.A.);Quarries and quarrying -- South Australia -- Mount Gambier</t>
  </si>
  <si>
    <t>b21102776</t>
  </si>
  <si>
    <t>Koniak Field Day</t>
  </si>
  <si>
    <t>Photograph of men arriving on tractor pulled carts and trucks at the Koniak field Day.</t>
  </si>
  <si>
    <t>Agricultural exhibitions -- South Australia -- Mount Gambier;Trucks -- South Australia -- Mount Gambier;Tractors -- South Australia -- Mount Gambier</t>
  </si>
  <si>
    <t>b21102843</t>
  </si>
  <si>
    <t>Photograph of two men shaking hands through the aeroplane window at the Koniak Field Day.</t>
  </si>
  <si>
    <t>Airplanes -- South Australia -- Mount Gambier</t>
  </si>
  <si>
    <t>b21102855</t>
  </si>
  <si>
    <t>Photograph of a group of men conversing around the animal pens at the Koniak Field Day.</t>
  </si>
  <si>
    <t>Agricultural exhibitions -- South Australia -- Mount Gambier</t>
  </si>
  <si>
    <t>b21102879</t>
  </si>
  <si>
    <t>Vacuum Oil</t>
  </si>
  <si>
    <t>Photograph of a group of men at a Mobil Gas presentation on 13th October 1954.</t>
  </si>
  <si>
    <t>Mobil Oil Australia;Petroleum industry and trade -- South Australia -- Mount Gambier</t>
  </si>
  <si>
    <t>b21102910</t>
  </si>
  <si>
    <t>Koniak field Day</t>
  </si>
  <si>
    <t>Photograph of a group of five men chatting at the Koniak Field Day in 1954.</t>
  </si>
  <si>
    <t>b21102922</t>
  </si>
  <si>
    <t>Photograph of a group of seven men looking at grass samples at the Koniak Field Day in 1954.</t>
  </si>
  <si>
    <t>b21104116</t>
  </si>
  <si>
    <t>South East Guides Royal visit</t>
  </si>
  <si>
    <t>Photograph of Girl Guides and Captains grouped under the Union Jack during the Royal Visit on 26th February 1954.</t>
  </si>
  <si>
    <t>Visits of state -- South Australia -- Mount Gambier;Girl Guides -- South Australia -- Mount Gambier</t>
  </si>
  <si>
    <t>b21104141</t>
  </si>
  <si>
    <t>Mount Gambier Cubs</t>
  </si>
  <si>
    <t>Photograph of Mount Gambier Cubs [Urailia?] Opening in 1954.</t>
  </si>
  <si>
    <t>b21104153</t>
  </si>
  <si>
    <t>Yahl</t>
  </si>
  <si>
    <t>Boys gardening at Yahl on 30th April 1954, viewed from Yahl Hill Road.</t>
  </si>
  <si>
    <t>Gardening -- South Australia -- Yahl</t>
  </si>
  <si>
    <t>b21104165</t>
  </si>
  <si>
    <t>Photograph of Yahl School Grades three and four in 1954.  Photograph taken on 30th April 1954.</t>
  </si>
  <si>
    <t>Yahl School;School children -- South Australia -- Yahl;Schools -- South Australia -- Yahl</t>
  </si>
  <si>
    <t>b21104177</t>
  </si>
  <si>
    <t>Photograph of Yahl School Grades five to seven in 1954.  Photograph taken on 30th August 1954.</t>
  </si>
  <si>
    <t>b21104189</t>
  </si>
  <si>
    <t>Photograph of Yahl School's young children doing craft and reading. Photograph taken on 30th August 1954.</t>
  </si>
  <si>
    <t>Yahl School;School children -- South Australia -- Yahl;Reading -- South Australia -- Yahl;Handicraft -- Study and teaching -- South Australia -- Yahl;Schools -- South Australia -- Yahl</t>
  </si>
  <si>
    <t>b21104190</t>
  </si>
  <si>
    <t>Photograph of Yahl School's children doing craft and reading. Photograph taken on 30th September 1954.</t>
  </si>
  <si>
    <t>Yahl School;School children -- South Australia -- Yahl;Handicraft -- Study and teaching -- South Australia -- Yahl;Schools -- South Australia -- Yahl;Reading -- South Australia -- Yahl</t>
  </si>
  <si>
    <t>b21104207</t>
  </si>
  <si>
    <t>Photograph of Yahl School Grades one and two in 1954.</t>
  </si>
  <si>
    <t>b21176978</t>
  </si>
  <si>
    <t>Photograph of Yahl School with children playing sports in the playground. Photograph taken on 30th August 1954.</t>
  </si>
  <si>
    <t>Yahl School;Schools -- South Australia -- Yahl;School children -- South Australia -- Yahl;Sports for children -- South Australia -- Yahl</t>
  </si>
  <si>
    <t>b21177016</t>
  </si>
  <si>
    <t>Negative (glass)  15.6 cm x 11.4 cm</t>
  </si>
  <si>
    <t>School children reading in a classroom at Yahl School on 30th August 1954.</t>
  </si>
  <si>
    <t>Yahl School;School children -- South Australia -- Yahl;Reading -- South Australia -- Yahl;Schools -- South Australia -- Yahl</t>
  </si>
  <si>
    <t>b21104219</t>
  </si>
  <si>
    <t>Photograph of Yahl School with young children reading at their desks. Photograph taken on 30th August 1954.</t>
  </si>
  <si>
    <t>b21104220</t>
  </si>
  <si>
    <t>Kindergarten</t>
  </si>
  <si>
    <t>Photograph of Kindergarten children enjoying a party in 1954.</t>
  </si>
  <si>
    <t>Children -- South Australia -- Mount Gambier;Kindergarten facilities -- South Australia -- Mount Gambier;Parties -- South Australia -- Mount Gambier</t>
  </si>
  <si>
    <t>b21104888</t>
  </si>
  <si>
    <t>Boandik Lodge</t>
  </si>
  <si>
    <t>Photograph of a stone being laid by A.F. Sutton Esq. First President of Boandik Lodge on 24th October 1954. Dr. Henry R. Hawkins is standing centre.</t>
  </si>
  <si>
    <t>Hawkins, Henry Rupert, -1972;Boandik Lodge (Mount Gambier, S.A.);Older people -- Care -- South Australia -- Mount Gambier</t>
  </si>
  <si>
    <t>b21112551</t>
  </si>
  <si>
    <t>P. Koren and H. Marks</t>
  </si>
  <si>
    <t>Photograph of Mr. P. Koren receiving his certificate from Mayor H. Marks during the Naturalisation Ceremony held on 16th July 1954, Mount Gambier.</t>
  </si>
  <si>
    <t>Marks, H.;Koren, P.;Naturalization -- South Australia -- Mount Gambier;Mayors -- South Australia -- Mount Gambier;Citizenship -- South Australia -- Mount Gambier</t>
  </si>
  <si>
    <t>b21112563</t>
  </si>
  <si>
    <t>Mount Gambier Caledonian Society investiture</t>
  </si>
  <si>
    <t>William 'Jock' Ridland (left) in his first duty as the newly invested Chief of the Mount Gambier Caledonian Society presents Past Chief Hector 'Hec' Fraser with his badge of office.</t>
  </si>
  <si>
    <t>Ridland, William;Fraser, Hector;South Australian Royal Caledonian Society</t>
  </si>
  <si>
    <t>b21112630</t>
  </si>
  <si>
    <t>H. Marks - Naturalisation</t>
  </si>
  <si>
    <t>Photograph of a woman receiving her certificate from Mayor H. Marks during a Naturalisation Ceremony held on 16th July 1954, Mount Gambier.</t>
  </si>
  <si>
    <t>Marks, H.;Naturalization -- South Australia -- Mount Gambier;Citizenship -- South Australia -- Mount Gambier</t>
  </si>
  <si>
    <t>b2111268x</t>
  </si>
  <si>
    <t>Mr. L.J. Laslett and the Mayor H. Marks</t>
  </si>
  <si>
    <t>Photograph of Mr. L.J. Laslett and the Mayor Mr Hugh Marks turning on the first traffic lights in Mount Gambier.</t>
  </si>
  <si>
    <t>Marks, Hugh;Laslett, Leonard John, 1895-1980;Mayors -- South Australia -- Mount Gambier</t>
  </si>
  <si>
    <t>b21112770</t>
  </si>
  <si>
    <t>Eric and Evelyn Arthur</t>
  </si>
  <si>
    <t>Photograph of Eric and Evelyn Arthur in 1954, Mount Gambier.</t>
  </si>
  <si>
    <t>Arthur, Eric;Arthur, Evelyn</t>
  </si>
  <si>
    <t>b21113968</t>
  </si>
  <si>
    <t>Odeon Theatre</t>
  </si>
  <si>
    <t>Photograph of winners of the Mobil Quest 1953 on stage at the prize giving ceremony at the Odeon Theatre in Mount Gambier. According to a researcher, Rhonda Garnaut, pictured third from right, was the State winner of the competiton in 1953.</t>
  </si>
  <si>
    <t>Odeon Theatre (Mount Gambier, S.A.);Mobil Quest (Competition);Music -- Competitions -- South Australia -- Mount Gambier</t>
  </si>
  <si>
    <t>b2111397x</t>
  </si>
  <si>
    <t>Photograph of a singer and piano accompanist at the Mobil Quest 1953 in the Odeon Theatre in Mount Gambier.</t>
  </si>
  <si>
    <t>Gambier Odeon Theatre (Mount Gambier, S.A.);Mobil Quest (Competition);Music -- Competitions -- South Australia -- Mount Gambier</t>
  </si>
  <si>
    <t>b21113981</t>
  </si>
  <si>
    <t>Roman Catholic Procession</t>
  </si>
  <si>
    <t>Photograph of school boys in a procession from the Catholic Church in Mount Gambier on 31st October 1954  All Saints Day.</t>
  </si>
  <si>
    <t>Church schools -- South Australia -- Mount Gambier;Students -- South Australia -- Mount Gambier</t>
  </si>
  <si>
    <t>b21113993</t>
  </si>
  <si>
    <t>Photograph of a Roman Catholic outdoor service in Mount Gambier on 31st October 1954.</t>
  </si>
  <si>
    <t>Catholic Church -- South Australia -- Mount Gambier;Catholics -- South Australia -- Mount Gambier</t>
  </si>
  <si>
    <t>b21114018</t>
  </si>
  <si>
    <t>Blessing of the Fleet Ceremony</t>
  </si>
  <si>
    <t>Photograph of the bishop during the Blessing the Fleet Ceremony on 14th November 1954, possibly at Port MacDonnell.</t>
  </si>
  <si>
    <t>Sailing -- South Australia -- Mount Gambier</t>
  </si>
  <si>
    <t>b2111402x</t>
  </si>
  <si>
    <t>Photograph of various groups of Catholics marching behind banners at the Roman Catholic Procession in Mount Gambier on 31st October 1954.</t>
  </si>
  <si>
    <t>St. Paul's Church (Mount Gambier, S.A.);Students -- South Australia -- Mount Gambier;Church schools -- South Australia -- Mount Gambier</t>
  </si>
  <si>
    <t>b21114031</t>
  </si>
  <si>
    <t>Choral Society</t>
  </si>
  <si>
    <t>Photograph of the Choral Society singing for their conductor on 1st November 1954.</t>
  </si>
  <si>
    <t>Mount Gambier Choral Society (Mount Gambier, S.A.);Choral societies -- South Australia -- Mount Gambier;Choirs (Music) -- South Australia -- Mount Gambier</t>
  </si>
  <si>
    <t>b21114043</t>
  </si>
  <si>
    <t>b21114353</t>
  </si>
  <si>
    <t>Choral Society 21st celebrations</t>
  </si>
  <si>
    <t>Photograph of the full membership of the Choral Society at their 21st  celebrations in Mount Gambier on 6th December 1954.</t>
  </si>
  <si>
    <t>b21114365</t>
  </si>
  <si>
    <t>Photograph of a group of men and women standing around a piano possibly rehearsing for the Mobil Quest Talent Competition on 27th September 1954.</t>
  </si>
  <si>
    <t>b21114377</t>
  </si>
  <si>
    <t>Floral Art Opening</t>
  </si>
  <si>
    <t>Photograph of children presenting flowers to officials at the opening of the Floral Art Show in Mount Gambier in 1954.</t>
  </si>
  <si>
    <t>Flower arrangement -- South Australia -- Mount Gambier</t>
  </si>
  <si>
    <t>b21122490</t>
  </si>
  <si>
    <t>Dame flora McLeod</t>
  </si>
  <si>
    <t>Photograph of a visit from Dame Flora McLeod to Mount Gambier, standing with officials at the airport on 27th November 1954.</t>
  </si>
  <si>
    <t>McLeod, Flora, Dame;Airports -- South Australia -- Mount Gambier</t>
  </si>
  <si>
    <t>b21122544</t>
  </si>
  <si>
    <t>Messrs Marks and Laslett</t>
  </si>
  <si>
    <t>The new traffic lights being switched on in Mount Gambier on 11th September 1954, with Councillor Len Laslett and Mayor Hugh Marks.</t>
  </si>
  <si>
    <t>Traffic signs and signals -- South Australia -- Mount Gambier;Traffic safety -- South Australia -- Mount Gambier</t>
  </si>
  <si>
    <t>b21126240</t>
  </si>
  <si>
    <t>Photograph of sports being played on the sports field at Yahl on 30th August 1954.</t>
  </si>
  <si>
    <t>Sports -- South Australia -- Mount Gambier</t>
  </si>
  <si>
    <t>b21128194</t>
  </si>
  <si>
    <t>Mr. C. Miller</t>
  </si>
  <si>
    <t>Photograph of Mr. C. Miller in the studio in Mount Gambier in 1962.</t>
  </si>
  <si>
    <t>Miller, C.</t>
  </si>
  <si>
    <t>b21128376</t>
  </si>
  <si>
    <t>Mr Bruce Forgan</t>
  </si>
  <si>
    <t>Photograph of Mr Bruce Forgan from the Radio Station 5SE, taken in the studio in Mount Gambier in 1954.</t>
  </si>
  <si>
    <t>Forgan, Bruce, 1917-1985</t>
  </si>
  <si>
    <t>b21128388</t>
  </si>
  <si>
    <t>Mr F.A. (Arnold) Haines</t>
  </si>
  <si>
    <t>Photograph of Mr F.A. (Arnold) Haines from the Commonwealth Bank, taken in the studio in Mount Gambier in 1954.</t>
  </si>
  <si>
    <t>Haines, F. A.;Bankers -- South Australia -- Mount Gambier</t>
  </si>
  <si>
    <t>b21128546</t>
  </si>
  <si>
    <t>W. L. Collins</t>
  </si>
  <si>
    <t>Photograph of the Rev. W. L. Collins in his robes taken in the studio in Mount Gambier in 1954.</t>
  </si>
  <si>
    <t>Collins, W. L.;Clergy -- South Australia -- Mount Gambier</t>
  </si>
  <si>
    <t>b2112873x</t>
  </si>
  <si>
    <t>Senator Keith A. Laught</t>
  </si>
  <si>
    <t>Photograph of Senator Keith A. Laught, taken in the studio in Mount Gambier in 1954.</t>
  </si>
  <si>
    <t>Laught, K. A. (Keith Alexander), 1907-1969;Politicians -- South Australia -- Mount Gambier</t>
  </si>
  <si>
    <t>b21166973</t>
  </si>
  <si>
    <t>Mayor J.H. Marks</t>
  </si>
  <si>
    <t>Photograph of Mayor J.H. Marks taken in the studio in Mount Gambier in 1954.</t>
  </si>
  <si>
    <t>Marks, J. H.;Mayors -- South Australia -- Mount Gambier</t>
  </si>
  <si>
    <t>b21166985</t>
  </si>
  <si>
    <t>b21179244</t>
  </si>
  <si>
    <t>Mount Gambier City Council December 1954</t>
  </si>
  <si>
    <t>Photograph of the Mount Gambier City Council in December 1954. Mr G. Tostee is nearest the end and is the gentleman who is not wearing a bow tie. There are eighteen councillors present plus the Mayor and the photograph was taken in the Council Chambers.</t>
  </si>
  <si>
    <t>b2117930x</t>
  </si>
  <si>
    <t>Mount Gambier Ladies Pipe Band</t>
  </si>
  <si>
    <t>Photograph of members of the Mount Gambier Ladies Pipe Band taken in the studio in Mount Gambier in December 1954. Their winning trophies are displayed in front of the drums in the front row.  The largest drum states "Blue Lake Ladies Highland Pipe Band".</t>
  </si>
  <si>
    <t>Blue Lake Ladies Highland Pipe Band;Pipe bands -- South Australia -- Mount Gambier</t>
  </si>
  <si>
    <t>b21179311</t>
  </si>
  <si>
    <t>Reigmental Band</t>
  </si>
  <si>
    <t>Photograph of the South Australian Scottish Regiment Band taken on 26th February 1954. The men are resplendent in their kilts.</t>
  </si>
  <si>
    <t>Pipe bands -- South Australia -- Mount Gambier</t>
  </si>
  <si>
    <t>b21183302</t>
  </si>
  <si>
    <t>Prudence Jean Kilgour (nee Oerman)</t>
  </si>
  <si>
    <t>Prudence Jean Kilgour (nee Oerman), on her wedding day, with her sister Lilian Sidebottom (nee Oerman), standing, and another bridesmaid. Prudence is wearing a slim fitting lace gown with a long train and the attendants are wearing ankle length organza gowns with matching caps.</t>
  </si>
  <si>
    <t>Sidebottom, Lilian Myrtle, 1924-;Kilgour, Prudence Jean;Brides -- South Australia -- Mount Gambier;Wedding costume -- South Australia -- Mount Gambier</t>
  </si>
  <si>
    <t>b21183892</t>
  </si>
  <si>
    <t>W.C. White</t>
  </si>
  <si>
    <t>Photograph of Mr and Mrs W.C. White with their four daughters and four sons taken in the studio in Mount Gambier in 1954.</t>
  </si>
  <si>
    <t>White, W. C.;White (Family)</t>
  </si>
  <si>
    <t>b21183922</t>
  </si>
  <si>
    <t>Bennier family</t>
  </si>
  <si>
    <t>Photograph of Mr and Mrs Bennier with their three daughters and two sons taken in the studio in Mount Gambier in 1954.</t>
  </si>
  <si>
    <t>Bennier (Family)</t>
  </si>
  <si>
    <t>b21183983</t>
  </si>
  <si>
    <t>Megan family</t>
  </si>
  <si>
    <t>Photograph of Mr and Mrs A. F. Megan with their two adult sons and younger son and daughter.</t>
  </si>
  <si>
    <t>Megan (Family)</t>
  </si>
  <si>
    <t>b21184665</t>
  </si>
  <si>
    <t>Mount Gambier Boys' Institute Board</t>
  </si>
  <si>
    <t>Photograph of fourteen men and women from the Mount Gambier Boys Institute Board taken in the studio in Mount Gambier in 1954.</t>
  </si>
  <si>
    <t>Mount Gambier Boys Institute Board</t>
  </si>
  <si>
    <t>b21184744</t>
  </si>
  <si>
    <t>Senior girls and boys from the Mount Gambier High School</t>
  </si>
  <si>
    <t>Photograph of Mount Gambier High School Prefects in 1954. Back row: Peter Johnson, Robert Lawrence, Barry Mullan, Murray Davis, Robert Hunter, Brian Agars. Front row: Ann Lowe, Bev Smith, Elizabeth Martiensen, Sandra Pritchard, Pat Battams, Evelyn Walker. [Information provided by Jeanette Tsim].</t>
  </si>
  <si>
    <t>b21187630</t>
  </si>
  <si>
    <t>Glencoe Football Club</t>
  </si>
  <si>
    <t>Photograph of members of the Glencoe Football Club with their banner that states they won the President's Pennant in 1953-54 as part of the Mid South East Football League.</t>
  </si>
  <si>
    <t>b21187642</t>
  </si>
  <si>
    <t>Mount Schank Cricket Team</t>
  </si>
  <si>
    <t>Photograph of members of the Mount Schank Cricket Club taken in 1954.</t>
  </si>
  <si>
    <t>Mount Schank Cricket Team;Cricket -- South Australia -- Mount Schank;Cricket players -- South Australia -- Mount Schank</t>
  </si>
  <si>
    <t>b21187654</t>
  </si>
  <si>
    <t>Tarpeena Cricket Team</t>
  </si>
  <si>
    <t>Photograph of members of the Tarpeena Cricket Club taken in 1954.</t>
  </si>
  <si>
    <t>Tarpeena Cricket Club;Cricket -- South Australia -- Tarpeena;Cricket players -- South Australia -- Tarpeena</t>
  </si>
  <si>
    <t>b21187988</t>
  </si>
  <si>
    <t>A. Madaras</t>
  </si>
  <si>
    <t>Photograph of the bride and groom and many family members from the Madaras family at their wedding in 1954.</t>
  </si>
  <si>
    <t>Madaras, A.;Brides -- South Australia -- Mount Gambier;Wedding costume -- South Australia -- Mount Gambier</t>
  </si>
  <si>
    <t>b21196047</t>
  </si>
  <si>
    <t>Photograph of twelve debutantes from Mount Gambier High School making their debut  in 1954.</t>
  </si>
  <si>
    <t>b21196059</t>
  </si>
  <si>
    <t>b21196096</t>
  </si>
  <si>
    <t>Christ Church Ball debutantes</t>
  </si>
  <si>
    <t>Photograph of five debutantes and their partners making their debuts at the Christ Church Ball at Port MacDonnell on 15th October 1954.</t>
  </si>
  <si>
    <t>Debutantes -- South Australia -- Port MacDonnell</t>
  </si>
  <si>
    <t>b21196114</t>
  </si>
  <si>
    <t>Photograph of seven debutantes and their partners making their debut at the Highland Ball held in 1954. They are accompanied by two small girls in evening dresses and a piper.</t>
  </si>
  <si>
    <t>b21196126</t>
  </si>
  <si>
    <t>Highland Ball Debutantes</t>
  </si>
  <si>
    <t>b21196151</t>
  </si>
  <si>
    <t>Millicent Highland Ball debutantes</t>
  </si>
  <si>
    <t>Photograph of four debutantes at the Millicent Highland Ball in 1954.  They are pictured with the patrons of the Ball.</t>
  </si>
  <si>
    <t>Debutantes -- South Australia -- Millicent</t>
  </si>
  <si>
    <t>b21196163</t>
  </si>
  <si>
    <t>May Ball debutantes</t>
  </si>
  <si>
    <t>Photograph of eighteen debutantes at the May Ball in 1954.</t>
  </si>
  <si>
    <t>b21196175</t>
  </si>
  <si>
    <t>b21196187</t>
  </si>
  <si>
    <t>b24606959</t>
  </si>
  <si>
    <t>Mountford, Charles P. (Charles Pearcy), 1890-1976, photographer</t>
  </si>
  <si>
    <t>Aboriginal man being decorated for Pukamuni ceremony</t>
  </si>
  <si>
    <t>Negative (120 mm, B&amp;W);RESERVE COLD STORAGE</t>
  </si>
  <si>
    <t>An Aboriginal man of Melville Island being decorated with paint for the final Pukamuni burial ceremony.</t>
  </si>
  <si>
    <t>Melville Island Expedition, 1954;Tiwi (Australian people) -- Rites and ceremonies;Melville Island (N.T.)</t>
  </si>
  <si>
    <t>Mountford-Sheard Collection</t>
  </si>
  <si>
    <t>b24606923</t>
  </si>
  <si>
    <t>Aboriginal woman decorated for Pukamuni ceremony</t>
  </si>
  <si>
    <t>An Aboriginal woman of Melville Island decorated for the Pukamuni burial ceremony.</t>
  </si>
  <si>
    <t>b24606960</t>
  </si>
  <si>
    <t>Aboriginal child decorated for Pukamuni ceremony</t>
  </si>
  <si>
    <t>An Aboriginal child of Melville Island decorated with paint for the Pukamuni burial ceremony.</t>
  </si>
  <si>
    <t>b21227925</t>
  </si>
  <si>
    <t>Members of the 1954 National Geographic expedition to Melville Island, pictured in front of the National Geographic Society flag</t>
  </si>
  <si>
    <t>Members of the 1954 National Geographic expedition to Melville Island, pictured in front of the National Geographic Society flag. From left, back row: Mr George Joy (cook), Eric Jolliffe (artist), Brian Daly (geologist), William E Harney (guide) Front row: Jane Goodale (ethnologist), Charles Mountford (expedition leader), Justice William E O'Douglas.</t>
  </si>
  <si>
    <t>Mountford, Charles P. (Charles Pearcy), 1890-1976;Melville Island Expedition, 1954;Scientific expeditions -- Australia;Melville Island (N.T.)</t>
  </si>
  <si>
    <t>b24606972</t>
  </si>
  <si>
    <t>Aboriginal man (Jack Navy) holding cooked Kulama Yam</t>
  </si>
  <si>
    <t>An Aboriginal man of Melville Island, identified as Jack Navy, holding a cooked Kulama Yam against his body to prevent sickness, during the annual Kulama Ceremony.</t>
  </si>
  <si>
    <t>b29270327</t>
  </si>
  <si>
    <t>St. Philips Kindergarten</t>
  </si>
  <si>
    <t>1 photograph : black and white   6.4 x 8.8 cm;still image sti rdacontent;unmediated n rdamedia;sheet nb rdacarrier</t>
  </si>
  <si>
    <t>St. Philips Kindergarten, Galway Avenue, Broadview. Ann Pritchard is the girl on the left. To see all photographs in this collection, search on Archival number PRG 1561/5/1.</t>
  </si>
  <si>
    <t>St. Philips Pre-School Kindergarten;Barley -- South Australia;Kindergarten facilities -- South Australia -- Broadview</t>
  </si>
  <si>
    <t>b30267341</t>
  </si>
  <si>
    <t>Advertiser Newspapers Ltd.</t>
  </si>
  <si>
    <t>Children of Elizabeth Willis</t>
  </si>
  <si>
    <t>1 electronic file (photograph) : black and white   20.7 x 15.1 cm;still image sti rdacontent;computer c rdamedia;online resource cr rdacarrier</t>
  </si>
  <si>
    <t>Children ofr Elizabeth (Betty) Willis (nee Corbin) and her husband John Willis. L-R: Rebecca, Maria, Susie, and Elizabeth.</t>
  </si>
  <si>
    <t>b31832817</t>
  </si>
  <si>
    <t>Maxwell Kosavinc</t>
  </si>
  <si>
    <t>Maxwell Kosavinc.</t>
  </si>
  <si>
    <t>Kosavinc, Maxwell</t>
  </si>
  <si>
    <t>b31832842</t>
  </si>
  <si>
    <t>All Saints' Church of England</t>
  </si>
  <si>
    <t>All Saints' Church of England, Holden Street, Hindmarsh.</t>
  </si>
  <si>
    <t>All Saints' Church (Hindmarsh, S.A.);Church buildings -- South Australia -- Hindmarsh</t>
  </si>
  <si>
    <t>b31832854</t>
  </si>
  <si>
    <t>b31833068</t>
  </si>
  <si>
    <t>Stanley Nicholl</t>
  </si>
  <si>
    <t>Stanley Nicholl sitting reading a book titled 'Portrait of Canterbury Cathedral'. He is wearing a St. Peter's College blazer and sitting beside a tapestry that has an exhibit entry for the Royal Show in the frame.</t>
  </si>
  <si>
    <t>Nicholl, Stanley McLaren, 1919-1995;Books and reading -- South Australia;Interior architecture -- South Australia;Tapestry -- South Australia</t>
  </si>
  <si>
    <t>b31833627</t>
  </si>
  <si>
    <t>Lounge room interior</t>
  </si>
  <si>
    <t>Interior view of lounge room where Stanley Nicholl was photographed. Objects in the room include a chair, a fire place, a workman's bag, a mantle clock, a bolt action rifle, a pair of dueling pistols, a tapestry, and a built in bookcase.</t>
  </si>
  <si>
    <t>Books and reading -- South Australia;Interior architecture -- South Australia</t>
  </si>
  <si>
    <t>b31833640</t>
  </si>
  <si>
    <t>Interior view of lounge room showing a mantle piece with a framed image of a cathedral interior and four small silhouettes.</t>
  </si>
  <si>
    <t>Interior architecture -- South Australia</t>
  </si>
  <si>
    <t>b31833676</t>
  </si>
  <si>
    <t>Framed family tree</t>
  </si>
  <si>
    <t>Framed family tree with portraits of individuals.</t>
  </si>
  <si>
    <t>b3183310x</t>
  </si>
  <si>
    <t>Stanley Nicholl sitting at a desk. A National Bank of Australasia calendar for 1954 is pinned to a sidetable.</t>
  </si>
  <si>
    <t>Nicholl, Stanley Mclaren, 1919-1995</t>
  </si>
  <si>
    <t>b31833123</t>
  </si>
  <si>
    <t>Stanley Nicholl leans against a bookcase reading a book titled 'The National and Tate Galleries'. He is wearing a St. Peter's College blazer.</t>
  </si>
  <si>
    <t>Nicholl, Stanley McLaren, 1919-1995;Books and reading -- South Australia;Interior architecture -- South Australia</t>
  </si>
  <si>
    <t>b31833160</t>
  </si>
  <si>
    <t>Stanley Nicholl stands inside a doorway looking at a bookcase. He is wearing a St. Peter's College blazer.</t>
  </si>
  <si>
    <t>b31833172</t>
  </si>
  <si>
    <t>Stanley and Dorothy Nicholl</t>
  </si>
  <si>
    <t>Stanley Nicholl in the garden of his parent's residence with his mother, Dorothy nee Webb. He is wearing a St. Peter's College blazer.</t>
  </si>
  <si>
    <t>Nicholl, Stanley McLaren, 1919-1995;Webb, Dorothy Louisa May McLaren, 1880-1958</t>
  </si>
  <si>
    <t>b31833184</t>
  </si>
  <si>
    <t>Dorothy Louisa May McLaren Nicholl</t>
  </si>
  <si>
    <t>Dorothy Louisa May McLaren Nicholl nee Webb in her garden.</t>
  </si>
  <si>
    <t>Webb, Dorothy Louisa May McLaren, 1880-1958</t>
  </si>
  <si>
    <t>b31833457</t>
  </si>
  <si>
    <t>Dorothy Louisa May McLaren Nicholl nee Webb sitting in a lounge chair reading a copy of 'The Peel Trait' by Joseph C. Lincoln.</t>
  </si>
  <si>
    <t>Webb, Dorothy Louisa May McLaren, 1880-1958;Books and reading -- South Australia;Interior architecture -- South Australia</t>
  </si>
  <si>
    <t>b31833482</t>
  </si>
  <si>
    <t>Interior view of lounge room where Stanley Nicholl was photographed. Objects in the room include a fire place, a mantle clock, a bolt action rifle, a pair of dueling pistols, a Anchor Motor Spirit box, a tapestry, and a built in bookcase holding an incomplete set of the New Age Encyclopaedia, the Holy Bible in three volumes, Walkabout Vol. 16, Webster's New International Dictionary, Manual of Psychology, and Australia 1950 : The Advertiser Year Book.</t>
  </si>
  <si>
    <t>b31833524</t>
  </si>
  <si>
    <t>Stanley Nicholl at No. 11 Sixth Avenue, St. Peters</t>
  </si>
  <si>
    <t>Stanley Nicholl standing in the gateway to his parent's house at No. 11 Sixth Avenue, St. Peters. It is partially hidden behind a hedge. He is wearing a St. Peter's College blazer.</t>
  </si>
  <si>
    <t>Nicholl, Stanley McLaren, 1919-1995;Architecture, Domestic -- South Australia -- St Peters</t>
  </si>
  <si>
    <t>b31835302</t>
  </si>
  <si>
    <t>Unidentified man wearing bib and brace overalls</t>
  </si>
  <si>
    <t>Unidentified man wearing bib and brace overalls at the scene of an accident involving a Electricity Trust truck.</t>
  </si>
  <si>
    <t>b31836732</t>
  </si>
  <si>
    <t>E.T.S.A. crash</t>
  </si>
  <si>
    <t>A Electricity Trust truck being returned to its wheels by a crane belonging to Diesel Services Ltd following an accident.</t>
  </si>
  <si>
    <t>Electricity Trust of South Australia;Cranes, derricks, etc. -- South Australia;Traffic accidents -- South Australia;Trucks -- South Australia</t>
  </si>
  <si>
    <t>b31836756</t>
  </si>
  <si>
    <t>b31836768</t>
  </si>
  <si>
    <t>A rigger attaches wire rope slings to an Electricity Trust truck prior to returning it to its wheels by a crane belonging to Diesel Services Ltd. following an accident. The jib of another mobile crane belonging to the Electricity Trust of South Australia can be seen behind the rigger.</t>
  </si>
  <si>
    <t>b3183677x</t>
  </si>
  <si>
    <t>A rigger attaches wire rope slings to a pole prior to it being lifted by an Electricity Trust mobile crane. Numerous men watch from the foot path.</t>
  </si>
  <si>
    <t>b31836781</t>
  </si>
  <si>
    <t>A rigger attaches wire rope slings to an overturned Electricity Trust truck prior to returning it to its wheels with the aid of a crane belonging to Diesel Services Ltd.</t>
  </si>
  <si>
    <t>b31829752</t>
  </si>
  <si>
    <t>Elizabeth Derby with Mrs. W. Beauchamp</t>
  </si>
  <si>
    <t>A young girl with an older woman described by Vic Grimmett as Elizabeth Derby with Mrs. W. Beauchamp.</t>
  </si>
  <si>
    <t>Women's clothing -- South Australia;Children's clothing -- South Australia</t>
  </si>
  <si>
    <t>b31829776</t>
  </si>
  <si>
    <t>Two young girls sitting on a fence</t>
  </si>
  <si>
    <t>Two young girls sitting on a fence, one is described by Vic Grimmett as Elizabeth Derby.</t>
  </si>
  <si>
    <t>Children's clothing -- South Australia</t>
  </si>
  <si>
    <t>b31829788</t>
  </si>
  <si>
    <t>A young girl sitting on a fence</t>
  </si>
  <si>
    <t>A young girl sitting on a fence described by Vic Grimmett as Elizabeth Derby.</t>
  </si>
  <si>
    <t>b31829818</t>
  </si>
  <si>
    <t>A young woman named Janet</t>
  </si>
  <si>
    <t>A young woman named Janet.</t>
  </si>
  <si>
    <t>Women's clothing -- South Australia</t>
  </si>
  <si>
    <t>b31829892</t>
  </si>
  <si>
    <t>b31829909</t>
  </si>
  <si>
    <t>A debutante named Janet</t>
  </si>
  <si>
    <t>A debutante named Janet.</t>
  </si>
  <si>
    <t>Debutantes -- South Australia;Women's clothing -- South Australia</t>
  </si>
  <si>
    <t>b31829922</t>
  </si>
  <si>
    <t>b31829934</t>
  </si>
  <si>
    <t>b31829946</t>
  </si>
  <si>
    <t>b31829958</t>
  </si>
  <si>
    <t>b3182996x</t>
  </si>
  <si>
    <t>A debutante named Janet sitting with a young man</t>
  </si>
  <si>
    <t>A debutante named Janet sitting with a young man.</t>
  </si>
  <si>
    <t>Debutantes -- South Australia;Men's clothing -- South Australia;Women's clothing -- South Australia</t>
  </si>
  <si>
    <t>b31830201</t>
  </si>
  <si>
    <t>b31245560</t>
  </si>
  <si>
    <t>Violet Edith Frost (nee Murray) on honeymoon, Victor Harbor</t>
  </si>
  <si>
    <t>1 photograph (digital copy) : black and white, negative;still image sti rdacontent;computer c rdamedia;online resource cr rdacarrier;image file TIFF 155 mb 7653 x 10668 pixels.</t>
  </si>
  <si>
    <t>Digital copy of a black and white photograph of Violet Edith Frost (nee Murray) on Granite Island during her honeymoon with Arthur at Victor Harbor.</t>
  </si>
  <si>
    <t>Frost, Violet Edith, 1935-1997;Honeymoons -- South Australia -- Victor Harbor;Granite Island (S.A.)</t>
  </si>
  <si>
    <t>Granite Island Collection;Victor Harbor Collection;Portrait Collection</t>
  </si>
  <si>
    <t>b31245572</t>
  </si>
  <si>
    <t>Arthur Stanley Frost on honeymoon, Victor Harbor</t>
  </si>
  <si>
    <t>1 photograph (digital copy) : black and white, negative;still image sti rdacontent;computer c rdamedia;online resource cr rdacarrier;image file TIFF 144 mb 10426 x 7272 pixels.</t>
  </si>
  <si>
    <t>Digital copy of a black and white photograph of Arthur Stanley Frost at Granite Island while on honeymoon with Violet at Victor Harbor, with The Bluff in the background.</t>
  </si>
  <si>
    <t>Frost, Arthur Stanley, 1927-2000;Honeymoons -- South Australia -- Victor Harbor;Granite Island (S.A.)</t>
  </si>
  <si>
    <t>b31245584</t>
  </si>
  <si>
    <t>House on Granite Island</t>
  </si>
  <si>
    <t>1 photograph (digital copy) : black and white, negative;still image sti rdacontent;computer c rdamedia;online resource cr rdacarrier;image file TIFF 146 mb 10592 x 7267 pixels.</t>
  </si>
  <si>
    <t>Digital copy of a black and white photograph of a house and shed near the breakwater on Granite Island, with the tracks for the horse-drawn tram in view. Photograph taken by Arthur and Violet Frost while on their honeymoon in Victor Harbor.</t>
  </si>
  <si>
    <t>Buildings -- South Australia -- Granite Island;Islands -- South Australia;Granite Island (S.A.)</t>
  </si>
  <si>
    <t>Victor Harbor Collection;Granite Island Collection</t>
  </si>
  <si>
    <t>b31245602</t>
  </si>
  <si>
    <t>View along the causeway towards Granite Island</t>
  </si>
  <si>
    <t>1 photograph (digital copy) : black and white, negative;still image sti rdacontent;computer c rdamedia;online resource cr rdacarrier;image file TIFF 149 mb 10567 x 7417 pixels.</t>
  </si>
  <si>
    <t>Digital copy of a black and white photograph of a view looking down the causeway towards Granite Island, with the breakwater and horse-drawn tram tracks in view. Photograph taken by Arthur and Violet Frost while on their honeymoon in Victor Harbor.</t>
  </si>
  <si>
    <t>Causeways -- South Australia -- Victor Harbor;Causeways -- South Australia -- Granite Island;Islands -- South Australia;Granite Island (S.A.)</t>
  </si>
  <si>
    <t>b3124564x</t>
  </si>
  <si>
    <t>Arthur Stanley Frost with 'Puppy', Wistow</t>
  </si>
  <si>
    <t>1 photograph (digital copy) : black and white, negative;still image sti rdacontent;computer c rdamedia;online resource cr rdacarrier;image file TIFF 142 mb 10372 x 7224 pixels.</t>
  </si>
  <si>
    <t>Digital copy of a black and white photograph of Arthur Stanley Frost with 'Puppy', the Frost family's blue heeler as a pup in the house yard, Fidler Lane.</t>
  </si>
  <si>
    <t>Frost, Arthur Stanley, 1927-2000;Australian cattle dog -- South Australia -- Wistow;Puppies -- South Australia -- Wistow;Men -- South Australia -- Wistow</t>
  </si>
  <si>
    <t>Mount Barker Collection;Wistow Collection</t>
  </si>
  <si>
    <t>b31245675</t>
  </si>
  <si>
    <t>Violet Edith Frost (nee Murray) with 'Puppy', Wistow</t>
  </si>
  <si>
    <t>1 photograph (digital copy) : black and white, negative;still image sti rdacontent;computer c rdamedia;online resource cr rdacarrier;image file TIFF 145 mb 10550 x 7250 pixels.</t>
  </si>
  <si>
    <t>Digital copy of a black and white photograph of Violet Edith Frost (nee Murray) with 'Puppy', the Frost family's blue heeler as a puppy in the house yard, Fidler Lane.</t>
  </si>
  <si>
    <t>Frost, Violet Edith, 1935-1997;Puppies -- South Australia -- Wistow;Australian cattle dog -- South Australia -- Wistow;Women -- South Australia -- Wistow</t>
  </si>
  <si>
    <t>b31245936</t>
  </si>
  <si>
    <t>1 photograph (digital copy) : black and white, negative;still image sti rdacontent;computer c rdamedia;online resource cr rdacarrier;image file TIFF 133 mb 9773 x 7139 pixels.</t>
  </si>
  <si>
    <t>Digital copy of a black and white photograph of Violet Edith Frost (nee Murray) playing with 'Puppy', the Frost family's blue heeler, in the house yard on Fidler Lane.</t>
  </si>
  <si>
    <t>Frost, Violet Edith, 1935-1997;Australian cattle dog -- South Australia -- Wistow;Women -- South Australia -- Wistow</t>
  </si>
  <si>
    <t>b31391977</t>
  </si>
  <si>
    <t>Valentine Publishing Co. (Melbourne &amp; Sydney, Aust.), photographer</t>
  </si>
  <si>
    <t>Post Office and Shire Hall, Bordertown</t>
  </si>
  <si>
    <t>1 postcard : black and white   14 x 8.8 cm;RESERVE 1 a;still image sti rdacontent;unmediated n rdamedia;sheet nb rdacarrier</t>
  </si>
  <si>
    <t>Postcard showing Post Office and 'Shire' Hall, Woolshed Street, Bordertown. The other side has been written on by Erwin Aeuckens and is addressed to Miss Elisabeth Nemeth (later his wife).</t>
  </si>
  <si>
    <t>Post office buildings -- South Australia -- Bordertown;Municipal Buildings -- South Australia -- Bordertown</t>
  </si>
  <si>
    <t>b31993540</t>
  </si>
  <si>
    <t>Portrait of Sir Keith Smith</t>
  </si>
  <si>
    <t>[approximately 1954]</t>
  </si>
  <si>
    <t>1 photograph : black and white   24.2 x 19.1 cm, in frame 32 x 39.5 cm;RESERVE 1 Flatworks;still image sti rdacontent;unmediated n rdamedia;sheet nb rdacarrier</t>
  </si>
  <si>
    <t>Portrait of Keith Smith, K.B.E., F.R.G.S., President of the Sydney Branch of The Overseas League from 1930-1955.</t>
  </si>
  <si>
    <t>b21099133</t>
  </si>
  <si>
    <t>Mount Gambier High School Debating Team</t>
  </si>
  <si>
    <t>Mount Gambier High School debating team 1954. Standing: Robert Lawrence and Margaret Pitman. Seated: Sandra Pritchard and Margaret Storck.</t>
  </si>
  <si>
    <t>Storck, Margaret;Lowe, Ann;Pritchard, Sandra;Lawrence, Robert;Mount Gambier High School -- Students -- South Australia</t>
  </si>
  <si>
    <t>b21167953</t>
  </si>
  <si>
    <t>Jane Edwina Ey</t>
  </si>
  <si>
    <t>Photograph of Miss Jane Edwina Ey dressed in character costume as Little Bo Peep. The photograph was taken in the studio when Miss Ey was approximately six years old. Jane was born on 19 August 1948 to Edwin (Ted) Joseph Otto Ey and wife May (nee Salisbury).</t>
  </si>
  <si>
    <t>Ey, Jane Edwina, 1948-;Children -- South Australia -- Mount Gambier;Costume -- Children -- South Australia -- Mount Gambier</t>
  </si>
  <si>
    <t>b21169020</t>
  </si>
  <si>
    <t>Bruce Forgan</t>
  </si>
  <si>
    <t>Photograph of Master Forgan sitting on a tricycle in the studio in Mount Gambier. He is approximately three years old and is wearing a sailor suit.</t>
  </si>
  <si>
    <t>Forgan, Bruce, 1951-;Children -- South Australia -- Mount Gambier</t>
  </si>
  <si>
    <t>b20853919</t>
  </si>
  <si>
    <t>Goolwa horse-drawn tram carriage being transported on a rail truck</t>
  </si>
  <si>
    <t>Photoprint  10 x 15.5 cm</t>
  </si>
  <si>
    <t>Goolwa horse-drawn tram carriage being transported on a rail truck, its label reading 'First horse drawn railway carriage, S.A. 1854'. [Photo is dated 18 May 1954 when the centenary of the railway was celebrated. This is the replica of the first passenger truck being transported on the centenary train].</t>
  </si>
  <si>
    <t>Trams -- South Australia -- Goolwa;Horse-drawn vehicles -- South Australia -- Goolwa</t>
  </si>
  <si>
    <t>b29500205</t>
  </si>
  <si>
    <t>Dame Roma Mitchell</t>
  </si>
  <si>
    <t>1 photograph : black and white   20.3cm x 15.2 cm;still image sti rdacontent;unmediated n rdamedia;sheet nb rdacarrier</t>
  </si>
  <si>
    <t>Portrait of Dame Roma Mitchell.</t>
  </si>
  <si>
    <t>Mitchell, Roma, Dame, 1913-2000</t>
  </si>
  <si>
    <t>Dame Roma Mitchell Collection</t>
  </si>
  <si>
    <t>b29555097</t>
  </si>
  <si>
    <t>O.K. Ditter</t>
  </si>
  <si>
    <t>[Approximately 1954]</t>
  </si>
  <si>
    <t>Mr. O.K. Ditter, aged 65 in 1954. To see a selection of photographs in this collection, search on Archival number PRG 1631/45.</t>
  </si>
  <si>
    <t>b29526735</t>
  </si>
  <si>
    <t>Young man and woman on a motorcycle</t>
  </si>
  <si>
    <t>1 photograph : black and white   15.4 x 10.6 cm;OUTSIZE 1;still image sti rdacontent;unmediated n rdamedia;sheet nb rdacarrier</t>
  </si>
  <si>
    <t>Man and woman on a Triumph motorcycle with the number plate SA18546. To see a selection of photographs in this collection, search on Archival number PRG 1631/5.</t>
  </si>
  <si>
    <t>Motorcycles -- South Australia</t>
  </si>
  <si>
    <t>b31273427</t>
  </si>
  <si>
    <t>Louise Dowling</t>
  </si>
  <si>
    <t>Louise Dowling.</t>
  </si>
  <si>
    <t>Dowling, Louise;Infants -- South Australia</t>
  </si>
  <si>
    <t>b31273567</t>
  </si>
  <si>
    <t>Front exterior view of a house</t>
  </si>
  <si>
    <t>Front exterior view of a suburban house.</t>
  </si>
  <si>
    <t>Architecture, Domestic -- 20th Century -- South Australia</t>
  </si>
  <si>
    <t>b31273579</t>
  </si>
  <si>
    <t>b31273580</t>
  </si>
  <si>
    <t>Plan of a house for V.C. Grimmett</t>
  </si>
  <si>
    <t>Drawing and plan of a "proposed house at Underdale for V.C. Grimmett Esq".</t>
  </si>
  <si>
    <t>Architecture, Domestic -- 20th Century -- South Australia -- Underdale</t>
  </si>
  <si>
    <t>b31273592</t>
  </si>
  <si>
    <t>A double garage and house viewed from the driveway</t>
  </si>
  <si>
    <t>A night photograph of a double garage and the side of a house viewed from the driveway.</t>
  </si>
  <si>
    <t>b31273609</t>
  </si>
  <si>
    <t>Interior of a room with a sink and a kitchen table</t>
  </si>
  <si>
    <t>Interior of a room with a kitchen sink and a table and chairs. A bakelite radio is on a shelf.</t>
  </si>
  <si>
    <t>b31273610</t>
  </si>
  <si>
    <t>China cabinet</t>
  </si>
  <si>
    <t>A china cabinet with open glass doors revealing glassware, cups and saucers.</t>
  </si>
  <si>
    <t>Furniture -- South Australia</t>
  </si>
  <si>
    <t>b31273646</t>
  </si>
  <si>
    <t>Young woman</t>
  </si>
  <si>
    <t>A young woman wearing a skirt and blouse and carrying a handbag.</t>
  </si>
  <si>
    <t>b31273658</t>
  </si>
  <si>
    <t>Woman wearing an apron</t>
  </si>
  <si>
    <t>A woman wearing a cardigan and apron standing beside a desk in a lounge room. According to a researcher, the woman is Maureen Grimmett (nee O'Farrell).</t>
  </si>
  <si>
    <t>Grimmett, Maureen</t>
  </si>
  <si>
    <t>b31273440</t>
  </si>
  <si>
    <t>South African War Memorial</t>
  </si>
  <si>
    <t>South African War Memorial on the corner of North Terrace and King William Street, Adelaide.</t>
  </si>
  <si>
    <t>South African War Memorial (Adelaide, S.A.);War memorials -- South Australia -- Adelaide</t>
  </si>
  <si>
    <t>b31273464</t>
  </si>
  <si>
    <t>C.S. Jackman &amp; Co., Drapers</t>
  </si>
  <si>
    <t>C.S. Jackman &amp; Co., Drapers, 162 Henley Beach Road, Torrensville, South Australia.</t>
  </si>
  <si>
    <t>Stores, Retail -- South Australia -- Torrensville</t>
  </si>
  <si>
    <t>b3127349x</t>
  </si>
  <si>
    <t>Boy on a tricycle</t>
  </si>
  <si>
    <t>Young boy riding a tricycle.</t>
  </si>
  <si>
    <t>Toys -- South Australia;Tricycles -- South Australia</t>
  </si>
  <si>
    <t>b31273506</t>
  </si>
  <si>
    <t>Australian Kelpie</t>
  </si>
  <si>
    <t>Australian Kelpie dog wearing a collar and registration tag.</t>
  </si>
  <si>
    <t>Dogs -- South Australia;Australian kelpie -- South Australia</t>
  </si>
  <si>
    <t>b31273518</t>
  </si>
  <si>
    <t>Group holding bottles of Southwark Bitter Beer</t>
  </si>
  <si>
    <t>A woman with three men and two boys laughing while holding up bottles of Southwark Bitter Beer. The man on the left is Robert Mason and the two boys are his sons, Kirk and Scott Mason.</t>
  </si>
  <si>
    <t>Mason, Robert Kirk, 1920-1991;Mason, Kirk James;Mason, Scott Robert;Beer -- South Australia</t>
  </si>
  <si>
    <t>b31273531</t>
  </si>
  <si>
    <t>House on corner of Arnold Street and Holbrooks Road, Underdale</t>
  </si>
  <si>
    <t>House and Stobie Pole on the north west corner of Arnold Street and Holbrooks Road, Underdale, South Australia.</t>
  </si>
  <si>
    <t>b31273543</t>
  </si>
  <si>
    <t>Front exterior view of a house.</t>
  </si>
  <si>
    <t>b31273555</t>
  </si>
  <si>
    <t>b31273683</t>
  </si>
  <si>
    <t>Judith Lang</t>
  </si>
  <si>
    <t>A woman with a young girl named Judith holding a toy Koala Bear.</t>
  </si>
  <si>
    <t>Lang, Judith;Children -- South Australia;Toys -- South Australia</t>
  </si>
  <si>
    <t>b31273695</t>
  </si>
  <si>
    <t>A young girl named Judith with a toy Koala Bear.</t>
  </si>
  <si>
    <t>b31273762</t>
  </si>
  <si>
    <t>Patricia Mason with her two sons, Kirk and Scott</t>
  </si>
  <si>
    <t>Patricia Estelle Mason nee Bradshaw with her two sons, Kirk and Scott.</t>
  </si>
  <si>
    <t>Bradshaw, Patricia Estelle;Mason, Kirk James;Mason, Scott Robert;Children -- South Australia</t>
  </si>
  <si>
    <t>b31273786</t>
  </si>
  <si>
    <t>Patricia Mason with her two sons, Kirk and Scott.</t>
  </si>
  <si>
    <t>Patricia Estelle Mason nee Bradshaw with her two sons, Kirk and Scott, and another woman. According to a researcher, the other woman in the picture is Maureen Grimmett.</t>
  </si>
  <si>
    <t>b31273749</t>
  </si>
  <si>
    <t>Kirk and Scott Mason</t>
  </si>
  <si>
    <t>Two young boys, Kirk and Scott Mason, reading a book titled 'Elizabeth crowned Queen : the pictorial record of the coronation'.</t>
  </si>
  <si>
    <t>Mason, Kirk James;Mason, Scott Robert;Children -- South Australia;Picture books</t>
  </si>
  <si>
    <t>b31273798</t>
  </si>
  <si>
    <t>Robert Mason with his two sons, Kirk and Scott</t>
  </si>
  <si>
    <t>Robert Kirk Mason sitting on a bench with his two sons, Kirk and Scott.</t>
  </si>
  <si>
    <t>Mason, Robert Kirk, 1920-1991;Mason, Kirk James;Mason, Scott Robert;Children -- South Australia</t>
  </si>
  <si>
    <t>b31273701</t>
  </si>
  <si>
    <t>Two young boys, Kirk and Scott Mason sitting on a tricycle and a pedal car.</t>
  </si>
  <si>
    <t>Mason, Kirk James;Mason, Scott Robert;Children -- South Australia;Toys -- South Australia</t>
  </si>
  <si>
    <t>b31273713</t>
  </si>
  <si>
    <t>Two young boys, Kirk and Scott Mason, sitting on tricycles.</t>
  </si>
  <si>
    <t>Mason, Kirk James;Mason, Scott Robert;Children -- South Australia;Toys -- South Australia;Tricycles -- South Australia</t>
  </si>
  <si>
    <t>b31273725</t>
  </si>
  <si>
    <t>b31273750</t>
  </si>
  <si>
    <t>Two young boys, Kirk and Scott Mason, sitting up in bed reading. One is reading a book titled 'More Rupert adventures', published in 1952, and the other is reading a book titled 'Mickey Mouse Annual'.</t>
  </si>
  <si>
    <t>b31273804</t>
  </si>
  <si>
    <t>Vic and Maureen Grimmett</t>
  </si>
  <si>
    <t>Vic Grimmett and Maureen Grimmett nee O'Farrell.</t>
  </si>
  <si>
    <t>Grimmett, Vic, 1923-2017</t>
  </si>
  <si>
    <t>b31273816</t>
  </si>
  <si>
    <t>Vic Grimmett</t>
  </si>
  <si>
    <t>Vic Grimmett.</t>
  </si>
  <si>
    <t>b31273828</t>
  </si>
  <si>
    <t>b3127383x</t>
  </si>
  <si>
    <t>Vic Grimmett holding a camera</t>
  </si>
  <si>
    <t>Vic Grimmett holding a Zeiss Ikon Super Ikonta B camera with a flash unit attached.</t>
  </si>
  <si>
    <t>b31273841</t>
  </si>
  <si>
    <t>Vic Grimmett enjoying a glass of beer.</t>
  </si>
  <si>
    <t>b3127562x</t>
  </si>
  <si>
    <t>Popeye on the Torrens River</t>
  </si>
  <si>
    <t>Popeye motor launch on the Torrens River after passing under the Adelaide Bridge.</t>
  </si>
  <si>
    <t>Popeye (Boat);Bridges -- South Australia -- Adelaide;Swans -- South Australia -- Adelaide;Adelaide Bridge (Adelaide, S.A.)</t>
  </si>
  <si>
    <t>Grimmett Collection;Torrens Lake Collection</t>
  </si>
  <si>
    <t>b31275643</t>
  </si>
  <si>
    <t>Adelaide Railway Station viewed across the Torrens Lake</t>
  </si>
  <si>
    <t>A woman leaning against a tree beside the Torrens Lake looks toward the Adelaide Railway Station.</t>
  </si>
  <si>
    <t>Adelaide Railway Station;Railroad stations -- South Australia -- Adelaide;Torrens, Lake (Adelaide, S.A.)</t>
  </si>
  <si>
    <t>b31275655</t>
  </si>
  <si>
    <t>St. Peter's Cathedral, Adelaide</t>
  </si>
  <si>
    <t>St. Peter's Cathedral, Adelaide.</t>
  </si>
  <si>
    <t>St. Peter's Cathedral (Adelaide, S.A.);Cathedrals -- South Australia -- Adelaide</t>
  </si>
  <si>
    <t>Grimmett Collection;Acre 704 Collection</t>
  </si>
  <si>
    <t>b31275667</t>
  </si>
  <si>
    <t>Torrens Parade Ground and Drill Hall</t>
  </si>
  <si>
    <t>Torrens Parade Ground and Drill Hall.</t>
  </si>
  <si>
    <t>Torrens Parade Ground (Adelaide, S.A.)</t>
  </si>
  <si>
    <t>b31275679</t>
  </si>
  <si>
    <t>Horse racing At Victoria Park, Adelaide</t>
  </si>
  <si>
    <t>Horse racing At Victoria Park, Adelaide.</t>
  </si>
  <si>
    <t>Victoria Park Racecourse (Adelaide,  S.A.);Horse-racing -- South Australia -- Adelaide;Jockeys -- South Australia -- Adelaide;Race horses -- South Australia -- Adelaide</t>
  </si>
  <si>
    <t>b30853801</t>
  </si>
  <si>
    <t>Leonard Ward driving a 'Curdimurka' salt harvester</t>
  </si>
  <si>
    <t>1 photograph : black and white   20.3 x 15.6 cm, on sheet 29.6 x 21 cm;RESERVE 1 slides;still image sti rdacontent;unmediated n rdamedia;sheet nb rdacarrier</t>
  </si>
  <si>
    <t>Black and white portrait of Leonard Rosslyn Ward, a civil engineer working for Imperial Chemical Industries (ICI), driving the largest salt harvesting machine called 'Curdimurka'. He is wearing overalls, gloves, a hard hat and has a pipe in his mouth. The 'Curdimurka' harvester was named after mythical monsters which inhabited a water hole near Lake Eyre. The machine had the capability of harvesting 850 tons of salt every hour.</t>
  </si>
  <si>
    <t>Ward, Leonard Rosslyn, 1908-1986;Salt -- South Australia;Salt workers -- South Australia;Harvesting machinery -- South Australia</t>
  </si>
  <si>
    <t>b31245638</t>
  </si>
  <si>
    <t>Cottage on Fidler Lane, Wistow</t>
  </si>
  <si>
    <t>1 photograph (digital copy) : black and white, negative;still image sti rdacontent;computer c rdamedia;online resource cr rdacarrier;image file TIFF 152 mb 10610 x 7524 pixels.</t>
  </si>
  <si>
    <t>Digital copy of a black and white photograph of the house on the farm purchased by Arthur and Violet Frost on Fidler Lane, between Mount Barker and Wistow.</t>
  </si>
  <si>
    <t>Dwellings -- South Australia -- Mount Barker;Cottages -- South Australia -- Wistow</t>
  </si>
  <si>
    <t>b31245687</t>
  </si>
  <si>
    <t>Arthur Stanley Frost with 'Puppy', cat and calf, Wistow</t>
  </si>
  <si>
    <t>1 photograph (digital copy) : black and white, negative;still image sti rdacontent;computer c rdamedia;online resource cr rdacarrier;image file TIFF 147 mb 10509 x 7344 pixels.</t>
  </si>
  <si>
    <t>Digital copy of a black and white photograph of Arthur Stanley Frost with 'Puppy', the Frost family's blue heeler, their cat and a dairy calf in the house yard, Fidler Lane.</t>
  </si>
  <si>
    <t>Frost, Arthur Stanley, 1927-2000;Men -- South Australia -- Wistow;Australian cattle dog -- South Australia -- Wistow;Cats -- South Australia -- Wistow;Calves -- South Australia -- Wistow</t>
  </si>
  <si>
    <t>b31245705</t>
  </si>
  <si>
    <t>'Puppy' up a ladder, Wistow</t>
  </si>
  <si>
    <t>1 photograph (digital copy) : black and white, negative;still image sti rdacontent;computer c rdamedia;online resource cr rdacarrier;image file TIFF 143 mb 10595 x 7094 pixels.</t>
  </si>
  <si>
    <t>Digital copy of a black and white photograph of the Frost family's blue heeler, 'Puppy', climbing up a ladder beside a rain water tank in house yard, Fidler Lane.</t>
  </si>
  <si>
    <t>Australian cattle dog -- South Australia -- Wistow</t>
  </si>
  <si>
    <t>b3124581x</t>
  </si>
  <si>
    <t>Arthur Stanley Frost with peach tree, Wistow</t>
  </si>
  <si>
    <t>1 photograph (digital copy) : black and white, negative;still image sti rdacontent;computer c rdamedia;online resource cr rdacarrier;image file TIFF 144 mb 10587 x 7179 pixels.</t>
  </si>
  <si>
    <t>Digital copy of a black and white photograph of Arthur Stanley Frost holding a peach beside one of the fruit trees on the farm on Fidler Lane, with 'Puppy' the Frost family's blue heeler looking up expectantly.</t>
  </si>
  <si>
    <t>Frost, Arthur Stanley, 1927-2000;Men -- South Australia -- Wistow;Peach -- South Australia -- Wistow;Fruit trees -- South Australia -- Wistow;Australian cattle dog -- South Australia -- Wistow</t>
  </si>
  <si>
    <t>b31245821</t>
  </si>
  <si>
    <t>Arthur Stanley Frost with dairy herd, Wistow</t>
  </si>
  <si>
    <t>1 photograph (digital copy) : black and white, negative;still image sti rdacontent;computer c rdamedia;online resource cr rdacarrier;image file TIFF 150 mb 10576 x 7443 pixels.</t>
  </si>
  <si>
    <t>Digital copy of a black and white photograph of the Frost family's herd of dairy cows in the paddock behind the house yard on Fidler Lane, believed to be feeding on lucerne, with Arthur Stanley Frost standing in the background.</t>
  </si>
  <si>
    <t>Frost, Arthur Stanley, 1927-2000;Dairy farmers -- South Australia -- Wistow;Dairy farming -- South Australia -- Wistow;Dairy cattle -- South Australia -- Wistow;Dairy cattle -- Feeding and feeds -- South Australia -- Wistow;Lucerne -- South Australia -- Wistow;Farms -- South Australia -- Wistow</t>
  </si>
  <si>
    <t>b31245857</t>
  </si>
  <si>
    <t>Dairy herd grazing on Frost farm, Wistow</t>
  </si>
  <si>
    <t>1 photograph (digital copy) : black and white, negative;still image sti rdacontent;computer c rdamedia;online resource cr rdacarrier;image file TIFF 153 mb 10737 x 7492 pixels.</t>
  </si>
  <si>
    <t>Digital copy of a black and white photograph of the Frost family's herd of dairy cows grazing in the South West paddock on Arthur and Violet Frost's farm, Fidler Lane.</t>
  </si>
  <si>
    <t>Dairy farming -- South Australia -- Wistow;Dairy cattle -- South Australia -- Wistow;Dairy cattle -- Feeding and feeds -- South Australia -- Wistow;Farms -- South Australia -- Wistow</t>
  </si>
  <si>
    <t>b31245882</t>
  </si>
  <si>
    <t>Potato paddock on Frost farm, Wistow</t>
  </si>
  <si>
    <t>1 photograph (digital copy) : black and white, negative;still image sti rdacontent;computer c rdamedia;online resource cr rdacarrier;image file TIFF 144 mb 10477 x 7225 pixels.</t>
  </si>
  <si>
    <t>Digital copy of a black and white photograph of Arthur Stanley Frost standing in the middle of his potato crop in the South East paddock, Fidler Lane, with 'Puppy' the Blue Heeler alongside.</t>
  </si>
  <si>
    <t>Frost, Arthur Stanley, 1927-2000;Potato growers -- South Australia -- Wistow;Potatoes -- South Australia -- Wistow;Crops -- South Australia -- Wistow;Farms -- South Australia -- Wistow</t>
  </si>
  <si>
    <t>b31246011</t>
  </si>
  <si>
    <t>Arthur Stanley Frost in potato paddock on Frost farm, Wistow</t>
  </si>
  <si>
    <t>1 photograph (digital copy) : black and white, negative;still image sti rdacontent;computer c rdamedia;online resource cr rdacarrier;image file TIFF 143 mb 10464 x 7196 pixels.</t>
  </si>
  <si>
    <t>Digital copy of a black and white photograph of Arthur Stanley Frost standing in the middle of his potato crop in the South East paddock, Fidler Lane, looking to the sky for signs of rain.</t>
  </si>
  <si>
    <t>b31245985</t>
  </si>
  <si>
    <t>Arthur Stanley Frost harvesting potatoes on Frost farm, Wistow</t>
  </si>
  <si>
    <t>1 photograph (digital copy) : black and white, negative;still image sti rdacontent;computer c rdamedia;online resource cr rdacarrier;image file TIFF 144 mb 10582 x 7162 pixels.</t>
  </si>
  <si>
    <t>Digital copy of a black and white photograph of Arthur Stanley Frost digging his potato crop with tractor and potato harvester in the South East paddock, Fidler Lane.</t>
  </si>
  <si>
    <t>Frost, Arthur Stanley, 1927-2000;Potato growers -- South Australia -- Wistow;Potatoes -- Harvesting -- South Australia -- Wistow;Harvesting machinery -- South Australia -- Wistow;Tractors -- South Australia;Agricultural machinery -- South Australia;Crops -- South Australia -- Wistow;Farms -- South Australia -- Wistow</t>
  </si>
  <si>
    <t>b31245997</t>
  </si>
  <si>
    <t>Harvesting potatoes on Frost farm, Wistow</t>
  </si>
  <si>
    <t>1 photograph (digital copy) : black and white, negative;still image sti rdacontent;computer c rdamedia;online resource cr rdacarrier;image file TIFF 144 mb 10526 x 7178 pixels.</t>
  </si>
  <si>
    <t>Digital copy of a black and white photograph of bags of harvested potatoes lined up in hessian potato bags in a freshly dug paddock. South East corner, Fidler Lane.</t>
  </si>
  <si>
    <t>Potatoes -- Harvesting -- South Australia -- Wistow;Crops -- South Australia -- Wistow;Farms -- South Australia -- Wistow</t>
  </si>
  <si>
    <t>b31246023</t>
  </si>
  <si>
    <t>Irrigating potato crop, Frost farm, Wistow</t>
  </si>
  <si>
    <t>1 photograph (digital copy) : black and white;still image sti rdacontent;computer c rdamedia;online resource cr rdacarrier;image file TIFF 152 mb 7453 x 10720 pixels.</t>
  </si>
  <si>
    <t>Digital copy of a black and white photograph of a view looking West down rows of potatoes towards the pasture paddock on the Frost farm, Fidler Lane. Seen here the crop is being irrigated with rows of sprinklers, with the house yard in view to the right.</t>
  </si>
  <si>
    <t>Potatoes -- South Australia -- Wistow;Potatoes -- Irrigation -- South Australia -- Wistow;Crops -- South Australia -- Wistow;Farms -- South Australia -- Wistow</t>
  </si>
  <si>
    <t>b21103045</t>
  </si>
  <si>
    <t>All Brands Pty.Ltd</t>
  </si>
  <si>
    <t>Photograph of Mrs. John Campbell winning a Helvetia sewing machine at the All Brands grocery store in 1955.</t>
  </si>
  <si>
    <t>Campbell, John, Mrs;All Brands (Mount Gambier, S.A.);Sewing machines;General stores -- South Australia -- Mount Gambier</t>
  </si>
  <si>
    <t>b21101966</t>
  </si>
  <si>
    <t>Rockmans Dress Shop and the Capitol Milk Bar</t>
  </si>
  <si>
    <t>Photograph of Rockman's Dress Shop and the Capitol Milk Bar and Fish Cafe on 28th January 1955, Mount Gambier. Rockman's is advertising its 'Annual Summer Sale'.</t>
  </si>
  <si>
    <t>Capitol Milk Bar and Fish Cafe (Mount Gambier, S.A.);Rockman Dress Shop (Mount Gambier, S.A.);Restaurants -- South Australia -- Mount Gambier;Stores, Retail -- South Australia -- Mount Gambier</t>
  </si>
  <si>
    <t>b21100883</t>
  </si>
  <si>
    <t>Photograph of the ANZ bank on 28th January 1955, Mount Gambier.</t>
  </si>
  <si>
    <t>b21100895</t>
  </si>
  <si>
    <t>Photograph of the ANZ bank and a range of shops along the street,  28th January 1955, Mount Gambier.</t>
  </si>
  <si>
    <t>Australia and New Zealand Banking Group -- Buildings;Banks and banking -- South Australia -- Mount Gambier;Stores, Retail -- South Australia -- Mount Gambier</t>
  </si>
  <si>
    <t>b21101449</t>
  </si>
  <si>
    <t>Lakes Camping Ground</t>
  </si>
  <si>
    <t>Photograph of the entrance to the Lakes Camping Ground, Mount Gambier.</t>
  </si>
  <si>
    <t>Recreation areas -- South Australia -- Mount Gambier</t>
  </si>
  <si>
    <t>b2110153x</t>
  </si>
  <si>
    <t>Elizabeth Park</t>
  </si>
  <si>
    <t>Photograph of camping and caravanning at Elizabeth Park in January 1955, Mount Gambier.</t>
  </si>
  <si>
    <t>Caravans -- South Australia -- Mount Gambier;Camping -- South Australia -- Mount Gambier</t>
  </si>
  <si>
    <t>b21101930</t>
  </si>
  <si>
    <t>Jens Hotel</t>
  </si>
  <si>
    <t>Photograph of the front of Jens Hotel, also showing gardens and a fountain, taken in 1955, Mount Gambier.</t>
  </si>
  <si>
    <t>Jens' Hotel (Mount Gambier, S.A.);Hotels -- South Australia -- Mount Gambier</t>
  </si>
  <si>
    <t>b21101942</t>
  </si>
  <si>
    <t>Australian and New Zealand Bank manager's residence</t>
  </si>
  <si>
    <t>Photograph of the ANZ Bank manager's residence 1955, Mount Gambier.</t>
  </si>
  <si>
    <t>b21101954</t>
  </si>
  <si>
    <t>Commercial Club</t>
  </si>
  <si>
    <t>Photograph of the Commercial Club building taken on 16th February 1956, Mount Gambier. Also shows shops below.</t>
  </si>
  <si>
    <t>Stores, Retail -- South Australia -- Mount Gambier;Buildings -- South Australia -- Mount Gambier</t>
  </si>
  <si>
    <t>b21102004</t>
  </si>
  <si>
    <t>Commercial Bank</t>
  </si>
  <si>
    <t>Photograph of the Commercial Bank in May 1955, Mount Gambier.</t>
  </si>
  <si>
    <t>Commercial Bank of South Australia -- Buildings;Bank buildings -- South Australia -- Mount Gambier</t>
  </si>
  <si>
    <t>b21102028</t>
  </si>
  <si>
    <t>Wedding at St Andrew's Presbyterian Church</t>
  </si>
  <si>
    <t>Photograph of a wedding  at St. Andrew's Presbyterian Church with the Minister, the Rev. Wilf Collins, officiating. Although the interior of the Church has since been altered, the pulpit remains the same.</t>
  </si>
  <si>
    <t>St. Andrew's Church (Mount Gambier, S.A.);Weddings -- South Australia -- Mount Gambier;Methodist Church -- South Australia -- Mount Gambier</t>
  </si>
  <si>
    <t>b2110203x</t>
  </si>
  <si>
    <t>Wedding at the St. Andrews Presbyterian Church</t>
  </si>
  <si>
    <t>Photograph of a wedding at St. Andrews Presbyterian Church, Elizabeth Street, Mount Gambier. Possibly the wedding of W. Douglas.</t>
  </si>
  <si>
    <t>St. Andrew's Church (Mount Gambier, S.A.);Weddings -- South Australia -- Mount Gambier;Presbyterian Church -- South Australia -- Mount Gambier</t>
  </si>
  <si>
    <t>b21102041</t>
  </si>
  <si>
    <t>Sergeant's house</t>
  </si>
  <si>
    <t>Photograph of Sergeant's house in 1955, Mount Gambier.</t>
  </si>
  <si>
    <t>b21102053</t>
  </si>
  <si>
    <t>Photograph of Jens Hotel in 1955, rose garden and park in front, Mount Gambier.</t>
  </si>
  <si>
    <t>Jens Hotel (Mount Gambier, S.A.);Hotels -- South Australia -- Mount Gambier</t>
  </si>
  <si>
    <t>b21102880</t>
  </si>
  <si>
    <t>Quarry</t>
  </si>
  <si>
    <t>Photograph of stone being cut at a quarry.</t>
  </si>
  <si>
    <t>Quarries and quarrying -- South Australia -- Mount Gambier;Stone cutters -- South Australia -- Mount Gambier</t>
  </si>
  <si>
    <t>b21102892</t>
  </si>
  <si>
    <t>Beginning a quarry</t>
  </si>
  <si>
    <t>Photograph of stone slabs around a new quarry.</t>
  </si>
  <si>
    <t>Quarries and quarrying -- South Australia -- Mount Gambier</t>
  </si>
  <si>
    <t>b21102934</t>
  </si>
  <si>
    <t>Photograph of a man up a ladder cutting stone at a quarry.</t>
  </si>
  <si>
    <t>b21102946</t>
  </si>
  <si>
    <t>Clezy Brothers</t>
  </si>
  <si>
    <t>Photograph of two Clezy brothers on a farm on 3rd March 1955.</t>
  </si>
  <si>
    <t>Clezy (Family);Farms -- South Australia -- Mount Gambier</t>
  </si>
  <si>
    <t>b21102958</t>
  </si>
  <si>
    <t>Photograph of men bidding in the cattle sales on 3rd March 1955.</t>
  </si>
  <si>
    <t>Clezy (Family);Cattle -- South Australia -- Mount Gambier</t>
  </si>
  <si>
    <t>b2110296x</t>
  </si>
  <si>
    <t>Photograph of men at the cattle sales on 3rd March 1955.</t>
  </si>
  <si>
    <t>b21102971</t>
  </si>
  <si>
    <t>Clezy Brothers;Cattle -- South Australia -- Mount Gambier</t>
  </si>
  <si>
    <t>b21102983</t>
  </si>
  <si>
    <t>Photograph of a family group in front of a truck at the cattle sales 3rd March 1955.</t>
  </si>
  <si>
    <t>Clezy (Family);Cattle -- South Australia -- Mount gambier;Trucks -- South Australia -- Mount Gambier</t>
  </si>
  <si>
    <t>b21102995</t>
  </si>
  <si>
    <t>Photograph of  bidders at the cattle sales on 3rd March 1955.</t>
  </si>
  <si>
    <t>b21103008</t>
  </si>
  <si>
    <t>Kentish Motors</t>
  </si>
  <si>
    <t>Photograph of two new cars, Vauxhall Velox models c1955, in the showroom at Kentish Motors, Mount Gambier.</t>
  </si>
  <si>
    <t>Kentish Motors (Mount Gambier, S.A.);Automobile industry and trade -- South Australia -- Mount Gambier</t>
  </si>
  <si>
    <t>b2110301x</t>
  </si>
  <si>
    <t>Photograph of two new cars in the showroom at Kentish Motors, Mount Gambier.</t>
  </si>
  <si>
    <t>b21103057</t>
  </si>
  <si>
    <t>Dunlop</t>
  </si>
  <si>
    <t>Photograph of a tyre being mended outside the Dunlop Company in april 1955.</t>
  </si>
  <si>
    <t>Dunlop Rubber Company Ltd;Automobiles -- Tires</t>
  </si>
  <si>
    <t>b21103069</t>
  </si>
  <si>
    <t>Photograph of new car from Kentish Motors on display in the foyer of the Odeon Cinema, Mount Gambier.</t>
  </si>
  <si>
    <t>b21103525</t>
  </si>
  <si>
    <t>Coraline Limestone Quarry</t>
  </si>
  <si>
    <t>Photograph of two men at work in the quarry in 1955.</t>
  </si>
  <si>
    <t>Coraline Limestone Quarry;Quarries and quarrying -- South Australia -- Mount Gambier</t>
  </si>
  <si>
    <t>b21103537</t>
  </si>
  <si>
    <t>Photograph of workmen placing blocks of stone on the conveyor belt at the Coraline Limestone Quarry.</t>
  </si>
  <si>
    <t>b21103549</t>
  </si>
  <si>
    <t>Photograph of a workmen using a machine to cut the stone at the Coraline Limestone Quarry.</t>
  </si>
  <si>
    <t>b21102302</t>
  </si>
  <si>
    <t>Photograph of the Coraline Limestone Quarry in 1955.</t>
  </si>
  <si>
    <t>b21103550</t>
  </si>
  <si>
    <t>Photograph of blocks of stone being rolled by a trolley at the Coraline Limestone Quarry.</t>
  </si>
  <si>
    <t>b21103562</t>
  </si>
  <si>
    <t>Cricketers at Mount Gambier</t>
  </si>
  <si>
    <t>Members of the Mount Gambier Cricket Club with the Governor of South Australia and visiting cricketers, 17th January 1955.</t>
  </si>
  <si>
    <t>Cricket players -- South Australia -- Mount Gambier</t>
  </si>
  <si>
    <t>b21103574</t>
  </si>
  <si>
    <t>Photograph of blocks of limestone being cut at the  Coraline Limestone Quarry.</t>
  </si>
  <si>
    <t>b21103586</t>
  </si>
  <si>
    <t>b21103598</t>
  </si>
  <si>
    <t>Photograph of blocks of limestone moved at the Coraline Limestone Quarry.</t>
  </si>
  <si>
    <t>b21103604</t>
  </si>
  <si>
    <t>Photograph of employees of the Coraline Limestone Quarry on an excursion to the M.C.C. on 16th January 1955.</t>
  </si>
  <si>
    <t>Coraline Limestone Quarry -- Employees;Quarries and quarrying -- South Australia -- Mount Gambier</t>
  </si>
  <si>
    <t>b21103975</t>
  </si>
  <si>
    <t>Motor Show</t>
  </si>
  <si>
    <t>Photograph of three boys on a stationary motor bike at the  Motor Show held on 27th August 1955.</t>
  </si>
  <si>
    <t>Motorcycles -- South Australia -- Mount Gambier;Boys -- South Australia -- Mount Gambier</t>
  </si>
  <si>
    <t>b21103987</t>
  </si>
  <si>
    <t>Amateur Hour</t>
  </si>
  <si>
    <t>Photograph of the compere, a lady and girl at the Amateur Hour on 2nd June 1955. Labelling on the microphone says 5AD.</t>
  </si>
  <si>
    <t>Radio 5AD (Adelaide, S.A.);Radio programs -- South Australia</t>
  </si>
  <si>
    <t>b21103999</t>
  </si>
  <si>
    <t>Rural Youth</t>
  </si>
  <si>
    <t>Photograph of six members of rural youth on 27th April 1955.</t>
  </si>
  <si>
    <t>Rural Youth Movement of South Australia;Rural youth -- South Australia -- Societies, etc.</t>
  </si>
  <si>
    <t>b21104001</t>
  </si>
  <si>
    <t>J.M. Parry</t>
  </si>
  <si>
    <t>Photograph of J.M. Parry performing ballet, possibly at Amateur Hour in 1955.</t>
  </si>
  <si>
    <t>Parry, J. M.;Ballet dancers -- South Australia -- Mount Gambier</t>
  </si>
  <si>
    <t>b21104013</t>
  </si>
  <si>
    <t>Photograph of the Junior Choral Society in November 1955.</t>
  </si>
  <si>
    <t>Choral societies -- South Australia -- Mount Gambier;Children -- South Australia -- Mount Gambier;Choirs (Music) -- South Australia -- Mount Gambier</t>
  </si>
  <si>
    <t>b21104025</t>
  </si>
  <si>
    <t>Photograph of the Junior Choral Society in November 1955. Girl and boy couples with the girls in costumes with umbrellas.</t>
  </si>
  <si>
    <t>b21104037</t>
  </si>
  <si>
    <t>Photograph of the Junior Choral Society in November 1955. Girl and boy couples with the girls in costumes with umbrellas and the boys in top hats.</t>
  </si>
  <si>
    <t>b21104049</t>
  </si>
  <si>
    <t>Photograph of a male participant in Amateur Hour on 2nd June 1955.</t>
  </si>
  <si>
    <t>Radio programs -- South Australia</t>
  </si>
  <si>
    <t>b21104050</t>
  </si>
  <si>
    <t>Photograph of a performance of the Junior Choral Society in November 1955 with the members in wedding costumes.</t>
  </si>
  <si>
    <t>b21104062</t>
  </si>
  <si>
    <t>Photograph of a performance of the Junior Choral Society in November 1955 with the members dressed in various animal costumes.</t>
  </si>
  <si>
    <t>Choral societies -- South Australia -- Mount Gambier;Costume -- Children -- South Australia -- Mount Gambier;Children -- South Australia -- Mount Gambier;Choirs (Music) -- South Australia -- Mount Gambier</t>
  </si>
  <si>
    <t>b21176231</t>
  </si>
  <si>
    <t>Presbyterian Sunday School</t>
  </si>
  <si>
    <t>Children at a Presbyterian Sunday School enjoying food and drinks on 12th December 1955.</t>
  </si>
  <si>
    <t>Sunday schools -- South Australia -- Mount Gambier;Children -- South Australia -- Mount Gambier;Presbyterians -- South Australia -- Mount Gambier;Presbyterian Church -- South Australia -- Mount Gambier</t>
  </si>
  <si>
    <t>b21104074</t>
  </si>
  <si>
    <t>Girl Guides at Mount Gambier</t>
  </si>
  <si>
    <t>Photograph of the Girl Guide Company in Mount Gambier, possibly at the end of year party on 9th December 1955.</t>
  </si>
  <si>
    <t>Girl Guides -- South Australia -- Mount Gambier;Girls -- South Australia -- Mount Gambier</t>
  </si>
  <si>
    <t>b21104086</t>
  </si>
  <si>
    <t>Iris Clarke at Yahl</t>
  </si>
  <si>
    <t>Photograph of Iris Clarke of Yahl on horseback in 1955.</t>
  </si>
  <si>
    <t>Horsemen and horsewomen -- South Australia -- Yahl;Horses -- South Australia -- Yahl</t>
  </si>
  <si>
    <t>b21104098</t>
  </si>
  <si>
    <t>Photograph of a female contestant in Amateur Hour on 2nd June 1955.</t>
  </si>
  <si>
    <t>Radio 5AD (Adelaide, S.A.);Radio programs -- South Australia -- Mount Gambier</t>
  </si>
  <si>
    <t>b21104104</t>
  </si>
  <si>
    <t>Photograph of a male pianist contestant in Amateur Hour on 2nd June 1955.</t>
  </si>
  <si>
    <t>Radio programs -- South Australia -- Mount Gambier;Pianists -- South Australia -- Mount Gambier</t>
  </si>
  <si>
    <t>b21104128</t>
  </si>
  <si>
    <t>Photograph of children at a party at the Kindergarten in 1955.</t>
  </si>
  <si>
    <t>Kindergarten facilities -- South Australia -- Mount Gambier;Parties -- South Australia -- Mount Gambier;Children -- South Australia -- Mount Gambier</t>
  </si>
  <si>
    <t>b2110413x</t>
  </si>
  <si>
    <t>Photograph of Dale Cleves playing the zylophone during Amateur Hour on 2nd June 1955.</t>
  </si>
  <si>
    <t>Cleves, Dale, 1940-;Radio programs -- South Australia -- Mount Gambier;Musicians -- South Australia -- Mount Gambier</t>
  </si>
  <si>
    <t>b21177144</t>
  </si>
  <si>
    <t>Rural Youth Club</t>
  </si>
  <si>
    <t>Two boys from the Rural Youth Club with A.C. Hookings on 17th August 1955.</t>
  </si>
  <si>
    <t>Hookings, A. C.;Rural Youth Movement of South Australia;Rural youth -- South Australia -- Societies, etc.</t>
  </si>
  <si>
    <t>b21104955</t>
  </si>
  <si>
    <t>Bodey's Crossing accident</t>
  </si>
  <si>
    <t>The scene of a level crossing accident at Bodey's Crossing, on the Mt. Gambier to Naracoorte rail line, involving a car driven by Peter Topouzakis and a train on 12th January 1955. Five year old Johnny Topouzakis was killed.</t>
  </si>
  <si>
    <t>Traffic accidents -- South Australia -- Mount Gambier</t>
  </si>
  <si>
    <t>b21104967</t>
  </si>
  <si>
    <t>Television Educational Lecture</t>
  </si>
  <si>
    <t>Photograph of five men standing around a television set in preparation for an educational lecture.  Photograph taken on 15th March 1955.</t>
  </si>
  <si>
    <t>Lectures and lecturing -- South Australia -- Mount Gambier;Television</t>
  </si>
  <si>
    <t>b21104979</t>
  </si>
  <si>
    <t>Photograph of a group of men and boys taken around a television set in preparation for an educational lecture.  Photograph taken on 15th March 1955.</t>
  </si>
  <si>
    <t>b21111182</t>
  </si>
  <si>
    <t>Aerial view of the Lake at Mount Gambier</t>
  </si>
  <si>
    <t>Aerial photograph of the Lakes at Mount Gambier in 1955.</t>
  </si>
  <si>
    <t>Lakes -- South Australia -- Mount Gambier;Mount Gambier (S.A.)</t>
  </si>
  <si>
    <t>b21112356</t>
  </si>
  <si>
    <t>S.C. Davis</t>
  </si>
  <si>
    <t>Photograph of five ladies, one of whom is S.C. Davis, probably at a freemasonry function in 1955, Mount Gambier.</t>
  </si>
  <si>
    <t>Davis, S. C.;Freemasonry -- South Australia -- Mount Gambier</t>
  </si>
  <si>
    <t>b21112368</t>
  </si>
  <si>
    <t>H.W. Dennes</t>
  </si>
  <si>
    <t>Photograph of a young Highland Dancer at a social event in 1955 in Mount Gambier.</t>
  </si>
  <si>
    <t>Dennes, H. W.;Dancers -- South Australia -- Mount Gambier;Highland fling (Dance)</t>
  </si>
  <si>
    <t>b2111237x</t>
  </si>
  <si>
    <t>John &amp; Jean Sheard</t>
  </si>
  <si>
    <t>Photograph of John and Jean Sheard at the social function in 1955 in Mount Gambier.</t>
  </si>
  <si>
    <t>Sheard, John;Sheard, Jean</t>
  </si>
  <si>
    <t>b21112381</t>
  </si>
  <si>
    <t>Old Residents - City Celebrations</t>
  </si>
  <si>
    <t>Photograph of a group of six ladies and two men at a social event for the Old Residents as part of the City Celebrations on 20th January 1955, Mount Gambier.</t>
  </si>
  <si>
    <t>Old Residents Association (Mount Gambier, S.A.);Older people -- South Australia -- Mount Gambier</t>
  </si>
  <si>
    <t>b21112393</t>
  </si>
  <si>
    <t>Photograph of Mr. S.C. Davis in 1955.</t>
  </si>
  <si>
    <t>Davis, S. C.</t>
  </si>
  <si>
    <t>b2111240x</t>
  </si>
  <si>
    <t>Primary school students with headmaster Mr. Corry</t>
  </si>
  <si>
    <t>Photograph of Mr. D.J. Corry with two students at the Mount Gambier Primary School on 23rd April 1955. Daniel James Corry (1895-1958) was head master at Mount Gambier from 1946-1958.</t>
  </si>
  <si>
    <t>Corry, Daniel James, 1895-1958;Teachers -- South Australia -- Mount Gambier;School children -- South Australia -- Mount Gambier</t>
  </si>
  <si>
    <t>b21112411</t>
  </si>
  <si>
    <t>P. Connell and Reg Watson</t>
  </si>
  <si>
    <t>Photograph of bride P. Connell about to get into a wedding car helped by Reg Watson in 1955, Mount Gambier.</t>
  </si>
  <si>
    <t>Watson, Reg;Connell, P.;Brides -- South Australia -- Mount Gambier;Wedding costume -- South Australia -- Mount Gambier</t>
  </si>
  <si>
    <t>b21112423</t>
  </si>
  <si>
    <t>Mr and Mrs A.G. Sealey</t>
  </si>
  <si>
    <t>Photograph of Mr and Mrs Sealy celebrating with a cake at a social function in 1955, Mount Gambier.</t>
  </si>
  <si>
    <t>Sealey, A. G.;Cake -- South Australia -- Mount Gambier</t>
  </si>
  <si>
    <t>b21112435</t>
  </si>
  <si>
    <t>W. Douglas</t>
  </si>
  <si>
    <t>Photograph of a bride being helped into the wedding car by possibly her father  one of whom is W. Douglas, in 1955, in Mount Gambier.</t>
  </si>
  <si>
    <t>Douglas, W.;Brides -- South Australia -- Mount Gambier;Wedding costume -- South Australia -- Mount Gambier</t>
  </si>
  <si>
    <t>b21112447</t>
  </si>
  <si>
    <t>D. Clayfield, St Andrews</t>
  </si>
  <si>
    <t>Photograph of newly married Mr and Mrs D. Clayfield outside St. Andrews in 1955, Mount Gambier.</t>
  </si>
  <si>
    <t>Clayfield, D.;Wedding costume -- South Australia -- Mount Gambier;Brides -- South Australia -- Mount Gambier</t>
  </si>
  <si>
    <t>b21112459</t>
  </si>
  <si>
    <t>Photograph of eleven hatted female Old Residents at the City Celebration on 20th January 1955, Mount Gambier.</t>
  </si>
  <si>
    <t>b21112460</t>
  </si>
  <si>
    <t>Photograph of a group of Old Residents at the City Celebration on 20th January 1955, Mount Gambier.</t>
  </si>
  <si>
    <t>b21112472</t>
  </si>
  <si>
    <t>Mr Fletcher MP- City Celebrations</t>
  </si>
  <si>
    <t>Photograph of M.P Mr Fletcher at the Old Residents -  City Celebration on 20th January 1955, Mount Gambier.</t>
  </si>
  <si>
    <t>Fletcher, Mr;Old Residents Association (Mount Gambier, S.A.);Older people -- South Australia -- Mount Gambier;Politicians -- South Australia</t>
  </si>
  <si>
    <t>b21112484</t>
  </si>
  <si>
    <t>Max Pritchard</t>
  </si>
  <si>
    <t>Photograph of Max Pritchard at a quarry holding a piece of stone with possibly a fossil in it, 1955, Mount Gambier.</t>
  </si>
  <si>
    <t>Pritchard, Max;Quarries and quarrying -- South Australia -- Mount Gambier</t>
  </si>
  <si>
    <t>b21112496</t>
  </si>
  <si>
    <t>Reidy Park School</t>
  </si>
  <si>
    <t>Photograph of Dan Corry at the Reidy Park School on 8th February 1955, Mount Gambier.</t>
  </si>
  <si>
    <t>Reidy Park School (Mount Gambier, S.A.);Schools -- South Australia -- Mount Gambier</t>
  </si>
  <si>
    <t>b21112502</t>
  </si>
  <si>
    <t>R. Page</t>
  </si>
  <si>
    <t>Photograph of Mr. R. Page sitting on a tree stump on 14th August 1955, Mount Gambier.</t>
  </si>
  <si>
    <t>Page, R.</t>
  </si>
  <si>
    <t>b21112514</t>
  </si>
  <si>
    <t>The Governor and Mr. J.H. Sim</t>
  </si>
  <si>
    <t>Photograph of the Governor with Mr J.H. Sim during the city Celebrations on 17th January 1955, Mount Gambier.</t>
  </si>
  <si>
    <t>Sim, J. H.;George, Robert Allingham, Sir, 1896-1967;Visits of state -- South Australia -- Mount Gambier;Governors -- South Australia</t>
  </si>
  <si>
    <t>b21112526</t>
  </si>
  <si>
    <t>Rev. Sprengel</t>
  </si>
  <si>
    <t>Photograph the Reverend Sprengel and two other men at the Naturalisation Ceremony on 25th March 1955, Mount Gambier.</t>
  </si>
  <si>
    <t>Sprengel, E.;Naturalization -- South Australia -- Mount Gambier;Citizenship -- South Australia -- Mount Gambier</t>
  </si>
  <si>
    <t>b21112538</t>
  </si>
  <si>
    <t>K. Waite - RSL</t>
  </si>
  <si>
    <t>Photograph Mr. K. Waite and other guests at the RSL Formal Dinner in 1955, Mount Gambier.</t>
  </si>
  <si>
    <t>Waite, K. R.;Returned Services League of Australia. South Australian Branch;Dinners and dining -- South Australia -- Mount Gambier</t>
  </si>
  <si>
    <t>b2111254x</t>
  </si>
  <si>
    <t>Naturalisation</t>
  </si>
  <si>
    <t>Photograph eight newly naturalised Australians at a Naturalisation ceremony held on 19th August 1955, Mount Gambier.</t>
  </si>
  <si>
    <t>Naturalization -- South Australia -- Mount Gambier;Citizenship -- South Australia -- Mount Gambier</t>
  </si>
  <si>
    <t>b21112575</t>
  </si>
  <si>
    <t>W. Pyne</t>
  </si>
  <si>
    <t>Photograph of Mr.W. Pyne in 1955.</t>
  </si>
  <si>
    <t>Pyne, W.</t>
  </si>
  <si>
    <t>b21112587</t>
  </si>
  <si>
    <t>Mount Gambier Lewis Lodge 183</t>
  </si>
  <si>
    <t>Photograph of members of the Mount Gambier Lewis Lodge 183 of possibly the Freemasons, an Installation held on 30th August 1955, Mount Gambier.</t>
  </si>
  <si>
    <t>Freemasonry -- South Australia -- Mount Gambier -- Lodges</t>
  </si>
  <si>
    <t>b21178914</t>
  </si>
  <si>
    <t>W. Bartlett Family</t>
  </si>
  <si>
    <t>Photograph of W. Bartlett celebrating possibly a 21st Birthday with her family at a function in 1955, Mount Gambier.</t>
  </si>
  <si>
    <t>Bartlett, W.;Cake -- South Australia -- Mount Gambier</t>
  </si>
  <si>
    <t>b21113464</t>
  </si>
  <si>
    <t>The Martiensen family</t>
  </si>
  <si>
    <t>Photograph of the Martiensen family at a formal occasion. Standing are Marj Robertson and Jack Robertson. Seated are Ian Robertson and Liz Martiensen, Myrtle Martiensen and Gus Martiensen on the celebration of Ian and Liz's engagement in 1955. Venue was the Country Club above Arthur's Studio.</t>
  </si>
  <si>
    <t>Martiensen (Family)</t>
  </si>
  <si>
    <t>b21114055</t>
  </si>
  <si>
    <t>Mount Gambier Lewis Lodge 183 Installation Ceremony</t>
  </si>
  <si>
    <t>Photograph of members of the Mount Gambier Lewis Lodge 183 during the Installation Ceremony on 30th August 1955, Mount Gambier.</t>
  </si>
  <si>
    <t>Freemasons -- South Australia -- Mount Gambier</t>
  </si>
  <si>
    <t>b21114067</t>
  </si>
  <si>
    <t>Crowning ceremony at a formal function</t>
  </si>
  <si>
    <t>Photograph of a young girl being crowned during a formal function in June 1955 in Mount Gambier.</t>
  </si>
  <si>
    <t>Beauty contests -- South Australia -- Mount Gambier</t>
  </si>
  <si>
    <t>b21114079</t>
  </si>
  <si>
    <t>b21114080</t>
  </si>
  <si>
    <t>b21114092</t>
  </si>
  <si>
    <t>City Celebrations</t>
  </si>
  <si>
    <t>Photograph of ranks of soldiers from the Scottish Regiment being reviewed during the City Celebrations on 17th January 1955, Mount Gambier.</t>
  </si>
  <si>
    <t>b21114109</t>
  </si>
  <si>
    <t>Photograph of an elderly gentleman signing a book during the City Celebrations on 20th January 1955, Mount Gambier. Mount Gambier was officially declared a city on December 9th, 1954.</t>
  </si>
  <si>
    <t>Local government -- South Australia -- Mount Gambier -- Anniversaries, etc.</t>
  </si>
  <si>
    <t>b21114110</t>
  </si>
  <si>
    <t>Coronation Ball</t>
  </si>
  <si>
    <t>Photograph of two girls wearing Queen sashes, attended by a young man, at the Coronation Anniversary Ball in Mount Gambier. The young lady standing is Judith Stark, now Mrs. McCormick.</t>
  </si>
  <si>
    <t>Balls (Parties) -- South Australia -- Mount Gambier)</t>
  </si>
  <si>
    <t>b21114122</t>
  </si>
  <si>
    <t>Photograph of a group of people signing a book at the City Celebrations on 20th January 1955, Mount Gambier.</t>
  </si>
  <si>
    <t>b21114134</t>
  </si>
  <si>
    <t>Photograph of the Mount Gambier Mayor and other dignitaries on the dais during the City Celebrations on 17th January 1955. Mount Gambier was officially declared a city on December 9th 1954.</t>
  </si>
  <si>
    <t>b21114146</t>
  </si>
  <si>
    <t>Photograph of the Pipes Band being reviewed during the City Celebrations on 17th January 1955.</t>
  </si>
  <si>
    <t>Local government -- South Australia -- South Australia -- Mount Gambier -- Anniversaries, etc.</t>
  </si>
  <si>
    <t>b21114201</t>
  </si>
  <si>
    <t>Coronation Ball 1955</t>
  </si>
  <si>
    <t>Photograph of the newly crowned Queen of the 1955 Coronation Ball in Mount Gambier, Miss Joyce Stratford of Tarpeena (later Mrs Duvall).</t>
  </si>
  <si>
    <t>Stratford, Joyce;Balls (Parties) -- South Australia -- Mount Gambier</t>
  </si>
  <si>
    <t>b21121151</t>
  </si>
  <si>
    <t>Catholic Ball</t>
  </si>
  <si>
    <t>Photograph of debutante J. English being presented to the Bishop during the Catholic Ball in 1955, Mount Gambier.</t>
  </si>
  <si>
    <t>English, J.;Debutantes -- South Australia -- Mount Gambier;Balls (Parties) -- South Australia -- Mount Gambier</t>
  </si>
  <si>
    <t>b21121163</t>
  </si>
  <si>
    <t>Debutante Ball</t>
  </si>
  <si>
    <t>Photograph of debutante Lynette Cutting with her partner Keith Shaw making their debut in 1955, Mount Gambier.</t>
  </si>
  <si>
    <t>Cutting, Lynette;Shaw, Keith;Debutantes -- South Australia -- Mount Gambier;Balls (Parties) -- South Australia -- Mount Gambier</t>
  </si>
  <si>
    <t>b21121175</t>
  </si>
  <si>
    <t>Highland Ball</t>
  </si>
  <si>
    <t>Photograph of debutante J. Cram with her partner making her debut in 1955, Mount Gambier.</t>
  </si>
  <si>
    <t>Cram, J.;Balls (Parties) -- South Australia -- Mount Gambier;Debutantes -- South Australia -- Mount Gambier</t>
  </si>
  <si>
    <t>b21121187</t>
  </si>
  <si>
    <t>b21121199</t>
  </si>
  <si>
    <t>Debutante Ball 1955</t>
  </si>
  <si>
    <t>Photograph of debutante J. Cram with her partner getting into a car on their way to the Highland Ball in 1955, Mount Gambier.</t>
  </si>
  <si>
    <t>b21121205</t>
  </si>
  <si>
    <t>Photograph of two debutantes at the 1955 Highland Ball talking to an older couple, Mount Gambier.</t>
  </si>
  <si>
    <t>Balls (Parties) -- South Australia -- Mount Gambier;Debutantes -- South Australia -- Mount Gambier</t>
  </si>
  <si>
    <t>b21121345</t>
  </si>
  <si>
    <t>Photograph of seven old residents at a function to celebrate Mount Gambier becoming a city on 20th January 1955.</t>
  </si>
  <si>
    <t>b21122040</t>
  </si>
  <si>
    <t>Photograph of a person being naturalised on 19th August 1955, Mount Gambier.</t>
  </si>
  <si>
    <t>b21122052</t>
  </si>
  <si>
    <t>Three men at a meeting</t>
  </si>
  <si>
    <t>Photograph of (from left) Mr Ern Lewis, Mr Otto Dahl and Mr S.C. Davis (Mayor) at a function on 30th June 1955.</t>
  </si>
  <si>
    <t>Davis, S. C.;Dahl, Otto;Lewis, Ern;Men -- South Australia -- Mount Gambier</t>
  </si>
  <si>
    <t>b21122064</t>
  </si>
  <si>
    <t>Photograph of three men greeting each other during a function.</t>
  </si>
  <si>
    <t>Men -- South Australia -- Mount Gambier</t>
  </si>
  <si>
    <t>b21122088</t>
  </si>
  <si>
    <t>Naturalisation Ceremony</t>
  </si>
  <si>
    <t>Photograph of two men receiving their naturalisation certificates from the Mayor on 19th August 1955, Mount Gambier.</t>
  </si>
  <si>
    <t>b21122507</t>
  </si>
  <si>
    <t>Governor and Mr J.H. Sim during the city celebrations</t>
  </si>
  <si>
    <t>Photograph of the Governor with Mr J.H. Sim at the control tower during the City Celebrations on 17th January 1955, Mount Gambier.</t>
  </si>
  <si>
    <t>b21125557</t>
  </si>
  <si>
    <t>South East 100 Mile Race</t>
  </si>
  <si>
    <t>Photograph of two competitors shaking hands at the South East 100 Mile Race on 20th August 1955, Mouint Gambier.</t>
  </si>
  <si>
    <t>Cyclists -- South Australia -- Mount Gambier</t>
  </si>
  <si>
    <t>b21125569</t>
  </si>
  <si>
    <t>M.C.C. Cricket</t>
  </si>
  <si>
    <t>Photograph of cricketers and officials talking at a function on 17th January 1955.</t>
  </si>
  <si>
    <t>Marylebone Cricket Club;Cricket -- South Australia -- Mount Gambier;Cricket players -- South Australia -- Mount Gambier</t>
  </si>
  <si>
    <t>b21125582</t>
  </si>
  <si>
    <t>Bowling Championship</t>
  </si>
  <si>
    <t>Photograph of four team members of the Bowling Championships on 22nd January 1955.</t>
  </si>
  <si>
    <t>Lawn bowls -- South Australia -- Mount Gambier</t>
  </si>
  <si>
    <t>b21125594</t>
  </si>
  <si>
    <t>Photograph of cricketers and officials at a function on 17th January 1955.</t>
  </si>
  <si>
    <t>Marylebone Cricket Club;Cricket -- South Australia -- Mount Gambier</t>
  </si>
  <si>
    <t>b21125600</t>
  </si>
  <si>
    <t>Teleprinters</t>
  </si>
  <si>
    <t>Photograph of teleprinters being used  in January 1955, Mount Gambier.</t>
  </si>
  <si>
    <t>Teletype -- South Australia -- Mount Gambier</t>
  </si>
  <si>
    <t>b21125636</t>
  </si>
  <si>
    <t>Football coaching</t>
  </si>
  <si>
    <t>Photograph of six boys being coached by the football coach in 1955, Mount Gambier.</t>
  </si>
  <si>
    <t>Australian football players -- South Australia -- Mount Gambier</t>
  </si>
  <si>
    <t>b21125685</t>
  </si>
  <si>
    <t>Bobby Locke and Von Nida</t>
  </si>
  <si>
    <t>Photograph of  golfers Mr Bobby Locke and Mr Von Nida  being welcomed after leaving an Ansett aeroplane on 29th April 1955, Mount Gambier.</t>
  </si>
  <si>
    <t>Nida, Von;Locke, Bobby;Ansett Airlines of Australia;Golfers -- South Australia -- Mount Gambier;Airplanes -- South Australia -- Mount Gambier</t>
  </si>
  <si>
    <t>b2112565x</t>
  </si>
  <si>
    <t>b21125661</t>
  </si>
  <si>
    <t>Golf</t>
  </si>
  <si>
    <t>Photograph of a male golfer teeing off in 1955.</t>
  </si>
  <si>
    <t>Golf -- South Australia -- Mount Gambier;Golfers -- South Australia -- Mount Gambier</t>
  </si>
  <si>
    <t>b21125673</t>
  </si>
  <si>
    <t>Mount Gambier Golf Club</t>
  </si>
  <si>
    <t>Photograph of Mr Von Nida and Bobby Locke with two other golfers at the Golf Club on 30th April 1955.</t>
  </si>
  <si>
    <t>Locke, Bobby;Nida, Von;Golf -- South Australia -- Mount Gambier;Golfers -- South Australia -- Mount Gambier</t>
  </si>
  <si>
    <t>b21125697</t>
  </si>
  <si>
    <t>Photograph of members and officials of the M.C.C. Cricket team on 17th January 1955, Mount Gambier.</t>
  </si>
  <si>
    <t>b21125703</t>
  </si>
  <si>
    <t>Malseed and Wood</t>
  </si>
  <si>
    <t>Photograph of golfers Mr Malseed and Mr Wood on 14th August 1955, Mount Gambier.</t>
  </si>
  <si>
    <t>Golfers -- South Australia -- Mount Gambier</t>
  </si>
  <si>
    <t>b21125715</t>
  </si>
  <si>
    <t>P. Marrett</t>
  </si>
  <si>
    <t>Photograph of former Port Adelaide player Peter Marrett, wearing an East Gambier football guernsey. He coached East Gambier in the 1955 season. Standing in front of a car possibly near a football oval in 1955.</t>
  </si>
  <si>
    <t>Marrett, P.</t>
  </si>
  <si>
    <t>b21125727</t>
  </si>
  <si>
    <t>Mr Hall and Mr Probert</t>
  </si>
  <si>
    <t>Photograph of golfers Mr Hall and Mr Probert standing on the green on the golf course on 14th August 1955, Mount Gambier.</t>
  </si>
  <si>
    <t>b21125739</t>
  </si>
  <si>
    <t>Photograph of five members of the M.C.C. Cricket Team shaking hands on 16th January 1955, Mount Gambier.</t>
  </si>
  <si>
    <t>b21125740</t>
  </si>
  <si>
    <t>Guarding the Pitch</t>
  </si>
  <si>
    <t>Photograph of Mr W. Muller and Mr T.G. Hall guarding the pitch during the M.C.C. Cricket Match on 14th January 1955, Mount Gambier.</t>
  </si>
  <si>
    <t>Hall, T. G.;Muller, W.;Marylebone Cricket Club;Cricket players -- South Australia -- Mount Gambier;Cricket -- South Australia -- Mount Gambier</t>
  </si>
  <si>
    <t>b21125752</t>
  </si>
  <si>
    <t>Photograph of cricketers with officials during a reception on 17th January 1955, Mount Gambier.</t>
  </si>
  <si>
    <t>Marylebone Cricket Club;Cricket players -- South Australia -- Mount Gambier;Cricket -- South Australia -- Mount Gambier</t>
  </si>
  <si>
    <t>b21125764</t>
  </si>
  <si>
    <t>E. James</t>
  </si>
  <si>
    <t>Photograph of golfer E. James on the golf course on 14th August 1955, Mount Gambier.</t>
  </si>
  <si>
    <t>b21125776</t>
  </si>
  <si>
    <t>Car Trials</t>
  </si>
  <si>
    <t>Photograph of three men standing with silver trophies to be awarded at the Car Trials in 1955, Mount Gambier.</t>
  </si>
  <si>
    <t>Automobile rallies -- South Australia -- Mount Gambier;Automobile racing -- South Australia -- Mount Gambier</t>
  </si>
  <si>
    <t>b21125788</t>
  </si>
  <si>
    <t>Football</t>
  </si>
  <si>
    <t>Photograph of six young members of the Junior Football Team in 1955, Mount Gambier.</t>
  </si>
  <si>
    <t>b2112579x</t>
  </si>
  <si>
    <t>Photograph of six young members of the Junior Football Team with their coaches in 1955, Mount Gambier. The man with the clip board is Stewart Nash of Tarpeena.</t>
  </si>
  <si>
    <t>Nash, Stewart;Australian football players -- South Australia -- Mount Gambier</t>
  </si>
  <si>
    <t>b21125855</t>
  </si>
  <si>
    <t>Photograph of four young boys receiving  football coaching, possibly sponsored by the Advertiser Newspaper, on 23rd April 1955.</t>
  </si>
  <si>
    <t>b21125879</t>
  </si>
  <si>
    <t>Photograph of the prize being given to the winner on 8th June 1955, after the Car Trials held around Mount Gambier.</t>
  </si>
  <si>
    <t>b21125880</t>
  </si>
  <si>
    <t>Football Coaching</t>
  </si>
  <si>
    <t>Photograph of six young boys receiving coaching from a football player, possibly sponsored by the Advertiser Newspaper, on 23rd April 1955, Mount Gambier.</t>
  </si>
  <si>
    <t>Australian football for children -- South Australia -- Mount Gambier;Australian football players -- South Australia -- Mount Gambier</t>
  </si>
  <si>
    <t>b21125971</t>
  </si>
  <si>
    <t>Photograph of several young boys receiving football coaching from player Peter Marrett in 1955.</t>
  </si>
  <si>
    <t>Marrett, Peter;Australian football for children -- South Australia -- Mount Gambier;Australian football  players -- South Australia -- Mount Gambier</t>
  </si>
  <si>
    <t>b21126008</t>
  </si>
  <si>
    <t>Davis Cup Squad</t>
  </si>
  <si>
    <t>Photograph of the five members of the Davis Cup Squad boarding an Ansett Airways aeroplane on 17th January 1955, Mount Gambier.</t>
  </si>
  <si>
    <t>Tennis players -- South Australia</t>
  </si>
  <si>
    <t>b2112601x</t>
  </si>
  <si>
    <t>Crowd at Mount Gambier swimming pool</t>
  </si>
  <si>
    <t>A large crowd enjoying the swimming pool at Mount Gambier.</t>
  </si>
  <si>
    <t>Swimming pools -- South Australia -- Mount Gambier;Swimmers -- South Australia -- Mount Gambier</t>
  </si>
  <si>
    <t>b21126021</t>
  </si>
  <si>
    <t>Hockey</t>
  </si>
  <si>
    <t>Photograph of the goal keeper putting on her leg pads before a hockey match on 27th August 1955, Mount Gambier.</t>
  </si>
  <si>
    <t>Hockey players -- South Australia -- Mount Gambier;Hockey -- South Australia -- Mount Gambier</t>
  </si>
  <si>
    <t>b21126033</t>
  </si>
  <si>
    <t>Bicycle Race</t>
  </si>
  <si>
    <t>Cyclists on Penola Road, Mount Gambier, before the start of a Bicycle Race, 20 August 1955.</t>
  </si>
  <si>
    <t>Bicycle racing -- South Australia -- Mount Gambier;Cyclists -- South Australia -- Mount Gambier</t>
  </si>
  <si>
    <t>b21126057</t>
  </si>
  <si>
    <t>Photograph of the competitors at the start of the South East 100 Mile Race on 20th August 1955, Mount Gambier.</t>
  </si>
  <si>
    <t>b21126239</t>
  </si>
  <si>
    <t>East Gambier Hockey Team</t>
  </si>
  <si>
    <t>Photograph of the successful East Gambier Hockey Team with their trophy on 27th August 1955.</t>
  </si>
  <si>
    <t>b21126252</t>
  </si>
  <si>
    <t>A. Conigrave</t>
  </si>
  <si>
    <t>Photograph of Mr A. Conigrave playing golf on 14th August 1955.</t>
  </si>
  <si>
    <t>Conigrave, A.;Golf -- South Australia -- Mount Gambier</t>
  </si>
  <si>
    <t>b21126264</t>
  </si>
  <si>
    <t>Photograph of the competitors at the starting line, outside the Mount Gambier Hotel, for the South East 100 Mile Race held on 20th August 1955, Mount Gambier. The rider in the middle is Morrie Turner of Millicent.</t>
  </si>
  <si>
    <t>Turner, Morrie;Bicycle racing -- South Australia -- Mount Gambier;Cyclists -- South Australia -- Mount Gambier</t>
  </si>
  <si>
    <t>b21126276</t>
  </si>
  <si>
    <t>South Australian Country Cricket Association</t>
  </si>
  <si>
    <t>Photograph of members of the SA Country Cricket Association team entering the field on 18th January 1955.</t>
  </si>
  <si>
    <t>Cricket -- South Australia -- Mount Gambier</t>
  </si>
  <si>
    <t>b21126288</t>
  </si>
  <si>
    <t>Aquatic Club speed boat race</t>
  </si>
  <si>
    <t>View, looking south toward jetty, starting tower and clubhouse, of speed boat, Thistle-doo, racing on Valley Lake, Mount Gambier, 1 January 1955.</t>
  </si>
  <si>
    <t>b2112629x</t>
  </si>
  <si>
    <t>Photograph of a man giving a speech watched by two officials after the South East 100 Mile Race on 20th August 1955, Mount Gambier. The man in the middle is Alan Harrap and the man on the right is believed to be L. Sparrow.</t>
  </si>
  <si>
    <t>Harrap, Alan;Bicycle racing -- South Australia -- Mount Gambier</t>
  </si>
  <si>
    <t>b21126318</t>
  </si>
  <si>
    <t>Photograph of the crowds at the M.C.C. Cricket Match on 18th January 1955, Mount Gambier.</t>
  </si>
  <si>
    <t>b2112632x</t>
  </si>
  <si>
    <t>Gambier East Hockey Team</t>
  </si>
  <si>
    <t>Photograph of the Gambier East Hockey Team admiring their trophy on 27th August 1955, Mount Gambier.</t>
  </si>
  <si>
    <t>b21126331</t>
  </si>
  <si>
    <t>Photograph of the Gambier East Hockey Team in 1955, Mount Gambier.</t>
  </si>
  <si>
    <t>Hockey -- South Australia -- Mount Gambier;Hockey players -- Queensland -- Mount Gambier</t>
  </si>
  <si>
    <t>b21126367</t>
  </si>
  <si>
    <t>Aquatic Club No. 4</t>
  </si>
  <si>
    <t>Photograph of the broadcaster and officials at the Aquatic Club on 1st January 1955, Mount Gambier.</t>
  </si>
  <si>
    <t>b21182310</t>
  </si>
  <si>
    <t>Hockey team at Mount Gambier</t>
  </si>
  <si>
    <t>Negative (acetate)  9.6 cm x 12 cm</t>
  </si>
  <si>
    <t>Team photograph of the South Gambier women's hockey team, pictured at the playing fields.</t>
  </si>
  <si>
    <t>Hockey players -- South Australia -- Mount Gambier</t>
  </si>
  <si>
    <t>b21126380</t>
  </si>
  <si>
    <t>Veterans</t>
  </si>
  <si>
    <t>Photograph of a golf day for veterans held on 11th September 1955, Mount Gambier. Approximately twenty five veterans participated.</t>
  </si>
  <si>
    <t>b21126410</t>
  </si>
  <si>
    <t>Photograph taken from a distance of the M.C.C. Cricket Match with the crowds flanking the oval. The match was held on 18th January 1955.</t>
  </si>
  <si>
    <t>b21128200</t>
  </si>
  <si>
    <t>Master L.R. Childs</t>
  </si>
  <si>
    <t>Photograph of Master L.R. Childs in the studio in Mount Gambier in 1955.</t>
  </si>
  <si>
    <t>Childs, L. R.</t>
  </si>
  <si>
    <t>b21128315</t>
  </si>
  <si>
    <t>R. H. Clezy</t>
  </si>
  <si>
    <t>Photograph of Mr R. H. Clezy taken in the studio in Mount Gambier in 1955.</t>
  </si>
  <si>
    <t>Clezy, R. H.</t>
  </si>
  <si>
    <t>b21128571</t>
  </si>
  <si>
    <t>A.J.S. Adams</t>
  </si>
  <si>
    <t>Photograph of Mr A.J.S. Adams from the Freemasons Lodge in  his full regalia, taken in the studio in Mount Gambier in 1955.</t>
  </si>
  <si>
    <t>Adams, A. J. Sorby;Freemasons -- South Australia -- Mount Gambier</t>
  </si>
  <si>
    <t>b21128583</t>
  </si>
  <si>
    <t>Cecil Kentish</t>
  </si>
  <si>
    <t>Cecil Horwood Kentish, Mount Gambier. Born 28 April 1904, 'Cec' married Grace Leticia Kentish on 24 March 1938. He died on 10 March 1991.</t>
  </si>
  <si>
    <t>Kentish, Cecil Horwood, 1904-1991</t>
  </si>
  <si>
    <t>b21175111</t>
  </si>
  <si>
    <t>Lenore Kentish</t>
  </si>
  <si>
    <t>Portrait of Lenore Linda Kentish of Mount Gambier. Born 5 June 1910, she married Frank Reginald Roberts on 19 September 1974 and died on 29 May 2002.</t>
  </si>
  <si>
    <t>Kentish, Lenore linda, 1910-2002</t>
  </si>
  <si>
    <t>b21128595</t>
  </si>
  <si>
    <t>Mr. H.A. Kuhl</t>
  </si>
  <si>
    <t>Photograph of Mr H.A. Kuhl, taken in the studio in Mount Gambier in 1955.</t>
  </si>
  <si>
    <t>Kuhl, H. A.</t>
  </si>
  <si>
    <t>b21128601</t>
  </si>
  <si>
    <t>Miss F.M. Ogden</t>
  </si>
  <si>
    <t>Photograph of Miss Frances Mary Ogden, Matron, Mount Gambier Hospital.</t>
  </si>
  <si>
    <t>Ogden, Frances M. (Frances Mary)</t>
  </si>
  <si>
    <t>b21128613</t>
  </si>
  <si>
    <t>Mr. L.J. Laslett</t>
  </si>
  <si>
    <t>Photograph of Mr L.J. Laslett, taken in the studio in Mount Gambier in 1955.</t>
  </si>
  <si>
    <t>Laslett, Leonard John, 1895-1980</t>
  </si>
  <si>
    <t>b21140698</t>
  </si>
  <si>
    <t>E. H. Little</t>
  </si>
  <si>
    <t>Photograph of four generations of the Little family taken in the studio in 1955. The baby girl is wearing a smocked baby dress with a fluffy bolero.</t>
  </si>
  <si>
    <t>Little (Family);Mothers -- South Australia -- Mount Gambier;Infants -- South Australia -- Mount Gambier</t>
  </si>
  <si>
    <t>b21140716</t>
  </si>
  <si>
    <t>D.M. Dow</t>
  </si>
  <si>
    <t>Photograph of the Dow family taken in the studio in Mount Gambier in 1955. Mr and Mrs Dow are seated with their two daughters and a son. The children's ages are about six, four and one year old.</t>
  </si>
  <si>
    <t>Dow (Family)</t>
  </si>
  <si>
    <t>b21140820</t>
  </si>
  <si>
    <t>J.R. Hill</t>
  </si>
  <si>
    <t>Photograph of Mrs J.R. Hill holding her young son. He is about eighteen months old and wearing a romper suit.  Mrs Hill is wearing a patterned cotton summer dress.</t>
  </si>
  <si>
    <t>Hill, J. R.;Mothers -- South Australia -- Mount Gambier;Infants -- South Australia -- Mount Gambier</t>
  </si>
  <si>
    <t>b21140832</t>
  </si>
  <si>
    <t>R.H. Henningson</t>
  </si>
  <si>
    <t>Photograph of Mrs R.H. Henningson looking at her young baby who is dressed in a long lace baby dress and crocheted bootees.</t>
  </si>
  <si>
    <t>Henningson, R. H.;Mothers -- South Australia -- Mount Gambier;Infants -- South Australia -- Mount Gambier</t>
  </si>
  <si>
    <t>b21140844</t>
  </si>
  <si>
    <t>Hateley family</t>
  </si>
  <si>
    <t>Photograph of Eric Hateley (left) with his parents Tottie and Ivan Jasper Hateley of Mount Gambier.</t>
  </si>
  <si>
    <t>Hateley (Family)</t>
  </si>
  <si>
    <t>b21140856</t>
  </si>
  <si>
    <t>E.A. Engler</t>
  </si>
  <si>
    <t>Photograph of the Engler children taken in the studio in Mount Gambier in 1955.  There are two sisters and two brothers and their ages range from about thirteen years old to four years old.</t>
  </si>
  <si>
    <t>Hately (Family);Children -- South Australia -- Mount Gambier</t>
  </si>
  <si>
    <t>b21140868</t>
  </si>
  <si>
    <t>L.J. Heffernan</t>
  </si>
  <si>
    <t>Photograph of the Heffernan children taken in the studio in Mount Gambier in 1955. The oldest boy is about five years old and is wearing a striped shirt with a tie. His brother is about three years old and wearing dungarees. Their young sister is approximately six months old and is wearing a lace trimmed baby dress.</t>
  </si>
  <si>
    <t>Heffernan (Family);Children -- Clothing -- South Australia -- Mount Gambier</t>
  </si>
  <si>
    <t>b21140881</t>
  </si>
  <si>
    <t>L.T. Flint</t>
  </si>
  <si>
    <t>Photograph of the children of Lawrence "Laurie" Thornton Flint and Elizabeth "Betty" Flint (nee Moody) taken in the studio in Mount Gambier in 1955. The children are (from left) Louis Murray Flint, Damian Lawrence Flint and Jocelyn Thornton Flint.</t>
  </si>
  <si>
    <t>Flint (Family);Children -- Clothing -- South Australia -- Mount Gambier</t>
  </si>
  <si>
    <t>b21140893</t>
  </si>
  <si>
    <t>L.W. Collins</t>
  </si>
  <si>
    <t>Photograph of the two Collins children taken in the studio in Mount Gambier in 1955. The boy is approximately three years old and is wearing a square necked smocked shirt and his little sister, who is approximately one year old, is wearing a smocked baby dress. They are holding a fluffy toy dog.</t>
  </si>
  <si>
    <t>Collins, L. W.;Children -- Clothing -- South Australia -- Mount Gambier</t>
  </si>
  <si>
    <t>b2114090x</t>
  </si>
  <si>
    <t>L.G. Cameron</t>
  </si>
  <si>
    <t>Photograph of the Cameron children taken in the studio in Mount Gambier in 1955.  The two older boys are wearing suits and are about nine and six years old.  Their young sister is about one year old and has blonde curly hair and is wearing a smocked baby dress.</t>
  </si>
  <si>
    <t>Cameron, L. G.;Children -- Clothing -- South Australia -- Mount Gambier</t>
  </si>
  <si>
    <t>b21140911</t>
  </si>
  <si>
    <t>W.J. Hogan</t>
  </si>
  <si>
    <t>Photograph of the Hogan children Marie, Anne, Bill, Trish and Nancy taken in the studio in Mount Gambier in 1955. Their ages range from about eighteen years down to six years old.</t>
  </si>
  <si>
    <t>Hogan, W. J.;Children -- South Australia -- Mount Gambier</t>
  </si>
  <si>
    <t>b21140923</t>
  </si>
  <si>
    <t>R. Barclay</t>
  </si>
  <si>
    <t>Photograph of a young member of the Barclay family in a long christening dress with possibly his or her grandparents in 1955.</t>
  </si>
  <si>
    <t>Barclay, R.;Infants -- South Australia -- Mount Gambier</t>
  </si>
  <si>
    <t>b21140947</t>
  </si>
  <si>
    <t>H. Packman</t>
  </si>
  <si>
    <t>Photograph of Mrs Packman and her two sons taken in the studio in Mount Gambier in 1955. The boys are about four and two years old.</t>
  </si>
  <si>
    <t>Packman (Family);Mothers -- South Australia -- Mount Gambier</t>
  </si>
  <si>
    <t>b21140959</t>
  </si>
  <si>
    <t>L. Broster</t>
  </si>
  <si>
    <t>Photograph of Mrs Broster and her daughter taken in the studio in Mount Gambier in 1955. The girl is about two years old and is wearing a short lace trimmed dress and has a large ribbon in her blonde hair. Mrs Broster is wearing a plain dress with a flower corsage and a pearl necklace and matching ear-rings.</t>
  </si>
  <si>
    <t>Broster (Family);Mothers -- South Australia -- Mount Gambier</t>
  </si>
  <si>
    <t>b21140960</t>
  </si>
  <si>
    <t>G.H. Branson</t>
  </si>
  <si>
    <t>Photograph of the three Branson children taken in the studio in Mount Gambier in 1955. The two older girls are about nine and seven years old wearing matching dresses and their brother is about three years old. He is wearing a smocked and pleated shirt.</t>
  </si>
  <si>
    <t>Branson (Family);Children -- Clothing -- South Australia -- Mount Gambier</t>
  </si>
  <si>
    <t>b21140972</t>
  </si>
  <si>
    <t>G. H. Branson</t>
  </si>
  <si>
    <t>Photograph of the three Branson children taken in the studio in Mount Gambier in 1955. The two older girls are about nine and seven years old and their little brother is about three years old. He is wearing a smocked and pleated shirt.</t>
  </si>
  <si>
    <t>Branson (Family);Children -- South Australia -- Mount Gambier</t>
  </si>
  <si>
    <t>b21178197</t>
  </si>
  <si>
    <t>C. Naughton</t>
  </si>
  <si>
    <t>Photograph of Mrs C. Naughton and her baby taken in the studio in Mount Gambier in 1955. The baby's dress is long and decorated with ribbon.</t>
  </si>
  <si>
    <t>Naughton (Family);Mothers -- South Australia -- Mount Gambier;Infants -- South Australia -- Mount Gambier</t>
  </si>
  <si>
    <t>b21140996</t>
  </si>
  <si>
    <t>N. MacKay</t>
  </si>
  <si>
    <t>Photograph of the two MacKay children taken in the studio in Mount Gambier in 1955.  The girl is about four years old and is wearing a dark corduroy dress with flower braiding on the collar and sleeves. Her baby brother is wearing a smocked romper suit.</t>
  </si>
  <si>
    <t>MacKay (Family);Children -- Clothing -- South Australia -- Mount Gambier</t>
  </si>
  <si>
    <t>b21141009</t>
  </si>
  <si>
    <t>M.H. McRae</t>
  </si>
  <si>
    <t>Photograph of the three McRae children. Two little boys are dressed in sailor suits and are about two and four years old. The baby is dressed in a jumper and romper suit.</t>
  </si>
  <si>
    <t>McRae (Family);Children -- Clothing -- South Australia -- Mount Gambier</t>
  </si>
  <si>
    <t>b21141010</t>
  </si>
  <si>
    <t>J.L. McEachern</t>
  </si>
  <si>
    <t>Photograph of the two McEachern children taken in the studio in Mount Gambier in 1955. The girl is about three years old and is wearing a smocked dress and a large ribbon in her blonde ringlets. Her baby brother is about nine months old and is wearing a smocked shirt.</t>
  </si>
  <si>
    <t>McEachern (Family);Children -- Clothing -- South Australia -- Mount Gambier</t>
  </si>
  <si>
    <t>b21178203</t>
  </si>
  <si>
    <t>E. Possingham</t>
  </si>
  <si>
    <t>Photograph of Mr and Mrs E. Possingham and their four children, two daughters and two sons, in 1955.</t>
  </si>
  <si>
    <t>Possingham (Family);Children -- South Australia -- Mount Gambier</t>
  </si>
  <si>
    <t>b21141022</t>
  </si>
  <si>
    <t>N.S. Oakley</t>
  </si>
  <si>
    <t>Photograph of the Oakley children who could possibly be twins. The boy is wearing a shirt and shorts and clutching a toy fluffy dog and his sister is wearing a spotted dress with a matching apron. They are both under five years old.</t>
  </si>
  <si>
    <t>Oakley (Family);Children -- Clothing -- South Australia -- Mount Gambier</t>
  </si>
  <si>
    <t>b21178215</t>
  </si>
  <si>
    <t>A. Douvart</t>
  </si>
  <si>
    <t>Photograph of Mr and Mrs A. Douvart and their four sons in 1955.</t>
  </si>
  <si>
    <t>Douvart (Family)</t>
  </si>
  <si>
    <t>b21141034</t>
  </si>
  <si>
    <t>Helen and Anne Duigan</t>
  </si>
  <si>
    <t>Photograph of Mrs Anne Duigan and her daughter Helen. Mrs Duigan is wearing a square necked summer dress with a sash and her daughter Helen, who is about seven years old, is wearing a short dress with flowers tucked into the waist sash.</t>
  </si>
  <si>
    <t>Duigan, Anne;Duigan, Helen;Mothers and daughters -- South Australia -- Mount Gambier</t>
  </si>
  <si>
    <t>b21141162</t>
  </si>
  <si>
    <t>A.J. Day</t>
  </si>
  <si>
    <t>Photograph of the three Day children in the studio in Mount Gambier in 1955. The older boy is about nine years old and his sister is about seven years old. Their young brother is approximately two years old.</t>
  </si>
  <si>
    <t>Day (Family);Children -- Clothing -- South Australia -- Mount Gambier</t>
  </si>
  <si>
    <t>b21141174</t>
  </si>
  <si>
    <t>I. Prider</t>
  </si>
  <si>
    <t>Photograph of the three Prider children, Rodney, Jim and Graham, taken in the studio in Mount Gambier in 1955. The two older boys are about eight and six years old. Their young brother is approximately one year old.</t>
  </si>
  <si>
    <t>Prider (Family);Children -- Clothing -- South Australia -- Mount Gambier</t>
  </si>
  <si>
    <t>b21165300</t>
  </si>
  <si>
    <t>F. Cleves Band at the Car Ball</t>
  </si>
  <si>
    <t>Photograph of the F. Cleves Band taken during a performance at the Car Ball in 1955. There are nine band members present.</t>
  </si>
  <si>
    <t>F. Cleves Band;Bands (Music) -- South Australia -- Mount Gambier;Musical groups -- South Australia -- Mount Gambier</t>
  </si>
  <si>
    <t>b21166316</t>
  </si>
  <si>
    <t>R. Clarke</t>
  </si>
  <si>
    <t>Photograph of R. Clarke sitting in the studio in Mount Gambier in 1955.  She is wearing a long satin and lace dress with a tartan sash over one shoulder. The full skirt is arranged around her and she is carrying a bouquet of flowers.</t>
  </si>
  <si>
    <t>Clarke, R.;Clothing and dress -- South Australia -- Mount Gambier</t>
  </si>
  <si>
    <t>b21166365</t>
  </si>
  <si>
    <t>J. Cram</t>
  </si>
  <si>
    <t>Photograph of a young man and a lady dressed formally for possibly, the Highland Ball. The photograph was taken in the studio in Mount Gambier in 1955.</t>
  </si>
  <si>
    <t>Cram, J.;Balls (Parties) -- South Australia -- Mount Gambier</t>
  </si>
  <si>
    <t>b21166390</t>
  </si>
  <si>
    <t>Holloway siblings</t>
  </si>
  <si>
    <t>Photograph of a teenage brother and sister wearing their school uniforms in 1955. According to a researcher, they are Beth and Peter Holloway.</t>
  </si>
  <si>
    <t>Holloway, Beth;Holloway, Peter;Children -- Clothing -- South Australia -- Mount Gambier;School children -- South Australia -- Mount Gambier</t>
  </si>
  <si>
    <t>b21166407</t>
  </si>
  <si>
    <t>J.G. Humphries</t>
  </si>
  <si>
    <t>Photograph of Miss Humphries dressed in a long evening gown and seated in the studio in Mount Gambier in 1955.</t>
  </si>
  <si>
    <t>Humphries, J. G.;Clothing and dress -- South Australia -- Mount Gambier</t>
  </si>
  <si>
    <t>b21166419</t>
  </si>
  <si>
    <t>V. Fronersia</t>
  </si>
  <si>
    <t>Photograph of Mr Fronersia standing in the studio in Mount Gambier in 1955. He is wearing a scarf inside his suit in the European style.</t>
  </si>
  <si>
    <t>Fronersia, V.</t>
  </si>
  <si>
    <t>b21166420</t>
  </si>
  <si>
    <t>Young woman in a ball gown</t>
  </si>
  <si>
    <t>Photograph of a young woman wearing a ball gown and seated in the studio in Mount Gambier in 1955.</t>
  </si>
  <si>
    <t>Hemmings, G.;Clothing and dress -- South Australia -- Mount Gambier</t>
  </si>
  <si>
    <t>b21166432</t>
  </si>
  <si>
    <t>W.L. Crafter</t>
  </si>
  <si>
    <t>Photograph of a man and woman, possibly Mr and Mrs Crafter, taken in the studio in Mount Gambier in 1955.</t>
  </si>
  <si>
    <t>Crafter, W. L.</t>
  </si>
  <si>
    <t>b21166444</t>
  </si>
  <si>
    <t>Margaret Cleves</t>
  </si>
  <si>
    <t>Margaret Cleves (now Mrs Reichelt), daughter of Mr and Mrs Frank Cleves. She is seated and is wearing her Highland Dancing costume.</t>
  </si>
  <si>
    <t>Cleves, Margaret;Costume -- Scotland;Folk dancing, Scottish -- South Australia -- Mount Gambier</t>
  </si>
  <si>
    <t>b21166456</t>
  </si>
  <si>
    <t>Christine Chuck</t>
  </si>
  <si>
    <t>Photograph of debutante Christine Chuck (now Mrs. Christine McKenzie), daughter of Mr and Mrs Bill Chuck.</t>
  </si>
  <si>
    <t>Chuck, Christine;Clothing and dress -- South Australia -- Mount Gambier</t>
  </si>
  <si>
    <t>b21166468</t>
  </si>
  <si>
    <t>Rosemary Corigliano</t>
  </si>
  <si>
    <t>Photograph of Rosemary Corigliano of Beachport, wearing her school uniform.</t>
  </si>
  <si>
    <t>Corigliano, Rosemary;School children -- South Australia -- Mount Gambier</t>
  </si>
  <si>
    <t>b2116647x</t>
  </si>
  <si>
    <t>Studio photograph of two men</t>
  </si>
  <si>
    <t>Photograph of two men taken in the studio in Mount Gambier in 1955. They are seated and wearing suits. One of the men may be Mr. J. Bliss.</t>
  </si>
  <si>
    <t>Bliss, J.</t>
  </si>
  <si>
    <t>b21166481</t>
  </si>
  <si>
    <t>L. Box</t>
  </si>
  <si>
    <t>Photograph of a young boy taken in the studio in Mount Gambier in 1955. He is wearing his school uniform.</t>
  </si>
  <si>
    <t>Box, L.;School children -- South Australia -- Mount Gambier</t>
  </si>
  <si>
    <t>b21166493</t>
  </si>
  <si>
    <t>T.W. Baker</t>
  </si>
  <si>
    <t>Photograph of a young couple taken in the studio in Mount Gambier in 1955. One of the two is T.W. Baker.</t>
  </si>
  <si>
    <t>Baker, T. W.</t>
  </si>
  <si>
    <t>b2116650x</t>
  </si>
  <si>
    <t>Nita Patricia Butler</t>
  </si>
  <si>
    <t>Nurse Nita Patricia Butler in the Mount Gambier studio in 1955.</t>
  </si>
  <si>
    <t>Butler, Nita Patricia, 1926-;Nurses -- South Australia -- Mount Gambier</t>
  </si>
  <si>
    <t>b21166511</t>
  </si>
  <si>
    <t>M. Bignell</t>
  </si>
  <si>
    <t>Photograph of a woman wearing evening dress and seated in the studio in Mount Gambier in 1955.</t>
  </si>
  <si>
    <t>Bignell, M.;Clothing and dress -- South Australia -- Mount Gambier</t>
  </si>
  <si>
    <t>b21166523</t>
  </si>
  <si>
    <t>Photograph of a woman wearing a long evening gown and seated in the studio in Mount Gambier in 1955.</t>
  </si>
  <si>
    <t>English, J.;Clothing and dress -- South Australia -- Mount Gambier</t>
  </si>
  <si>
    <t>b21166535</t>
  </si>
  <si>
    <t>P. Byrne</t>
  </si>
  <si>
    <t>Photograph of a young woman taken in the studio in Mount Gambier in 1955. She is wearing a carnation pinned to her tweed jacket.</t>
  </si>
  <si>
    <t>Byrne, P.</t>
  </si>
  <si>
    <t>b21166547</t>
  </si>
  <si>
    <t>Photograph of a young man dressed in tartan and holding the bagpipes.</t>
  </si>
  <si>
    <t>b21166559</t>
  </si>
  <si>
    <t>Joy Dennes</t>
  </si>
  <si>
    <t>Photograph of Joy Dennes, daughter of Harry and Marge Dennes of Mount Gambier dressed in her Scottish uniform with her bagpipes next to her. [Now Mrs. Joy Smelt].</t>
  </si>
  <si>
    <t>Dennes, Joy;Costume -- Scotland;Bagpipers -- South Australia -- Mount Gambier</t>
  </si>
  <si>
    <t>b21166560</t>
  </si>
  <si>
    <t>Marion and Murray Davis</t>
  </si>
  <si>
    <t>Brother and sister, Marion and Murray Davis dressed for a ball. [identification provided by M. McKenzie].</t>
  </si>
  <si>
    <t>Davis, Murray;Davis, Marion;Clothing and dress -- South Australia -- Mount Gambier</t>
  </si>
  <si>
    <t>b21166584</t>
  </si>
  <si>
    <t>M. Baker</t>
  </si>
  <si>
    <t>Photograph of a young woman taken in the studio in Mount Gambier in 1955. She is wearing a belted buttoned up suit.</t>
  </si>
  <si>
    <t>Baker, M.;Clothing and dress -- South Australia -- Mount Gambier</t>
  </si>
  <si>
    <t>b21166596</t>
  </si>
  <si>
    <t>C.E. Day</t>
  </si>
  <si>
    <t>Photograph of Nursing Sister C.E. Day taken in the studio in Mount Gambier in 1955.</t>
  </si>
  <si>
    <t>Day, C. E.;Nurses -- South Australia -- Mount Gambier</t>
  </si>
  <si>
    <t>b21166602</t>
  </si>
  <si>
    <t>Child with flower basket</t>
  </si>
  <si>
    <t>Photograph of a girl dressed in a long dress with puffed sleeves and a matching bonnet and a basket of flowers. She is approximately nine years old and the photograph was taken in 1955.</t>
  </si>
  <si>
    <t>Dunn, T.;Children -- South Australia -- Mount Gambier</t>
  </si>
  <si>
    <t>b21166614</t>
  </si>
  <si>
    <t>M. Janusaitis</t>
  </si>
  <si>
    <t>Photograph of Miss Janusaitis, a newly arrived migrant to Australia, taken in the studio in Mount Gambier in 1955. She is wearing a strapless gown and holding a large bouquet of flowers.</t>
  </si>
  <si>
    <t>Janusaitis, M.;Women -- South Australia -- Mount Gambier</t>
  </si>
  <si>
    <t>b21166626</t>
  </si>
  <si>
    <t>R. Laslett</t>
  </si>
  <si>
    <t>Laslett, R.;Clothing and dress -- South Australia -- Mount Gambier</t>
  </si>
  <si>
    <t>b21166638</t>
  </si>
  <si>
    <t>F.J. Lee</t>
  </si>
  <si>
    <t>Photograph of Mr F. J. Lee wearing his South Australian Police uniform and seated in the studio in Mount Gambier in 1955. The number on his uniform is 701.</t>
  </si>
  <si>
    <t>Lee, F. J.;Police -- South Australia -- Mount Gambier</t>
  </si>
  <si>
    <t>b21166651</t>
  </si>
  <si>
    <t>F. Liebing</t>
  </si>
  <si>
    <t>Photograph of Nursing Sister F. Liebing taken in the studio in Mount Gambier in 1955.</t>
  </si>
  <si>
    <t>Liebing, F.;Nurses -- South Australia -- Mount Gambier</t>
  </si>
  <si>
    <t>b21166663</t>
  </si>
  <si>
    <t>T.P. Merivale</t>
  </si>
  <si>
    <t>Photograph of two men, Thomas W. Merivale (left) and his father Thomas P. Merivale, taken in the studio in Mount Gambier in 1955.</t>
  </si>
  <si>
    <t>Merivale, Thomas P.;Merivale, Thomas W.</t>
  </si>
  <si>
    <t>b21166675</t>
  </si>
  <si>
    <t>N.R. Major</t>
  </si>
  <si>
    <t>Photograph of Mrs Major looking at her baby in the studio in Mount Gambier in 1955. The baby is approximately four months old and is wearing a Christening dress.</t>
  </si>
  <si>
    <t>Major, N. R.;Infants -- South Australia -- Mount Gambier;Mothers -- South Australia -- Mount Gambier</t>
  </si>
  <si>
    <t>b21166687</t>
  </si>
  <si>
    <t>Jannifer and Marilyn Paternoster</t>
  </si>
  <si>
    <t>Photograph of sisters Jannifer and Marilyn Paternoster of Hatherleigh, wearing their school uniforms.</t>
  </si>
  <si>
    <t>Paternoster (Family);School children -- South Australia -- Mount Gambier</t>
  </si>
  <si>
    <t>b21166699</t>
  </si>
  <si>
    <t>M. McAskill</t>
  </si>
  <si>
    <t>Photograph of Nursing Sister M. McAskill taken in the studio in Mount Gambier in 1955.</t>
  </si>
  <si>
    <t>McAskill, M.;Nurses -- South Australia -- Mount Gambier</t>
  </si>
  <si>
    <t>b21166705</t>
  </si>
  <si>
    <t>P. McPhail</t>
  </si>
  <si>
    <t>Photograph of Mr P. McPhail wearing the uniform of the Australian Army. The photograph was taken in the studio in Mount Gambier in 1955.</t>
  </si>
  <si>
    <t>McPhail, P.;Soldiers -- South Australia -- Mount Gambier</t>
  </si>
  <si>
    <t>b21166717</t>
  </si>
  <si>
    <t>Pitt children</t>
  </si>
  <si>
    <t>Photograph of the three Pitt siblings, David, Margaret and Dianne.</t>
  </si>
  <si>
    <t>Pitt (Family);Children -- South Australia -- Mount Gambier</t>
  </si>
  <si>
    <t>b21166729</t>
  </si>
  <si>
    <t>K. O'Malley</t>
  </si>
  <si>
    <t>Photograph of Nursing Sister K. O'Malley taken in the studio in Mount Gambier in 1955.</t>
  </si>
  <si>
    <t>O'Malley, K.;Nurses -- South Australia -- Mount Gambier</t>
  </si>
  <si>
    <t>b21166730</t>
  </si>
  <si>
    <t>R. Pemberton wedding day</t>
  </si>
  <si>
    <t>Photograph of Miss Pemberton in her wedding dress and veil taken in the studio in Mount Gambier in 1955.</t>
  </si>
  <si>
    <t>Pemberton, R.;Wedding costume -- South Australia -- Mount Gambier</t>
  </si>
  <si>
    <t>b2116681x</t>
  </si>
  <si>
    <t>Studio photograph of Shirley Pennifold and Bernard James Pahl</t>
  </si>
  <si>
    <t>Photograph of Shirley Pennifold and Bernard James Pahl of Nangwarry, taken in the studio in Mount Gambier. They were engaged in June 1953. Bernard was the milkman at Nangwarry.</t>
  </si>
  <si>
    <t>Pahl, Bernard James;Pennifold, Shirley</t>
  </si>
  <si>
    <t>b2116700x</t>
  </si>
  <si>
    <t>Photograph of the two Jones sisters taken in the studio in Mount Gambier in 1955. They are wearing sailor outfits and are approximately twelve and seven years old.</t>
  </si>
  <si>
    <t>Jones, K. I.;Children -- South Australia -- Mount Gambier;Costume -- South Australia -- Mount Gambier;Children -- Clothing -- South Australia -- Mount Gambier</t>
  </si>
  <si>
    <t>b21167485</t>
  </si>
  <si>
    <t>K. Cram - cyclist</t>
  </si>
  <si>
    <t>Photograph of cyclist K. Cram taken in the studio in Mount Gambier in 1955.</t>
  </si>
  <si>
    <t>Cram, K.;Cyclists -- South Australia -- Mount Gambier</t>
  </si>
  <si>
    <t>b21171439</t>
  </si>
  <si>
    <t>H. Harts</t>
  </si>
  <si>
    <t>Studio photograph of Mr and Mrs Harts on their wedding day in 1955.</t>
  </si>
  <si>
    <t>Harts, H.;Wedding costume -- South Australia -- Mount Gambier</t>
  </si>
  <si>
    <t>b21171464</t>
  </si>
  <si>
    <t>J.M. Bennier on her wedding day</t>
  </si>
  <si>
    <t>Photograph of Mrs Bennier taken in the studio on her wedding day in 1955.</t>
  </si>
  <si>
    <t>Bennier, J. M.;Brides -- South Australia -- Mount Gambier;Wedding costume -- South Australia -- Mount Gambier</t>
  </si>
  <si>
    <t>b21171506</t>
  </si>
  <si>
    <t>E.J. Hare</t>
  </si>
  <si>
    <t>Photograph of Mr and Mrs Hare taken in the studio on their wedding day in 1955.</t>
  </si>
  <si>
    <t>Hare, E. J.;Clothing and dress -- South Australia -- Mount Gambier;Wedding costume -- South Australia -- Mount Gambier</t>
  </si>
  <si>
    <t>b21182899</t>
  </si>
  <si>
    <t>R. Edwards</t>
  </si>
  <si>
    <t>Photograph of Mr and Mrs R. Edwards and their four attendants on their wedding day in 1955. The bride is wearing a long dress with a train and a floral head piece with a mid-length veil, and is holding a bouquet of flowers with a horseshoe. The bridesmaids are wearing short sleeved satin dresses with a full skirt, and small head pieces. The groomsmen have sprigs of orange blossom in their lapels.</t>
  </si>
  <si>
    <t>Edwards, R.;Brides -- South Australia -- Mount Gambier;Wedding costume -- South Australia -- Mount Gambier</t>
  </si>
  <si>
    <t>b21182905</t>
  </si>
  <si>
    <t>Doug and Margaret Finnis</t>
  </si>
  <si>
    <t>Photograph Doug and Margaret Finnis (nee Hallion) on their wedding day in 1955. The bride is wearing a long sleeved lace gown and carrying a spray of orchids.</t>
  </si>
  <si>
    <t>b21227342</t>
  </si>
  <si>
    <t>Foran family</t>
  </si>
  <si>
    <t>Four young adults, two men and two women, possible members of the R. Foran family.</t>
  </si>
  <si>
    <t>Foran (Family)</t>
  </si>
  <si>
    <t>b21183259</t>
  </si>
  <si>
    <t>D. Clayfield</t>
  </si>
  <si>
    <t>Photograph of Mr and Mrs D. Clayfield and their two attendants on their wedding day in 1955. The bride is wearing a satin and lace gown and her veil is embroidered with flowers.</t>
  </si>
  <si>
    <t>Clayfield, D.;Brides -- South Australia -- Mount Gambier;Wedding costume -- South Australia -- Mount Gambier</t>
  </si>
  <si>
    <t>b21183351</t>
  </si>
  <si>
    <t>C.R. Lock</t>
  </si>
  <si>
    <t>Photograph of Mr and Mrs Lock on their wedding day in 1955. The bride's lace gown has short sleeves and she is wearing a long veil and carrying a bouquet of roses.</t>
  </si>
  <si>
    <t>Lock, C. R.;Brides -- South Australia -- Mount Gambier;Wedding costume -- South Australia -- Mount Gambier</t>
  </si>
  <si>
    <t>b21183363</t>
  </si>
  <si>
    <t>R. Lindsay</t>
  </si>
  <si>
    <t>Photograph of Mr and Mrs Lindsay on their wedding day in 1955. The bride is wearing a long sleeved satin gown with a train and carrying a prayer book and roses.</t>
  </si>
  <si>
    <t>Lindsay, R.;Brides -- South Australia -- Mount Gambier;Wedding costume -- South Australia -- Mount Gambier</t>
  </si>
  <si>
    <t>b21183375</t>
  </si>
  <si>
    <t>A.L. Kellond</t>
  </si>
  <si>
    <t>Photograph of the bride Mrs A.L. Kellond with her four bridesmaids and flowergirl.  The attendants are carrying lace and flower trimmed fans and the bridal gown features silver spiral embroidery on the front panels.</t>
  </si>
  <si>
    <t>Kellond, A. L.;Brides -- South Australia -- Mount Gambier;Wedding costume -- South Australia -- Mount Gambier</t>
  </si>
  <si>
    <t>b21183399</t>
  </si>
  <si>
    <t>Photograph of Mr and Mrs A. Kuhl and their four attendants,  bridesmaid and page boy. The gowns are satin and the orange blossom is worn by groomsmen and bridegroom.</t>
  </si>
  <si>
    <t>Kuhl, A.;Brides -- South Australia -- Mount Gambier;Wedding costume -- South Australia -- Mount Gambier</t>
  </si>
  <si>
    <t>b21183454</t>
  </si>
  <si>
    <t>K. Laslett</t>
  </si>
  <si>
    <t>Photograph of Mr and Mrs K. Laslett and their four attendants and flowergirl on their wedding day in 1955. The attendant's dresses have a lattice pattern and they are wearing matching caps. The bridal gown has a lace overlay and matching long gloves.</t>
  </si>
  <si>
    <t>Laslett, K.;Brides -- South Australia -- Mount Gambier;Wedding costume -- South Australia -- Mount Gambier</t>
  </si>
  <si>
    <t>b21183466</t>
  </si>
  <si>
    <t>R. Jackway</t>
  </si>
  <si>
    <t>Photograph of Mr and Mrs R. Jackway on their wedding day with their two attendants and flowergirl. The bride's dress has long sleeves, long train and floating veil.</t>
  </si>
  <si>
    <t>Jackway, R.;Brides -- South Australia -- Mount Gambier;Wedding costume -- South Australia -- Mount Gambier</t>
  </si>
  <si>
    <t>b21183478</t>
  </si>
  <si>
    <t>W. Johnston</t>
  </si>
  <si>
    <t>Photograph of Mr and Mrs W. Johnston and their two attendants on their wedding day in 1955. The ladies are wearing day dresses with corsages.</t>
  </si>
  <si>
    <t>Johnston, W.;Brides -- South Australia -- Mount Gambier;Wedding costume -- South Australia -- Mount Gambier</t>
  </si>
  <si>
    <t>b21183624</t>
  </si>
  <si>
    <t>S.G. McKay</t>
  </si>
  <si>
    <t>Photograph of Mr and Mrs S.G. McKay with their two attendants and a flowergirl on their wedding day in 1955. The bride is wearing a long flowing lace gown with a long fine veil.</t>
  </si>
  <si>
    <t>McKay, S. G.;Brides -- South Australia -- Mount Gambier;Wedding costume -- South Australia -- Mount Gambier</t>
  </si>
  <si>
    <t>b21183831</t>
  </si>
  <si>
    <t>H. Fraser</t>
  </si>
  <si>
    <t>Photograph of piper Mr H. Fraser dressed in his full Scottish costume and holding the bagpipes.</t>
  </si>
  <si>
    <t>Fraser, H.;Bagpipers -- South Australia -- Mount Gambier</t>
  </si>
  <si>
    <t>b21183843</t>
  </si>
  <si>
    <t>A.H. Kuhl</t>
  </si>
  <si>
    <t>Photograph of Mr and Mrs A.H. Kuhl with their three adult sons taken in the studio in Mount Gambier in 1955.</t>
  </si>
  <si>
    <t>Kuhl, A. H.;Kuhl (Family)</t>
  </si>
  <si>
    <t>b21183855</t>
  </si>
  <si>
    <t>Kentish family</t>
  </si>
  <si>
    <t>Photograph of Malcolm and Mary Kentish with their children in the studio at Mount Gambier in 1955. L-R Robert Bruce, Diana Ruth, Malcolm Lloyd, Malcolm Donald, Douglas M., Mary, Stuart E., and Duncan J.H.</t>
  </si>
  <si>
    <t>Kentish, Malcolm Lloyd, 1912-1968;McLennan, Mary Isobel Jean, 1911-2002;Kentish, Malcolm Donald, 1941-;Kentish, Diana Ruth, 1943-;Kentish, Duncan J., 1945-;Kentish, Robert Bruce, 1947-1967;Kentish, Douglas M., 1951-;Kentish, Stuart E., 1953-1970;Kentish (Family)</t>
  </si>
  <si>
    <t>b21183867</t>
  </si>
  <si>
    <t>A. Brown</t>
  </si>
  <si>
    <t>Photograph of Mr and Mrs A. Brown with their adult son and two daughters taken in the studio in Mount Gambier in 1955.</t>
  </si>
  <si>
    <t>Brown, A.;Brown (Family)</t>
  </si>
  <si>
    <t>b21183879</t>
  </si>
  <si>
    <t>A. Mitchell</t>
  </si>
  <si>
    <t>Photograph of Mr and Mrs A. Mitchell and their three adult sons taken in the studio in Mount Gambier in 1955.</t>
  </si>
  <si>
    <t>Mitchell, A.;Mitchell (Family)</t>
  </si>
  <si>
    <t>b21184434</t>
  </si>
  <si>
    <t>Marist Brothers College students</t>
  </si>
  <si>
    <t>Photograph of the whole school in 1955 at the Marist Brothers College in Mount Gambier.</t>
  </si>
  <si>
    <t>Marist Brothers College (Mount Gambier, S.A.) -- Students</t>
  </si>
  <si>
    <t>b21187551</t>
  </si>
  <si>
    <t>Tarpeena Football Club</t>
  </si>
  <si>
    <t>Photograph of members and officials of the Tarpeena Football Club taken in 1955.</t>
  </si>
  <si>
    <t>Tarpeena Football Club;Australian football players -- South Australia -- Tarpeena;Australian football teams -- South Australia -- Tarpeena</t>
  </si>
  <si>
    <t>b21187575</t>
  </si>
  <si>
    <t>Photograph of members and officials from the Glencoe Football Club taken in 1955.</t>
  </si>
  <si>
    <t>b21187587</t>
  </si>
  <si>
    <t>b21187666</t>
  </si>
  <si>
    <t>M.C.C. and Country Cricket XI in 1955</t>
  </si>
  <si>
    <t>Photograph of players and officials from the MCC and Country Cricket XI teams taken on 18/1/55.</t>
  </si>
  <si>
    <t>b21187678</t>
  </si>
  <si>
    <t>Photograph of members of the Glencoe Cricket Club taken in 1955.</t>
  </si>
  <si>
    <t>b2118768x</t>
  </si>
  <si>
    <t>b21187708</t>
  </si>
  <si>
    <t>West Gambier Cricket Club</t>
  </si>
  <si>
    <t>Photograph of members of the West Gambier Cricket Club taken in 1955.</t>
  </si>
  <si>
    <t>West Gambier Cricket Club;Cricket -- South Australia -- Mount Gambier;Cricket players -- South Australia -- Mount Gambier</t>
  </si>
  <si>
    <t>b21187915</t>
  </si>
  <si>
    <t>Mount Gambier Theatre Group</t>
  </si>
  <si>
    <t>Photograph of six actors from the Mount Gambier Theatre Group performing in "Murder Arranged" in 1955.</t>
  </si>
  <si>
    <t>Mount Gambier Theatre Group;Amateur theater -- South Australia -- Mount Gambier</t>
  </si>
  <si>
    <t>b21188038</t>
  </si>
  <si>
    <t>Members of the Choral Society taken in the studio in Mount Gambier in 1955. Back Row L-R: L. Watson, John Holland, C. Marks, L. Mudge, Mac Lovell, Bruce Goodes, J. Tremelling, Joe Pederick, Charlie McDonald. Middle Row: L-R unknown, Nola Gillies, Mary Lucas (nee Holland), Phillipa Nicholls, M. Dundon, Elsie Goodes, Audrey McPherson, Dawn Rowley. Front Row: L-R Amy Collins, Doreen Main, Lenore Roberts (nee Kentish), ... Wilson, Frank Roberts (conductor), Joan Aitkman (nee Lewis), Lynette Collins (nee Hocking), Kath Moody, Bertha McDonald.</t>
  </si>
  <si>
    <t>b21192686</t>
  </si>
  <si>
    <t>Executor Trustee</t>
  </si>
  <si>
    <t>Photograph of an office at Executor Trustee taken in 1955.  Copies of the Australian Law Journal can be seen on the desk.</t>
  </si>
  <si>
    <t>Executor Trustee and Agency Company of South Australia -- Mount Gambier;Interior architecture -- South Australia -- Mount Gambier;Furniture -- South Australia -- Mount Gambier</t>
  </si>
  <si>
    <t>b21192698</t>
  </si>
  <si>
    <t>Commonwealth Bank</t>
  </si>
  <si>
    <t>Photograph of the inside of the Commonwealth Bank in Mount Gambier in July 1955. The decor is heavy wood and marble and there are curtains at the windows.</t>
  </si>
  <si>
    <t>Commonwealth Bank of Australia -- Buildings;Bank buildings -- South Australia -- Mount Gambier;Interior architecture -- South Australia -- Mount Gambier</t>
  </si>
  <si>
    <t>b21192704</t>
  </si>
  <si>
    <t>Photograph of the inside of the Commonwealth Bank in Mount Gambier on 16th July 1955. The decor is heavy wood and marble and there are curtains at the windows. The photograph is taken from the public area near the teller's booths.</t>
  </si>
  <si>
    <t>b2119273x</t>
  </si>
  <si>
    <t>Marist Brothers Dormitory in the Boarding School</t>
  </si>
  <si>
    <t>Photograph of the beds in the dormitory in the boarding school of the Marist Brothers College. Six iron bedsteads are visible.</t>
  </si>
  <si>
    <t>Marist Brothers College (Mount Gambier, S.A.);Boarding schools -- South Australia -- Mount Gambier;Dormitories -- South Australia -- Mount Gambier</t>
  </si>
  <si>
    <t>b21192789</t>
  </si>
  <si>
    <t>Showgrounds Canteen</t>
  </si>
  <si>
    <t>Photograph of a hall with many tables set for a two course meal.  This is possibly the canteen at the showground. There are flowers and decorations so it is possibly a festive occasion.</t>
  </si>
  <si>
    <t>Mount Gambier Agricultural and Horticultural Society;Agricultural exhibitions -- South Australia -- Mount Gambier;Restaurants -- South Australia -- Mount Gambier</t>
  </si>
  <si>
    <t>b21192790</t>
  </si>
  <si>
    <t>R.W. Scott</t>
  </si>
  <si>
    <t>Photograph of a display of electrical appliances in the R.W. Scott Store. On show are washing machines with wringers, cookers, polishers, vacuum cleaners, electric fires, mixers, light fittings and standard lamps.</t>
  </si>
  <si>
    <t>R.W. Scott (Firm);Stores, Retail -- South Australia -- Mount Gambier;Display of merchandise -- South Australia -- Mount Gambier</t>
  </si>
  <si>
    <t>b2119290x</t>
  </si>
  <si>
    <t>Mount Gambier City Status Celebrations</t>
  </si>
  <si>
    <t>Photograph of the celebrations in front of the Town Hall to mark Mount Gambier gaining city status on 17th January 1955. The official party is on the dais, there are Australian flags draped in the windows and doorways and the Scottish Regiment of the Royal Australian Army is parading in front of the Town Hall. An Act of Parliament in 1953 changed the population qualification for a country city from 20,000 to 10,000.</t>
  </si>
  <si>
    <t>City halls -- South Australia -- Mount Gambier;Municipal buildings -- South Australia -- Mount Gambier;Local government -- South Australia -- Mount Gambier</t>
  </si>
  <si>
    <t>b21193228</t>
  </si>
  <si>
    <t>Buildings along Bay Road Mount Gambier</t>
  </si>
  <si>
    <t>Photograph of buildings along Bay Road Mount Gambier.  They include the Trevorrow Insurance Agent, chartered accountants, Elder Smith and the Mount Gambier Hotel on the opposite corner.</t>
  </si>
  <si>
    <t>Trevorrow Insurance Agent;Elder, Smith &amp; Co.;Mount Gambier Hotel (Mount Gambier, S.A.);Streets -- South Australia -- Mount Gambier</t>
  </si>
  <si>
    <t>b21196072</t>
  </si>
  <si>
    <t>Photograph of eighteen debutantes from the Mount Gambier High School making their debut in Mount Gambier in 1955. They are attended by two small girls.</t>
  </si>
  <si>
    <t>b21196138</t>
  </si>
  <si>
    <t>Photograph of eight debutantes and their partners making their debut at the Highland Ball held in 1955. They are accompanied by three small children.</t>
  </si>
  <si>
    <t>b2119614x</t>
  </si>
  <si>
    <t>May Ball debutantes at Mount Gambier</t>
  </si>
  <si>
    <t>Photograph of twenty debutantes at the May Ball in Mount Gambier in 1955. A young boy and girl, also dressed up, are included.</t>
  </si>
  <si>
    <t>b21196199</t>
  </si>
  <si>
    <t>Photograph of twenty one debutantes from Mount Gambier High School making their debut in 1955. They are accompanied by two small girls.</t>
  </si>
  <si>
    <t>b30243312</t>
  </si>
  <si>
    <t>Floral carpet at the War Memorial</t>
  </si>
  <si>
    <t>1 photograph : black and white   4.0 x 6.4 cm;OUTSIZE 1;still image sti rdacontent;unmediated n rdamedia;sheet nb rdacarrier</t>
  </si>
  <si>
    <t>Floral carpet flower display in front of the War Memorial on North Terrace. To see a selection of photographs in this collection, search on Archival number PRG 1631/104.</t>
  </si>
  <si>
    <t>Flower arrangement -- South Australia -- Adelaide;War memorials -- South Australia -- Adelaide</t>
  </si>
  <si>
    <t>Margaret E. Ragless Collection;Adelaide Views Collection;War Memorial Collection</t>
  </si>
  <si>
    <t>b21113154</t>
  </si>
  <si>
    <t>Harvey and John Temby</t>
  </si>
  <si>
    <t>[approximately 1955]</t>
  </si>
  <si>
    <t>Photograph of Mr Harvey Temby (left) with his son John at the counter of their grocery shop, Mount Gambier.</t>
  </si>
  <si>
    <t>Temby, Harvey;Temby, John;General stores -- South Australia -- Mount Gambier;Grocery trade -- South Australia -- Mount Gambier</t>
  </si>
  <si>
    <t>b21113269</t>
  </si>
  <si>
    <t>Rev. R. Waters</t>
  </si>
  <si>
    <t>Photograph of the Rev. R. Waters.</t>
  </si>
  <si>
    <t>Waters, R., Rev.</t>
  </si>
  <si>
    <t>b21122519</t>
  </si>
  <si>
    <t>Moore Road Machinery</t>
  </si>
  <si>
    <t>Photograph of large earth moving machinery being inspected in Moore Road, Mount Gambier.</t>
  </si>
  <si>
    <t>Roads -- South Australia -- Mount Gambier;Machinery</t>
  </si>
  <si>
    <t>b21122520</t>
  </si>
  <si>
    <t>Photograph of large earth moving machinery being inspected in Moore Road, Mount Gambier. MNR Enfield[?]. The man in the dark suit is Ken McPherson. The man in the light coloured suit at the far right is Albert Raymond (Ray) Griffiths, City Engineer of the Mt. Gambier Corporation.</t>
  </si>
  <si>
    <t>McPherson, Ken;Griffiths, Albert Raymond.;Roads -- South Australia -- Mount Gambier;Machinery</t>
  </si>
  <si>
    <t>b21168763</t>
  </si>
  <si>
    <t>Photograph of the three Kilsby children taken in the studio in Mount Gambier in 1950. The girls are approximately ten and eight years old and their brother, Perry, is approximately five years old.</t>
  </si>
  <si>
    <t>Kilsby, L. F.;Children -- South Australia -- Mount Gambier</t>
  </si>
  <si>
    <t>b29271095</t>
  </si>
  <si>
    <t>Granite Island train</t>
  </si>
  <si>
    <t>1 photograph : black and white   6.2 x 8.4 cm;still image sti rdacontent;unmediated n rdamedia;sheet nb rdacarrier</t>
  </si>
  <si>
    <t>Train on Granite Island. To see all photographs in this collection, search on Archival number PRG 1561/5/1.</t>
  </si>
  <si>
    <t>Railroads -- South Australia -- Victor Harbor -- Trains;Granite Island (S.A.)</t>
  </si>
  <si>
    <t>Pritchard Family Collection;Granite Island Collection</t>
  </si>
  <si>
    <t>b31315793</t>
  </si>
  <si>
    <t>Float for OldfieldÔÇÖs Bakery at Port Adelaide</t>
  </si>
  <si>
    <t>1 photograph : black and white   12 x 16.4 cm;RESERVE 4;still image sti rdacontent;unmediated n rdamedia;sheet nr rdacarrier</t>
  </si>
  <si>
    <t>Horse-drawn float for OldfieldÔÇÖs Bakery at Port Adelaide. Two men are standing beside the float  a young woman is seated on it.</t>
  </si>
  <si>
    <t>b31894847</t>
  </si>
  <si>
    <t>Keith Phillips</t>
  </si>
  <si>
    <t>1 photograph : black and white;still image sti rdacontent;computer c rdamedia;online resource cr rdacarrier;image file TIFF 15124 x 12020 pixels rda</t>
  </si>
  <si>
    <t>Photographer Keith Phillips prepares a microscope prior to taking a photograph.</t>
  </si>
  <si>
    <t>Phillips, Keith Planta, 1898-1973;Microscopes -- South Australia;Photographers -- South Australia</t>
  </si>
  <si>
    <t>b31894902</t>
  </si>
  <si>
    <t>1 photograph : black and white;still image sti rdacontent;computer c rdamedia;online resource cr rdacarrier;image file TIFF 15077 x 11948 pixels rda</t>
  </si>
  <si>
    <t>Photographer Keith Phillips prepares to take a photograph.</t>
  </si>
  <si>
    <t>Phillips, Keith Planta, 1898-1973;Cameras -- South Australia;Photographers -- South Australia</t>
  </si>
  <si>
    <t>b30853412</t>
  </si>
  <si>
    <t>House at Stonyfell</t>
  </si>
  <si>
    <t>1 photograph : black and white   25 x 19.5 cm;RESERVE 1 a;still image sti rdacontent;unmediated n rdamedia;sheet nb rdacarrier</t>
  </si>
  <si>
    <t>Stonyfell House photographed from the front paddock.</t>
  </si>
  <si>
    <t>Stonyfell (House : S.A.);Stonyfell (S.A.)</t>
  </si>
  <si>
    <t>b31386684</t>
  </si>
  <si>
    <t>Port Pirie Uranium Plant</t>
  </si>
  <si>
    <t>[Approximately 1955]</t>
  </si>
  <si>
    <t>1 photograph : black and white   15.5.x 20.5 cm;still image sti rdacontent;unmediated n rdamedia;sheet nr rdacarrier;OUTSIZE 1</t>
  </si>
  <si>
    <t>Port Pirie uranium plant: external view, approaching plant.</t>
  </si>
  <si>
    <t>Port Pirie Uranium Treatment Plant.;Uranium ores -- South Australia -- Port Pirie.;Ore-dressing plants -- South Australia -- Port Pirie.;Uranium ores -- Processing.;Port Pirie (S.A.)</t>
  </si>
  <si>
    <t>Sir Lyell McEwin Collection;Port Pirie Collection</t>
  </si>
  <si>
    <t>b31386696</t>
  </si>
  <si>
    <t>Port Pirie uranium plant: external view of container vats.</t>
  </si>
  <si>
    <t>b31386702</t>
  </si>
  <si>
    <t>1 photograph : black and white   20.5.x 15.5 cm;still image sti rdacontent;unmediated n rdamedia;sheet nr rdacarrier;OUTSIZE 1</t>
  </si>
  <si>
    <t>Port Pirie uranium plant: internal view of plant and a worker.</t>
  </si>
  <si>
    <t>b31386714</t>
  </si>
  <si>
    <t>Port Pirie uranium plant: internal view of plant.</t>
  </si>
  <si>
    <t>b31386726</t>
  </si>
  <si>
    <t>Port Pirie uranium plant: internal view of plant, workman operating section.</t>
  </si>
  <si>
    <t>b31386738</t>
  </si>
  <si>
    <t>Port Pirie uranium plant: internal view.</t>
  </si>
  <si>
    <t>b3138674x</t>
  </si>
  <si>
    <t>Port Pirie uranium plant: external view of timber framed buildings.</t>
  </si>
  <si>
    <t>b31386751</t>
  </si>
  <si>
    <t>Port Pirie uranium plant: external view of plant.</t>
  </si>
  <si>
    <t>b31386763</t>
  </si>
  <si>
    <t>b31386775</t>
  </si>
  <si>
    <t>Port Pirie uranium plant: inside laboratory.</t>
  </si>
  <si>
    <t>Port Pirie Uranium Treatment Plant.;Laboratories -- South Australia -- Port Pirie.;Uranium ores -- South Australia -- Port Pirie.;Ore-dressing plants -- South Australia -- Port Pirie.;Uranium ores -- Processing.;Port Pirie (S.A.)</t>
  </si>
  <si>
    <t>b31386787</t>
  </si>
  <si>
    <t>Port Pirie uranium plant: external view.</t>
  </si>
  <si>
    <t>b31386799</t>
  </si>
  <si>
    <t>Port Pirie uranium plant: external view of timber framed building in front of water tower.</t>
  </si>
  <si>
    <t>Port Pirie Uranium Treatment Plant.;Uranium ores -- South Australia -- Port Pirie.;Ore-dressing plants -- South Australia -- Port Pirie.;Uranium ores -- Processing.;Water towers -- South Australia -- Port Pirie.;Port Pirie (S.A.)</t>
  </si>
  <si>
    <t>b31386805</t>
  </si>
  <si>
    <t>Port Pirie uranium plant: internal view of equipment with worker observing.</t>
  </si>
  <si>
    <t>b31386817</t>
  </si>
  <si>
    <t>Port Pirie uranium plant: internal view of equipment, with worker operating machinery.</t>
  </si>
  <si>
    <t>b31386829</t>
  </si>
  <si>
    <t>Port Pirie uranium plant: internal view, with a worker monitoring gauges.</t>
  </si>
  <si>
    <t>b31386830</t>
  </si>
  <si>
    <t>b31386842</t>
  </si>
  <si>
    <t>Port Pirie uranium plant: external view of buildings and water tower.</t>
  </si>
  <si>
    <t>b31386854</t>
  </si>
  <si>
    <t>Port Pirie uranium plant: internal view with three workers operating equipment.</t>
  </si>
  <si>
    <t>b31386866</t>
  </si>
  <si>
    <t>Port Pirie uranium plant: external view including gantry and railway lines leading to plant.</t>
  </si>
  <si>
    <t>b31386878</t>
  </si>
  <si>
    <t>b3138688x</t>
  </si>
  <si>
    <t>b31386891</t>
  </si>
  <si>
    <t>Port Pirie Uranium Plant: external view from other side of river.</t>
  </si>
  <si>
    <t>b21075311</t>
  </si>
  <si>
    <t>Alcantara</t>
  </si>
  <si>
    <t>Photograph  13.7 cm x 4.9 cm</t>
  </si>
  <si>
    <t>Alcantara (Ship);Ships</t>
  </si>
  <si>
    <t>b21081268</t>
  </si>
  <si>
    <t>Anni Nubel</t>
  </si>
  <si>
    <t>Photograph  12.9 cm x 7.8 cm</t>
  </si>
  <si>
    <t>Anni Nubel (Ship);Ships</t>
  </si>
  <si>
    <t>b21101735</t>
  </si>
  <si>
    <t>McDonough family home</t>
  </si>
  <si>
    <t>Home of the McDonough family, Commercial Street West, Mount Gambier, February 1956.</t>
  </si>
  <si>
    <t>Architecture, Domestic -- South Australia -- Mount Gambier;Dwellings -- South Australia -- Mount Gambier</t>
  </si>
  <si>
    <t>b21101838</t>
  </si>
  <si>
    <t>Penola Road</t>
  </si>
  <si>
    <t>Photograph of a house on Penola Road taken on 19th December 1956, Mount Gambier  the original gate from Wesley Church is in the foreground.</t>
  </si>
  <si>
    <t>Dwellings -- South Australia -- Mount Gambier;Architecture, Domestic -- South Australia -- Mount Gambier</t>
  </si>
  <si>
    <t>b21101863</t>
  </si>
  <si>
    <t>St. Andrews Church</t>
  </si>
  <si>
    <t>Photograph of St. Andrews Church with cars parked outside, taken on 22nd July 1956, Mount Gambier.</t>
  </si>
  <si>
    <t>St. Andrew's Presbyterian Church (Mount Gambier, S.A.)</t>
  </si>
  <si>
    <t>b21101875</t>
  </si>
  <si>
    <t>St. Andrews Church, Glenburnie</t>
  </si>
  <si>
    <t>Photograph of St. Andrews Church, Glenburnie, on July 1956.</t>
  </si>
  <si>
    <t>Church buildings -- South Australia</t>
  </si>
  <si>
    <t>b21101887</t>
  </si>
  <si>
    <t>Electricity Trust</t>
  </si>
  <si>
    <t>Photograph of the Electricity Trust building in 1956, Mount Gambier.</t>
  </si>
  <si>
    <t>Buildings -- South Australia -- Mount Gambier</t>
  </si>
  <si>
    <t>b21101899</t>
  </si>
  <si>
    <t>Park Hotel</t>
  </si>
  <si>
    <t>Photograph of the Park Hotel on the corner of Bertha Street, November 1956, Mount Gambier.</t>
  </si>
  <si>
    <t>Park Hotel (Mount Gambier, S.A.);Hotels -- South Australia -- Mount Gambier</t>
  </si>
  <si>
    <t>b21101905</t>
  </si>
  <si>
    <t>Photograph of the back of the Electricity Trust in May 1956, Mount Gambier.</t>
  </si>
  <si>
    <t>b21101917</t>
  </si>
  <si>
    <t>Photograph of the front of the Electricity Trust in May 1956, Mount Gambier.</t>
  </si>
  <si>
    <t>b21101929</t>
  </si>
  <si>
    <t>b21103021</t>
  </si>
  <si>
    <t>Bennett and Fisher</t>
  </si>
  <si>
    <t>Photograph of two men looking at cattle at Bennett and Fisher on 4th May 1956.</t>
  </si>
  <si>
    <t>Bennett and Fisher;Cattle -- South Australia -- Mount Gambier</t>
  </si>
  <si>
    <t>b21103033</t>
  </si>
  <si>
    <t>Photograph of men looking at cattle at the stock sale at Bennett and Fisher on 4th May 1956.</t>
  </si>
  <si>
    <t>b21103070</t>
  </si>
  <si>
    <t>Elder Smith</t>
  </si>
  <si>
    <t>Photograph of cattle being loaded onto trucks in a paddock.</t>
  </si>
  <si>
    <t>Elder, Smith and Co.;Cattle -- South Australia -- Mount Gambier</t>
  </si>
  <si>
    <t>b21103094</t>
  </si>
  <si>
    <t>Photograph of deep stone quarry.</t>
  </si>
  <si>
    <t>b21103872</t>
  </si>
  <si>
    <t>St. Andrew's P.F.A</t>
  </si>
  <si>
    <t>Photograph of a group of people around a table at the St. Andrew's Parents and Friends Association meeting in August 1956.</t>
  </si>
  <si>
    <t>St. Andrew's School (Mount Gambier, S.A.)</t>
  </si>
  <si>
    <t>b21103884</t>
  </si>
  <si>
    <t>St. Andrew's</t>
  </si>
  <si>
    <t>Photograph of a group of children at St. Andrew's on 22nd July 1956.</t>
  </si>
  <si>
    <t>St. Andrew's School (Mount Gambier, S.A.);School children -- South Australia -- Mount Gambier</t>
  </si>
  <si>
    <t>b21103896</t>
  </si>
  <si>
    <t>Photograph of a group of schoolboys with a teacher outdoors on playground at St. Andrew's on 22nd July 1956.</t>
  </si>
  <si>
    <t>St. Andrew's School (Mount Gambier, S.A.);School children -- South Australia -- Mount Gambier;Teachers -- South Australia -- Mount Gambier</t>
  </si>
  <si>
    <t>b21103902</t>
  </si>
  <si>
    <t>Three Girl Guides</t>
  </si>
  <si>
    <t>Photograph of a group of three Girl Guides, taken on 26th October 1956. At left is Meredith Rowe, the girl in middle is Maxine Millowick, and Janice Millard at right. The photo was taken just prior to the announcement that Maxine Millowick from this group had been selected to become part of the Australian BP Contingent of Girl Guides which travelled overseas to attend the World Guide Camp at Windsor in 1957. The camp was held to celebrate the centenary of the birth of Lord Baden-Powell, the founder of Scouting and Guiding. The contingent spent 6 months travelling and camping in the UK, being hosted by British Girl Guides and friends.  They also stayed at the international Girl Guide facility, Our Chalet, in Switzerland.</t>
  </si>
  <si>
    <t>Girls -- South Australia -- Mount Gambier;Girl Guides -- South Australia -- Mount Gambier</t>
  </si>
  <si>
    <t>b21103914</t>
  </si>
  <si>
    <t>St. Andrew's School Assembly</t>
  </si>
  <si>
    <t>Photograph of assembly at St. Andrew's on 22nd July 1956.</t>
  </si>
  <si>
    <t>b21103926</t>
  </si>
  <si>
    <t>Children at St. Andrew's Presbyterian Church</t>
  </si>
  <si>
    <t>Group of young children, some in uniform from St. Andrews Presbyterian Church, Elizabeth Street, Mount Gambier, on 22nd July 1956.</t>
  </si>
  <si>
    <t>St. Andrews Church (Mount Gambier, S.A.);Children -- South Australia -- Mount Gambier</t>
  </si>
  <si>
    <t>b21103938</t>
  </si>
  <si>
    <t>St. Andrews Presbyterian Church Christmas concert</t>
  </si>
  <si>
    <t>Group of children performing a Christmas concert on stage in the St Andrews Presbyterian Church Sunday School Building, Elizabeth Street, Mount Gambier, in December 1956. The stage was added in 1926. The Sunday School building and adjoining Umpherston Kindergarten building were demolished September 2009.</t>
  </si>
  <si>
    <t>Christmas -- South Australia -- Mount Gambier;Children -- South Australia -- Mount Gambier;Concerts -- South Australia -- Mount Gambier</t>
  </si>
  <si>
    <t>b2110394x</t>
  </si>
  <si>
    <t>Umpherston Kindergarten</t>
  </si>
  <si>
    <t>Group of young children at Umpherston Kindergarten in December 1956.</t>
  </si>
  <si>
    <t>Children -- South Australia -- Mount Gambier;Kindergarten facilities -- South Australia -- Mount Gambier</t>
  </si>
  <si>
    <t>b21103951</t>
  </si>
  <si>
    <t>Gambier East</t>
  </si>
  <si>
    <t>Photograph of an event on the school playground with several groups of four girls holding hoops on 9th November 1956.</t>
  </si>
  <si>
    <t>School children -- South Australia -- Mount Gambier;Games -- South Australia -- Mount Gambier</t>
  </si>
  <si>
    <t>b21103963</t>
  </si>
  <si>
    <t>Umpherston</t>
  </si>
  <si>
    <t>Photograph of a concert with lots of children in costumes in December 1956.</t>
  </si>
  <si>
    <t>Concerts -- South Australia -- Mount Gambier;Children -- South Australia -- Mount Gambier</t>
  </si>
  <si>
    <t>b21104232</t>
  </si>
  <si>
    <t>J.H. Nicholls</t>
  </si>
  <si>
    <t>Photograph of eight children grouped around a swing in a garden setting in 1956.</t>
  </si>
  <si>
    <t>Children -- South Australia -- Mount Gambier;Playground equipment and supplies -- South Australia -- Mount Gambier</t>
  </si>
  <si>
    <t>b21111820</t>
  </si>
  <si>
    <t>R. Rice</t>
  </si>
  <si>
    <t>Photograph of Mr. and Mrs. R. Rice of Mount Gambier.</t>
  </si>
  <si>
    <t>Rice, R.</t>
  </si>
  <si>
    <t>b21112216</t>
  </si>
  <si>
    <t>R. Pratt</t>
  </si>
  <si>
    <t>Photograph of two ladies and a man, one of whom is R. Pratt at a special occasion in Mount Gambier in 1956.</t>
  </si>
  <si>
    <t>Pratt, R.;Dinners and dining -- South Australia -- Mount Gambier</t>
  </si>
  <si>
    <t>b21112228</t>
  </si>
  <si>
    <t>B. Kraehe, Dan and Beth Corry and Reg Badenoch at a social function in Mount Gambier, 1956</t>
  </si>
  <si>
    <t>Photograph of Dan and Beth Corry (centre), with Brian Kraehe (left) and Reg Badenoch (right). Dan Corry was the Headmaster of the Wehl Street School at the time.</t>
  </si>
  <si>
    <t>Kraehe, Brian;Badenoch, R. L. (Reginald Leslie), 1913-1971;Corry, Beth;Corry, Daniel James, 1895-1958</t>
  </si>
  <si>
    <t>b2111223x</t>
  </si>
  <si>
    <t>Hammer sisters</t>
  </si>
  <si>
    <t>Photograph of the four Hammer sisters with craftwork in Mount Gambier in December 1956.</t>
  </si>
  <si>
    <t>Handicraft -- South Australia -- Mount Gambier</t>
  </si>
  <si>
    <t>b21112241</t>
  </si>
  <si>
    <t>A group of men at St. Andrews, Mount Gambier</t>
  </si>
  <si>
    <t>Photograph of a group of eight men three of whom are Bill Kentish (3rd from left, standing), Alex Scott (4th from left, seated), Rev. Wilf Collins (standing, 4th from right), A. And(?) (seated, 3rd from right), L. Kuhl (seated, 2nd from right) and Colin Bodey (standing, on right) at St. Andrews on 3rd August 1956, Mount Gambier.</t>
  </si>
  <si>
    <t>Kuhl, L.;Collins, Wilf;Scott, Alex;Kentish, Bill;Bodey, Colin;St. Andrews Church (Mount Gambier, S.A.)</t>
  </si>
  <si>
    <t>b21112265</t>
  </si>
  <si>
    <t>D. Hein</t>
  </si>
  <si>
    <t>Photograph of Mr. D. Hein standing amongst book shelves in 1956, Mount Gambier.</t>
  </si>
  <si>
    <t>Hein, D.</t>
  </si>
  <si>
    <t>b21112277</t>
  </si>
  <si>
    <t>Photograph of three farmers at Bennett and Fisher on 4th May 1956, Mount Gambier.</t>
  </si>
  <si>
    <t>Bennett and Fisher;Farmers -- South Australia -- Mount Gambier</t>
  </si>
  <si>
    <t>b21112289</t>
  </si>
  <si>
    <t>Photograph of four farmers at Bennett and Fisher stockyards on 4th May 1956, Mount Gambier.</t>
  </si>
  <si>
    <t>b21112290</t>
  </si>
  <si>
    <t>Kraehe, Fred and Brian</t>
  </si>
  <si>
    <t>Photograph of guests at an event in Mount Gambier  two of whom are Fred and Brian Kraehe, in 1956. This photograph captures the 21st birthday of Brian Kraehe. Father Fred Kraehe with his son and young daughter Helen (pictured centre in white).</t>
  </si>
  <si>
    <t>Kraehe, Fred;Kraehe, Brian;Kraehe, Helen</t>
  </si>
  <si>
    <t>b21112307</t>
  </si>
  <si>
    <t>R. G. Menzies</t>
  </si>
  <si>
    <t>Photograph of the Prime Minister, Sir Robert Menzies, on 5th October 1956 during a visit to Mount Gambier.</t>
  </si>
  <si>
    <t>Menzies, Robert, Sir, 1894-1978;Prime ministers -- Australia;Visits of state -- South Australia -- Mount Gambier</t>
  </si>
  <si>
    <t>b21112319</t>
  </si>
  <si>
    <t>Pauline Nash and her father, Tom Nash, standing with three pipers in Mount Gambier. The piper on the far right is Janette Collins.</t>
  </si>
  <si>
    <t>Nash, Pauline;Nash, Thomas;Collins, Janette;Bagpipers -- South Australia -- Mount Gambier</t>
  </si>
  <si>
    <t>b21112320</t>
  </si>
  <si>
    <t>Lewis Lodge</t>
  </si>
  <si>
    <t>Photograph of four ladies and a man in evening dress at Lewis Lodge on 28th August 1956, Mount Gambier.</t>
  </si>
  <si>
    <t>b21112332</t>
  </si>
  <si>
    <t>Photograph of eighteen male members of Lewis Lodge, possibly the Freemasons at a formal function on 28th August 1956, Mount Gambier.</t>
  </si>
  <si>
    <t>b21112344</t>
  </si>
  <si>
    <t>Photograph of four couples at Lewis Lodge on 28th August 1956, Mount Gambier. The couples from left to right are:-  Bernice (nee Robinson) and Ivan McCormick, Dorrie &amp; Ray McCormick (father &amp; mother), Lee (nee Shaughnessy) and Colin McCormick, Judy (nee Stark) and Ken McCormick on the occasion of the installation of Ray McCormick as Master of the Lodge.</t>
  </si>
  <si>
    <t>b21178896</t>
  </si>
  <si>
    <t>Photograph of six couples at Lewis Lodge, possibly the Freemasons at a formal function in 1956  one of the people is F.L. Rees. The two people in the bottom right corner are Heather Shelton and John Allen who married each other. The person in the top right position is A. Probert, former NGFC captain, and late coach of the Port MacDonnell Football Club.</t>
  </si>
  <si>
    <t>Rees, F. L.;Freemasonry -- South Australia -- Mount Gambier -- Lodges</t>
  </si>
  <si>
    <t>b21114158</t>
  </si>
  <si>
    <t>Photograph of members of Lewis Lodge 183 Mount Gambier socialising at a formal event on 28th August 1956.</t>
  </si>
  <si>
    <t>b2111416x</t>
  </si>
  <si>
    <t>Photograph of members of Lewis Lodge 183 Mount Gambier dancing at a formal event on 28th August 1956.</t>
  </si>
  <si>
    <t>b21114171</t>
  </si>
  <si>
    <t>McCormick family</t>
  </si>
  <si>
    <t>The McCormick family, probably at the time when Mr. McCormick Snr was inducted as Worshipful Master. Left to right - Ivan McCormick, his Mother Dorrie, son Colin McCormick, Mr. McCormick and Ivan's twin brother Kenneth McCormick. Taken at the Lewis Lodge 183, Mount Gambier, 28th August 1956.</t>
  </si>
  <si>
    <t>McCormick (Family);Freemasons -- South Australia -- Mount Gambier</t>
  </si>
  <si>
    <t>b21114183</t>
  </si>
  <si>
    <t>Theatre Group</t>
  </si>
  <si>
    <t>Photograph of nine members of the Theatre Group in 1956, Mount Gambier.</t>
  </si>
  <si>
    <t>b21114195</t>
  </si>
  <si>
    <t>Show Hall</t>
  </si>
  <si>
    <t>Photograph of the audience at an event in the Show Hall on 5th October 1956, Mount Gambier.</t>
  </si>
  <si>
    <t>Mount Gambier Agricultural and Horticultural Society. Hall;Halls -- South Australia -- Mount Gambier</t>
  </si>
  <si>
    <t>b21114213</t>
  </si>
  <si>
    <t>Photograph of members of the Theatre Group rehearsing a production in 1956, Mount Gambier.</t>
  </si>
  <si>
    <t>b21114225</t>
  </si>
  <si>
    <t>Coronation Ball 1956</t>
  </si>
  <si>
    <t>Photograph of Bob Telfer welcoming guests at the 1956 Coronation Ball, Mount Gambier.</t>
  </si>
  <si>
    <t>Telfer, Bob;Balls (Parties) -- South Australia -- Mount Gambier</t>
  </si>
  <si>
    <t>b21114249</t>
  </si>
  <si>
    <t>Photograph of members of Lewis Lodge at a formal event on 28th August 1956, Mount Gambier.</t>
  </si>
  <si>
    <t>b21114250</t>
  </si>
  <si>
    <t>L.C.L. Menzies</t>
  </si>
  <si>
    <t>Photograph of Prime Minister Robert Menzies at Mount Gambier on 5th October 1956.</t>
  </si>
  <si>
    <t>Menzies, Robert, Sir, 1894-1978;Prime ministers -- Australia</t>
  </si>
  <si>
    <t>b21178021</t>
  </si>
  <si>
    <t>L.C.L</t>
  </si>
  <si>
    <t>Photograph of Prime Minister Robert Menzies of the L.C.L. during a visit to Mount Gambier on 5th October 1956.</t>
  </si>
  <si>
    <t>b21114274</t>
  </si>
  <si>
    <t>b21114298</t>
  </si>
  <si>
    <t>Robert Menzies LCL</t>
  </si>
  <si>
    <t>Photograph of Robert Menzies with three officials at the Mount Gambier Airport during a visit on 5th October 1956.</t>
  </si>
  <si>
    <t>b21114304</t>
  </si>
  <si>
    <t>Photograph of Robert Menzies with Mr Forbes at the Mount Gambier Airport during a visit on 5th October 1956.</t>
  </si>
  <si>
    <t>b21114407</t>
  </si>
  <si>
    <t>City Hall</t>
  </si>
  <si>
    <t>Photograph of a wedding reception in progress in the City Hall in 1956, Mount Gambier.</t>
  </si>
  <si>
    <t>Weddings -- South Australia -- Mount Gambier</t>
  </si>
  <si>
    <t>b21121059</t>
  </si>
  <si>
    <t>Photograph of three debutantes with their partners enjoying supper at the Highland Ball in 1956, Mount Gambier.</t>
  </si>
  <si>
    <t>Balls (Parties) -- South Australia -- Mount Gambier</t>
  </si>
  <si>
    <t>b21121072</t>
  </si>
  <si>
    <t>Millicent Highland Ball</t>
  </si>
  <si>
    <t>Photograph of six debutantes at the Millicent Highland Ball in 1956. Back row: Kathy Dean, Maxine Secomb, Jennifer Gray. Front row: Heather Bowman, Aylene Neale, Rhonda Hirchausen.</t>
  </si>
  <si>
    <t>Balls (Parties) -- South Australia</t>
  </si>
  <si>
    <t>b21121217</t>
  </si>
  <si>
    <t>Photograph of six debutantes and their partners at the Highland Ball in 1956, Mount Gambier.</t>
  </si>
  <si>
    <t>b21121229</t>
  </si>
  <si>
    <t>Photograph of three debutantes and their partners enjoying supper at the Highland Ball in 1956, Mount Gambier.</t>
  </si>
  <si>
    <t>b21121230</t>
  </si>
  <si>
    <t>Photograph of a lady cutting the cake at the Highland Ball in 1956, Mount Gambier.</t>
  </si>
  <si>
    <t>b21121357</t>
  </si>
  <si>
    <t>Photograph of men and women taking part in a formal function at Lewis Lodge on 28th August 1956, Mount Gambier.</t>
  </si>
  <si>
    <t>b21121369</t>
  </si>
  <si>
    <t>Country Women's Association</t>
  </si>
  <si>
    <t>Photograph of a man and two ladies at a function for the CWA on 29th June 1956, Mount Gambier.</t>
  </si>
  <si>
    <t>South Australian Country Women's Association;Women -- Australia -- Societies and clubs</t>
  </si>
  <si>
    <t>b21121382</t>
  </si>
  <si>
    <t>McCormick family at Lewis Lodge</t>
  </si>
  <si>
    <t>Photograph of members of Lewis Lodge and their partners at a formal occasion on 28th August 1956, Mount Gambier. From left: Bernice (nee Robinson) and  Ivan McCormick  Mr and Mrs. McCormick Snr.  Lee (nee Shaughnessy) and Colin McCormick  and Judy (nee Stark) and Ken McCormick.</t>
  </si>
  <si>
    <t>McCormick (Family);Freemasonry -- South Australia -- Mount Gambier -- Lodges</t>
  </si>
  <si>
    <t>b21121540</t>
  </si>
  <si>
    <t>Apex Headlight Campaign</t>
  </si>
  <si>
    <t>Photograph of members of Apex coordinating the Apex Headlight Campaign in Mount Gambier on 7th December 1956. Slogan was "Dip your Lights".</t>
  </si>
  <si>
    <t>Apex Club of Mount Gambier;Automobiles -- Safety measures</t>
  </si>
  <si>
    <t>b2118012x</t>
  </si>
  <si>
    <t>CWA play</t>
  </si>
  <si>
    <t>Photograph of members of the Country Women's Association performing a play.</t>
  </si>
  <si>
    <t>Country Women's Association of Australia;Women -- Australia -- Societies and clubs;Amateur theater -- South Australia -- Mount Gambier</t>
  </si>
  <si>
    <t>b21121564</t>
  </si>
  <si>
    <t>APEX Headlight Campaign</t>
  </si>
  <si>
    <t>Photograph of APEX representatives at the beginning of the APEX Headlight Campaign on 7th December 1956, Mount Gambier.</t>
  </si>
  <si>
    <t>b21121576</t>
  </si>
  <si>
    <t>Photograph of two APEX representatives with a RAA man at the beginning of the APEX Headlight Campaign on 7th December 1956, Mount Gambier.</t>
  </si>
  <si>
    <t>b2112209x</t>
  </si>
  <si>
    <t>Evatt</t>
  </si>
  <si>
    <t>Photograph of Mr Evatt being welcomed or farewelled at the airport on 28th September 1956, Mount Gambier.</t>
  </si>
  <si>
    <t>Evatt, Mr</t>
  </si>
  <si>
    <t>b2112517x</t>
  </si>
  <si>
    <t>D.L. Hein</t>
  </si>
  <si>
    <t>Photograph of Mr D.L. Hein standing in the library at Mount Gambier in 1956.</t>
  </si>
  <si>
    <t>Hein, D. L.;Libraries -- South Australia -- Mount Gambier</t>
  </si>
  <si>
    <t>b21125570</t>
  </si>
  <si>
    <t>Photograph of the five members of the Davis Cup Squad on 17th January 1956.</t>
  </si>
  <si>
    <t>Tennis -- South Australia -- Mount Gambier;Tennis -- Tournaments;Davis Cup</t>
  </si>
  <si>
    <t>b21125612</t>
  </si>
  <si>
    <t>Gambier Hunt Club</t>
  </si>
  <si>
    <t>Photograph of the trophy being awarded to the owner and jockey at an event at the Gambier Hunt Club on 21st July 1956.</t>
  </si>
  <si>
    <t>Mount Gambier Hunt Club;Horsemen and horsewomen -- South Australia -- Mount Gambier</t>
  </si>
  <si>
    <t>b21125624</t>
  </si>
  <si>
    <t>New Years Day Sports</t>
  </si>
  <si>
    <t>Photograph of the winners of the dancing competitions at the New Years Day Sports in 1956. The girl in the kilt (left) is Margaret Cleves.</t>
  </si>
  <si>
    <t>Cleves, Margaret;New Year -- South Australia -- Mount Gambier</t>
  </si>
  <si>
    <t>b21125648</t>
  </si>
  <si>
    <t>Photograph of prizes and trophies being awarded at the Gambier Hunt Club on 21st July 1956.</t>
  </si>
  <si>
    <t>Horse racing -- South Australia -- Mount Gambier</t>
  </si>
  <si>
    <t>b21180726</t>
  </si>
  <si>
    <t>Photograph of two  members of the Gambier Hunt Club with their horses on 21st September 1956.</t>
  </si>
  <si>
    <t>b21125818</t>
  </si>
  <si>
    <t>Races</t>
  </si>
  <si>
    <t>Photograph of prizes being awarded at the Races on a cold 14th June 1956, Mount Gambier.</t>
  </si>
  <si>
    <t>Prizes</t>
  </si>
  <si>
    <t>b21125831</t>
  </si>
  <si>
    <t>South East League</t>
  </si>
  <si>
    <t>Photograph of the players, coaches and supporters of the South East League Football Club in 1956. L to r, back row: M Barry, R Matheson, J Neale, J Pedlar, A Lock, D Stevens. Middle row: J Miller, J Smith, D Long, P Marrett, A Gould, S Seager, M Attiwell. Sitting: E. Roughana, M Marks, G Whetstone, J Taylor, K Roberts, W Case, T Walker, A Hodgens. Front:D Naismith, W Hanel, C Boneham.</t>
  </si>
  <si>
    <t>Australian football players -- South Australia -- Mount Gambier;Australian football teams -- South Australia -- Mount Gambier</t>
  </si>
  <si>
    <t>b21125843</t>
  </si>
  <si>
    <t>100 Mile</t>
  </si>
  <si>
    <t>Photograph of the competitors at the start of the 100 Mile Race on 18th August 1956, Mount Gambier.</t>
  </si>
  <si>
    <t>Cyclists -- South Australia -- Mount Gambier;Bicycle racing -- South Australia -- Mount Gambier</t>
  </si>
  <si>
    <t>b21125867</t>
  </si>
  <si>
    <t>Angling Club</t>
  </si>
  <si>
    <t>Photograph of three members of the Mount Gambier Angling Club preparing fingerlings for release into the Valley Lake, 20th July 1956. From left: Stan Temby, Walter Bullen and Gene Raymond.</t>
  </si>
  <si>
    <t>Fishing -- South Australia -- Mount Gambier</t>
  </si>
  <si>
    <t>b21125934</t>
  </si>
  <si>
    <t>D. F. Home</t>
  </si>
  <si>
    <t>Photograph of ten young athletes giving an athletics demonstration to two older residents in December 1956, Mount Gambier.</t>
  </si>
  <si>
    <t>Sports for children -- South Australia -- Mount Gambier;Gymnasts -- South Australia -- Mount Gambier</t>
  </si>
  <si>
    <t>b21125958</t>
  </si>
  <si>
    <t>Photograph of a rider and his horse at the Gambier Hunt Club on 21st July 1956, Mount Gambier.</t>
  </si>
  <si>
    <t>b21126045</t>
  </si>
  <si>
    <t>Photograph of six riders and their horses before an event at the Gambier Hunt Club on 21st July 1956.</t>
  </si>
  <si>
    <t>b21126069</t>
  </si>
  <si>
    <t>Aub. Shelton</t>
  </si>
  <si>
    <t>Photograph of Aub. Shelton with two other men with his Number 13 Car in the Ampol Trials on 10th January 1956, Mount Gambier.</t>
  </si>
  <si>
    <t>Automobiles -- South Australia -- Mount Gambier;Automobile racing -- South Australia -- Mount Gambier</t>
  </si>
  <si>
    <t>b21126070</t>
  </si>
  <si>
    <t>Photograph of Aub. Shelton with Allan Scott and another man outside their Number 13 Car in the Ampol Trials on 10th January 1956, Mount Gambier.</t>
  </si>
  <si>
    <t>b21126082</t>
  </si>
  <si>
    <t>Hockey - Mount Gambier Team</t>
  </si>
  <si>
    <t>Photograph of the Mount Gambier Hockey Team.</t>
  </si>
  <si>
    <t>b21126094</t>
  </si>
  <si>
    <t>Canadian Hockey Team</t>
  </si>
  <si>
    <t>Photograph of the Canadian Hockey Team meeting members of the Mount Gambier Hockey Team at a reception in July 1956.</t>
  </si>
  <si>
    <t>b21126100</t>
  </si>
  <si>
    <t>Kay Brothers</t>
  </si>
  <si>
    <t>Photograph of the Kay Brothers at an archery competition in Mount Gambier, and are the sons of Perce Kay. The eldest is Malcolm Kay, the middle is Robert Grant Kay (Rod), and the youngest is Graham Kay.</t>
  </si>
  <si>
    <t>Kay, Malcolm.;Kay, Robert Grant.;Kay, Graham.;Archery -- South Australia -- Mount Gambier</t>
  </si>
  <si>
    <t>b21126112</t>
  </si>
  <si>
    <t>G. Raymond</t>
  </si>
  <si>
    <t>Photograph of female archer G. Raymond beside the target, Mount Gambier.</t>
  </si>
  <si>
    <t>Raymond, G.;Archery -- South Australia -- Mount Gambier</t>
  </si>
  <si>
    <t>b21126124</t>
  </si>
  <si>
    <t>P. Kay and G. Raymond</t>
  </si>
  <si>
    <t>Photograph of female archer G. Raymond and male archer P. Kay beside the target, Mount Gambier.</t>
  </si>
  <si>
    <t>Kay, P.;Raymond, G.;Archery -- South Australia -- Mount Gambier</t>
  </si>
  <si>
    <t>b21126136</t>
  </si>
  <si>
    <t>Photograph of the Mount Gambier Golf Club taken from a distance.</t>
  </si>
  <si>
    <t>Golf -- South Australia -- Mount Gambier</t>
  </si>
  <si>
    <t>b21128649</t>
  </si>
  <si>
    <t>Master G. Robinson</t>
  </si>
  <si>
    <t>Photograph of Master G. Robinson holding his bagpipes, taken in the studio in Mount Gambier in 1956.</t>
  </si>
  <si>
    <t>Robinson, G.;Bagpipers -- South Australia -- Mount Gambier;Children -- Clothing -- South Australia -- Mount Gambier</t>
  </si>
  <si>
    <t>b21128650</t>
  </si>
  <si>
    <t>Mr. Alec Scott</t>
  </si>
  <si>
    <t>Photograph of Mr. Alec Scott, taken in the studio in Mount Gambier in 1956.</t>
  </si>
  <si>
    <t>Scott, Alec</t>
  </si>
  <si>
    <t>b21128662</t>
  </si>
  <si>
    <t>Rev. Father Redden</t>
  </si>
  <si>
    <t>Photograph of Rev. Father Redden, taken in the studio in Mount Gambier in 1956.</t>
  </si>
  <si>
    <t>Redden, Rev.;Clergy -- South Australia -- Mount Gambier</t>
  </si>
  <si>
    <t>b21128674</t>
  </si>
  <si>
    <t>Monsignor Isodore Redden</t>
  </si>
  <si>
    <t>Photograph of Monsignor Richard Michael Isodore Redden, taken in the studio in Mount Gambier in 1956. He was a Catholic priest who became Monsignor in the church and was Dean of Mt. Gambier from 1952 to 1967. He born 1 February 1901 and died in the 1980's.</t>
  </si>
  <si>
    <t>Redden, Richard Michael Isodore;Clergy -- South Australia -- Mount Gambier</t>
  </si>
  <si>
    <t>b21128686</t>
  </si>
  <si>
    <t>Malcolm Lloyd Kentish</t>
  </si>
  <si>
    <t>Photograph of Mr. Malcolm Lloyd Kentish, taken in the studio at Mount Gambier. Malcolm Kentish was born on 27 April 1912, he married Mary Isobel Jean McLennan on 4 January 1941 and died on 28 December 1968.</t>
  </si>
  <si>
    <t>Kentish, Malcolm Lloyd, 1912-1968</t>
  </si>
  <si>
    <t>b21128698</t>
  </si>
  <si>
    <t>C.A. McFarlane</t>
  </si>
  <si>
    <t>Photograph of Mr. C.A. McFarlane, taken in the studio in Mount Gambier in 1956.</t>
  </si>
  <si>
    <t>McFarlane, C. A.</t>
  </si>
  <si>
    <t>b21128704</t>
  </si>
  <si>
    <t>Mrs. M. Ray</t>
  </si>
  <si>
    <t>Photograph of Mrs. M. Ray, taken in the studio in Mount Gambier in 1956.</t>
  </si>
  <si>
    <t>Ray, M.</t>
  </si>
  <si>
    <t>b21128741</t>
  </si>
  <si>
    <t>Miss Bernice Robinson</t>
  </si>
  <si>
    <t>Photograph of Miss Bernice Robinson in her Highland Dancer uniform, taken in the studio in Mount Gambier in 1956. (She married Ivan McCormick).</t>
  </si>
  <si>
    <t>Robinson, Bernice;Folk dancing, Scottish -- South Australia -- Mount Gambier</t>
  </si>
  <si>
    <t>b21128753</t>
  </si>
  <si>
    <t>Studio portrait of H. H. (Herb) Ashby.</t>
  </si>
  <si>
    <t>Ashby, Herb (Herbert Hector), 1921-2009</t>
  </si>
  <si>
    <t>b21140984</t>
  </si>
  <si>
    <t>L. Earl</t>
  </si>
  <si>
    <t>Photograph of four generations of the Earl family, one is which is L. Earl. The three men are wearing suits and waistcoats and the young boy is wearing plaid overalls and is holding a toy fluffy dog.</t>
  </si>
  <si>
    <t>Earl (Family)</t>
  </si>
  <si>
    <t>b21179281</t>
  </si>
  <si>
    <t>Members of the Mount Gambier Town Council in 1956</t>
  </si>
  <si>
    <t>Photograph of the thirteen members of the Mount Gambier Town Council taken in 1956.</t>
  </si>
  <si>
    <t>b21238157</t>
  </si>
  <si>
    <t>Photograph of the thirteen members of the Mount Gambier Town Council taken in 1956. They are pictured in the Council Chambers, with working papers on the tables, and photographs on the wall behind them.</t>
  </si>
  <si>
    <t>b21183533</t>
  </si>
  <si>
    <t>B. Valsilopov</t>
  </si>
  <si>
    <t>Photograph of Mr and Mrs B. Valsilopov with two male attendants on their wedding day in 1956. The bride is wearing a long lace dress and holding a bouquet of roses.</t>
  </si>
  <si>
    <t>Valsilopov, B.;Brides -- South Australia -- Mount Gambier;Wedding costume -- South Australia -- Mount Gambier</t>
  </si>
  <si>
    <t>b21183545</t>
  </si>
  <si>
    <t>H. Vossem</t>
  </si>
  <si>
    <t>Photograph of Mr and Mrs H. Vossem on their wedding day in 1956. The bride is wearing a floor length dress with a satin train and long fine veil. She is carrying a small posy of flowers.</t>
  </si>
  <si>
    <t>Vossem, H.;Brides -- South Australia -- Mount Gambier;Wedding costume -- South Australia -- Mount Gambier</t>
  </si>
  <si>
    <t>b21183557</t>
  </si>
  <si>
    <t>Photograph of Mr and Mrs B. Valsilopov on their wedding day in 1956 surrounded by family members. The bride is wearing a long lace gown and a short veil.</t>
  </si>
  <si>
    <t>b21183600</t>
  </si>
  <si>
    <t>J. Mathews</t>
  </si>
  <si>
    <t>Photograph of Mr and Mrs J. Mathews on their wedding day surrounded by family members and their flowergirl. The bridesmaids are wearing ankle length lace dresses and are holding large bouquets of flowers.</t>
  </si>
  <si>
    <t>Mathews, J.;Brides -- South Australia -- Mount Gambier;Wedding costume -- South Australia -- Mount Gambier</t>
  </si>
  <si>
    <t>b21184410</t>
  </si>
  <si>
    <t>Interior of St Paul's Catholic Church, Mount Gambier</t>
  </si>
  <si>
    <t>Photograph of a special church service on twenty first of January 1956 for the Marist Brothers College community. The photograph is taken looking down on the congregation from the balcony, and towards the alter.</t>
  </si>
  <si>
    <t>St. Paul's Church (Mount Gambier, S.A.);Church architecture -- South Australia -- Mount Gambier;Church decoration and ornament -- South Australia -- Mount Gambier</t>
  </si>
  <si>
    <t>b2122738x</t>
  </si>
  <si>
    <t>A large group of Marist Brothers College students, pictured in the grounds of the school.</t>
  </si>
  <si>
    <t>b21184677</t>
  </si>
  <si>
    <t>Moorak Tennis Club players</t>
  </si>
  <si>
    <t>Photograph from the Moorak Tennis Club taken in 1956. These members are  Mel Orchard, John Walters, Graham Yeates, Ian Ferguson Kath Uphill, Ruby Bigham, Wilma Orchard and Jean Ward.</t>
  </si>
  <si>
    <t>Tennis players -- South Australia -- Mount Gambier</t>
  </si>
  <si>
    <t>b21184689</t>
  </si>
  <si>
    <t>Mount Gambier hockey team</t>
  </si>
  <si>
    <t>Photograph of eleven women members of the Mount Gambier hockey team in 1956.</t>
  </si>
  <si>
    <t>b21187538</t>
  </si>
  <si>
    <t>Mt. Schank Cricket Club</t>
  </si>
  <si>
    <t>Photograph of members of the Mt Schank Cricket Club taken in 1956.</t>
  </si>
  <si>
    <t>Cricket -- South Australia -- Mount Schank;Cricket players -- South Australia -- Mount Schank</t>
  </si>
  <si>
    <t>b21187691</t>
  </si>
  <si>
    <t>Tarpeena Cricket Club</t>
  </si>
  <si>
    <t>Photograph of members of the Tarpeena Cricket Club taken in 1956.</t>
  </si>
  <si>
    <t>b21192649</t>
  </si>
  <si>
    <t>Softwood Products</t>
  </si>
  <si>
    <t>Photograph of the Softwood Products Company taken in July 1956. Pallets of timber can be seen outside the business.</t>
  </si>
  <si>
    <t>Softwood Products (Firm);Softwood industry -- South Australia -- Mount Gambier</t>
  </si>
  <si>
    <t>b21192650</t>
  </si>
  <si>
    <t>Photograph of the Softwood Products Company showroom and office taken in July 1956.</t>
  </si>
  <si>
    <t>Softwood Products (Firm);Softwood industry -- South Australia -- Mount Gambier;Display of merchandise -- South Australia -- Mount Gambier</t>
  </si>
  <si>
    <t>b21196060</t>
  </si>
  <si>
    <t>Photograph of fourteen debutantes making their debut at the May Ball held in Mount Gambier in 1956. They are attended by three small children.</t>
  </si>
  <si>
    <t>b21196229</t>
  </si>
  <si>
    <t>Photograph of eight debutantes making their debut at the Highland Ball in Mount Gambier in 1956.</t>
  </si>
  <si>
    <t>b21122106</t>
  </si>
  <si>
    <t>John Butler</t>
  </si>
  <si>
    <t>[approximately 1956]</t>
  </si>
  <si>
    <t>Photograph of Councillor John Beattie Butler at his writing bureau. [Information provided at the time of the donation of this photograph claimed that John Butler was also a survivor from the sinking of the 'Titanic'. This has since been disproven. He does not appear on any crew or passenger lists].</t>
  </si>
  <si>
    <t>Butler, John B.</t>
  </si>
  <si>
    <t>b20849758</t>
  </si>
  <si>
    <t>P.S. Tarella partly sunk at moorings</t>
  </si>
  <si>
    <t>Side view of 'P.S. Tarella' partly sunk at moorings, possibly in Mannum area, with man on upper deck, above the waterline.</t>
  </si>
  <si>
    <t>Tarella (Paddle steamer);Paddle steamers -- Murray River (N.S.W. - S.A.)</t>
  </si>
  <si>
    <t>b30267353</t>
  </si>
  <si>
    <t>Children of Elizabeth Willis, young equestrians</t>
  </si>
  <si>
    <t>1 electronic file (photograph) : black and white   19.0 x 24.6 cm;still image sti rdacontent;computer c rdamedia;online resource cr rdacarrier</t>
  </si>
  <si>
    <t>Children of Elizabeth (Betty) Willis (nee Corbin) and her husband John Willis. L-R: Rebecca, Maria, Katy,Susie, Elizabeth, and John. Thought to be n a property known as Brandy Creek in the Adelaide Hills.</t>
  </si>
  <si>
    <t>Horses -- South Australia.;Girls -- South Australia.</t>
  </si>
  <si>
    <t>b21169196</t>
  </si>
  <si>
    <t>Jack Dodemaide</t>
  </si>
  <si>
    <t>approximately 1956</t>
  </si>
  <si>
    <t>Photograph of a teenager Jack Dodemaide, wearing a dark suit.</t>
  </si>
  <si>
    <t>Dodemaide, Jack;Children -- South Australia -- Mount Gambier</t>
  </si>
  <si>
    <t>b29083138</t>
  </si>
  <si>
    <t>Adcock, Cyril Tennyson, 1892-1979, photographer</t>
  </si>
  <si>
    <t>On the beach, Second Valley</t>
  </si>
  <si>
    <t>c.1956</t>
  </si>
  <si>
    <t>Positive (slide, colour)  35 mm</t>
  </si>
  <si>
    <t>Three women on the beach at Second Valley (March 1956). All three are wearing  print dresses with a cardigan and handbag as accesories, whilst two are also wearing hats.</t>
  </si>
  <si>
    <t>Stratman Collection</t>
  </si>
  <si>
    <t>b21100937</t>
  </si>
  <si>
    <t>SAGASCO in Mount Gambier</t>
  </si>
  <si>
    <t>Photograph of South Australian Gas Company on 16th January 1957, Mount Gambier. Also shows Ansett Airways office building.</t>
  </si>
  <si>
    <t>Office buildings -- South Australia -- Mount Gambier</t>
  </si>
  <si>
    <t>b21101425</t>
  </si>
  <si>
    <t>Safety fence on road around lake</t>
  </si>
  <si>
    <t>Photograph of the safety fence on the road around the lake at Mount Gambier, taken on 21st November 1957.</t>
  </si>
  <si>
    <t>Roads  -- South Australia -- Mount Gambier</t>
  </si>
  <si>
    <t>b21101541</t>
  </si>
  <si>
    <t>Leg of Mutton Lake</t>
  </si>
  <si>
    <t>Photograph of Leg of Mutton Lake in Mount Gambier.</t>
  </si>
  <si>
    <t>Lakes -- South Australia -- Mount Gambier;Leg of Mutton Lake (S.A.)</t>
  </si>
  <si>
    <t>b21101723</t>
  </si>
  <si>
    <t>House and garden in Mount Gambier</t>
  </si>
  <si>
    <t>Photograph of house and front garden in May 1957, Mount Gambier. (Photograph possibly entitled in error - NSW Bank May 1957).</t>
  </si>
  <si>
    <t>b21101747</t>
  </si>
  <si>
    <t>SAGASCO</t>
  </si>
  <si>
    <t>Photograph of empty shop premises, possibly for future SAGASCO (South Australian Gas Corporation), taken on 10th January 1957, Mount Gambier. Ansett Airways office building can be seen opposite.</t>
  </si>
  <si>
    <t>Stores, Retail -- South Australia -- Mount Gambier</t>
  </si>
  <si>
    <t>b21101772</t>
  </si>
  <si>
    <t>O.G. Roberts Car Yard</t>
  </si>
  <si>
    <t>Photograph of the O.G. Roberts &amp; Co. car yard taken on 3rd December 1957, Mount Gambier.</t>
  </si>
  <si>
    <t>Garages -- South Australia -- Mount Gambier</t>
  </si>
  <si>
    <t>b21101784</t>
  </si>
  <si>
    <t>Mount Gambier Fire Station</t>
  </si>
  <si>
    <t>Photo of the new Fire Station in Sturt Street, Mount Gambier, before the official opening in March 1957.</t>
  </si>
  <si>
    <t>Fire stations -- South Australia -- Mount Gambier</t>
  </si>
  <si>
    <t>b21101796</t>
  </si>
  <si>
    <t>O.G. Roberts Used Car Yard</t>
  </si>
  <si>
    <t>Photograph of O. G. Roberts Used Car Yard on 3rd December 1957, Mount Gambier.</t>
  </si>
  <si>
    <t>Garages -- South Australia -- Mount Gambier;Automobiles -- South Australia -- Mount Gambier</t>
  </si>
  <si>
    <t>b21101802</t>
  </si>
  <si>
    <t>Opening of Woolworths</t>
  </si>
  <si>
    <t>Photograph of the opening of Woolworths on 29th August 1957, Mount Gambier.</t>
  </si>
  <si>
    <t>b21101814</t>
  </si>
  <si>
    <t>Baldorney</t>
  </si>
  <si>
    <t>Two storey house called Baldorney at 87 Gray Street, Mount Gambier, 28 November 1957. Later renamed Lambert Lodge.</t>
  </si>
  <si>
    <t>b21101826</t>
  </si>
  <si>
    <t>Police Station</t>
  </si>
  <si>
    <t>Photograph of the Police Station taken on 16th December 1957, Mount Gambier.</t>
  </si>
  <si>
    <t>Police Stations -- South Australia -- Mount Gambier</t>
  </si>
  <si>
    <t>b21103082</t>
  </si>
  <si>
    <t>Ansett Airways DC-3</t>
  </si>
  <si>
    <t>Passenger boarding Ansett Airways Douglas DC-3 'Anstratus' VH-BZK at Mount Gambier airport.</t>
  </si>
  <si>
    <t>Ansett Airlines of Australia;Airplanes -- South Australia -- Mount Gambier</t>
  </si>
  <si>
    <t>b21103185</t>
  </si>
  <si>
    <t>Ansett Airways Douglas DC-3 airplane</t>
  </si>
  <si>
    <t>Man standing in front of Ansett Airways Douglas DC-3 VH-BZK at Mount Gambier airport.</t>
  </si>
  <si>
    <t>Ansett Airways Ltd.(Mount Gambier, S.A.);Airlines -- Australia;Airplanes -- Australia</t>
  </si>
  <si>
    <t>b21103173</t>
  </si>
  <si>
    <t>Photograph of the cattle sales at Bennett and Fisher on 3rd May 1957.</t>
  </si>
  <si>
    <t>b21103215</t>
  </si>
  <si>
    <t>Borthwicks</t>
  </si>
  <si>
    <t>Photograph of Borthwicks trucks in Mount Gambier, 16th March 1957.</t>
  </si>
  <si>
    <t>Thomas Borthwick &amp; Sons;Trucks -- South Australia -- Mount Gambier;Meat industry and trade -- South Australia -- Mount Gambier</t>
  </si>
  <si>
    <t>b21103197</t>
  </si>
  <si>
    <t>Fertiliser sales</t>
  </si>
  <si>
    <t>Photograph of sacks of fertiliser being loaded onto a truck owned by L. Hood of Mount Schanck on 10th September 1957.</t>
  </si>
  <si>
    <t>Trucks -- South Australia -- Mount Gambier;Fertilizers -- South Australia -- Mount Gambier</t>
  </si>
  <si>
    <t>b21103203</t>
  </si>
  <si>
    <t>Thomas Borthwick Smallgoods</t>
  </si>
  <si>
    <t>Photograph of trucks outside the Thomas Borthwick smallgoods company in March 1957.</t>
  </si>
  <si>
    <t>b21103227</t>
  </si>
  <si>
    <t>D.J. Interiors</t>
  </si>
  <si>
    <t>Photograph of a display room of bedroom furniture at D.J. Interiors' stand at the Mount Gambier Show Hall on 2nd March 1957.</t>
  </si>
  <si>
    <t>D.J. Interiors (Mount Gambier, S.A.);Bedroom furniture;Interior decoration -- South Australia -- Mount Gambier</t>
  </si>
  <si>
    <t>b21103239</t>
  </si>
  <si>
    <t>Photograph of a man  with a sack of fertiliser on the back of a truck in a paddock on 10th September 1957.</t>
  </si>
  <si>
    <t>b21103240</t>
  </si>
  <si>
    <t>Photograph of a truck loaded with sacks of fertiliser in a paddock on 10th September 1957.</t>
  </si>
  <si>
    <t>b21103252</t>
  </si>
  <si>
    <t>Photograph of L. Hood of Mount Scanck's truck loaded with sacks of fertiliser in a paddock on 10th September 1957.</t>
  </si>
  <si>
    <t>b21103264</t>
  </si>
  <si>
    <t>Photograph of a man loading sacks of fertiliser on the back of a truck in a paddock on 10th September 1957.</t>
  </si>
  <si>
    <t>b21103276</t>
  </si>
  <si>
    <t>Photograph of a fertiliser truck and trailer in a paddock on 10th September 1957. Truck is owned by L. Hood of Mount Schanck.</t>
  </si>
  <si>
    <t>b21103288</t>
  </si>
  <si>
    <t>Photograph of a display room depicting living room furniture at D.J. Interiors' stand  at the Mount Gambier Show Hall, on 2nd March 1957.</t>
  </si>
  <si>
    <t>D.J. Interiors (Mount Gambier, S.A.);Interior decorating -- South Australia -- Mount Gambier;Living rooms</t>
  </si>
  <si>
    <t>b2110329x</t>
  </si>
  <si>
    <t>Road sealing</t>
  </si>
  <si>
    <t>Photograph of workman spraying bitumen on road November - December 1957.</t>
  </si>
  <si>
    <t>Roads -- South Australia -- Mount Gambier</t>
  </si>
  <si>
    <t>b21103306</t>
  </si>
  <si>
    <t>Swimming pool</t>
  </si>
  <si>
    <t>Photograph of the swimming pool being built on 19th May 1957.</t>
  </si>
  <si>
    <t>Swimming pools -- South Australia -- Mount Gambier -- Design and construction</t>
  </si>
  <si>
    <t>b21103318</t>
  </si>
  <si>
    <t>Forestry Conference</t>
  </si>
  <si>
    <t>Photograph of three delegates at the Forestry Conference held in August 1957.</t>
  </si>
  <si>
    <t>Forestry -- South Australia -- Mount Gambier -- Congresses</t>
  </si>
  <si>
    <t>b2110332x</t>
  </si>
  <si>
    <t>Post Office</t>
  </si>
  <si>
    <t>Photograph of the busy Post Office counter in December 1957.</t>
  </si>
  <si>
    <t>Postal service -- South Australia -- Mount Gambier</t>
  </si>
  <si>
    <t>b21103331</t>
  </si>
  <si>
    <t>O.A. Dickson Wool Merchants</t>
  </si>
  <si>
    <t>Photograph of a man inspecting fleece at Dicksons on 20th November 1957.</t>
  </si>
  <si>
    <t>O.A. Dickson Wool Merchants;Wool industry -- South Australia -- Mount Gambier</t>
  </si>
  <si>
    <t>b21103343</t>
  </si>
  <si>
    <t>Photograph of two men inspecting fleece at Dicksons on 20th November 1957. The fleece are on a tabled named 'The Rotable A Rotary Wool Table'. The man on the right of the photograph is Owen A. Dickson.</t>
  </si>
  <si>
    <t>b21103355</t>
  </si>
  <si>
    <t>A. Batty crane service</t>
  </si>
  <si>
    <t>Photograph of B. Batty proprietor of Geelong Mobile Crane Service lifting a large metal wheel.</t>
  </si>
  <si>
    <t>A. Batty Crane Service (Mount Gambier, S.A.);Cranes, derricks, etc. -- South Australia -- Mount Gambier</t>
  </si>
  <si>
    <t>b21103367</t>
  </si>
  <si>
    <t>Hopgoods Garage</t>
  </si>
  <si>
    <t>Photograph of a new car outside Hopgoods Garage on 20th May 1957.</t>
  </si>
  <si>
    <t>Hopgoods Garage (Mount Gambier, S.A.);Garages -- South Australia -- Mount Gambier</t>
  </si>
  <si>
    <t>b21103379</t>
  </si>
  <si>
    <t>Bush fire</t>
  </si>
  <si>
    <t>Photograph of a four fire fighters using knapsack water hoses to fight a bush fire in the pine plantations on 15th January 1957.</t>
  </si>
  <si>
    <t>Fire fighters -- South Australia -- Mount Gambier;Forest fires -- South Australia -- Mount Gambier</t>
  </si>
  <si>
    <t>b21103380</t>
  </si>
  <si>
    <t>Country Club Restaurant</t>
  </si>
  <si>
    <t>Photograph of an event at the Country Club Restaurant in 1957.</t>
  </si>
  <si>
    <t>Country Club Restaurant (Mount Gambier, S.A.);Restaurants -- South Australia -- Mount Gambier;Dinners and dining -- South Australia -- Mount Gambier</t>
  </si>
  <si>
    <t>b21103392</t>
  </si>
  <si>
    <t>Industrial machinery</t>
  </si>
  <si>
    <t>Photograph of industrial machinery which was handled by A. Batty Crane Service in August 1957.</t>
  </si>
  <si>
    <t>b21103409</t>
  </si>
  <si>
    <t>Photograph of A. Batty using his crane at an industrial site in August 1957.</t>
  </si>
  <si>
    <t>b21103446</t>
  </si>
  <si>
    <t>A. Batty</t>
  </si>
  <si>
    <t>b21103410</t>
  </si>
  <si>
    <t>Woolworths</t>
  </si>
  <si>
    <t>Photograph of the Woolworths sales on 29th August 1957.</t>
  </si>
  <si>
    <t>Woolworths Ltd.;Stores, Retail -- South Australia -- Mount Gambier;Shopping -- South Australia -- Mount Gambier</t>
  </si>
  <si>
    <t>b21103422</t>
  </si>
  <si>
    <t>Vacoil</t>
  </si>
  <si>
    <t>Photograph of a rally car outside 5SE broadcasting station in August 1957. The driver of rally car is Ron Diamond and the co-driver is Max McPherson.</t>
  </si>
  <si>
    <t>Automobile racing -- South Australia -- Mount Gambier</t>
  </si>
  <si>
    <t>b21103434</t>
  </si>
  <si>
    <t>M.J.J. Phillips</t>
  </si>
  <si>
    <t>Photograph of a display cooking ranges, 2nd March 1957.</t>
  </si>
  <si>
    <t>Stoves -- South Australia -- Mount Gambier</t>
  </si>
  <si>
    <t>b21103458</t>
  </si>
  <si>
    <t>Postal Institute</t>
  </si>
  <si>
    <t>Photograph of a Christmas dance at the Postal Institute in 1957.</t>
  </si>
  <si>
    <t>Dance parties -- South Australia -- Mount Gambier;Postal service -- South Australia -- Mount Gambier -- Employees;Christmas -- South Australia -- Mount Gambier</t>
  </si>
  <si>
    <t>b2110346x</t>
  </si>
  <si>
    <t>Gas Company</t>
  </si>
  <si>
    <t>Photograph of lady customer being shown a new gas stove by a Gas Company salesman on 2nd March 1957.</t>
  </si>
  <si>
    <t>South Australian Gas Company (1861-1988);Stoves -- South Australia -- Mount Gambier</t>
  </si>
  <si>
    <t>b21103471</t>
  </si>
  <si>
    <t>Photograph of a busy day at Woolworths on 29th August 1957, Mount Gambier.</t>
  </si>
  <si>
    <t>b21103483</t>
  </si>
  <si>
    <t>Photograph of a new refrigerator and gas stove at the Gas Company on 2nd March 1957.</t>
  </si>
  <si>
    <t>South Australian Gas Company (1861-1988);Stoves -- South Australia -- Mount Gambier;Refrigerators -- South Australia -- Mount Gambier</t>
  </si>
  <si>
    <t>b21103495</t>
  </si>
  <si>
    <t>Photograph of new appliances for sale at the Gas Company on 2nd March 1957.</t>
  </si>
  <si>
    <t>b21103501</t>
  </si>
  <si>
    <t>Hopgood's Garage</t>
  </si>
  <si>
    <t>Photograph of a new car outside Hopgood's Garage on 20th May 1957, Mount Gambier. According to a researcher, the photograph was actually taken in front of the Fire Station.</t>
  </si>
  <si>
    <t>Hopgood's Garage (Mount Gambier, S.A.);Garages -- South Australia -- Mount Gambier</t>
  </si>
  <si>
    <t>b21103513</t>
  </si>
  <si>
    <t>Photograph of a busy counter at the Post Office in December 1957, Mount Gambier.</t>
  </si>
  <si>
    <t>b21104852</t>
  </si>
  <si>
    <t>Photograph of staff moving personal belongings out of the Police Station on 16th December 1957.</t>
  </si>
  <si>
    <t>Police stations -- South Australia -- Mount Gambier;Police -- South Australia -- Mount Gambier</t>
  </si>
  <si>
    <t>b21104931</t>
  </si>
  <si>
    <t>Mount Gambier Police Haul</t>
  </si>
  <si>
    <t>Photograph of two policemen with possibly the proceeds from a seven hundred and fifty pound police robbery. Photograph taken on 7th March 1957.</t>
  </si>
  <si>
    <t>Police -- South Australia -- Mount Gambier;Robbery -- South Australia -- Mount Gambier</t>
  </si>
  <si>
    <t>b21112137</t>
  </si>
  <si>
    <t>J. Hern</t>
  </si>
  <si>
    <t>Photograph of Mr and Mrs J. Hern 1957, Mount Gambier.</t>
  </si>
  <si>
    <t>Hern, J.</t>
  </si>
  <si>
    <t>b21112149</t>
  </si>
  <si>
    <t>Corball Cheque</t>
  </si>
  <si>
    <t>Photograph of Mayor S. Davis with B. Caddy, C. Davis and R. Telfer with the Corball cheque on 21/11/57, Mount Gambier.</t>
  </si>
  <si>
    <t>Telfer, R.;Davis, C.;Caddy, B.;Davis, S.;Mayors -- South Australia -- Mount Gambier</t>
  </si>
  <si>
    <t>b21112150</t>
  </si>
  <si>
    <t>British Migrants</t>
  </si>
  <si>
    <t>Photograph of Rotarians L. Mudge and M. Martin welcoming British migrants at Mount Gambier Railway Station on 30 november 1957.</t>
  </si>
  <si>
    <t>Rotary Club of Mount Gambier;Immigrants -- South Australia -- Mount Gambier;British -- South Australia -- Mount Gambier</t>
  </si>
  <si>
    <t>b21112162</t>
  </si>
  <si>
    <t>Jillian Sealey</t>
  </si>
  <si>
    <t>Photograph of Jillian Sealey, daughter of Archibald and Lorna Sealey (nee Bodey). [Archibald Sealey was a Mayor of Mount Gambier.]  She is pictured with what appear to be prizes won for Highland Dancing. Photograph taken on 28th January 1957.</t>
  </si>
  <si>
    <t>Sealey, Jillian;Dancers -- South Australia -- Mount Gambier;Costume -- Scotland</t>
  </si>
  <si>
    <t>b21112186</t>
  </si>
  <si>
    <t>Mr. A. Haines Manager of the Commonwealth Bank, Mount Gambier</t>
  </si>
  <si>
    <t>Photograph of Mr. A. Haines, Manager of the Commonwealth Bank, Mount Gambier.</t>
  </si>
  <si>
    <t>Haines, A.;Commonwealth Bank of Australia -- Employees</t>
  </si>
  <si>
    <t>b21112198</t>
  </si>
  <si>
    <t>F. E. Sharley</t>
  </si>
  <si>
    <t>Photograph of F. E. Sharley with another gentleman on 5th June 1957.</t>
  </si>
  <si>
    <t>Sharley, Frank E.</t>
  </si>
  <si>
    <t>b21114262</t>
  </si>
  <si>
    <t>Port Macdonnell Regatta</t>
  </si>
  <si>
    <t>Photograph of the judging of the Henley Girl Competition at Port MacDonnell Regatta on 26th December 1957.</t>
  </si>
  <si>
    <t>Port MacDonnell Regatta;Girls -- South Australia -- Port MacDonnell;Beauty contests -- South Australia -- Port MacDonnell</t>
  </si>
  <si>
    <t>b21114286</t>
  </si>
  <si>
    <t>Lutheran Conference</t>
  </si>
  <si>
    <t>Photograph of the delegates at the Lutheran Conference outside the Lutheran Church in Mount Gambier in 1957.</t>
  </si>
  <si>
    <t>Lutherans -- South Australia -- Mount Gambier</t>
  </si>
  <si>
    <t>b21114316</t>
  </si>
  <si>
    <t>Port MacDonnell Regatta</t>
  </si>
  <si>
    <t>Photograph of the three prizewinners of the Henley Girl Competition at Port MacDonnell on 26th December 1957.</t>
  </si>
  <si>
    <t>Port MacDonnell Regatta;Beauty contests -- South Australia -- Port MacDonnell</t>
  </si>
  <si>
    <t>b21114328</t>
  </si>
  <si>
    <t>Miss Henley Girl</t>
  </si>
  <si>
    <t>Photograph of the three prizewinners of the Miss Henley Girl Junior Competition at Port MacDonnell on 26th December 1957.</t>
  </si>
  <si>
    <t>Port MacDonnell Regatta;Beauty contests -- South Australia -- Port MacDonnell;Girls -- South Australia -- Port MacDonnell</t>
  </si>
  <si>
    <t>b2111433x</t>
  </si>
  <si>
    <t>Photograph of the contestants at the Henley Girl Competition at Port MacDonnell on 26th December 1957.</t>
  </si>
  <si>
    <t>b21114341</t>
  </si>
  <si>
    <t>Photograph of Mr Jock and Mrs Doreen Main with their daughter Judith at the Highland Ball in Mount Gambier.</t>
  </si>
  <si>
    <t>Main (Family);Balls (Parties) -- South Australia</t>
  </si>
  <si>
    <t>b21114419</t>
  </si>
  <si>
    <t>Dame Flora's Visit</t>
  </si>
  <si>
    <t>Photograph of Dame Flora MacLeod with another lady and two men in kilts during her visit to Mount Gambier on 8th October 1957.</t>
  </si>
  <si>
    <t>MacLeod, Flora, Dame, 1878-1976</t>
  </si>
  <si>
    <t>b21114420</t>
  </si>
  <si>
    <t>Burns Night</t>
  </si>
  <si>
    <t>Photograph of guests in kilts and evening wear at the Robbie Burns Night in Mount Gambier on 22nd January 1957.</t>
  </si>
  <si>
    <t>Burns, Robert, 1759-1796 -- Anniversaries, etc.;Costume -- Scotland</t>
  </si>
  <si>
    <t>b21114432</t>
  </si>
  <si>
    <t>Photograph of Dame Flora MacLeod flanked by two men in kilts during her visit to Mount Gambier on 8th October 1957.</t>
  </si>
  <si>
    <t>b21114444</t>
  </si>
  <si>
    <t>Photograph of the senior winner of the sandcastle competition during the Port MacDonnell Regatta on 26th December 1957. Other competitors are standing behind the winner.</t>
  </si>
  <si>
    <t>Port MacDonnell Regatta;Sandcastles -- Competitions -- South Australia -- Mount Gambier</t>
  </si>
  <si>
    <t>b21114456</t>
  </si>
  <si>
    <t>Photograph of the senior winner of the Port MacDonnell Regatta sandcastle competition on 26th December 1957.</t>
  </si>
  <si>
    <t>b21114560</t>
  </si>
  <si>
    <t>Photograph of the presentation of Scottish food during the Robbie Burns Night on 22nd January 1957, Mount Gambier.</t>
  </si>
  <si>
    <t>b21114638</t>
  </si>
  <si>
    <t>Photograph of the three winners of the Henley Girl competition at Port MacDonnell Regatta on 26th December 1957.</t>
  </si>
  <si>
    <t>b2111464x</t>
  </si>
  <si>
    <t>Photograph of the three winners of the Henley Girl competition receiving their sashes at Port MacDonnell Regatta on 26th December 1957.</t>
  </si>
  <si>
    <t>b21120845</t>
  </si>
  <si>
    <t>Photograph of a group of seven debutantes at the Highland Ball in 1957, Mount Gambier.</t>
  </si>
  <si>
    <t>b21120857</t>
  </si>
  <si>
    <t>Balls (parties) -- South Australia -- Mount Gambier</t>
  </si>
  <si>
    <t>b21120869</t>
  </si>
  <si>
    <t>Highland Ball in Millicent</t>
  </si>
  <si>
    <t>Photograph of a group of six debutantes at the Highland Ball in Millicent on 14th June 1957. Back row: Anne Hayward,  Janette Bowman, Gwenda Hutchesson. Front row: Angela Greenfield, Shirley Hirchausen, Nan O'Connor.</t>
  </si>
  <si>
    <t>Balls (parties) -- South Australia -- Millicent</t>
  </si>
  <si>
    <t>b21121084</t>
  </si>
  <si>
    <t>Photograph of seven debutantes at the Highland Ball in 1957.</t>
  </si>
  <si>
    <t>b21121096</t>
  </si>
  <si>
    <t>Photograph of seven debutantes at the Highland Ball in May 1957.</t>
  </si>
  <si>
    <t>b21121102</t>
  </si>
  <si>
    <t>Photograph of seven debutantes and their partners at the Highland Ball in May 1957. The two men on the right are believed to be the Robinson brothers from Mil-lel, Fred and Brian.</t>
  </si>
  <si>
    <t>b21121114</t>
  </si>
  <si>
    <t>Photograph of eight debutantes at the Highland Ball in May 1957.</t>
  </si>
  <si>
    <t>b21121126</t>
  </si>
  <si>
    <t>Glencoe East Debutantes</t>
  </si>
  <si>
    <t>Photograph of seven debutantes from Glencoe East before making their debut on 26th April 1957. Researcher says the woman at front left is Josephine Aslin.</t>
  </si>
  <si>
    <t>Debutantes -- South Australia</t>
  </si>
  <si>
    <t>b21121138</t>
  </si>
  <si>
    <t>Photograph of seven debutantes chatting to their partners during the Highland Ball in 1957, Mount Gambier.</t>
  </si>
  <si>
    <t>b2112114x</t>
  </si>
  <si>
    <t>Photograph of supper time at the Highland Ball in  1957, Mount Gambier.</t>
  </si>
  <si>
    <t>b21121266</t>
  </si>
  <si>
    <t>May Ball</t>
  </si>
  <si>
    <t>Photograph of eight debutantes and their partners at the May Ball in 1957, Mount Gambier.</t>
  </si>
  <si>
    <t>b21121278</t>
  </si>
  <si>
    <t>Photograph of six debutantes and their partners at the Highland Ball in 1957, Mount Gambier. The first couple are L. Collins with Kevin Day, the second couple are Sandra McLoud and Graham Main, the third couple are Pat Thompson and John Fatchen.</t>
  </si>
  <si>
    <t>b2112128x</t>
  </si>
  <si>
    <t>Photograph of debutante L. Holmes dancing with her partner at the May Ball in 1957, Mount Gambier.</t>
  </si>
  <si>
    <t>Holmes, L.;Balls (Parties) -- South Australia -- Mount Gambier;Debutantes -- South Australia -- Mount Gambier</t>
  </si>
  <si>
    <t>b21121291</t>
  </si>
  <si>
    <t>Glencoe East Ball</t>
  </si>
  <si>
    <t>Photograph of guests enjoying supper during the Glencoe East Ball on 26th April 1957.</t>
  </si>
  <si>
    <t>Balls (Parties) -- South Australia -- Glencoe</t>
  </si>
  <si>
    <t>b21121370</t>
  </si>
  <si>
    <t>William and Beverly Ridland</t>
  </si>
  <si>
    <t>Photograph of  William Ridland and his daughter Beverley admiring a statue on 25th January 1957, possibly at the Robbie Burns Night celebrations.</t>
  </si>
  <si>
    <t>Ridland, William;Ridland, Beverley, 1935-;Burns, Robert, 1759-1796 -- Anniversaries, etc.</t>
  </si>
  <si>
    <t>b21121400</t>
  </si>
  <si>
    <t>APEX</t>
  </si>
  <si>
    <t>Photograph of five members of APEX grouped around the APEX plaque on 23rd November 1957, Mount Gambier.</t>
  </si>
  <si>
    <t>b21122076</t>
  </si>
  <si>
    <t>D. Weiss</t>
  </si>
  <si>
    <t>Photograph of Mr D. Weiss receiving his naturalisation certificate on 7th February 1957, Mount Gambier.</t>
  </si>
  <si>
    <t>Weiss, D.;Naturalization -- South Australia -- Mount Gambier;Citizenship -- South Australia -- Mount Gambier</t>
  </si>
  <si>
    <t>b21122118</t>
  </si>
  <si>
    <t>Blood Donors</t>
  </si>
  <si>
    <t>Photograph of a medical officer checking a blood donor's blood under the microscope on 10th October 1957, Mount Gambier.</t>
  </si>
  <si>
    <t>Blood -- Red Cross -- South Australia -- Mount Gambier;Physicians -- South Australia -- Mount Gambier</t>
  </si>
  <si>
    <t>b21122209</t>
  </si>
  <si>
    <t>Blood donors</t>
  </si>
  <si>
    <t>Photograph of a medical officer testing the blood of a donor on 10th October 1957, Mount Gambier.</t>
  </si>
  <si>
    <t>b21122234</t>
  </si>
  <si>
    <t>Photograph of a man donating blood in Mount Gambier on 16th October 1957.</t>
  </si>
  <si>
    <t>b2112582x</t>
  </si>
  <si>
    <t>South East Car club Trial</t>
  </si>
  <si>
    <t>Photograph of cars congregating at the Ampol Garage for the South East Car Club Trial on 27th July 1957, Mount Gambier.</t>
  </si>
  <si>
    <t>b21125892</t>
  </si>
  <si>
    <t>South East Car Club</t>
  </si>
  <si>
    <t>Photograph of a large trophy being presented to the winner of the South East Car Club Trials on 10th July 1957, Mount Gambier. On right, Mr Alec Davis (trophy sponsor).</t>
  </si>
  <si>
    <t>Davis, Alec;Automobile rallies -- South Australia -- Mount Gambier;Automobile racing -- South Australia -- Mount Gambier</t>
  </si>
  <si>
    <t>b21125909</t>
  </si>
  <si>
    <t>South East Car Club Trial</t>
  </si>
  <si>
    <t>Photograph of an entrant in the South East Car Club Trial on 27th July 1957, Mount Gambier.</t>
  </si>
  <si>
    <t>Automobile rallies -- South Australia -- Mount Gambier;Automobile racing -- South Australia -- Mount Gambier;Antique and classic cars -- South Australia -- Mount Gambier</t>
  </si>
  <si>
    <t>b21125910</t>
  </si>
  <si>
    <t>Photograph of an entrant in the South East Car Club Trial at O.G. Roberts Garage on 27th July 1957, Mount Gambier.</t>
  </si>
  <si>
    <t>b21182309</t>
  </si>
  <si>
    <t>Mount Gambier swimming pool</t>
  </si>
  <si>
    <t>Negative (acetate)  9.5 cm x 11.9 cm</t>
  </si>
  <si>
    <t>View of the swimming pool on 15 December 1957. There are quite a few people in the pool, but many more parents and children are around the edge of the pool. A chicken wire and steel stake fence surrounds the pool.</t>
  </si>
  <si>
    <t>Swimming pools -- South Australia -- Mount Gambier;Outdoor recreation for children -- South Australia -- Mount Gambier</t>
  </si>
  <si>
    <t>b21125922</t>
  </si>
  <si>
    <t>South East Club Trial</t>
  </si>
  <si>
    <t>Photograph of M.G Sports Car entrant in the South East Car Club Trial on 27th July 1957, Mount Gambier.</t>
  </si>
  <si>
    <t>Automobile rallies -- South Australia -- Mount Gambier;Automobile racing -- South Australia -- Mount Gambier;M.G. automobile</t>
  </si>
  <si>
    <t>b2112596x</t>
  </si>
  <si>
    <t>Borderline Speedway</t>
  </si>
  <si>
    <t>Photograph of a car being refuelled at the Borderline Speedway on 17th January 1957.</t>
  </si>
  <si>
    <t>b21125983</t>
  </si>
  <si>
    <t>Swimming Pool</t>
  </si>
  <si>
    <t>Photograph of eleven boys about to dive into the Mount Gambier Swimming Pool on 15th December 1957.</t>
  </si>
  <si>
    <t>b21125995</t>
  </si>
  <si>
    <t>Photograph of lots of children at the Mount Gambier Swimming Pool on 15th December 1957.</t>
  </si>
  <si>
    <t>b21126148</t>
  </si>
  <si>
    <t>Photograph of two cars competing at the Borderline Speedway on 20th January 1957, Mount Gambier.</t>
  </si>
  <si>
    <t>b2112615x</t>
  </si>
  <si>
    <t>Photograph of young men tinkering with their engines at the Borderline Speedway on 17th January 1957, Mount Gambier.</t>
  </si>
  <si>
    <t>b21126161</t>
  </si>
  <si>
    <t>Automobile racing -- South Australia -- Mount Gambier;Automobile rallies -- South Australia -- Mount Gambier;Antique and classic cars -- South Australia -- Mount Gambier</t>
  </si>
  <si>
    <t>b21126173</t>
  </si>
  <si>
    <t>Photograph of three young girls swimming at the Mount Gambier Swimming Pool on 15th December 1957.</t>
  </si>
  <si>
    <t>b21126185</t>
  </si>
  <si>
    <t>Penola Football Team</t>
  </si>
  <si>
    <t>Photograph of the Penola Football Team with their trainers and manager on 10th August 1957.</t>
  </si>
  <si>
    <t>Penola Football Club;Australian football teams -- South Australia -- Penola</t>
  </si>
  <si>
    <t>b21126197</t>
  </si>
  <si>
    <t>Photograph of the Penola Football Team with their trainers and manager on 10th August 1957. Left to right: Back Row: J Reilly, B Thoday, C Drury, D Galpin, D Pollock, R Carlson, I Malcolm , I Tregenza, E Mustart. Centre: J Tylie, R Kluske, C Boneham, R Ey, D Lubke, P Marks, T Georgeson, J Jones, Front: B Lear, R Minge, W Dittmar, C McLean, J Miller, J Jones, D Fennell, R Doyle.</t>
  </si>
  <si>
    <t>Australian football teams -- South Australia -- Penola</t>
  </si>
  <si>
    <t>b21126203</t>
  </si>
  <si>
    <t>North Football Team</t>
  </si>
  <si>
    <t>Photograph of the North Football Team with their trainers and manager on 10th August 1957. L to R Back: P Munn, G Kuhl, J Hanel, K Pedlar, J Stafford, K Dellar, J Alison. Second Row: T Turner, H Fewins, W Spehr, B Bruhn, A Probert, H Stafford, A McIntosh, T Bruhn, R Clemow, R Bent (secretary). Front Row: C Munn, J Neale (trainer), E Roughana, L Hanel, R Green (Coach), B Bruhn (President). Sitting: (Mascots) J Beard, R Pratt, W Hanel. Boundary umpire K Aslin (taken from football budget 1957).</t>
  </si>
  <si>
    <t>North Gambier Football Club;Australian football teams -- South Australia -- Mount Gambier</t>
  </si>
  <si>
    <t>b21126215</t>
  </si>
  <si>
    <t>Photograph of a ute dragging a log to smooth the circuit at the Borderline Speedway. Two competing cars are also in the photo, taken on 17th January 1957.</t>
  </si>
  <si>
    <t>b21126227</t>
  </si>
  <si>
    <t>Photograph of three young swimmers in the Mount Gambier Swimming Pool on 15th December 1957.</t>
  </si>
  <si>
    <t>b21140935</t>
  </si>
  <si>
    <t>Photograph of Mrs R. Barclay and her two sons in the studio in Mount Gambier in 1957.</t>
  </si>
  <si>
    <t>Barclay (Family);Mothers -- South Australia -- Mount Gambier;Infants -- South Australia -- Mount Gambier</t>
  </si>
  <si>
    <t>b21165294</t>
  </si>
  <si>
    <t>F. Cleves Band</t>
  </si>
  <si>
    <t>Photograph of the F. Cleves Band taken during a performance on 3rd June 1957. Band members are: Ron Turner (trumpet)   Len Krause (trombone)  Don Edwards (trumpet)  Frank Cleves (drums)  and  Dale Cleves (piano).</t>
  </si>
  <si>
    <t>b21227330</t>
  </si>
  <si>
    <t>Mount Gambier bride</t>
  </si>
  <si>
    <t>Photograph of the bride on her wedding day in 1957. She is wearing a dress with a lace overlay and a long train and a headpiece with a long veil. She is holding a bouquet of flowers decorated with silk ribbons. It is unclear whether the name K. England refers to the bride or groom.</t>
  </si>
  <si>
    <t>England, K.;Brides -- South Australia -- Mount Gambier;Wedding costume -- South Australia -- Mount Gambier</t>
  </si>
  <si>
    <t>b21182863</t>
  </si>
  <si>
    <t>R. Austin</t>
  </si>
  <si>
    <t>Photograph of Mr and Mrs R. Austin on their wedding day with their four attendants. The bride is wearing a long sleeved flowing dress with a short veil and the bridesmaids are wearing short sleeved dresses, gloves and small hats. The groomsmen have sprigs of orange blossom in their lapels.</t>
  </si>
  <si>
    <t>Austin, R.;Brides -- South Australia -- Mount Gambier;Wedding costume -- South Australia -- Mount Gambier</t>
  </si>
  <si>
    <t>b21182929</t>
  </si>
  <si>
    <t>F.R. Feast</t>
  </si>
  <si>
    <t>Photograph of Mr and Mrs Feast with their four attendants on their wedding day in 1957. The bride is wearing a long veil and a long sleeved satin dress with a train and lace neckline. The bridesmaids are wearing cap sleeved long dresses in different colours, gloves and floral head pieces. The groomsmen have sprigs of orange blossom in their lapels.</t>
  </si>
  <si>
    <t>Feast, F. R.;Brides -- South Australia -- Mount Gambier;Wedding costume -- South Australia -- Mount Gambier</t>
  </si>
  <si>
    <t>b21183211</t>
  </si>
  <si>
    <t>R.J. Deed</t>
  </si>
  <si>
    <t>Photograph of Mr and Mrs R.J. Deed and their two attendants on their wedding day in 1957.</t>
  </si>
  <si>
    <t>Deed, R. J.;Brides -- South Australia -- Mount Gambier;Wedding costume -- South Australia -- Mount Gambier</t>
  </si>
  <si>
    <t>b21183235</t>
  </si>
  <si>
    <t>Max and Joy Cram</t>
  </si>
  <si>
    <t>Photograph of Max Cram and Joy Hein on their wedding day in 1957. The full train of the bride's satin gown encircles her. The bride is Joy Hein and groom Max Cram.</t>
  </si>
  <si>
    <t>Cram, Max;Cram, Joy;Brides -- South Australia -- Mount Gambier;Wedding costume -- South Australia -- Mount Gambier</t>
  </si>
  <si>
    <t>b21183247</t>
  </si>
  <si>
    <t>J. Denman</t>
  </si>
  <si>
    <t>Photograph of Mr and Mrs J. Denman and their two attendants on their wedding day in 1957.  The bridegroom and his best man are wearing the uniform of the Royal Australian Air Force.</t>
  </si>
  <si>
    <t>Denman, J.;Brides -- South Australia -- Mount Gambier;Wedding costume -- South Australia -- Mount Gambier</t>
  </si>
  <si>
    <t>b21183260</t>
  </si>
  <si>
    <t>L. Dunn</t>
  </si>
  <si>
    <t>Photograph of the bride Mrs L. Dunn and her two attendants on her wedding day in 1957. Her organza dress has a lace train and long veil and all three bouquets contain dahlias.</t>
  </si>
  <si>
    <t>Dunn, L.;Brides -- South Australia -- Mount Gambier;Wedding costume -- South Australia -- Mount Gambier</t>
  </si>
  <si>
    <t>b21227354</t>
  </si>
  <si>
    <t>Mr and Mrs J.G. Crawford</t>
  </si>
  <si>
    <t>Mr and Mrs J.G. Crawford pictured on their wedding day. The bride is wearing a long tiered gown with a medium length veil.</t>
  </si>
  <si>
    <t>Crawford, J. G.;Brides -- South Australia -- Mount Gambier;Wedding costume -- South Australia -- Mount Gambier</t>
  </si>
  <si>
    <t>b21183272</t>
  </si>
  <si>
    <t>S. Drezga</t>
  </si>
  <si>
    <t>Photograph of Mr and Mrs S. Drezga on their wedding day in 1957. The bridal gown is tiered with ruffles and has a lace train. The bride and bridegroom are both wearing sprigs of orange blossom.</t>
  </si>
  <si>
    <t>Drezga, S.;Brides -- South Australia -- Mount Gambier;Wedding costume -- South Australia -- Mount Gambier</t>
  </si>
  <si>
    <t>b21183284</t>
  </si>
  <si>
    <t>B.M. Dowdell</t>
  </si>
  <si>
    <t>Photograph of Mr and Mrs Dowdell and their four attendants on their wedding day in 1957. The bride's ruffled gown has a long lace train. Her bridesmaids are wearing small boleros and hats with their dresses.</t>
  </si>
  <si>
    <t>Dowdell, B. M.;Brides -- South Australia -- Mount Gambier;Wedding costume -- South Australia -- Mount Gambier</t>
  </si>
  <si>
    <t>b21183296</t>
  </si>
  <si>
    <t>P.D. Jakovic</t>
  </si>
  <si>
    <t>Photograph of Mr and Mrs P.D. Jacovic on their wedding day surrounded by several members of their families.</t>
  </si>
  <si>
    <t>Jakovic, P. D.;Brides -- South Australia -- Mount Gambier;Wedding costume -- South Australia -- Mount Gambier</t>
  </si>
  <si>
    <t>b21183405</t>
  </si>
  <si>
    <t>Mr and Mrs Hinton</t>
  </si>
  <si>
    <t>Photograph of Mr and Mrs R. Hinton and their two attendants taken on their wedding day in 1957. The two men are Reg Hinton (groom) and a relative Robert Hinton (best man). [Robert is not Reg's brother.  ].</t>
  </si>
  <si>
    <t>Hinton, Reg;Brides -- South Australia -- Mount Gambier;Wedding costume -- South Australia -- Mount Gambier</t>
  </si>
  <si>
    <t>b21183417</t>
  </si>
  <si>
    <t>M. Gill</t>
  </si>
  <si>
    <t>Photograph of the bride Mrs M. Gill with her three attendants and flowergirl on her wedding day in 1957. The bride's gown has a full skirt and long train. The bride is holding a single rose.</t>
  </si>
  <si>
    <t>Gill, M.;Brides -- South Australia -- Mount Gambier;Wedding costume -- South Australia -- Mount Gambier</t>
  </si>
  <si>
    <t>b21183429</t>
  </si>
  <si>
    <t>Mr and Mrs Hamilton</t>
  </si>
  <si>
    <t>Photograph of Donald Hamilton and Patricia Umpherston on their wedding day in 1957. The bride is wearing a long gown with a train and a short veil. Her bouquet contains gladiolus and dahlias.</t>
  </si>
  <si>
    <t>Hamilton, Donald;Umpherston, Patricia;Brides -- South Australia -- Mount Gambier;Wedding costume -- South Australia -- Mount Gambier</t>
  </si>
  <si>
    <t>b2118348x</t>
  </si>
  <si>
    <t>D. Vincent</t>
  </si>
  <si>
    <t>Photograph of Mr and Mrs D. Vincent on their wedding day with two male attendants and a bridesmaid.</t>
  </si>
  <si>
    <t>Vincent, D.;Brides -- South Australia -- Mount Gambier;Wedding costume -- South Australia -- Mount Gambier</t>
  </si>
  <si>
    <t>b21183491</t>
  </si>
  <si>
    <t>L. VanDam</t>
  </si>
  <si>
    <t>Photograph of Mr and Mrs L. VanDam, their best man and bridesmaid on their wedding day in 1957. The bridal gown has a lace overlay and lace sleeves. The bouquets are roses.</t>
  </si>
  <si>
    <t>VanDam, L.;Brides -- South Australia -- Mount Gambier;Wedding costume -- South Australia -- Mount Gambier</t>
  </si>
  <si>
    <t>b2118351x</t>
  </si>
  <si>
    <t>S. Ross Thomas wedding party</t>
  </si>
  <si>
    <t>Photograph of Mr and Mrs S. Ross Thomas and their four attendants on their wedding day in 1958. The bride is carrying a prayer book and her bridesmaids have satin leaves sewn onto their full skirted voile gowns. They are wearing small headpieces of feathers and holding long sprays of flowers.</t>
  </si>
  <si>
    <t>Thomas, S. R.;Brides -- South Australia -- Mount Gambier;Wedding costume -- South Australia -- Mount Gambier</t>
  </si>
  <si>
    <t>b21183521</t>
  </si>
  <si>
    <t>D.A. Thornley</t>
  </si>
  <si>
    <t>Photograph of Mr and Mrs D.A. Thornley with their four attendants and a very young flowergirl taken on their wedding day in 1957. The bride's dress has a long flowing train. The bridesmaids are seated and are wearing a contrasting sash, gloves and headpiece with their full skirted dresses. The flowergirl who is approximately four years old is wearing a circlet of flowers around her hair.</t>
  </si>
  <si>
    <t>Thornley, D. A.;Brides -- South Australia -- Mount Gambier;Wedding costume -- South Australia -- Mount Gambier</t>
  </si>
  <si>
    <t>b21183570</t>
  </si>
  <si>
    <t>K.A. Manser</t>
  </si>
  <si>
    <t>Photograph of Mr and Mrs K.A. Manser on their wedding day with their two attendants and flowergirl. All three dresses are lace and they are wearing matching long gloves and flower head pieces.</t>
  </si>
  <si>
    <t>Manser, K. A.;Brides -- South Australia -- Mount Gambier;Wedding costume -- South Australia -- Mount Gambier</t>
  </si>
  <si>
    <t>b21183582</t>
  </si>
  <si>
    <t>A.W. Mead</t>
  </si>
  <si>
    <t>Photograph of Mr and Mrs A.W. Mead and their three attendants on their wedding day in 1957.  The three ladies are wearing satin knee length dresses with covered buttons. They are wearing hats and carrying handbags.</t>
  </si>
  <si>
    <t>Mead, A. W.;Brides -- South Australia -- Mount Gambier;Wedding costume -- South Australia -- Mount Gambier</t>
  </si>
  <si>
    <t>b2118379x</t>
  </si>
  <si>
    <t>A.H. McPherson</t>
  </si>
  <si>
    <t>Photograph of Mr and Mrs A. H. McPherson with possibly their son and daughter and four visiting Asian young men.</t>
  </si>
  <si>
    <t>McPherson, A. H.;McPherson (Family)</t>
  </si>
  <si>
    <t>b21183806</t>
  </si>
  <si>
    <t>A. Spencer</t>
  </si>
  <si>
    <t>Photograph of possibly four female generations of the Spencer family taken in the studio in Mount Gambier in 1957.</t>
  </si>
  <si>
    <t>Spencer, A.;Spencer (Family)</t>
  </si>
  <si>
    <t>b21183818</t>
  </si>
  <si>
    <t>R. Biggins</t>
  </si>
  <si>
    <t>Photograph of Mr and Mrs R. Biggins and their three sons and three daughters taken in the studio in Mount Gambier in 1957. The youngest boy is approximately three years old and the oldest girl is approximately seventeen years old.</t>
  </si>
  <si>
    <t>Biggins, R.;Biggins (Family)</t>
  </si>
  <si>
    <t>b2118382x</t>
  </si>
  <si>
    <t>F.W. Earl</t>
  </si>
  <si>
    <t>Photograph of Mr and Mrs F.W. Earl and their three daughters and two sons taken in the studio in Mount Gambier in 1957. The girls are in their teenage years and the boys are approximately seven and eleven years old.</t>
  </si>
  <si>
    <t>Earl, F. W.;Earl (Family)</t>
  </si>
  <si>
    <t>b21184690</t>
  </si>
  <si>
    <t>Wood chopping champion</t>
  </si>
  <si>
    <t>Photograph of a champion wood chopper taken after the competition in 1957.</t>
  </si>
  <si>
    <t>Woodchopping (Sports) -- South Australia -- Mount Gambier</t>
  </si>
  <si>
    <t>b21184707</t>
  </si>
  <si>
    <t>Photograph of a champion wood chopper taken during the competition in 1957.</t>
  </si>
  <si>
    <t>b21184719</t>
  </si>
  <si>
    <t>Tennis team from Mount Gambier High School</t>
  </si>
  <si>
    <t>Photograph of eight boy tennis players possibly from the Mount Gambier High School taken in 1957. According to a researcher, front row seated second from left is Donald Bigham, next to him is Peter Millhouse, then  Trevor Probert .</t>
  </si>
  <si>
    <t>b21184720</t>
  </si>
  <si>
    <t>Girls' hockey team from Mount Gambier High School</t>
  </si>
  <si>
    <t>Photograph of eleven girls from the Mount Gambier High School hockey team, wearing their uniform. According to a researcher, seated on the left is Shirley White (long time employee of O.G. Roberts &amp; Co, an automotive dealership in Mount Gambier).</t>
  </si>
  <si>
    <t>b21184756</t>
  </si>
  <si>
    <t>Photograph of four boys and four girls atheletes from Mount Gambier High School holding trophies.</t>
  </si>
  <si>
    <t>b2118754x</t>
  </si>
  <si>
    <t>Photograph of members and officials of the Tarpeena Football Club taken in 1957.</t>
  </si>
  <si>
    <t>b2119256x</t>
  </si>
  <si>
    <t>Fabric Shop in Mount Gambier in 1957</t>
  </si>
  <si>
    <t>Photograph of the inside of the fabric shop in Mount Gambier in 1957.  Rolls of materials, reels of Coats cottons, and Butterick Patterns are for sale in this shop.</t>
  </si>
  <si>
    <t>Drapery industry -- South Australia -- Mount Gambier;Stores, Retail -- South Australia -- Mount Gambier;Display of merchandise -- South Australia -- Mount Gambier</t>
  </si>
  <si>
    <t>b21192571</t>
  </si>
  <si>
    <t>Electricity Trust in Mount Gambier</t>
  </si>
  <si>
    <t>Photograph of the Electricity Trust in Mount Gambier taken on the first anniversary on the twentieth of March in 1957.</t>
  </si>
  <si>
    <t>b21192595</t>
  </si>
  <si>
    <t>W. Hogan</t>
  </si>
  <si>
    <t>Photograph of the front of the W. Hogan Sports Shop in Mount Gambier taken in May 1957. Various sporting equipment is featured including golf clubs, tennis rackets, footballs and toys. According to a researcher, the shop was facing Bay Road on the left hand side, near the main corner. William Hogan (Bill) was the propretor and his only son, also named Bill, worked there as well.</t>
  </si>
  <si>
    <t>W. Hogan (Firm);Sporting goods industry -- South Australia -- Mount Gambier;Stores, Retail -- South Australia -- Mount Gambier</t>
  </si>
  <si>
    <t>b21192601</t>
  </si>
  <si>
    <t>Photograph of the inside of the Electricity Trust Building taken on the 29th March 1957.</t>
  </si>
  <si>
    <t>b21192613</t>
  </si>
  <si>
    <t>Haig's Garage Staff</t>
  </si>
  <si>
    <t>Photograph of thirteen staff members of Haig's Garage standing in the showroom in Watson Terrace in 1957. Tom Haig is among his staff. A large plaque stands on the counter from the Ford Motor Company in appreciation of twenty five years association from 1926 - 1951.</t>
  </si>
  <si>
    <t>Haig, Tom;Haig's Garage -- Employees;Garages -- South Australia -- Mount Gambier</t>
  </si>
  <si>
    <t>b21192625</t>
  </si>
  <si>
    <t>Haig's Garage</t>
  </si>
  <si>
    <t>Photograph of a tyre being tested at Haig's Garage in Mount Gambier in 1957.</t>
  </si>
  <si>
    <t>Haig's Garage;Garages -- South Australia -- Mount Gambier;Automobiles -- Tires</t>
  </si>
  <si>
    <t>b21192807</t>
  </si>
  <si>
    <t>Haigs</t>
  </si>
  <si>
    <t>Photograph of a new car on a hoist in Haig's Garage.  It appears to be having a service prior to being registered and sold.</t>
  </si>
  <si>
    <t>Haig's Garage;Garages -- South Australia -- Mount Gambier;Automobiles -- Maintenance and repair</t>
  </si>
  <si>
    <t>b21192893</t>
  </si>
  <si>
    <t>Patersons Home Furnishers</t>
  </si>
  <si>
    <t>Photograph of the front of Patersons Home Furnishers Shop in Mount Gambier in December 1957. Tables, cupboards and mirrors can be seen in the window. Next door is Hirth Brothers Cafe and Milk Bar which sells Alaska ice cream, ham and beef smallgoods. According to a researcher, the shop was situated on the corner of Gray Street South and Commercial Street.</t>
  </si>
  <si>
    <t>Patersons Home Furnishers;Furniture -- South Australia -- Mount Gambier;Stores, Retail -- South Australia -- Mount Gambier</t>
  </si>
  <si>
    <t>b21193174</t>
  </si>
  <si>
    <t>Photograph of the reception counter at Executive Trustee in Mount Gambier in 1957. A typewriter, adding machine and telephone are on the desk.</t>
  </si>
  <si>
    <t>b21193198</t>
  </si>
  <si>
    <t>Union Bank Mount Gambier</t>
  </si>
  <si>
    <t>The Union Bank, subsequently taken over by the ANZ, in Commercial Street East Mount Gambier in 1957.  This building was opposite Fidlers.</t>
  </si>
  <si>
    <t>Union Bank of Australia -- Buildings;Banks and banking -- South Australia -- Mount Gambier</t>
  </si>
  <si>
    <t>b21193290</t>
  </si>
  <si>
    <t>Executor Trustee and Agency Company</t>
  </si>
  <si>
    <t>Photograph of the architect's drawings for the proposed new building for Executor Trustee in Mount Gambier.</t>
  </si>
  <si>
    <t>Executor Trustee and Agency Company of South Australia -- Mount Gambier;Architecture -- South Australia -- Mount Gambier</t>
  </si>
  <si>
    <t>b21196205</t>
  </si>
  <si>
    <t>Debutantes at the Masonic Ball</t>
  </si>
  <si>
    <t>Photograph of four debutantes with their partners making their debut at the Masonic Ball in Mount Gambier in 1957.</t>
  </si>
  <si>
    <t>b21196217</t>
  </si>
  <si>
    <t>Photograph of thirteen debutantes from the Mount Gambier High School making their debut on 11th June 1957.</t>
  </si>
  <si>
    <t>b2119631x</t>
  </si>
  <si>
    <t>Photograph of thirteen debutantes from Mount Gambier High School making their debut on 11th June 1957.</t>
  </si>
  <si>
    <t>b21112125</t>
  </si>
  <si>
    <t>Peter Marrett</t>
  </si>
  <si>
    <t>[approximately 1957]</t>
  </si>
  <si>
    <t>Photograph of Peter Marrett demonstrating how to hold a football to a group of boys.</t>
  </si>
  <si>
    <t>Marrett, Peter;Boys -- South Australia -- Mount Gambier;Australian football -- South Australia -- Mount Gambier</t>
  </si>
  <si>
    <t>b21178227</t>
  </si>
  <si>
    <t>E.T. Douglas</t>
  </si>
  <si>
    <t>Photograph of Mr and Mrs E.T. Douglas and their baby daughter. Mr Douglas is wearing his blazer as a member of the West Gambier Football team who were premiers in 1957. his wife is holding their daughter who is wearing a long gown decorated with lace.</t>
  </si>
  <si>
    <t>Douglas (Family);Mothers -- South Australia -- Mount Gambier</t>
  </si>
  <si>
    <t>b21071676</t>
  </si>
  <si>
    <t>Acadia</t>
  </si>
  <si>
    <t>Photograph  12.6 cm x 8.3 cm</t>
  </si>
  <si>
    <t>Acadia (Ship);Ships</t>
  </si>
  <si>
    <t>b21082911</t>
  </si>
  <si>
    <t>Apatouria</t>
  </si>
  <si>
    <t>Photograph  13.8 cm x 8.6 cm</t>
  </si>
  <si>
    <t>Apatouria (Ship);Ships</t>
  </si>
  <si>
    <t>b21068719</t>
  </si>
  <si>
    <t>'Blue Lake' products</t>
  </si>
  <si>
    <t>Photograph of 'Blue Lake' products: a packet of flaked oats and a box of 'quick oats'. The foods were produced by the Commercial Flour &amp; Oatmeal Milling Co. Ltd, Mount Gambier.</t>
  </si>
  <si>
    <t>Food -- Packaging;Oats -- South Australia -- Marketing</t>
  </si>
  <si>
    <t>b21100755</t>
  </si>
  <si>
    <t>Queensland Insurance Company building</t>
  </si>
  <si>
    <t>Photograph of Queensland Insurance Company building on 17th May 1958, Mount Gambier. Also shows buildings of O.G. Roberts &amp; Co. and S.A. Farmers Co-operative Union.</t>
  </si>
  <si>
    <t>b21100767</t>
  </si>
  <si>
    <t>Queensland Insurance Company</t>
  </si>
  <si>
    <t>Photograph of Queensland Insurance Company building on 17th May 1958  also Mac's Hotel, Mount Gambier.</t>
  </si>
  <si>
    <t>b21100846</t>
  </si>
  <si>
    <t>Photograph of Queensland Insurance Company  street scene on 11th May 1958, Mount Gambier.</t>
  </si>
  <si>
    <t>b21100858</t>
  </si>
  <si>
    <t>Building site in Mount Gambier</t>
  </si>
  <si>
    <t>Photograph of a Mount Gambier building site, 28 July 1958. Visible in background from left is the RSL, the National Bank manager's house, and the Mt. Gambier Hotel.</t>
  </si>
  <si>
    <t>Building sites -- South Australia -- Mount Gambier</t>
  </si>
  <si>
    <t>b21101097</t>
  </si>
  <si>
    <t>Dutton Vauxhall</t>
  </si>
  <si>
    <t>Photograph of a Dutton Vauxhall motor car in January 1958 at the edge of the Blue Lake, Mount Gambier.</t>
  </si>
  <si>
    <t>Automobiles -- South Australia -- Mount Gambier;Blue Lake (S.A.)</t>
  </si>
  <si>
    <t>b21101413</t>
  </si>
  <si>
    <t>Road around lakes</t>
  </si>
  <si>
    <t>Photograph of the road around the lakes at Mount Gambier, taken on 1st March 1958.</t>
  </si>
  <si>
    <t>b21101437</t>
  </si>
  <si>
    <t>Hillside leading to lake</t>
  </si>
  <si>
    <t>Photograph of the hillside leading down to the lake, taken on 1st March 1958, Mount Gambier.</t>
  </si>
  <si>
    <t>b21101632</t>
  </si>
  <si>
    <t>James Street houses</t>
  </si>
  <si>
    <t>Photograph of James Street house in February 1958  Exchange Printer's Corner, Mount Gambier.</t>
  </si>
  <si>
    <t>b21101668</t>
  </si>
  <si>
    <t>Photograph showing the Executor Trustee and Agency Company of South Australia building, taken on 14th July 1958, Mount Gambier.</t>
  </si>
  <si>
    <t>b2110167x</t>
  </si>
  <si>
    <t>James Street house</t>
  </si>
  <si>
    <t>Photograph of a house in James Street taken February 1958, Mount Gambier.</t>
  </si>
  <si>
    <t>b21101681</t>
  </si>
  <si>
    <t>Fidler and Webb Limited</t>
  </si>
  <si>
    <t>Photograph of the Fidler and Webb Limited department store in July 1958, Mount Gambier.</t>
  </si>
  <si>
    <t>b21101693</t>
  </si>
  <si>
    <t>Shops at Mount Gambier</t>
  </si>
  <si>
    <t>Photograph of tobacconist, hairdresser, and 'Allan Dowdell' cycle and radio business taken on 17th May 1958, Mount Gambier. Cars are parked along the street.</t>
  </si>
  <si>
    <t>b21101711</t>
  </si>
  <si>
    <t>Executor Trustee building</t>
  </si>
  <si>
    <t>Photograph of the Executor Trustee and Agency Company of South Australia building in June 1958, Mount Gambier.</t>
  </si>
  <si>
    <t>b21101759</t>
  </si>
  <si>
    <t>Photograph of the Fidler and Webb Limited department store taken in July 1958, Mount Gambier.</t>
  </si>
  <si>
    <t>b21101760</t>
  </si>
  <si>
    <t>Caltex service station</t>
  </si>
  <si>
    <t>Photograph of the Caltex service station taken on 21st February 1958, Mount Gambier.</t>
  </si>
  <si>
    <t>b2110184x</t>
  </si>
  <si>
    <t>Presbyterian Church</t>
  </si>
  <si>
    <t>Photograph of the Presbyterian Church with scaffolding on the steeple, 3rd June 1958, Mount Gambier.</t>
  </si>
  <si>
    <t>Presbyterian Church -- South Australia -- Mount Gambier;Church buildings -- South Australia -- Mount Gambier</t>
  </si>
  <si>
    <t>b21101851</t>
  </si>
  <si>
    <t>Mount Gambier Bowling Club</t>
  </si>
  <si>
    <t>Photograph of Mount Gambier Bowling Club, 27 December 1958. Vansittart Park is in the background.</t>
  </si>
  <si>
    <t>Lawn bowls -- South Australia -- Mount Gambier;Bowls (Game) -- South Australia -- Mount Gambier</t>
  </si>
  <si>
    <t>b21103100</t>
  </si>
  <si>
    <t>Ern James Funeral Parlour</t>
  </si>
  <si>
    <t>Photograph of a funeral conducted by Ern James on 20th November 1958.</t>
  </si>
  <si>
    <t>Ern James;Funeral rites and ceremonies -- South Australia -- Mount Gambier</t>
  </si>
  <si>
    <t>b21103112</t>
  </si>
  <si>
    <t>Photograph of a funeral procession leaving the church during a funeral conducted by Ern James on 20th November 1958.</t>
  </si>
  <si>
    <t>b21103124</t>
  </si>
  <si>
    <t>Photograph of a funeral procession entering the cemetery during a funeral conducted by Ern James on 20th November 1958.</t>
  </si>
  <si>
    <t>James, Ern;Funeral rites and ceremonies -- South Australia -- Mount Gambier;Cemeteries -- South Australia -- Mount Gambier</t>
  </si>
  <si>
    <t>b21103136</t>
  </si>
  <si>
    <t>Photograph of a funeral procession nearing the burial plot during a funeral conducted by Ern James on 20th November 1958.</t>
  </si>
  <si>
    <t>b21103148</t>
  </si>
  <si>
    <t>Photograph of the cortege leaving the church going to the cemetery during a funeral conducted by Ern James on 20th November 1958. According to a researcher, the man walking in front of the two ladies in the light coloured suit is Giovanni (John) Bueti OAM.</t>
  </si>
  <si>
    <t>James, Ern;Funeral rites and ceremonies -- South Australia -- Mount Gambier</t>
  </si>
  <si>
    <t>b2110315x</t>
  </si>
  <si>
    <t>Photograph of the graveside ceremony during a funeral conducted by Ern James on 20th November 1958.</t>
  </si>
  <si>
    <t>b21103161</t>
  </si>
  <si>
    <t>b21103707</t>
  </si>
  <si>
    <t>School Athletic Day</t>
  </si>
  <si>
    <t>Photograph of School Athletics Day parade through Mount Gambier on 21st March 1958.</t>
  </si>
  <si>
    <t>Sports for children -- South Australia -- Mount Gambier;Track athletics -- South Australia -- Mount Gambier;Schools -- South Australia -- Mount Gambier</t>
  </si>
  <si>
    <t>b21103719</t>
  </si>
  <si>
    <t>Combined school sports</t>
  </si>
  <si>
    <t>Photograph of the winners of the Combined School Sports Day on 11th May 1958.</t>
  </si>
  <si>
    <t>Sports for children -- South Australia -- Mount Gambier;Track-athletics -- South Australia -- Mount Gambier;School children -- South Australia -- Mount Gambier</t>
  </si>
  <si>
    <t>b21103720</t>
  </si>
  <si>
    <t>Photograph of a winner at the Combined School Sports on 14th May 1958.</t>
  </si>
  <si>
    <t>b21103732</t>
  </si>
  <si>
    <t>b21103744</t>
  </si>
  <si>
    <t>Photograph of cheering school children at the Combined School Sports on 14th May 1958.</t>
  </si>
  <si>
    <t>b21103756</t>
  </si>
  <si>
    <t>Senator Nancy Buttfield</t>
  </si>
  <si>
    <t>Photograph of Senator Nancy Buttfield, possibly at a school canteen on 8th April 1958.</t>
  </si>
  <si>
    <t>Buttfield, Nancy, Dame, 1912-2005;Schools -- South Australia -- Mount Gambier;Women politicians -- South Australia;School children -- South Australia -- Mount Gambier</t>
  </si>
  <si>
    <t>b21103768</t>
  </si>
  <si>
    <t>Woodwork class</t>
  </si>
  <si>
    <t>Photograph of a woodwork teacher, Mr Ralph Bignell, demonstrating wood planing to three boys in September 1958.</t>
  </si>
  <si>
    <t>Bignall, Ralph;School children -- South Australia -- Mount Gambier;Woodwork -- Study and teaching -- South Australia -- Mount Gambier</t>
  </si>
  <si>
    <t>b2110377x</t>
  </si>
  <si>
    <t>C. Thompson playing the bagpipes</t>
  </si>
  <si>
    <t>Photograph of C. Thompson playing the bagpipes to a group of children on 27th December 1958  the girls to the left of him are dressed in traditional Scottish costume.</t>
  </si>
  <si>
    <t>Children -- South Australia -- Mount Gambier;Costume -- Scotland;Bagpipers -- South Australia -- Mount Gambier</t>
  </si>
  <si>
    <t>b21103781</t>
  </si>
  <si>
    <t>Nurses Social</t>
  </si>
  <si>
    <t>Photograph of a group of Hawaiian dancers at the Nurses Social in December 1958.</t>
  </si>
  <si>
    <t>Nurses -- South Australia -- Mount Gambier;Dancers -- South Australia -- Mount Gambier;Dance -- Hawaii;Costume -- Hawaii</t>
  </si>
  <si>
    <t>b21103793</t>
  </si>
  <si>
    <t>St. John's Presentation</t>
  </si>
  <si>
    <t>Photograph of a group of men and boys in uniform during a St. John's presentation in November 1958.</t>
  </si>
  <si>
    <t>St. John Ambulance Brigade (Australia). South Australia District;Ambulance service -- South Australia -- Mount Gambier</t>
  </si>
  <si>
    <t>b2110380x</t>
  </si>
  <si>
    <t>St. John's Ambulance Presentation</t>
  </si>
  <si>
    <t>Photograph of a group of men receiving medals during a St. John's Ambulance presentation in November 1958.</t>
  </si>
  <si>
    <t>b21103811</t>
  </si>
  <si>
    <t>Photograph of a boy and a man holding the St. John's Ambulance flag during a ceremony in November 1958.</t>
  </si>
  <si>
    <t>b21103823</t>
  </si>
  <si>
    <t>Arbor Day 1958</t>
  </si>
  <si>
    <t>Photograph of a boy watched by children planting a tree during Arbor Day on 26th September 1958.</t>
  </si>
  <si>
    <t>Arbor Day -- South Australia -- Mount Gambier;Tree planting -- South Australia -- Mount Gambier;School children -- South Australia -- Mount Gambier</t>
  </si>
  <si>
    <t>b21103835</t>
  </si>
  <si>
    <t>Photograph of six officers from St. John's Ambulance looking ar certificates in November 1958.</t>
  </si>
  <si>
    <t>b21103847</t>
  </si>
  <si>
    <t>Mount Gambier Boys Institute</t>
  </si>
  <si>
    <t>Photograph of an athlete training at the Boys Institute on 21st October 1958.</t>
  </si>
  <si>
    <t>Boys Institute (Mount Gambier, S.A.);Boys -- South Australia -- Mount Gambier;Athletes -- South Australia -- Mount Gambier</t>
  </si>
  <si>
    <t>b21103859</t>
  </si>
  <si>
    <t>Photograph of two schoolgirls planting a tree on Arbor Day on 26th April 1958.</t>
  </si>
  <si>
    <t>Arbor Day -- South Australia -- Mount Gambier;School children -- South Australia -- Mount Gambier;Tree planting -- South Australia -- Mount Gambier</t>
  </si>
  <si>
    <t>b21175378</t>
  </si>
  <si>
    <t>Highland dancer</t>
  </si>
  <si>
    <t>Photograph of a girl in the Scottish national costume doing a Highland fling on 27th December 1958.</t>
  </si>
  <si>
    <t>Highland fling (Dance);Costume -- Scotland;Dancers -- South Australia -- Mount Gambier</t>
  </si>
  <si>
    <t>b21103860</t>
  </si>
  <si>
    <t>Photograph of three children with Father Christmas at Woolworths  in 1958.</t>
  </si>
  <si>
    <t>Woolworths Ltd.;Children -- South Australia -- Mount Gambier;Christmas -- South Australia -- Mount Gambier;Supermarkets -- South Australia -- Mount Gambier</t>
  </si>
  <si>
    <t>b21104918</t>
  </si>
  <si>
    <t>Police-Legacy cheque</t>
  </si>
  <si>
    <t>Photograph of police representatives handing a cheque to Legacy representatives on 28th August 1958.</t>
  </si>
  <si>
    <t>Police -- South Australia -- Mount Gambier</t>
  </si>
  <si>
    <t>b21104943</t>
  </si>
  <si>
    <t>Borthwick's fatal crash</t>
  </si>
  <si>
    <t>Photograph of two vehicles involved in a fatal crash. One is a Borthwick smallgoods lorry and the other vehicle has Pongo written on the back of it. Photograph taken on 21st April 1958.</t>
  </si>
  <si>
    <t>b21105030</t>
  </si>
  <si>
    <t>Equipment of the Adult Education Centre</t>
  </si>
  <si>
    <t>Photograph of two students using a saw at the Adult Education Centre in June 1958.</t>
  </si>
  <si>
    <t>Adult education -- South Australia -- Mount Gambier</t>
  </si>
  <si>
    <t>b21105054</t>
  </si>
  <si>
    <t>Tourism School Visit</t>
  </si>
  <si>
    <t>Photograph of a group of school children and adults being shown the sites during a tourism visit on 16th August 1958.</t>
  </si>
  <si>
    <t>School children -- South Australia -- Mount Gambier;Tourism -- South Australia -- Mount Gambier</t>
  </si>
  <si>
    <t>b21105145</t>
  </si>
  <si>
    <t>Floral Art</t>
  </si>
  <si>
    <t>Photograph of two women creating a work of art during the floral art class at the Adult Education Centre on 21st November 1958.</t>
  </si>
  <si>
    <t>Floral decorations -- South Australia -- Mount Gambier;Adult education -- South Australia -- Mount Gambier</t>
  </si>
  <si>
    <t>b21105157</t>
  </si>
  <si>
    <t>First day at school</t>
  </si>
  <si>
    <t>Photograph of a teacher reading to new children on their first day at school on July 1958.</t>
  </si>
  <si>
    <t>Reading -- South Australia -- Mount Gambier;Teachers -- South Australia -- South Australia -- Mount Gambier;School children -- South Australia -- Mount Gambier</t>
  </si>
  <si>
    <t>b21105169</t>
  </si>
  <si>
    <t>Flower Show</t>
  </si>
  <si>
    <t>Photograph of two men judging daffodils at the Flower Show on 19th September 1958.</t>
  </si>
  <si>
    <t>Flower shows -- South Australia -- Mount Gambier;Daffodils</t>
  </si>
  <si>
    <t>b21106575</t>
  </si>
  <si>
    <t>Photograph of four men after a game of golf on 13th October 1958. The man at right is Mr D.W. Carey DFC.</t>
  </si>
  <si>
    <t>b21106587</t>
  </si>
  <si>
    <t>Sun Tour</t>
  </si>
  <si>
    <t>Photograph of cyclists competing in the Sun Tour in October 1958, Mount Gambier.</t>
  </si>
  <si>
    <t>b21106599</t>
  </si>
  <si>
    <t>Bowls</t>
  </si>
  <si>
    <t>Photograph of a lawn bowls competition on 27th January 1958, Mount Gambier. The Park Hotel is in the background.</t>
  </si>
  <si>
    <t>Bowls (Game) -- South Australia -- Mount Gambier;Lawn bowls -- South Australia -- Mount Gambier</t>
  </si>
  <si>
    <t>b21106605</t>
  </si>
  <si>
    <t>Bowling Club</t>
  </si>
  <si>
    <t>Photograph of a lawn bowls competition on 27th December 1958, Mount Gambier.</t>
  </si>
  <si>
    <t>b21106617</t>
  </si>
  <si>
    <t>Hockey Presentation</t>
  </si>
  <si>
    <t>Photograph of a hockey trophy being presented in 1958.</t>
  </si>
  <si>
    <t>Awards -- Sport -- South Australia -- Mount Gambier;Hockey players -- South Australia -- Mount Gambier</t>
  </si>
  <si>
    <t>b21106629</t>
  </si>
  <si>
    <t>Photograph of a hockey trophy being presented to a young lady in 1958.</t>
  </si>
  <si>
    <t>b21106630</t>
  </si>
  <si>
    <t>Cyclist P. Lynch</t>
  </si>
  <si>
    <t>Photograph of cyclist P. Lynch  standing next to his bike in 1958, Mount Gambier.</t>
  </si>
  <si>
    <t>Lynch, P.;Cyclists -- South Australia -- Mount Gambier</t>
  </si>
  <si>
    <t>b21106642</t>
  </si>
  <si>
    <t>Cyclist P. Lynch winner of the South East 100 Mile Race</t>
  </si>
  <si>
    <t>Photograph of cyclist P. Lynch  being presented with trophies after winning the South East 100 Mile race on 26th August 1958, Mount Gambier.</t>
  </si>
  <si>
    <t>Lynch, P.;Cyclists -- South Australia -- Mount Gambier;Awards -- Sport -- South Australia -- Mount Gambier</t>
  </si>
  <si>
    <t>b21106654</t>
  </si>
  <si>
    <t>Photograph of the mens hockey trophy being awarded in 1958, Mount Gambier.</t>
  </si>
  <si>
    <t>Hockey players -- South Australia -- Mount Gambier;Awards -- Sport -- South Australia -- Mount Gambier</t>
  </si>
  <si>
    <t>b21106666</t>
  </si>
  <si>
    <t>Photograph of a mens hockey trophy being awarded in 1958, Mount Gambier.</t>
  </si>
  <si>
    <t>b21106678</t>
  </si>
  <si>
    <t>Photograph of a hockey trophy being awarded in to Peggy Stevens in 1958, Mount Gambier.</t>
  </si>
  <si>
    <t>Stevens, Peggy;Hockey players -- South Australia -- Mount Gambier;Awards -- Sport -- South Australia -- Mount Gambier</t>
  </si>
  <si>
    <t>b2110668x</t>
  </si>
  <si>
    <t>Table Tennis</t>
  </si>
  <si>
    <t>Photograph of a female table tennis player in October 1958, Mount Gambier.</t>
  </si>
  <si>
    <t>Table tennis -- South Australia -- Mount Gambier</t>
  </si>
  <si>
    <t>b21106691</t>
  </si>
  <si>
    <t>Pool Opening</t>
  </si>
  <si>
    <t>Photograph of two swimmers sitting on the edge of the swimming pool during the Pool Opening on 1st November 1958.</t>
  </si>
  <si>
    <t>Swimmers -- South Australia -- Mount Gambier;Swimming pools -- South Australia -- Mount Gambier</t>
  </si>
  <si>
    <t>b21106708</t>
  </si>
  <si>
    <t>Photograph of three table tennis players in October 1958.</t>
  </si>
  <si>
    <t>b2110671x</t>
  </si>
  <si>
    <t>Photograph of cyclists finishing the Sun Tour race in Mount Gambier on 6th October 1958.</t>
  </si>
  <si>
    <t>b21106721</t>
  </si>
  <si>
    <t>Softball</t>
  </si>
  <si>
    <t>Photograph of softball players talking to officials in 1958.</t>
  </si>
  <si>
    <t>Softball -- South Australia -- Mount Gambier</t>
  </si>
  <si>
    <t>b21106733</t>
  </si>
  <si>
    <t>Learn to Swim Campaign</t>
  </si>
  <si>
    <t>Photograph of children participating in the Learn to Swim Campaign on 6th January 1958, Mount Gambier.</t>
  </si>
  <si>
    <t>Swimming -- South Australia -- Mount Gambier;Swimmers -- South Australia -- Mount Gambier</t>
  </si>
  <si>
    <t>b21106745</t>
  </si>
  <si>
    <t>Photograph of children and an instructor in the pool during the Learn to Swim Campaign on 6th January 1958, Mount Gambier.</t>
  </si>
  <si>
    <t>Swimmers -- South Australia -- Mount Gambier;Swimming -- South Australia -- Mount Gambier</t>
  </si>
  <si>
    <t>b21106757</t>
  </si>
  <si>
    <t>Photograph of four officials during the opening of the Mount Gambier Swimming Pool on 29th January 1958.</t>
  </si>
  <si>
    <t>Swimming pools -- South Australia -- Mount Gambier</t>
  </si>
  <si>
    <t>b21106769</t>
  </si>
  <si>
    <t>Photograph of swimmers during the Learn to Swim Campaign in Mount Gambier in January 1958.</t>
  </si>
  <si>
    <t>b21106782</t>
  </si>
  <si>
    <t>O.G. Roberts - Car Trial</t>
  </si>
  <si>
    <t>Photograph of three men inspecting the engine of a car participating in the O.G. Roberts Car Trials in 1958.</t>
  </si>
  <si>
    <t>South East Car Club;Automobile rallies -- South Australia -- Mount Gambier</t>
  </si>
  <si>
    <t>b21106794</t>
  </si>
  <si>
    <t>J. Davis at the Learn to Swim Campaign in Mount Gambier</t>
  </si>
  <si>
    <t>Photograph of three swimmers talking to J. Davis during the Learn to Swim Campaign on 10th January 1958, Mount Gambier.</t>
  </si>
  <si>
    <t>b21106800</t>
  </si>
  <si>
    <t>E. Koren</t>
  </si>
  <si>
    <t>Photograph of E. Koren standing beside the cockpit of an aeroplane.</t>
  </si>
  <si>
    <t>Koren, Evelyn;Women air pilots -- South Australia -- Mount Gambier;Airplanes -- South Australia -- Mount Gambier</t>
  </si>
  <si>
    <t>b21106812</t>
  </si>
  <si>
    <t>Photograph of E. Koren beside the propeller of an aeroplane.</t>
  </si>
  <si>
    <t>Koren, Evelyn;Airplanes -- South Australia -- Mount Gambier</t>
  </si>
  <si>
    <t>b21106824</t>
  </si>
  <si>
    <t>Croquet Championship</t>
  </si>
  <si>
    <t>Photograph of five lady croquet players sitting during the Croquet Championships in January 1958, Mount Gambier.</t>
  </si>
  <si>
    <t>Croquet -- South Australia -- Mount Gambier</t>
  </si>
  <si>
    <t>b21106836</t>
  </si>
  <si>
    <t>The Dutton Vauxhall car parked overlooking the Blue Lake in January 1958, Mount Gambier. This was the place from which it was accidentally driven into the lake in 1936. The driver John Dutton was thrown from the vehicle and the car was submerged until removed in 1937 and restored.</t>
  </si>
  <si>
    <t>Automobiles -- South Australia -- Mount Gambier;Lakes -- South Australia -- Mount Gambier;Vauxhall automobile</t>
  </si>
  <si>
    <t>b21106848</t>
  </si>
  <si>
    <t>Photograph of two table tennis players in action in October 1958.</t>
  </si>
  <si>
    <t>b2110685x</t>
  </si>
  <si>
    <t>Table tennis players</t>
  </si>
  <si>
    <t>Photograph of three male table tennis players in October 1958  the player in the centre is Ron Green, with Bob Hein on the right.</t>
  </si>
  <si>
    <t>Green, Ron;Hein, Bob</t>
  </si>
  <si>
    <t>b21106861</t>
  </si>
  <si>
    <t>Denny Boy</t>
  </si>
  <si>
    <t>Photograph of three men with race horse Denny Boy in September 1958.</t>
  </si>
  <si>
    <t>Horsemen and horsewomen -- South Australia -- Mount Gambier;Race horses -- South Australia -- Mount Gambier</t>
  </si>
  <si>
    <t>b21106873</t>
  </si>
  <si>
    <t>Indoor bowls</t>
  </si>
  <si>
    <t>Photograph of two indoor bowls players on 13th August 1958.</t>
  </si>
  <si>
    <t>Bowls (Game) -- South Australia -- Mount Gambier</t>
  </si>
  <si>
    <t>b21106885</t>
  </si>
  <si>
    <t>Isobel Kentish riding Greenbanks</t>
  </si>
  <si>
    <t>Photograph of Isobel Kentish riding Greenbanks during a horse event in Mount Gambier.</t>
  </si>
  <si>
    <t>Kentish, Mary Isobel Jean, 1911-2002;Horsemen and horsewomen -- South Australia -- Mount Gambier;Horses -- South Australia -- Mount Gambier;Horse shows -- South Australia -- Mount Gambier</t>
  </si>
  <si>
    <t>b21106897</t>
  </si>
  <si>
    <t>Cycling Club</t>
  </si>
  <si>
    <t>Photograph of L. S. Sparrow, President of the Mount Gambier Cycling Club laying the Foundation Stone on 14th June 1958.</t>
  </si>
  <si>
    <t>Cycling -- South Australia -- Mount Gambier;Mount Gambier Cycling Club</t>
  </si>
  <si>
    <t>b21106903</t>
  </si>
  <si>
    <t>b21106915</t>
  </si>
  <si>
    <t>J. Cole</t>
  </si>
  <si>
    <t>Photograph of J. Cole during the car trials in 1958, Mount Gambier.</t>
  </si>
  <si>
    <t>Cole, J.;Automobile rallies -- South Australia -- Mount Gambier</t>
  </si>
  <si>
    <t>b21106927</t>
  </si>
  <si>
    <t>P. Lynch</t>
  </si>
  <si>
    <t>Photograph of P. Lynch, cyclist with his trophies after winning the South East 100 Mile Race on 26th August 1958, Mount Gambier.</t>
  </si>
  <si>
    <t>Lynch, P.;Awards -- Sport -- South Australia -- Mount Gambier;Cyclists -- South Australia -- Mount Gambier</t>
  </si>
  <si>
    <t>b21106939</t>
  </si>
  <si>
    <t>Photograph of G. Raymond and another fisherman holding a trout in 1958, Mount Gambier.</t>
  </si>
  <si>
    <t>Raymond, G.;Fishers -- South Australia -- Mount Gambier</t>
  </si>
  <si>
    <t>b21107014</t>
  </si>
  <si>
    <t>Model Aeroplane Club</t>
  </si>
  <si>
    <t>Photograph of four men holding a model areoplane on 5th april 1958.</t>
  </si>
  <si>
    <t>Airplanes -- Models</t>
  </si>
  <si>
    <t>b21107026</t>
  </si>
  <si>
    <t>Port MacDonnell</t>
  </si>
  <si>
    <t>Photograph of a group of boys fishing from the Port MacDonnell jetty in 1958.</t>
  </si>
  <si>
    <t>Fishers -- South Australia -- Port MacDonnell;Jetties -- South Australia -- Mount Gambier</t>
  </si>
  <si>
    <t>b21107051</t>
  </si>
  <si>
    <t>Photograph of an official during the opening ceremony of the Mount Gambier Swimming Pool on 29th January 1958.</t>
  </si>
  <si>
    <t>b21107063</t>
  </si>
  <si>
    <t>J. Tremelling</t>
  </si>
  <si>
    <t>Photograph of J. Tremelling packing his pistols into a case in 1958.</t>
  </si>
  <si>
    <t>Tremelling, John;Pistol shooting -- South Australia -- Mount Gambier</t>
  </si>
  <si>
    <t>b21107099</t>
  </si>
  <si>
    <t>Photograph of four officials during the Pool Opening ceremony of the Mount Gambier pool, possibly testing the pool water, on 29th January 1958.</t>
  </si>
  <si>
    <t>b21107117</t>
  </si>
  <si>
    <t>Photograph of a group of swimmers during the Pool Opening ceremony on 29th January 1958, Mount Gambier.</t>
  </si>
  <si>
    <t>b21107129</t>
  </si>
  <si>
    <t>Photograph of officials at the opening ceremony of the Mount Gambier Swimming Pool on 29th January 1958.</t>
  </si>
  <si>
    <t>b21107130</t>
  </si>
  <si>
    <t>English Cricketers</t>
  </si>
  <si>
    <t>Photograph of members of the visiting English Cricket Team autographing a cricket bat in February 1958.</t>
  </si>
  <si>
    <t>Cricket players -- England;Cricket -- South Australia -- Mount Gambier</t>
  </si>
  <si>
    <t>b21107142</t>
  </si>
  <si>
    <t>Photograph of members of the visiting English Cricket Team at the railway station in February 1958.</t>
  </si>
  <si>
    <t>Cricket -- South Australia -- Mount Gambier;Cricket players -- England</t>
  </si>
  <si>
    <t>b21107154</t>
  </si>
  <si>
    <t>Photograph of members of the visiting English Cricket Team at a function in February 1958.</t>
  </si>
  <si>
    <t>b21107166</t>
  </si>
  <si>
    <t>Photograph of an athlete being awarded a sash during the New Years Day Sports in 1958.</t>
  </si>
  <si>
    <t>New Year -- South Australia -- Mount Gambier;Awards -- Sport -- South Australia -- Mount Gambier</t>
  </si>
  <si>
    <t>b21107178</t>
  </si>
  <si>
    <t>Model aeroplanes</t>
  </si>
  <si>
    <t>Photograph of three men with two model aeroplanes on 5th April 1958.</t>
  </si>
  <si>
    <t>b21108006</t>
  </si>
  <si>
    <t>Edible Oils Ltd</t>
  </si>
  <si>
    <t>Photograph of a tasting of goods made with products from the Edible Oils Ltd. in 1958.</t>
  </si>
  <si>
    <t>Edible Oils Ltd;Oils and fats, Edible</t>
  </si>
  <si>
    <t>b21108018</t>
  </si>
  <si>
    <t>Easter Fire</t>
  </si>
  <si>
    <t>Photograph of a burnt out fire truck after the Easter fires in 1958. Four fire fighters lost their lives when they were trapped in the vehicle during a fire in a pine plantation near Glencoe.</t>
  </si>
  <si>
    <t>Fires -- South Australia -- Mount Gambier;Trucks -- South Australia -- Mount Gambier</t>
  </si>
  <si>
    <t>b2110802x</t>
  </si>
  <si>
    <t>Photograph of a burnt out fire truck after the Easter fires in 1958.</t>
  </si>
  <si>
    <t>b21108031</t>
  </si>
  <si>
    <t>Cooking</t>
  </si>
  <si>
    <t>Photograph of students during a cooking class on 3rd July 1959.</t>
  </si>
  <si>
    <t>Students -- South Australia -- Mount Gambier;Cooking -- Study and teaching</t>
  </si>
  <si>
    <t>b21108092</t>
  </si>
  <si>
    <t>Carlin and Gazzard car yard</t>
  </si>
  <si>
    <t>Photograph of the Carlin and Gazzard Car Yard in September 1958, Mount Gambier.</t>
  </si>
  <si>
    <t>Automobile industry and trade -- South Australia -- Mount Gambier</t>
  </si>
  <si>
    <t>b21108109</t>
  </si>
  <si>
    <t>b21108110</t>
  </si>
  <si>
    <t>Caltex Oil Company</t>
  </si>
  <si>
    <t>Photograph of three men at the bowsers of Caltex petrol station on 15th January 1958.</t>
  </si>
  <si>
    <t>Caltex Oil (Aust) Pty. Ltd;Service stations -- South Australia -- Mount Gambier</t>
  </si>
  <si>
    <t>b21108122</t>
  </si>
  <si>
    <t>Photograph of the aftermath of the Easter Fire in the pine plantations in 1958.</t>
  </si>
  <si>
    <t>Fires -- South Australia -- Mount Gambier</t>
  </si>
  <si>
    <t>b21108134</t>
  </si>
  <si>
    <t>Service station mechanic</t>
  </si>
  <si>
    <t>Photograph of a mechanic checking a car's tyres on 21st February 1958, Mount Gambier. This garage is located on the southwest corner of Commercial St East and Crouch St South Mount Gambier.</t>
  </si>
  <si>
    <t>Caltex Oil (Aust.) Pty. Ltd;Service stations -- South Australia -- Mount Gambier</t>
  </si>
  <si>
    <t>b21108146</t>
  </si>
  <si>
    <t>Photograph of a burnt out fire truck after the Easter Fire in 1958.</t>
  </si>
  <si>
    <t>b21108158</t>
  </si>
  <si>
    <t>Fidler &amp; Webb</t>
  </si>
  <si>
    <t>Photograph of shoppers at Fidler and Webb on 16th August 1958, Mount Gambier.</t>
  </si>
  <si>
    <t>Fidler &amp; Webb (Firm);Stores, Retail -- South Australia -- Mount Gambier;Shopping -- South Australia -- Mount Gambier</t>
  </si>
  <si>
    <t>b2110816x</t>
  </si>
  <si>
    <t>Photograph of a display of goods at Fidler and Webb on 16th August 1958, Mount Gambier.</t>
  </si>
  <si>
    <t>Fidler &amp; Webb (Firm);Stores, Retail -- South Australia -- Mount Gambier;Display of merchandise -- South Australia -- Mount Gambier</t>
  </si>
  <si>
    <t>b21108171</t>
  </si>
  <si>
    <t>ETSA</t>
  </si>
  <si>
    <t>Photograph of the ETSA power station in 1958, Mount Gambier.</t>
  </si>
  <si>
    <t>ETSA Corporation;Electric power-plants -- South Australia -- Mount Gambier</t>
  </si>
  <si>
    <t>b21108183</t>
  </si>
  <si>
    <t>Photograph states this is ETSA station but looks like the Sawmill on 14th July 1958. Information from a researcher: 'The sawmill was co-located with the ETSA Power station. The tall building on the left of the photo is the fuel storage bin for the power station (it ran on the wood waste from the sawmill). The smaller building in front is the workshop/spare parts store for the power station. The angled structure is the elevating conveyor that brings the fuel up from the hogger which receives its feed from the sawmill via conveyor belts. I worked in the sawmill for many years and the power station for 12 months in 1994'.</t>
  </si>
  <si>
    <t>ETSA Corporation;Sawmills -- South Australia -- Mount Gambier;Electric power-plants -- South Australia -- Mount Gambier</t>
  </si>
  <si>
    <t>b21108195</t>
  </si>
  <si>
    <t>Photograph of the staff of the Fidler and Webb store in July 1958, Mount Gambier.</t>
  </si>
  <si>
    <t>Fidler &amp; Webb (Firm) -- Employees;Stores, Retail -- South Australia -- Mount Gambier</t>
  </si>
  <si>
    <t>b21108213</t>
  </si>
  <si>
    <t>Photograph of shoppers at the Fidler and Webb store on 16th August 1958, Mount Gambier.</t>
  </si>
  <si>
    <t>Fidler &amp; Webb (Firm);Shopping -- South Australia -- Mount Gambier;Stores, Retail -- South Australia -- Mount Gambier</t>
  </si>
  <si>
    <t>b21108225</t>
  </si>
  <si>
    <t>Photograph of timber at the ETSA power station on 16th July 1958.</t>
  </si>
  <si>
    <t>b21108201</t>
  </si>
  <si>
    <t>Photograph of the ETSA power plant in Mount Gambier.</t>
  </si>
  <si>
    <t>b21108237</t>
  </si>
  <si>
    <t>Photograph of the ETSA power station in 1958.</t>
  </si>
  <si>
    <t>b21107002</t>
  </si>
  <si>
    <t>b21108316</t>
  </si>
  <si>
    <t>Capri Restaurant</t>
  </si>
  <si>
    <t>Photograph of the diners at the Capri Restaurant on 19th april 1958, Mount Gambier.</t>
  </si>
  <si>
    <t>Capri Restaurant (Mount Gambier, S.A.);Restaurants -- South Australia -- Mount Gambier</t>
  </si>
  <si>
    <t>b21108328</t>
  </si>
  <si>
    <t>Park Meat Supply</t>
  </si>
  <si>
    <t>Photograph of the front window of the Park Meat Supply butchers shop on 10th November 1958, Mount Gambier.</t>
  </si>
  <si>
    <t>Park Meat Supply (Mount Gambier, S.A.);Meat industry and trade -- South Australia -- Mount Gambier</t>
  </si>
  <si>
    <t>b2110833x</t>
  </si>
  <si>
    <t>South East Land Mercantile</t>
  </si>
  <si>
    <t>Photograph of the South East Land Mercantile department store in 1958, Mount Gambier.</t>
  </si>
  <si>
    <t>South East Land Mercantile (Mount Gambier, S.A.);Stores, Retail -- South Australia -- Mount Gambier;Hardware stores -- South Australia -- Mount Gambier</t>
  </si>
  <si>
    <t>b21108341</t>
  </si>
  <si>
    <t>Photograph of the South East Land Mercantile hardware store display showing outdoor furniture, paint and tiles in 1958, Mount Gambier.</t>
  </si>
  <si>
    <t>South East Land Mercantile (Mount Gambier, S.A.);Hardware stores -- South Australia -- Mount Gambier;Stores, Retail -- South Australia -- Mount Gambier</t>
  </si>
  <si>
    <t>b21108353</t>
  </si>
  <si>
    <t>O.G. Roberts &amp; Company</t>
  </si>
  <si>
    <t>Photograph of the trial car sponsored by O.G. Roberts and company in 1958, Mount Gambier.</t>
  </si>
  <si>
    <t>O.G. Roberts &amp; Company (Mount Gambier, S.A.);Automobile industry and trade -- South Australia -- Mount Gambier</t>
  </si>
  <si>
    <t>b21108365</t>
  </si>
  <si>
    <t>b21108377</t>
  </si>
  <si>
    <t>Patersons</t>
  </si>
  <si>
    <t>Photograph of a display at Patersons furniture store in 1958.</t>
  </si>
  <si>
    <t>b21108389</t>
  </si>
  <si>
    <t>Levers Bros</t>
  </si>
  <si>
    <t>Photograph of goods on sale at Lever Bros in June 1958, Mount Gambier.</t>
  </si>
  <si>
    <t>Grocers -- South Australia -- Mount Gambier;Levers Bros (Mount Gambier, S.A.);Stores, Retail -- South Australia -- Mount Gambier</t>
  </si>
  <si>
    <t>b21108390</t>
  </si>
  <si>
    <t>H. Post</t>
  </si>
  <si>
    <t>Photograph of the front window of Henri Post's jewellery, watches and silverware shop in 1958, Mount Gambier.</t>
  </si>
  <si>
    <t>H. Post (Mount Gambier, S.A.);Stores, Retail -- South Australia -- Mount Gambier;Jewelers -- South Australia -- Mount Gambier</t>
  </si>
  <si>
    <t>b21108407</t>
  </si>
  <si>
    <t>Photograph of the inside of Henri Post's jewellery, watches and silverware shop in 1958, Mount Gambier.</t>
  </si>
  <si>
    <t>b21108419</t>
  </si>
  <si>
    <t>Photograph of diners at the Capri Restaurant on 19th April 1958, Mount Gambier.</t>
  </si>
  <si>
    <t>b21108420</t>
  </si>
  <si>
    <t>P. Kay</t>
  </si>
  <si>
    <t>Photograph of Perce Kays Tyre and Battery Specialist business in 1958, Mount Gambier.</t>
  </si>
  <si>
    <t>Perce Kays Tyre and Battery Specialist (Mount Gambier, S.A.);Stores, Retail -- South Australia -- Mount Gambier</t>
  </si>
  <si>
    <t>b21108432</t>
  </si>
  <si>
    <t>Ansett</t>
  </si>
  <si>
    <t>Photograph of an Ansett ANA aeroplane at the Mount Gambier Airport on 22nd May 1958.</t>
  </si>
  <si>
    <t>b21108444</t>
  </si>
  <si>
    <t>Princess Margaret Rose Caves</t>
  </si>
  <si>
    <t>Photograph of water diviner 'Bunny' Hutchesson at the Princess Margaret Rose Caves in 1958. With Keith McEachern he located and developed the cave.</t>
  </si>
  <si>
    <t>Caves -- Victoria;Princess Margaret Rose Caves</t>
  </si>
  <si>
    <t>b21108456</t>
  </si>
  <si>
    <t>Savings Bank</t>
  </si>
  <si>
    <t>Photograph of a committee of men looking at plans for the Savings Bank on 16th April 1958.</t>
  </si>
  <si>
    <t>Savings Bank of South Australia -- Employees</t>
  </si>
  <si>
    <t>b21108468</t>
  </si>
  <si>
    <t>A. H. McPherson</t>
  </si>
  <si>
    <t>Photograph of sides of beef being delivered at A.H. McPherson on 19th March 1958, Mount Gambier.</t>
  </si>
  <si>
    <t>A.H. McPherson (Mount Gambier, S.A.);Meat industry and trade -- South Australia -- Mount Gambier</t>
  </si>
  <si>
    <t>b2110847x</t>
  </si>
  <si>
    <t>B. Hutchesson</t>
  </si>
  <si>
    <t>Photograph of John Emanuel Hutchesson, known as Bunny. He was one of two men who discovered the Princess Margaret Rose Caves. Before the government department took over the care of the caves, 'Bunny' was the caretaker and had wonderful stories to tell about the formations of the caves. [Information provided by Beth Holman].</t>
  </si>
  <si>
    <t>Hutchesson, John Emanuel;Caves -- Victoria;Princess Margaret Rose Caves</t>
  </si>
  <si>
    <t>b21108481</t>
  </si>
  <si>
    <t>Aerodrome Runway</t>
  </si>
  <si>
    <t>Photograph of the aerodrome runway being built on 4th January 1958, Mount Gambier.</t>
  </si>
  <si>
    <t>Airports -- South Australia -- Mount Gambier;Runways (Aeronautics) -- South Australia -- Mount Gambier</t>
  </si>
  <si>
    <t>b21108493</t>
  </si>
  <si>
    <t>Timber Conference</t>
  </si>
  <si>
    <t>Photograph of four delegates at the Timber Conference on 23rd March 1958, Mount Gambier.</t>
  </si>
  <si>
    <t>Timber -- South Australia -- Congresses</t>
  </si>
  <si>
    <t>b2110850x</t>
  </si>
  <si>
    <t>O.G. Roberts</t>
  </si>
  <si>
    <t>Photograph of the No. 62 trial car sponsored by O.G. Roberts in August 1958, Mount Gambier.</t>
  </si>
  <si>
    <t>O.G. Roberts &amp; Company (Mount Gambier, S.A.);Automobile rallies -- South Australia -- Mount Gambier</t>
  </si>
  <si>
    <t>b21108523</t>
  </si>
  <si>
    <t>Photograph of shoppers at Woolworths on 27th June 1958, Mount Gambier.</t>
  </si>
  <si>
    <t>Woolworths Ltd.;Stores, Retail -- South Australia -- Mount Gambier</t>
  </si>
  <si>
    <t>b21108535</t>
  </si>
  <si>
    <t>Farthing Sale</t>
  </si>
  <si>
    <t>Photograph of tellers counting farthings at the farthing sale on 14th November 1958, Mount Gambier.</t>
  </si>
  <si>
    <t>Bazaars (Charities) -- South Australia -- Mount Gambier</t>
  </si>
  <si>
    <t>b21108547</t>
  </si>
  <si>
    <t>Equipment - Adult Education Centre</t>
  </si>
  <si>
    <t>Photograph of equipment at the Adult Education Centre in June 1958, Mount Gambier.</t>
  </si>
  <si>
    <t>b21108559</t>
  </si>
  <si>
    <t>Ansett Convair</t>
  </si>
  <si>
    <t>Photograph of four men near the gangplank of an Ansett aeroplane on 22nd May 1958, Mount Gambier.</t>
  </si>
  <si>
    <t>b2111061x</t>
  </si>
  <si>
    <t>Aerial view of the Mount Gambier Aerodrome</t>
  </si>
  <si>
    <t>Aerial photograph of the Aerodrome at Mount Gambier.</t>
  </si>
  <si>
    <t>Airports -- South Australia -- Mount Gambier</t>
  </si>
  <si>
    <t>b21113051</t>
  </si>
  <si>
    <t>Premiers Visit</t>
  </si>
  <si>
    <t>Photograph of Premier T. Playford with Mr A. Cocks during the Premier's visit in July 1958, Mount Gambier.</t>
  </si>
  <si>
    <t>Cocks, Angus T.;Playford, Thomas, Sir, 1896-1981;Premiers -- South Australia;Visits of state -- South Australia -- Mount Gambier</t>
  </si>
  <si>
    <t>b21113063</t>
  </si>
  <si>
    <t>English Women's Cricket Team visit</t>
  </si>
  <si>
    <t>Photograph of a member of the English Women's Cricket Team with Mr. T. Hall and Mr. B. Pick and a lady in March 1958, Mount Gambier.</t>
  </si>
  <si>
    <t>Pick, B.;Hall, T.;Cricket players -- South Australia -- Mount Gambier;Cricket for women</t>
  </si>
  <si>
    <t>b21113075</t>
  </si>
  <si>
    <t>Senator K. Laught</t>
  </si>
  <si>
    <t>Photograph of Senator K. Laught with Mr. Cocks on 10th June 1958, Mount Gambier.</t>
  </si>
  <si>
    <t>b21113087</t>
  </si>
  <si>
    <t>D. Walker</t>
  </si>
  <si>
    <t>Photograph of Mr. D. Walker at his desk on 9th June 1958, Mount Gambier.</t>
  </si>
  <si>
    <t>Walker, D.</t>
  </si>
  <si>
    <t>b21113117</t>
  </si>
  <si>
    <t>F.W. Mewett</t>
  </si>
  <si>
    <t>Photograph of Mr. F.W. Mewett and his family in 1958, Mount Gambier.</t>
  </si>
  <si>
    <t>Mewett, F. W.;Mewett (Family)</t>
  </si>
  <si>
    <t>b21113142</t>
  </si>
  <si>
    <t>Bruce, Jean and Douglas Clezy</t>
  </si>
  <si>
    <t>Photograph of Bruce, Douglas and Jean Clezy about to board an aeroplane on 24th March 1958, Mount Gambier. Bruce and Doug were brothers. Jean was Douglas' wife.</t>
  </si>
  <si>
    <t>Clezy, Douglas;Clezy, Bruce;Clezy, Jean;Airplanes -- South Australia -- Mount Gambier</t>
  </si>
  <si>
    <t>b2111318x</t>
  </si>
  <si>
    <t>J.B. Shepherdson</t>
  </si>
  <si>
    <t>Photograph of Mr. J.B. Shepherdson sitting at his desk in August 1958, Mount Gambier.</t>
  </si>
  <si>
    <t>Shepherdson, J. B.</t>
  </si>
  <si>
    <t>b21113191</t>
  </si>
  <si>
    <t>Rev. S. Taylor</t>
  </si>
  <si>
    <t>Photograph of the Rev. S. Taylor in front of the Nativity Scene on 20th December 1958, Mount Gambier.</t>
  </si>
  <si>
    <t>Taylor, S., Rev.;Jesus Christ -- Nativity;Christmas -- South Australia -- Mount Gambier</t>
  </si>
  <si>
    <t>b21113208</t>
  </si>
  <si>
    <t>Italian Brides</t>
  </si>
  <si>
    <t>Photograph of two women standing in front of the fireplace looking at a brochure in May 1958, Mount Gambier.</t>
  </si>
  <si>
    <t>Immigrants -- South Australia -- Mount Gambier;Women -- South Australia -- Mount Gambier;Italians -- South Australia -- Mount Gambier</t>
  </si>
  <si>
    <t>b2111321x</t>
  </si>
  <si>
    <t>Jens Hotel Staff</t>
  </si>
  <si>
    <t>Photograph of Mr and Mrs Arthur O'Donnell with Jens Hotel staff in June 1958, Mount Gambier.</t>
  </si>
  <si>
    <t>O'Donnell, Arthur;Jens Hotel (Mount Gambier, S.A.);Hotels -- South Australia -- Mount Gambier</t>
  </si>
  <si>
    <t>b21113221</t>
  </si>
  <si>
    <t>Photograph of two farmers at the stockyards at Elder Smith in 1958, Mount Gambier.</t>
  </si>
  <si>
    <t>Elder, Smith and Co.;Farmers -- South Australia -- Mount Gambier;Stockyards -- South Australia -- Mount Gambier</t>
  </si>
  <si>
    <t>b21113245</t>
  </si>
  <si>
    <t>Photograph of Mr A.H. McPherson the butcher in March 1958, Mount Gambier.</t>
  </si>
  <si>
    <t>McPherson, A. H.;Butchers -- South Australia -- Mount Gambier</t>
  </si>
  <si>
    <t>b21113300</t>
  </si>
  <si>
    <t>Mayor Elliott and the Indian Commissioner</t>
  </si>
  <si>
    <t>Photograph of Mayor Elliott with Mr Menon the Indian Commissioner during his visit to Mount Gambier on 22nd October 1958.</t>
  </si>
  <si>
    <t>Elliott, Stanley Hamilton, 1910-1990;Mayors -- South Australia -- Mount Gambier</t>
  </si>
  <si>
    <t>b2111335x</t>
  </si>
  <si>
    <t>Rev. W.L. Collins</t>
  </si>
  <si>
    <t>Photograph of the Rev. W.L. Collins in 1958, Mount Gambier.</t>
  </si>
  <si>
    <t>b21113361</t>
  </si>
  <si>
    <t>Mount Gambier Show</t>
  </si>
  <si>
    <t>Photograph of four men in coats and hats at the Mount Gambier Show in 1958.</t>
  </si>
  <si>
    <t>b21113373</t>
  </si>
  <si>
    <t>Photograph of an official at the Mount Gambier Show in 1958.</t>
  </si>
  <si>
    <t>b21113385</t>
  </si>
  <si>
    <t>Photograph of five male visitors to the Mount Gambier Show in 1958.</t>
  </si>
  <si>
    <t>b21113403</t>
  </si>
  <si>
    <t>Photograph of three men in front of the F.H.Faulding stand at the Mount Gambier Show in 1958.</t>
  </si>
  <si>
    <t>b21113415</t>
  </si>
  <si>
    <t>Photograph of members of the Freemason's Lewis Lodge on 28th August 1958, Mount Gambier.</t>
  </si>
  <si>
    <t>b21113427</t>
  </si>
  <si>
    <t>Photograph of women at the Highland Ball in 1958, Mount Gambier. L-R  Sandra Prichard, unknown, ... Lock, unknown, Pat Battams, unknown.</t>
  </si>
  <si>
    <t>Battams, Pat;Prichard, Sandra;Balls (Parties) -- South Australia -- Mount Gambier</t>
  </si>
  <si>
    <t>b21113440</t>
  </si>
  <si>
    <t>Members on the top table at the Highland Ball. L to R: Mrs Doris Fraser, Mr Hector Fraser b. Scotland 30 April 1904, immigrated to South Australia 1924 with his parents &amp; siblings. Started business in Mt Gambier 1932. Member Blue Lake Highland Pipe Band Piper, then Drum Major. Caledonian Society Chieftan 1951-1952, died Mt Gambier 8 September 1973. Mayor Archibald Llewellyn (Arch) Sealey. Born Mt. Gambier 19 May 1914, Married Lorna Bodey 14 March 1936, Mayor 1971-1983, Died 16 November 1984. Woman standing in the background is possibly Mrs Alex Roberts. Hector Fraser is giving the 'Ode to the Haggis'.</t>
  </si>
  <si>
    <t>Sealey, Archibald Llewellyn, 1914-1984;Fraser, Hector, 1904-1973;Balls (Parties) -- South Australia -- Mount Gambier</t>
  </si>
  <si>
    <t>b21113452</t>
  </si>
  <si>
    <t>Photograph of Mrs B. And and Mr A. Scott and partners at the Highland Ball in 1958, Mount Gambier.</t>
  </si>
  <si>
    <t>b21114237</t>
  </si>
  <si>
    <t>Photograph of the Pipe Band being reviewed during the City Celebrations on 17th January 1958, Mount Gambier. Mount Gambier was officially declared a city on December 9th, 1954.</t>
  </si>
  <si>
    <t>Local government -- South Australia -- Mount Gambier</t>
  </si>
  <si>
    <t>b21114481</t>
  </si>
  <si>
    <t>Henley Girl Competition</t>
  </si>
  <si>
    <t>Photograph of contestants of the Henley Girl Competition at the Port MacDonnell Regatta in 1958. One of the contestants is being presented with a winner's sash.</t>
  </si>
  <si>
    <t>Port MacDonnell Regatta;Beauty contests -- South Australia -- Port Macdonnell</t>
  </si>
  <si>
    <t>b21114493</t>
  </si>
  <si>
    <t>Henley Girl Competition winners</t>
  </si>
  <si>
    <t>Photograph of the winners of the Henley Girl Competition at the Port MacDonnell Regatta in 1958.</t>
  </si>
  <si>
    <t>b2111450x</t>
  </si>
  <si>
    <t>Debutantes</t>
  </si>
  <si>
    <t>Photograph of five young couples making their debut in Mount Gambier in 1958.</t>
  </si>
  <si>
    <t>b21114559</t>
  </si>
  <si>
    <t>Photograph of the guest of honour flanked by the guard of honour during the Highland Ball in 1958.</t>
  </si>
  <si>
    <t>b21114584</t>
  </si>
  <si>
    <t>Mrs B. Tilley</t>
  </si>
  <si>
    <t>Photograph of Mrs B. Tilley with two Highland Dancers on 27th December 1958.</t>
  </si>
  <si>
    <t>Tilley, B.;Dancers -- South Australia -- Mount Gambier;Costume -- Scotland</t>
  </si>
  <si>
    <t>b21114602</t>
  </si>
  <si>
    <t>High School Ball</t>
  </si>
  <si>
    <t>Photograph of the cake being cut during the High School Ball in Mount Gambier in 1958.</t>
  </si>
  <si>
    <t>b21114614</t>
  </si>
  <si>
    <t>Guests seated at a decorated table at the Highland Ball, Mount Gambier. L-R: Allan Johnson, Ian Smith, Trix (Beatrice) Johnson, and Pattie Smith.</t>
  </si>
  <si>
    <t>Johnson, Beatrice;Johnston, Allan;Smith, Ian;Smith, Pattie;Balls (Parties) -- South Australia -- Mount Gambier</t>
  </si>
  <si>
    <t>b21114626</t>
  </si>
  <si>
    <t>Photograph of official guests walking through a guard of honour at the Highland Ball in 1958, Mount Gambier.</t>
  </si>
  <si>
    <t>b21178045</t>
  </si>
  <si>
    <t>Photograph of couples dancing at the High School Ball in 1958.</t>
  </si>
  <si>
    <t>b21114651</t>
  </si>
  <si>
    <t>b21121011</t>
  </si>
  <si>
    <t>Photograph of S. Morrish dancing with a partner at the Highland Ball in 1958, Mount Gambier.</t>
  </si>
  <si>
    <t>b21121060</t>
  </si>
  <si>
    <t>Photograph of a lady cutting the cake at the May Ball watched by members of the Church and other dignitaries in 1958, Mount Gambier.</t>
  </si>
  <si>
    <t>b21121242</t>
  </si>
  <si>
    <t>Photograph of a flower girl collecting the bouquets from the debutantes before they are presented at the May Ball in 1958, Mount Gambier.</t>
  </si>
  <si>
    <t>b21121254</t>
  </si>
  <si>
    <t>Photograph of W. Ferguson making her debut before Senator Laught in 1958, Mount Gambier.</t>
  </si>
  <si>
    <t>Ferguson, W.;Balls (Parties) -- South Australia -- Mount Gambier</t>
  </si>
  <si>
    <t>b21121308</t>
  </si>
  <si>
    <t>Photograph of six debutantes and their partners at the Highland Ball in 1958, Mount Gambier.</t>
  </si>
  <si>
    <t>b21121412</t>
  </si>
  <si>
    <t>Country Women's Association handicrafts</t>
  </si>
  <si>
    <t>Photograph of three ladies from the CWA admiring handmade baskets and other handicrafts on 8th August 1958, Mount Gambier.</t>
  </si>
  <si>
    <t>Country Women's Association of Australia;Women -- Australia -- Societies and clubs;Handicraft -- South Australia -- Mount Gambier</t>
  </si>
  <si>
    <t>b21121424</t>
  </si>
  <si>
    <t>Photograph of five Apexians looking at a plaque possibly presented by a visiting Apex member on 26th May 1958, Mount Gambier. From left: Brian Caddy, Marians Karklins  on right, Colin Fraser.</t>
  </si>
  <si>
    <t>b21121448</t>
  </si>
  <si>
    <t>Kindergarten Association</t>
  </si>
  <si>
    <t>Photograph of four ladies and a man at a meeting of the Kindergarten Association on 14th April 1958, Mount Gambier.</t>
  </si>
  <si>
    <t>Kindergarten Association of South Australia;Kindergarten facilities -- South Australia -- Mount Gambier</t>
  </si>
  <si>
    <t>b2112145x</t>
  </si>
  <si>
    <t>Cliff Rescue Squad</t>
  </si>
  <si>
    <t>Photograph of two members of the Cliff Rescue Squad during a practice evacuation in 1958, Mount Gambier. According to a researcher, the St. John's volunteer is John (Jack) White.</t>
  </si>
  <si>
    <t>Rescue work -- South Australia -- Mount Gambier</t>
  </si>
  <si>
    <t>b21121461</t>
  </si>
  <si>
    <t>Photograph of twelve members of the Kindergarten Association on 14th April 1958, Mount Gambier.</t>
  </si>
  <si>
    <t>b21121473</t>
  </si>
  <si>
    <t>Photograph of five members of the Kindergarten Association on 14th April 1958, Mount Gambier.</t>
  </si>
  <si>
    <t>b21121485</t>
  </si>
  <si>
    <t>Photograph of members of the APEX Club welcoming a visitor to their club meeting on 26th May 1958, Mount Gambier.</t>
  </si>
  <si>
    <t>b21121497</t>
  </si>
  <si>
    <t>Photograph of three members of the Cliff Rescue Squad using a winch during an exercise on 16th August 1958.</t>
  </si>
  <si>
    <t>b21121503</t>
  </si>
  <si>
    <t>Red Cross</t>
  </si>
  <si>
    <t>Photograph of two ladies from Red Cross looking at handicrafts made by volunteers on 4th October 1958, Mount Gambier.</t>
  </si>
  <si>
    <t>Red Cross -- South Australia -- Mount Gambier;Handicraft -- South Australia -- Mount Gambier</t>
  </si>
  <si>
    <t>b21121515</t>
  </si>
  <si>
    <t>Photograph of a man and a lady from Red Cross enjoying lunch at a function on 4th October 1958, Mount Gambier.</t>
  </si>
  <si>
    <t>Red Cross -- South Australia -- Mount Gambier</t>
  </si>
  <si>
    <t>b21121527</t>
  </si>
  <si>
    <t>JAYCEE</t>
  </si>
  <si>
    <t>Photograph of a man handing a piece to paper to a lady sitting in a car in September 1958.</t>
  </si>
  <si>
    <t>Mount Gambier Jaycees</t>
  </si>
  <si>
    <t>b21121539</t>
  </si>
  <si>
    <t>JAYCEE meeting</t>
  </si>
  <si>
    <t>Photograph of six men at a JAYCEE meeting on 12th September 1958, Mount Gambier.</t>
  </si>
  <si>
    <t>b21121552</t>
  </si>
  <si>
    <t>Photograph of three Red Cross representatives at morning tea on 4th October 1958, Mount Gambier.</t>
  </si>
  <si>
    <t>b21121643</t>
  </si>
  <si>
    <t>Photograph of three members of the Cliff Rescue Squad during a winching demonstration in 1958, Mount Gambier.</t>
  </si>
  <si>
    <t>b21121667</t>
  </si>
  <si>
    <t>Photograph of nine members of the Cliff Rescue Squad during an exercise using a winch and stretcher on 10th August 1958, Mount Gambier.</t>
  </si>
  <si>
    <t>b21122015</t>
  </si>
  <si>
    <t>Photograph of an afternoon tea to welcome newly naturalised citizens on 15th August 1958, Mount Gambier.</t>
  </si>
  <si>
    <t>b21122027</t>
  </si>
  <si>
    <t>Mayor Elliott with Ansett ANA Helicopter</t>
  </si>
  <si>
    <t>Mayor Stanley Hamilton Elliott prepares to board Ansett-ANA Bristol 171 Sycamore helicopter VH-INQ at Frew Park on 19 November 1958. Flown by W.J. Anderson, this was the first helicopter to visit the region and on the day it carried 112 passengers over Mount Gambier for a fare of 35/-.</t>
  </si>
  <si>
    <t>Elliott, Stanley Hamilton, 1910-1990;Ansett Airlines of Australia;Mayors -- South Australia -- Mount Gambier;Helicopters -- South Australia -- Mount Gambier</t>
  </si>
  <si>
    <t>b21122039</t>
  </si>
  <si>
    <t>Oldest SA Naturalised</t>
  </si>
  <si>
    <t>Photograph of the oldest South Australian to be naturalised, photo was taken on 13th June 1958.</t>
  </si>
  <si>
    <t>b21122453</t>
  </si>
  <si>
    <t>Oldest South Australian resident naturalised</t>
  </si>
  <si>
    <t>Photograph of a certificate being presented to S.A. Oldest Naturalised Citizen, Wishki Kintea, on 13th June 1958, Mount Gambier.</t>
  </si>
  <si>
    <t>Kintea, Wishki;Naturalization -- South Australia -- Mount Gambier;Citizenship -- South Australia -- Mount Gambier</t>
  </si>
  <si>
    <t>b21122477</t>
  </si>
  <si>
    <t>Wishski - Kintea</t>
  </si>
  <si>
    <t>Photograph of Wishski Kintea, S.A. oldest naturalised citizen receiving his certificate on 13th June 1958, Mount Gambier.</t>
  </si>
  <si>
    <t>b21122489</t>
  </si>
  <si>
    <t>Naturalisation of D. Weiss</t>
  </si>
  <si>
    <t>Photograph of Mr D. Weiss receiving his certificate upon becoming naturalised on 6th February 1958, Mount Gambier.</t>
  </si>
  <si>
    <t>b21122532</t>
  </si>
  <si>
    <t>Governor and Mr Hugh Marks</t>
  </si>
  <si>
    <t>Photograph taken on 17 January 1958 of the Governor Sir Robert George with Mr Hugh Marks , Mayor of Mount Gambier, looking at a picture of the Queen being presented with flowers by Mr Marks' granddaughter in 1954.</t>
  </si>
  <si>
    <t>George, Robert Allingham, Sir, 1896-1967;Marks, Hugh;Visits of state -- South Australia -- Mount Gambier;Governors -- South Australia;Mayors -- South Australia -- Mount Gambier</t>
  </si>
  <si>
    <t>b21128170</t>
  </si>
  <si>
    <t>R. Matheson</t>
  </si>
  <si>
    <t>Photograph of Miss R. Matheson surrounded by her Highland Dancing sashes and trophies. Photograph was taken in the studio in Mount Gambier in 1958.</t>
  </si>
  <si>
    <t>Matheson, R.;Folk dancing, Scottish -- South Australia -- Mount Gambier</t>
  </si>
  <si>
    <t>b21128248</t>
  </si>
  <si>
    <t>Alec B. Scott</t>
  </si>
  <si>
    <t>Photograph of Mr Alec B. Scott taken in the studio in Mount Gambier in 1964.</t>
  </si>
  <si>
    <t>Scott, Alec B.</t>
  </si>
  <si>
    <t>b21128261</t>
  </si>
  <si>
    <t>William Ridland</t>
  </si>
  <si>
    <t>Photograph of Police Inspector William 'Jock' Ridland, taken in the studio in Mount Gambier in 1964.</t>
  </si>
  <si>
    <t>Ridland, William</t>
  </si>
  <si>
    <t>b21128625</t>
  </si>
  <si>
    <t>Mr. Angus T. Cocks</t>
  </si>
  <si>
    <t>Photograph of Mr Angus T. Cocks, taken in the studio in Mount Gambier in 1958.</t>
  </si>
  <si>
    <t>Cocks, Angus T.</t>
  </si>
  <si>
    <t>b21128637</t>
  </si>
  <si>
    <t>Mrs S.H. (Jean) Elliott</t>
  </si>
  <si>
    <t>Photograph of Mrs S. H. (Jean) Elliott, taken in the studio in Mount Gambier in 1958.</t>
  </si>
  <si>
    <t>Elliott, Jean</t>
  </si>
  <si>
    <t>b21140741</t>
  </si>
  <si>
    <t>C. Lawson</t>
  </si>
  <si>
    <t>Photograph of Mrs C. Lawson and her  children Denise, Geoffrey and Fiona taken in the studio in Mount Gambier in 1958. The two older girls are about six and four years old and their young brother is about nine months old.</t>
  </si>
  <si>
    <t>Lawson, C.;Lawson, Denise;Lawson, Geoffrey;Lawson, Fiona;Mothers -- South Australia -- Mount Gambier;Infants -- South Australia -- Mount Gambier</t>
  </si>
  <si>
    <t>b21140790</t>
  </si>
  <si>
    <t>R.H. Feast</t>
  </si>
  <si>
    <t>Photograph of the Feast children taken in the studio in Mount Gambier in 1958. The four little boys range in age from about seven years to seven months.</t>
  </si>
  <si>
    <t>Feast (Family);Children -- South Australia -- Mount Gambier</t>
  </si>
  <si>
    <t>b21140807</t>
  </si>
  <si>
    <t>S. Gardiner</t>
  </si>
  <si>
    <t>Photograph of the Gardiner brothers taken in the studio in Mount Gambier in 1958. The boys are about four and two years old and are wearing 'safari' suits and holding a toy fluffy rabbit.</t>
  </si>
  <si>
    <t>Gardiner (Family);Children -- Clothing -- South Australia -- Mount Gambier</t>
  </si>
  <si>
    <t>b21178185</t>
  </si>
  <si>
    <t>P.C. Ferguson</t>
  </si>
  <si>
    <t>Photograph of the Ferguson sisters taken in the studio in Mount Gambier in 1958. The girls are about five and three years old and wearing identical dresses with button trim below the neckline.</t>
  </si>
  <si>
    <t>Ferguson (Family);Children -- Clothing -- South Australia -- Mount Gambier</t>
  </si>
  <si>
    <t>b21140819</t>
  </si>
  <si>
    <t>L. Collins</t>
  </si>
  <si>
    <t>Photograph of the Collins children taken in the studio in Mount Gambier in 1958. The two boys are about two and five years old and the two girls are four years old and nine months old.</t>
  </si>
  <si>
    <t>Collins (Family);Children -- Clothing -- South Australia -- Mount Gambier</t>
  </si>
  <si>
    <t>b2114087x</t>
  </si>
  <si>
    <t>T. Cullen</t>
  </si>
  <si>
    <t>Photograph of the Cullen children taken in the studio in Mount Gambier in 1958. The boy who is about five years old is wearing shorts with a shirt and tie and his young sister, who is about three years old, is wearing a short lace dress with her blonde hair pinned back with a hair slide.</t>
  </si>
  <si>
    <t>Cullen (Family);Children -- Clothing -- South Australia -- Mount Gambier</t>
  </si>
  <si>
    <t>b21141186</t>
  </si>
  <si>
    <t>C.E. Turner</t>
  </si>
  <si>
    <t>Photograph of the four Turner boys taken in the studio in Mount Gambier in 1958. Their ages range from about fourteen years old to nine months old. The baby is wearing an embroidered long shirt.</t>
  </si>
  <si>
    <t>Turner (Family);Children -- South Australia -- Mount Gambier</t>
  </si>
  <si>
    <t>b21141198</t>
  </si>
  <si>
    <t>A.E. Thomas</t>
  </si>
  <si>
    <t>Photograph of Mr and Mrs A.E. Thomas and their son and daughter. The daughter is about sixteen years old and is wearing a sleeveless floral dress with a brooch.  The son is about thirteen years old and is wearing a suit and tie like his father.</t>
  </si>
  <si>
    <t>Thomas (Family)</t>
  </si>
  <si>
    <t>b21178239</t>
  </si>
  <si>
    <t>H.K. McEachern</t>
  </si>
  <si>
    <t>Photograph of Mr and Mrs H.K. McEachern and their two sons. The boys wear knitted cardigans with their shirts and ties and short pants. According to a researcher, the man's name was Kenneth and his wife's name was Dorothy.</t>
  </si>
  <si>
    <t>McEachern (Family)</t>
  </si>
  <si>
    <t>b21141204</t>
  </si>
  <si>
    <t>J.A. McGrath</t>
  </si>
  <si>
    <t>Photograph of the five McGrath children. The children's ages range from about fourteen years old to the baby who is about nine months old. The two boys are wearing their Marist Brothers College school uniforms.</t>
  </si>
  <si>
    <t>McGrath (Family);School children -- South Australia -- Mount Gambier</t>
  </si>
  <si>
    <t>b21141216</t>
  </si>
  <si>
    <t>M.J. McKaye</t>
  </si>
  <si>
    <t>Photograph of Mr and Mrs M.J. McKaye seated in the studio in Mount Gambier in 1958.  Their daughter is about three years old and wearing a floral and lace dress and their baby son is wearing an embroidered shirt.</t>
  </si>
  <si>
    <t>McKaye (Family)</t>
  </si>
  <si>
    <t>b2114123x</t>
  </si>
  <si>
    <t>M.C. Provis</t>
  </si>
  <si>
    <t>Photograph of the two Provis brothers taken in the studio in Mount Gambier in 1958.  Their ages are about three and two years.  They are wearing smocked shirts and the younger boy is holding a large toy clown.</t>
  </si>
  <si>
    <t>Provis (Family);Children -- Clothing -- South Australia -- Mount Gambier</t>
  </si>
  <si>
    <t>b21141241</t>
  </si>
  <si>
    <t>D. McGlaughlin</t>
  </si>
  <si>
    <t>Photograph of the three McGlaughlin children taken in the studio in Mount Gambier in 1958. The older boy is about seven years old and is wearing a suit. His sister is wearing a gingham dress and is approximately five years old and their young brother is about one year old and wearing a romper suit.</t>
  </si>
  <si>
    <t>McGlaughlin (Family);Children -- South Australia -- Mount Gambier</t>
  </si>
  <si>
    <t>b21141253</t>
  </si>
  <si>
    <t>F. Pearce</t>
  </si>
  <si>
    <t>Photograph of Mr and Mrs F. Pearce and their two daughters. The older girl is about nine years old and her sister is about five years old. They are wearing summer dresses with collars, puffed sleeves and ribbons in their hair.</t>
  </si>
  <si>
    <t>Pearce (Family);South Australia</t>
  </si>
  <si>
    <t>b21141265</t>
  </si>
  <si>
    <t>W. Prentice</t>
  </si>
  <si>
    <t>Photograph of the four Prentice children taken in the studio in Mount Gambier in 1958.  Their names are Trevor John (1949), David John (1951), Phillip James (1952) and Catherine Anne (1954-1981)  their parents were William Prentice and Eileen, nee McCarthy.</t>
  </si>
  <si>
    <t>Prentice (Family);Children -- Clothing -- South Australia -- Mount Gambier</t>
  </si>
  <si>
    <t>b21141277</t>
  </si>
  <si>
    <t>T. Nitschke</t>
  </si>
  <si>
    <t>Photograph of the Nitschke children taken in the studio in Mount Gambier in 1958. The boy is about seven years old and is wearing a blazer and his sister is five years old and is wearing a short dress tied at the waist with a large bow.</t>
  </si>
  <si>
    <t>Nitschke (Family);Children -- Clothing -- South Australia -- Mount Gambier</t>
  </si>
  <si>
    <t>b21141289</t>
  </si>
  <si>
    <t>B. Osis</t>
  </si>
  <si>
    <t>Photograph of Boris Osis and his wife Wanda (nee Bowering) with their children - John, George and Ann. Ann is wearing a spotted smocked dress with a white collar and is holding a toy rabbit, and John is wearing dungarees and holding a toy dog.</t>
  </si>
  <si>
    <t>Osis (Family)</t>
  </si>
  <si>
    <t>b21141290</t>
  </si>
  <si>
    <t>C.E. Sander</t>
  </si>
  <si>
    <t>Photograph of Mr and Mrs C.E. Sander and family of two daughters and a son taken in the studio in Mount Gambier in 1958.</t>
  </si>
  <si>
    <t>Sander (Family)</t>
  </si>
  <si>
    <t>b21141307</t>
  </si>
  <si>
    <t>G. Skeer</t>
  </si>
  <si>
    <t>Photograph of the three Skeer children taken in the studio in Mount Gambier in 1958. The two little boys are about three and two years old and are wearing sailor suits. The younger girl is wearing a pretty lace-trimmed dress and is looking at a rag book with her brothers.</t>
  </si>
  <si>
    <t>Skeer (Family);Children -- Clothing -- South Australia -- Mount Gambier</t>
  </si>
  <si>
    <t>b21141319</t>
  </si>
  <si>
    <t>F. Shea</t>
  </si>
  <si>
    <t>Photograph of the four Shea children taken in the studio in Mount Gambier in 1958. The two girls are about seven and two years old and their brothers are about three and five years old.</t>
  </si>
  <si>
    <t>Shea (Family);Children -- Clothing -- South Australia -- Mount Gambier</t>
  </si>
  <si>
    <t>b21141320</t>
  </si>
  <si>
    <t>S. Seretis</t>
  </si>
  <si>
    <t>Photograph of two ladies and a man, possibly two sisters and their brother from the Seretis family.</t>
  </si>
  <si>
    <t>Seretis (Family)</t>
  </si>
  <si>
    <t>b21141332</t>
  </si>
  <si>
    <t>G.D. Smith</t>
  </si>
  <si>
    <t>Photograph of three sisters from the Smith family taken in the studio in Mount Gambier in 1958. The two older girls are dressed in matching dresses and are about six and four years old, and their younger sister is about nine months old.</t>
  </si>
  <si>
    <t>Smith (Family);Smith, G. D.;Children -- Clothing -- South Australia -- Mount Gambier</t>
  </si>
  <si>
    <t>b21141344</t>
  </si>
  <si>
    <t>J. Stafford</t>
  </si>
  <si>
    <t>Photograph of three children of John and Margaret Stafford, Caroline (holding Teddy), John and Vivienne, taken in the studio in 1958. The girls are about seven and five years old are are wearing identical checked dresses with white collars. Their young brother is wearing an embroidered and smocked romper suit.</t>
  </si>
  <si>
    <t>Stafford, Vivienne;Stafford, John;Stafford, Caroline;Children -- Clothing -- South Australia -- Mount Gambier</t>
  </si>
  <si>
    <t>b21141356</t>
  </si>
  <si>
    <t>R. Sage</t>
  </si>
  <si>
    <t>Photograph of four children from the Sage family. There are two older girls about eight and four years old. They are holding their young twin brother and sister. The babies are approximately nine months old.</t>
  </si>
  <si>
    <t>Sage (Family);Children -- Clothing -- South Australia -- Mount Gambier;Twins -- South Australia -- Mount Gambier</t>
  </si>
  <si>
    <t>b21141368</t>
  </si>
  <si>
    <t>W. Szulecki</t>
  </si>
  <si>
    <t>Photograph of the three Szulecki children. The two pre-school girls are wearing matching frilled party dresses and large ribbons in their hair. Their young brother is wearing a smocked romper suit.</t>
  </si>
  <si>
    <t>Szulecki (Family);Children -- South Australia -- Mount Gambier</t>
  </si>
  <si>
    <t>b2114137x</t>
  </si>
  <si>
    <t>H. Stokker</t>
  </si>
  <si>
    <t>Photograph of members of the Stokker family taken in the studio in Mount Gambier in 1958.</t>
  </si>
  <si>
    <t>Stokker (Family)</t>
  </si>
  <si>
    <t>b21141381</t>
  </si>
  <si>
    <t>Whennen family</t>
  </si>
  <si>
    <t>Three members of the Whennen family - Valda, David and Ronald Whennen from Mt Burr/Millicent. David and Ronald are wearing suits and ties, and Valda is wearing a white necklace and ear-rings with a summer dress.</t>
  </si>
  <si>
    <t>Whennen, Ronald;Whennen, David;Whennen, Valda</t>
  </si>
  <si>
    <t>b21141393</t>
  </si>
  <si>
    <t>W.J. Walker</t>
  </si>
  <si>
    <t>Photograph of Mr and Mrs W.J. Walker and their two boys and two girls. The girls are wearing matching party dresses and the boys are wearing matching jumpers and ties.</t>
  </si>
  <si>
    <t>Walker (Family);Walker, W. J.</t>
  </si>
  <si>
    <t>b2114140x</t>
  </si>
  <si>
    <t>C. Zyderveld</t>
  </si>
  <si>
    <t>Photograph of Mr and Mrs Z. Zyderveld and their son and daughter. The girl is about nine years old and is wearing a plaid dress and her brother is about seven years old and wearing a knitted cardigan.</t>
  </si>
  <si>
    <t>Zyderveld (Family)</t>
  </si>
  <si>
    <t>b21141411</t>
  </si>
  <si>
    <t>D. Young</t>
  </si>
  <si>
    <t>Photograph of the Young family taken in the studio in Mount Gambier in 1958. Mr and Mrs Young are seated with their three sons and a daughter.</t>
  </si>
  <si>
    <t>Young (Family)</t>
  </si>
  <si>
    <t>b21141423</t>
  </si>
  <si>
    <t>G. Zannoni</t>
  </si>
  <si>
    <t>Photograph of the Zannoni family taken in the studio in Mount Gambier in 1958. Mr and Mrs Zannoni are surrounded by their three daughters who are about ten, eight and five years old. The girls are wearing party dresses and pendants and Mrs Zannoni is wearing a silk short sleeved suit.</t>
  </si>
  <si>
    <t>Zannoni (Family);South Australia</t>
  </si>
  <si>
    <t>b21141435</t>
  </si>
  <si>
    <t>A. Van Hatch</t>
  </si>
  <si>
    <t>Photograph of Mr and Mrs A. Van Hatch and their son who is about five years old. The boy is wearing a knitted double breasted cardigan. Mr Van Hatch is wearing a spotted bow tie and handkerchief.</t>
  </si>
  <si>
    <t>Van Hatch (Family)</t>
  </si>
  <si>
    <t>b21141447</t>
  </si>
  <si>
    <t>Tye sisters</t>
  </si>
  <si>
    <t>Photograph of the four Tye sisters: (from left) Lynece (twin), Susan, Lindy (twin), and oldest sister Marion. They are 4 of the 7 Tye children born to William and Jean Tye.</t>
  </si>
  <si>
    <t>Tye (Family);Children -- South Australia -- Mount Gambier</t>
  </si>
  <si>
    <t>b21178458</t>
  </si>
  <si>
    <t>J. Walsh</t>
  </si>
  <si>
    <t>Photograph of Mr and Mrs J. Walsh and their daughter who is about a year old. She is wearing a smocked romper suit.</t>
  </si>
  <si>
    <t>Walsh (Family);Walsh, J.;Mothers -- South Australia -- Mount Gambier;Infants -- South Australia -- Mount Gambier</t>
  </si>
  <si>
    <t>b21141459</t>
  </si>
  <si>
    <t>Kuhl family</t>
  </si>
  <si>
    <t>Photograph of four generations of the Kuhl family taken in the studio in Mount Gambier in 1958. The photograph shows (from left to right): Mrs J.C.Herbst (Wilhelmina), Dianne Kuhl, Mrs G.I.Kuhl (Helen), and Mrs Ada Pratt.</t>
  </si>
  <si>
    <t>Kuhl (Family)</t>
  </si>
  <si>
    <t>b21178410</t>
  </si>
  <si>
    <t>M.R. Hardy</t>
  </si>
  <si>
    <t>Photograph of the five Hardy brothers. Their approximate ages are sixteen years down to about eight years old. Four of them are wearing jackets and all wear ties.</t>
  </si>
  <si>
    <t>Hardy (Family);Children -- South Australia -- Mount Gambier</t>
  </si>
  <si>
    <t>b21141460</t>
  </si>
  <si>
    <t>A.B. Harvey</t>
  </si>
  <si>
    <t>Photograph of the four Harvey children conmprising two boys and two girls. The girls are wearing velvet dresses and pearl necklaces and the older boy is wearing a suit, while the baby brother is wearing a smocked romper suit.</t>
  </si>
  <si>
    <t>Harvey (Family);Children -- Clothing -- South Australia -- Mount Gambier</t>
  </si>
  <si>
    <t>b21178409</t>
  </si>
  <si>
    <t>P. Kaleniuk</t>
  </si>
  <si>
    <t>Photograph of Mr and P. Kaleniuk and their five children, three sons and two daughters.</t>
  </si>
  <si>
    <t>Kaleniuk (Family)</t>
  </si>
  <si>
    <t>b21141472</t>
  </si>
  <si>
    <t>E.B. Keatley</t>
  </si>
  <si>
    <t>Photograph of the Keatley family taken in the studio in Mount Gambier in 1958. Mr and Mrs E.B. Keatley are seated and their three sons and two daughters are standing behind them. One of the girls is dressed in a Highland dancing outfit. Mr Keatley wears a returned serviceman badge in his lapel.</t>
  </si>
  <si>
    <t>Keatley (Family)</t>
  </si>
  <si>
    <t>b21141484</t>
  </si>
  <si>
    <t>B. Kirk</t>
  </si>
  <si>
    <t>Photograph of Mr and Mrs B. Kirk and their three daughters taken in the studio in Mount Gambier in 1958. The youngest daughter wears a knitted short-sleeved striped dress.</t>
  </si>
  <si>
    <t>Kirk (Family)</t>
  </si>
  <si>
    <t>b21141496</t>
  </si>
  <si>
    <t>H.A. Harvey</t>
  </si>
  <si>
    <t>Photograph of a daughter and two sons from the Harvey family taken in the studio in Mount Gambier in 1958. The young lady and elder boy are teenagers or older and the young brother is about seven years old.</t>
  </si>
  <si>
    <t>Harvey (Family);Children -- South Australia -- Mount Gambier</t>
  </si>
  <si>
    <t>b21141502</t>
  </si>
  <si>
    <t>T. Morello</t>
  </si>
  <si>
    <t>Photograph of two ladies, three men and two boys, members of the Morello family. The photograph was taken in the studio in Mount Gambier in 1958.</t>
  </si>
  <si>
    <t>Morello (Family)</t>
  </si>
  <si>
    <t>b21141514</t>
  </si>
  <si>
    <t>R.G. Sachs</t>
  </si>
  <si>
    <t>Photograph of Mr and Mrs R.G. Sachs with their young son and daughter in 1958. The boy is about four years old and is wearing a shirt with ships embroidered above the pockets, and his young sister is about ten months old and wears a dress with short puff sleeves.</t>
  </si>
  <si>
    <t>Sachs (Family);Sachs, R. G.</t>
  </si>
  <si>
    <t>b21141526</t>
  </si>
  <si>
    <t>M. O'Bryan</t>
  </si>
  <si>
    <t>Photograph of three women and a girl, possibly four generations of the O'Bryan family.</t>
  </si>
  <si>
    <t>O'Bryan (Family)</t>
  </si>
  <si>
    <t>b21141538</t>
  </si>
  <si>
    <t>Photograph of three ladies wearing identical satin dresses and short gloves.  Their hats and handbags are different and they are dressed for a special occasion, possibly a wedding for which they were bridesmaids.</t>
  </si>
  <si>
    <t>Mead, A. W.;Costume -- South Australia -- Mount Gambier</t>
  </si>
  <si>
    <t>b2114154x</t>
  </si>
  <si>
    <t>T.J. Marshall</t>
  </si>
  <si>
    <t>Photograph of four children from the Marshall family. There are three girls and a boy and their ages range from about eight to two years old. The youngest girl is wearing a smocked dress and is holding a fluffy toy rabbit.</t>
  </si>
  <si>
    <t>Marshall (Family);Marshall, T. J.;Children -- South Australia -- Mount Gambier</t>
  </si>
  <si>
    <t>b21141551</t>
  </si>
  <si>
    <t>M.T. Martin</t>
  </si>
  <si>
    <t>Photograph of three boys from the Martin family taken in the studio in Mount Gambier in 1958. The older boy who is about twelve years old is wearing a Boy Scout uniform and the younger boys are wearing their Cub uniforms.</t>
  </si>
  <si>
    <t>Martin (Family);Scouting (Youth activity) -- South Australia -- Mount Gambier</t>
  </si>
  <si>
    <t>b21141563</t>
  </si>
  <si>
    <t>R.A. Lynn</t>
  </si>
  <si>
    <t>Photograph of three children from the Lynn family, an older sister, her brother and their younger sister with ages ranging from about ten to three years old.</t>
  </si>
  <si>
    <t>Lynn (Family);Children -- Clothing -- South Australia -- Mount Gambier</t>
  </si>
  <si>
    <t>b21178422</t>
  </si>
  <si>
    <t>P. Mulligan</t>
  </si>
  <si>
    <t>Photograph of the six Mulligan children, from left to right: Christine 16, Raymond 8, James 2, Barry 12, Joan 6, Teresa 14, children of Noreen and Phillip Mulligan of Penola. This photo was taken on the day that Christine's plaits were cut off, an important family event in those days. (Information supplied by family members).</t>
  </si>
  <si>
    <t>b21165312</t>
  </si>
  <si>
    <t>Photograph of the F. Cleves Band taken during a performance on 8th March 1958. There are nine band members present.</t>
  </si>
  <si>
    <t>b21166237</t>
  </si>
  <si>
    <t>A. Geier</t>
  </si>
  <si>
    <t>Photograph of nurse A. Geier taken in the studio in Mount Gambier in 1958.</t>
  </si>
  <si>
    <t>Geier, A.;Nurses -- South Australia -- Mount Gambier</t>
  </si>
  <si>
    <t>b21166249</t>
  </si>
  <si>
    <t>J. Gerick</t>
  </si>
  <si>
    <t>Photograph of Mr and Mrs Gerick taken in the studio in Mount Gambier in 1958.</t>
  </si>
  <si>
    <t>Gerick, J.</t>
  </si>
  <si>
    <t>b21166250</t>
  </si>
  <si>
    <t>B. Fabris</t>
  </si>
  <si>
    <t>Photograph of Mr and Mrs Fabris dressed for a special occasion. Photograph taken in the studio in Mount Gambier in 1958. Mrs Fabris is wearing a veiled hat with her suit.</t>
  </si>
  <si>
    <t>Fabris, B.;Clothing and dress -- South Australia -- Mount Gambier</t>
  </si>
  <si>
    <t>b21166262</t>
  </si>
  <si>
    <t>L.M. Gray</t>
  </si>
  <si>
    <t>Photograph of a man and a lady taken in the studio in Mount Gambier in 1958. The lady is wearing a fur stole and a hat. One of the two is L.M. Gray.</t>
  </si>
  <si>
    <t>Gray, L. M.;Clothing and dress -- South Australia -- Mount Gambier</t>
  </si>
  <si>
    <t>b21166274</t>
  </si>
  <si>
    <t>C. Arthur</t>
  </si>
  <si>
    <t>Photograph of two ladies taken in the studio in Mount Gambier in 1958.  This is possibly a mother and adult daughter and one of them is C. Arthur.</t>
  </si>
  <si>
    <t>Arthur, C.</t>
  </si>
  <si>
    <t>b21166286</t>
  </si>
  <si>
    <t>M. Attwood</t>
  </si>
  <si>
    <t>Photograph of two ladies taken in the studio in Mount Gambier in 1958. This is possibly a mother and adult daughter and one of them is M. Attwood.</t>
  </si>
  <si>
    <t>Attwood, M.</t>
  </si>
  <si>
    <t>b21166298</t>
  </si>
  <si>
    <t>Frances and Maurice Corigliano</t>
  </si>
  <si>
    <t>Photograph of Frances (nee Mole) and Maurice Corigliano of Beachport. Taken in the studio in Mount Gambier in 1958.</t>
  </si>
  <si>
    <t>Corigliano, Frances;Corigliano, Maurice, 1930?-</t>
  </si>
  <si>
    <t>b21166304</t>
  </si>
  <si>
    <t>L. Cutting</t>
  </si>
  <si>
    <t>Photograph of L. Cutting sitting in the studio in Mount Gambier in 1958.  She is wearing a long satin and lace dress. The full skirt is arranged around her and she is carrying a bouquet of flowers.</t>
  </si>
  <si>
    <t>Cutting, Lynette;Clothing and dress -- South Australia -- Mount Gambier</t>
  </si>
  <si>
    <t>b21166328</t>
  </si>
  <si>
    <t>J. Cameron</t>
  </si>
  <si>
    <t>Photograph of J. Cameron sitting in the studio in Mount Gambier in 1958.  She is wearing a long satin dress and evening gloves. The full skirt is arranged around her and she is carrying a small bouquet.</t>
  </si>
  <si>
    <t>Cameron, J.;Clothing and dress -- South Australia -- Mount Gambier</t>
  </si>
  <si>
    <t>b2116633x</t>
  </si>
  <si>
    <t>Herb H. Chaston - Councillor</t>
  </si>
  <si>
    <t>Photograph of Herb H. Chaston taken in the studio in Mount Gambier in 1958. Mr Chaston was a Councillor.</t>
  </si>
  <si>
    <t>Chaston, Herb H.</t>
  </si>
  <si>
    <t>b21166341</t>
  </si>
  <si>
    <t>L. Ciarall</t>
  </si>
  <si>
    <t>Photograph of Mr Ciarall taken in the studio in Mount Gambier in 1958. The photograph depicts Mr Ciarall as a New Australian having arrived in Australia as a migrant.</t>
  </si>
  <si>
    <t>Ciarall, L.</t>
  </si>
  <si>
    <t>b21166353</t>
  </si>
  <si>
    <t>J. Collins</t>
  </si>
  <si>
    <t>Photograph of Miss J. Collins taken in 1958. She is wearing a Highland Dancing costume.</t>
  </si>
  <si>
    <t>Collins, J.;Folk dancing, Scottish -- South Australia -- Mount Gambier</t>
  </si>
  <si>
    <t>b21166377</t>
  </si>
  <si>
    <t>J. G. Corryer</t>
  </si>
  <si>
    <t>Photograph of Mr and Mrs Corryer taken in the studio in Mount Gambier in 1958.</t>
  </si>
  <si>
    <t>Corryer, J. G.</t>
  </si>
  <si>
    <t>b21166389</t>
  </si>
  <si>
    <t>Wendy Chant - Belle of the Ball</t>
  </si>
  <si>
    <t>Photograph of Miss Wendy Chant of Tantanoola, wearing the Belle of the Ball sash for 1958. The Ball was possibly sponsored by 'The Advertiser'.</t>
  </si>
  <si>
    <t>Chant, Wendy;Balls (parties) -- South Australia -- Mount Gambier</t>
  </si>
  <si>
    <t>b21166742</t>
  </si>
  <si>
    <t>C. Preece</t>
  </si>
  <si>
    <t>Photograph of a young couple taken in the studio in Mount Gambier in 1958. One of the two is C. Preece.</t>
  </si>
  <si>
    <t>Preece, C.</t>
  </si>
  <si>
    <t>b21166754</t>
  </si>
  <si>
    <t>K. Ritter</t>
  </si>
  <si>
    <t>Photograph of a young couple on their wedding day in 1958. One of the two is K. Ritter.</t>
  </si>
  <si>
    <t>Ritter, K.;Wedding costume -- South Australia -- Mount Gambier</t>
  </si>
  <si>
    <t>b21166766</t>
  </si>
  <si>
    <t>M. Orchard</t>
  </si>
  <si>
    <t>Melville Stewart Orchard and his bride Carol Williams on their Wedding Day in 1958.</t>
  </si>
  <si>
    <t>Orchard, M.;Clothing and dress -- South Australia -- Mount Gambier</t>
  </si>
  <si>
    <t>b21166778</t>
  </si>
  <si>
    <t>K.S. Reschke</t>
  </si>
  <si>
    <t>Photograph of Miss Reschke in her school uniform taken in the studio in Mount Gambier in 1958.</t>
  </si>
  <si>
    <t>Reschke, K. S.;School children -- South Australia -- Mount Gambier</t>
  </si>
  <si>
    <t>b2116678x</t>
  </si>
  <si>
    <t>W.L. Saunders</t>
  </si>
  <si>
    <t>Photograph of a young man and a young woman taken in the studio in Mount Gambier in 1958. They are possibly brother and sister.</t>
  </si>
  <si>
    <t>Saunders, W. L.</t>
  </si>
  <si>
    <t>b21166791</t>
  </si>
  <si>
    <t>Tucker siblings</t>
  </si>
  <si>
    <t>Photograph of the Tucker siblings Robert and Allison taken in the studio in Mount Gambier in 1958. The girl is a teenager and the boy is approximately twelve years old. Their parents were teachers at the Compton School. [From additional information provided].</t>
  </si>
  <si>
    <t>Tucker, Robert;Tucker, Allison;Children -- South Australia -- Mount Gambier</t>
  </si>
  <si>
    <t>b21166808</t>
  </si>
  <si>
    <t>Studio photograph of a young couple</t>
  </si>
  <si>
    <t>Engagement photograph of Rupert Downes and Mary Thompson taken in the studio in Mount Gambier in 1958.</t>
  </si>
  <si>
    <t>b21218560</t>
  </si>
  <si>
    <t>Photograph of Anne Pratt (nee Freemantle) and Allan Pratt taken in the studio in Mount Gambier in 1958. According to a family member, they lived at Mumbannar, Victoria and were farmers.</t>
  </si>
  <si>
    <t>Pratt, Anne;Pratt, Allan</t>
  </si>
  <si>
    <t>b21166821</t>
  </si>
  <si>
    <t>Studio photograph of two young men</t>
  </si>
  <si>
    <t>Photograph of two young men - Mr Salkan and Mr Salkic taken in the studio in Mount Gambier in 1958.</t>
  </si>
  <si>
    <t>Salkan, Mr;Salkic, Mr</t>
  </si>
  <si>
    <t>b21166833</t>
  </si>
  <si>
    <t>Saunders siblings</t>
  </si>
  <si>
    <t>Brother and sister Robert and Christine Saunders, children of Bill and Betty Saunders (nee Boase).</t>
  </si>
  <si>
    <t>Saunders, Robert;Saunders, Christine</t>
  </si>
  <si>
    <t>b21166845</t>
  </si>
  <si>
    <t>Max Van Riet</t>
  </si>
  <si>
    <t>Max Van Riet with a young woman photographed in the studio in Mount Gambier in 1958.</t>
  </si>
  <si>
    <t>Van Riet, Max</t>
  </si>
  <si>
    <t>b21166857</t>
  </si>
  <si>
    <t>Karl and Milli Wischki</t>
  </si>
  <si>
    <t>Photograph of Karl and Ludmilla (Milli) Wischki taken in the studio in Mount Gambier in 1958. The lady is wearing a small veiled hat with her lace suit. Both are deceased. [Information provided by Ron Wischki].</t>
  </si>
  <si>
    <t>Wischki, Karl;Wischki, Ludmilla;Clothing and dress -- South Australia -- Mount Gambier</t>
  </si>
  <si>
    <t>b21166869</t>
  </si>
  <si>
    <t>Beryl Saunders</t>
  </si>
  <si>
    <t>Photograph of Miss Beryl Saunders and Mr Felix Michalski taken in the studio in Mount Gambier in 1958.</t>
  </si>
  <si>
    <t>Saunders, Beryl;Michalski, Felix</t>
  </si>
  <si>
    <t>b21166870</t>
  </si>
  <si>
    <t>Miss Matheson with Highland dancing trophies</t>
  </si>
  <si>
    <t>Miss Matheson surrounded by her sashes and awards for Highland Dancing competitions. She is wearing her tartan uniform and is seated in the studio in Mount Gambier.</t>
  </si>
  <si>
    <t>Matheson, R.;Costume -- Scotland;Folk dancing, Scottish -- South Australia -- Mount Gambier</t>
  </si>
  <si>
    <t>b21166882</t>
  </si>
  <si>
    <t>Martin siblings</t>
  </si>
  <si>
    <t>Photograph of the Martin brother and sister taken in the studio in Mount Gambier in 1958.</t>
  </si>
  <si>
    <t>Martin, N. G.;Children -- South Australia -- Mount Gambier</t>
  </si>
  <si>
    <t>b21166894</t>
  </si>
  <si>
    <t>D. Horrigan</t>
  </si>
  <si>
    <t>Photograph of a young man and woman taken in the studio in Mount Gambier in 1958. One of them is D. Horrigan.</t>
  </si>
  <si>
    <t>Horrigan, D.</t>
  </si>
  <si>
    <t>b21166900</t>
  </si>
  <si>
    <t>J. Mulraney</t>
  </si>
  <si>
    <t>Photograph of Miss J. Mulraney taken in the studio in Mount Gambier in 1958. She is wearing her Highland Dancing outfit.</t>
  </si>
  <si>
    <t>Mulraney, J.;Costume -- Scotland;Folk dancing, Scottish -- South Australia -- Mount Gambier</t>
  </si>
  <si>
    <t>b21166912</t>
  </si>
  <si>
    <t>Moore siblings</t>
  </si>
  <si>
    <t>Photograph of the Moore brother and sister taken in the studio in Mount Gambier in 1958.</t>
  </si>
  <si>
    <t>Moore, L.;Children -- South Australia -- Mount Gambier</t>
  </si>
  <si>
    <t>b21166924</t>
  </si>
  <si>
    <t>Miss Jeanette Huckel</t>
  </si>
  <si>
    <t>Photograph of Miss Jeanette Huckel of Mt Burr, wearing a dress featuring quilted satin taken in the studio in Mount Gambier in 1958.</t>
  </si>
  <si>
    <t>Huckel, Jeanette;Clothing and dress -- South Australia -- Mount Gambier</t>
  </si>
  <si>
    <t>b21166997</t>
  </si>
  <si>
    <t>R.T. Walker</t>
  </si>
  <si>
    <t>Photograph of a man and woman taken in the studio in Mount Gambier in 1958. The couple is possibly Mr and Mrs Walker.</t>
  </si>
  <si>
    <t>Walker, R. T.</t>
  </si>
  <si>
    <t>b21171440</t>
  </si>
  <si>
    <t>G. Hughes</t>
  </si>
  <si>
    <t>Photograph of Mr and Mrs Hughes taken in the studio on their wedding day in 1958.</t>
  </si>
  <si>
    <t>Hughes, G., Mr;Hughes, G., Mrs;Wedding costume -- South Australia -- Mount Gambier</t>
  </si>
  <si>
    <t>b21171452</t>
  </si>
  <si>
    <t>T. Koszela</t>
  </si>
  <si>
    <t>Studio photograph of a well-dressed couple. The man is wearing a suit and the woman is wearing a dress with hat, gloves and hand-bag. It is possibly Mr and Mrs Koszela on their wedding day, or the couple were attending the wedding.</t>
  </si>
  <si>
    <t>Koszela, T.;Clothing and dress -- South Australia -- Mount Gambier</t>
  </si>
  <si>
    <t>b21171488</t>
  </si>
  <si>
    <t>L. Fatchen wedding group</t>
  </si>
  <si>
    <t>Photograph of Mr and Mrs Fatchen and their four attendants taken in the studio after their wedding in 1958.</t>
  </si>
  <si>
    <t>Fatchen, L.;Clothing and dress -- South Australia -- Mount Gambier</t>
  </si>
  <si>
    <t>b2117149x</t>
  </si>
  <si>
    <t>V. Anamidis wedding group</t>
  </si>
  <si>
    <t>Studio photograph of migrants Mr and Mrs Anamidis, their attendants and their families on their wedding day in 1958.</t>
  </si>
  <si>
    <t>Anamidis, V.;Weddings -- South Australia -- Mount Gambier;Wedding costume -- South Australia -- Mount Gambier</t>
  </si>
  <si>
    <t>b21171518</t>
  </si>
  <si>
    <t>D. Andrejic</t>
  </si>
  <si>
    <t>Studio photograph of migrants Mr and Mrs Andrejic in 1958. They have possibly attended a wedding. Mr Andrejic is wearing a suit and Mrs Andrejic is wearing a coat and holding a hand-bag.</t>
  </si>
  <si>
    <t>Andrejic, D.;Clothing and dress -- South Australia -- Mount Gambier</t>
  </si>
  <si>
    <t>b21179827</t>
  </si>
  <si>
    <t>R. Birrell</t>
  </si>
  <si>
    <t>Photograph of Mrs R. Birrell and her two bridesmaids and flowergirl. They are all wearing taffeta and lace dresses and floral headpieces.</t>
  </si>
  <si>
    <t>Birrell, R.;Brides -- South Australia -- Mount Gambier;Wedding costume -- South Australia -- Mount Gambier</t>
  </si>
  <si>
    <t>b21182875</t>
  </si>
  <si>
    <t>Meertens bridal party</t>
  </si>
  <si>
    <t>Photograph of the bride Margaret Meertens (Mrs Bob Atkinson) with her attendants, sisters Ann and Peggy Meertens, all from Millicent. The bride is wearing a long sleeved satin dress with a cap and long veil. The bridesmaids are wearing short sleeved dresses with a lace cut out neckline and gloves, and have feathered combs in their hair.</t>
  </si>
  <si>
    <t>Meertens, Margaret;Meertens, Ann;Meertens, Peggy;Brides -- South Australia -- Mount Gambier;Wedding costume -- South Australia -- Mount Gambier</t>
  </si>
  <si>
    <t>b21182887</t>
  </si>
  <si>
    <t>A. Auld</t>
  </si>
  <si>
    <t>Photograph of the bride Mrs A. Auld with her two bridesmaids on her wedding day in 1958. The bride is wearing a full length lace gown with a long train and veil. The bridesmaids are wearing long dresses with short sleeves, a collar and a chiffon skirt.</t>
  </si>
  <si>
    <t>Auld, A.;Brides -- South Australia -- Mount Gambier;Wedding costume -- South Australia -- Mount Gambier</t>
  </si>
  <si>
    <t>b2118320x</t>
  </si>
  <si>
    <t>F. Dragoski</t>
  </si>
  <si>
    <t>Photograph of Mr and Mrs F. Dragoski and their four attendants and two bridesmaids on their wedding day in 1958.</t>
  </si>
  <si>
    <t>Dragoski, F.;Brides -- South Australia -- Mount Gambier;Wedding costume -- South Australia -- Mount Gambier</t>
  </si>
  <si>
    <t>b21183223</t>
  </si>
  <si>
    <t>P. Calantzis</t>
  </si>
  <si>
    <t>Photograph of Mr and Mrs P. Calantzis on their wedding day in 1958 surrounded by attendants and several members of their families.</t>
  </si>
  <si>
    <t>Calantzis, P.;Brides -- South Australia -- Mount Gambier;Wedding costume -- South Australia -- Mount Gambier</t>
  </si>
  <si>
    <t>b21183326</t>
  </si>
  <si>
    <t>R. Doyle</t>
  </si>
  <si>
    <t>Photograph of the bride Mrs R. Doyle with her bridesmaid on her wedding day in 1958. The bride is wearing a long satin gown with lace sleeves and a train.</t>
  </si>
  <si>
    <t>Doyle, R.;Brides -- South Australia -- Mount Gambier;Wedding costume -- South Australia -- Mount Gambier</t>
  </si>
  <si>
    <t>b21183442</t>
  </si>
  <si>
    <t>Photograph of the bride Mrs D. Guerin, her bridesmaid and flowergirl on her wedding day in 1958.</t>
  </si>
  <si>
    <t>Guerin, D.;Brides -- South Australia -- Mount Gambier;Wedding costume -- South Australia -- Mount Gambier</t>
  </si>
  <si>
    <t>b21183569</t>
  </si>
  <si>
    <t>B. Murphy</t>
  </si>
  <si>
    <t>Photograph of the bride Mrs B. Murphy on her wedding day in 1958.  She is wearing a distinctive lace and ruffles long gown with a stand up collar.  Her short veil is bordered with embroidered flowers. She is carrying a bouquet of daisies.</t>
  </si>
  <si>
    <t>Murphy, B.;Brides -- South Australia -- Mount Gambier;Wedding costume -- South Australia -- Mount Gambier</t>
  </si>
  <si>
    <t>b21183594</t>
  </si>
  <si>
    <t>R. Meyer</t>
  </si>
  <si>
    <t>Photograph of the bride Mrs R. Meyer on her wedding day with her three attendants. The bride is wearing a flowing silk dress with a long train and long veil.  Her attendants are wearing cowl necked satin dresses with voile full skirts.</t>
  </si>
  <si>
    <t>Meyer, R.;Brides -- South Australia -- Mount Gambier;Wedding costume -- South Australia -- Mount Gambier</t>
  </si>
  <si>
    <t>b21183612</t>
  </si>
  <si>
    <t>R.B. McLean</t>
  </si>
  <si>
    <t>Photograph of Mr and Mrs R.B. McLean on their wedding day in 1958 with their two attendants.  The ladies are wearing street length suits with hats, gloves and handbags.  The bride is also holding good luck horse shoes.</t>
  </si>
  <si>
    <t>McLean, R. B.;Brides -- South Australia -- Mount Gambier;Wedding costume -- South Australia -- Mount Gambier</t>
  </si>
  <si>
    <t>b21183715</t>
  </si>
  <si>
    <t>W.J. Ferguson</t>
  </si>
  <si>
    <t>Photograph of piper Mr W.J. Ferguson taken in the studio in Mount Gambier in 1958. Mr Ferguson is dressed in full Scottish regalia and holds the bagpipes.</t>
  </si>
  <si>
    <t>Ferguson, W. J.;Bagpipers -- South Australia -- Mount Gambier</t>
  </si>
  <si>
    <t>b21183727</t>
  </si>
  <si>
    <t>L. Krause</t>
  </si>
  <si>
    <t>Photograph of bandsman Mr L. Krause in band uniform holding the trombone with his winning trophies displayed at his feet.</t>
  </si>
  <si>
    <t>Krause, L.;Trombone</t>
  </si>
  <si>
    <t>b21183739</t>
  </si>
  <si>
    <t>Doug Fimmell</t>
  </si>
  <si>
    <t>Photograph of Mr Doug Fimmell with possibly his wife and daughter taken in the studio in Mount Gambier in 1958.</t>
  </si>
  <si>
    <t>Fimmell, Doug;Fimmell (Family)</t>
  </si>
  <si>
    <t>b21183740</t>
  </si>
  <si>
    <t>Vorwerk family</t>
  </si>
  <si>
    <t>Studio photograph of Walter C. Vorwerk with his wife is Ida and their three daughters (from the left to right ) Margaret (youngest), Elsa (eldest) and Nance (middle).</t>
  </si>
  <si>
    <t>Vorwerk (Family)</t>
  </si>
  <si>
    <t>b21183752</t>
  </si>
  <si>
    <t>C. Bowditch</t>
  </si>
  <si>
    <t>Photograph of Mr and Mrs Bowditch and their daughter dressed in formal attire possibly for the Highland Ball. The daughter is wearing a tartan sash with her long tiered evening gown.</t>
  </si>
  <si>
    <t>Bowditch, C.;Bowditch (Family)</t>
  </si>
  <si>
    <t>b21183764</t>
  </si>
  <si>
    <t>G.D. Black</t>
  </si>
  <si>
    <t>Photograph of four ladies in their twenties possibly sisters, one of which is G.D. Black.</t>
  </si>
  <si>
    <t>Black, G. D.;Black (Family)</t>
  </si>
  <si>
    <t>b21183776</t>
  </si>
  <si>
    <t>J.P. Balkin</t>
  </si>
  <si>
    <t>Photograph of Mr and Mrs Balkin with four young children. The two girls are possibly four and  nine and the two boys are possibly  five and seven years old.</t>
  </si>
  <si>
    <t>Balkin, J. P.;Balkin (Family)</t>
  </si>
  <si>
    <t>b21183788</t>
  </si>
  <si>
    <t>Children of Percy and Bessie Wright.</t>
  </si>
  <si>
    <t>Children of Percy and Bessie Ida Wright (nee Hall). L-R: Wayne, Peggy Yvonne, Rhonda, Milton, Clarrie and Audrey Linda. Known by her middle name, Linda married Robert Wilson of Caroline near Mount Gambier.</t>
  </si>
  <si>
    <t>Wright, Audrey Linda, 1927-;Wright, Clarry;Wright, Milton;Wright, Peg;Wright, Rhonda;Wright, Wayne;Wright (Family)</t>
  </si>
  <si>
    <t>b21187939</t>
  </si>
  <si>
    <t>St. Andrews Church Committee</t>
  </si>
  <si>
    <t>Photograph of seventeen men and the vicar from St Andrews possibly the Church Council taken on 30/1/58.</t>
  </si>
  <si>
    <t>St. Andrews Church (Mount Gambier, S.A.)</t>
  </si>
  <si>
    <t>b21188440</t>
  </si>
  <si>
    <t>St. Andrews Vicar and Council</t>
  </si>
  <si>
    <t>Photograph of fifteen men, possibly the Church Council, and the Vicar of St. Andrews Church Mount Gambier taken on 30th January 1958.</t>
  </si>
  <si>
    <t>b21188452</t>
  </si>
  <si>
    <t>Presbyterian Presidents and Secretaries</t>
  </si>
  <si>
    <t>Photograph of nine ladies who were past presidents and secretaries of the Presbyterian Church Office in Mount Gambier on 24th March 1958.</t>
  </si>
  <si>
    <t>b21192510</t>
  </si>
  <si>
    <t>Photograph of the inside of the Eectricity Trust Building in Mount Gambier in July 1958.</t>
  </si>
  <si>
    <t>b21192522</t>
  </si>
  <si>
    <t>Braithwaite Brothers</t>
  </si>
  <si>
    <t>Photograph of the window display of the Braithwaite Brothers Shop in Mount Gambier on the fourteenth of March 1958. Items on display include refrigerators, vacuum cleaners, record players and radios.</t>
  </si>
  <si>
    <t>Braithwaite Brothers (Firm);Furniture industry and trade -- South Australia -- Mount Gambier;Stores, Retail -- South Australia -- Mount Gambier;Display of merchandise -- South Australia -- Mount Gambier</t>
  </si>
  <si>
    <t>b21192534</t>
  </si>
  <si>
    <t>Photograph of the inside of the Electricity Trust Building in Mount Gambier in July 1958.</t>
  </si>
  <si>
    <t>b21192546</t>
  </si>
  <si>
    <t>Photograph of the inside of the Electricity Trust Building in Mount Gambier in July 1958. A man is standing next to the controls.</t>
  </si>
  <si>
    <t>b21192558</t>
  </si>
  <si>
    <t>Photograph of the inside of the Electricity Trust Building in Mount Gambier in July 1958. The fuse panels are visible.</t>
  </si>
  <si>
    <t>b21193150</t>
  </si>
  <si>
    <t>Laubman and Pank</t>
  </si>
  <si>
    <t>Photograph of Laubman and Pank Opticians in Mount Gambier in 1958. This business also sells cameras and projection screens.</t>
  </si>
  <si>
    <t>Laubman &amp; Pank Ltd;Stores, Retail -- South Australia -- Mount Gambier</t>
  </si>
  <si>
    <t>b21193186</t>
  </si>
  <si>
    <t>Savings Bank new premises plans</t>
  </si>
  <si>
    <t>Photograph of the architect's plans for the new premises for the Savings Bank of South Australia Mount Gambier branch.</t>
  </si>
  <si>
    <t>Savings Bank of South Australia -- Buildings;Bank buildings -- South Australia -- Mount Gambier</t>
  </si>
  <si>
    <t>b21193253</t>
  </si>
  <si>
    <t>St. Andrews Church Organ</t>
  </si>
  <si>
    <t>Photograph of the massive organ inside St Andrews Church Mount Gambier. The photograph was taken on 16th March 1958.</t>
  </si>
  <si>
    <t>St Andrew's Presbyterian Church (Mount Gambier, S.A.);Organ (Musical instrument) -- South Australia -- Mount Gambier;Church architecture -- South Australia -- Mount Gambier;Church buildings -- South Australia -- Mount Gambier</t>
  </si>
  <si>
    <t>b21196254</t>
  </si>
  <si>
    <t>Photograph of six debutantes making their debut at the Highland Ball in Mount Gambier in 1958. See also BRG 347/6939 &amp; 6940.</t>
  </si>
  <si>
    <t>b21196266</t>
  </si>
  <si>
    <t>Photograph of six debutantes and their partners making their debut at the Highland Ball in Mount Gambier in 1958. See also BRG 347/6938 &amp; 6940.</t>
  </si>
  <si>
    <t>b21196278</t>
  </si>
  <si>
    <t>Photograph of six debutantes and their partners making their debut at the Highland Ball in Mount Gambier in 1958. One couple is being presented to the patron of the Ball. See also BRG 347/6938-6939.</t>
  </si>
  <si>
    <t>b2119628x</t>
  </si>
  <si>
    <t>Photograph of eleven debutantes from the Mount Gambier High School making their debut in 1958.</t>
  </si>
  <si>
    <t>b21196291</t>
  </si>
  <si>
    <t>Photograph of sixteen debutantes making their debut at the May Ball in 1958.</t>
  </si>
  <si>
    <t>b21196308</t>
  </si>
  <si>
    <t>b31227971</t>
  </si>
  <si>
    <t>Patricia Morrison</t>
  </si>
  <si>
    <t>1 photograph : black and white   8.4 x 5.5 cm;still image sti rdacontent;unmediated n rdamedia;sheet nb rdacarrier</t>
  </si>
  <si>
    <t>Patricia Morrison leading on an FX or FJ Holden in Port Lincoln.</t>
  </si>
  <si>
    <t>Whitely, Patricia.;Automobiles -- South Australia -- Port Lincoln.</t>
  </si>
  <si>
    <t>Port Lincoln Collection</t>
  </si>
  <si>
    <t>b21175159</t>
  </si>
  <si>
    <t>Isobel Kentish on 'Greenbanks'</t>
  </si>
  <si>
    <t>[approximately 1958]</t>
  </si>
  <si>
    <t>Isobel Kentish on 'Greenbanks'. Horse has a Naracoorte Annual Show ribbon around its neck.</t>
  </si>
  <si>
    <t>Kentish, Mary Isobel Jean, 1911-2002;Agricultural exhibitions -- South Australia -- Naracoorte</t>
  </si>
  <si>
    <t>b21113439</t>
  </si>
  <si>
    <t>Highland ball</t>
  </si>
  <si>
    <t>Photograph of two couples at a formal event, possibly a highland ball. One of the women is believed to be Mrs Brian Kraehe  the man on the left side (stripes on sleeve) is Lance Holmes.</t>
  </si>
  <si>
    <t>Holmes, Lance</t>
  </si>
  <si>
    <t>b21103677</t>
  </si>
  <si>
    <t>Woolworths - Draw your Dad Competition</t>
  </si>
  <si>
    <t>Photograph of a boy receiving a prize from Brian Lang as winner of the Draw Your Dad competition at Woolworths in Mount Gambier in 1959.</t>
  </si>
  <si>
    <t>Lang, Brian;Woolworths Ltd.;Boys -- South Australia -- Mount Gambier;Supermarkets -- South Australia -- Mount Gambier;Fathers -- Pictorial works;Art -- Competitions -- South Australia -- Mount Gambier</t>
  </si>
  <si>
    <t>b29253974</t>
  </si>
  <si>
    <t>First South Australian television licence</t>
  </si>
  <si>
    <t>1 photograph : black and white   21.2 x 15.9 cm;still image sti rdacontent;unmediated n rdamedia;sheet nb rdacarrier</t>
  </si>
  <si>
    <t>Joan Jackson with the first television licence issued in South Australia on 27 April 1959 for ┬ú5. She is pictured with a 17" Healing black and white television (the industry's first all steel cabinet). The photograph was printed with an article in the 'Advertiser' on Tuesday 29th April 1959, page 3.</t>
  </si>
  <si>
    <t>Jackson, Joan</t>
  </si>
  <si>
    <t>b21068720</t>
  </si>
  <si>
    <t>Mount Gambier Hospital complex</t>
  </si>
  <si>
    <t>View of the Mount Gambier Hospital complex with the new building under construction. February 1959. See also BRG 347/38 &amp; 39.</t>
  </si>
  <si>
    <t>Hospitals -- South Australia -- Mount Gambier</t>
  </si>
  <si>
    <t>b21100779</t>
  </si>
  <si>
    <t>Photograph of Bank of New South Wales building on 2nd August 1959, with possibly a new safe being delivered on a forklift, Mount Gambier.</t>
  </si>
  <si>
    <t>Banks and banking -- South Australia -- Mount Gambier</t>
  </si>
  <si>
    <t>b21100780</t>
  </si>
  <si>
    <t>Air Force cadets</t>
  </si>
  <si>
    <t>Photograph of Air Force cadets taking part in a parade on 6th June 1959, Mount Gambier.</t>
  </si>
  <si>
    <t>Parades -- South Australia -- Mount Gambier</t>
  </si>
  <si>
    <t>b21100834</t>
  </si>
  <si>
    <t>Vansittart Park</t>
  </si>
  <si>
    <t>Photograph of a ceremony in Vansittart Park on 6th June 1959, Mount Gambier.</t>
  </si>
  <si>
    <t>Rites and ceremonies -- South Australia -- Mount Gambier;Vansittart Park (Mount Gambier, S.A.)</t>
  </si>
  <si>
    <t>b21101565</t>
  </si>
  <si>
    <t>Wedding at St. Pauls</t>
  </si>
  <si>
    <t>Photograph of a wedding (possibly G. Amadia) at St. Pauls in 1959, Mount Gambier.</t>
  </si>
  <si>
    <t>b21101577</t>
  </si>
  <si>
    <t>Elders</t>
  </si>
  <si>
    <t>Photograph of a demolitian site, possibly Elders, on 23rd May 1959, Mount Gambier.</t>
  </si>
  <si>
    <t>Wrecking -- South Australia -- Mount Gambier;Building sites -- South Australia -- Mount Gambier</t>
  </si>
  <si>
    <t>b21101589</t>
  </si>
  <si>
    <t>NSW building block</t>
  </si>
  <si>
    <t>Photograph of the Bank of New South Wales building block in August 1959, Mount Gambier.</t>
  </si>
  <si>
    <t>Building sites -- South Australia -- Adelaide</t>
  </si>
  <si>
    <t>b21101590</t>
  </si>
  <si>
    <t>Photograph of the Commercial Bank, Mount Gambier on 12th January 1959. Shows furniture or similar being delivered to upper level of the building by crane.</t>
  </si>
  <si>
    <t>Commercial Bank of Australia -- Buildings;Banks and banking -- South Australia -- Mount Gambier</t>
  </si>
  <si>
    <t>b21101607</t>
  </si>
  <si>
    <t>Bank of NSW</t>
  </si>
  <si>
    <t>Photograph of the Bank of New South Wales taking delivery of a new safe on 2nd August 1959, Mount Gambier.</t>
  </si>
  <si>
    <t>b21101619</t>
  </si>
  <si>
    <t>Norwich Union</t>
  </si>
  <si>
    <t>Photograph of the Norwich Union Fire Insurance Society Limited, Mount Gambier office.</t>
  </si>
  <si>
    <t>b21101620</t>
  </si>
  <si>
    <t>State homes</t>
  </si>
  <si>
    <t>Photograph of an example of a state home in Mount Gambier.</t>
  </si>
  <si>
    <t>b21101644</t>
  </si>
  <si>
    <t>Photograph of a workman fixing sign on City Hall on 4th September 1959, in Mount Gambier.</t>
  </si>
  <si>
    <t>Municipal buildings -- South Australia -- Mount Gambier;City halls -- South Australia -- Mount Gambier</t>
  </si>
  <si>
    <t>b21101656</t>
  </si>
  <si>
    <t>Old primary school</t>
  </si>
  <si>
    <t>Photograph of the old primary school without its roof, undergoing work on 18th September 1959 in Mount Gambier.</t>
  </si>
  <si>
    <t>Primary schools -- South Australia -- Mount Gambier;Building sites -- South Australia -- Mount Gambier</t>
  </si>
  <si>
    <t>b21103616</t>
  </si>
  <si>
    <t>A.E.C. Mannequin Parade</t>
  </si>
  <si>
    <t>Photograph of five young girls holding a doll, October 1959.</t>
  </si>
  <si>
    <t>Girls -- South Australia -- Mount Gambier;Dolls -- South Australia -- Mount Gambier</t>
  </si>
  <si>
    <t>b21103628</t>
  </si>
  <si>
    <t>Police Christmas tree</t>
  </si>
  <si>
    <t>Photograph of young children with Father Christmas at the Police Christmas Tree event in 1959.</t>
  </si>
  <si>
    <t>Children -- South Australia -- Mount Gambier;Police -- South Australia -- Mount Gambier;Christmas -- South Australia -- Mount Gambier</t>
  </si>
  <si>
    <t>b2110363x</t>
  </si>
  <si>
    <t>Reidy Park</t>
  </si>
  <si>
    <t>Photograph of a lady and two girls holding dolls in July 1959.</t>
  </si>
  <si>
    <t>Dolls -- South Australia -- Mount Gambier;Girls -- South Australia -- Mount Gambier;Reidy Park (Mount Gambier, S.A.)</t>
  </si>
  <si>
    <t>b21103641</t>
  </si>
  <si>
    <t>Henley Girl</t>
  </si>
  <si>
    <t>Photograph of three young girls at an event called Henley Girl in 1959.</t>
  </si>
  <si>
    <t>Girls -- South Australia -- Port MacDonnell;Beauty contests -- South Australia -- Port MacDonnell</t>
  </si>
  <si>
    <t>b21103653</t>
  </si>
  <si>
    <t>Photograph of three young girls at an event called Henley Girl in 1959. They are wearing winners sashes.</t>
  </si>
  <si>
    <t>b21103665</t>
  </si>
  <si>
    <t>Photograph of children receiving presents from Father Christmas at the Police Christmas Tree in 1959.</t>
  </si>
  <si>
    <t>b21103689</t>
  </si>
  <si>
    <t>Floral Art Princesses</t>
  </si>
  <si>
    <t>Photograph of six young girls with a floral display at the Floral Art Princesses event in August 1959.</t>
  </si>
  <si>
    <t>Flower arrangement -- South Australia -- Mount Gambier;Flower shows -- South Australia -- Mount Gambier;Girls -- South Australia -- Mount Gambier</t>
  </si>
  <si>
    <t>b21103690</t>
  </si>
  <si>
    <t>J. Polias</t>
  </si>
  <si>
    <t>Photograph of J. Polias, possibly a boxer in 1959.</t>
  </si>
  <si>
    <t>Polias, J.;Boys -- South Australia -- Mount Gambier;Boxers (Sports) -- South Australia -- Mount Gambier</t>
  </si>
  <si>
    <t>b21104244</t>
  </si>
  <si>
    <t>Teacher retires</t>
  </si>
  <si>
    <t>Photograph of a teacher and her young pupils in the classroom on her retirement day on 3rd July 1959.</t>
  </si>
  <si>
    <t>Teachers -- South Australia -- Mount Gambier;School children -- South Australia -- Mount Gambier</t>
  </si>
  <si>
    <t>b21104256</t>
  </si>
  <si>
    <t>Back to school</t>
  </si>
  <si>
    <t>Photograph of a pupil ringing the school bell on the first day of the school year in February 1959.</t>
  </si>
  <si>
    <t>Bells -- South Australia -- Mount Gambier;School children -- South Australia -- Mount Gambier;Boys -- South Australia -- Mount Gambier;Schools -- South Australia -- Mount Gambier</t>
  </si>
  <si>
    <t>b21104268</t>
  </si>
  <si>
    <t>Scout-Ampol Films</t>
  </si>
  <si>
    <t>Photograph of three Boy Scouts inspecting the insides of a film projector with two adults on 15th July 1959.</t>
  </si>
  <si>
    <t>Motion picture projection;Boy Scouts -- South Australia -- Mount Gambier;Boys -- South Australia -- Mount Gambier</t>
  </si>
  <si>
    <t>b2110427x</t>
  </si>
  <si>
    <t>St. Paul's Fair</t>
  </si>
  <si>
    <t>Photograph of two young girls standing next to huge Christmas Stocking raffle at St. Paul's Fair on 6th November 1959.</t>
  </si>
  <si>
    <t>Christmas -- South Australia -- Mount Gambier;Fairs -- South Australia -- Mount Gambier;Children -- South Australia -- Mount Gambier</t>
  </si>
  <si>
    <t>b21104281</t>
  </si>
  <si>
    <t>Symphony Concert</t>
  </si>
  <si>
    <t>Photograph of the girls choir at the Symphony Concert performed in March 1959.</t>
  </si>
  <si>
    <t>Girls -- South Australia -- Mount Gambier;Concerts -- South Australia -- Mount Gambier</t>
  </si>
  <si>
    <t>b21104293</t>
  </si>
  <si>
    <t>Pixie Town</t>
  </si>
  <si>
    <t>Photograph of an event called Pixie Town on 22nd April 1959. It is a table height display of model houses, water wheels, railway lines and pixies.</t>
  </si>
  <si>
    <t>Models and modelmaking -- South Australia -- Mount Gambier</t>
  </si>
  <si>
    <t>b2110430x</t>
  </si>
  <si>
    <t>Legacy children</t>
  </si>
  <si>
    <t>Photograph of Legacy children boarding an aeroplane in January 1959.</t>
  </si>
  <si>
    <t>Legacy Club of Mount Gambier;Veterans -- South Australia -- Societies, etc.;Child welfare -- South Australia -- Mount Gambier;Charities -- South Australia -- Mount Gambier;Airplanes -- South Australia -- Mount Gambier</t>
  </si>
  <si>
    <t>b21104311</t>
  </si>
  <si>
    <t>Apprentices of the Year</t>
  </si>
  <si>
    <t>Photograph of two young men looking at machinery and dials.</t>
  </si>
  <si>
    <t>Machinery;Apprentices -- South Australia -- Mount Gambier</t>
  </si>
  <si>
    <t>b2110489x</t>
  </si>
  <si>
    <t>Road Safety</t>
  </si>
  <si>
    <t>Photograph of five men on a school crossing with a wooden model of a girl holding a School sign and 15 miles per hour sign. Photograph was taken on 1st June 1959.</t>
  </si>
  <si>
    <t>Traffic safety -- South Australia -- Mount Gambier</t>
  </si>
  <si>
    <t>b21104906</t>
  </si>
  <si>
    <t>Photograph of four schoolgirls and a man on a school crossing with a wooden model of a girl holding a School sign and 15 miles per hour sign. Photograph was taken on 1st June 1959.</t>
  </si>
  <si>
    <t>Traffic safety -- South Australia -- Mount Gambier;School children -- South Australia -- Mount Gambier</t>
  </si>
  <si>
    <t>b2110492x</t>
  </si>
  <si>
    <t>Courtesy Police Car</t>
  </si>
  <si>
    <t>Photograph of two policemen with the SA Police Courtesy Patrol Traffic Division car on 5th October 1959.</t>
  </si>
  <si>
    <t>Traffic police -- South Australia -- Mount Gambier</t>
  </si>
  <si>
    <t>b21104992</t>
  </si>
  <si>
    <t>A.E.C. Apprentices</t>
  </si>
  <si>
    <t>Photograph of apprentices receiving awards at a ceremony in November 1959.</t>
  </si>
  <si>
    <t>Apprentices -- South Australia -- Mount Gambier</t>
  </si>
  <si>
    <t>b21105005</t>
  </si>
  <si>
    <t>b21105017</t>
  </si>
  <si>
    <t>Adult Education</t>
  </si>
  <si>
    <t>Photograph of a sewing class at Adult Education showing five young women making dresses on 4th October 1959.</t>
  </si>
  <si>
    <t>Adult education -- South Australia -- Mount Gambier;Dressmaking</t>
  </si>
  <si>
    <t>b21105121</t>
  </si>
  <si>
    <t>Photograph of floral arrangements and crafts made during Adult Education classes on 4th November 1959.</t>
  </si>
  <si>
    <t>Adult education -- South Australia -- Mount Gambier;Floral decorations -- South Australia -- Mount Gambier</t>
  </si>
  <si>
    <t>b21106940</t>
  </si>
  <si>
    <t>Photograph of three men at the Hockey Presentation in 1959.</t>
  </si>
  <si>
    <t>Hockey players -- South Australia -- Mount Gambier;Awards -- Sport -- South Australia -- Mount Gambier;Hockey -- South Australia -- Mount Gambier</t>
  </si>
  <si>
    <t>b21106952</t>
  </si>
  <si>
    <t>Diving</t>
  </si>
  <si>
    <t>Photograph of children diving at the Mount Gambier Swimming Pool on 7th January 1959.</t>
  </si>
  <si>
    <t>b21106964</t>
  </si>
  <si>
    <t>Lakes Fish</t>
  </si>
  <si>
    <t>Photograph of three fishermen, including Gene Raymond at left, catching trout in the Lake on 15th July 1959, Mount Gambier.</t>
  </si>
  <si>
    <t>Fishers -- South Australia -- Mount Gambier;Trout fishing -- South Australia -- Mount Gambier</t>
  </si>
  <si>
    <t>b21106976</t>
  </si>
  <si>
    <t>Photograph of the mens hockey team watching two officials posing for the camera in 1959.</t>
  </si>
  <si>
    <t>b21106988</t>
  </si>
  <si>
    <t>Dress shop</t>
  </si>
  <si>
    <t>Photograph of three ladies sorting through dresses in a shop.  The negative is entitled "Pistol Club".</t>
  </si>
  <si>
    <t>Clothing and dress -- South Australia -- Mount Gambier;Stores, Retail -- South Australia -- Mount Gambier</t>
  </si>
  <si>
    <t>b2110699x</t>
  </si>
  <si>
    <t>Trout season opening</t>
  </si>
  <si>
    <t>Photograph of five fishermen holding many trout during the opening of the trout fishing season in 1959, Mount Gambier. From left: Eugene (Gene) Raymond, John Kestle, Max Lovell, Bill Phillips, Kim Holmes.</t>
  </si>
  <si>
    <t>Lovell, Max;Phillips, Bill;Holmes, Kim;Raymond, Eugene;Kestle, John;Fishers -- South Australia -- Mount Gambier;Trout fishing -- South Australia -- Mount Gambier</t>
  </si>
  <si>
    <t>b21107038</t>
  </si>
  <si>
    <t>Croquet</t>
  </si>
  <si>
    <t>Photograph of four lady croquet players on March 6th 1959.</t>
  </si>
  <si>
    <t>b2110704x</t>
  </si>
  <si>
    <t>Highland dancers</t>
  </si>
  <si>
    <t>Photograph of two young Highland dancers one of whom is D. Tilley in 1959.</t>
  </si>
  <si>
    <t>Dancers -- South Australia -- Mount Gambier;Highland fling (Dance);Costume -- Scotland</t>
  </si>
  <si>
    <t>b21107075</t>
  </si>
  <si>
    <t>Photograph of three winners in kilts during the New Years Day Sports Competititon in 1959.</t>
  </si>
  <si>
    <t>New Year -- South Australia -- Mount Gambier;Costume -- Scotland;Awards -- Sport -- South Australia -- Mount Gambier</t>
  </si>
  <si>
    <t>b21107087</t>
  </si>
  <si>
    <t>Photograph of four lady croquet players on 6th March 1959, Mount Gambier.</t>
  </si>
  <si>
    <t>b21107105</t>
  </si>
  <si>
    <t>Photograph of four men, two in kilts during the New Years Day Sports in 1959.</t>
  </si>
  <si>
    <t>New Year -- South Australia -- Mount Gambier;Costume -- Scotland</t>
  </si>
  <si>
    <t>b2110718x</t>
  </si>
  <si>
    <t>Graeme Wilson-Fletcher</t>
  </si>
  <si>
    <t>Photograph of a cyclist, possibly Graeme Wilson-Fletcher in 1959.</t>
  </si>
  <si>
    <t>b21107191</t>
  </si>
  <si>
    <t>Photograph of two cyclists participating in the New Years Day Sports in 1959, Mount Gambier.</t>
  </si>
  <si>
    <t>New Year -- South Australia -- Mount Gambier;Cyclists -- South Australia -- Mount Gambier</t>
  </si>
  <si>
    <t>b21107208</t>
  </si>
  <si>
    <t>Photograph of a young dancer in costume during the New Years Day Sports in 1959, Mount Gambier.</t>
  </si>
  <si>
    <t>New Year -- South Australia -- Mount Gambier;Costume -- Scotland;Dancers -- South Australia -- Mount Gambier</t>
  </si>
  <si>
    <t>b2110721x</t>
  </si>
  <si>
    <t>Photograph of two young athletes receiving awards during the New Years Day Sports in 1959, Mount Gambier.</t>
  </si>
  <si>
    <t>New Year -- South Australia -- Mount Gambier;Athletes -- South Australia -- Mount Gambier</t>
  </si>
  <si>
    <t>b21107221</t>
  </si>
  <si>
    <t>Photograph of a competitor receiving congratulations during the New Years Day Sports in 1959, Mount Gambier.</t>
  </si>
  <si>
    <t>b21107233</t>
  </si>
  <si>
    <t>Photograph of the organisers and officials of the New Years Day Sports in 1959, Mount Gambier.</t>
  </si>
  <si>
    <t>New Year -- South Australia -- Mount Gambier;Sports -- South Australia -- Mount Gambier</t>
  </si>
  <si>
    <t>b21107245</t>
  </si>
  <si>
    <t>Photograph of David Thompson winning the race during the New Years Day Sports in 1959, Mount Gambier.</t>
  </si>
  <si>
    <t>b21107257</t>
  </si>
  <si>
    <t>New Years Day Sports, Mount Gambier</t>
  </si>
  <si>
    <t>Doug Finnis, winner of the One Mile Running Handicap Race being congratulated by  Doug McKenzie. The race was part of the New Years Day Sports at Mount Gambier.</t>
  </si>
  <si>
    <t>New Year -- South Australia -- Mount Gambier;Awards -- Sport -- South Australia -- Mount Gambier;Athletes -- South Australia -- Mount Gambier</t>
  </si>
  <si>
    <t>b21107269</t>
  </si>
  <si>
    <t>Photograph of two cyclists competing in the New Years Day Sports in 1959, Mount Gambier.</t>
  </si>
  <si>
    <t>New Year -- South Australia -- Mount Gambier;Cyclists -- South Australia -- Mount Gambier;Bicycle racing -- South Australia -- Mount Gambier</t>
  </si>
  <si>
    <t>b21107270</t>
  </si>
  <si>
    <t>Photograph of cyclists at the beginning of an event during the New Years Day Sports in 1959, Mount Gambier.</t>
  </si>
  <si>
    <t>New Year -- South Australia -- Mount Gambier;Bicycle racing -- South Australia -- Mount Gambier;Cyclists -- South Australia -- Mount Gambier</t>
  </si>
  <si>
    <t>b21107282</t>
  </si>
  <si>
    <t>Photograph of two cyclists after winning an event during the New Years Day Sports in 1959, Mount Gambier.</t>
  </si>
  <si>
    <t>New Year -- South Australia -- Mount Gambier;Awards -- Sport -- South Australia -- Mount Gambier;Cyclists -- South Australia -- Mount Gambier</t>
  </si>
  <si>
    <t>b21107294</t>
  </si>
  <si>
    <t>Photograph of two competitors after the One Mile Handicap Race at the New Years Day Sports in 1959, Mount Gambier. They are David Thompson (runner on left), Doug Mckenzie (their trainer/coach), and Doug Finnis (runner on right).</t>
  </si>
  <si>
    <t>New Year -- South Australia -- Mount Gambier;Awards -- Sport -- South Australia;Athletes -- South Australia -- Mount Gambier</t>
  </si>
  <si>
    <t>b21107300</t>
  </si>
  <si>
    <t>Hunt Club</t>
  </si>
  <si>
    <t>Photograph of three members of the Hunt Club with their horses on 18th July 1959.</t>
  </si>
  <si>
    <t>Mount Gambier Hunt Club;Horsemen and horsewomen -- South Australia -- Mount Gambier;Horses -- South Australia -- Mount Gambier</t>
  </si>
  <si>
    <t>b21177892</t>
  </si>
  <si>
    <t>Members of the Cycling Club race around a circuit in December 1959.</t>
  </si>
  <si>
    <t>Mount Gambier Cycling Club;Cyclists -- South Australia -- Mount Gambier</t>
  </si>
  <si>
    <t>b21107312</t>
  </si>
  <si>
    <t>One Hundred Mile Race</t>
  </si>
  <si>
    <t>Photograph of two competitors at the beginning of the One Hundred Mile Cycling Race on 15th August 1959. According to a researcher, the rider on the left is Kingsley Osborne.  He was a butcher in Mt Gambier.</t>
  </si>
  <si>
    <t>b21107324</t>
  </si>
  <si>
    <t>Photograph of the Prize Giving Ceremony for the winner of the One Hundred Mile Cycling Race on 15th August 1959.</t>
  </si>
  <si>
    <t>Cyclists -- South Australia -- Mount Gambier;Awards -- Sport -- South Australia -- Mount Gambier</t>
  </si>
  <si>
    <t>b21107336</t>
  </si>
  <si>
    <t>Basketball  - Nurses</t>
  </si>
  <si>
    <t>Photograph of the seven females members of the Nurses Basketball team on 5th June 1959, Mount Gambier.</t>
  </si>
  <si>
    <t>Nurses -- South Australia -- Mount Gambier;Basketball -- South Australia -- Mount Gambier</t>
  </si>
  <si>
    <t>b21107348</t>
  </si>
  <si>
    <t>Waybacks - Hockey Premiers</t>
  </si>
  <si>
    <t>Photograph of the Waybacks Hockeys premiers of 1959, Mount Gambier.</t>
  </si>
  <si>
    <t>b2110735x</t>
  </si>
  <si>
    <t>Tennis Opening</t>
  </si>
  <si>
    <t>Photograph of the four ladies at the Tennis Club Opening in 1959.</t>
  </si>
  <si>
    <t>Tennis clubs -- South Australia -- Mount Gambier</t>
  </si>
  <si>
    <t>b21107361</t>
  </si>
  <si>
    <t>Junior cricketers</t>
  </si>
  <si>
    <t>Photograph of two of the junior cricketers playing cricket in October 1959.</t>
  </si>
  <si>
    <t>b21177909</t>
  </si>
  <si>
    <t>Softball opening</t>
  </si>
  <si>
    <t>Two men and two women at a softball opening on 7th November 1959. According to a researcher, the man holding the softball bat, with the woman, was Mr Stanley Elliott, who was the Mayor of Mt Gambier at the time.</t>
  </si>
  <si>
    <t>Elliott, Stanley Hamilton, 1910-1990;Softball -- South Australia -- Mount Gambier</t>
  </si>
  <si>
    <t>b21107373</t>
  </si>
  <si>
    <t>One Hundred Mile Road Race</t>
  </si>
  <si>
    <t>Photograph of two cyclists wearing sashes after the 100 Mile Road Race for Cyclists held on 15th August 1959, Mount Gambier.</t>
  </si>
  <si>
    <t>b21107385</t>
  </si>
  <si>
    <t>Trout Opening</t>
  </si>
  <si>
    <t>Photograph of fisherman Gene Raymond with a large catch of trout at the Trout Opening event at Valley Lake, Mount Gambier in 1959.</t>
  </si>
  <si>
    <t>Raymond, Gene;Fishers -- South Australia -- Mount Gambier;Trout fishing -- South Australia -- Mount Gambier</t>
  </si>
  <si>
    <t>b21107397</t>
  </si>
  <si>
    <t>Tennis season opening</t>
  </si>
  <si>
    <t>Photograph of three ladies and three men during the opening of the tennis season in 1959. Included in this group are George Horrigan (centre, back row) and Nola Horrigan (left, front row).</t>
  </si>
  <si>
    <t>b21107403</t>
  </si>
  <si>
    <t>Photograph of members of the hockey club on 10th October 1959, Mount Gambier.</t>
  </si>
  <si>
    <t>b21107427</t>
  </si>
  <si>
    <t>View, looking east, of a speed boat, JATO III, on Valley Lake, Mount Gambier, 12 October 1959.</t>
  </si>
  <si>
    <t>Lakes -- South Australia -- Mount Gambier;Motorboats -- South Australia -- Mount Gambier</t>
  </si>
  <si>
    <t>b21107439</t>
  </si>
  <si>
    <t>Photograph of two men from the hockey team with the umpire on 10th October 1959.</t>
  </si>
  <si>
    <t>b21107440</t>
  </si>
  <si>
    <t>Photograph of eleven men from the hockey team  on10th October 1959.</t>
  </si>
  <si>
    <t>b21107415</t>
  </si>
  <si>
    <t>Photograph of an award being presented to a hockey player on 10th October 1959, Mount Gambier.</t>
  </si>
  <si>
    <t>b21107452</t>
  </si>
  <si>
    <t>Photograph of  awards presented to the hockey team on 10th October 1959.</t>
  </si>
  <si>
    <t>b21107464</t>
  </si>
  <si>
    <t>Photograph of awards being presented to a member of the  hockey team on 10th October 1959.</t>
  </si>
  <si>
    <t>b21107476</t>
  </si>
  <si>
    <t>Speedboats on Valley Lake</t>
  </si>
  <si>
    <t>Photograph of three speed boats, including 'Adios' preparing to come ashore at the edge of the Valley Lake, Mount Gambier, 12 October 1959.</t>
  </si>
  <si>
    <t>b21107488</t>
  </si>
  <si>
    <t>Brian Lane cricketer</t>
  </si>
  <si>
    <t>Photograph of Brian Lane batting in November 1959, Mount Gambier.</t>
  </si>
  <si>
    <t>Lane, Brian;Cricket players -- South Australia -- Mount Gambier;Cricket -- South Australia -- Mount Gambier</t>
  </si>
  <si>
    <t>b2110749x</t>
  </si>
  <si>
    <t>Mrs Hastings - Mount Gambier Show</t>
  </si>
  <si>
    <t>Photograph of two riders and two horses at the Mount Gambier Show in 1959.</t>
  </si>
  <si>
    <t>Horsemen and horsewomen -- South Australia -- Mount Gambier;Horses -- South Australia -- Mount Gambier</t>
  </si>
  <si>
    <t>b21107506</t>
  </si>
  <si>
    <t>West Hockey Team</t>
  </si>
  <si>
    <t>Photograph of the girls from the West Hockey Team eating oranges during the break on 2nd October 1959.</t>
  </si>
  <si>
    <t>b21107518</t>
  </si>
  <si>
    <t>Photograph of five riders and two horses during the Mount Gambier Show in 1959.</t>
  </si>
  <si>
    <t>b2110752x</t>
  </si>
  <si>
    <t>K.L. Osborne</t>
  </si>
  <si>
    <t>Photograph of Kingsley Osborne having his bicycle weighed at Ansett ANA offices in September 1959.</t>
  </si>
  <si>
    <t>Osborne, Kingsley Lancelot, 1911-1983;Bicycles -- South Australia -- Mount Gambier</t>
  </si>
  <si>
    <t>b21107531</t>
  </si>
  <si>
    <t>Photograph of a hockey match underway on 12th July 1959.</t>
  </si>
  <si>
    <t>b21107543</t>
  </si>
  <si>
    <t>Photograph of a lawn bowls competititon on 10th October 1959.</t>
  </si>
  <si>
    <t>b21107567</t>
  </si>
  <si>
    <t>Photograph of two soldiers from the South Australian Scottish Regiment at the Golf Club on 12th October 1959.</t>
  </si>
  <si>
    <t>b21107579</t>
  </si>
  <si>
    <t>East Hockey</t>
  </si>
  <si>
    <t>Photograph of the East Hockey team sitting on the ground during a break in a hockey match played on 3rd October 1959.</t>
  </si>
  <si>
    <t>b21107580</t>
  </si>
  <si>
    <t>Photograph of Murray Brown and Bob Bradley at the microphone during a golfing event on 8th October 1959, Mount Gambier.</t>
  </si>
  <si>
    <t>b21107592</t>
  </si>
  <si>
    <t>Baseball</t>
  </si>
  <si>
    <t>Photograph of a jubliant baseball team on 10th October 1959.</t>
  </si>
  <si>
    <t>Baseball -- South Australia -- Mount Gambier;Baseball players -- South Australia -- Mount Gambier</t>
  </si>
  <si>
    <t>b21107609</t>
  </si>
  <si>
    <t>Photograph of a cup being awarded to a rider from the Hunt Club on 18th July 1959.</t>
  </si>
  <si>
    <t>Awards -- Sport -- South Australia -- Mount Gambier;Horses -- South Australia -- Mount Gambier;Horsemen and horsewomen -- South Australia -- Mount Gambier;Mount Gambier Hunt Club</t>
  </si>
  <si>
    <t>b21107610</t>
  </si>
  <si>
    <t>Mail Medal - Football</t>
  </si>
  <si>
    <t>Photograph of the Mail Medal being awarded to John Miller from the Penola Football Club on 26th September 1959.</t>
  </si>
  <si>
    <t>Australian football -- South Australia -- Penola;Australian football players -- South Australia -- Penola;Awards -- Sport -- South Australia -- Penola</t>
  </si>
  <si>
    <t>b21107622</t>
  </si>
  <si>
    <t>School Sports</t>
  </si>
  <si>
    <t>Photograph of a cup being presented to school captains during a ceremony at School Sports on 4th June 1959.</t>
  </si>
  <si>
    <t>Sports for children -- South Australia -- Mount Gambier;School children -- South Australia -- Mount Gambier;Awards -- Sport -- South Australia -- Mount Gambier</t>
  </si>
  <si>
    <t>b21107634</t>
  </si>
  <si>
    <t>Photograph of three riders and their horses at the Hunt Club on 18th July 1959.</t>
  </si>
  <si>
    <t>Horsemen and horsewomen -- South Australia -- Mount Gambier;Horses -- South Australia -- Mount Gambier;Mount Gambier Hunt Club</t>
  </si>
  <si>
    <t>b21107646</t>
  </si>
  <si>
    <t>Photograph of riders and their horses at the Hunt Club on 18th July 1959.</t>
  </si>
  <si>
    <t>b21107658</t>
  </si>
  <si>
    <t>Photograph of a cup being presented to a competitor at the Hunt Club on 18th July 1959.</t>
  </si>
  <si>
    <t>Awards -- Sport -- South Australia -- Mount Gambier;Horsemen and horsewomen -- South Australia -- Mount Gambier;Horses -- South Australia -- Mount Gambier;Mount Gambier Hunt Club</t>
  </si>
  <si>
    <t>b2110766x</t>
  </si>
  <si>
    <t>Photograph of two cyclists, one of whom is Kingsley Osborne, in 1959. The other person, standing, is the son of Kingsley Osborne, believed to be Dale Osborne.</t>
  </si>
  <si>
    <t>Osborne, Kingsley Lancelot, 1911-1983;Cyclists -- South Australia -- Mount Gambier</t>
  </si>
  <si>
    <t>b21107671</t>
  </si>
  <si>
    <t>Photograph of the baseball team listening to instructions during a game on 4th July 1959.</t>
  </si>
  <si>
    <t>b21107762</t>
  </si>
  <si>
    <t>Ansett ANA</t>
  </si>
  <si>
    <t>Photograph of passengers boarding an Ansett aeroplane on 8th May 1959, Mount Gambier.</t>
  </si>
  <si>
    <t>b21107774</t>
  </si>
  <si>
    <t>Savings Bank Opening</t>
  </si>
  <si>
    <t>Photograph of the manager greeting a customer at the opening of the Savings Bank on 22nd July 1959, Mount Gambier.</t>
  </si>
  <si>
    <t>Savings Bank of South Australia;Banks and banking -- South Australia -- Mount Gambier</t>
  </si>
  <si>
    <t>b21107786</t>
  </si>
  <si>
    <t>Border Watch</t>
  </si>
  <si>
    <t>Photograph of a worker at the press of the Border Watch Newspaper on 6th October 1959, Mount Gambier.</t>
  </si>
  <si>
    <t>Border Watch (Firm) -- Employees;Australian newspapers -- South Australia -- Mount Gambier;Printing-press</t>
  </si>
  <si>
    <t>b21107798</t>
  </si>
  <si>
    <t>Photograph of a worker preparing the print for the Border Watch Newspaper on 8th October 1959, Mount Gambier.</t>
  </si>
  <si>
    <t>Border Watch (Firm);Australian newspapers -- South Australia -- Mount Gambier;Printing-press -- South Australia -- Mount Gambier</t>
  </si>
  <si>
    <t>b21107804</t>
  </si>
  <si>
    <t>b21107816</t>
  </si>
  <si>
    <t>'Border Watch' printing press</t>
  </si>
  <si>
    <t>Photograph of  Mr Col Gladigau adjusting the printing press at the 'Border Watch' newspaper on 8th October 1959, Mount Gambier.</t>
  </si>
  <si>
    <t>Gladigau, C.;Border Watch (Firm);Australian newspapers -- South Australia -- Mount Gambier;Printing-press -- South Australia -- Mount Gambier</t>
  </si>
  <si>
    <t>b21107828</t>
  </si>
  <si>
    <t>Border Watch Machine</t>
  </si>
  <si>
    <t>Photograph of a worker adjusting the paper on the rollers of the Border Watch Newspaper on 6th October 1959, Mount Gambier.</t>
  </si>
  <si>
    <t>b2110783x</t>
  </si>
  <si>
    <t>b21107841</t>
  </si>
  <si>
    <t>Mill Opening</t>
  </si>
  <si>
    <t>Photograph of dignitaries at the Opening of the Mill on 19th May 1959, Mount Gambier.</t>
  </si>
  <si>
    <t>Sawmills -- South Australia -- Mount Gambier</t>
  </si>
  <si>
    <t>b21107853</t>
  </si>
  <si>
    <t>Border Watch staff</t>
  </si>
  <si>
    <t>Photograph of staff at the Border Watch newspaper, Mt Gambier, 6 October 1959.</t>
  </si>
  <si>
    <t>Border Watch (Firm) -- Employees;Australian newspapers -- South Australia -- Mount Gambier</t>
  </si>
  <si>
    <t>b21107865</t>
  </si>
  <si>
    <t>Photograph of mill procedures being explained to visitors during the Opening of the Mill ceremonies on 19th May 1959.</t>
  </si>
  <si>
    <t>b21107877</t>
  </si>
  <si>
    <t>Photograph of a plaque being unveiled during the Opening of the Mill ceremonies on 19th May 1959.</t>
  </si>
  <si>
    <t>b21107889</t>
  </si>
  <si>
    <t>Pig Appraisment</t>
  </si>
  <si>
    <t>Photograph of pork and smallgoods on display during the Pig Appraisment event on 21st May 1959, Mount Gambier.</t>
  </si>
  <si>
    <t>b21107890</t>
  </si>
  <si>
    <t>Photograph of three men during the Mill Opening on 19th May 1959. One of the men is L.C. Hunkin, Chairman of the Forestry Board.</t>
  </si>
  <si>
    <t>b21107907</t>
  </si>
  <si>
    <t>Photograph of five men surveying planks of wood during the Mill Opening on 19th May 1959.</t>
  </si>
  <si>
    <t>b21107919</t>
  </si>
  <si>
    <t>Photograph of the audience at the Mill Opening on 19th May 1959.</t>
  </si>
  <si>
    <t>b21107920</t>
  </si>
  <si>
    <t>Photograph of two men inspecting planks at the Mill Opening on 19th May 1959.</t>
  </si>
  <si>
    <t>b21107932</t>
  </si>
  <si>
    <t>Photograph of men inspecting planks at the Mill Opening on 19th May 1959.</t>
  </si>
  <si>
    <t>b21107944</t>
  </si>
  <si>
    <t>Photograph of the plaque being unveiled at the opening of the Mount Gambier State Sawmill on 19th May 1959.</t>
  </si>
  <si>
    <t>b21107956</t>
  </si>
  <si>
    <t>Photograph of sides of pork being appraised on 21st May 1959.</t>
  </si>
  <si>
    <t>b21107968</t>
  </si>
  <si>
    <t>b2110797x</t>
  </si>
  <si>
    <t>J.J. Ryan Pig Company</t>
  </si>
  <si>
    <t>Photograph of ladies having cups of tea at the J.J. Ryan Pig Company on 21st May 1959.</t>
  </si>
  <si>
    <t>b21107981</t>
  </si>
  <si>
    <t>Pig Appraisement</t>
  </si>
  <si>
    <t>Photograph of pork being appraised on 21st May 1959.</t>
  </si>
  <si>
    <t>b21107993</t>
  </si>
  <si>
    <t>D.J. Thompson</t>
  </si>
  <si>
    <t>Photograph of a man shaking hands with a lady, possibly representative from a china and silverware company, on 21st May 1959.</t>
  </si>
  <si>
    <t>Thompson, D. J.</t>
  </si>
  <si>
    <t>b21108043</t>
  </si>
  <si>
    <t>Photograph of judges at the Pig Appraisement looking at sides of bacon on 21st May 1959.</t>
  </si>
  <si>
    <t>b21108055</t>
  </si>
  <si>
    <t>Photograph of Eugene, Lexie and Glen Raymond with architectural plans at G. Raymond's business company on 21st July 1959.</t>
  </si>
  <si>
    <t>G. Raymond &amp; Co;Architecture -- South Australia -- Mount Gambier</t>
  </si>
  <si>
    <t>b21108067</t>
  </si>
  <si>
    <t>Stockowners meeting</t>
  </si>
  <si>
    <t>Photograph of five men meeting at the Stockowners meeting on 7th July 1959, Mount Gambier.</t>
  </si>
  <si>
    <t>Stockowners Association of South Australia</t>
  </si>
  <si>
    <t>b21108079</t>
  </si>
  <si>
    <t>Ceremony at Softwoods</t>
  </si>
  <si>
    <t>Photograph of Senator Laught, Bob Page, Elaine Best and Don Downes all of whom worked for Softwoods except Senator Laught, taken on 29th January 1959, Mount Gambier.</t>
  </si>
  <si>
    <t>Downes, Don;Best, Elaine;Page, Bob</t>
  </si>
  <si>
    <t>b21108080</t>
  </si>
  <si>
    <t>Softwoods visit</t>
  </si>
  <si>
    <t>Photograph of four men looking at planks of wood in February 1959.</t>
  </si>
  <si>
    <t>Softwood industry -- South Australia -- Mount Gambier</t>
  </si>
  <si>
    <t>b21108560</t>
  </si>
  <si>
    <t>Central Mill</t>
  </si>
  <si>
    <t>Photograph of an aerial view of the Central Mill in February in 1959.</t>
  </si>
  <si>
    <t>Flour mills -- South Australia -- Mount Gambier</t>
  </si>
  <si>
    <t>b21110104</t>
  </si>
  <si>
    <t>Nelson Bridge</t>
  </si>
  <si>
    <t>Photograph of the Nelson Bridge over the Glenelg River in 1959. Date possibly incorrect.</t>
  </si>
  <si>
    <t>Bridges -- Victoria -- Nelson;Glenelg River (Vic.)</t>
  </si>
  <si>
    <t>b21110797</t>
  </si>
  <si>
    <t>Aerial view of Mount Gambier</t>
  </si>
  <si>
    <t>Photograph of Mount Gambier and Lakes from the air in February 1959.</t>
  </si>
  <si>
    <t>b21110803</t>
  </si>
  <si>
    <t>Photograph of Mount Gambier and Lakes from the air in February 1959. The Lakes are in the foreground with the town in the background.</t>
  </si>
  <si>
    <t>b21110815</t>
  </si>
  <si>
    <t>b21110827</t>
  </si>
  <si>
    <t>b21112848</t>
  </si>
  <si>
    <t>F. Burdon</t>
  </si>
  <si>
    <t>Photograph of Mr. F. Burdon in his office in 1959.</t>
  </si>
  <si>
    <t>Burdon, F.</t>
  </si>
  <si>
    <t>b2111285x</t>
  </si>
  <si>
    <t>Photograph of the staff of the Border Watch newspaper on 6 October 1959. Eric Ball is standing behind woman in white blouse on far left.</t>
  </si>
  <si>
    <t>b21112861</t>
  </si>
  <si>
    <t>Photograph of Mrs S.C. Davis at a Red Cross function in June 1959, Mount Gambier.</t>
  </si>
  <si>
    <t>Davis, S. C.;Red Cross -- South Australia -- Mount Gambier</t>
  </si>
  <si>
    <t>b21112873</t>
  </si>
  <si>
    <t>W. Guster</t>
  </si>
  <si>
    <t>Photograph of Mr. W. Guster with trophies for prize fleeces in 1959, Mount Gambier.</t>
  </si>
  <si>
    <t>Guster, W.;Wool -- South Australia -- Mount Gambier</t>
  </si>
  <si>
    <t>b21112885</t>
  </si>
  <si>
    <t>Davis Bros. Trophy</t>
  </si>
  <si>
    <t>Photograph of C. Davis (right) awarding the cup to Tom Quill for the car trial over 150 miles in June 1959.</t>
  </si>
  <si>
    <t>Davis, C.;Quill, Tom;Automobile racing -- Awards -- South Australia -- Mount Gambier</t>
  </si>
  <si>
    <t>b21112903</t>
  </si>
  <si>
    <t>B. Bawden</t>
  </si>
  <si>
    <t>Photograph of Byron ('Blinks') Bawden with a horse on 10th November 1959.</t>
  </si>
  <si>
    <t>Bawden, Byron;Horses -- South Australia -- Mount Gambier</t>
  </si>
  <si>
    <t>b21112915</t>
  </si>
  <si>
    <t>Mrs Dodd</t>
  </si>
  <si>
    <t>Photograph of Mrs Dodd standing in front of her shell and coral collection in 1959, Mount Gambier.</t>
  </si>
  <si>
    <t>Dodd, Gertrude;Shells -- South Australia -- Mount Gambier</t>
  </si>
  <si>
    <t>b21112927</t>
  </si>
  <si>
    <t>National Bank Staff</t>
  </si>
  <si>
    <t>Photograph of the staff of the National Bank in October 1959, Mount Gambier.</t>
  </si>
  <si>
    <t>National Bank of Australasia -- South Australia -- Mount Gambier -- Employees</t>
  </si>
  <si>
    <t>b21112939</t>
  </si>
  <si>
    <t>O'Donnell Art Award</t>
  </si>
  <si>
    <t>Photograph of three men and two ladies at the O'Donnell Art Award in October 1959.  The men are Mr. A. O'Donnell, Mr. S. Elliott, and Mr G. Robertston.</t>
  </si>
  <si>
    <t>Robertson, G.;Elliott, Stanley Hamilton, 1910-1990;O'Donnell, A.;Art -- Competitions -- South Australia -- Mount Gambier</t>
  </si>
  <si>
    <t>b21112940</t>
  </si>
  <si>
    <t>Photograph of a man and a lady admiring a work of art at the O'Donnell Art Award in October 1959.</t>
  </si>
  <si>
    <t>Art -- Competitions -- South Australia -- Mount Gambier</t>
  </si>
  <si>
    <t>b21112952</t>
  </si>
  <si>
    <t>Mount Gambier Arts Festival</t>
  </si>
  <si>
    <t>Photograph of Mr Colin Davis and Mr Stan Elliott at the Mount Gambier Arts Festival 1959.</t>
  </si>
  <si>
    <t>Festivals -- South Australia -- Mount Gambier</t>
  </si>
  <si>
    <t>b21112988</t>
  </si>
  <si>
    <t>Mitchell Reunion</t>
  </si>
  <si>
    <t>Photograph of six members of the Mitchell family at the Mitchell Reunion on 12th September 1959, Mount Gambier.</t>
  </si>
  <si>
    <t>Mitchell (Family);Reunions -- South Australia -- Mount Gambier</t>
  </si>
  <si>
    <t>b2111299x</t>
  </si>
  <si>
    <t>McTavish Silver Wedding</t>
  </si>
  <si>
    <t>Photograph of Mr and Mrs McTavish reading telegrams at their Silver Wedding Anniversary on 18th August 1959, Mount Gambier.</t>
  </si>
  <si>
    <t>McTavish (Family);Wedding anniversaries -- South Australia -- Mount Gambier</t>
  </si>
  <si>
    <t>b21113002</t>
  </si>
  <si>
    <t>S.H. Elliott</t>
  </si>
  <si>
    <t>Photograph of Mr and Mrs S.H. Elliott looking through a scrapbook in 1959, Mount Gambier.</t>
  </si>
  <si>
    <t>Elliott, Stanley Hamilton, 1910-1990</t>
  </si>
  <si>
    <t>b21113014</t>
  </si>
  <si>
    <t>New Australians Party</t>
  </si>
  <si>
    <t>Photograph of new Australians and volunteers singing carols at a Christmas Party in December 1959, Mount Gambier.</t>
  </si>
  <si>
    <t>Christmas -- South Australia -- Mount Gambier;Immigrants -- South Australia -- Mount Gambier</t>
  </si>
  <si>
    <t>b21113026</t>
  </si>
  <si>
    <t>Cheerbox Xmas Tree</t>
  </si>
  <si>
    <t>Photograph of children receiving presents at the Cheerbox Christmas Tree in December 1959, Mount Gambier.</t>
  </si>
  <si>
    <t>Children -- South Australia -- Mount Gambier;Christmas trees;Christmas -- South Australia -- Mount Gambier</t>
  </si>
  <si>
    <t>b21113038</t>
  </si>
  <si>
    <t>Photograph of five members of the Mitchell family looking at their Family Tree during the Reunion on 12th September 1959, Mount Gambier.</t>
  </si>
  <si>
    <t>b21113105</t>
  </si>
  <si>
    <t>Photograph of a young girl admiring the winner's sash on the winner of the Henley Girl Competition in 1959, Mount Gambier.</t>
  </si>
  <si>
    <t>b21113129</t>
  </si>
  <si>
    <t>M.R. Hirth and family</t>
  </si>
  <si>
    <t>Photograph of L to R Mel (M.R.) Hirth, Ruby Hirth and Judy Hirth in February 1959 admiring costumes and ballet slippers from her collection.</t>
  </si>
  <si>
    <t>Hirth (Family)</t>
  </si>
  <si>
    <t>b21113130</t>
  </si>
  <si>
    <t>Photograph of the prize winners at the 1959 Henley Girl Competition held at Port McDonnell.</t>
  </si>
  <si>
    <t>b21114468</t>
  </si>
  <si>
    <t>Photograph of the winner of the Henley Girl Competition 1959 in Port MacDonnell.</t>
  </si>
  <si>
    <t>b2111447x</t>
  </si>
  <si>
    <t>Photograph of members of the Blue Lake Ladies' Pipe Band during the New Years Day Sports in 1959, Mount Gambier.</t>
  </si>
  <si>
    <t>Pipe bands -- South Australia -- Mount Gambier;Bagpipers -- South Australia -- Mount Gambier;New Year -- South Australia -- Mount Gambier</t>
  </si>
  <si>
    <t>b21178033</t>
  </si>
  <si>
    <t>Photograph of the contestants at the Henley Girl Competition at Port MacDonnell in December 1959.</t>
  </si>
  <si>
    <t>b21114511</t>
  </si>
  <si>
    <t>Gambier East Fete</t>
  </si>
  <si>
    <t>Photograph of the doll stall at the Gambier East Fete on 3rd October 1959.</t>
  </si>
  <si>
    <t>b21114523</t>
  </si>
  <si>
    <t>Photograph of the crowds at the Henley Girl Competition at the Port MacDonnell Regatta in 1959.</t>
  </si>
  <si>
    <t>b21114535</t>
  </si>
  <si>
    <t>New Years Day</t>
  </si>
  <si>
    <t>Photograph of four Highland Dancers at the New Years Day Sports in 1959, Mount Gambier.</t>
  </si>
  <si>
    <t>Dancers -- South Australia -- Mount Gambier;Costume -- Scotland;New Year -- South Australia -- Mount Gambier</t>
  </si>
  <si>
    <t>b21114547</t>
  </si>
  <si>
    <t>Photograph of a Highland Dancer dancing a sword dance at the New Years Day Sports in 1959, Mount Gambier.</t>
  </si>
  <si>
    <t>b21114572</t>
  </si>
  <si>
    <t>Photograph of Highland Dancers wearing winners' sashes at the New Years Day Sports in 1959, Mount Gambier.</t>
  </si>
  <si>
    <t>b21114791</t>
  </si>
  <si>
    <t>Teams Race - Cycling</t>
  </si>
  <si>
    <t>Photograph of two riders, brothers Ralph and Leon Morrish of Mount Gambier, after the team race on 19th December 1959, Mount Gambier.</t>
  </si>
  <si>
    <t>Morrish, Ralph;Morrish, Leon;Cycling -- South Australia -- Mount Gambier</t>
  </si>
  <si>
    <t>b21121023</t>
  </si>
  <si>
    <t>St. Paul's Catholic Ball</t>
  </si>
  <si>
    <t>Photograph of K. Pudney being presented to the Bishop during the St. Paul's Catholic Ball in 1959, Mount Gambier.</t>
  </si>
  <si>
    <t>Pudney, K.;Balls (Parties) -- South Australia -- Mount Gambier</t>
  </si>
  <si>
    <t>b21121047</t>
  </si>
  <si>
    <t>Photograph of four debutantes at the Highland Ball in 1959, Mount Gambier.</t>
  </si>
  <si>
    <t>b21121588</t>
  </si>
  <si>
    <t>Wischki family</t>
  </si>
  <si>
    <t>Photograph of two men and two ladies standing by the picket fence in front of a house verandah in September 1959. From left to right: Frank, Hilda, Valerie, Willie (all deceased). Photo taken in front of house at 12 Crouch Street. Mt. Gambier North. [Information provided by Ron Wischki].</t>
  </si>
  <si>
    <t>Wischki (Family)</t>
  </si>
  <si>
    <t>b2112159x</t>
  </si>
  <si>
    <t>Migrant new arrivals</t>
  </si>
  <si>
    <t>Photograph of newly arrived migrant families being welcomed from the train by Salvation Army officers in 1959, Mount Gambier.</t>
  </si>
  <si>
    <t>Immigrants -- South Australia -- Mount Gambier</t>
  </si>
  <si>
    <t>b21121606</t>
  </si>
  <si>
    <t>Hay Anniversary</t>
  </si>
  <si>
    <t>Photograph of  three ladies with presents, cards and a cake celebrating an anniversary in 1959.</t>
  </si>
  <si>
    <t>Hay (Family);Anniversaries;Families -- South Australia -- Mount Gambier</t>
  </si>
  <si>
    <t>b21121618</t>
  </si>
  <si>
    <t>Photograph of  a Red Cross volunteer having a badge pinned on her by an official in November 1959, Mount Gambier.</t>
  </si>
  <si>
    <t>b2112162x</t>
  </si>
  <si>
    <t>Photograph of many Red Cross volunteers taken in November 1959, Mount Gambier.</t>
  </si>
  <si>
    <t>b21121631</t>
  </si>
  <si>
    <t>Photograph of a lady Red Cross volunteer receiving a badge from an official in November 1959, Mount Gambier.</t>
  </si>
  <si>
    <t>b21121655</t>
  </si>
  <si>
    <t>Photograph of four ladies from the CWA during an event held on 19th August 1959, Mount Gambier.</t>
  </si>
  <si>
    <t>Country Women's Association of Australia;Women -- Australia -- Societies and clubs</t>
  </si>
  <si>
    <t>b21180143</t>
  </si>
  <si>
    <t>Red Cross tree planting</t>
  </si>
  <si>
    <t>Photograph of two ladies from the Red Cross planting a tree in August 1959, Mount Gambier.</t>
  </si>
  <si>
    <t>Red Cross -- South Australia -- Mount Gambier;Tree planting -- South Australia -- Mount Gambier</t>
  </si>
  <si>
    <t>b21121679</t>
  </si>
  <si>
    <t>Daffodil Day</t>
  </si>
  <si>
    <t>Photograph of daffodils being sold on Daffodil Day in Mount Gambier on 4th September 1959.</t>
  </si>
  <si>
    <t>Daffodils;Fund raising -- South Australia -- Mount Gambier</t>
  </si>
  <si>
    <t>b21121680</t>
  </si>
  <si>
    <t>DBNS Day</t>
  </si>
  <si>
    <t>Photograph of a fund raising day for the DBNS possibly District and Bush Nursing Society on 4th September 1959, Mount Gambier.  Coins are being placed on a sign in an effort of cover the sign and raise money.</t>
  </si>
  <si>
    <t>District and Bush Nursing Society of South Australia;Fund raising -- South Australia -- Mount Gambier</t>
  </si>
  <si>
    <t>b21121692</t>
  </si>
  <si>
    <t>Legacy Children</t>
  </si>
  <si>
    <t>Photograph of two boys on crutches shaking the hand of a man from Legacy at the bottom of the aeroplane stairs in September 1959, Mount Gambier.</t>
  </si>
  <si>
    <t>Legacy Club of Mount Gambier;Airplanes -- South Australia -- Mount Gambier</t>
  </si>
  <si>
    <t>b21121709</t>
  </si>
  <si>
    <t>J. C. Pageant</t>
  </si>
  <si>
    <t>Photograph of three small boys and two ladies playing in a Wendy playhouse during the J.C. Pageant on 25th November 1959, Mount Gambier.</t>
  </si>
  <si>
    <t>Pageants -- South Australia -- Mount Gambier;Play -- South Australia -- Mount Gambier</t>
  </si>
  <si>
    <t>b21121710</t>
  </si>
  <si>
    <t>Lord Carrington</t>
  </si>
  <si>
    <t>Photograph of four ladies enjoying afternoon tea in January 1959, Mount Gambier.</t>
  </si>
  <si>
    <t>Entertaining -- South Australia -- Mount Gambier;Women -- South Australia -- Mount Gambier</t>
  </si>
  <si>
    <t>b21180180</t>
  </si>
  <si>
    <t>CWA</t>
  </si>
  <si>
    <t>Photograph of eight ladies from the Country Women's Association.</t>
  </si>
  <si>
    <t>b21121722</t>
  </si>
  <si>
    <t>Photograph of four lady Red Cross volunteers collecting donated goods in February 1959, Mount Gambier.</t>
  </si>
  <si>
    <t>b21121734</t>
  </si>
  <si>
    <t>Cheerbox Winner</t>
  </si>
  <si>
    <t>Photograph of a woman and child receiving a prize in an envelope from the Cheerbox Organisation in 1959.</t>
  </si>
  <si>
    <t>b21121746</t>
  </si>
  <si>
    <t>Book Binding</t>
  </si>
  <si>
    <t>Photograph of three ladies receiving tuition in book binding from a man in May 1959, Mount Gambier.</t>
  </si>
  <si>
    <t>Bookbinding -- South Australia -- Mount Gambier</t>
  </si>
  <si>
    <t>b21121758</t>
  </si>
  <si>
    <t>Book Binding class</t>
  </si>
  <si>
    <t>A book binding class being undertaken at James Street TAFE College, Mount Gambier, May 1959.</t>
  </si>
  <si>
    <t>b2112176x</t>
  </si>
  <si>
    <t>Old Folks Home</t>
  </si>
  <si>
    <t>Photograph of a man and lady preparing scones and tea for the residents at the Old Folks Home on 5th March 1959, Mount Gambier.</t>
  </si>
  <si>
    <t>Old age homes -- South Australia -- Mount Gambier</t>
  </si>
  <si>
    <t>b21121771</t>
  </si>
  <si>
    <t>Photograph of three lady Red Cross volunteers collecting food packages in February 1959, Mount Gambier.</t>
  </si>
  <si>
    <t>b21121783</t>
  </si>
  <si>
    <t>Photograph of three ladies and a man standing in front of a mirror. Photo taken on 12th May 1959.</t>
  </si>
  <si>
    <t>b21121795</t>
  </si>
  <si>
    <t>Red Cross Parade</t>
  </si>
  <si>
    <t>Photograph of three ladies and a man adjusting a hat before a fashion parade on 12th May 1959, Mount Gambier.</t>
  </si>
  <si>
    <t>Fashion shows -- South Australia -- Mount Gambier;Red Cross -- South Australia -- Mount Gambier</t>
  </si>
  <si>
    <t>b21122179</t>
  </si>
  <si>
    <t>District Council</t>
  </si>
  <si>
    <t>Photograph of three council members conferring in October 1959, Mount Gambier. On left is Albert Chuck, Councillor of Tarpeena Ward.</t>
  </si>
  <si>
    <t>Chuck, Albert;Mount Gambier (S.A. : District). Council;Local government -- South Australia -- Mount Gambier</t>
  </si>
  <si>
    <t>b21122210</t>
  </si>
  <si>
    <t>Photograph of three district councillors at a meeting on 4th September 1959, Mount Gambier.</t>
  </si>
  <si>
    <t>Mount Gambier (S.A. : District). Council;Local government -- South Australia -- Mount Gambier</t>
  </si>
  <si>
    <t>b21122556</t>
  </si>
  <si>
    <t>Vansittart Park Memorial Gates</t>
  </si>
  <si>
    <t>Photograph of the new Memorial Gates to Vansittart Park being dedicated to those who died in World War II 1935-1945. The ceremony took place on 6th June 1959, Mount Gambier.</t>
  </si>
  <si>
    <t>War memorials -- South Australia -- Mount Gambier;Gates -- South Australia -- Mount Gambier;Vansittart Park (Mount Gambier, S.A.)</t>
  </si>
  <si>
    <t>b21122568</t>
  </si>
  <si>
    <t>b2112257x</t>
  </si>
  <si>
    <t>Mayor S.C. Davis and Mrs Davis</t>
  </si>
  <si>
    <t>Photograph of Mayor S. C. Davis and his wife at a formal occasion in 1958, Mount Gambier.</t>
  </si>
  <si>
    <t>Davis, S. C.;Mayors -- South Australia -- Mount Gambier</t>
  </si>
  <si>
    <t>b21122581</t>
  </si>
  <si>
    <t>b21180325</t>
  </si>
  <si>
    <t>b2112789x</t>
  </si>
  <si>
    <t>R. J. Watson</t>
  </si>
  <si>
    <t>Photograph of Mr R.J. Watson taken in the studio in Mount Gambier in 1959.</t>
  </si>
  <si>
    <t>Watson, R. J.</t>
  </si>
  <si>
    <t>b2112839x</t>
  </si>
  <si>
    <t>Mr E.A. Maloney</t>
  </si>
  <si>
    <t>Photograph of Mr E. A. Maloney, taken in the studio in Mount Gambier in 1959.</t>
  </si>
  <si>
    <t>Maloney, E. A.</t>
  </si>
  <si>
    <t>b21128406</t>
  </si>
  <si>
    <t>Miss B. Matheson</t>
  </si>
  <si>
    <t>Photograph of Beth Matheson surrounded by her sashes and trophies, taken in the studio in Mount Gambier in 1959. Previously believed to be R. (Rosalie) Matheson, however a researcher has identified the photograph to be of her sister Beth.</t>
  </si>
  <si>
    <t>Matheson, Beth;Folk dancing, Scottish -- South Australia -- Mount Gambier</t>
  </si>
  <si>
    <t>b21128418</t>
  </si>
  <si>
    <t>Mr H.H. Ashby</t>
  </si>
  <si>
    <t>Photograph of Mr. H.H. Ashby, taken in the studio in Mount Gambier in 1959.</t>
  </si>
  <si>
    <t>b2112842x</t>
  </si>
  <si>
    <t>Mr R.W. Page</t>
  </si>
  <si>
    <t>Photograph of Mr.R.W. Page, taken in the studio in Mount Gambier in 1959.</t>
  </si>
  <si>
    <t>Page, R. W.</t>
  </si>
  <si>
    <t>b21128431</t>
  </si>
  <si>
    <t>Mr D. Sheppard</t>
  </si>
  <si>
    <t>Photograph of Mr. D. Sheppard taken in the studio in Mount Gambier in 1959. Digby James Sheppard served with the 2/10 Australian Infantry Battalion in World War II, reaching the rank of lieutenant (service number SX1624).</t>
  </si>
  <si>
    <t>Sheppard, Digby James</t>
  </si>
  <si>
    <t>b21128443</t>
  </si>
  <si>
    <t>Photograph of the Rev. S.Taylor taken in the studio in Mount Gambier in 1959.</t>
  </si>
  <si>
    <t>Taylor, S., Rev.;Clergy -- South Australia -- Mount Gambier</t>
  </si>
  <si>
    <t>b21128455</t>
  </si>
  <si>
    <t>J.L. Arthurson</t>
  </si>
  <si>
    <t>Photograph of Mr J.L. Arthurson taken in the studio in Mount Gambier in 1959.</t>
  </si>
  <si>
    <t>Arthurson, J. L.</t>
  </si>
  <si>
    <t>b21128467</t>
  </si>
  <si>
    <t>Photograph of Mr O.G. Roberts taken in the studio in Mount Gambier in 1959.</t>
  </si>
  <si>
    <t>Roberts, O. G.</t>
  </si>
  <si>
    <t>b21132549</t>
  </si>
  <si>
    <t>Fatchen children</t>
  </si>
  <si>
    <t>Photograph of two girls and a boy from the Fatchen family  one of them is L. Fatchen. The girls are wearing matching floral dresses and the younger brother is wearing a shirt and trousers. The photograph was taken in the studio in Mount Gambier in 1959.</t>
  </si>
  <si>
    <t>Fatchen (Family);Children -- South Australia -- Mount Gambier</t>
  </si>
  <si>
    <t>b21132550</t>
  </si>
  <si>
    <t>M. Outtram</t>
  </si>
  <si>
    <t>Photograph of Miss M. Outtram seated in the studio in Mount Gambier in 1959. She is wearing a sash that says 'The Sun' Country Show Girl Quest Miss Dartmoor 1959.</t>
  </si>
  <si>
    <t>Outtram, M.;Beauty contests -- Victoria -- Dartmoor</t>
  </si>
  <si>
    <t>b21178744</t>
  </si>
  <si>
    <t>J. Treban</t>
  </si>
  <si>
    <t>Photograph of Mr and Mrs J. Treban taken in the studio in Mount Gambier in 1959. They are both wearing day dress.</t>
  </si>
  <si>
    <t>Treban, J.</t>
  </si>
  <si>
    <t>b21132562</t>
  </si>
  <si>
    <t>Photograph of two boys, one of which is C. Wilson. They are seated in the studio in Mount Gambier in 1959 and are wearing school jumpers and ties.</t>
  </si>
  <si>
    <t>Wilson, C.;School children -- South Australia -- Mount Gambier</t>
  </si>
  <si>
    <t>b21132574</t>
  </si>
  <si>
    <t>W. Pedlar</t>
  </si>
  <si>
    <t>Photograph of Nurse W. Pedlar in her uniform and cape taken in the studio in Mount Gambier in 1959.</t>
  </si>
  <si>
    <t>Pedlar, W.;Nurses -- South Australia -- Mount Gambier</t>
  </si>
  <si>
    <t>b21132586</t>
  </si>
  <si>
    <t>B. Tor</t>
  </si>
  <si>
    <t>Photograph of Mr and Mrs B. Tor taken in the studio in Mount Gambier in 1959. They are both wearing day dress.</t>
  </si>
  <si>
    <t>Tor, B.</t>
  </si>
  <si>
    <t>b21177247</t>
  </si>
  <si>
    <t>K. Cram</t>
  </si>
  <si>
    <t>Photograph of Mr K. Cram taken in the studio in Mount Gambier in 1959. He is wearing a Scottish pipe band outfit and holding his bagpipes.</t>
  </si>
  <si>
    <t>Cram, K.;Bagpipers -- South Australia -- Mount Gambier</t>
  </si>
  <si>
    <t>b21132598</t>
  </si>
  <si>
    <t>J. Feast</t>
  </si>
  <si>
    <t>Photograph of Miss J. Feast wearing a long satin evening gown under a long velvet evening coat. She is holding a posy of flowers.</t>
  </si>
  <si>
    <t>Feast, J.</t>
  </si>
  <si>
    <t>b21132653</t>
  </si>
  <si>
    <t>A. Gibson</t>
  </si>
  <si>
    <t>Photograph of Miss A. Gibson seated in the studio in Mount Gambier in 1959. She is wearing a sash which states 'The Sun' Country Show Girl Quest Miss Dartmoor and District 1960.</t>
  </si>
  <si>
    <t>Gibson, A.;Beauty contests -- Victoria -- Dartmoor</t>
  </si>
  <si>
    <t>b2113795x</t>
  </si>
  <si>
    <t>Flicks family</t>
  </si>
  <si>
    <t>Photograph of Mr and Mrs Flicks and their three children in the studio in Mount Gambier in 1959. Their two sons are dressed as cowboys and are about five and six years old. The daughter is about three years old and is wearing a dress with a wide collar and sturdy boots.</t>
  </si>
  <si>
    <t>Flicks (Family)</t>
  </si>
  <si>
    <t>b21137961</t>
  </si>
  <si>
    <t>Photograph of four young men, one of whom is B. Fabris. The young men are all wearing suits and the photograph was taken in the studio in Mount Gambier in 1959.</t>
  </si>
  <si>
    <t>Fabris, B.</t>
  </si>
  <si>
    <t>b21137973</t>
  </si>
  <si>
    <t>G. Emoroso</t>
  </si>
  <si>
    <t>Photograph of Mr and Mrs Emoroso and their two daughters taken in the studio in Mount Gambier in 1959. The elder daughter is about two years old and is wearing a jumper and a pleated skirt and the baby is wearing a baby dress and is approximately eight months old.</t>
  </si>
  <si>
    <t>Emoroso (Family);Mothers -- South Australia -- Mount Gambier;Infants -- South Australia -- Mount Gambier</t>
  </si>
  <si>
    <t>b21137985</t>
  </si>
  <si>
    <t>A. Fazzaii</t>
  </si>
  <si>
    <t>Photograph of Mr A. Fazzaii and his two sons [?] taken in the studio in Mount Gambier in 1959.  The older boy is wearing a kiss-curl and casual clothes. The younger boy is wearing a striped jacket and tie.</t>
  </si>
  <si>
    <t>Fazzaii, A.</t>
  </si>
  <si>
    <t>b21137997</t>
  </si>
  <si>
    <t>E. Farrell</t>
  </si>
  <si>
    <t>Photograph of the three Farrell brothers in the studio in Mount Gambier in 1959. The boys ages are about seven, five and three years old. Two are playing with a metal toy car.</t>
  </si>
  <si>
    <t>Farrell (Family)</t>
  </si>
  <si>
    <t>b2113800x</t>
  </si>
  <si>
    <t>F. Fitzpatrick</t>
  </si>
  <si>
    <t>Photograph of Mrs Fitzpatrick sitting in the studio with her two children. The daughter is about nine years old and is wearing a sleeveless party dress and her hair is tied back in a pony-tail.  The son is wearing a bow tie with his white shirt and is about six years old.</t>
  </si>
  <si>
    <t>Fitzpatrick (Family);Mothers -- South Australia -- Mount Gambier</t>
  </si>
  <si>
    <t>b21138011</t>
  </si>
  <si>
    <t>Di Rito family</t>
  </si>
  <si>
    <t>Photograph of Mr and Mrs Di Rito with their son [?] taken in the studio in Mount Gambier in 1959. Mrs Di Rito is seated and is wearing a shiny brocade coat dress and her husband and son are standing behind her.</t>
  </si>
  <si>
    <t>Di Rito (Family)</t>
  </si>
  <si>
    <t>b21138023</t>
  </si>
  <si>
    <t>J. Frost</t>
  </si>
  <si>
    <t>Photograph of the three Frost children taken in the studio in Mount Gambier in 1959. The eldest boy is about eighteen and his brother is about thirteen and their sister six years old. The older boy is wearing a suit, his brother is wearing his school uniform for Mount Gambier High School and their sister is wearing a party dress with a ribbon in her short hair.</t>
  </si>
  <si>
    <t>Frost (Family);School children -- South Australia -- Mount Gambier</t>
  </si>
  <si>
    <t>b21138035</t>
  </si>
  <si>
    <t>G. Watkins</t>
  </si>
  <si>
    <t>Photograph of the Watkins children taken in the studio in  Mount Gambier in 1959. The boy is about six years old and is wearing a striped jumper and his sister is about two years old and is wearing a party dress with lace and ribbon.</t>
  </si>
  <si>
    <t>Watkins (Family)</t>
  </si>
  <si>
    <t>b21138059</t>
  </si>
  <si>
    <t>H. Wynhoven</t>
  </si>
  <si>
    <t>Photograph of the Wynhoven family taken in the studio in Mount Gambier in 1959. Mr and Mrs Wynhoven are sitting with their three sons and one daughter. The eldest son is wearing his Marist Brothers College uniform and the other two sons are wearing jumpers.  Their daughter is about nine years old and is wearing a cardigan with her cotton dress.</t>
  </si>
  <si>
    <t>Wynhoven, H.;Mothers -- South Australia -- Mount Gambier;School children -- South Australia -- Mount Gambier</t>
  </si>
  <si>
    <t>b21138060</t>
  </si>
  <si>
    <t>A.C. McKinnon</t>
  </si>
  <si>
    <t>Photograph of the McKinnon family taken in the studio in Mount Gambier in 1959. According to a researcher, they are, starting on the left, Vickie, Jennifer, Dallas,Craig, baby on table Joanne, Gary and Neville McKinnon, the children of Allan Charles and Irma Grace McKinnon of Mount Gambier.</t>
  </si>
  <si>
    <t>McKinnon, Alan Charles</t>
  </si>
  <si>
    <t>b21138047</t>
  </si>
  <si>
    <t>Watkins (Family);Children -- South Australia -- Mount Gambier</t>
  </si>
  <si>
    <t>b21138072</t>
  </si>
  <si>
    <t>D.J. Naismith</t>
  </si>
  <si>
    <t>Photograph of the four Naismith children taken in the studio in Mount Gambier in 1959. The boys are aged about seven and five and the girls are about four and three. One of the boys is playing with a toy metal car.</t>
  </si>
  <si>
    <t>Naismith (Family)</t>
  </si>
  <si>
    <t>b21138084</t>
  </si>
  <si>
    <t>B. Manser</t>
  </si>
  <si>
    <t>Photograph of Mr and Mrs B. Manser and their son possibly dressed to attend a wedding. They are wearing buttonhole flowers and Mrs Manser is wearing a hat.</t>
  </si>
  <si>
    <t>Manser (Family)</t>
  </si>
  <si>
    <t>b21138096</t>
  </si>
  <si>
    <t>Photograph of the McArthur children taken in the studio in Mount Gambier in 1959. There are two boys aged about eight and four and a daughter about ten holding her baby brother.</t>
  </si>
  <si>
    <t>McArthur (Family)</t>
  </si>
  <si>
    <t>b21138102</t>
  </si>
  <si>
    <t>G. Shelton</t>
  </si>
  <si>
    <t>Photograph of the Shelton children in 1959.  The eldest girl is about five years old and is wearing a boat neck collar on her dress. The boy is about three years old and is wearing a smocked shirt with shorts and the baby is about a year old and is wearing a puffed sleeved baby dress.</t>
  </si>
  <si>
    <t>Shelton (Family);Children -- Clothing -- South Australia -- Mount Gambier</t>
  </si>
  <si>
    <t>b21138114</t>
  </si>
  <si>
    <t>F. Wooding</t>
  </si>
  <si>
    <t>Photograph of the Wooding children. The two older girls, possibly twins have a brother who is about four years old and a baby sister about ten months old who is wearing a baby dress.</t>
  </si>
  <si>
    <t>Wooding (Family)</t>
  </si>
  <si>
    <t>b21138126</t>
  </si>
  <si>
    <t>Photograph of the Shea children taken in the studio in Mount Gambier in 1959. The three older children, two boys and a girl, are wearing their St Joseph's Convent school uniforms and two little sisters are wearing summer dresses.</t>
  </si>
  <si>
    <t>Shea (Family);School children -- South Australia -- Mount Gambier</t>
  </si>
  <si>
    <t>b21138138</t>
  </si>
  <si>
    <t>D. Hunter</t>
  </si>
  <si>
    <t>Photograph of Mrs Hunter reading a book to her young daughter in the studio in Mount Gambier in 1959. Mrs Hunter is wearing a crepe dress and her daughter, Jennifer, who is about four years old, is wearing a frilled party dress.</t>
  </si>
  <si>
    <t>b21138151</t>
  </si>
  <si>
    <t>M.L. Hood</t>
  </si>
  <si>
    <t>Photograph of the Hood children taken in the studio in Mount Gambier in 1959. The older sister is approximately seven years old and is wearing a party dress and a special brooch.  Her brothers are approximately four and five years old and are wearing shorts and shirts. The baby brother is wearing a romper suit with a dog on the bib of the shorts.</t>
  </si>
  <si>
    <t>Hood (Family)</t>
  </si>
  <si>
    <t>b2113814x</t>
  </si>
  <si>
    <t>N. Green</t>
  </si>
  <si>
    <t>Photograph of the Green children taken in the studio in Mount Gambier in 1959. The older girl is wearing a sleeveless, belted dress with buttons on the bodice, and her younger brother is wearing shorts with braces over a checked shirt. Their ages are about five and three.</t>
  </si>
  <si>
    <t>b21141757</t>
  </si>
  <si>
    <t>J. Jolley</t>
  </si>
  <si>
    <t>Photograph of the Jolley family taken in the studio in Mount Gambier in 1959. Mr and Mrs Jolly are seated next to their sons Brian and Gary who are about thirteen and eight years old. The younger boy is wearing the uniform of the Kongorong Primary School.</t>
  </si>
  <si>
    <t>Jolley (Family);School children -- South Australia -- Mount Gambier</t>
  </si>
  <si>
    <t>b21138163</t>
  </si>
  <si>
    <t>Hill family</t>
  </si>
  <si>
    <t>Photograph of four generations of the Hill family. (From left): W.M.Herbst, Rosemary Crawford, Jillian von Stanke and Evelyn Hill.</t>
  </si>
  <si>
    <t>Herbst, W. M.;Crawford, Rosemary;Von Stanke, Jillian;Hill, Evelyn;Mothers -- South Australia -- Mount Gambier;Infants -- South Australia -- Mount Gambier</t>
  </si>
  <si>
    <t>b21138175</t>
  </si>
  <si>
    <t>M. Deso</t>
  </si>
  <si>
    <t>Photograph of the five Deso children standing in order of height. There are three girls and two boys and their ages range from about eight to three years old.</t>
  </si>
  <si>
    <t>Deso (Family)</t>
  </si>
  <si>
    <t>b21138199</t>
  </si>
  <si>
    <t>M. Koop</t>
  </si>
  <si>
    <t>Photograph of the Koop family taken in the studio in Mount Gambier in 1959. Mr Koop and Mrs Muriel Koop have four sons, Maurice, Ralph, Robert, Donald, and a daughter, Marie.</t>
  </si>
  <si>
    <t>Koop (Family)</t>
  </si>
  <si>
    <t>b21138205</t>
  </si>
  <si>
    <t>R.J. Crougy</t>
  </si>
  <si>
    <t>Photograph of the Crougy [?] children taken in the studio in Mount Gambier in 1959. The eldest girl is about eight years old, the middle son is about six and the younger son is four years old. He is wearing a bow tie and sits between his brother and sister.</t>
  </si>
  <si>
    <t>Crougy (Family)</t>
  </si>
  <si>
    <t>b21138229</t>
  </si>
  <si>
    <t>M. Chamberlain</t>
  </si>
  <si>
    <t>Photograph of three men and a lady, one of which is M. Chamberlain, taken in the studio in Mount Gambier in 1959. The men are dressed in suits and the lady is wearing a floral dress.</t>
  </si>
  <si>
    <t>Chamberlain, M.</t>
  </si>
  <si>
    <t>b21138230</t>
  </si>
  <si>
    <t>M. Bodo</t>
  </si>
  <si>
    <t>Photograph of Mr and Mrs Bodo and their two children.  The older girl is about nine years old and is wearing a skirt and blouse and the younger boy is about five years old and is wearing a shirt and shorts.</t>
  </si>
  <si>
    <t>Bodo (Family)</t>
  </si>
  <si>
    <t>b21138242</t>
  </si>
  <si>
    <t>P.C. Black</t>
  </si>
  <si>
    <t>Photograph of the Black children Monica, Nicholas (baby), Christopher, Mary, Patrick and Helen taken in the studio in Mount Gambier in 1959. Their approximate ages range from the baby of eight months to eight years. The girls' dresses feature smocking and one of the boy's outfits has embroidered bows on the front.</t>
  </si>
  <si>
    <t>Black (Family);Children -- Clothing -- South Australia -- Mount Gambier</t>
  </si>
  <si>
    <t>b21138254</t>
  </si>
  <si>
    <t>C. Kassapian</t>
  </si>
  <si>
    <t>Photograph of the Kassapian family taken in the studio in 1959 in Mount Gambier. Left to right, back row: Gula, Zabel, Yegis. Front row: Serko, Garabet, Marie, Lili.</t>
  </si>
  <si>
    <t>Kassapian (Family)</t>
  </si>
  <si>
    <t>b21138278</t>
  </si>
  <si>
    <t>A. Jasiowski</t>
  </si>
  <si>
    <t>Photograph of the Jasiowski family taken in the studio in Mount Gambier in 1959. Mr and Mrs Jasiowski have two sons and their approximate ages are five and three years old.</t>
  </si>
  <si>
    <t>Jasiowski (Family)</t>
  </si>
  <si>
    <t>b21138308</t>
  </si>
  <si>
    <t>G.S. Brown</t>
  </si>
  <si>
    <t>Photograph of the three Brown children in the studio in Mount Gambier in 1959. The older girl and boy are watching their younger brother read a rag-book. Their ages range from approximately seven to two years old.</t>
  </si>
  <si>
    <t>Brown (Family)</t>
  </si>
  <si>
    <t>b21178136</t>
  </si>
  <si>
    <t>M. Buhlman</t>
  </si>
  <si>
    <t>Photograph of Mr Peter and Mrs Dorothy Buhlman and their sons Barry and John in the studio in Mount Gambier in 1959. Both young men wear a lapel badge with an inset star.</t>
  </si>
  <si>
    <t>Buhlman, Peter;Buhlman, Dorothy;Buhlman, Barry;Buhlman, John</t>
  </si>
  <si>
    <t>b21138345</t>
  </si>
  <si>
    <t>Blackall boys</t>
  </si>
  <si>
    <t>Photograph (back row)of Trevor Blackall aged seven years (born 24 July 1952), Graham aged eight years (born 4 May 1951) and (front row) David aged five years (born 12 August 1954) and Christopher aged 12 months (born 29 September 1958). Their parents are Albert and Hilda Blackall who married in July 1950.</t>
  </si>
  <si>
    <t>Blackall, A.;Children -- South Australia -- Mount Gambier</t>
  </si>
  <si>
    <t>b21178148</t>
  </si>
  <si>
    <t>A. Blackall</t>
  </si>
  <si>
    <t>Photograph of four boys from the Blackall family taken in the studio in Mount Gambier in 1959. The two older boys are wearing suits and are about nine and ten years old.  The younger boys are about five and one year old.</t>
  </si>
  <si>
    <t>b21165324</t>
  </si>
  <si>
    <t>New Years Day Sports Bands</t>
  </si>
  <si>
    <t>Photograph of the Massed Highland Bands during the parade on New Years Day Sports held in 1959.</t>
  </si>
  <si>
    <t>b21165348</t>
  </si>
  <si>
    <t>Warnambool Band</t>
  </si>
  <si>
    <t>Photograph of the Warnambool Pipe Band during a parade on 1st January 1959.</t>
  </si>
  <si>
    <t>b21187563</t>
  </si>
  <si>
    <t>Photograph of members of the Yahl Cricket Club taken in 1959.</t>
  </si>
  <si>
    <t>Yahl Cricket Club (Yahl, S.A.);Cricket -- South Australia -- Yahl;Cricket players -- South Australia -- Yahl</t>
  </si>
  <si>
    <t>b21192509</t>
  </si>
  <si>
    <t>Photograph of the inside of the Eectricity Trust Building in Mount Gambier in June 1959.</t>
  </si>
  <si>
    <t>ETSA Corporation</t>
  </si>
  <si>
    <t>b21196230</t>
  </si>
  <si>
    <t>Photograph of twenty four debutantes making their debut from the Mount Gambier High School in 1959.</t>
  </si>
  <si>
    <t>b21196242</t>
  </si>
  <si>
    <t>Photograph of four debutantes making their debut at the Highland Ball in Mount Gambier in 1959.</t>
  </si>
  <si>
    <t>b21196321</t>
  </si>
  <si>
    <t>Photograph of eleven debutantes before making their debut at the Mount Gambier May Ball  in 1959.</t>
  </si>
  <si>
    <t>b31394450</t>
  </si>
  <si>
    <t>St. Hugh's Anglican Church (Angaston, S.A.)</t>
  </si>
  <si>
    <t>Dedication of the bell tower at St. Hugh's Church, Angaston</t>
  </si>
  <si>
    <t>1 photograph : black and white   13.9 x 8.2 cm</t>
  </si>
  <si>
    <t>Procession at the dedication of the bell tower at St. Hugh's Church at Angaston, with Barry Hopton carrying the cross, Canon Sorby Adams in the centre and Wally Mausolf at the rear.</t>
  </si>
  <si>
    <t>St. Hugh's Church (Angaston, S.A.);Anglican Church -- South Australia -- Angaston;Church architecture -- South Australia -- Angaston</t>
  </si>
  <si>
    <t>b21105029</t>
  </si>
  <si>
    <t>[approximately 1959]</t>
  </si>
  <si>
    <t>Photograph of many people performing clerical work in preparation for the Mount Gambier Arts Festival.</t>
  </si>
  <si>
    <t>Clerks -- South Australia -- Mount Gambier;Mount Gambier Arts Festival</t>
  </si>
  <si>
    <t>b21112174</t>
  </si>
  <si>
    <t>R. Boyd and O. G. Roberts</t>
  </si>
  <si>
    <t>Photograph of Mr. R. Boyd and Mr O.G. Roberts in front of the O.G. Roberts Garage, Mount Gambier.</t>
  </si>
  <si>
    <t>Boyd, R.;Roberts, O. G.;O.G. Roberts &amp; Company (Mount Gambier, S.A.);Automobile industry and trade -- South Australia -- Mount Gambier</t>
  </si>
  <si>
    <t>b3132311x</t>
  </si>
  <si>
    <t>Arcadia</t>
  </si>
  <si>
    <t>Photograph  13.4 cm x 8.1 cm</t>
  </si>
  <si>
    <t>Arcadia (Ship);Ships</t>
  </si>
  <si>
    <t>b2108385x</t>
  </si>
  <si>
    <t>Apollo</t>
  </si>
  <si>
    <t>Photograph  13.8 cm x 8.5 cm</t>
  </si>
  <si>
    <t>Apollo (Ship);Ships</t>
  </si>
  <si>
    <t>b21068732</t>
  </si>
  <si>
    <t>View of the Mount Gambier Hospital complex with the new building under construction. See also BRG 347/37 &amp; 39.</t>
  </si>
  <si>
    <t>b21068744</t>
  </si>
  <si>
    <t>Hospital complex at Mount Gambier</t>
  </si>
  <si>
    <t>Negative (acetate)  11.1 cm x 8.9 cm</t>
  </si>
  <si>
    <t>Aerial view of the newly completed Mount Gambier Hospital complex. See also BRG 347/37 &amp; 38.</t>
  </si>
  <si>
    <t>b21100810</t>
  </si>
  <si>
    <t>Bowling Club and Vansittart Park</t>
  </si>
  <si>
    <t>Photograph of bowling club and Vansittart Park in 1960, Mount Gambier.</t>
  </si>
  <si>
    <t>Bowls (Game) -- South Australia -- Mount Gambier;Vansittart Park (Mount Gambier, S.A.)</t>
  </si>
  <si>
    <t>b21101383</t>
  </si>
  <si>
    <t>Photograph of Leg of Mutton Lake, Mount Gambier.</t>
  </si>
  <si>
    <t>b21101395</t>
  </si>
  <si>
    <t>Road near lake</t>
  </si>
  <si>
    <t>Photograph of road near the lake in Mount Gambier.</t>
  </si>
  <si>
    <t>b21101401</t>
  </si>
  <si>
    <t>Lakes</t>
  </si>
  <si>
    <t>Photograph of the lakes in Mount Gambier.</t>
  </si>
  <si>
    <t>Lakes -- South Australia -- Mount Gambier</t>
  </si>
  <si>
    <t>b21104323</t>
  </si>
  <si>
    <t>Intermediate exam results</t>
  </si>
  <si>
    <t>Photograph of five students looking at a newspaper for their Intermediate Exam results in 1960.</t>
  </si>
  <si>
    <t>Students -- South Australia -- Mount Gambier;Examinations</t>
  </si>
  <si>
    <t>b21104335</t>
  </si>
  <si>
    <t>Budgies</t>
  </si>
  <si>
    <t>Photograph of two boys and a girl with a budgie in February 1960.</t>
  </si>
  <si>
    <t>Children -- South Australia -- Mount Gambier;Budgerigar</t>
  </si>
  <si>
    <t>b21104347</t>
  </si>
  <si>
    <t>Air pageant</t>
  </si>
  <si>
    <t>Photograph of three Air Force personnel looking at an aeroplane in 1960.</t>
  </si>
  <si>
    <t>Australia. Royal Australian Air Force -- Airmen;Airplanes -- South Australia -- Mount Gambier</t>
  </si>
  <si>
    <t>b21104359</t>
  </si>
  <si>
    <t>Photograph of five members of Rural Youth looking at a map on 27th July 1960.</t>
  </si>
  <si>
    <t>b21104360</t>
  </si>
  <si>
    <t>Y.M.C.A Mount Gambier</t>
  </si>
  <si>
    <t>Photograph of a cheque being presented at an event involving Y.M.C.A. in October 1960. Man on right of photo is Charles Miller.</t>
  </si>
  <si>
    <t>Miller, Charles;Young Men's Christian associations -- South Australia -- Mount Gambier</t>
  </si>
  <si>
    <t>b21177156</t>
  </si>
  <si>
    <t>Exam results</t>
  </si>
  <si>
    <t>A group of students look for their exam results in the newspaper in January 1960.</t>
  </si>
  <si>
    <t>b21104372</t>
  </si>
  <si>
    <t>Photograph of swimmers in the swimming pool on 15th January 1960.</t>
  </si>
  <si>
    <t>b21104384</t>
  </si>
  <si>
    <t>High School football</t>
  </si>
  <si>
    <t>Photograph of High School students playing football on 5th July 1960.</t>
  </si>
  <si>
    <t>High school students -- South Australia -- Mount Gambier;Australian football players -- South Australia -- Mount Gambier</t>
  </si>
  <si>
    <t>b21104396</t>
  </si>
  <si>
    <t>Caltex Art Show</t>
  </si>
  <si>
    <t>Photograph of children appreciating the art work at the Caltex Art Show in May 1960.</t>
  </si>
  <si>
    <t>Art -- Competitions -- Australia -- Exhibitions;Painting, Australian -- Competitions -- Exhibitions</t>
  </si>
  <si>
    <t>b21104402</t>
  </si>
  <si>
    <t>Christmas Pageant</t>
  </si>
  <si>
    <t>Photograph of children in cowboy and Indian costumes taking part in the Christmas Pageant in 1960.</t>
  </si>
  <si>
    <t>Christmas -- South Australia -- Mount Gambier;Costume -- Children -- South Australia -- Mount Gambier;Pageants -- South Australia -- Mount Gambier</t>
  </si>
  <si>
    <t>b21104414</t>
  </si>
  <si>
    <t>Photograph of children participating in the Learn to Swim Campaign on 15th January 1960.</t>
  </si>
  <si>
    <t>Swimmers -- South Australia -- Mount Gambier;Swimming -- Study and teaching -- South Australia -- Mount Gambier</t>
  </si>
  <si>
    <t>b21104426</t>
  </si>
  <si>
    <t>Advertiser Football School</t>
  </si>
  <si>
    <t>Photograph of boys participating in the Advertiser Football School on 26th July 1960.</t>
  </si>
  <si>
    <t>Advertiser Newspapers Ltd;Boys -- South Australia -- Mount Gambier;Australian football -- South Australia -- Mount Gambier</t>
  </si>
  <si>
    <t>b21104876</t>
  </si>
  <si>
    <t>Police Ball</t>
  </si>
  <si>
    <t>Photograph of police officers possibly handing a cheque from proceeds of the Police Ball to a charity representative on 30th August 1960.</t>
  </si>
  <si>
    <t>b21106289</t>
  </si>
  <si>
    <t>Photograph of the three winners of the Henley Girl competition at the Port MacDonnell Regatta in December 1960.</t>
  </si>
  <si>
    <t>b21106307</t>
  </si>
  <si>
    <t>Port MacDonnell Regetta</t>
  </si>
  <si>
    <t>Girls -- South Australia -- Port MacDonnell;Regattas -- South Australia -- Port MacDonnell;Beauty contests -- South Australia -- Port MacDonnell</t>
  </si>
  <si>
    <t>b21106319</t>
  </si>
  <si>
    <t>Photograph of the wood chopping competition at the Port MacDonnell Regatta in December 1960.</t>
  </si>
  <si>
    <t>Regattas -- South Australia -- Port MacDonnell;Woodchopping (Sports) -- South Australia -- Port MacDonnell</t>
  </si>
  <si>
    <t>b21106320</t>
  </si>
  <si>
    <t>Photograph of a bullock pulled wagon during the parade in the Port MacDonnell Centenary celebrations in 1960.</t>
  </si>
  <si>
    <t>Regattas -- South Australia -- Mount Gambier;Wagons -- South Australia -- Port MacDonnell;Oxen -- South Australia -- Port MacDonnell;Port MacDonnell (S.A.) -- Centennial celebrations, etc.</t>
  </si>
  <si>
    <t>b21106332</t>
  </si>
  <si>
    <t>Photograph of a speech being made during the Port MacDonnell Centenary celebrations in 1960.</t>
  </si>
  <si>
    <t>Regattas -- South Australia -- Port MacDonnell;Port MacDonnell (S.A.) -- Centennial celebrations, etc.</t>
  </si>
  <si>
    <t>b21106344</t>
  </si>
  <si>
    <t>Photograph of six bullocks at the Port MacDonnell Centenary celebrations in 1960.</t>
  </si>
  <si>
    <t>Regattas -- South Australia -- Port MacDonnell;Oxen -- South Australia -- Port MacDonnell;Port MacDonnell (S.A.) -- Centennial celebrations, etc.</t>
  </si>
  <si>
    <t>b2117779x</t>
  </si>
  <si>
    <t>Highland dancer with sash</t>
  </si>
  <si>
    <t>A Highland dancer wears a 'Sunday Mail' sash for New Year's Day Sports.</t>
  </si>
  <si>
    <t>New Year -- South Australia -- Mount Gambier;Costume -- Scotland;Dancers -- South Australia -- Mount Gambier;Awards -- Dance -- South Australia -- Mount Gambier</t>
  </si>
  <si>
    <t>b21106356</t>
  </si>
  <si>
    <t>Photograph of four members of the Blue Lake Highland Pipe Band adjusting their dress before the festivities on New Years Day 1960. The man second from left is Pipe Major Dick Hepburn of the Blue Lake Highland Pipe Band.</t>
  </si>
  <si>
    <t>b21106368</t>
  </si>
  <si>
    <t>Port MacDonnell Centenary</t>
  </si>
  <si>
    <t>Photograph of a re-enactment of a speech during the Port MacDonnell Centenary.</t>
  </si>
  <si>
    <t>Port MacDonnell (S.A.) -- Centennial celebrations, etc.</t>
  </si>
  <si>
    <t>b2110637x</t>
  </si>
  <si>
    <t>Photograph of part of the parade during the Port MacDonnell Centenary.</t>
  </si>
  <si>
    <t>b21106381</t>
  </si>
  <si>
    <t>Photograph of part of the festivites during the Port MacDonnell Centenary.</t>
  </si>
  <si>
    <t>b21106393</t>
  </si>
  <si>
    <t>Photograph of part of the festivites depicting a school master with a blackboard during the Port MacDonnell Centenary.</t>
  </si>
  <si>
    <t>b2110640x</t>
  </si>
  <si>
    <t>b21106411</t>
  </si>
  <si>
    <t>Photograph of the crowd during the Port MacDonnell Centenary.</t>
  </si>
  <si>
    <t>b21106423</t>
  </si>
  <si>
    <t>Photograph of five dancers in costumes during the New Years Day Sports, Mount Gambier.</t>
  </si>
  <si>
    <t>b21106435</t>
  </si>
  <si>
    <t>Photograph of a cup being awarded to a girl in Scottish national costume during the New Years Day Sports, Mount Gambier.</t>
  </si>
  <si>
    <t>New Year -- South Australia -- Mount Gambier;Costume -- Scotland;Awards -- Dance -- South Australia -- Mount Gambier</t>
  </si>
  <si>
    <t>b21106447</t>
  </si>
  <si>
    <t>Photograph of organisers at the New Years Day celebrations, Mount Gambier.</t>
  </si>
  <si>
    <t>New Year -- South Australia -- Mount Gambier</t>
  </si>
  <si>
    <t>b21106459</t>
  </si>
  <si>
    <t>Photograph of the two junior winners of the dancing competition at the New Years Day celebrations, Mount Gambier.</t>
  </si>
  <si>
    <t>New Year -- South Australia -- Mount Gambier;Dancers -- South Australia -- Mount Gambier;Awards -- Dance -- South Australia -- Mount Gambier;Costume -- Scotland</t>
  </si>
  <si>
    <t>b21106460</t>
  </si>
  <si>
    <t>Photograph of the two junior winners of the dancing competition being awarded their sashes at the New Years Day celebrations, Mount Gambier.</t>
  </si>
  <si>
    <t>New Year -- South Australia -- Mount Gambier;Costume -- Scotland;Awards -- Dance -- South Australia -- Mount Gambier;Dancers -- South Australia -- Mount Gambier</t>
  </si>
  <si>
    <t>b21106472</t>
  </si>
  <si>
    <t>Photograph of two lads posting posters advertising the Port MacDonnell Centenary at Easter in 1960. Photograph was taken on 10th april 1960.</t>
  </si>
  <si>
    <t>Posters -- South Australia -- Mount Gambier;Port MacDonnell (S.A.) -- Centennial celebrations, etc.</t>
  </si>
  <si>
    <t>b21106484</t>
  </si>
  <si>
    <t>New Year's Day winners</t>
  </si>
  <si>
    <t>Photograph of two winners at events on New Years Day in 1960: Miss J. Main on left, and J. Collins(?).</t>
  </si>
  <si>
    <t>Main, J.;New Year -- South Australia -- Mount Gambier;Awards -- Dance -- South Australia -- Mount Gambier;Dancers -- South Australia -- Mount Gambier;Costume -- Scotland</t>
  </si>
  <si>
    <t>b21106496</t>
  </si>
  <si>
    <t>Photograph of seven young girl entrants in a competition at the Port MacDonnell Regatta in December 1960.</t>
  </si>
  <si>
    <t>Girls -- South Australia -- Port MacDonnell;Regattas -- South Australia -- Port MacDonnell</t>
  </si>
  <si>
    <t>b21106502</t>
  </si>
  <si>
    <t>Mount Gambier New Year</t>
  </si>
  <si>
    <t>Photograph of the trophies won by the Blue Lake Ladies' Pipe Band being admired at the Mount Gambier New Year celebrations in 1960.</t>
  </si>
  <si>
    <t>New Year -- South Australia -- Mount Gambier;Bagpipers -- South Australia -- Mount Gambier;Pipe bands -- South Australia -- Mount Gambier;Costume -- Scotland;Awards -- Music -- South Australia -- Mount Gambier</t>
  </si>
  <si>
    <t>b21106514</t>
  </si>
  <si>
    <t>Photograph of two cars racing during the Port MacDonnell celebrations in December 1960.</t>
  </si>
  <si>
    <t>Automobile racing -- South Australia -- Port MacDonnell</t>
  </si>
  <si>
    <t>b21106526</t>
  </si>
  <si>
    <t>Photograph of seven men at the Port MacDonnell Regatta in December 1960.</t>
  </si>
  <si>
    <t>Regattas -- South Australia -- Port MacDonnell</t>
  </si>
  <si>
    <t>b21106538</t>
  </si>
  <si>
    <t>Photograph of the winner of the Junior Henley Girl competition being congratulated by the runners-up during the Port MacDonnell Regatta in December 1960.</t>
  </si>
  <si>
    <t>Girls -- South Australia -- Port MacDonnell;Beauty contests -- South Australia -- Port MacDonnell;Regattas -- South Australia -- Port MacDonnell</t>
  </si>
  <si>
    <t>b2110654x</t>
  </si>
  <si>
    <t>Photograph of four highland dancers on New Years Day in 1960, Mount Gambier.</t>
  </si>
  <si>
    <t>b21106551</t>
  </si>
  <si>
    <t>Photograph of a group of highland dancers on New Years Day Sports in 1960, Mount Gambier.</t>
  </si>
  <si>
    <t>New Year -- South Australia -- Mount Gambier;Dancers -- South Australia -- Mount Gambier;Costume -- Scotland</t>
  </si>
  <si>
    <t>b21106563</t>
  </si>
  <si>
    <t>Photograph of a trophy being awarded on New Years Day Sports in 1960, Mount Gambier.</t>
  </si>
  <si>
    <t>New Year -- South Australia -- Mount Gambier;Awards -- Dance -- South Australia -- Mount Gambier</t>
  </si>
  <si>
    <t>b21107683</t>
  </si>
  <si>
    <t>Coraline Limestone</t>
  </si>
  <si>
    <t>Photograph of a cutting machine at work in the Coraline Limestone quarry in 1960.</t>
  </si>
  <si>
    <t>Limestone -- South Australia -- Mount Gambier;Quarries and quarrying -- South Australia -- Mount Gambier</t>
  </si>
  <si>
    <t>b21107695</t>
  </si>
  <si>
    <t>Chamber of Commerce</t>
  </si>
  <si>
    <t>Photograph of two members of the Chamber of Commerce presenting a cheque to possibly a mechanic on 25th April 1960.</t>
  </si>
  <si>
    <t>Boards of trade -- South Australia -- Mount Gambier;Mount Gambier Chamber of Commerce</t>
  </si>
  <si>
    <t>b21107701</t>
  </si>
  <si>
    <t>E. Birbeck</t>
  </si>
  <si>
    <t>Photograph of twelve men at a dinner for the E. Birbeck company in 1961 in Mount Gambier.</t>
  </si>
  <si>
    <t>Automobile industry and trade -- South Australia -- Mount Gambier;Dinners and dining -- South Australia -- Mount Gambier</t>
  </si>
  <si>
    <t>b21107713</t>
  </si>
  <si>
    <t>Salvation Army Paper</t>
  </si>
  <si>
    <t>Photograph of five musicians playing brass instruments, possibly part of the Salvation Army on 15th March 1961.</t>
  </si>
  <si>
    <t>Salvation Army -- South Australia -- Mount Gambier;Bands (Music) -- South Australia -- Mount Gambier</t>
  </si>
  <si>
    <t>b21107725</t>
  </si>
  <si>
    <t>Jim Forbes and another man</t>
  </si>
  <si>
    <t>Two men in the industrial factory/mill in Mount Gambier. The man on the right may be Alexander James ('Jim') Forbes, the Federal Liberal politician from the 1960's.</t>
  </si>
  <si>
    <t>Forbes, Alexander James;Factories -- South Australia -- Mount Gambier</t>
  </si>
  <si>
    <t>b21107749</t>
  </si>
  <si>
    <t>Jens Hotel staff</t>
  </si>
  <si>
    <t>Photograph of staff members from Jens Hotel in their uniforms behind a wedding table in January 1960, Mount Gambier. L-R Barbara ?, ?, Kathleen Cooper, ? John Makai, Jim ?, ?, ?, ?.</t>
  </si>
  <si>
    <t>Jens Hotel (Mount Gambier, S.A.);Hotels -- South Australia -- Mount Gambier;Waitresses -- South Australia -- Mount Gambier</t>
  </si>
  <si>
    <t>b21107750</t>
  </si>
  <si>
    <t>Cheese Conference</t>
  </si>
  <si>
    <t>Photograph of three delegates from the Cheese Conference held on 29th March 1960, Mount Gambier.</t>
  </si>
  <si>
    <t>Cheese industry -- South Australia -- Mount Gambier -- Congresses</t>
  </si>
  <si>
    <t>b21108572</t>
  </si>
  <si>
    <t>New printing press at the 'Border Watch'</t>
  </si>
  <si>
    <t>Mr Stan Elliott, Mayor of Mount Gambier (on left) turning on a new printing press at the 'Border Watch' newspaper on 27th April 1960, Mount Gambier.</t>
  </si>
  <si>
    <t>b21108997</t>
  </si>
  <si>
    <t>Mount Gambier High School</t>
  </si>
  <si>
    <t>Photograph of two High School students being presented with sashes and cups in May 1962, Mount Gambier.</t>
  </si>
  <si>
    <t>Mount Gambier High School;Students -- South Australia -- Mount Gambier;High schools -- South Australia -- Mount Gambier</t>
  </si>
  <si>
    <t>b21111716</t>
  </si>
  <si>
    <t>Town Hall Renovations</t>
  </si>
  <si>
    <t>Photograph of workmen on top of the Town Hall during renovations on 25th February 1960, Mount Gambier.</t>
  </si>
  <si>
    <t>Mount Gambier Town Hall;Municipal buildings -- South Australia -- Mount Gambier</t>
  </si>
  <si>
    <t>b21111728</t>
  </si>
  <si>
    <t>ANZ Manager's Residence</t>
  </si>
  <si>
    <t>Photograph of residence for the manager of the A &amp; NZ Bank in 1960, Mount Gambier.</t>
  </si>
  <si>
    <t>Australia and New Zealand Banking Group -- Buildings;Dwellings -- South Australia -- Mount Gambier</t>
  </si>
  <si>
    <t>b2111173x</t>
  </si>
  <si>
    <t>Grantville Court</t>
  </si>
  <si>
    <t>Photograph of construction of the Grantville Courts shops in January 1960, Mount Gambier.</t>
  </si>
  <si>
    <t>Stores, Retail -- South Australia -- Mount Gambier -- Construction and design</t>
  </si>
  <si>
    <t>b21111753</t>
  </si>
  <si>
    <t>Adult Education Centre, Mount Gambier</t>
  </si>
  <si>
    <t>Photograph of a workman looking at plans for the renovations to the Adult Education Centre in January 1960, Mount Gambier with Leon Horvatt, Principal of the AEC.</t>
  </si>
  <si>
    <t>Horvatt, Leon;Adult education -- South Australia -- Mount Gambier -- Buildings;Construction workers -- South Australia -- Mount Gambier</t>
  </si>
  <si>
    <t>b21111765</t>
  </si>
  <si>
    <t>Sturt Street</t>
  </si>
  <si>
    <t>Photograph of a new business being built on Sturt Street in January 1960, Mount Gambier.</t>
  </si>
  <si>
    <t>b21111777</t>
  </si>
  <si>
    <t>Photograph of heavy materials being lifted by crane into the upstairs of the Post Office on 14th March 1960, Mount Gambier.</t>
  </si>
  <si>
    <t>Post Office buildings -- South Australia -- Mount Gambier;Cranes, derricks, etc. -- South Australia -- Mount Gambier</t>
  </si>
  <si>
    <t>b21111789</t>
  </si>
  <si>
    <t>Photograph of renovations to the clock tower on the Town Hall on 2nd March 1960, Mount Gambier.</t>
  </si>
  <si>
    <t>b21111807</t>
  </si>
  <si>
    <t>Tourist Office</t>
  </si>
  <si>
    <t>Photograph of the Tourist Office in the Town Hall on 16th June 1960, Mount Gambier.</t>
  </si>
  <si>
    <t>Mount Gambier Town Hall;Tourism -- South Australia -- Mount Gambier;Municipal buildings -- South Australia -- Mount Gambier</t>
  </si>
  <si>
    <t>b21111819</t>
  </si>
  <si>
    <t>Grey Street - James Street Corner</t>
  </si>
  <si>
    <t>Photograph of the corner of Grey Street and James Street, Mount Gambier in January 1960.</t>
  </si>
  <si>
    <t>b21111832</t>
  </si>
  <si>
    <t>Photograph of the coat of arms for the Bank of New South Wales being cleaned at the Mount Gambier Branch in February 1960.</t>
  </si>
  <si>
    <t>b21111844</t>
  </si>
  <si>
    <t>A.E.C. Centre</t>
  </si>
  <si>
    <t>Photograph of the renovations at the Adult Education Centre in January 1960, Mount Gambier.</t>
  </si>
  <si>
    <t>Adult education -- South Australia -- Mount Gambier -- Buildings</t>
  </si>
  <si>
    <t>b21111868</t>
  </si>
  <si>
    <t>Adult Education Centre</t>
  </si>
  <si>
    <t>Photograph of the Adult Education Centre, previously the Mount Gambier Primary School, Wehl Street, Mount Gambier, August 1960.</t>
  </si>
  <si>
    <t>b2111187x</t>
  </si>
  <si>
    <t>Colhurst House</t>
  </si>
  <si>
    <t>Photograph of Colhurst House in 1960, Mount Gambier.</t>
  </si>
  <si>
    <t>Colhurst House (House : Mount Gambier, S.A.);Dwellings -- South Australia -- Mount Gambier</t>
  </si>
  <si>
    <t>b21111881</t>
  </si>
  <si>
    <t>Commercial Street East, now Snells</t>
  </si>
  <si>
    <t>Photograph of Commercial Street East now Snells, Mount Gambier.</t>
  </si>
  <si>
    <t>b21111893</t>
  </si>
  <si>
    <t>Photograph of St. Andrews Church in October 1960, Mount Gambier.</t>
  </si>
  <si>
    <t>St. Andrews Church (Mount Gambier, S.A.);Church buildings -- South Australia -- Mount Gambier</t>
  </si>
  <si>
    <t>b21112794</t>
  </si>
  <si>
    <t>Photograph of Mr Karl Heinrich (Harry) Hirth with pots of orchids at the Mount Gambier Show in 1960.</t>
  </si>
  <si>
    <t>Hirth, Karl Heinrich;Agricultural exhibitions -- South Australia -- Mount Gambier;Orchids -- South Australia -- Mount Gambier;Floral decorations -- South Australia -- Mount Gambier</t>
  </si>
  <si>
    <t>b21112800</t>
  </si>
  <si>
    <t>Heather Steward</t>
  </si>
  <si>
    <t>Photograph of Heather Steward Highland Dancer in 1960, Mount Gambier.</t>
  </si>
  <si>
    <t>Steward, Heather;Dancers -- South Australia -- Mount Gambier;Highland fling (Dance);Costume -- Scotland</t>
  </si>
  <si>
    <t>b21112812</t>
  </si>
  <si>
    <t>E. T. Jordan</t>
  </si>
  <si>
    <t>Photograph of E. T. Jordan cutting his 21st birthday cake in 1960, Mount Gambier.</t>
  </si>
  <si>
    <t>Jordan, E. T.;Cake -- South Australia -- Mount Gambier;Birthdays -- South Australia -- Mount Gambier</t>
  </si>
  <si>
    <t>b21112824</t>
  </si>
  <si>
    <t>Josephine Laught</t>
  </si>
  <si>
    <t>Photograph of Josephine Faith Laught, the first woman councillor on the Mount Gambier City Council and wife of Senator Keith Laught. She is photographed in the front garden of her home on North Terrace East, Mt. Gambier.</t>
  </si>
  <si>
    <t>Laught, Josephine Faith, 1909-2008</t>
  </si>
  <si>
    <t>b21112836</t>
  </si>
  <si>
    <t>G. J. Ascione</t>
  </si>
  <si>
    <t>Photograph of Mr G. J. Ascione in 1960, Mount Gambier.</t>
  </si>
  <si>
    <t>Ascione, G. J.</t>
  </si>
  <si>
    <t>b21112897</t>
  </si>
  <si>
    <t>Premier T. Playford</t>
  </si>
  <si>
    <t>Photograph of Premier Thomas Playford with dignitaries at  the Mount Gambier Show in 1960.</t>
  </si>
  <si>
    <t>Playford, Thomas, Sir, 1896-1981;Visits of state -- South Australia -- Mount Gambier;Premiers -- South Australia;Agricultural exhibitions -- South Australia -- Mount Gambier</t>
  </si>
  <si>
    <t>b21113178</t>
  </si>
  <si>
    <t>L. Horvatt</t>
  </si>
  <si>
    <t>Photograph of Mr L. Horvatt sitting at his desk.</t>
  </si>
  <si>
    <t>Horvatt, L.</t>
  </si>
  <si>
    <t>b21113257</t>
  </si>
  <si>
    <t>Photograph of a working bee to sow grass seed at St. Andrews Church on 9th July 1960, Mount Gambier.</t>
  </si>
  <si>
    <t>St Andrews Church (Mount Gambier, S.A.);Church buildings -- South Australia -- Mount Gambier</t>
  </si>
  <si>
    <t>b21113282</t>
  </si>
  <si>
    <t>Rev. and Mrs Waters</t>
  </si>
  <si>
    <t>Photograph of the Rev and Mrs Waters taken on 5th April 1960, Mount Gambier.</t>
  </si>
  <si>
    <t>Waters, R., Rev.;Waters, Mrs</t>
  </si>
  <si>
    <t>b21113312</t>
  </si>
  <si>
    <t>Photograph of several members of the organising committee at the Mount Gambier Show in 1960, with Premier Tom Playford.</t>
  </si>
  <si>
    <t>Playford, Thomas, Sir, 1896-1981;Agricultural exhibitions -- South Australia -- Mount Gambier;Premiers -- South Australia</t>
  </si>
  <si>
    <t>b21113324</t>
  </si>
  <si>
    <t>A. Sealy</t>
  </si>
  <si>
    <t>Photograph of Freemason A. Sealy in 1958, in front of desk with masonic symbol, Mount Gambier.</t>
  </si>
  <si>
    <t>Sealy, A.;Freemasons -- South Australia -- Mount Gambier</t>
  </si>
  <si>
    <t>b21113348</t>
  </si>
  <si>
    <t>Mr W. Riedel - Admella</t>
  </si>
  <si>
    <t>Photograph of Mr Wally (Walter) Riedel, taken on 30 December 1960, with the bell from the 'Admella'.</t>
  </si>
  <si>
    <t>Riedel, Wally;Admella (Ship)</t>
  </si>
  <si>
    <t>b21113397</t>
  </si>
  <si>
    <t>Father Fahey</t>
  </si>
  <si>
    <t>Photograph of Father John Fahey in 1960.</t>
  </si>
  <si>
    <t>Fahey, John, Father, 1883-1959;Clergy -- South Australia -- Mount Gambier</t>
  </si>
  <si>
    <t>b21113476</t>
  </si>
  <si>
    <t>Arthur family members</t>
  </si>
  <si>
    <t>Photograph of G.W. Arthur, Mrs Arthur and Mrs J Martin playing with their children in the garden in 1960, Mount Gambier.</t>
  </si>
  <si>
    <t>Arthur (Family);Play -- South Australia -- Mount Gambier</t>
  </si>
  <si>
    <t>b21113488</t>
  </si>
  <si>
    <t>G. Scott</t>
  </si>
  <si>
    <t>Photograph of Graham Scott and his mother Mrs. B. Scott, looking at a newspaper, on 20th January 1960, Mount Gambier.</t>
  </si>
  <si>
    <t>Scott (Family)</t>
  </si>
  <si>
    <t>b2111349x</t>
  </si>
  <si>
    <t>Roy and Leonore Bishop and family</t>
  </si>
  <si>
    <t>Photograph of Roy and Leonore Bishop and their two sons and a daughter.</t>
  </si>
  <si>
    <t>Bishop (Family)</t>
  </si>
  <si>
    <t>b21113506</t>
  </si>
  <si>
    <t>C. Miller</t>
  </si>
  <si>
    <t>Photograph of Mr C. Miller in January 1960, Mount Gambier.</t>
  </si>
  <si>
    <t>b21113518</t>
  </si>
  <si>
    <t>Christ Church</t>
  </si>
  <si>
    <t>Photograph of Mr and Mrs A. Sanders standing in front of a fireplace at a formal event in 1960, Mount Gambier. Mrs Sanders is wearing a fur stole and white gloves with a corsage of flowers on her dress.</t>
  </si>
  <si>
    <t>Sanders, A.</t>
  </si>
  <si>
    <t>b2111352x</t>
  </si>
  <si>
    <t>Photograph of Arthur and Mrs O'Donnell admiring a painting called "Crayfish" which is being held by another lady at the O'Donnell Art Award in 1960.</t>
  </si>
  <si>
    <t>O'Donnell, A.;Art -- Awards -- South Australia -- Mount Gambier</t>
  </si>
  <si>
    <t>b21113531</t>
  </si>
  <si>
    <t>Henri Post Robbery</t>
  </si>
  <si>
    <t>Photograph of staff assessing the damage caused during a robbery at Henri Post Jewellers on 11th January 1960, Mount Gambier.</t>
  </si>
  <si>
    <t>Henri Post Jewellers;Jewelers -- South Australia -- Mount Gambier</t>
  </si>
  <si>
    <t>b21114675</t>
  </si>
  <si>
    <t>Riding School</t>
  </si>
  <si>
    <t>Photograph of a young rider on a horse at the Riding School on 25th January 1960.</t>
  </si>
  <si>
    <t>Riding clubs -- South Australia -- Mount Gambier</t>
  </si>
  <si>
    <t>b21114699</t>
  </si>
  <si>
    <t>Baseball Association Foundation Members</t>
  </si>
  <si>
    <t>Photograph of thirteen members of the Baseball Association Foundation in Mount Gambier on 13th June 1960.</t>
  </si>
  <si>
    <t>b21114705</t>
  </si>
  <si>
    <t>Photograph of a young mounted member of the Riding School on 25th January 1960.</t>
  </si>
  <si>
    <t>b21114717</t>
  </si>
  <si>
    <t>Governor's Visit</t>
  </si>
  <si>
    <t>Photograph of the Governor, Sir Cedric Bastyan, and his wife during a visit to Mount Gambier on 11th January 1960.</t>
  </si>
  <si>
    <t>Bastyan, Edric Montague, Sir, 1903-1980;Bastyan, Victoria, Lady;Governors -- South Australia;Visits of state -- South Australia -- Mount Gambier</t>
  </si>
  <si>
    <t>b21114729</t>
  </si>
  <si>
    <t>Photograph of five young mounted members of the Riding School with an instructor on 25th January 1960.</t>
  </si>
  <si>
    <t>b21114730</t>
  </si>
  <si>
    <t>Photograph of the winner of the Caledonian Wheel Race receiving his sash during the New Years Day Sports in Mount Gambier 1960. Cyclist is Leon Morrish, then of Mount Gambier.</t>
  </si>
  <si>
    <t>New Year -- South Australia -- Mount Gambier;Cycling -- South Australia -- Mount Gambier</t>
  </si>
  <si>
    <t>b21114742</t>
  </si>
  <si>
    <t>Photograph of a winner receiving congratulations during the New Years Day Sports in Mount Gambier 1960.</t>
  </si>
  <si>
    <t>b21114754</t>
  </si>
  <si>
    <t>Instructors at the Riding School, Mount Gambier</t>
  </si>
  <si>
    <t>Instructors in the stables at the Riding School on 25th January 1960. From left:  Dr Crozier, Herman Heyer, Sgt Roberts and Gwen Stead.</t>
  </si>
  <si>
    <t>b21114766</t>
  </si>
  <si>
    <t>Photograph of four cyclists after their race on New Years Day in 1960, Mount Gambier.</t>
  </si>
  <si>
    <t>b21114778</t>
  </si>
  <si>
    <t>Photograph of the winner winning his race at the New Years Day Sports in 1960, Mount Gambier. The winner has his arm in the air in a victory salute.</t>
  </si>
  <si>
    <t>b2111478x</t>
  </si>
  <si>
    <t>Marching Girls</t>
  </si>
  <si>
    <t>Photograph of five marching girls in various uniforms with two officials in February 1960, Mount Gambier.</t>
  </si>
  <si>
    <t>Marching drills -- South Australia -- Mount Gambier</t>
  </si>
  <si>
    <t>b21178057</t>
  </si>
  <si>
    <t>Photograph of three spectators at the New Years Sports Day in Mount Gambier in 1960.</t>
  </si>
  <si>
    <t>b2111481x</t>
  </si>
  <si>
    <t>Croquet Tournament</t>
  </si>
  <si>
    <t>Photograph of two lady players at the Croquet Tournament on 3rd March 1960. Mount Gambier.</t>
  </si>
  <si>
    <t>b21114821</t>
  </si>
  <si>
    <t>Bowling Carnival</t>
  </si>
  <si>
    <t>Photograph of male bowlers at the Bowling Carnival in February 1960, Mount Gambier.</t>
  </si>
  <si>
    <t>b21114833</t>
  </si>
  <si>
    <t>Golf Associates</t>
  </si>
  <si>
    <t>Photograph of seven lady golfers about to tee off at the Mount Gambier Golf Club on 28th April 1960.</t>
  </si>
  <si>
    <t>b21114845</t>
  </si>
  <si>
    <t>At the Mount Gambier swimming pool</t>
  </si>
  <si>
    <t>Photograph of a group of swimmers and non-swimmers at the swimming pool on 5th February 1960, Mount Gambier. From the centre of the photo is Melva Knight (Levings), right of her Peggy Stevens, Malcolm Kentish and Frank Kentish.</t>
  </si>
  <si>
    <t>b21114857</t>
  </si>
  <si>
    <t>Photograph of a group of swimmers and non-swimmers having hot drinks at the Swimming Pool on 5th February 1960, Mount Gambier.</t>
  </si>
  <si>
    <t>b21114869</t>
  </si>
  <si>
    <t>Morton Sea Fair</t>
  </si>
  <si>
    <t>View looking East of a water skier on Valley Lake, Mt. Gambier, watched by onlookers, May 1960.</t>
  </si>
  <si>
    <t>Valley Lake (Mount Gambier, S.A.);Water skiing -- South Australia -- Mount Gambier</t>
  </si>
  <si>
    <t>b21114870</t>
  </si>
  <si>
    <t>Photograph of five male bowlers and a club official at the Bowling Carnival in February 1960.</t>
  </si>
  <si>
    <t>b21114882</t>
  </si>
  <si>
    <t>Photograph of five marching girls with two officials in February 1960, Mount Gambier.</t>
  </si>
  <si>
    <t>b21114894</t>
  </si>
  <si>
    <t>Photograph of marching girls with their banner marching on 21st February 1960, Mount Gambier.</t>
  </si>
  <si>
    <t>b21114900</t>
  </si>
  <si>
    <t>Photograph of  fourteen marching girls in formation on 21st February 1960, Mount Gambier.</t>
  </si>
  <si>
    <t>b21114912</t>
  </si>
  <si>
    <t>Croquet Tournment</t>
  </si>
  <si>
    <t>Photograph of the winners of the Croquet Tournament with their prizes on 10th March 1960, Mount Gambier.</t>
  </si>
  <si>
    <t>b21114924</t>
  </si>
  <si>
    <t>Photograph of six spectators at the New Years Sports Day in Mount Gambier in 1960.</t>
  </si>
  <si>
    <t>b21114936</t>
  </si>
  <si>
    <t>Photograph of the Marching Girls Team taken on 21st February 1960, Mount Gambier.</t>
  </si>
  <si>
    <t>b21114948</t>
  </si>
  <si>
    <t>1 photograph : acetate, negative, black and white   11.6 x 16 cm;still image sti rdacontent;unmediated n rdamedia;sheet nb rdacarrier</t>
  </si>
  <si>
    <t>Photograph of the winner of the Caledonian Wheel Race over one mile, being congratulated by two other riders in 1960. Winner with sash is Leon Morrish, formerly of Mount Gambier, and the rider on the left is Keith McKenzie.</t>
  </si>
  <si>
    <t>b2111495x</t>
  </si>
  <si>
    <t>Photograph of two men discussing events at the New Years Day Sports, Mount Gambier in 1960. The gentleman on the right is Alex Roberts, Secretary of the Sports Day for many years, and is now (2008) 103 years old.</t>
  </si>
  <si>
    <t>b21114961</t>
  </si>
  <si>
    <t>Photograph of a runner receiving a sash from a woman at the New Years Day Sports in 1960.</t>
  </si>
  <si>
    <t>b21114973</t>
  </si>
  <si>
    <t>Photograph of six lady croquet players after the Tournament on 10th March 1960.</t>
  </si>
  <si>
    <t>b21178069</t>
  </si>
  <si>
    <t>Golfers at Mount Gambier</t>
  </si>
  <si>
    <t>Photograph of (from left): Mrs Baudinette, Dr Bill Baudinette, Mrs Val Young and Mr Eldon Young at the Golf Course on 23rd April 1960, Mount Gambier.</t>
  </si>
  <si>
    <t>b21178070</t>
  </si>
  <si>
    <t>Photograph of five male bowlers at the Bowling Carnival in February 1960.</t>
  </si>
  <si>
    <t>b21114985</t>
  </si>
  <si>
    <t>Photograph of two bowlers discussing tactics at the Bowls Carnival in February 1960, Mount Gambier.</t>
  </si>
  <si>
    <t>Bowling -- South Australia -- Mount Gambier;Lawn bowls -- South Australia -- Mount Gambier</t>
  </si>
  <si>
    <t>b21114997</t>
  </si>
  <si>
    <t>Air Pageant</t>
  </si>
  <si>
    <t>Photograph of a vehicle transporting a parachutist during the Air Pageant in 1960.</t>
  </si>
  <si>
    <t>Aeronautics -- South Australia -- Mount Gambier;Airplanes -- South Australia -- Mount Gambier</t>
  </si>
  <si>
    <t>b2111500x</t>
  </si>
  <si>
    <t>Olympic cheque</t>
  </si>
  <si>
    <t>Photograph of a cheque being presented by Mr Reg Watson, proprietor of the 'Border Watch', and Mayor Mr Stan Elliott to Mount Gambier shooter John Tremelling, who  represented Australia in the Olympic Games  photograph taken on 6th July 1960.</t>
  </si>
  <si>
    <t>Tremelling, John;Pistol shooting -- South Australia -- Mount Gambier;Olympics</t>
  </si>
  <si>
    <t>b21115011</t>
  </si>
  <si>
    <t>John Tremelling Olympian</t>
  </si>
  <si>
    <t>Photograph of John Tremelling, Olympian pistol shooter, ready to board an aeroplane on 17th August 1960 en route to Rome.</t>
  </si>
  <si>
    <t>b21115023</t>
  </si>
  <si>
    <t>One Hundred Mile Cycling Race</t>
  </si>
  <si>
    <t>Photograph of a cyclist at the starting line for the 100 mile race in Mount Gambier on 13th August 1960.</t>
  </si>
  <si>
    <t>Cycling -- South Australia -- Mount Gambier</t>
  </si>
  <si>
    <t>b21115035</t>
  </si>
  <si>
    <t>Photograph of the Baseball Team members watching a match on 13th June 1960.</t>
  </si>
  <si>
    <t>b21115047</t>
  </si>
  <si>
    <t>Photograph of the winner of the 100 Mile Race being awarded flowers and a sash in 1960.</t>
  </si>
  <si>
    <t>Cycling -- South Australia -- Mount Gambier;Awards -- Sport -- South Australia -- Mount Gambier</t>
  </si>
  <si>
    <t>b21115059</t>
  </si>
  <si>
    <t>Photograph of baseball players checking the rule book on 13th June 1960, Mount Gambier.</t>
  </si>
  <si>
    <t>b21115060</t>
  </si>
  <si>
    <t>Baseball B Grade Team</t>
  </si>
  <si>
    <t>Photograph of the B Grade baseball players team in 1960, Mount Gambier.</t>
  </si>
  <si>
    <t>b21115072</t>
  </si>
  <si>
    <t>Photograph of a rider and grey horse clearing a jump at the Hunt Club on 21st May 1960, Mount Gambier.</t>
  </si>
  <si>
    <t>b21115084</t>
  </si>
  <si>
    <t>Photograph of a rider and chestnut horse clearing a jump at the Hunt Club on 21st May 1960, Mount Gambier.</t>
  </si>
  <si>
    <t>b21115096</t>
  </si>
  <si>
    <t>Baseball A. Grade</t>
  </si>
  <si>
    <t>Photograph of the A Grade Baseball Team on 11th June 1960, Mount Gambier.</t>
  </si>
  <si>
    <t>b21115102</t>
  </si>
  <si>
    <t>Photograph of seven lady golfers waiting to tee off on the Mount Gambier Golf Course on 28th April 1960.</t>
  </si>
  <si>
    <t>b21115114</t>
  </si>
  <si>
    <t>Olympic Games</t>
  </si>
  <si>
    <t>Photograph of four men holding the Olympic flag on 19th May 1960, Mount Gambier.</t>
  </si>
  <si>
    <t>Olympics</t>
  </si>
  <si>
    <t>b21115126</t>
  </si>
  <si>
    <t>Bird - Squash Court</t>
  </si>
  <si>
    <t>Photograph of three people, one possibly named Mr Bird, looking at plans for a Squash Court on 3rd June 1960, Mount Gambier.</t>
  </si>
  <si>
    <t>Squash rackets (Game)</t>
  </si>
  <si>
    <t>b21115138</t>
  </si>
  <si>
    <t>John and Joan Tremelling</t>
  </si>
  <si>
    <t>Photograph of John Tremelling showing his Olympic standard pistol shooting to his wife Joan on 25th May 1960, Mount Gambier. According to a researcher this image was taken prior to Tremelling joining Australia's Olympic Team for the 1960 Olympics held in Rome, Italy. He subsequently missed Olympic selection by one point, in each of four Olympiads and then won selection for the second time in 1980, and was the only Australian pistol shooter named for the Moscow Olympics.</t>
  </si>
  <si>
    <t>Pistol shooting -- South Australia -- Mount Gambier;Olympics</t>
  </si>
  <si>
    <t>b2111514x</t>
  </si>
  <si>
    <t>Photograph of members of the Hunt Club having a snack during a meet on 21st May 1960. Kathleen Edkins on the far right and Nancy Gower second from right.</t>
  </si>
  <si>
    <t>b21115151</t>
  </si>
  <si>
    <t>Photograph of golfers during a tournament on 29th May 1960, Mount Gambier.</t>
  </si>
  <si>
    <t>b21115163</t>
  </si>
  <si>
    <t>Photograph of members of the Hunt Club enjoying a snack during a meet on 21st May 1960, Mount Gambier.</t>
  </si>
  <si>
    <t>b21115175</t>
  </si>
  <si>
    <t>Photograph of seven men holding the Olympic Flag on 19th May 1960, Mount Gambier.</t>
  </si>
  <si>
    <t>b21115187</t>
  </si>
  <si>
    <t>Photograph of four male golfers during a game of golf on 29th May 1960, Mount Gambier.</t>
  </si>
  <si>
    <t>b2117801x</t>
  </si>
  <si>
    <t>Trout, Valley Lake</t>
  </si>
  <si>
    <t>Photograph of two men emptying tiny trout into the Lake from the back of a ute on 6th July 1960, Mount Gambier.</t>
  </si>
  <si>
    <t>b21115199</t>
  </si>
  <si>
    <t>Photograph of three men and three lady golfers at the Golf Course on 23rd April 1960, Mount Gambier.</t>
  </si>
  <si>
    <t>b21115205</t>
  </si>
  <si>
    <t>Olympic Games Sponsors Committee</t>
  </si>
  <si>
    <t>Photograph of four Olympic Games Committee members pinning a badge on a sponsor on 19th May 1960, Mount Gambier.</t>
  </si>
  <si>
    <t>b21115217</t>
  </si>
  <si>
    <t>Coursing</t>
  </si>
  <si>
    <t>Photograph of winning participants in a coursing event with their three dogs on 13th June 1960, Mount Gambier.</t>
  </si>
  <si>
    <t>Dog racing -- South Australia -- Mount Gambier</t>
  </si>
  <si>
    <t>b21115229</t>
  </si>
  <si>
    <t>Olympic Flag</t>
  </si>
  <si>
    <t>Photograph of the Olympic Games Flag being raised in Mount Gambier on 3rd June 1960.</t>
  </si>
  <si>
    <t>b21115230</t>
  </si>
  <si>
    <t>Aquatic Club</t>
  </si>
  <si>
    <t>Photograph of two men from the Aquatic Club with several trophies on 16th June 1960.</t>
  </si>
  <si>
    <t>b21115242</t>
  </si>
  <si>
    <t>Photograph of Mr Reg Watson, proprietor of the 'Border Watch' and Mayor Mr Stan Elliott presenting a cheque from sponsors to Olympic shooter John Tremelling on 6th July 1960, Mount Gambier.</t>
  </si>
  <si>
    <t>b21115254</t>
  </si>
  <si>
    <t>Photograph of two men from the Aquatic Club looking at trophies on 16th June 1960, Mount Gambier.</t>
  </si>
  <si>
    <t>b21115266</t>
  </si>
  <si>
    <t>Photograph of members of the Hunt Club sitting on the back of a horse float talking on 21st May 1960, Mount Gambier.</t>
  </si>
  <si>
    <t>b21115278</t>
  </si>
  <si>
    <t>Photograph of members of a baseball team looking at the scoreboard during a match between Geelong and Dandenong on 13th June 1960, Mount Gambier.</t>
  </si>
  <si>
    <t>b2111528x</t>
  </si>
  <si>
    <t>Photograph of many women croquet players in front of their clubroom on 10th March 1960, Mount Gambier.</t>
  </si>
  <si>
    <t>b21115291</t>
  </si>
  <si>
    <t>Olympic Committee</t>
  </si>
  <si>
    <t>Photograph of the Olympic Committee including J. Tremelling on 6th July 1960, Mount Gambier.</t>
  </si>
  <si>
    <t>b21115308</t>
  </si>
  <si>
    <t>Photograph of four men in riding pinks from the Hunt Club with their horses on 28th May 1960.</t>
  </si>
  <si>
    <t>b2111531x</t>
  </si>
  <si>
    <t>Shell Company</t>
  </si>
  <si>
    <t>Photograph of employees from the Shell Company during a lunch on 30th June 1960, Mount Gambier.</t>
  </si>
  <si>
    <t>Shell Company of Australia;Petroleum industry and trade -- Employees -- South Australia -- Mount Gambier</t>
  </si>
  <si>
    <t>b21115321</t>
  </si>
  <si>
    <t>Photograph of two winning dogs and their owners with the trophy after winning a coursing event on 13th June 1960, Mount Gambier.</t>
  </si>
  <si>
    <t>b21115345</t>
  </si>
  <si>
    <t>Photograph of four winners and their dogs after a coursing event in Mount Gambier on 13th June 1960.</t>
  </si>
  <si>
    <t>b21120973</t>
  </si>
  <si>
    <t>Photograph of debutante E. Anstey being presented to Mayoress Jean Elliott and Mayor Stan Elliott in 1960, Mount Gambier.</t>
  </si>
  <si>
    <t>Anstey, E.;Elliott, Jean;Elliott, Stanley Hamilton, 1910-1990;Balls (Parties) -- South Australia -- Mount Gambier</t>
  </si>
  <si>
    <t>b21120985</t>
  </si>
  <si>
    <t>C and C Ball</t>
  </si>
  <si>
    <t>Photograph of debutantes dancing with their partners at the C &amp; C Ball in Mount Gambier in 1960.</t>
  </si>
  <si>
    <t>b21121035</t>
  </si>
  <si>
    <t>C &amp; C Ball 1960</t>
  </si>
  <si>
    <t>Photograph of two couples enjoying supper and consulting their dance cards during the C &amp; C Ball in 1960, Mount Gambier.</t>
  </si>
  <si>
    <t>b21121801</t>
  </si>
  <si>
    <t>JAYCEE gifts to the Hospital</t>
  </si>
  <si>
    <t>Photograph of JAYCEE representatives donating wooden toys to a young patient in the hospital in July 1960, Mount Gambier.</t>
  </si>
  <si>
    <t>Mount Gambier Jaycees;Hospitals -- South Australia -- Mount Gambier;Toys -- South Australia -- Mount Gambier</t>
  </si>
  <si>
    <t>b21121813</t>
  </si>
  <si>
    <t>Photograph of  four JAYCEE representatives during a function on 27th August 1960, Mount Gambier.</t>
  </si>
  <si>
    <t>b21121825</t>
  </si>
  <si>
    <t>Photograph of  three JAYCEE representatives during a function on 27th August 1960, Mount Gambier.</t>
  </si>
  <si>
    <t>b21121837</t>
  </si>
  <si>
    <t>b21121849</t>
  </si>
  <si>
    <t>APEX Pakistan Reception</t>
  </si>
  <si>
    <t>Photograph of the Mayor of Mount Gambier and other residents welcoming an APEX member from Pakistan on 5th June 1960.</t>
  </si>
  <si>
    <t>Apex Club of Mount Gambier;Mayors -- South Australia -- Mount Gambier;Pakistanis -- South Australia -- Mount Gambier</t>
  </si>
  <si>
    <t>b21121850</t>
  </si>
  <si>
    <t>APEX Students</t>
  </si>
  <si>
    <t>Photograph of APEX representatives Lou Woolford, ? Guppy and Darcy Dahl farewelling students Diane Barry and Robert Easther. The two students were going to Canberra to visit Parliament House in September 1960.</t>
  </si>
  <si>
    <t>Barry, Diane Ellen;Easther, Robert;Woolford, Louis;Dahl, Darcy;Apex Club of Mount Gambier;Airplanes -- South Australia -- Mount Gambier;Students -- South Australia -- Mount Gambier</t>
  </si>
  <si>
    <t>b21121862</t>
  </si>
  <si>
    <t>Methodist Centenary</t>
  </si>
  <si>
    <t>Photograph of older ladies and gentlemen in the church hall during the Methodist Church Centenary on 3rd June 1960, Mount Gambier.</t>
  </si>
  <si>
    <t>Mount Gambier Methodist Church (S.A.) -- Centennial celebrations, etc.;Methodist Church -- South Australia -- Mount Gambier</t>
  </si>
  <si>
    <t>b21121874</t>
  </si>
  <si>
    <t>Photograph of the three Hammer sisters standing in a shop surrounded by manchester items and rolls of material on 7th June 1960, Mount Gambier. They are Mrs Gladys Thompson, Mrs Norma Bennier and Mrs Bessie Naughton.</t>
  </si>
  <si>
    <t>Hammer (Family);Thompson, Gladys;Bennier, Norma;Naughton, Bessie;Stores, Retail -- South Australia -- Mount Gambier</t>
  </si>
  <si>
    <t>b21121886</t>
  </si>
  <si>
    <t>Photograph of members of the Methodist Church with a book of letters and records on 29th May 1960, Mount Gambier.</t>
  </si>
  <si>
    <t>b21121898</t>
  </si>
  <si>
    <t>APEX students</t>
  </si>
  <si>
    <t>Photograph of two students sponsored by APEX being farewelled before boarding an Ansett Aeroplance. APEX officials and the crew are standing with the students.</t>
  </si>
  <si>
    <t>Apex Club of Mount Gambier;Ansett Airlines of Australia;Airplanes -- South Australia -- Mount Gambier;Students -- South Australia -- Mount Gambier</t>
  </si>
  <si>
    <t>b21121904</t>
  </si>
  <si>
    <t>Queens Guides</t>
  </si>
  <si>
    <t>Photograph of two Girl Guides receiving their Queens Guide certificates from the Guide Captain and District Commissioner on 16th June 1960, Mount Gambier.</t>
  </si>
  <si>
    <t>Girl Guides -- South Australia -- Mount Gambier</t>
  </si>
  <si>
    <t>b21121916</t>
  </si>
  <si>
    <t>Photograph of members of the Mount Gambier APEX Club welcoming representatives from the Pakistan APEX in May 1960.</t>
  </si>
  <si>
    <t>Apex Club of Mount Gambier;Pakistanis -- South Australia -- Mount Gambier</t>
  </si>
  <si>
    <t>b21121928</t>
  </si>
  <si>
    <t>Photograph of six newly naturalised citizens in January 1960, Mount Gambier. The two men at the rear are members of the Moors family. Willem on the left, and Kon on the right.</t>
  </si>
  <si>
    <t>Moors, Willem;Moors, Kon;Naturalization -- South Australia -- Mount Gambier;Citizenship -- South Australia -- Mount Gambier</t>
  </si>
  <si>
    <t>b2112193x</t>
  </si>
  <si>
    <t>Good Neighbour Association</t>
  </si>
  <si>
    <t>Photograph of four ladies in national dress welcoming a newcomer to Australia on 16th December 1960.</t>
  </si>
  <si>
    <t>Good Neighbour Council of South Australia;Immigrants -- Services for -- South Australia -- Mount Gambier</t>
  </si>
  <si>
    <t>b21121941</t>
  </si>
  <si>
    <t>Mrs L.L. Watson</t>
  </si>
  <si>
    <t>Photograph of Mrs L.L. Watson preparing a floral arrangement in January 1960, Mount Gambier.</t>
  </si>
  <si>
    <t>Watson, L. L.;Flower arrangement -- South Australia -- Mount Gambier</t>
  </si>
  <si>
    <t>b21121953</t>
  </si>
  <si>
    <t>Apex Club event at Mount Gambier</t>
  </si>
  <si>
    <t>Photograph of Matron M. Ogden, Matron of the Mount Gambier Hospital, with two Apex Club members on 29th March 1960, Mount Gambier.</t>
  </si>
  <si>
    <t>Ogden, M.;Apex Club of Mount Gambier</t>
  </si>
  <si>
    <t>b21121965</t>
  </si>
  <si>
    <t>Photograph of six newly naturalised citizens holding their certificates after the ceremony in January 1960, Mount Gambier.</t>
  </si>
  <si>
    <t>b21121977</t>
  </si>
  <si>
    <t>P.G.C. Dinner</t>
  </si>
  <si>
    <t>Photograph of ten ladies having a meeting after the P.G.C. Dinner held on 29th March 1960, Mount Gambier.</t>
  </si>
  <si>
    <t>Mount Gambier Presbyterian Girls Club (Mount Gambier, S.A.);Dinners and dining -- South Australia -- Mount Gambier</t>
  </si>
  <si>
    <t>b21121989</t>
  </si>
  <si>
    <t>Rural Youth Ball</t>
  </si>
  <si>
    <t>Photograph of Ball Queens representing various South Eastern towns at the Rural Youth Ball held on 13th May 1960. The young woman on far right top row is Lorraine Stratford representing Tarpeena Rural Youth.</t>
  </si>
  <si>
    <t>Stratford, Lorraine;Rural Youth Movement of South Australia;Rural youth -- South Australia -- Societies, etc.;Balls (Parties) -- South Australia -- Mount Gambier)</t>
  </si>
  <si>
    <t>b21121990</t>
  </si>
  <si>
    <t>Apex</t>
  </si>
  <si>
    <t>Photograph of three men from Apex holding a program at a function on 27th February 1960. The man on the right has been identified by a researcher, as Marians Karklins.</t>
  </si>
  <si>
    <t>Karklins, Marians;Apex Club of Mount Gambier</t>
  </si>
  <si>
    <t>b21122131</t>
  </si>
  <si>
    <t>Councils Conference</t>
  </si>
  <si>
    <t>Photograph of four male delegates attending the Councils Conference on 29th May 1960, Mount Gambier.</t>
  </si>
  <si>
    <t>Mount Gambier (S.A.). Corporation -- Congresses;Local government -- South Australia -- Mount Gambier -- Congresses</t>
  </si>
  <si>
    <t>b21122143</t>
  </si>
  <si>
    <t>Governor's visit</t>
  </si>
  <si>
    <t>Photograph of the Governor and his wife at a reception held by the Mayor and his wife on 11th January 1960, Mount Gambier.</t>
  </si>
  <si>
    <t>George, Robert Allingham, Sir, 1896-1967;Governors -- South Australia;Visits of state -- South Australia -- Mount Gambier</t>
  </si>
  <si>
    <t>b21122155</t>
  </si>
  <si>
    <t>Photograph of the Governor and his wife greeting other guests at a reception on 11th January 1960, Mount Gambier.</t>
  </si>
  <si>
    <t>b21122167</t>
  </si>
  <si>
    <t>Photograph of South Australia's Governor, Sir Robert George (on left), talking to Mr Stan Elliott, Mayor of Mount Gambier. Taken on 11th January 1960.</t>
  </si>
  <si>
    <t>George, Robert Allingham, Sir, 1896-1967;Elliott, Stanley Hamilton, 1910-1990;Visits of state -- South Australia -- Mount Gambier;Governors -- South Australia</t>
  </si>
  <si>
    <t>b21122180</t>
  </si>
  <si>
    <t>Photograph of the Governor and his wife meeting people of Mount Gambier during their visit in January 1960. The man holding the paperwork has been identified as Alec Lock.</t>
  </si>
  <si>
    <t>George, Robert Allingham, Sir, 1896-1967;Lock, Alec, 1914-2016;Visits of state -- South Australia -- Mount Gambier;Governors -- South Australia</t>
  </si>
  <si>
    <t>b21122192</t>
  </si>
  <si>
    <t>Photograph of the Governor and his wife being shown the new swimming pool on 11th January 1960, Mount Gambier.</t>
  </si>
  <si>
    <t>George, Robert Allingham, Sir, 1896-1967;Visits of state -- South Australia -- Mount Gambier;Governors -- South Australia</t>
  </si>
  <si>
    <t>b21122222</t>
  </si>
  <si>
    <t>Photograph of the Governor and his wife signing papers before other officials during their visit to Mount Gambier on 11th January 1960.</t>
  </si>
  <si>
    <t>b21122246</t>
  </si>
  <si>
    <t>Mount Gambier Naturalisation</t>
  </si>
  <si>
    <t>Photograph of six newly naturalised citizens with the Mayor on 2nd December 1960. Mount Gambier.</t>
  </si>
  <si>
    <t>b21122258</t>
  </si>
  <si>
    <t>De Nys family naturalisation</t>
  </si>
  <si>
    <t>Photograph of the De Nys family after their naturalisation ceremony on 2nd December 1960, Mount Gambier. Gerrit Jan De Nys is person standing second from right in back row. Gerrit Jan de Nys  (born 1906), Jansje de Nys nee Bakker (born 1911),  Bartholomeus Jacob de Nys (Ben) (born 1937), Cornelis Fokke de Nys (Keith) (born 1939), Janette Wilhelmina de Nys ( Willi) now Ryan (born 1941), Gerrit Jan de Nys (born 1943), Hans Ronald de Nys ( born 1945), Francois Louis de Nys (Frank) (born 1949), Minke Maria Elisabeth de Nys (Mieke), now Stewart (born 1951) Anke Greetje de Nys (born 1954).</t>
  </si>
  <si>
    <t>De Nys (Family);Naturalization -- South Australia -- Mount Gambier;Citizenship -- South Australia -- Mount Gambier</t>
  </si>
  <si>
    <t>b2112226x</t>
  </si>
  <si>
    <t>Students - Town Hall</t>
  </si>
  <si>
    <t>Photograph of students being shown survey equipment at the Town Hall on 1st July 1960, Mount Gambier.</t>
  </si>
  <si>
    <t>Surveying -- South Australia -- Mount Gambier;Students -- South Australia -- Mount Gambier</t>
  </si>
  <si>
    <t>b21126859</t>
  </si>
  <si>
    <t>A. E. Coombe</t>
  </si>
  <si>
    <t>Photograph of a young Miss A. E. Coombe in her play costume of a nurses uniform, taken in the studio in Mount Gambier in 1945.</t>
  </si>
  <si>
    <t>Coombe, A. E.;Children -- South Australia -- Mount Gambier;Children -- Clothing -- South Australia -- Mount Gambier</t>
  </si>
  <si>
    <t>b21128121</t>
  </si>
  <si>
    <t>G.V. Sheard</t>
  </si>
  <si>
    <t>Photograph of Mrs G.V. Sheard in a day dress and pearl necklace taken in the studio in Mount Gambier in 1960.</t>
  </si>
  <si>
    <t>Sheard, Sylvia</t>
  </si>
  <si>
    <t>b21128273</t>
  </si>
  <si>
    <t>Eric Roughana</t>
  </si>
  <si>
    <t>Eric Joseph Roughana, Mount Gambier.</t>
  </si>
  <si>
    <t>Roughana, Eric Joseph, 1926-</t>
  </si>
  <si>
    <t>b21128285</t>
  </si>
  <si>
    <t>Photograph of Mr G.V. Sheard taken in the studio in Mount Gambier in 1960.</t>
  </si>
  <si>
    <t>Sheard, Gilbert Vivian</t>
  </si>
  <si>
    <t>b21128716</t>
  </si>
  <si>
    <t>Mrs Marion Kay</t>
  </si>
  <si>
    <t>Photograph of Mrs Marion Kay in her Scottish Uniform of tartan kilt and feathered bonnet, taken in the studio in Mount Gambier in 1960.</t>
  </si>
  <si>
    <t>Kay, Marion;Bandswomen -- South Australia -- Mount Gambier;Bagpipers -- South Australia -- Mount Gambier</t>
  </si>
  <si>
    <t>b21132604</t>
  </si>
  <si>
    <t>D. Ryan</t>
  </si>
  <si>
    <t>Photograph of Miss D. Ryan in her Brownie uniform. She is seated in the studio in Mount Gambier in 1960.</t>
  </si>
  <si>
    <t>Ryan, D., Miss;Girl guides -- South Australia -- Mount Gambier</t>
  </si>
  <si>
    <t>b21132616</t>
  </si>
  <si>
    <t>W. George</t>
  </si>
  <si>
    <t>Photograph of Nurse W. George in her uniform taken in the studio in Mount Gambier in 1960.</t>
  </si>
  <si>
    <t>George, W.;Nurses -- South Australia -- Mount Gambier</t>
  </si>
  <si>
    <t>b21132628</t>
  </si>
  <si>
    <t>J. Pettingill</t>
  </si>
  <si>
    <t>Photograph of Queen's Guide Miss J. Pettingill. She is wearing her Girl Guide uniform for the photograph which was taken in the studio in Mount Gambier in 1960.</t>
  </si>
  <si>
    <t>Pettingill, J.;Girl guides -- South Australia -- Mount Gambier</t>
  </si>
  <si>
    <t>b2113263x</t>
  </si>
  <si>
    <t>Henry Monger</t>
  </si>
  <si>
    <t>Photograph of Mr Henry Monger seated in the studio in Mount Gambier in 1960, smoking his pipe.</t>
  </si>
  <si>
    <t>Monger, Henry</t>
  </si>
  <si>
    <t>b21132641</t>
  </si>
  <si>
    <t>P. Medhurst</t>
  </si>
  <si>
    <t>Photograph of Queen's Scout Master P. Medhurst. The photograph was taken in the studio in Mount Gambier in 1960 where he is wearing his Scout Master's uniform and reading a map with his compass.</t>
  </si>
  <si>
    <t>Medhurst, P.;Boy scouts -- South Australia -- Mount Gambier</t>
  </si>
  <si>
    <t>b2113828x</t>
  </si>
  <si>
    <t>H.W. Bell</t>
  </si>
  <si>
    <t>Photograph of Mr and Mrs H.W. Bell seated in the studio in Mount Gambier in 1960. Mrs Bell is wearing jewel-encrusted glasses.</t>
  </si>
  <si>
    <t>Bell, H. W.</t>
  </si>
  <si>
    <t>b2113831x</t>
  </si>
  <si>
    <t>L.C. Burford</t>
  </si>
  <si>
    <t>Photograph of Mr and Mrs Burford taken in the studio in Mount Gambier in 1960. Mrs Burford is wearing light coloured dress and a cameo around her neck. Mr Burford is wearing an Royal Australian Air Force lapel badge.</t>
  </si>
  <si>
    <t>Burford, L. C.</t>
  </si>
  <si>
    <t>b21138321</t>
  </si>
  <si>
    <t>F.A. Braithwaite</t>
  </si>
  <si>
    <t>Photograph of the Braithwaite children Chris, Greg and Carol, taken in the studio in Mount Gambier in 1960. The older boy is wearing a cable knit jumper and is approximately six years old. His younger sister is also wearing a hand knitted jumper and is approximately four years old and their little brother is wearing overalls and is about one year old.</t>
  </si>
  <si>
    <t>Braithwaite (Family);Children -- Clothing -- South Australia -- Mount Gambier</t>
  </si>
  <si>
    <t>b21138333</t>
  </si>
  <si>
    <t>N.A. Burley</t>
  </si>
  <si>
    <t>Photograph of possibly three generations of the Burley family. The two ladies are wearing cotton summer dresses and the baby is wearing a smocked sleeveless dress.</t>
  </si>
  <si>
    <t>Burley, N. A.;Mothers -- South Australia -- Mount Gambier;Infants -- South Australia -- Mount Gambier</t>
  </si>
  <si>
    <t>b21138369</t>
  </si>
  <si>
    <t>S.A. Case</t>
  </si>
  <si>
    <t>Photograph of Mr and Mrs S.A. Case with their three children. Their ages range from three years to six months. The boy is wearing a striped shirt, the girl is wearing a smocked party dress and the baby is wearing a self striped baby dress.</t>
  </si>
  <si>
    <t>Case (Family);Mothers -- South Australia -- Mount Gambier;Infants -- South Australia -- Mount Gambier</t>
  </si>
  <si>
    <t>b21138370</t>
  </si>
  <si>
    <t>W. Clarke</t>
  </si>
  <si>
    <t>Photograph of Mr and Mrs W. Clarke seated in the studio in 1960. Mrs Clarke is wearing a patterned chiffon dress and jacket and a hat. Mr Clarke is wearing a three piece suit.</t>
  </si>
  <si>
    <t>Clarke, W.</t>
  </si>
  <si>
    <t>b21138400</t>
  </si>
  <si>
    <t>A. Bros</t>
  </si>
  <si>
    <t>Photograph of Mrs A. Bros in the studio in Mount Gambier in 1959 with her three year old son and her baby. Mrs Bros is wearing a floral sleeveless summer dress and the baby's dress has embroidered flowers and a flounce. The boy is wearing striped bib pants over his white shirt.</t>
  </si>
  <si>
    <t>Bros, A.;Mothers -- South Australia -- Mount Gambier;Infants -- South Australia -- MOunt Gambier</t>
  </si>
  <si>
    <t>b21138412</t>
  </si>
  <si>
    <t>P.C. Bond</t>
  </si>
  <si>
    <t>Photograph of a lady and a man with a school girl in school uniform who is about fifteen years old. The photograph was taken in the studio in Mount Gambier in 1960.</t>
  </si>
  <si>
    <t>Bond, P. C.;School children -- South Australia -- Mount Gambier</t>
  </si>
  <si>
    <t>b21138424</t>
  </si>
  <si>
    <t>Photograph of the Barclay sisters taken in the studio in Mount Gambier in 1960. The older girl is about seven, the middle girl is about five years old and the baby is about eighteen months old. They are wearing their best party dresses.</t>
  </si>
  <si>
    <t>Barclay (Family);Children -- Clothing -- South Australia -- Mount Gambier</t>
  </si>
  <si>
    <t>b2117815x</t>
  </si>
  <si>
    <t>J. Czerniak</t>
  </si>
  <si>
    <t>Photograph of Mrs J. Czerniak and her two daughters taken in the studio in Mount Gambier in 1960. The girls are wearing identical dresses of gingham with sheer overskirts and trim on the short sleeves and neckline.</t>
  </si>
  <si>
    <t>Czerniak (Family);Children -- Clothing -- South Australia -- Mount Gambier;Mothers -- South Australia -- Mount Gambier</t>
  </si>
  <si>
    <t>b21138436</t>
  </si>
  <si>
    <t>T. Bowering</t>
  </si>
  <si>
    <t>Photograph of three Bowering children taken in the studio in Mount Gambier in 1960. The older boy is wearing a tie with his shirt and shorts and is about six years old. The little girl is about four years old and is wearing a sashed party dress with a large bow in her hair.  The younger boy is wearing a shirt with cowboy appliques on the front and is approximately eighteen months old.</t>
  </si>
  <si>
    <t>Bowering (Family);Children -- South Australia -- Mount Gambier</t>
  </si>
  <si>
    <t>b2113845x</t>
  </si>
  <si>
    <t>J. Clifford</t>
  </si>
  <si>
    <t>Photograph of Mr Jack Clifford, his wife Irene and their son Dennis who is about sixteen years old. Mrs Clifford is wearing a three strand pearl necklace with her summer dress and the men are wearing suits.</t>
  </si>
  <si>
    <t>Clifford, Jack;Clifford, Irene;Clifford, Dennis</t>
  </si>
  <si>
    <t>b21138461</t>
  </si>
  <si>
    <t>Photograph of Mr Peter and Mrs Dorothy (Doss) Buhlman and their sons Barry and John taken in the studio in Mount Gambier in 1960.</t>
  </si>
  <si>
    <t>b21138485</t>
  </si>
  <si>
    <t>Photograph of Mr and Mrs R. Smith and their son in the studio in Mount Gambier in 1960.  Their son is wearing his Hamilton and Western District School blazer.</t>
  </si>
  <si>
    <t>Smith, R.;School children -- Victoria -- Hamilton Region</t>
  </si>
  <si>
    <t>b21138497</t>
  </si>
  <si>
    <t>R.C. Blackmore</t>
  </si>
  <si>
    <t>Photograph of the three Blackmore children. The older of the two little girls is wearing a dress with smocking around the waist. The younger girl's velvet dress has a lace collar and the boy is wearing a bow tie with his striped shirt and shorts.</t>
  </si>
  <si>
    <t>Blackmore (Family);Children -- Clothing -- South Australia -- Mount Gambier</t>
  </si>
  <si>
    <t>b21138503</t>
  </si>
  <si>
    <t>R.G. Dunn</t>
  </si>
  <si>
    <t>Photograph of Mr and Mrs R.G. Dunn seated in the studio in Mount Gambier in 1960. Mrs Dunn is wearing a brooch which spells "Mother". Mr Dunn is wearing a badge on his lapel featuring a dog's head.</t>
  </si>
  <si>
    <t>Dunn, R. G.</t>
  </si>
  <si>
    <t>b21138539</t>
  </si>
  <si>
    <t>Sutherland sisters</t>
  </si>
  <si>
    <t>Photograph of the four Sutherland sisters. Their ages range from about ten years old down to the baby of about ten months.</t>
  </si>
  <si>
    <t>Sutherland (Family);Children -- South Australia -- Mount Gambier</t>
  </si>
  <si>
    <t>b21140443</t>
  </si>
  <si>
    <t>J. Storer</t>
  </si>
  <si>
    <t>Photograph of the three Storer children Colin, Kevin and Ann (later Jenkins). Ann is wearing her long dark hair in plaits with ribbons and butterfly clips.</t>
  </si>
  <si>
    <t>Storer (Family);Children -- South Australia -- Mount Gambier</t>
  </si>
  <si>
    <t>b21140455</t>
  </si>
  <si>
    <t>T. R. Stafford</t>
  </si>
  <si>
    <t>Photograph of the three Stafford children consisting of a boy about four years old and his twin sisters about ten months old. The girls are wearing lace baby dresses and the boy is wearing a shirt with a sailing ship motif on the lapels.</t>
  </si>
  <si>
    <t>Stafford (Family);Children -- Clothing -- South Australia -- Mount Gambier</t>
  </si>
  <si>
    <t>b21178161</t>
  </si>
  <si>
    <t>Photograph of Mrs Pam Braithwaite and her  children Chris and Carol. Her son is wearing white shirt and short pants and her daughter is wearing a lace-trimmed dress.</t>
  </si>
  <si>
    <t>Braithwaite (Family);Children -- Clothing -- South Australia -- Mount Gambier;Mothers -- South Australia -- Mount Gambier</t>
  </si>
  <si>
    <t>b21140467</t>
  </si>
  <si>
    <t>W. Hodge</t>
  </si>
  <si>
    <t>Photograph of the three Hodge children comprising an older brother of about ten years and his sisters who are about seven and five years old.</t>
  </si>
  <si>
    <t>Hodge (Family);Children -- Clothing -- South Australia -- Mount Gambier</t>
  </si>
  <si>
    <t>b21140479</t>
  </si>
  <si>
    <t>V. Healy</t>
  </si>
  <si>
    <t>Photograph of children from the Healy family. There are six boys and two girls with ages ranging from about seventeen years old down to the youngest who is about two years old. The three older boys are wearing their uniforms of the Marist Brothers College.</t>
  </si>
  <si>
    <t>Healy (Family);School children -- South Australia -- Mount Gambier;Children -- Clothing -- South Australia -- Mount Gambier</t>
  </si>
  <si>
    <t>b21140480</t>
  </si>
  <si>
    <t>S.T. Semiru</t>
  </si>
  <si>
    <t>Photograph of Mr and Mrs S.T. Semiru and their daughter and two sons. The children are about five and four years old and one year old.</t>
  </si>
  <si>
    <t>Semiru (Family);Mothers -- South Australia -- Mount Gambier</t>
  </si>
  <si>
    <t>b21140492</t>
  </si>
  <si>
    <t>Mr &amp; Mrs Brian Skeer</t>
  </si>
  <si>
    <t>Photograph of Mr Brian Skeer with his wife Glenis (nee Bowman) of Hatherleigh. Mrs Skeer is wearing a velvet coat with a flower brooch pinned to the collar.</t>
  </si>
  <si>
    <t>Skeer, Glenis;Skeer, Brian</t>
  </si>
  <si>
    <t>b21140509</t>
  </si>
  <si>
    <t>S. Wright</t>
  </si>
  <si>
    <t>Photograph of the Wright children taken in the studio in Mount Gambier in 1960. There are five children with ages ranging from eight years to one year old. The older boy is dressed in his Cub uniform and the older girl is dressed in her Highland dancing uniform.</t>
  </si>
  <si>
    <t>b21140522</t>
  </si>
  <si>
    <t>J. Walker</t>
  </si>
  <si>
    <t>Photograph of Mr and Mrs J. Walker seated in the studio in Mount Gambier in 1960. Mrs Walker is wearing a dark woollen suit with a brooch on her lapel and Mr Walker is wearing a suit and tie.</t>
  </si>
  <si>
    <t>Walker, J.</t>
  </si>
  <si>
    <t>b21178173</t>
  </si>
  <si>
    <t>W.M. Willoughby</t>
  </si>
  <si>
    <t>Photograph of the Willoughby brothers Brenton, Wayne and Barrie in the studio in Mount Gambier in 1960. They are all wearing their uniforms of the Mount Gambier High School. The eldest has a prefect's badge on his lapel.</t>
  </si>
  <si>
    <t>Willoughby (Family);School children -- South Australia -- Mount Gambier</t>
  </si>
  <si>
    <t>b21140534</t>
  </si>
  <si>
    <t>C. Gordon</t>
  </si>
  <si>
    <t>Photograph of the three Gordon children. The two older girls are dressed in their Highland dancing uniforms and their younger brother has a Scotty dog sewn on his shirt which he wears with a tartan bow tie. The boy is about two years old and the girls are about nine and ten years old.</t>
  </si>
  <si>
    <t>Gordon (Family);Folk dancing, Scottish -- South Australia -- Mount Gambier</t>
  </si>
  <si>
    <t>b21140546</t>
  </si>
  <si>
    <t>R. Gartside</t>
  </si>
  <si>
    <t>Photograph of the Gartside family consisting of two teenage boys, three younger brothers and their sister. The photograph was taken in the studio in Mount Gambier in 1960.</t>
  </si>
  <si>
    <t>Gartside (Family);Children -- Clothing -- South Australia -- Mount Gambier</t>
  </si>
  <si>
    <t>b21140558</t>
  </si>
  <si>
    <t>John and Helen Judd</t>
  </si>
  <si>
    <t>Photograph of Mr John and Mrs Helen Judd taken in the studio in Mount Gambier in 1960. Mrs Judd is wearing a coat dress with a cape collar onto which she has pinned a bird brooch.</t>
  </si>
  <si>
    <t>Judd, Helen;Judd, John</t>
  </si>
  <si>
    <t>b2114056x</t>
  </si>
  <si>
    <t>A. J. Gregor</t>
  </si>
  <si>
    <t>Photograph of the three Gregor children taken in the studio in Mount Gambier in 1960. The two older girls who are about four and three years old are wearing party dresses and their young brother is wearing a smocked romper suit. The older girl is Raelene Johnston (nee Gregor), aged 5, with sister Kae Gregor, aged 3, and brother Garry Gregor, aged 1.</t>
  </si>
  <si>
    <t>Gregor (Family);Children -- Clothing -- South Australia -- Mount Gambier</t>
  </si>
  <si>
    <t>b21140571</t>
  </si>
  <si>
    <t>E.C. Turley</t>
  </si>
  <si>
    <t>Photograph of Mr and Mrs E.C. Turley taken in the studio in 1960 in Mount Gambier. Mrs Turley is wearing a crepe suit and a three strand pearl necklace and Mr Turley is wearing a suit and tie.</t>
  </si>
  <si>
    <t>Turley, E. C.</t>
  </si>
  <si>
    <t>b21140583</t>
  </si>
  <si>
    <t>Peters children</t>
  </si>
  <si>
    <t>Photograph of the four Peters children (from left): Ren Peters (1948- 2000), Vivienne Peters (now Hill), Wendy Peters (now Rose), and Geoff Peters.  The twin boys are wearing the Mount Gambier High School uniform.</t>
  </si>
  <si>
    <t>Peters (Family);School children -- South Australia</t>
  </si>
  <si>
    <t>b21140595</t>
  </si>
  <si>
    <t>J. Nagy</t>
  </si>
  <si>
    <t>Photograph of Mr and Mrs J. Nagy taken in the studio in Mount Gambier in 1960. Mrs Nagy wears a woollen cardigan and Mr Nagy is wearing his suit and tie.</t>
  </si>
  <si>
    <t>Nagy, J.</t>
  </si>
  <si>
    <t>b21140601</t>
  </si>
  <si>
    <t>J. Lawson</t>
  </si>
  <si>
    <t>Photograph of Mr and Mrs J. Lawson with their son taken in the studio in Mount Gambier in 1960. The boy is about fourteen years old and is wearing a checked tie with a tie pin. Mrs Lawson is wearing a patterned blouse and a single strand of pearls.</t>
  </si>
  <si>
    <t>Lawson, J.;Mothers -- South Australia -- Mount Gambier</t>
  </si>
  <si>
    <t>b21140613</t>
  </si>
  <si>
    <t>J. Mitchell</t>
  </si>
  <si>
    <t>Photograph of the four Mitchell children taken in the studio in Mount Gambier in 1960. The two older brothers are about five and seven and are wearing suits and bow-ties. The girl is about three years old and their young brother is about eighteen months old.</t>
  </si>
  <si>
    <t>Mitchell (Family);Children -- Clothing -- South Australia -- Mount Gambier</t>
  </si>
  <si>
    <t>b21140625</t>
  </si>
  <si>
    <t>J.P. Murphy</t>
  </si>
  <si>
    <t>Photograph of Mr and Mrs J.P. Murphy and their three sons and daughter. Their ages range from eighteen years to approximately eight years old. The younger boys wear their chool uniform.</t>
  </si>
  <si>
    <t>Murphy (Family);School children -- South Australia -- Mount Gambier</t>
  </si>
  <si>
    <t>b21140637</t>
  </si>
  <si>
    <t>N. Lewis</t>
  </si>
  <si>
    <t>Photograph of Mr and Mrs N. Lewis and family comprising three daughters and a son. The girls are wearing cotton summer dresses and the boy is wearing a suit.</t>
  </si>
  <si>
    <t>Lewis, N.</t>
  </si>
  <si>
    <t>b21140649</t>
  </si>
  <si>
    <t>C.S. McLean</t>
  </si>
  <si>
    <t>Photograph of the McLean children taken in the studio in Mount Gambier in 1960. The two boys are about four and six years old and the two girls are about eight and two. The boys are wearing tartan ties and they have a toy Scotty dog. The girls both have blonde hair and their dresses are smocked.</t>
  </si>
  <si>
    <t>McLean (Family);Children -- Clothing -- South Australia -- Mount Gambier</t>
  </si>
  <si>
    <t>b21140650</t>
  </si>
  <si>
    <t>Photograph of the Lewis family consisting of Mr and Mrs N. Lewis and their three sons and three daughters. The children's ages range from an older teenage son to a daughter of about four years of age.The second son is wearing his Marist Brothers College uniform.</t>
  </si>
  <si>
    <t>Lewis (Family);School children -- South Australia -- Mount Gambier</t>
  </si>
  <si>
    <t>b2114073x</t>
  </si>
  <si>
    <t>G. Dalton</t>
  </si>
  <si>
    <t>Photograph of the Dalton family consisting of Mr and Mrs G. Dalton and their eight children. There are six girls and two boys and their ages range from about nineteen years old to a baby of three months.</t>
  </si>
  <si>
    <t>Dalton (Family)</t>
  </si>
  <si>
    <t>b21165221</t>
  </si>
  <si>
    <t>C. Xantopolos double wedding</t>
  </si>
  <si>
    <t>Studio photograph of members of the Xantopolos family on the occasion of a double wedding in the family. The group includes members of the wedding party, including two small children.</t>
  </si>
  <si>
    <t>Xantopolos, C.;Weddings -- South Australia -- Mount Gambier;Wedding costume -- South Australia -- Mount Gambier</t>
  </si>
  <si>
    <t>b21165270</t>
  </si>
  <si>
    <t>Don Edwards Band</t>
  </si>
  <si>
    <t>Photograph of the Don Edwards Band taken during a performance in March 1960. Band members are: Harold Allison Snr. (pianist)  Kevin Osman (saxophonist)  Basil Date (drummer) and Don Edwards (trumpeter).</t>
  </si>
  <si>
    <t>Don Edwards Band;Musical groups -- South Australia -- Mount Gambier;Bands (Music) -- South Australia -- Mount Gambier</t>
  </si>
  <si>
    <t>b21195420</t>
  </si>
  <si>
    <t>Photograph of ten girls dressed in ballgowns ready for the Highland Ball held in Mount Gambier in 1960. They are wearing sashes of various tartans over the shoulders of their white ballgowns.</t>
  </si>
  <si>
    <t>b21195444</t>
  </si>
  <si>
    <t>Christ Church Ball</t>
  </si>
  <si>
    <t>Photograph of ten young girls dressed in white ballgowns ready for the Christ Church Ball held in Mount Gambier in 1960.</t>
  </si>
  <si>
    <t>b20841930</t>
  </si>
  <si>
    <t>Paddle steamer 'Adelaide'</t>
  </si>
  <si>
    <t>Photoprint  16 x 10.5 cm;OUTSIZE 1</t>
  </si>
  <si>
    <t>The 'Adelaide' paddle steamer on her way from Paringa back to Echuca, with decorative bunting.</t>
  </si>
  <si>
    <t>Adelaide (Paddle steamer);Paddle steamers -- Murray River (N.S.W. - S.A.)</t>
  </si>
  <si>
    <t>b21112204</t>
  </si>
  <si>
    <t>Colin Davis and S.D. Chapman</t>
  </si>
  <si>
    <t>[approximately 1960]</t>
  </si>
  <si>
    <t>Photograph of Colin Davis and S.D. Chapman with many silver cups and trophies.</t>
  </si>
  <si>
    <t>Davis, Colin;Chapman, S. D.</t>
  </si>
  <si>
    <t>b21112253</t>
  </si>
  <si>
    <t>J. Temby and Mrs Campbell</t>
  </si>
  <si>
    <t>Photograph of two men and a lady. One man is Mr. J. Temby and the lady is Mrs Campbell.</t>
  </si>
  <si>
    <t>Temby, J.;Campbell, Mrs</t>
  </si>
  <si>
    <t>b21112964</t>
  </si>
  <si>
    <t>Eldon Young</t>
  </si>
  <si>
    <t>Photograph of Mr Eldon Young with a display of crowns and robes.</t>
  </si>
  <si>
    <t>Young, Eldon;Regalia -- South Australia -- Mount Gambier</t>
  </si>
  <si>
    <t>b21112976</t>
  </si>
  <si>
    <t>Mr. J.P.R. Malseed</t>
  </si>
  <si>
    <t>Photograph of Mr J.P.R. Malseed.</t>
  </si>
  <si>
    <t>Malseed, J. P. R.</t>
  </si>
  <si>
    <t>b2111304x</t>
  </si>
  <si>
    <t>C. Hamilton</t>
  </si>
  <si>
    <t>Photograph of Mr. C. Hamilton polishing his car.</t>
  </si>
  <si>
    <t>Hamilton, C.;Automobiles -- South Australia -- Mount Gambier</t>
  </si>
  <si>
    <t>b21113233</t>
  </si>
  <si>
    <t>Mr and Mrs Barrows</t>
  </si>
  <si>
    <t>Photograph of Mr and Mrs Barrows in their garden in Mount Gambier.</t>
  </si>
  <si>
    <t>Barrows (Family)</t>
  </si>
  <si>
    <t>b21113294</t>
  </si>
  <si>
    <t>Haddon Johnson</t>
  </si>
  <si>
    <t>Photograph of Mr Haddon Johnson.</t>
  </si>
  <si>
    <t>Johnson, Haddon</t>
  </si>
  <si>
    <t>b21113336</t>
  </si>
  <si>
    <t>D. Sheppard and family</t>
  </si>
  <si>
    <t>Photograph of Mr and Mrs D. Sheppard and their three children, Mount Gambier. Digby James Sheppard served with the 2/10 Australian Infantry Battalion in World War II, reaching the rank of lieutenant (service number SX1624).</t>
  </si>
  <si>
    <t>Sheppard (Family);Sheppard, Digby James</t>
  </si>
  <si>
    <t>b21113543</t>
  </si>
  <si>
    <t>F.A. Haines</t>
  </si>
  <si>
    <t>Photograph of Mr. F.A. Haines sitting at his desk.</t>
  </si>
  <si>
    <t>Haines, F. A.</t>
  </si>
  <si>
    <t>b21113555</t>
  </si>
  <si>
    <t>Photograph of Mr. F.A. Haines.</t>
  </si>
  <si>
    <t>b21125259</t>
  </si>
  <si>
    <t>Mr E. Allison and family</t>
  </si>
  <si>
    <t>Photograph of Mr. E. Allison and his wife, two daughters and a son, in Mount Gambier.</t>
  </si>
  <si>
    <t>Allison, E.;Allison (Family)</t>
  </si>
  <si>
    <t>b21125508</t>
  </si>
  <si>
    <t>Mr and Mrs Jack Stacy</t>
  </si>
  <si>
    <t>Photograph of Mr and Mrs Jack Stacey at a formal dance.</t>
  </si>
  <si>
    <t>Stacy, Jack;Dance parties -- South Australia -- Mount Gambier</t>
  </si>
  <si>
    <t>b29264479</t>
  </si>
  <si>
    <t>Explosives and filling factory No.2, Penfield</t>
  </si>
  <si>
    <t>1 photograph  black and white   19.4 cm x 24.6 cm;OUTSIZE 1;still image sti rdacontent;unmediated n rdamedia;sheet nb rdacarrier</t>
  </si>
  <si>
    <t>Photograph showing an 'aerial view of no.2 Explosives &amp; Filling factory Salisbury'. Alternate caption reads 'Munitions Supply laboratories Penfield SA. 1941-1946'. It is believed that the photograph was taken in the 1960s due to the growth of trees in the area.</t>
  </si>
  <si>
    <t>Munitions Supply Laboratories (Australia);Munitions -- South Australia -- Penfield;Penfield (S.A.);Salisbury (S.A.)</t>
  </si>
  <si>
    <t>b30289646</t>
  </si>
  <si>
    <t>Charles W. South standing by a car</t>
  </si>
  <si>
    <t>Charles W. South, standing by a car, possibly a 'Vanguard', with a dog.</t>
  </si>
  <si>
    <t>South, Charles William, 1904-;Automobiles -- South Australia.;Dogs -- South Australia.</t>
  </si>
  <si>
    <t>b31894744</t>
  </si>
  <si>
    <t>1 photograph : black and white;still image sti rdacontent;computer c rdamedia;online resource cr rdacarrier;image file TIFF 3749 x 5201 pixels rda</t>
  </si>
  <si>
    <t>Photographer Keith Phillips. His Returned Services League badge is on his lapel.</t>
  </si>
  <si>
    <t>Phillips, Keith Planta, 1898-1973</t>
  </si>
  <si>
    <t>b31894914</t>
  </si>
  <si>
    <t>Keith Phillips in the Flinders Ranges</t>
  </si>
  <si>
    <t>1 photograph : black and white;still image sti rdacontent;computer c rdamedia;online resource cr rdacarrier;image file TIFF 14236 x 11313 pixels rda</t>
  </si>
  <si>
    <t>Photographer Keith Phillips driving a Willys Jeep across a river ford in the Flinders Ranges, South Australia.</t>
  </si>
  <si>
    <t>Phillips, Keith Planta, 1898-1973;Jeep automobile -- South Australia;Willys automobiles -- South Australia;Photographers -- South Australia</t>
  </si>
  <si>
    <t>b3124578x</t>
  </si>
  <si>
    <t>Garden at Heathpool</t>
  </si>
  <si>
    <t>1 photograph : colour   8.8 x 6.2 cm;RESERVE 1 a;still image sti rdacontent;unmediated n rdamedia;sheet nb rdacarrier</t>
  </si>
  <si>
    <t>'Midsummer sun gives very black shadows!' 11 Northumberland Street, Heathpool.</t>
  </si>
  <si>
    <t>Gardens -- South Australia -- Heathpool;Heathpool (S.A.)</t>
  </si>
  <si>
    <t>b31388486</t>
  </si>
  <si>
    <t>National conference of ministers</t>
  </si>
  <si>
    <t>[Approximately 1960]</t>
  </si>
  <si>
    <t>Group of 7 men, possibly State Ministers, seated around table at a National Conference: Sir Lyell McEwin is second from right. Photograph taken by the Commonewalth of Australia, Department of Information.</t>
  </si>
  <si>
    <t>McEwin, Lyell (Alexander Lyell), Sir, 1897-1988.;Politicians -- Australia.</t>
  </si>
  <si>
    <t>b31388498</t>
  </si>
  <si>
    <t>Group of Ministers seated around table, with 17 men standing behind them, at a National Conference. Sir Lyell McEwin is second from right. Photograph taken by the Commonewalth of Australia, Department of Information.</t>
  </si>
  <si>
    <t>b29426510</t>
  </si>
  <si>
    <t>Woolmore, Ron, photographer</t>
  </si>
  <si>
    <t>Centenary celebration dinner for SA District No. 81</t>
  </si>
  <si>
    <t>1960 February 29</t>
  </si>
  <si>
    <t>1 photograph : black and white   38.8 x 50 cm, on mount 57.2 x 65.8 cm;RESERVE 11;still image sti rdacontent;unmediated n rdamedia;sheet nb rdacarrier</t>
  </si>
  <si>
    <t>Members of the Independent Order of Rechabites, S.A. District No. 81, at a Centenary Celebrations dinner, held in the Myer Apollo Dining Hall, Adelaide, on 29 February 1960.</t>
  </si>
  <si>
    <t>Independent Order of Rechabites. South Australia District no. 81</t>
  </si>
  <si>
    <t>b21114808</t>
  </si>
  <si>
    <t>Neale family at riding school</t>
  </si>
  <si>
    <t>1960 January 25</t>
  </si>
  <si>
    <t>Photograph of a very young child on Honey the pony watched by her brother Des Neale, her sister Theresa Neale and and her mother, Jean Neale (nee Carter, wife of Roy Neale).</t>
  </si>
  <si>
    <t>Neale (Family);Riding clubs -- South Australia -- Mount Gambier</t>
  </si>
  <si>
    <t>b30267134</t>
  </si>
  <si>
    <t>News (Adelaide, S.A.), photographer</t>
  </si>
  <si>
    <t>Katherine Ann (Sue) Bromley with her children</t>
  </si>
  <si>
    <t>1961 January</t>
  </si>
  <si>
    <t>1 electronic file (photograph) : black and white   10.6 x 15.0 cm;still image sti rdacontent;computer c rdamedia;online resource cr rdacarrier</t>
  </si>
  <si>
    <t>Katherine Ann (Sue) Bromley (nee Corbin) with children Lindy, Rick and Jane on a visit to her mother Margaret Corbin in Walkerville.</t>
  </si>
  <si>
    <t>Corbin, Katherine Ann, 1920-2003.;Children -- South Australia -- Walkerville.</t>
  </si>
  <si>
    <t>b21117184</t>
  </si>
  <si>
    <t>Brownies</t>
  </si>
  <si>
    <t>1961 September 15</t>
  </si>
  <si>
    <t>Girl Guide Commissioner, Isobel Kentish, pinning a badge on a new Brownie recruit, 15 September 1961. Mr. F.A. (Arnold) Haines (in glasses) and Mr. Owen G. Roberts look on.</t>
  </si>
  <si>
    <t>b21109771</t>
  </si>
  <si>
    <t>Y.M.C.A. First Aid demonstration</t>
  </si>
  <si>
    <t>1961 September 30</t>
  </si>
  <si>
    <t>Photograph of a First Aid demonstration by the YMCA in the Boys Institute building, Percy Street, Mount Gambier, on 30th September 1961, Mount Gambier. The man standing on the left is F.A. Haines (Chairman of the Y.M.C.A. Board) and the man next to him holding a bottle is Dave Davis.</t>
  </si>
  <si>
    <t>Young Men's Christian Associations -- South Australia -- Mount Gambier;First aid in illness and injury -- South Australia -- Mount Gambier</t>
  </si>
  <si>
    <t>b21117226</t>
  </si>
  <si>
    <t>Boys Institute Building</t>
  </si>
  <si>
    <t>1962 April 14</t>
  </si>
  <si>
    <t>Photograph of the torch ceremony during the opening of the Boys Institute Building, Mount Gambier, by Sir Thomas Playford on 14th April 1962. "Mr. McLaren then lit a torch from a bowl at the rear of the dais and passed this to Mr. Haines, (Mr. F.A. Haines, Chairman of the Y.M.C.A. Board, standing in photograph) who in turn lit torches held by six leaders, representing Home, School, Church, Industry, Leisure and Community. The leaders were Chris Ashendon, Ian Buck, Roger Buck, Don Lockwood, John Ball and Robert Kilsby." Border Watch newspaper, 17 April 1962, page 21.</t>
  </si>
  <si>
    <t>Young Men's Christian associations -- South Australia -- Mount Gambier</t>
  </si>
  <si>
    <t>b21117305</t>
  </si>
  <si>
    <t>Y.M.C.A. Charter ceremony</t>
  </si>
  <si>
    <t>1962 December 1</t>
  </si>
  <si>
    <t>Y.M.C.A. Charter ceremony conducted at Mount Gambier on 1st December 1962. The Mayor of Mount Gambier, Stanley Elliott, is making a presentation to a boy. Standing next to him is Dave Davis and behind wearing glasses is F.A. Haines, Chairman of the Mount Gambier Y.M.C.A. Board.</t>
  </si>
  <si>
    <t>Elliott, Stanley Hamilton, 1910-1990;Young Men's Christian associations -- South Australia -- Mount Gambier</t>
  </si>
  <si>
    <t>b21922986</t>
  </si>
  <si>
    <t>Mountford, Charles P. (Charles Pearcy), 1890-1976</t>
  </si>
  <si>
    <t>Photographs: black and white negatives and contact prints</t>
  </si>
  <si>
    <t>approximately 1930-1960</t>
  </si>
  <si>
    <t>1.19 m;PART RESERVE 3 [prints];PART OUTSIZE 8  [photoprint];PART RESERVE COLD STORAGE  [negatives];PART Offsite RESERVE 21 [empty negative envelopes];Photoprint  negative</t>
  </si>
  <si>
    <t>Series comprises approximately 18,000 black and white negatives including contact prints made from each negative and the envelopes in which the negatives were orginally housed, plus miscellanous unnumbered prints (damaged), possibly used for publications or presentations. The content includes a broad range of subjects with most images taken during expeditions to Ayers Rock [Uluru], Mount Olga [Kata Tjuta] and Yuendumu in Central Australia, Warburton Ranges, Nepabunna Mission Station in the Northern Flinders Ranges, Arnhem Land, Melville Island and the North West of Western Australia. Also includes images from the Expedition to search for the remains of explorer Ludwig Leichhardt and the 'Commonwealth Board of Enquiry into the alleged ill-treatment of Aborigines near Ayers Rock'. See individual expedition series for subject matter. Contains restrictions. See item records for further details. PART DIGITISED.</t>
  </si>
  <si>
    <t>Mountford, Charles P. (Charles Pearcy), 1890-1976;Aboriginal Australians;Ethnology -- Australia;Leichhardt, Ludwig, 1813-1848;Ernabella Mission;Leichhardt Expedition (1846-1847);American-Australian Scientific Expedition to Arnhem Land, (1948);Scientific expeditions -- Australia;Aboriginal Australians -- Rites and ceremonies;Aboriginal Australians -- Social life and customs;Aboriginal Australians -- Northern Territory -- Arnhem Land;Aboriginal Australians -- Western Australia -- Pilbara;Adnyamathanha (Australian people);Aranda (Australian people);Luritja (Australian people);Ngaanyatjarra (Australian people);Ngalia (Australian people);Pintupi (Australian people);Pitjantjatjara (Australian people);Tiwi (Australian people);Warlpiri (Australian people);Yankunytjatjara (Australian people);Yolngu (Australian people);Tjurungas;Bark painting -- Northern Territory -- Arnhem Land</t>
  </si>
  <si>
    <t>b21923048</t>
  </si>
  <si>
    <t>Coloured slides and miscellaneous prints</t>
  </si>
  <si>
    <t>88 cm;RESERVE 3;slide  photoprint</t>
  </si>
  <si>
    <t>Series comprises approximately 6,000 coloured slides on a broad range of subjects relating to Mountford's expeditions. The subjects include material from expeditions to Ayers Rock [Uluru], Mount Olga [Kata Tjuta] and Yuendumu in Central Australia, Nepabunna Mission Station in the Northern Flinders Ranges, Arnhem Land, Melville Island and the North West of Western Australia. See individual expedition series for subject matter. Contains restrictions. Includes written index. See item records for further details. DIGITISED.</t>
  </si>
  <si>
    <t>Ethnology -- Australia;Aboriginal Australians;Ernabella Mission;American-Australian Scientific Expedition to Arnhem Land, (1948);Scientific expeditions -- Australia;Aboriginal Australians -- Rites and ceremonies;Aboriginal Australians -- Social life and customs;Aboriginal Australians -- Northern Territory -- Arnhem Land;Aboriginal Australians -- Western Australia -- Pilbara;Adnyamathanha (Australian people);Aranda (Australian people);Luritja (Australian people);Ngaanyatjarra (Australian people);Ngalia (Australian people);Pintupi (Australian people);Pitjantjatjara (Australian people);Tiwi (Australian people);Warlpiri (Australian people);Yankunytjatjara (Australian people);Yolngu (Australian people);Tjurungas;Bark painting -- Northern Territory -- Arnhem Land</t>
  </si>
  <si>
    <t>b21104980</t>
  </si>
  <si>
    <t>1961 Apprentices</t>
  </si>
  <si>
    <t>Photograph of three young male apprentices  L-R Malcolm Turner, Chris Clayton and John Forbes, taken on 12th December 1961.</t>
  </si>
  <si>
    <t>b21182474</t>
  </si>
  <si>
    <t>Wool Festival, Mount Gambier</t>
  </si>
  <si>
    <t>Negative (acetate)  9.5 cm x 12 cm</t>
  </si>
  <si>
    <t>Parade through Mount Gambier as part of the Wool Festival, April 1961. This features a Scottish band with bagpipes and drums just past the Bank of New South Wales, with four trucks following.</t>
  </si>
  <si>
    <t>b21100792</t>
  </si>
  <si>
    <t>Wool Festival</t>
  </si>
  <si>
    <t>Photograph of Wool Festival floats taking part in the parade in April 1961, Mount Gambier.</t>
  </si>
  <si>
    <t>b21100809</t>
  </si>
  <si>
    <t>Christmas shopping</t>
  </si>
  <si>
    <t>Photograph of crowded street scene showing Christmas shoppers on 16th December 1961, Mount Gambier.</t>
  </si>
  <si>
    <t>Stores, Retail -- South Australia -- Adelaide</t>
  </si>
  <si>
    <t>b21100822</t>
  </si>
  <si>
    <t>Cave Garden</t>
  </si>
  <si>
    <t>Photograph of the Cave Garden on 17th May 1961 with gardener sweeping leaves, Mount Gambier.</t>
  </si>
  <si>
    <t>Gardens -- South Australia -- Mount Gambier;Cave Garden (Mount Gambier, S.A.)</t>
  </si>
  <si>
    <t>b21104840</t>
  </si>
  <si>
    <t>Dr. Henry Hawkins (left) and another man outside the Boandik Lodge on 5th April 1961.</t>
  </si>
  <si>
    <t>b21105066</t>
  </si>
  <si>
    <t>Photograph of three workers erecting a sign at the Adult Education Centre, Wehl Street, Mount Gambier, 9th August 1961.</t>
  </si>
  <si>
    <t>b21106113</t>
  </si>
  <si>
    <t>Photograph of a float participating in the parade for the Wool Festival in April 1961.</t>
  </si>
  <si>
    <t>Festivals -- South Australia -- Mount Gambier;Parade floats -- South Australia -- Mount Gambier;Festival of Wool</t>
  </si>
  <si>
    <t>b21106125</t>
  </si>
  <si>
    <t>Photograph of the festivities on the beach at Port MacDonnell on 26th December 1961.</t>
  </si>
  <si>
    <t>Beaches -- South Australia -- Port MacDonnell</t>
  </si>
  <si>
    <t>b21106137</t>
  </si>
  <si>
    <t>Photograph of  two Scottish dancers at Port MacDonnell on 26th December 1961.</t>
  </si>
  <si>
    <t>Dancers -- South Australia -- Port MacDonnell;Highland fling (Dance);Costume -- Scotland</t>
  </si>
  <si>
    <t>b21106149</t>
  </si>
  <si>
    <t>b21106150</t>
  </si>
  <si>
    <t>Photograph of  two young canoeists at Port MacDonnell on 26th December 1961.</t>
  </si>
  <si>
    <t>Canoes and canoeing -- South Australia -- Port MacDonnell</t>
  </si>
  <si>
    <t>b21106162</t>
  </si>
  <si>
    <t>Photograph of  two young swimmers receiving certificates at the Learn to Swim Campaign on 20th January 1961.</t>
  </si>
  <si>
    <t>b21106174</t>
  </si>
  <si>
    <t>Mount Gambier Show Ball</t>
  </si>
  <si>
    <t>Photograph of  participants at the Mount Gambier Show Ball in 1961.</t>
  </si>
  <si>
    <t>b21106186</t>
  </si>
  <si>
    <t>Photograph of  four participants at the Mount Gambier Show Ball in 1961.</t>
  </si>
  <si>
    <t>b21106198</t>
  </si>
  <si>
    <t>Photograph of  eight participants at the Mount Gambier Show Ball in 1961.</t>
  </si>
  <si>
    <t>b21106204</t>
  </si>
  <si>
    <t>Photograph of  eight participants drinking tea after the Mount Gambier Show Ball in 1961.</t>
  </si>
  <si>
    <t>b21106216</t>
  </si>
  <si>
    <t>Photograph of four participants drinking tea after the Mount Gambier Show Ball in 1961. The older couple on left are Mr. and Mrs. Cleves, with their daughter Margaret and her husband Tony Reichelt.</t>
  </si>
  <si>
    <t>b21106228</t>
  </si>
  <si>
    <t>Photograph of five ladies in stoles during the Mount Gambier Show Ball in 1961.</t>
  </si>
  <si>
    <t>b2110623x</t>
  </si>
  <si>
    <t>Photograph of six people at the Mount Gambier Show Ball in 1961.</t>
  </si>
  <si>
    <t>b21106241</t>
  </si>
  <si>
    <t>Robbie Burns Night</t>
  </si>
  <si>
    <t>Photograph of four kilted gentlemen with a statue of Robbie Burns at the Robbie Burns Night in 1961.</t>
  </si>
  <si>
    <t>b21106253</t>
  </si>
  <si>
    <t>Photograph of participants during the speeches at the Robbie Burns Night in 1961.</t>
  </si>
  <si>
    <t>Burns, Robert, 1759-1796 -- Anniversaries, etc.</t>
  </si>
  <si>
    <t>b21106265</t>
  </si>
  <si>
    <t>Photograph of the three winners in the Bathing Beauty Competition at Port MacDonnell on 26th December 1961.</t>
  </si>
  <si>
    <t>b21106277</t>
  </si>
  <si>
    <t>Photograph of five men at the Robbie Burns Night, Mount Gambier, on 25th January 1961 L to R: Gordon Davidson of Adelaide, Stanley (Stan) Hamilton Elliott, Mayor of Mt. Gambier 1958-1964 and 1967-1971, Hector Fraser, J. McGregor-Soutar of Adelaide. Archibald Llewellyn (Arch) Sealey, Mayor 1971-1983.</t>
  </si>
  <si>
    <t>Davidson, Gordon;Elliott, Stanley Hamilton, 1910-1990;Fraser, Hector, 1904-1973;McGregor-Soutar, J.;Sealey, Archibald Llewellyn, 1914-1984;Burns, Robert, 1759-1796 -- Anniversaries, etc.;Costume -- Scotland</t>
  </si>
  <si>
    <t>b21106290</t>
  </si>
  <si>
    <t>Mount Gambier Christmas Parade cheque</t>
  </si>
  <si>
    <t>Photograph of the Mount Gambier Christmas Parade cheque being presented in 1961.</t>
  </si>
  <si>
    <t>Christmas -- South Australia -- Mount Gambier;Charities -- South Australia -- Mount Gambier;Pageants -- South Australia -- Mount Gambier</t>
  </si>
  <si>
    <t>b21107737</t>
  </si>
  <si>
    <t>Chamber of Commerce - Shell Company</t>
  </si>
  <si>
    <t>Photograph of representatives from the Chamber of Commerce and the Shell Company in 1961.</t>
  </si>
  <si>
    <t>Shell Company of Australia Ltd. South Australian Branch;Mount Gambier Chamber of Commerce;Boards of trade -- South Australia -- Mount Gambier</t>
  </si>
  <si>
    <t>b21108249</t>
  </si>
  <si>
    <t>Industries Development</t>
  </si>
  <si>
    <t>Photograph of four men from the Industries Development Board on 14th June 1961, Mount Gambier.</t>
  </si>
  <si>
    <t>Mount Gambier Industries Development Board</t>
  </si>
  <si>
    <t>b21108250</t>
  </si>
  <si>
    <t>South East Press Pre Show Tour</t>
  </si>
  <si>
    <t>Photograph of members of the press looking at goods from the Pre Show Tour on 10th August 1961.</t>
  </si>
  <si>
    <t>Exhibitions -- South Australia -- Mount Gambier;Reporters and reporting -- South Australia -- Mount Gambier</t>
  </si>
  <si>
    <t>b21108262</t>
  </si>
  <si>
    <t>Photograph of members of the Governor's official visit at a quarry on 3rd November 1961.</t>
  </si>
  <si>
    <t>Bastyan, Edric Montague, Sir, 1903-1980;Quarries and quarrying -- South Australia -- Mount Gambier;Visits of state -- South Australia -- Mount Gambier;Governors -- South Australia</t>
  </si>
  <si>
    <t>b21108274</t>
  </si>
  <si>
    <t>Photograph of members of the Governor's official visit watching a stone cutting machine at a quarry on 3rd November 1961.</t>
  </si>
  <si>
    <t>Bastyan, Edric Montague, Sir, 1903-1980;Governors -- South Australia;Visits of state -- South Australia -- Mount Gambier</t>
  </si>
  <si>
    <t>b21108286</t>
  </si>
  <si>
    <t>Bastyan, Edric Montague, Sir, 1903-1980;Governors -- South Australia;Visits of state -- South Australia -- Mount Gambier;Quarries and quarrying -- South Australia -- Mount Gambier</t>
  </si>
  <si>
    <t>b21108298</t>
  </si>
  <si>
    <t>Photograph of the Governor on a ladder looking at a stone cutting saw at a quarry on 4th November 1961.</t>
  </si>
  <si>
    <t>Bastyan, Edric Montague, Sir, 1903-1980;Governors -- South Australia;Quarries and quarrying -- South Australia -- Mount Gambier;Visits of state -- South Australia -- Mount Gambier</t>
  </si>
  <si>
    <t>b21106770</t>
  </si>
  <si>
    <t>Photograph of members of the Governor's official visit inspecting limestone at the Mount Gambier quarry.</t>
  </si>
  <si>
    <t>b21108304</t>
  </si>
  <si>
    <t>Ready-Mix Concrete</t>
  </si>
  <si>
    <t>Photograph of the Ready-Mix Concrete plant on 21st December 1961.</t>
  </si>
  <si>
    <t>Ready-Mix Concrete (Mount Gambier, S.A.);Cement industries -- South Australia -- Mount Gambier</t>
  </si>
  <si>
    <t>b21109746</t>
  </si>
  <si>
    <t>YMCA</t>
  </si>
  <si>
    <t>Photograph of a group of YMCA members looking at a world map with an instructor in August 1961.</t>
  </si>
  <si>
    <t>Young Men's Christian associations -- South Australia -- Mount Gambier;World maps</t>
  </si>
  <si>
    <t>b21109758</t>
  </si>
  <si>
    <t>Photograph of a group of YMCA members visiting possibly the telephone exchange on 28th August 1961, Mount Gambier.</t>
  </si>
  <si>
    <t>Young Men's Christian associations -- South Australia -- Mount Gambier;Telephone stations -- South Australia -- Mount Gambier</t>
  </si>
  <si>
    <t>b2110976x</t>
  </si>
  <si>
    <t>Photograph of a gymnast being helped off the horse at the YMCA on 19th February 1961, Mount Gambier.</t>
  </si>
  <si>
    <t>Young Men's Christian associations -- South Australia -- Mount Gambier;Gymnasts -- South Australia -- Mount Gambier</t>
  </si>
  <si>
    <t>b21109801</t>
  </si>
  <si>
    <t>Photograph of the spectators at the Advertiser Football School on 15th July 1961.</t>
  </si>
  <si>
    <t>Advertiser Newspapers Ltd;Australian football players -- South Australia -- Mount Gambier</t>
  </si>
  <si>
    <t>b21109813</t>
  </si>
  <si>
    <t>Photograph of three boys Stephen, Raymond and David Herbert and Mr Dave Davis looking at the rules of the YMCA Youth Club on 3rd July 1961, Mount Gambier.</t>
  </si>
  <si>
    <t>Boys -- South Australia -- Mount Gambier;Young Men's Christian associations -- South Australia -- Mount Gambier</t>
  </si>
  <si>
    <t>b21109825</t>
  </si>
  <si>
    <t>Photograph of young mothers and their children participating in activities at the YMCA in August 1961, Mount Gambier.</t>
  </si>
  <si>
    <t>Young Men's Christian associations -- South Australia -- Mount Gambier;Children -- South Australia -- Mount Gambier;Mothers -- South Australia -- Mount Gambier</t>
  </si>
  <si>
    <t>b21109837</t>
  </si>
  <si>
    <t>St. Mary's football students</t>
  </si>
  <si>
    <t>Photograph of young students and their teachers from St. Marys School with a football shield on 20th September 1961, Mount Gambier. The man in the middle at the back is Peter Marrot.</t>
  </si>
  <si>
    <t>Marrot, Peter;School children -- South Australia -- Mount Gambier;Australian football -- South Australia -- Mount Gambier;Teachers -- South Australia -- Mount Gambier</t>
  </si>
  <si>
    <t>b21109849</t>
  </si>
  <si>
    <t>Photograph of brownies and their leader possibly receiving a key to new premises on 15th September 1961, Mount Gambier. Mr Arnold Haines (on left) and Mrs Isobel Kentish.</t>
  </si>
  <si>
    <t>b21109850</t>
  </si>
  <si>
    <t>Photograph of six young boys forming a human pyramid at the YMCA on 30th August 1961, Mount Gambier.</t>
  </si>
  <si>
    <t>b21109862</t>
  </si>
  <si>
    <t>Fire Station Visit</t>
  </si>
  <si>
    <t>Photograph of a young boy kneeling on the front seat of an old fire engine during the Fire Station Visit on 14th June 1961, Mount Gambier.</t>
  </si>
  <si>
    <t>Fire stations -- South Australia -- Mount Gambier;Boys -- South Australia -- Mount Gambier;Fire engines -- South Australia -- Mount Gambier</t>
  </si>
  <si>
    <t>b21109874</t>
  </si>
  <si>
    <t>Photograph of members of the riding club on their horses on 18th May 1961.</t>
  </si>
  <si>
    <t>Horsemen and horsewomen -- South Australia -- Mount Gambier;Horses -- South Australia -- Mount Gambier;Riding-clubs -- South Australia -- Mount Gambier</t>
  </si>
  <si>
    <t>b21109886</t>
  </si>
  <si>
    <t>Photograph of young children in the front of an old fire engine during the visit to the Fire Station on 14th June 1961, Mount Gambier.</t>
  </si>
  <si>
    <t>Children -- South Australia -- Mount Gambier;Fire stations -- South Australia -- Mount Gambier;Fire engines -- South Australia -- Mount Gambier</t>
  </si>
  <si>
    <t>b21109898</t>
  </si>
  <si>
    <t>Photograph of young children on horseback with an instructor at the riding club on 11th May 1961, Mount Gambier.</t>
  </si>
  <si>
    <t>Horsemen and horsewomen -- South Australia -- Mount Gambier;Riding clubs -- South Australia -- Mount Gambier;Horses -- South Australia -- Mount Gambier</t>
  </si>
  <si>
    <t>b21109904</t>
  </si>
  <si>
    <t>Photograph of certificates being presented at the Swimming Pool on 20th January 1961 after the Learn to Swim Campaign, Mount Gambier.</t>
  </si>
  <si>
    <t>b21109916</t>
  </si>
  <si>
    <t>Guides</t>
  </si>
  <si>
    <t>Photograph of three Girl Guides on the bicycles with their Guide Leader on 23rd May 1961, Mount Gambier.</t>
  </si>
  <si>
    <t>Girl Guides -- South Australia -- Mount Gambier;Bicycles -- South Australia -- Mount Gambier</t>
  </si>
  <si>
    <t>b21109928</t>
  </si>
  <si>
    <t>Photograph of members of the riding school on horseback on 19th May 1961, Mount Gambier.</t>
  </si>
  <si>
    <t>b2110993x</t>
  </si>
  <si>
    <t>Photograph of young members of the riding school on horseback on 19th May 1961, Mount Gambier.</t>
  </si>
  <si>
    <t>b21109941</t>
  </si>
  <si>
    <t>Photograph of young boys learning to swim on 10th January 1961, Mount Gambier.</t>
  </si>
  <si>
    <t>Swimming -- South Australia -- Mount Gambier;Swimming pools -- South Australia -- Mount Gambier;Swimmers -- South Australia -- Mount Gambier</t>
  </si>
  <si>
    <t>b21109953</t>
  </si>
  <si>
    <t>Photograph of young children being shown a hose during their visit to the Fire Station on 14th June 1961, Mount Gambier.</t>
  </si>
  <si>
    <t>b21109965</t>
  </si>
  <si>
    <t>b21109977</t>
  </si>
  <si>
    <t>Photograph of three young children on horseback and their instructor, Mrs Doris Clarke, on 31st January 1961, Mount Gambier.</t>
  </si>
  <si>
    <t>b21109989</t>
  </si>
  <si>
    <t>Advertiser Cricket School</t>
  </si>
  <si>
    <t>Photograph of a visiting cricketer with several young boys during the Advertiser Cricket School on 6th December 1961, Mount Gambier.</t>
  </si>
  <si>
    <t>Advertiser Newspapers Ltd;Cricket -- South Australia -- Mount Gambier</t>
  </si>
  <si>
    <t>b21110840</t>
  </si>
  <si>
    <t>Photograph of Mount Gambier and Lakes from the air in 1961.Photograph taken from directly overhead.</t>
  </si>
  <si>
    <t>b21110852</t>
  </si>
  <si>
    <t>Photograph of Mount Gambier from the air on 11th November  1963. Tenison Woods College in view.</t>
  </si>
  <si>
    <t>b21111698</t>
  </si>
  <si>
    <t>Convent scaffolding</t>
  </si>
  <si>
    <t>Photograph of workmen on scaffolding on the front of the Convent buildings on 29th May 1961, Mount Gambier.</t>
  </si>
  <si>
    <t>Convents -- South Australia -- Mount Gambier;Catholic Church -- South Australia -- Mount Gambier</t>
  </si>
  <si>
    <t>b21111704</t>
  </si>
  <si>
    <t>Methodist Hall Gambier East</t>
  </si>
  <si>
    <t>Photograph of the Methodist Hall at Gambier East on 27th February 1961.</t>
  </si>
  <si>
    <t>Mount Gambier Methodist Church (S.A.);Methodist Church -- South Australia -- Mount Gambier;Halls -- South Australia -- Mount Gambier</t>
  </si>
  <si>
    <t>b21111741</t>
  </si>
  <si>
    <t>Old Police Station</t>
  </si>
  <si>
    <t>Photograph of the Old Police Station building on 24th May 1961, Mount Gambier.</t>
  </si>
  <si>
    <t>Police stations -- South Australia -- Mount Gambier</t>
  </si>
  <si>
    <t>b21115333</t>
  </si>
  <si>
    <t>Indoor Bowls</t>
  </si>
  <si>
    <t>Photograph of three women and three men enjoying a break during their game of indoor bowls on 5th August 1961, Mount Gambier.</t>
  </si>
  <si>
    <t>b21115357</t>
  </si>
  <si>
    <t>South East One Hundred Mile Race</t>
  </si>
  <si>
    <t>Photograph of four cyclists before the start of the South East One Hundred Mile Race on 12th August 1961, Mount Gambier. Cyclist on left of photograph is Kingsley Lancelot Osborne, died 15 November 1983, aged 72 years. Man in centre is Stanley (Stan) Hamilton Elliott, Mayor of Mount Gambier 1958-1964 and 1967 to 1971, born 19 September 1909, married Ivy Florence (Jean) McTavish 24 August 1938, died 17 July 1990.</t>
  </si>
  <si>
    <t>Elliott, Stanley Hamilton, 1910-1990;Osborne, Kingsley Lancelot, 1911-1983;Mayors -- South Australia -- Mount Gambier;Cycling -- South Australia -- Mount Gambier;Cyclists -- South Australia -- Mount Gambier</t>
  </si>
  <si>
    <t>b21115369</t>
  </si>
  <si>
    <t>Photograph of the winner of the South East One Hundred Mile Race on 12th August 1961, Mount Gambier.</t>
  </si>
  <si>
    <t>Cycling -- South Australia -- Mount Gambier;Cyclists -- South Australia -- Mount Gambier;Awards -- Sport -- South Australia -- Mount Gambier</t>
  </si>
  <si>
    <t>b21115370</t>
  </si>
  <si>
    <t>Photograph of four organisers of the Indoor Bowls Club on 5th August 1961, Mount Gambier.</t>
  </si>
  <si>
    <t>b21115382</t>
  </si>
  <si>
    <t>Photograph of members of the Indoor Bowls Club playing a game on 5th August 1961 with a group of schoolboys looking on, Mount Gambier.</t>
  </si>
  <si>
    <t>b21115394</t>
  </si>
  <si>
    <t>Photograph of three male golfers on the golf course on 9th August 1961, Mount Gambier.</t>
  </si>
  <si>
    <t>b21115400</t>
  </si>
  <si>
    <t>Holiday Baseball</t>
  </si>
  <si>
    <t>Photograph of boys enjoying tuition in baseball during the Holiday Baseball Program on 19th May 1961, Mount Gambier.</t>
  </si>
  <si>
    <t>Baseball -- South Australia -- Mount Gambier</t>
  </si>
  <si>
    <t>b21115424</t>
  </si>
  <si>
    <t>Trout Season</t>
  </si>
  <si>
    <t>Photograph of three fishermen landing trout during the fishing season in Mount Gambier on 10th July 1961. From left: Councillor Mel Hirth, City Mechanic Stan Temby and John Kestle.</t>
  </si>
  <si>
    <t>Trout fishing -- South Australia -- Mount Gambier;Fishers -- South Australia -- Mount Gambier</t>
  </si>
  <si>
    <t>b21115436</t>
  </si>
  <si>
    <t>Photograph of young footballers receiving tuition at the Advertiser Football School on 18th July 1961, Mount Gambier from coach Gary Window.</t>
  </si>
  <si>
    <t>Advertiser Newspapers Ltd;Australian football -- South Australia -- Mount Gambier;Boys -- South Australia -- Mount Gambier</t>
  </si>
  <si>
    <t>b21178525</t>
  </si>
  <si>
    <t>Photograph of young footballers receiving tuition at the Advertiser Football School on 18th July 1961, Mount Gambier.</t>
  </si>
  <si>
    <t>b21115448</t>
  </si>
  <si>
    <t>Photograph of five players in an Indoor Bowls competition on 5th August 1961, Mount Gambier.</t>
  </si>
  <si>
    <t>b2111545x</t>
  </si>
  <si>
    <t>Baseball A Grade</t>
  </si>
  <si>
    <t>Photograph of members of the A Grade Baseball team in Mount Gambier in 1961.</t>
  </si>
  <si>
    <t>b21115461</t>
  </si>
  <si>
    <t>Photograph of five members of the Indoor Bowls Club on 6th August 1961, Mount Gambier.</t>
  </si>
  <si>
    <t>b21115473</t>
  </si>
  <si>
    <t>Baseball B Grade</t>
  </si>
  <si>
    <t>Photograph of members of the B Grade Baseball team in Mount Gambier 1961.</t>
  </si>
  <si>
    <t>b21115485</t>
  </si>
  <si>
    <t>Bowls Final</t>
  </si>
  <si>
    <t>Photograph of three bowlers at the Bowls Final Competition in Mount Gambier on 1st March 1961.</t>
  </si>
  <si>
    <t>b21115497</t>
  </si>
  <si>
    <t>Golf Tournament</t>
  </si>
  <si>
    <t>Photograph of four lady golfers on the Golf Course in October 1961, Mount Gambier.</t>
  </si>
  <si>
    <t>b21115503</t>
  </si>
  <si>
    <t>Football Preparations</t>
  </si>
  <si>
    <t>Photograph of three footballers during  preparation for the football season on 1st March 1961, Mount Gambier.</t>
  </si>
  <si>
    <t>Australian football -- South Australia -- Mount Gambier</t>
  </si>
  <si>
    <t>b21115515</t>
  </si>
  <si>
    <t>Photograph of four lady golfers participating in the golf tournament in October 1961, Mount Gambier.</t>
  </si>
  <si>
    <t>b21115527</t>
  </si>
  <si>
    <t>Tennis Coaching</t>
  </si>
  <si>
    <t>Photograph of children receiving tennis coaching on 16th January 1961, Mount Gambier.</t>
  </si>
  <si>
    <t>Tennis -- South Australia -- Mount Gambier;Tennis -- Coaching</t>
  </si>
  <si>
    <t>b21115539</t>
  </si>
  <si>
    <t>Riding School instructors</t>
  </si>
  <si>
    <t>Photograph of three instructors at the Riding School on 31st January 1961, Mount Gambier. From left: Sgt Roberts, Dr Crozier and Gwen Stead.</t>
  </si>
  <si>
    <t>Horsemen and horsewomen -- South Australia -- Mount Gambier;Riding-clubs -- South Australia -- Mount Gambier</t>
  </si>
  <si>
    <t>b21115540</t>
  </si>
  <si>
    <t>Croquet Championship Presentation</t>
  </si>
  <si>
    <t>Photograph of the winners of the Croquet Championship receiving their award on 22nd March 1961, Mount Gambier.</t>
  </si>
  <si>
    <t>b21115552</t>
  </si>
  <si>
    <t>South East Croquet Championship</t>
  </si>
  <si>
    <t>Photograph of a man playing croquet during the South East Croquet Championship in 1961, Mount Gambier.</t>
  </si>
  <si>
    <t>b21115564</t>
  </si>
  <si>
    <t>Photograph of three men and two lady croquet players during the South East Croquet Championship in 1961, Mount Gambier.</t>
  </si>
  <si>
    <t>b21115576</t>
  </si>
  <si>
    <t>Speed Boat Races</t>
  </si>
  <si>
    <t>Photograph of the skipper of the speed boat Panda racing on the Lake at Mount Gambier on 22nd December 1961.</t>
  </si>
  <si>
    <t>Motorboats -- South Australia -- Mount Gambier;Lakes -- South Australia -- Mount Gambier;Motorboat racing -- South Australia -- Mount Gambier</t>
  </si>
  <si>
    <t>b21115588</t>
  </si>
  <si>
    <t>Marching Girls Championships</t>
  </si>
  <si>
    <t>Photograph of three marching girls receiving drinks from St John Ambulance personnel during the Marching Girls Championships on 21st January 1961, Mount Gambier.</t>
  </si>
  <si>
    <t>Marching drills -- South Australia -- Mount Gambier;Girls -- South Australia -- Mount Gambier</t>
  </si>
  <si>
    <t>b2111559x</t>
  </si>
  <si>
    <t>Photograph of a young cricketer receiving tuition from an expert, watched by two officials, during the Advertiser Cricket School on 6th December 1961, Mount Gambier.</t>
  </si>
  <si>
    <t>Advertiser Newspapers Ltd;Cricket -- South Australia -- Mount Gambier;Cricket players -- South Australia -- Mount Gambier</t>
  </si>
  <si>
    <t>b21115606</t>
  </si>
  <si>
    <t>Photograph of visiting cricketer Garfield Sobers with local officials from Mount Gambier during the Advertiser Cricket School on 6th December 1961, Mount Gambier.</t>
  </si>
  <si>
    <t>Sobers, Garry, 1936-;Advertiser Newspapers Ltd.;Cricket -- South Australia -- Mount Gambier;Cricket players -- Mount Gambier</t>
  </si>
  <si>
    <t>b21115618</t>
  </si>
  <si>
    <t>Players at the Mount Gambier Bowling Club, December 1961. The Park Hotel is in the background.</t>
  </si>
  <si>
    <t>Bowling -- South Australia -- Mount Gambier;Lawn bowls -- South Australia -- Mount Gambier;Bowls (Game) -- South Australia -- Mount Gambier</t>
  </si>
  <si>
    <t>b2111562x</t>
  </si>
  <si>
    <t>Photograph of three male golfers on the golf course in October 1961, Mount Gambier.</t>
  </si>
  <si>
    <t>b21115631</t>
  </si>
  <si>
    <t>Photograph of five bowlers checking their bowls during a game on 26th December 1961, Mount Gambier.</t>
  </si>
  <si>
    <t>b21115643</t>
  </si>
  <si>
    <t>Photograph of two couples playing golf in October 1961, Mount Gambier.</t>
  </si>
  <si>
    <t>b21115655</t>
  </si>
  <si>
    <t>Sunnyside Bowling Club</t>
  </si>
  <si>
    <t>Photograph of elderly male members of the Sunnyside Bowling Club standing under the club sign on 11th October 1961, Mount Gambier.</t>
  </si>
  <si>
    <t>Sunnyside Bowling Club;Lawn bowls -- South Australia -- Mount Gambier;Bowls (Game) -- South Australia -- Mount Gambier</t>
  </si>
  <si>
    <t>b21115667</t>
  </si>
  <si>
    <t>Photograph of six elderly members of the Sunnyside Bowling Club playing a game of bowls in October 1961, Mount Gambier.</t>
  </si>
  <si>
    <t>Sunnyside Bowling Club;Lawn bowls -- South Australia;Bowls (Game) -- South Australia -- Mount Gambier</t>
  </si>
  <si>
    <t>b21115679</t>
  </si>
  <si>
    <t>Photograph of two golfers ready to tee off on the golf course in October 1961, Mount Gambier.</t>
  </si>
  <si>
    <t>b21115680</t>
  </si>
  <si>
    <t>Photograph of four speed boats racing on the lake at Mount Gambier on 28th December 1961.</t>
  </si>
  <si>
    <t>b21178513</t>
  </si>
  <si>
    <t>Bowlers at the Mount Gambier Bowling Club, 26 December 1961. Mount Gambier Squash Centre is in the background.</t>
  </si>
  <si>
    <t>b21115692</t>
  </si>
  <si>
    <t>Photograph of five bowlers discussing tactics before a tournament at the Bowling Club on 26th December 1961, Mount Gambier.</t>
  </si>
  <si>
    <t>b21115709</t>
  </si>
  <si>
    <t>Tennis Championships</t>
  </si>
  <si>
    <t>Photograph of two male and two female tennis players at the Tennis Championships in Mount Gambier on 28th December 1961.</t>
  </si>
  <si>
    <t>Tennis players -- South Australia -- Mount Gambier;Tennis -- South Australia -- Mount Gambier</t>
  </si>
  <si>
    <t>b21115710</t>
  </si>
  <si>
    <t>Photograph of marching girls teams at the Marching Girls Championships in Mount Gambier on 21st January 1961.</t>
  </si>
  <si>
    <t>b21178501</t>
  </si>
  <si>
    <t>Photograph of two marching girls standing next to three officials, who are in the shade of a large umbrella, during the Marching Girls Championships on 21st January 1961, Mount Gambier.</t>
  </si>
  <si>
    <t>b21116489</t>
  </si>
  <si>
    <t>Photograph of a winning horse and jockey being congratulated by the owner and an official at the Race Course on 28th December 1961, Mount Gambier.</t>
  </si>
  <si>
    <t>b21117123</t>
  </si>
  <si>
    <t>Boandik Lodge Fair</t>
  </si>
  <si>
    <t>Photograph of the residents of Boandik Lodge admiring handicraft items for sale at the Fair in November 1961, Mount Gambier.</t>
  </si>
  <si>
    <t>Boandik Lodge (Mount Gambier, S.A.);Older people -- Care -- South Australia -- Mount Gambier</t>
  </si>
  <si>
    <t>b21117135</t>
  </si>
  <si>
    <t>Girl Guide Commissioners</t>
  </si>
  <si>
    <t>Photograph of four Girl Guide Commissioners at an event in 1961, Mount Gambier.</t>
  </si>
  <si>
    <t>b21117147</t>
  </si>
  <si>
    <t>Red Cross Shop</t>
  </si>
  <si>
    <t>Photograph of two helpers looking at items for sale in the Red Cross Shop on 19th June 1961, Mount Gambier.</t>
  </si>
  <si>
    <t>Australian Red Cross Society. South Australian Division;Thrift shops -- South Australia</t>
  </si>
  <si>
    <t>b21117160</t>
  </si>
  <si>
    <t>Miss Jew - 91st Birthday</t>
  </si>
  <si>
    <t>Photograph of a small boy presenting Miss Jew with a posy of flowers on the occasion of her 91st Birthday.</t>
  </si>
  <si>
    <t>Birthdays -- South Australia -- Mount Gambier</t>
  </si>
  <si>
    <t>b21117172</t>
  </si>
  <si>
    <t>Presentation of woollen blankets to staff at Boandik Lodge, Mount Gambier, 5 April 1961. Dr. H.R. Hawkins is on right of picture.</t>
  </si>
  <si>
    <t>b21117275</t>
  </si>
  <si>
    <t>YMCA Stall</t>
  </si>
  <si>
    <t>Photograph of the YMCA Auxiliary Stall on the 7th July 1961, Mount Gambier.</t>
  </si>
  <si>
    <t>b21120894</t>
  </si>
  <si>
    <t>Photograph of a group of nine debutantes parading at the Highland Ball in 1961.</t>
  </si>
  <si>
    <t>b21120900</t>
  </si>
  <si>
    <t>Photograph of a group of eight debutantes curtsying at the Highland Ball in 1961.</t>
  </si>
  <si>
    <t>b21120924</t>
  </si>
  <si>
    <t>Photograph of a debutante receiving a gift from her partner at the Highland Ball in 1961.</t>
  </si>
  <si>
    <t>b21120936</t>
  </si>
  <si>
    <t>Old Scholars Ball</t>
  </si>
  <si>
    <t>Photograph of three debutantes and their partners at the Old Scholars Ball in 1961, Mount Gambier.</t>
  </si>
  <si>
    <t>Balls (Parties)  -- South Australia -- Mount Gambier</t>
  </si>
  <si>
    <t>b21120948</t>
  </si>
  <si>
    <t>Photograph of C. Nilsen and M. Schultz making their debut with their partners at the Mount Gambier High School Old Scholars Ball in 1961.</t>
  </si>
  <si>
    <t>Nilsen, C.;Schultz, M.;Balls (Parties)  -- South Australia -- Mount Gambier</t>
  </si>
  <si>
    <t>b2112095x</t>
  </si>
  <si>
    <t>Photograph of debutants making their debut with their partners at the Mount Gambier High School Old Scholars Ball in 1961. Cole Brouske on left with partner, and Bev Kragem with partner Richard Nicholson.</t>
  </si>
  <si>
    <t>Kragem, Bev;Nicholson, Richard;Brouske, Cole;Balls (Parties) -- South Australia -- Mount Gambier</t>
  </si>
  <si>
    <t>b21120961</t>
  </si>
  <si>
    <t>Photograph of a debutante opening a gift at the Highland Ball in 1961, Mount Gambier.</t>
  </si>
  <si>
    <t>b21120997</t>
  </si>
  <si>
    <t>Photograph of three ladies in ball gowns with their partners dressed in kilts at the Highland Ball, Mount Gambier 1961.</t>
  </si>
  <si>
    <t>b2112100x</t>
  </si>
  <si>
    <t>Photograph of three ladies in ball gowns with their partners dressed in kilts at the Highland Ball, Mount Gambier 1961. The man on left is Alex Laube.</t>
  </si>
  <si>
    <t>b2112212x</t>
  </si>
  <si>
    <t>School lights</t>
  </si>
  <si>
    <t>Photograph of school crossing lights being installed on 4th January 1961, Mount Gambier.</t>
  </si>
  <si>
    <t>Traffic safety and children -- South Australia -- Mount Gambier;Traffic signs and signals -- South Australia -- Mount Gambier</t>
  </si>
  <si>
    <t>b21122271</t>
  </si>
  <si>
    <t>Pram ramps removed</t>
  </si>
  <si>
    <t>Photograph of street kerbing showing pram ramps being removed in Mount Gambier on 31st July 1961.</t>
  </si>
  <si>
    <t>Baby carriages;Roads -- Design and construction -- South Australia -- Mount Gambier</t>
  </si>
  <si>
    <t>b21122283</t>
  </si>
  <si>
    <t>Council Elections</t>
  </si>
  <si>
    <t>Photograph of two councillors discussing Council Elections on 1st July 1961, Mount Gambier.</t>
  </si>
  <si>
    <t>b21122295</t>
  </si>
  <si>
    <t>Photograph of three newly naturalised citizens with officials after the ceremony on 24th March 1961, Mount Gambier.</t>
  </si>
  <si>
    <t>b21122374</t>
  </si>
  <si>
    <t>Festival of Arts</t>
  </si>
  <si>
    <t>Photograph of the information office for the Festival of Arts. Photo shows tickets being bought from an official on 9th January 1961, Mount Gambier. The men have been identified as Stan Elliot and Jock Main.</t>
  </si>
  <si>
    <t>Elliot, Stan;Main, Jock;Adelaide Festival of Arts</t>
  </si>
  <si>
    <t>b2112243x</t>
  </si>
  <si>
    <t>Infant School Crossing</t>
  </si>
  <si>
    <t>Photograph of eight young children crossing the road using the pedestrian crossing on 8th February 1961, Mount Gambier.</t>
  </si>
  <si>
    <t>School children -- South Australia -- Mount Gambier;Traffic safety -- South Australia -- Mount Gambier</t>
  </si>
  <si>
    <t>b21180453</t>
  </si>
  <si>
    <t>Leith Young</t>
  </si>
  <si>
    <t>Mr Leith Young, Grand Master of the Mount Gambier Freemason's Lodge.</t>
  </si>
  <si>
    <t>Young, Leith</t>
  </si>
  <si>
    <t>b21125016</t>
  </si>
  <si>
    <t>The Sealey family</t>
  </si>
  <si>
    <t>Photograph of Miss J. Sealey, Mrs L. Sealey, Mr A. Sealey shaking hands with Priest W. Collins at a function in 1961.</t>
  </si>
  <si>
    <t>Collins, W. L.;Sealey, Jillian;Sealey, Lorna;Sealey, Archibald Llewellyn, 1914-1984;Sealey (Family);Mayors -- South Australia -- Mount Gambier;Priests -- South Australia -- Mount Gambier</t>
  </si>
  <si>
    <t>b21125375</t>
  </si>
  <si>
    <t>B. Hutchinson</t>
  </si>
  <si>
    <t>Photograph of Mr B. Hutchesson in the Princess Margaret Rose Caves in 1961.</t>
  </si>
  <si>
    <t>Hutchinson, B.;Princess Margaret Rose Caves</t>
  </si>
  <si>
    <t>b21125387</t>
  </si>
  <si>
    <t>J.E. Hutchinson</t>
  </si>
  <si>
    <t>Photograph of Mr John E ('Bunny') Hutchinson and visitors in the Princess Margaret Rose Caves in 1961.</t>
  </si>
  <si>
    <t>b2112551x</t>
  </si>
  <si>
    <t>Brian Pick</t>
  </si>
  <si>
    <t>Photograph of Mr Brian Pick looking at a collection of medals in 1961, Mount Gambier.</t>
  </si>
  <si>
    <t>Pick, Brian</t>
  </si>
  <si>
    <t>b21180702</t>
  </si>
  <si>
    <t>New Assistant Town Clerk</t>
  </si>
  <si>
    <t>Photograph of the new assistant Town Clerk with retiring Town Clerk  F. Sharley on 2nd February 1961.</t>
  </si>
  <si>
    <t>Sharley, Frank E.;Town clerks -- South Australia -- Mount Gambier</t>
  </si>
  <si>
    <t>b21125533</t>
  </si>
  <si>
    <t>F. Sharley the retiring Town Clerk</t>
  </si>
  <si>
    <t>Photograph of Mr F. Sharley retiring Town Clerk with Mr S. Elliott Mayor in February 1961.</t>
  </si>
  <si>
    <t>Sharley, Frank E.;Elliott, Stanley Hamilton, 1910-1990;Town Clerks -- South Australia -- Mount Gambier;Mayors -- South Australia -- Mount Gambier</t>
  </si>
  <si>
    <t>b21125521</t>
  </si>
  <si>
    <t>W. J. Barrows</t>
  </si>
  <si>
    <t>Photograph of a spritely Mr W. J. Barrows ninety years old, in his garden on 19th May 1961.</t>
  </si>
  <si>
    <t>Barrows, W. J.</t>
  </si>
  <si>
    <t>b21180714</t>
  </si>
  <si>
    <t>Margaret Cleves sitting on a couch, wearing a highland dance costume and surrounded by trophies and awards.</t>
  </si>
  <si>
    <t>Cleves, Margaret;Costume -- Scotland</t>
  </si>
  <si>
    <t>b21125545</t>
  </si>
  <si>
    <t>Photograph of angler Mr G. Raymond showing his catch to another man in 1961, Mount Gambier.</t>
  </si>
  <si>
    <t>Raymond, G.;Fishing -- South Australia -- Mount Gambier</t>
  </si>
  <si>
    <t>b21128297</t>
  </si>
  <si>
    <t>Grace Kentish</t>
  </si>
  <si>
    <t>Grace Leticia Kentish nee Ferguson, Mount Gambier. Born on 13 December 1904 Grace married Cecil 'Cec' Horwood Kentish on 24 March 1938.</t>
  </si>
  <si>
    <t>Kentish, Grace Leticia, -1989</t>
  </si>
  <si>
    <t>b21128303</t>
  </si>
  <si>
    <t>R. W. Kaye</t>
  </si>
  <si>
    <t>Photograph of Mr R.W. Kaye taken in the studio in Mount Gambier in 1961.</t>
  </si>
  <si>
    <t>Kaye, R. W.</t>
  </si>
  <si>
    <t>b21140753</t>
  </si>
  <si>
    <t>Photograph of Mr and Mrs Roughana with their four children. The older girl and boy are dressed in their school uniforms and the two younger girls are dressed in their best lace party dresses.</t>
  </si>
  <si>
    <t>Roughana (Family);School children -- South Australia -- Mount Gambier;Mothers -- South Australia -- Mount Gambier;Infants -- South Australia -- Mount Gambier</t>
  </si>
  <si>
    <t>b21140765</t>
  </si>
  <si>
    <t>Colin Williams</t>
  </si>
  <si>
    <t>Colin Henry Williams, Mount Gambier, 1961.</t>
  </si>
  <si>
    <t>Williams, Colin Henry, 1911-1995</t>
  </si>
  <si>
    <t>b21140777</t>
  </si>
  <si>
    <t>Photograph of Mr and Mrs E.A. Engler and family consisting of three sons and two daughters. The boys' ages are about eighteen, sixteen and seven years and the girls are about fourteen and twelve years old.</t>
  </si>
  <si>
    <t>Engler, E. A.</t>
  </si>
  <si>
    <t>b21166961</t>
  </si>
  <si>
    <t>Staff of the Border Watch newspaper</t>
  </si>
  <si>
    <t>Photograph of the staff of the Border Watch Newspaper taken in April 1961 in the studio in Mount Gambier. Back row L to R: Colin Hillier, Noel Walker, Reginald Brooksby, Sidney Pearson, Robert Lucas, Dave Mitchell, Ben Mitchell.  Centre row  Elizabeth Vandersommen, Mavis Franklin, Robert Gladigau, Elizabeth Burford, Ray Fowler, Malcom Bryant, Margaret Medhurst, Gwenda Walker.  Front row  Eric Ball, Nell Elliott, Colin Gladigau, Reginald Watson, Stewart Kieslebach, Julianna Skawinski, Herbert Chaston.</t>
  </si>
  <si>
    <t>Border Watch;Australian newspapers -- South Australia -- Mount Gambier;Mount Gambier (S.A.) -- Newspapers</t>
  </si>
  <si>
    <t>b21195456</t>
  </si>
  <si>
    <t>Photograph of nine ladies dressed in white ballgowns and wearing tartan sashes ready for the Highland Ball held in Mount Gambier in 1961.</t>
  </si>
  <si>
    <t>b21195468</t>
  </si>
  <si>
    <t>b21195493</t>
  </si>
  <si>
    <t>Mount Gambier High School Old Scholars Ball</t>
  </si>
  <si>
    <t>Photograph of fourteen young girls in ballgowns ready for the Mount Gambier High School Old Scholars Ball held in 1961.  They are accompanied by a young girl and boy attendant.</t>
  </si>
  <si>
    <t>b29374546</t>
  </si>
  <si>
    <t>Janine Carter, later Haines, at Brighton High School</t>
  </si>
  <si>
    <t>1 photograph : black and white   11.5 x 15.7 cm;RESERVE 1 a;still image sti rdacontent;unmediated n rdamedia;sheet nb rdacarrier</t>
  </si>
  <si>
    <t>Black and white photograph of the public speaking and debating club at Brighton High School. From left: Susan Chanler, T. Jones, Carole Coombe, Helen Cowley, K. Barkley, Lynn Gartrell, P. Manoel, Janine Carter and C. Caton.</t>
  </si>
  <si>
    <t>Haines, Janine, 1945-2004;Brighton High School -- History;Students -- South Australia -- Brighton;Debates and debating -- South Australia -- Brighton</t>
  </si>
  <si>
    <t>Janine Haines Collection</t>
  </si>
  <si>
    <t>b21109795</t>
  </si>
  <si>
    <t>School field trip</t>
  </si>
  <si>
    <t>[approximately 1961]</t>
  </si>
  <si>
    <t>Photograph of possibly a school field trip, some boys in uniform with cameras.</t>
  </si>
  <si>
    <t>School children -- South Australia -- Mount Gambier</t>
  </si>
  <si>
    <t>b21122301</t>
  </si>
  <si>
    <t>Burdon family</t>
  </si>
  <si>
    <t>Photograph of the Burdon family, from left: Alan, Josephine, Rosalind and Mildred, looking at papers.</t>
  </si>
  <si>
    <t>Burdon (Family)</t>
  </si>
  <si>
    <t>b21100718</t>
  </si>
  <si>
    <t>Anzac Day Parade</t>
  </si>
  <si>
    <t>Photograph of members of 1st Australian Imperial Forces marching in parade in 1962, Mount Gambier.</t>
  </si>
  <si>
    <t>Anzac Day;Veterans -- South Australia -- Mount Gambier</t>
  </si>
  <si>
    <t>b2110072x</t>
  </si>
  <si>
    <t>Roundabout on Jubilee Highway and Suttontown Road</t>
  </si>
  <si>
    <t>Photograph of vehicles using roundabout on the intersection of Jubilee Highway and Suttontown Road on 10th January 1962, Mount Gambier.</t>
  </si>
  <si>
    <t>b21100731</t>
  </si>
  <si>
    <t>Anzac Day</t>
  </si>
  <si>
    <t>Photograph of catafalque party at war memorial on Anzac Day, Mount Gambier.</t>
  </si>
  <si>
    <t>Anzac Day;World War, 1914-1918 -- Monuments -- South Australia -- Mount Gambier</t>
  </si>
  <si>
    <t>b21101358</t>
  </si>
  <si>
    <t>Reservoir, Mount Gambier</t>
  </si>
  <si>
    <t>Photograph of construction of the new Engineering and Water Supply reservoir in July 1962, Mount Gambier.</t>
  </si>
  <si>
    <t>Reservoirs -- South Australia -- Mount Gambier -- Design and construction</t>
  </si>
  <si>
    <t>b21101371</t>
  </si>
  <si>
    <t>Photograph of Elizabeth Park taken in May 1962, Mount Gambier.</t>
  </si>
  <si>
    <t>b21105996</t>
  </si>
  <si>
    <t>Back to Moorak School</t>
  </si>
  <si>
    <t>Photograph of ex students and friends converging on Moorak School on the 1st September 1962 for the Back to Moorak School celebrations.</t>
  </si>
  <si>
    <t>High schools -- South Australia -- Mount Gambier;Moorak School (Mount Gambier, S.A.) -- History</t>
  </si>
  <si>
    <t>b21106009</t>
  </si>
  <si>
    <t>New Year's Day</t>
  </si>
  <si>
    <t>Photograph of three members of the Pipe Band, including Owen Menzies and Graham Main, playing during festivities on New Year's Day in 1962.</t>
  </si>
  <si>
    <t>Menzies, Owen;Main, Graham;New Year -- South Australia -- Mount Gambier;Bagpipers -- South Australia -- Mount Gambier;Pipe bands -- South Australia -- Mount Gambier</t>
  </si>
  <si>
    <t>b21106010</t>
  </si>
  <si>
    <t>South East Festival of Arts signs</t>
  </si>
  <si>
    <t>Photograph of a sign being erected to advertise the South East Festival of Arts from March 8th to 16th in Mount Gambier and Millicent.  Photograph was taken on 28th November 1962.</t>
  </si>
  <si>
    <t>Festivals -- South Australia -- Mount Gambier;South East Festival of Arts</t>
  </si>
  <si>
    <t>b21106022</t>
  </si>
  <si>
    <t>Photograph of sashes being awarded to Scottish dancers on New Year's Day in 1962.</t>
  </si>
  <si>
    <t>Awards -- Dance -- South Australia -- Mount Gambier;New Year -- South Australia -- Mount Gambier;Dancers -- South Australia -- Mount Gambier;Highland fling (Dance);Costume -- Scotland</t>
  </si>
  <si>
    <t>b2110606x</t>
  </si>
  <si>
    <t>Photograph of two winners of the Scottish Dancing competition during the New Years Day celebrations in 1962.</t>
  </si>
  <si>
    <t>b21106071</t>
  </si>
  <si>
    <t>Photograph of dancers in costumes during the New Years Day celebrations in 1962.</t>
  </si>
  <si>
    <t>New Year -- South Australia -- Mount Gambier;Dancers -- South Australia -- Mount Gambier;Costume -- South Australia -- Mount Gambier;Costume -- Scotland</t>
  </si>
  <si>
    <t>b21106083</t>
  </si>
  <si>
    <t>Miss Australia</t>
  </si>
  <si>
    <t>Photograph of Miss Australia in December 1962.</t>
  </si>
  <si>
    <t>Miss Australia Quest</t>
  </si>
  <si>
    <t>b21106095</t>
  </si>
  <si>
    <t>St. Pauls Fair</t>
  </si>
  <si>
    <t>Photograph of two ladies, including Jean Elliott at left, and priest Father Swan looking at produce from the cake stall at the St. Paul's Fair on 2nd November 1962.</t>
  </si>
  <si>
    <t>Fairs -- South Australia -- Mount Gambier</t>
  </si>
  <si>
    <t>b21106101</t>
  </si>
  <si>
    <t>Photograph of ex students, some in uniform during the Back to Moorak School celebrations on 1st September 1962.</t>
  </si>
  <si>
    <t>b21109370</t>
  </si>
  <si>
    <t>Back ot Moorak School</t>
  </si>
  <si>
    <t>Photograph of former students during Back to Moorak School celebrations on 1st September 1962.</t>
  </si>
  <si>
    <t>b21109394</t>
  </si>
  <si>
    <t>Photograph of former students during the Back to Moorak School celebrations on 1st September 1962.</t>
  </si>
  <si>
    <t>Moorak School (Mount Gambier, S.A.) -- History;High schools -- South Australia -- Mount Gambier</t>
  </si>
  <si>
    <t>b21109448</t>
  </si>
  <si>
    <t>Photograph of former students in uniform at the Back to Moorak School celebrations in 1962.  Four of the Janeway sisters are present.</t>
  </si>
  <si>
    <t>b2110945x</t>
  </si>
  <si>
    <t>Photograph of seven former students, some in uniform, at the Back to Moorak School celebrations in 1962. They are standing in front of the school bell.</t>
  </si>
  <si>
    <t>b21109461</t>
  </si>
  <si>
    <t>Technical School Prefects</t>
  </si>
  <si>
    <t>Photograph of ten prefects from the Mount Gambier Technical High School in May 1962. Front Row (L to R): Beverley Pannell, Suzanne Hazelwood, Christine Moynahan, Janet Kinmonth, Kaye Ashby  Second Row - L to R Haedyn Mansell, David Olsen ? Back Row ? Doug Turnbull ?.</t>
  </si>
  <si>
    <t>Mount Gambier Technical High School;High schools -- South Australia -- Mount Gambier;Students -- South Australia -- Mount Gambier</t>
  </si>
  <si>
    <t>b21109473</t>
  </si>
  <si>
    <t>Photograph of ten prefects from the Mount Gambier Technical High School in May 1962. A researcher has provided the following information: Back Row. Martinus Klaasens, ?, Roger Buck &amp; Kaye Ashby. Middle Row. Hayden Mansell?, David Olney Front Row. Bev Pannell?, Susanne Hazlewood, Chris Moynihan, Janet Kinmonth.</t>
  </si>
  <si>
    <t>Mount Gambier Technical High School;Students -- South Australia -- Mount Gambier;High schools -- South Australia -- Mount Gambier</t>
  </si>
  <si>
    <t>b21109485</t>
  </si>
  <si>
    <t>Photograph of possibly the Head Boy being presented with his badge at the Mount Gambier High School on 11th April 1962.</t>
  </si>
  <si>
    <t>Mount Gambier High School;High schools -- South Australia -- Mount Gambier</t>
  </si>
  <si>
    <t>b21109497</t>
  </si>
  <si>
    <t>Photograph of a man with two senior students at the Mount Gambier High School on 11th April 1962. The girl is probably Claire Schroder, daughter of one of the the teachers, whilst the boy is probably Frank Bowering, although according tot researcher his name is Max Megaw.</t>
  </si>
  <si>
    <t>Mount Gambier High School;High schools -- South Australia -- Mount Gambier;Students -- South Australia -- Mount Gambier</t>
  </si>
  <si>
    <t>b21109503</t>
  </si>
  <si>
    <t>Photograph of ten Marching Girls in front of the Band Stand in 1962, Mount Gambier. Identified by a researcher as R.S.L. Juliettes.  Midgets category.</t>
  </si>
  <si>
    <t>b21109515</t>
  </si>
  <si>
    <t>Photograph of three Marching Girls with their instructor on 23rd September 1962, Mount Gambier.</t>
  </si>
  <si>
    <t>b21109527</t>
  </si>
  <si>
    <t>Moorak Back to School</t>
  </si>
  <si>
    <t>Photograph of the crowds at the Back to Moorak School celebrations in 1962.</t>
  </si>
  <si>
    <t>b21109540</t>
  </si>
  <si>
    <t>Photograph of students during a presentation at an event at the High School in May 1962, Mount Gambier.</t>
  </si>
  <si>
    <t>High schools -- South Australia -- Mount Gambier;Students -- South Australia -- Mount Gambier</t>
  </si>
  <si>
    <t>b21109552</t>
  </si>
  <si>
    <t>High School - Prefect Induction</t>
  </si>
  <si>
    <t>Photograph of the newly inducted prefects being congratulated at the Mount Gambier High School on 11th April 1962.</t>
  </si>
  <si>
    <t>b21109564</t>
  </si>
  <si>
    <t>Photograph of two newly inducted prefects being congratulated at the Mount Gambier High School on 11th April 1962.</t>
  </si>
  <si>
    <t>b21109576</t>
  </si>
  <si>
    <t>High School - Kerbing Measures</t>
  </si>
  <si>
    <t>Photograph of three high school students measuring street kerbs on 20th June 1962, Mount Gambier.</t>
  </si>
  <si>
    <t>Students -- South Australia -- Mount Gambier;Roads -- Safety measures;High schools -- South Australia -- Mount Gambier</t>
  </si>
  <si>
    <t>b21109588</t>
  </si>
  <si>
    <t>YMCA Border Watch</t>
  </si>
  <si>
    <t>Photograph of young boys looking at sheep in pens on 23rd May 1962, Mount Gambier.</t>
  </si>
  <si>
    <t>Border Watch (Firm);Young Men's Christian associations -- South Australia -- Mount Gambier;Sheep -- South Australia -- Mount Gambier</t>
  </si>
  <si>
    <t>b2110959x</t>
  </si>
  <si>
    <t>Cave Expedition</t>
  </si>
  <si>
    <t>Photograph of two young boys in front of the opening to a cave on 2nd September 1962.</t>
  </si>
  <si>
    <t>Boys -- South Australia -- Mount Gambier;Caves -- South Australia -- Mount Gambier</t>
  </si>
  <si>
    <t>b21109606</t>
  </si>
  <si>
    <t>4th Mount Gambier Brownie Pack</t>
  </si>
  <si>
    <t>New Brownies being enrolled in the 4th Mount Gambier Brownie Pack on 28th May 1962. L-R Back row: Elizabeth Arthur, Heather Frost, Mrs Ralph Aston (Brown Owl), Mrs M.L. Kentish (District Commissioner), and Beverley Kannenburg. L-R Front row: Katherine Aston, Debbie Kentish, Alison Day, Elizabeth Davis, Ann Lashbrook.</t>
  </si>
  <si>
    <t>b2110962x</t>
  </si>
  <si>
    <t>Photograph of a group of five girls in costumes possibly dancers at the New Years Day celebrations in 1962, Mount Gambier.</t>
  </si>
  <si>
    <t>New Year -- South Australia -- Mount Gambier;Costume -- South Australia -- Mount Gambier</t>
  </si>
  <si>
    <t>b21109631</t>
  </si>
  <si>
    <t>Photograph of members of Rural Youth looking at plans on 12th January 1962.</t>
  </si>
  <si>
    <t>b21109643</t>
  </si>
  <si>
    <t>Learn to Swim</t>
  </si>
  <si>
    <t>Photograph of young swimmers at the swimming pool watching a demonstration during the Learn to Swim Campaign on 8th January 1962.</t>
  </si>
  <si>
    <t>b21109655</t>
  </si>
  <si>
    <t>Photograph of five young female athletes at the New Years Day Sports event in 1962, Mount Gambier.</t>
  </si>
  <si>
    <t>Athletes -- South Australia -- Mount Gambier;New Year -- South Australia -- Mount Gambier</t>
  </si>
  <si>
    <t>b21109667</t>
  </si>
  <si>
    <t>High School Sports</t>
  </si>
  <si>
    <t>Photograph of a boy selling pies at the High School Sports event on 14th April 1962, Mount Gambier.</t>
  </si>
  <si>
    <t>Sports for children -- South Australia -- Mount Gambier;Food -- South Australia -- Mount Gambier;High schools -- South Australia -- Mount Gambier</t>
  </si>
  <si>
    <t>b21109679</t>
  </si>
  <si>
    <t>Photograph of four winners with their prizes at the School Sports event on 23rd March 1962, Mount Gambier.</t>
  </si>
  <si>
    <t>Sports for children -- South Australia;Awards -- South Australia -- Mount Gambier;High schools -- South Australia -- Mount Gambier</t>
  </si>
  <si>
    <t>b21109680</t>
  </si>
  <si>
    <t>Sports Day</t>
  </si>
  <si>
    <t>Photograph of athletes from various schools during the parade before Sports Day on 23rd March 1962, Mount Gambier.</t>
  </si>
  <si>
    <t>Sports for children -- South Australia -- Mount Gambier;High schools -- South Australia -- Mount Gambier;Athletes -- South Australia -- Mount Gambier</t>
  </si>
  <si>
    <t>b21109692</t>
  </si>
  <si>
    <t>Photograph of three athletes with a prize at Sports Day on 23rd March 1962, Mount Gambier.</t>
  </si>
  <si>
    <t>b21109709</t>
  </si>
  <si>
    <t>Photograph of a swimming stroke demonstration during the Learn to Swim Campaign on 12th January 1962, Mount Gambier.</t>
  </si>
  <si>
    <t>b21109710</t>
  </si>
  <si>
    <t>Photograph of nine members of Rural Youth looking at plans on 12th January 1962, Mount Gambier.</t>
  </si>
  <si>
    <t>b21109722</t>
  </si>
  <si>
    <t>RAAF Trainees</t>
  </si>
  <si>
    <t>Photograph of a group of RAAF trainees in front of an aeroplane in March 1962, Mount Gambier.</t>
  </si>
  <si>
    <t>Airplanes -- South Australia -- Mount Gambier;Australia. Royal Australian Air Force</t>
  </si>
  <si>
    <t>b21109734</t>
  </si>
  <si>
    <t>Photograph of a group of Rural Youth members looking at a plan on 12th January 1962, Mount Gambier.</t>
  </si>
  <si>
    <t>b21109783</t>
  </si>
  <si>
    <t>Photograph of Don Knuckey from North Adelaide, coaching schoolboys at the Advertiser Football School on 18th July 1962, Mount Gambier.</t>
  </si>
  <si>
    <t>b21110062</t>
  </si>
  <si>
    <t>Photograph of the bridge over the Glenelg River at Nelson in 1962 taken from the water looking up at the struts. Photograph was taken on 23rd March 1962.</t>
  </si>
  <si>
    <t>b21109539</t>
  </si>
  <si>
    <t>Banker's picnic</t>
  </si>
  <si>
    <t>Photograph of people at the beach for a picnic.</t>
  </si>
  <si>
    <t>Picnics -- South Australia</t>
  </si>
  <si>
    <t>b21110098</t>
  </si>
  <si>
    <t>Aerial photograph of the Nelson Bridge over the Glenelg River being constructed. Photograph taken on 22nd March 1962.</t>
  </si>
  <si>
    <t>Bridges -- Victoria -- Nelson -- Design and construction;Glenelg River (Vic.)</t>
  </si>
  <si>
    <t>b21110487</t>
  </si>
  <si>
    <t>Photograph of the South Australian Premier being shown the inside of a large piece of machinery on 5th December 1962.</t>
  </si>
  <si>
    <t>Playford, Thomas, Sir, 1896-1981;Visits of state -- South Australia -- Mount Gambier;Premiers -- South Australia</t>
  </si>
  <si>
    <t>b21110499</t>
  </si>
  <si>
    <t>Davis Bros - car trial</t>
  </si>
  <si>
    <t>Photograph of four men at the Davis Brothers workshop, 67 commercial Street East, Mount Gambier, where a car is being prepared for the car trials, 29th May 1962. From left: Tom Quill, Alec Davis, unknown, and Colin Davis.</t>
  </si>
  <si>
    <t>Automobiles -- South Australia -- Mount Gambier</t>
  </si>
  <si>
    <t>b21110505</t>
  </si>
  <si>
    <t>Oil Drilling</t>
  </si>
  <si>
    <t>Five men involved in drilling for oil at Mt. Salt No. 1 oil search bore in the South East of South Australia, 16 April 1962.</t>
  </si>
  <si>
    <t>Oil well drilling -- South Australia;Boring -- South Australia</t>
  </si>
  <si>
    <t>b21110517</t>
  </si>
  <si>
    <t>SE Fire Fighers Association</t>
  </si>
  <si>
    <t>Photograph of a fire extinguishing exercise by the Woods and Forests Department, Mount Gambier Fire Unit No. 1. Photograph taken on 2nd December 1962.</t>
  </si>
  <si>
    <t>Fire fighters -- South Australia -- Mount Gambier;Fire engines -- South Australia -- Mount Gambier</t>
  </si>
  <si>
    <t>b21110529</t>
  </si>
  <si>
    <t>PMG - Taxi Stand</t>
  </si>
  <si>
    <t>Photograph of six public use telephones being installed at the taxi stand on 15th May 1962, Mount Gambier.</t>
  </si>
  <si>
    <t>Telephone -- South Australia -- Mount Gambier;Taxicabs -- South Australia -- Mount Gambier</t>
  </si>
  <si>
    <t>b21110530</t>
  </si>
  <si>
    <t>Power House Corporation</t>
  </si>
  <si>
    <t>Photograph of four engineers working on an engine at the Power House Corporation in 1962, Mount Gambier.</t>
  </si>
  <si>
    <t>Power House Corporation;Engineers -- South Australia -- Mount Gambier</t>
  </si>
  <si>
    <t>b21110542</t>
  </si>
  <si>
    <t>Wool Bureau - C.H. Williams</t>
  </si>
  <si>
    <t>Photograph of C.H. Williams with a plaque from the Australian Wool Bureau Competition won by the Mount Gambier Chamber of Commerce on 22nd June 1962.</t>
  </si>
  <si>
    <t>Mount Gambier Chamber of Commerce;Wool -- South Australia -- Mount Gambier</t>
  </si>
  <si>
    <t>b21110554</t>
  </si>
  <si>
    <t>SE Fire Fighters Association</t>
  </si>
  <si>
    <t>Photograph of a demonstration by the SE Fire Fighters Association held on 2nd December 1962.</t>
  </si>
  <si>
    <t>Fire fighters -- South Australia -- Mount Gambier</t>
  </si>
  <si>
    <t>b21110566</t>
  </si>
  <si>
    <t>Photograph of possibly the opening of the Mount Gambier Post Office on 26th February 1963.</t>
  </si>
  <si>
    <t>Post office buildings -- South Australia -- Mount Gambier</t>
  </si>
  <si>
    <t>b21110839</t>
  </si>
  <si>
    <t>Photograph of Mount Gambier and Lakes from the air in 1962.</t>
  </si>
  <si>
    <t>b21111674</t>
  </si>
  <si>
    <t>Photograph of the Electricity Trust on 12th January 1962.</t>
  </si>
  <si>
    <t>b21178860</t>
  </si>
  <si>
    <t>Convent</t>
  </si>
  <si>
    <t>Photograph of an outdoor church service at a convent in Mount Gambier, 11th July 1962.</t>
  </si>
  <si>
    <t>b21111686</t>
  </si>
  <si>
    <t>Photograph of transportable classrooms being erected at the Reidy Park School on 14th January 1962.</t>
  </si>
  <si>
    <t>b21115722</t>
  </si>
  <si>
    <t>Coursing - Mount Gambier ANZ Cup</t>
  </si>
  <si>
    <t>Photograph of the winning dog being awarded a sash by an official of the Coursing Club, Mount Gambier, August 1962.</t>
  </si>
  <si>
    <t>b21116155</t>
  </si>
  <si>
    <t>Photograph of the hockey team receiving instructions on 28th July 1962, Mount Gambier.</t>
  </si>
  <si>
    <t>b21116167</t>
  </si>
  <si>
    <t>Junior Baseball</t>
  </si>
  <si>
    <t>Photograph of the Junior Baseball Team in August 1962, Mount Gambier.</t>
  </si>
  <si>
    <t>b21116179</t>
  </si>
  <si>
    <t>Photograph of some children and a mother from the Hunt Club viewing rosettes and a trophy cup on 19th June 1962, Mount Gambier.</t>
  </si>
  <si>
    <t>b21116180</t>
  </si>
  <si>
    <t>Indoor Bowls Championships</t>
  </si>
  <si>
    <t>Photograph of a man and a lady from the Indoor Bowls Club during the championships on 5th June 1967, Mount Gambier.</t>
  </si>
  <si>
    <t>b21116192</t>
  </si>
  <si>
    <t>Photograph of two men and two ladies from the Indoor Bowls Club during the championships on 5th June 1962, Mount Gambier.</t>
  </si>
  <si>
    <t>b21116209</t>
  </si>
  <si>
    <t>Bowls Carnival</t>
  </si>
  <si>
    <t>Photograph of bowlers competing in the Bowls Carnival in December 1962, Mount Gambier.</t>
  </si>
  <si>
    <t>b21116210</t>
  </si>
  <si>
    <t>Golf Opening</t>
  </si>
  <si>
    <t>Photograph of two men and two ladies taking part in the Golf Opening on 7th April 1962, Mount Gambier.</t>
  </si>
  <si>
    <t>b21116234</t>
  </si>
  <si>
    <t>Photograph of two girls and two boys from the Hunt Club talking with an older man on 19th May 1962, Mount Gambier.</t>
  </si>
  <si>
    <t>b21116246</t>
  </si>
  <si>
    <t>Photograph of a hockey match in progress on 4th August 1962, Mount Gambier.</t>
  </si>
  <si>
    <t>b21116258</t>
  </si>
  <si>
    <t>Golf Championships</t>
  </si>
  <si>
    <t>Photograph of two male golfers during the Golf Championships in August 1962, Mount Gambier.</t>
  </si>
  <si>
    <t>b21116271</t>
  </si>
  <si>
    <t>Golf Championship</t>
  </si>
  <si>
    <t>Photograph of two male golfers about to tee off during the Golf Championships in August 1962, Mount Gambier.</t>
  </si>
  <si>
    <t>b21116283</t>
  </si>
  <si>
    <t>Photograph of nine members of the Baseball Team having a discussion in July 1962, Mount Gambier.</t>
  </si>
  <si>
    <t>b21116295</t>
  </si>
  <si>
    <t>Photograph of lady bowlers during the Bowls Carnival in 1962, Mount Gambier.</t>
  </si>
  <si>
    <t>b21116301</t>
  </si>
  <si>
    <t>Photograph of members of the Junior Baseball team enjoying a soft drink after the game on 29th September 1962, Mount Gambier.</t>
  </si>
  <si>
    <t>b21116313</t>
  </si>
  <si>
    <t>Photograph of three young children with two adult members of the Hunt Club on 19th May 1962, Mount Gambier.</t>
  </si>
  <si>
    <t>b21116325</t>
  </si>
  <si>
    <t>Coursing - ANZ Cup</t>
  </si>
  <si>
    <t>Photograph of five men and their children enjoying a drink after the running of the ANZ Cup for Coursing in August 1962, Mount Gambier.</t>
  </si>
  <si>
    <t>b21116337</t>
  </si>
  <si>
    <t>Photograph of four men reading the program during the running of the ANZ Cup for Coursing in August 1962, Mount Gambier.</t>
  </si>
  <si>
    <t>b21116349</t>
  </si>
  <si>
    <t>Photograph of the owner of the winning dog receiving a cup after the running of the ANZ Cup for the Coursing Club on 17th August 1962, Mount Gambier.</t>
  </si>
  <si>
    <t>b21116350</t>
  </si>
  <si>
    <t>Photograph of six spectators during the running of the ANZ Cup for the Coursing Club in August 1962, Mount Gambier.</t>
  </si>
  <si>
    <t>b21116362</t>
  </si>
  <si>
    <t>Photograph of a dog and its lady owner during the running of the ANZ Cup for the Coursing Club in August 1962, Mount Gambier.</t>
  </si>
  <si>
    <t>b21116374</t>
  </si>
  <si>
    <t>Photograph of a group of spectators comprising of three ladies and their seven children during the running of the ANZ Cup for the Coursing Club in August 1962, Mount Gambier.</t>
  </si>
  <si>
    <t>b21116386</t>
  </si>
  <si>
    <t>Hunt Club riders and ponies</t>
  </si>
  <si>
    <t>Photograph of five riders and their ponies at the Hunt Club on 5th May 1962, Mount Gambier. From left: Denise Guerin with 'Cindy', Margaret Levings with 'Tonanda', Rosslyn Burston, Dymphna Cameron with 'Goldilocks', and Pauline Leeson with 'Paint'.</t>
  </si>
  <si>
    <t>b21116398</t>
  </si>
  <si>
    <t>Photograph of three men and two ladies watching events at the Coursing ANZ Cup in August 1962. According to a researcher, these people are John Kerslake and Joy Kerslake (husband and wife),  Bill Peacock, Betty and Alf Peacock (husband and wife).</t>
  </si>
  <si>
    <t>b21179852</t>
  </si>
  <si>
    <t>Photograph of five lady golfers at the Golf Club in July 1962, Mount Gambier.</t>
  </si>
  <si>
    <t>b21116416</t>
  </si>
  <si>
    <t>Photograph of five lady golfers at the Golf Club in June 1962, Mount Gambier.</t>
  </si>
  <si>
    <t>b21116428</t>
  </si>
  <si>
    <t>Photograph of five lady golfers at the Golf Championship in July 1962, Mount Gambier.</t>
  </si>
  <si>
    <t>b2111643x</t>
  </si>
  <si>
    <t>b21116441</t>
  </si>
  <si>
    <t>R.C. Wetherall at the Golf Club</t>
  </si>
  <si>
    <t>Photograph of R.C. Wetherall with a lady and a man at the Golf Club on 5th June 1962, Mount Gambier.</t>
  </si>
  <si>
    <t>b21116453</t>
  </si>
  <si>
    <t>New Racing Club Secretary</t>
  </si>
  <si>
    <t>Photograph of the new Racing Club Secretary in June 1962, Mount Gambier.</t>
  </si>
  <si>
    <t>Mount Gambier Racing Club</t>
  </si>
  <si>
    <t>b21116465</t>
  </si>
  <si>
    <t>Photograph of children huddled in the rain watching events at the Hunt Club on 5th May 1962, Mount Gambier.</t>
  </si>
  <si>
    <t>b21116477</t>
  </si>
  <si>
    <t>Hunt Club riders</t>
  </si>
  <si>
    <t>Photograph of five young riders with two horses at the Hunt Club on 5th May 1962, Mount Gambier. From left: Rosslyn Burston, Denise Guerin (with 'Cindy'), Margaret Levings (with 'Tonanda'), Dymphna Cameron, and Pauline Leeson.</t>
  </si>
  <si>
    <t>b21116490</t>
  </si>
  <si>
    <t>R.C. Wetherall - Golf</t>
  </si>
  <si>
    <t>Photograph of R.C. Wetherall with his parents at the Golf Course on 5th June 1962, Mount Gambier.</t>
  </si>
  <si>
    <t>Wetherall, R. C.;Golf -- South Australia -- Mount Gambier</t>
  </si>
  <si>
    <t>b21116507</t>
  </si>
  <si>
    <t>Photograph of five members of the Hunt Club talking on 19th May 1962, Mount Gambier.</t>
  </si>
  <si>
    <t>Mount Gambier Hunt Club</t>
  </si>
  <si>
    <t>b21116519</t>
  </si>
  <si>
    <t>Centenary Cricket Teams</t>
  </si>
  <si>
    <t>Photograph of members of the Centenary Cricket Team seated and standing on 9th February 1962, Mount Gambier.</t>
  </si>
  <si>
    <t>b21116520</t>
  </si>
  <si>
    <t>Photograph of a group of swimmers in and around the Swimming Pool on 16th January 1962, Mount Gambier.</t>
  </si>
  <si>
    <t>b21116532</t>
  </si>
  <si>
    <t>Photograph of a swimming class in progress during the Learn to Swim Campaign on 8th January 1962, Mount Gambier.</t>
  </si>
  <si>
    <t>b21116544</t>
  </si>
  <si>
    <t>Bowls Champions</t>
  </si>
  <si>
    <t>Photograph of four team members discussing their game during the Bowls Championships in 1962, Mount Gambier.</t>
  </si>
  <si>
    <t>b21116556</t>
  </si>
  <si>
    <t>b21116568</t>
  </si>
  <si>
    <t>Mount Gambier Bowling Club members</t>
  </si>
  <si>
    <t>Photograph of four team members during the Bowls Championships in 1962, Mount Gambier.</t>
  </si>
  <si>
    <t>b2111657x</t>
  </si>
  <si>
    <t>Photograph of members of the Centenary Cricket Team on 9th February 1962, Mount Gambier.</t>
  </si>
  <si>
    <t>b21116581</t>
  </si>
  <si>
    <t>Photograph of two young boys during the School Sports Competition on 23rd March 1962, Mount Gambier.</t>
  </si>
  <si>
    <t>Sports for children -- South Australia -- Mount Gambier</t>
  </si>
  <si>
    <t>b21116593</t>
  </si>
  <si>
    <t>Photograph of a high jumper in action during the High School Sports Competition on 14th April 1962, Mount Gambier.</t>
  </si>
  <si>
    <t>Jumping -- South Australia -- Mount Gambier</t>
  </si>
  <si>
    <t>b2111660x</t>
  </si>
  <si>
    <t>Photograph of a winning shield being awarded after the School Sports on 23rd March 1962, Mount Gambier.</t>
  </si>
  <si>
    <t>Sports for children -- South Australia -- Mount Gambier;Awards -- Sport -- South Australia -- Mount Gambier</t>
  </si>
  <si>
    <t>b21116611</t>
  </si>
  <si>
    <t>Photograph of a high jumper in action during the High School Sports on 14th April 1962.</t>
  </si>
  <si>
    <t>Jumping -- South Australia -- Mount Gambier;Sports for children -- South Australia -- Mount Gambier</t>
  </si>
  <si>
    <t>b21116635</t>
  </si>
  <si>
    <t>Football players</t>
  </si>
  <si>
    <t>Photograph of three members of the Football Team in 1962, Mount Gambier.From left to right: Fred Hepner, John Marshall and John Graham, all East Gambier players.</t>
  </si>
  <si>
    <t>b21116647</t>
  </si>
  <si>
    <t>Photograph of three members of the East Gambier Football Team in 1962, Mount Gambier. From left to right: Mike McDonough, Nev Caldwell and Eddie Johnson, all East Gambier players.</t>
  </si>
  <si>
    <t>East Gambier Football Team;Australian football players -- South Australia -- Mount Gambier</t>
  </si>
  <si>
    <t>b21116659</t>
  </si>
  <si>
    <t>Croquet Tournaments</t>
  </si>
  <si>
    <t>Photograph of four lady croquet players enjoying a cup of tea after the game during the Croquet Tournament on 14th March 1962, Mount Gambier.</t>
  </si>
  <si>
    <t>b21116660</t>
  </si>
  <si>
    <t>Swimming Classes</t>
  </si>
  <si>
    <t>Photograph of young children receiving tuition during a swimming class on 19th January 1962, Mount Gambier.</t>
  </si>
  <si>
    <t>b21116672</t>
  </si>
  <si>
    <t>Netball players</t>
  </si>
  <si>
    <t>Photograph of girls in the netball team having their length of their uniforms checked on 28th April 1962, Mount Gambier.</t>
  </si>
  <si>
    <t>Netball players -- South Australia -- Mount Gambier</t>
  </si>
  <si>
    <t>b21116684</t>
  </si>
  <si>
    <t>Photograph of children being taught artificial resusitation beside the swimming pool on 19th January 1962, Mount Gambier.</t>
  </si>
  <si>
    <t>b21116714</t>
  </si>
  <si>
    <t>Bike riders - Draper</t>
  </si>
  <si>
    <t>Photograph of a group of four bike riders as they depart on a trip carrying their camping equipment on 25th January 1962, Mount Gambier.</t>
  </si>
  <si>
    <t>Cycling -- South Australia -- Mount Gambier;Cyclists -- South Australia -- Mount Gambier</t>
  </si>
  <si>
    <t>b21116726</t>
  </si>
  <si>
    <t>Croquet Championships</t>
  </si>
  <si>
    <t>Photograph of three lady croquet members receiving their trophies on 22nd March 1962, Mount Gambier.</t>
  </si>
  <si>
    <t>b21116738</t>
  </si>
  <si>
    <t>Golf Club</t>
  </si>
  <si>
    <t>Photograph of ladies from the Golf Club checking their scores on 29th May 1962, Mount Gambier.</t>
  </si>
  <si>
    <t>b2111674x</t>
  </si>
  <si>
    <t>Photograph of six people, possibly members of the swimming club, talking on 19th January 1962, Mount Gambier.</t>
  </si>
  <si>
    <t>b21178926</t>
  </si>
  <si>
    <t>Photograph of three lady golfers at the Golf Club in June 1962, Mount Gambier.</t>
  </si>
  <si>
    <t>b21116751</t>
  </si>
  <si>
    <t>Photograph of the winner of the Caledonian Wheel Race receiving his sash on New Years Day 1962, Mount Gambier.</t>
  </si>
  <si>
    <t>Cycling -- South Australia -- Mount Gambier;New Year -- South Australia -- Mount Gambier</t>
  </si>
  <si>
    <t>b21116763</t>
  </si>
  <si>
    <t>Photograph of the winner being awarded the trophy at the Croquet Championships on 22nd March 1962, Mount Gambier.</t>
  </si>
  <si>
    <t>b21116775</t>
  </si>
  <si>
    <t>Photograph of the winners being awarded  trophies at the Croquet Championships on 22nd March 1962, Mount Gambier.</t>
  </si>
  <si>
    <t>b21116787</t>
  </si>
  <si>
    <t>Photograph of bowlers from Norwood and Wonthaggi checking the score sheet during the Bowls Carnival in December 1962, Mount Gambier.</t>
  </si>
  <si>
    <t>b21116799</t>
  </si>
  <si>
    <t>Photograph of bowlers from Mount Gambier, Warnambool and Parkside during the Bowls Carnival in December 1962, Mount Gambier.</t>
  </si>
  <si>
    <t>b21116817</t>
  </si>
  <si>
    <t>Millicent Senior Colts Football Team</t>
  </si>
  <si>
    <t>Photograph of the Millicent Senior Colts Football Team plus several old players in 1962.</t>
  </si>
  <si>
    <t>Millicent Football Team;Australian football players -- South Australia -- Millicent;Australian football teams -- South Australia -- Millicent</t>
  </si>
  <si>
    <t>b21117196</t>
  </si>
  <si>
    <t>Anzac Day 1962</t>
  </si>
  <si>
    <t>Photograph of former soldiers marching with 1st Battalion of the Australian Imperial Forces on Anzac Day 1962, Mount Gambier.</t>
  </si>
  <si>
    <t>Veterans -- South Australia -- Mount Gambier;Anzac Day</t>
  </si>
  <si>
    <t>b21117214</t>
  </si>
  <si>
    <t>Welfare Conference</t>
  </si>
  <si>
    <t>Photograph of five female organisers of the Welfare Conference on 9th April 1962, Mount Gambier.</t>
  </si>
  <si>
    <t>Public welfare -- South Australia -- Congresses</t>
  </si>
  <si>
    <t>b2111724x</t>
  </si>
  <si>
    <t>YMCA Charter</t>
  </si>
  <si>
    <t>Photograph of the YMCA Charter and World flags on 1st December 1962, Mount Gambier.</t>
  </si>
  <si>
    <t>b21117287</t>
  </si>
  <si>
    <t>YMCA Opening</t>
  </si>
  <si>
    <t>Photograph of the YMCA being opened by the Premier Tom Playford on 14th April 1962, Mount Gambier.</t>
  </si>
  <si>
    <t>Playford, Thomas, Sir, 1896-1981;Young Men's Christian associations -- South Australia -- Mount Gambier</t>
  </si>
  <si>
    <t>b21117299</t>
  </si>
  <si>
    <t>b21117317</t>
  </si>
  <si>
    <t>Photograph of the opening of the YMCA on 1st December 1962, Mount Gambier.</t>
  </si>
  <si>
    <t>Young Men's Christian associations -- South Australia</t>
  </si>
  <si>
    <t>b21117329</t>
  </si>
  <si>
    <t>Photograph of five men during a cheque presentation for the YMCA on 2nd February 1962.</t>
  </si>
  <si>
    <t>b21117354</t>
  </si>
  <si>
    <t>J.C. Gifts - Hospital</t>
  </si>
  <si>
    <t>Photograph of the JayCees donation of gifts being given to children in  hospital in June 1962, Mount Gambier.</t>
  </si>
  <si>
    <t>Mount Gambier Jaycees;Hospitals -- South Australia -- Mount Gambier</t>
  </si>
  <si>
    <t>b21117366</t>
  </si>
  <si>
    <t>Police Cheque to the YMCA</t>
  </si>
  <si>
    <t>Photograph of police personnel handing over a cheque to a YMCA representative in July 1962, Mount Gambier.</t>
  </si>
  <si>
    <t>Police -- South Australia -- Mount Gambier;Young Men's Christian associations -- South Australia -- Mount Gambier</t>
  </si>
  <si>
    <t>b21117378</t>
  </si>
  <si>
    <t>Red Cross Farewell Mrs Corry</t>
  </si>
  <si>
    <t>Photograph of four ladies from Red Cross farewelling Mrs Corry on 11th September 1962, Mount Gambier.</t>
  </si>
  <si>
    <t>Australian Red Cross Society. South Australian Division</t>
  </si>
  <si>
    <t>b2111738x</t>
  </si>
  <si>
    <t>JayCee Shields</t>
  </si>
  <si>
    <t>Photograph of four men from the JayCees showing their shields to a priest on 10th April 1962, Mount Gambier.</t>
  </si>
  <si>
    <t>b21118401</t>
  </si>
  <si>
    <t>Meals on Wheels</t>
  </si>
  <si>
    <t>Photograph of seven ladies cooking and packing for Meals on Wheels on 16th October 1962, Mount Gambier.</t>
  </si>
  <si>
    <t>Meals on Wheels Inc. (S.A.);Volunteers -- South Australia -- Mount Gambier;Meals on wheels programs -- South Australia -- Mount Gambier</t>
  </si>
  <si>
    <t>b21118413</t>
  </si>
  <si>
    <t>Welfare Conference - Border Watch</t>
  </si>
  <si>
    <t>Photograph of five ladies possibly from the organising committee for the Welfare Conference on 9th April 1962, Mount Gambier.</t>
  </si>
  <si>
    <t>b21118425</t>
  </si>
  <si>
    <t>Photograph of the occasion when the YMCA became a Charter in Mount Gambier on 1st December 1962.</t>
  </si>
  <si>
    <t>b21122337</t>
  </si>
  <si>
    <t>Tourist Bureau</t>
  </si>
  <si>
    <t>Photograph of a group of five people looking at slides from the Tourist Bureau in June 1962, Mount Gambier. From left: Mr Mel Hirth, Mr Fred Burdon, Mr Jock Main, Mr Jim Cleary and Mrs Lenore Bishop.</t>
  </si>
  <si>
    <t>Municipal buildings -- South Australia -- Mount Gambier;Tourism -- South Australia -- Mount Gambier</t>
  </si>
  <si>
    <t>b21122349</t>
  </si>
  <si>
    <t>New Ambulance</t>
  </si>
  <si>
    <t>Photograph of an ambulance officer showing the new ambulance to two dignitaries on 25th January 1962, Mount Gambier.</t>
  </si>
  <si>
    <t>St. John Ambulance Service (S.A.);Ambulances -- South Australia -- Mount Gambier</t>
  </si>
  <si>
    <t>b21122350</t>
  </si>
  <si>
    <t>Photograph of an ambulance officer showing the new ambulance to fellow officers on 25th January 1962, Mount Gambier.</t>
  </si>
  <si>
    <t>b21122386</t>
  </si>
  <si>
    <t>Photograph of the Premier meeting local residents on 2nd March 1962, Mount Gambier.</t>
  </si>
  <si>
    <t>b21180283</t>
  </si>
  <si>
    <t>Town Planners</t>
  </si>
  <si>
    <t>Photograph of three town planners looking at a map on 18th August 1962.</t>
  </si>
  <si>
    <t>City planning -- South Australia -- Mount Gambier</t>
  </si>
  <si>
    <t>b21125399</t>
  </si>
  <si>
    <t>Sirex wood wasp</t>
  </si>
  <si>
    <t>Photograph of (from left): Senator Keith Laught, Mr Sorby Adams (forester) and Mr Arnold Haines during the Sirex Wood Wasp Campaign in February 1962, Mount Gambier.</t>
  </si>
  <si>
    <t>Haines, Arnold;Laught, K. A. (Keith Alexander), 1907-1969;Adams, Sorby</t>
  </si>
  <si>
    <t>b21125405</t>
  </si>
  <si>
    <t>Photograph of Old Scholars during the Back to Moorak School celebrations on 1st September 1962.</t>
  </si>
  <si>
    <t>b21125429</t>
  </si>
  <si>
    <t>Sirex wood Wasp</t>
  </si>
  <si>
    <t>Photograph of Mr Sorby Adams, Mr Arnold Haines and Mr Keith Laught looking at specimens during the Sirex Wood Wasp Campaign in February 1962.</t>
  </si>
  <si>
    <t>Laught, K. A. (Keith Alexander), 1907-1969;Haines, Arnold;Adams, Sorby;Wood wasp</t>
  </si>
  <si>
    <t>b21125430</t>
  </si>
  <si>
    <t>Dr and Mrs Leeson</t>
  </si>
  <si>
    <t>Photograph of Dr C. Leeson and Mrs J. Leeson boarding an Ansett ANA aeroplane on 30th April 1962.</t>
  </si>
  <si>
    <t>Leeson, Clifford Alfred;Leeson, J.;Ansett Airlines of Australia;Physicians -- South Australia -- Mount Gambier;Airplanes -- South Australia -- Mount Gambier</t>
  </si>
  <si>
    <t>b21125442</t>
  </si>
  <si>
    <t>New Post Master</t>
  </si>
  <si>
    <t>Photograph of the new Post Master with another man at his desk in November 1962, Mount Gambier.</t>
  </si>
  <si>
    <t>Postal service -- Employees -- South Australia -- Mount Gambier</t>
  </si>
  <si>
    <t>b21125454</t>
  </si>
  <si>
    <t>Mr and Mrs F.E. Pick</t>
  </si>
  <si>
    <t>Photograph of Irene and Fred Pick standing outside their front door in 1962, Mount Gambier.</t>
  </si>
  <si>
    <t>Pick, Irene;Pick, Frederick E.</t>
  </si>
  <si>
    <t>b21125466</t>
  </si>
  <si>
    <t>W. H. Dickson Family Reunion</t>
  </si>
  <si>
    <t>Photograph of sixty members of the W. H. Dickson family during their reunion in 1962, Mount Gambier.</t>
  </si>
  <si>
    <t>Dickson (Family);Family reunions -- South Australia -- Mount Gambier</t>
  </si>
  <si>
    <t>b21125478</t>
  </si>
  <si>
    <t>Olympian J. Tremelling</t>
  </si>
  <si>
    <t>Photograph of Mr J. Tremelling returning home on an Ansett aeroplane after his Olympic win in 1962, Mount Gambier.</t>
  </si>
  <si>
    <t>Tremelling, J.;Ansett Airlines of Australia;Athletes -- South Australia -- Mount Gambier;Airplanes -- South Australia -- Mount Gambier</t>
  </si>
  <si>
    <t>b2112548x</t>
  </si>
  <si>
    <t>Photograph of Mr J. Tremelling returning home on an Ansett aeroplane after his Olympic win in 1962, Mount Gambier. Photograph taken on 2nd October 1962.</t>
  </si>
  <si>
    <t>b21125491</t>
  </si>
  <si>
    <t>Photograph of Irene and Fred Pick standing on the front steps of their home in 1962.</t>
  </si>
  <si>
    <t>b21128182</t>
  </si>
  <si>
    <t>Colin Hazelwood</t>
  </si>
  <si>
    <t>Photograph of Mr. Colin Hazelwood in his Tarpeena Football Club guernsey, taken at the studio in Mount Gambier in 1962. Col Hazelwood won the Mail Medal playing for Tarpeena 1956.</t>
  </si>
  <si>
    <t>Hazelwood, Colin;Australian football players -- South Australia -- Mount Gambier</t>
  </si>
  <si>
    <t>b21128224</t>
  </si>
  <si>
    <t>Colin Cameron</t>
  </si>
  <si>
    <t>Studio portrait of Mr Colin Cameron, Mount Gambier, 1962.</t>
  </si>
  <si>
    <t>Cameron, Colin</t>
  </si>
  <si>
    <t>b21128327</t>
  </si>
  <si>
    <t>W. Hemmings</t>
  </si>
  <si>
    <t>Photograph of Mr W. Hemmings taken in the studio in Mount Gambier in 1962.</t>
  </si>
  <si>
    <t>Hemmings, W.</t>
  </si>
  <si>
    <t>b21140789</t>
  </si>
  <si>
    <t>W.H. Dickson</t>
  </si>
  <si>
    <t>Mr and Mrs W. H. Dickson with their family.</t>
  </si>
  <si>
    <t>Dickson, W. H.</t>
  </si>
  <si>
    <t>b21167321</t>
  </si>
  <si>
    <t>Glencoe Cricket Club in 1962</t>
  </si>
  <si>
    <t>Photograph of twelve members of the Glencoe Cricket Club team with a trophy shield in 1962.</t>
  </si>
  <si>
    <t>b21167333</t>
  </si>
  <si>
    <t>Glencoe Cricket Club in 1961-62</t>
  </si>
  <si>
    <t>Photograph of eleven members of the Glencoe Cricket Club team with a trophy shield in 1961 or 1962. There is an empty seat in the front row.</t>
  </si>
  <si>
    <t>b2119547x</t>
  </si>
  <si>
    <t>Photograph of seven ladies dressed in white ballgowns and wearing tartan sashes ready for the Highland Ball held in Mount Gambier in 1962.</t>
  </si>
  <si>
    <t>b21195481</t>
  </si>
  <si>
    <t>b21106034</t>
  </si>
  <si>
    <t>[approximately 1962]</t>
  </si>
  <si>
    <t>Photograph of a sash being awarded during the Mount Gambier Show Ball.</t>
  </si>
  <si>
    <t>b21106046</t>
  </si>
  <si>
    <t>Photograph of a sash being awarded to Miss Patricia Kennedy of Glencoe as Belle of the Ball at the Mount Gambier Show Ball.</t>
  </si>
  <si>
    <t>b21106058</t>
  </si>
  <si>
    <t>Photograph of participants at the Mount Gambier Show Ball.</t>
  </si>
  <si>
    <t>b21113099</t>
  </si>
  <si>
    <t>Photograph of Mr. Alec Lock talking with two young female swimmers at the Swimming Pool in Mount Gambier.</t>
  </si>
  <si>
    <t>Lock, Alec, 1914-2016;Swimming pools -- South Australia -- Mount Gambier;Swimmers -- South Australia -- Mount Gambier</t>
  </si>
  <si>
    <t>b21116404</t>
  </si>
  <si>
    <t>Photograph of spectators at the Hunt Club, possibly in 1962, Mount Gambier.</t>
  </si>
  <si>
    <t>b21179840</t>
  </si>
  <si>
    <t>Photograph of spectators at the Hunt Club, 19 May 1962, Mount Gambier.</t>
  </si>
  <si>
    <t>b21116623</t>
  </si>
  <si>
    <t>Photograph of three members of the Football Team in 1962, Mount Gambier. From left to right: Geoff Wilson, G. Aishman and Vic Wood, all East Gambier players.</t>
  </si>
  <si>
    <t>b20859466</t>
  </si>
  <si>
    <t>First Chaffey engine at Renmark</t>
  </si>
  <si>
    <t>First Chaffey engine displayed at Renmark outside Department of Agriculture office. According to a resercher,the bronze plaque that has been fixed to the engine was put there on 14 February 1962, the 75th anniversary of the signing of the agreement between SA and the Chaffey brothers. The pump is displayed in front of the Renmark Irrigation Trust office. The Dept. of Agriculture was next door and shifted to another location in the mid-1960s so this picture was taken within a few years of 1962.</t>
  </si>
  <si>
    <t>Chaffey Brothers;Pumping machinery -- South Australia -- Renmark;Irrigation -- South Australia -- Renmark -- History</t>
  </si>
  <si>
    <t>b21100640</t>
  </si>
  <si>
    <t>Sewerage</t>
  </si>
  <si>
    <t>Photograph of sewerage being installed in Mount Gambier on 14th August 1963.</t>
  </si>
  <si>
    <t>Drainage -- South Australia -- Mount Gambier;Sewage -- South Australia -- Mount Gambier</t>
  </si>
  <si>
    <t>b21100664</t>
  </si>
  <si>
    <t>Cave Gardens car park</t>
  </si>
  <si>
    <t>Photograph of Cave Gardens car park on 20th October 1963.</t>
  </si>
  <si>
    <t>Cave Garden (Mount Gambier, S.A.)</t>
  </si>
  <si>
    <t>b2110069x</t>
  </si>
  <si>
    <t>Cycling championships</t>
  </si>
  <si>
    <t>Photograph of cyclists at the finishing line of championships held on 3rd August 1963, in Mount Gambier.</t>
  </si>
  <si>
    <t>Bicycle racing -- South Australia -- Mount Gambier</t>
  </si>
  <si>
    <t>b21100706</t>
  </si>
  <si>
    <t>Engineering and Water Supply sewerage</t>
  </si>
  <si>
    <t>Photograph of Engineering and Water Supply workers near sewerage trenches on 11th January 1963, Mount Gambier.</t>
  </si>
  <si>
    <t>Sewage -- South Australia -- Mount Gambier</t>
  </si>
  <si>
    <t>b21100743</t>
  </si>
  <si>
    <t>Sewerage installation in Mount Gambier</t>
  </si>
  <si>
    <t>Photograph of sewerage pipes being installed in Mount Gambier in May 1963.</t>
  </si>
  <si>
    <t>b21101310</t>
  </si>
  <si>
    <t>Tree planting</t>
  </si>
  <si>
    <t>Photograph of 5 people tree planting near the lake on a wet 14th August 1963, Mount Gambier.</t>
  </si>
  <si>
    <t>Tree planting -- South Australia -- Mount Gambier</t>
  </si>
  <si>
    <t>b21101322</t>
  </si>
  <si>
    <t>Photograph of tree planting on a hillside near the lake on 14th August 1963, Mount Gambier.</t>
  </si>
  <si>
    <t>b21101334</t>
  </si>
  <si>
    <t>Photograph of tree planting on a hillside near the lake on 14th August 1963, Mount Gambier. Cars are parked in the foreground.</t>
  </si>
  <si>
    <t>b21101346</t>
  </si>
  <si>
    <t>b2110136x</t>
  </si>
  <si>
    <t>Photograph of two men and two boys tree planting on 14th August 1963, Mount Gambier.</t>
  </si>
  <si>
    <t>b21104864</t>
  </si>
  <si>
    <t>Sergeant Whitrod</t>
  </si>
  <si>
    <t>Photograph of Sergeant Whitrod at his desk in the Police Station on 19th January 1963.</t>
  </si>
  <si>
    <t>Police -- South Australia -- Mount Gambier;Police stations -- South Australia -- Mount Gambier</t>
  </si>
  <si>
    <t>b21105960</t>
  </si>
  <si>
    <t>Mr Hirth and family</t>
  </si>
  <si>
    <t>Photograph of eighty eight year old Mr Hirth celebrating his birthday with his family on 23rd March 1963. From left to right: Ruby Hirth, Nancy Abfolter, Pat Abfolter, Harry Hirth, Mel Hirth, Gillian Hirth, Debbie Hirth and Norm Hirth.</t>
  </si>
  <si>
    <t>Abfolter, Pat;Abfolter, Nancy;Hirth (Family);Birthdays -- South Australia -- Mount Gambier;Parties -- South Australia -- Mount Gambier</t>
  </si>
  <si>
    <t>b21105972</t>
  </si>
  <si>
    <t>Police Ball cheque</t>
  </si>
  <si>
    <t>Photograph of a cheque of the proceeds from the Police Ball being awarded to charity in June 1963.</t>
  </si>
  <si>
    <t>Police -- South Australia -- Mount Gambier;Charities -- South Australia -- Mount Gambier;Balls (parties) -- South Australia -- Mount Gambier</t>
  </si>
  <si>
    <t>b21109278</t>
  </si>
  <si>
    <t>Pre-School Kindergarten Trampoline</t>
  </si>
  <si>
    <t>Photograph of two children using the trampoline watched by  others at the Pre-School Kindergarten on 15th May 1963, Mount Gambier.</t>
  </si>
  <si>
    <t>Kindergarten facilities -- South Australia -- Mount Gambier;Trampolining;Children -- South Australia -- Mount Gambier</t>
  </si>
  <si>
    <t>b2110928x</t>
  </si>
  <si>
    <t>Old Folks Home fete</t>
  </si>
  <si>
    <t>Photograph of six young children in fancy dress participating in a lucky dip during the fete at the Old Folks Home on 27th April 1963, Mount Gambier.</t>
  </si>
  <si>
    <t>Bazaars (Charities) -- South Australia -- Mount Gambier;Old age homes -- South Australia -- Mount Gambier;Children -- South Australia;Costume -- South Australia</t>
  </si>
  <si>
    <t>b21109291</t>
  </si>
  <si>
    <t>Photograph of ten teenage boys sports team with an instructor at the YMCA in May 1963, Mount Gambier.</t>
  </si>
  <si>
    <t>Young Men's Christian associations -- South Australia -- Mount Gambier;Teenagers -- South Australia -- Mount Gambier</t>
  </si>
  <si>
    <t>b2110931x</t>
  </si>
  <si>
    <t>New Baptist Hall</t>
  </si>
  <si>
    <t>Photograph of possibly a Sunday School party held in the New Baptist Hall on 7th April 1963, Mount Gambier.</t>
  </si>
  <si>
    <t>Baptists -- South Australia -- Mount Gambier;Children -- South Australia -- Mount Gambier;Sunday schools -- South Australia -- Mount Gambier</t>
  </si>
  <si>
    <t>b21109321</t>
  </si>
  <si>
    <t>Old Folks Home Fete</t>
  </si>
  <si>
    <t>Photograph of five children in fancy dress during the fete at the Old Folks Home on 27th April 1963, Mount Gambier.</t>
  </si>
  <si>
    <t>Bazaars (Charities) -- South Australia -- Mount Gambier;Costume -- South Australia -- Mount Gambier;Children -- South Australia -- Mount Gambier;Old age homes -- South Australia -- Mount Gambier</t>
  </si>
  <si>
    <t>b21109333</t>
  </si>
  <si>
    <t>Coronation Ball (Poster Contest)</t>
  </si>
  <si>
    <t>Photograph of four teenage boys from Mount Gambier Technical High School promoting the poster contest for the Coronation Ball in May 1963.</t>
  </si>
  <si>
    <t>Mount Gambier Technical High School;Students -- South Australia -- Mount Gambier;Contests -- South Australia -- Mount Gambier;High schools -- South Australia -- Mount Gambier</t>
  </si>
  <si>
    <t>b21109345</t>
  </si>
  <si>
    <t>Tree Planting</t>
  </si>
  <si>
    <t>Photograph of a man and a young child planting a tree during the Tree Planting exercise on 13th July 1963, Mount Gambier.</t>
  </si>
  <si>
    <t>Tree planting -- South Australia -- Mount Gambier;Children -- South Australia -- Mount Gambier</t>
  </si>
  <si>
    <t>b21109400</t>
  </si>
  <si>
    <t>Primary School Sports</t>
  </si>
  <si>
    <t>Photograph of a group of young students at the Primary School Sports in March 1963, Mount Gambier.</t>
  </si>
  <si>
    <t>Sports for children -- South Australia -- Mount Gambier;Primary schools -- South Australia -- Mount Gambier</t>
  </si>
  <si>
    <t>b21109412</t>
  </si>
  <si>
    <t>Pre-School Kindergarten</t>
  </si>
  <si>
    <t>Photograph of nine pre school children using scarves during an activity with a teacher on 4th November 1963, Mount Gambier.</t>
  </si>
  <si>
    <t>Kindergarten facilities -- South Australia -- Mount Gambier;Children -- South Australia -- Mount Gambier;Teachers -- South Australia -- Mount Gambier</t>
  </si>
  <si>
    <t>b21109424</t>
  </si>
  <si>
    <t>Snow White</t>
  </si>
  <si>
    <t>Photograph of an event featuring Snow White and the Seven Dwarfs in November 1963, Mount Gambier.</t>
  </si>
  <si>
    <t>Fairy tales</t>
  </si>
  <si>
    <t>b21109436</t>
  </si>
  <si>
    <t>YMCA Presentation</t>
  </si>
  <si>
    <t>Photograph of the presentation of new lawn mower to the YMCA by Mr. Owen Roberts in July 1963, Mount Gambier.</t>
  </si>
  <si>
    <t>Young Men's Christian associations -- South Australia -- Mount Gambier;Boys -- South Australia -- Mount Gambier;Lawn mowers</t>
  </si>
  <si>
    <t>b21109990</t>
  </si>
  <si>
    <t>Dingley Dell</t>
  </si>
  <si>
    <t>Photograph of the entrance gateway to Dingley Dell in 1963. The gateway was presented by Mr.I.C.E. Phillips.</t>
  </si>
  <si>
    <t>Dingley Dell (House : Port MacDonnell, S.A.);Gates -- South Australia -- Port MacDonnell</t>
  </si>
  <si>
    <t>b21110074</t>
  </si>
  <si>
    <t>Photograph of the Nelson Bridge over the Glenelg River in February 1963.</t>
  </si>
  <si>
    <t>Bridges -- Victoria;Glenelg River (Vic.)</t>
  </si>
  <si>
    <t>b21110086</t>
  </si>
  <si>
    <t>b21110578</t>
  </si>
  <si>
    <t>Post Office - Telegraph</t>
  </si>
  <si>
    <t>Photograph of telegraphy instruments mounted on a wooden board possibly in a museum. The inscription says "These telegraph instruments were used to transmit from Kalangadoo on 3rd March 1962. The last telegram to be sent by morse code from a South Australian Post Office thus ending an era of morse telegraphy in the Post Office in South Australia which began on 18th February 1856."</t>
  </si>
  <si>
    <t>Museums -- South Australia -- Mount Gambier;Telegraph -- South Australia -- Mount Gambier;Telegraph -- South Australia -- Kalangadoo;Telegraph -- Equipment and supplies;Postal service -- South Australia</t>
  </si>
  <si>
    <t>b2111058x</t>
  </si>
  <si>
    <t>Last steam locomotive</t>
  </si>
  <si>
    <t>Photograph of three train drivers shaking hands on the last steam locomotive(number 752) on 18th March 1963, Mount Gambier. From left David Niven (locomotive foreman South East S.A.), Les Partick (engine driver), and Fred Hickey (2nd engineman 'fireman').</t>
  </si>
  <si>
    <t>Niven, David;Partick, Les;Locomotives -- South Australia -- Mount Gambier</t>
  </si>
  <si>
    <t>b21110591</t>
  </si>
  <si>
    <t>Railway Diesels</t>
  </si>
  <si>
    <t>Photograph of two railways broad gauge diesels 848 and 351 in February 1963, Mount Gambier locomotive.</t>
  </si>
  <si>
    <t>Diesel locomotives -- South Australia -- Mount Gambier</t>
  </si>
  <si>
    <t>b21110608</t>
  </si>
  <si>
    <t>Cutting quarry stone</t>
  </si>
  <si>
    <t>Photograph of a worker using a saw to cut blocks of stone in a quarry in 1963, Mount Gambier.</t>
  </si>
  <si>
    <t>b21110621</t>
  </si>
  <si>
    <t>Photograph of the last steam locomotive (number 752) in motion on 18th March 1963, Mount Gambier.</t>
  </si>
  <si>
    <t>Steam locomotives -- South Australia -- Mount Gambier</t>
  </si>
  <si>
    <t>b21110633</t>
  </si>
  <si>
    <t>Onion grader</t>
  </si>
  <si>
    <t>Photograph of a Myers onion grading machine working in the fields in April 1963.</t>
  </si>
  <si>
    <t>Onions -- South Australia -- Mount Gambier</t>
  </si>
  <si>
    <t>b21110645</t>
  </si>
  <si>
    <t>SE Grid New Transformer</t>
  </si>
  <si>
    <t>Photograph of workmen working on the new South East Grid Transformer in February 1963.</t>
  </si>
  <si>
    <t>Construction workers -- South Australia -- Mount Gambier</t>
  </si>
  <si>
    <t>b21110657</t>
  </si>
  <si>
    <t>b21110669</t>
  </si>
  <si>
    <t>E &amp; WS Sewerage</t>
  </si>
  <si>
    <t>Photograph of workmen using a trench digger during the laying of sewerage pipes on 11th January 1963 in Mount Gambier.</t>
  </si>
  <si>
    <t>Sewage disposal plants -- South Australia -- Mount Gambier</t>
  </si>
  <si>
    <t>b21110670</t>
  </si>
  <si>
    <t>Builders Visit</t>
  </si>
  <si>
    <t>Photograph of builders inspecting pine logs during a visit on 21st March 1963, Mount Gambier.</t>
  </si>
  <si>
    <t>b21110682</t>
  </si>
  <si>
    <t>ETSA farewell to Sanders</t>
  </si>
  <si>
    <t>Photograph of ETSA staff farewelling Mr Sanders in October 1963, Mount Gambier.</t>
  </si>
  <si>
    <t>ETSA Corporation -- Employees</t>
  </si>
  <si>
    <t>b21110694</t>
  </si>
  <si>
    <t>Mrs Harrap</t>
  </si>
  <si>
    <t>Photograph of Mrs Harrap enjoying her birthday celebration in a nursing home on 28th May 1963, Mount Gambier.</t>
  </si>
  <si>
    <t>Old age homes -- South Australia -- Mount Gambier;Birthdays -- South Australia -- Mount Gambier</t>
  </si>
  <si>
    <t>b21110700</t>
  </si>
  <si>
    <t>New Reservoir</t>
  </si>
  <si>
    <t>Photograph of the new reservoir being constructed on 2nd October 1963.</t>
  </si>
  <si>
    <t>Reservoirs -- South Australia -- Mount Gambier</t>
  </si>
  <si>
    <t>b21110712</t>
  </si>
  <si>
    <t>Bankers Picnic</t>
  </si>
  <si>
    <t>Photograph of the prize giving at the Bankers Picnic on 20th February 1963.</t>
  </si>
  <si>
    <t>Banks and banking -- South Australia -- Mount Gambier -- Employees;Prizes -- South Australia -- Mount Gambier;Picnics -- South Australia</t>
  </si>
  <si>
    <t>b21110724</t>
  </si>
  <si>
    <t>Dairymen's Association Meeting</t>
  </si>
  <si>
    <t>Photograph of four men judging cheeses at the Dairymen's Association meeting on 2nd April 1963, Mount Gambier.</t>
  </si>
  <si>
    <t>Dairying -- South Australia -- Mount Gambier</t>
  </si>
  <si>
    <t>b21110736</t>
  </si>
  <si>
    <t>Chamber of Commerce Conference</t>
  </si>
  <si>
    <t>Photograph of delegates from the Chamber of Commerce Conference held on 19th October 1963, Mount Gambier.</t>
  </si>
  <si>
    <t>Chamber of Commerce of South Australia -- Congresses</t>
  </si>
  <si>
    <t>b21110748</t>
  </si>
  <si>
    <t>Adult Education Centre Apprentices</t>
  </si>
  <si>
    <t>Photograph of an apprentice receiving a handshake during a ceremony at the Adult Education Centre in December 1963.</t>
  </si>
  <si>
    <t>Adult education -- South Australia -- Mount Gambier;Apprentices -- South Australia -- Mount Gambier</t>
  </si>
  <si>
    <t>b21111534</t>
  </si>
  <si>
    <t>Frew Park Cottage</t>
  </si>
  <si>
    <t>Photograph of Frew Park Cottage in May 1963, Mount Gambier.</t>
  </si>
  <si>
    <t>Frew Park Cottage (House : Mount Gambier, S.A.);Cottages -- South Australia -- Mount Gambier</t>
  </si>
  <si>
    <t>b21111583</t>
  </si>
  <si>
    <t>Photograph of the Post Office on 26th February 1963 in Mount Gambier  family groups walking by.</t>
  </si>
  <si>
    <t>Post Office buildings -- South Australia -- Mount Gambier</t>
  </si>
  <si>
    <t>b21111595</t>
  </si>
  <si>
    <t>National Bank</t>
  </si>
  <si>
    <t>Photograph of the National Bank being demolished on 20th February 1963, Mount Gambier.</t>
  </si>
  <si>
    <t>National Bank of Australasia -- Buildings;Wrecking -- South Australia -- Mount Gambier;Bank buildings -- South Australia -- Mount Gambier</t>
  </si>
  <si>
    <t>b21111601</t>
  </si>
  <si>
    <t>b21111613</t>
  </si>
  <si>
    <t>Photograph of the National Bank being demolished and rebuilt in March 1963, Mount Gambier.</t>
  </si>
  <si>
    <t>b21111625</t>
  </si>
  <si>
    <t>Photograph of the National Bank in February 1963, Mount Gambier.</t>
  </si>
  <si>
    <t>National Bank of Australasia -- Buildings;Bank buildings -- South Australia -- Mount Gambier</t>
  </si>
  <si>
    <t>b21111637</t>
  </si>
  <si>
    <t>b21111649</t>
  </si>
  <si>
    <t>b21111650</t>
  </si>
  <si>
    <t>National Bank of Australasia -- Buildings;Bank buildings -- South Australia -- Mount Gambier;Wrecking -- South Australia -- Mount Gambier</t>
  </si>
  <si>
    <t>b21111662</t>
  </si>
  <si>
    <t>b21116222</t>
  </si>
  <si>
    <t>Twin Umpires</t>
  </si>
  <si>
    <t>Photograph of young twin umpires Phillip and Jim Simpson holding the ball before a football game in August 1963, Mount Gambier.</t>
  </si>
  <si>
    <t>Australian football -- South Australia -- Mount Gambier;Australian football -- Umpiring</t>
  </si>
  <si>
    <t>b2111626x</t>
  </si>
  <si>
    <t>Melbourne Cup</t>
  </si>
  <si>
    <t>Photograph of a group of Mount Gambier racegoers boarding the aeroplane for the Melbourne Cup on 5th November 1963.</t>
  </si>
  <si>
    <t>b21116696</t>
  </si>
  <si>
    <t>Advertiser Bike Race</t>
  </si>
  <si>
    <t>Photograph of riders and officials before the Advertiser Tour Bicycle Race in September 1963, Mount Gambier.</t>
  </si>
  <si>
    <t>Advertiser Newspapers Ltd;Cycling -- South Australia -- Mount Gambier;Cyclists -- South Australia -- Mount Gambier</t>
  </si>
  <si>
    <t>b21116702</t>
  </si>
  <si>
    <t>Photograph of anglers having their catches of fish judged at the Angling Club, East Gambier Football Clubrooms on 14th January 1963. Left to right: Jack Thorsteinsen, Graham Hughes, Robert Schleter, James Brill and Merle Lock.</t>
  </si>
  <si>
    <t>b21116805</t>
  </si>
  <si>
    <t>Photograph of six golfers at the Golf Course in January 1963, Mount Gambier.</t>
  </si>
  <si>
    <t>b21116829</t>
  </si>
  <si>
    <t>Tennis</t>
  </si>
  <si>
    <t>Photograph of four members of the Tennis Club on 26th January 1963, Mount Gambier.</t>
  </si>
  <si>
    <t>Tennis -- South Australia -- Mount Gambier;Tennis players -- South Australia -- Mount Gambier</t>
  </si>
  <si>
    <t>b21116830</t>
  </si>
  <si>
    <t>R.S.L. Bowling Club</t>
  </si>
  <si>
    <t>Photograph of several members of the RSL Bowling Club on 26th February 1963, Mount Gambier.</t>
  </si>
  <si>
    <t>b21116842</t>
  </si>
  <si>
    <t>Cricket</t>
  </si>
  <si>
    <t>Photograph of members of the cricket club upkeeping the pitch on 26th January 1963, Mount Gambier.</t>
  </si>
  <si>
    <t>b21116854</t>
  </si>
  <si>
    <t>Photograph of two lady golfers at the Mount Gambier Golf Championships on 30th June 1963.</t>
  </si>
  <si>
    <t>b21116866</t>
  </si>
  <si>
    <t>Cycling Championships</t>
  </si>
  <si>
    <t>Photograph of three young cyclists during the championships on 27th July 1963, Mount Gambier.</t>
  </si>
  <si>
    <t>b21116878</t>
  </si>
  <si>
    <t>Photograph of one of the young cyclists being congratulated during the championships on 27th July 1963, Mount Gambier.</t>
  </si>
  <si>
    <t>b2111688x</t>
  </si>
  <si>
    <t>Photograph of five lady golfers admiring their silver trophies during the Golf championships in July 1963, Mount Gambier.</t>
  </si>
  <si>
    <t>b21116891</t>
  </si>
  <si>
    <t>Soccor Cup [sic]</t>
  </si>
  <si>
    <t>Photograph of four men with a Soccer Cup in September 1963, Mount Gambier.</t>
  </si>
  <si>
    <t>Soccer -- South Australia -- Mount Gambier</t>
  </si>
  <si>
    <t>b21116908</t>
  </si>
  <si>
    <t>Abfalter family</t>
  </si>
  <si>
    <t>Photograph of the Abfalter family bringing in football team jumpers off the clothes hoist in September 1963, Mount Gambier. The four girls are all wearing school uniforms.</t>
  </si>
  <si>
    <t>Abfalter (Family);School children -- South Australia -- Mount Gambier</t>
  </si>
  <si>
    <t>b2111691x</t>
  </si>
  <si>
    <t>Milicent Senior Football Team</t>
  </si>
  <si>
    <t>Photograph of the Millicent Senior Football Team with coaches in 1963.</t>
  </si>
  <si>
    <t>b21116933</t>
  </si>
  <si>
    <t>Photograph of six cyclists and their coaches at the start of the Cycling Championships, on 27th July 1963, Mount Gambier.</t>
  </si>
  <si>
    <t>Bicycle racing -- South Australia -- Mount Gambier;Cycling -- South Australia -- Mount Gambier</t>
  </si>
  <si>
    <t>b21116945</t>
  </si>
  <si>
    <t>Millicent Junior Football Team</t>
  </si>
  <si>
    <t>Photograph of members of the Millicent Junior Football Team with their helpers in 1963.</t>
  </si>
  <si>
    <t>b21116969</t>
  </si>
  <si>
    <t>Hunt Club Races</t>
  </si>
  <si>
    <t>Photograph of owners, jockey and trainer of the winner at the Hunt Club Races in August 1963, Mount Gambier.</t>
  </si>
  <si>
    <t>Horsemen and horsewomen -- South Australia -- Mount Gambier</t>
  </si>
  <si>
    <t>b21116970</t>
  </si>
  <si>
    <t>Photograph of several riders and their horses at the Riding School in August 1963, Mount Gambier.</t>
  </si>
  <si>
    <t>b21116994</t>
  </si>
  <si>
    <t>Photograph of three punters at the Hunt Club Races in August 1963, Mount Gambier. Don Guerin is on the right.</t>
  </si>
  <si>
    <t>b21117007</t>
  </si>
  <si>
    <t>Photograph of young baseball players trying on their uniforms on 20th July 1963, Mount Gambier.</t>
  </si>
  <si>
    <t>b21117019</t>
  </si>
  <si>
    <t>Photograph of three hockey players in their blazers on 13th June 1963, Mount Gambier.</t>
  </si>
  <si>
    <t>b21117020</t>
  </si>
  <si>
    <t>Photograph of three female hockey players in their blazers on 20th August 1963, Mount Gambier.</t>
  </si>
  <si>
    <t>b21117032</t>
  </si>
  <si>
    <t>Sports Club Holland Cheque</t>
  </si>
  <si>
    <t>Photograph of a cheque presentation on behalf of the Sports Club in July 1963, Mount Gambier. The Holland cheque funds the Holland Trophy for soccer.</t>
  </si>
  <si>
    <t>b21181226</t>
  </si>
  <si>
    <t>Photograph of spectators at a football match in 1963.</t>
  </si>
  <si>
    <t>b21117044</t>
  </si>
  <si>
    <t>Photograph of two cyclists during the Championships on 3rd August 1963, Mount Gambier.</t>
  </si>
  <si>
    <t>b21117056</t>
  </si>
  <si>
    <t>Australian 125-mile Championship</t>
  </si>
  <si>
    <t>Photograph of a cyclist during the Australian 125 mile Championship on 3rd August 1963, Mount Gambier.</t>
  </si>
  <si>
    <t>b21117068</t>
  </si>
  <si>
    <t>Photograph of a South Australian entrant during the Australian 125 mile Cycling Championship on 3rd August 1963, Mount Gambier.</t>
  </si>
  <si>
    <t>b2111707x</t>
  </si>
  <si>
    <t>Photograph of an entrant during the Australian 125 mile Cycling Championship on 3rd August 1963, Mount Gambier.</t>
  </si>
  <si>
    <t>b21117081</t>
  </si>
  <si>
    <t>Photograph of a silver tea service being awarded to the winner of the Hunt Club Races in August 1963, Mount Gambier.</t>
  </si>
  <si>
    <t>b21117093</t>
  </si>
  <si>
    <t>Photograph of two lady golfers during the Golf Championships on 30th June 1963, Mount Gambier.</t>
  </si>
  <si>
    <t>b2111710x</t>
  </si>
  <si>
    <t>Photograph of five lady golfers during the Golf Championships on 10th October 1963, Mount Gambier.</t>
  </si>
  <si>
    <t>b21117111</t>
  </si>
  <si>
    <t>b21117342</t>
  </si>
  <si>
    <t>Lions Charter Night</t>
  </si>
  <si>
    <t>Photograph of a presentation of the Charter at the Lions Club on 23rd March 1963, Mount Gambier.</t>
  </si>
  <si>
    <t>Lions Club of Mount Gambier</t>
  </si>
  <si>
    <t>b21118437</t>
  </si>
  <si>
    <t>Band Cheque</t>
  </si>
  <si>
    <t>Photograph of the occasion when a cheque was presented either to the band or from the band on 1st July 1963, Mount Gambier.</t>
  </si>
  <si>
    <t>b21118449</t>
  </si>
  <si>
    <t>Photograph of the Charter being presented at the beginning of the Lions Club in Mount Gambier on 23rd March 1963.</t>
  </si>
  <si>
    <t>b21118450</t>
  </si>
  <si>
    <t>District Aid Presentation</t>
  </si>
  <si>
    <t>Photograph of ladies and men with a display of wooden toys made for the District Aid Presentation in November 1963, Mount Gambier.</t>
  </si>
  <si>
    <t>Toys -- South Australia -- Mount Gambier</t>
  </si>
  <si>
    <t>b21118462</t>
  </si>
  <si>
    <t>Photograph of eight ladies working in the Meals on Wheels kitchen in Mount Gambier on 4th November 1963.</t>
  </si>
  <si>
    <t>b21118474</t>
  </si>
  <si>
    <t>Miss Dew at Boandik Lodge</t>
  </si>
  <si>
    <t>Photograph of Miss Dew and another lady at Boandik Lodge with handicrafts made by the residents in November 1963, Mount Gambier.</t>
  </si>
  <si>
    <t>b21118486</t>
  </si>
  <si>
    <t>RDNS Competition</t>
  </si>
  <si>
    <t>Photograph of four ladies and a gentleman with prizes for the RDNS Competition on 30th August 1963, Mount Gambier.</t>
  </si>
  <si>
    <t>Royal District Nursing Society of South Australia;Fund raising -- South Australia -- Mount Gambier</t>
  </si>
  <si>
    <t>b21118498</t>
  </si>
  <si>
    <t>Photograph of a youth on a trampoline watched by a group of teenagers at the YMCA in May 1963, Mount Gambier. The trampoline was purchased with the help of a cheque donated by the local APEX Club.</t>
  </si>
  <si>
    <t>Apex Club of Mount Gambier;Trampolining;Young Men's Christian associations -- South Australia -- Mount Gambier</t>
  </si>
  <si>
    <t>b21118504</t>
  </si>
  <si>
    <t>YMCA - APEX Presentation</t>
  </si>
  <si>
    <t>Photograph of members from YMCA receiving a cheque from APEX in July 1963, Mount Gambier. The cheque is being used to help pay for a trampoline.</t>
  </si>
  <si>
    <t>b21118516</t>
  </si>
  <si>
    <t>APEX - Scout Bee</t>
  </si>
  <si>
    <t>Photograph of members of APEX and the Boy Scouts during a working bee held in September 1963, Mount Gambier.</t>
  </si>
  <si>
    <t>Apex Club of Mount Gambier;Volunteers -- South Australia -- Mount Gambier</t>
  </si>
  <si>
    <t>b2111853x</t>
  </si>
  <si>
    <t>Naturalist Club</t>
  </si>
  <si>
    <t>Photograph of four members of the Naturalist Club looking at an experiment to gauge effect of wind and sun on vegetation in Mount Gambier on 2nd October 1963.</t>
  </si>
  <si>
    <t>Natural history -- South Australia -- Mount Gambier;Naturalists -- South Australia</t>
  </si>
  <si>
    <t>b21118553</t>
  </si>
  <si>
    <t>MBHA</t>
  </si>
  <si>
    <t>Photograph of six ladies from the Mothers and Babies Health Association at a meeting on 1st May 1963, Mount Gambier.</t>
  </si>
  <si>
    <t>Mothers and Babies' Health Association (S.A.). Mount Gambier Branch;Maternal and infant welfare -- South Australia -- Mount Gambier;Infants -- Health and hygiene -- South Australia</t>
  </si>
  <si>
    <t>b21118577</t>
  </si>
  <si>
    <t>APEX - Bus Shelter</t>
  </si>
  <si>
    <t>Photograph of a newly built brick bus shelter being given from the APEX Club to the community in February 1963, Mount Gambier.</t>
  </si>
  <si>
    <t>b21122313</t>
  </si>
  <si>
    <t>Photograph of twelve newly naturalised citizens after the ceremony on 29th January 1963, Mount Gambier.</t>
  </si>
  <si>
    <t>b21122325</t>
  </si>
  <si>
    <t>Photograph of the Mayor congratulating newly naturalised citizens and their families after the ceremony on 8th June 1962, Mount Gambier.</t>
  </si>
  <si>
    <t>b21122441</t>
  </si>
  <si>
    <t>Dickson Square Presentation</t>
  </si>
  <si>
    <t>Photograph of a plaque being unveiled  in Dickson Square in February 1963, Mount Gambier.</t>
  </si>
  <si>
    <t>Dickson Square (Mount Gambier, S.A.)</t>
  </si>
  <si>
    <t>b21125314</t>
  </si>
  <si>
    <t>Taking in the washing</t>
  </si>
  <si>
    <t>Photograph of (left to right) Brian, Gillian, Marie, Nancy, Patrica (Pat), Claire Abfaltor gathering in the football jumpers from the washing line. Photograph was taken in September 1963, Mount Gambier.</t>
  </si>
  <si>
    <t>Abfaltor (Family);Australian football</t>
  </si>
  <si>
    <t>b21125326</t>
  </si>
  <si>
    <t>Mrs Kentish</t>
  </si>
  <si>
    <t>Photograph of Mrs Kentish working on her tapestry in January 1963, Mount Gambier.</t>
  </si>
  <si>
    <t>Kentish, Mrs;Tapestry -- South Australia -- Mount Gambier</t>
  </si>
  <si>
    <t>b21125338</t>
  </si>
  <si>
    <t>W. J. White</t>
  </si>
  <si>
    <t>Photograph of Mr W.J. White showing visitors to the National Trust exhibition some items of historical interest, on 27th March 1963, Mount Gambier.</t>
  </si>
  <si>
    <t>White, W. J.;National Trust of South Australia</t>
  </si>
  <si>
    <t>b2112534x</t>
  </si>
  <si>
    <t>Photograph of Mr J. Johnson and Mr R. Kirby and another man consulting legislation at the District council in June 1963, Mount Gambier.</t>
  </si>
  <si>
    <t>Kirby, R.;Johnson, J.;Mount Gambier (S.A. : District). Council;Local government -- South Australia -- Mount Gambier</t>
  </si>
  <si>
    <t>b21125351</t>
  </si>
  <si>
    <t>Photograph of Mr K. Laught presenting an award to Mr W. White at the Post Office on 22nd February 1963, Mount Gambier.</t>
  </si>
  <si>
    <t>White, W.;Laught, K. A. (Keith Alexander), 1907-1969;Post office buildings -- South Australia -- Mount Gambier</t>
  </si>
  <si>
    <t>b21125363</t>
  </si>
  <si>
    <t>H. Hirth and family</t>
  </si>
  <si>
    <t>Photograph of Mr H. Hirth and his family cutting a celebratory cake in March 1963, Mount Gambier. From left to right: Ruby Hirth, Nancy Abfalter, Pat Abfalter, Harry Hirth, Mel Hirth, Gillian Hirth, Debbie Hirth (child), and Norm Hirth.</t>
  </si>
  <si>
    <t>Abfalter, Nancy;Abfalter, Pat;Hirth, H.;Hirth (Family)</t>
  </si>
  <si>
    <t>b21128352</t>
  </si>
  <si>
    <t>Col Marks</t>
  </si>
  <si>
    <t>Photograph of Mr Col Marks, a Mount Gambier &amp; District Ambulance Officer for over 30 years.</t>
  </si>
  <si>
    <t>Marks, C.</t>
  </si>
  <si>
    <t>b21128364</t>
  </si>
  <si>
    <t>Photograph of Brian Pick, taken in the studio in Mount Gambier in 1963.</t>
  </si>
  <si>
    <t>b21140674</t>
  </si>
  <si>
    <t>A. Dohner</t>
  </si>
  <si>
    <t>Photograph of Mr and Mrs A. Dohner and their two sons and four daughters. Mrs Dohner is wearing a floral summer dress with a double strand of pearls.</t>
  </si>
  <si>
    <t>Dohner (Family)</t>
  </si>
  <si>
    <t>b21140686</t>
  </si>
  <si>
    <t>R. L. Lockwood</t>
  </si>
  <si>
    <t>Photograph of four generations of the Lockwood family taken in the studio in Mount Gambier in 1963. The great grandmother is holding the young baby.</t>
  </si>
  <si>
    <t>Lockwood (Family)</t>
  </si>
  <si>
    <t>b21116957</t>
  </si>
  <si>
    <t>Croquet Club</t>
  </si>
  <si>
    <t>[approximately 1963]</t>
  </si>
  <si>
    <t>Photograph of members of the Mount Gambier Croquet Club.</t>
  </si>
  <si>
    <t>b21100585</t>
  </si>
  <si>
    <t>Royal visit</t>
  </si>
  <si>
    <t>Photograph of the Queen and the Duke of Edinburgh photographed at the Returned Soldiers' Memorial at Vansittart Park, Mount Gambier, on 26 February 1964.</t>
  </si>
  <si>
    <t>Elizabeth II, Queen of Great Britain, 1926-;Philip, Prince, consort of Elizabeth II, Queen of Great Britain, 1921-;Royal visitors -- South Australia</t>
  </si>
  <si>
    <t>b21100627</t>
  </si>
  <si>
    <t>Cloud burst at Cave Gardens</t>
  </si>
  <si>
    <t>Photograph of cloud burst at Cave Gardens on 17th July 1964.</t>
  </si>
  <si>
    <t>b21100639</t>
  </si>
  <si>
    <t>Old tree Bay Road</t>
  </si>
  <si>
    <t>Photograph of old tree with fallen branches across Bay Road, Mount Gambier. Taken in March 1964.</t>
  </si>
  <si>
    <t>b21101255</t>
  </si>
  <si>
    <t>Man with yacht on trailer at Marks Lookout</t>
  </si>
  <si>
    <t>Looking west to a man with a boat on a trailer at Marks lookout, Mount Gambier. The Centenary Tower is in the background. 12th May 1964.</t>
  </si>
  <si>
    <t>Boats and Boating -- South Australia -- Mount Gambier</t>
  </si>
  <si>
    <t>b21101267</t>
  </si>
  <si>
    <t>Photograph of the Governor Sir Edric Bastyan and Mr S. Elliott, Mayor, standing in the bracken looking at scenery on 27th May 1964, Mount Gambier. The Centenary Tower is on the pinnacle of Mount Gambier behind them.</t>
  </si>
  <si>
    <t>Governors -- South Australia</t>
  </si>
  <si>
    <t>b21105042</t>
  </si>
  <si>
    <t>Apprentice of the Year 1964</t>
  </si>
  <si>
    <t>Photograph of Apprentice of Year for 1964, Dale Grant Aslin, using electrical equipment, December 1964.</t>
  </si>
  <si>
    <t>Aslin, Dale Grant;Apprentices -- South Australia -- Mount Gambier;Electric machinery</t>
  </si>
  <si>
    <t>b21105078</t>
  </si>
  <si>
    <t>Technical High School</t>
  </si>
  <si>
    <t>Photograph of a metalwork student at the Technical High School in September 1964.</t>
  </si>
  <si>
    <t>Metal work;Technical High School (Mount Gambier, S.A.)</t>
  </si>
  <si>
    <t>b21177351</t>
  </si>
  <si>
    <t>Adam Lindsay Gordon Centenary</t>
  </si>
  <si>
    <t>Photograph of a man addressing a crowd in a park as part of the Adam Lindsay Gordon Centenary celebrations, probably in March 1964.</t>
  </si>
  <si>
    <t>Gordon, Adam Lindsay, 1833-1870 -- Anniversaries, etc.;Parks -- South Australia -- Mount Gambier</t>
  </si>
  <si>
    <t>b21109163</t>
  </si>
  <si>
    <t>Ansett School Flights</t>
  </si>
  <si>
    <t>Photograph of three students being shown the cockpit during the Ansett School Flights in June 1964.</t>
  </si>
  <si>
    <t>Ansett Airlines of Australia;Airplanes -- South Australia -- Mount Gambier;School children -- South Australia -- Mount Gambier</t>
  </si>
  <si>
    <t>b21109175</t>
  </si>
  <si>
    <t>Teenage Dance</t>
  </si>
  <si>
    <t>Photograph of six teenagers enjoying soft drinks during the teenage dance in July 1964, Mount Gambier.</t>
  </si>
  <si>
    <t>Teenagers -- South Australia -- Mount Gambier;Dance -- South Australia -- Mount Gambier</t>
  </si>
  <si>
    <t>b21109199</t>
  </si>
  <si>
    <t>Mount Gambier Technical High School</t>
  </si>
  <si>
    <t>Photograph of five winners of events, possibly cooking events, at the Mount Gambier Technical High School in 1964.</t>
  </si>
  <si>
    <t>Mount Gambier Technical High School;High schools -- South Australia -- Mount Gambier;Awards -- South Australia -- Mount Gambier;Students -- South Australia -- Mount Gambier</t>
  </si>
  <si>
    <t>b21109205</t>
  </si>
  <si>
    <t>Competitors at the Hunt Club</t>
  </si>
  <si>
    <t>Photograph of four competitors - (from left) Mary Neale, Teresa Neale and Richard Neale, youngest children of Roy and Jean Neale - enjoying a snack during events at the Hunt Club in 1964, Mount Gambier.</t>
  </si>
  <si>
    <t>Neale (Family);Mount Gambier Hunt Club;Horsemen and horsewomen -- South Australia -- Mount Gambier</t>
  </si>
  <si>
    <t>b21109217</t>
  </si>
  <si>
    <t>Photograph of young members of the Vultures Basketball Team having a pep talk at the YMCA in August 1964, Mount Gambier.</t>
  </si>
  <si>
    <t>Basketball players -- South Australia -- Mount Gambier;Young Men's Christian associations -- South Australia -- Mount Gambier</t>
  </si>
  <si>
    <t>b21109229</t>
  </si>
  <si>
    <t>Photograph of a group of teenage boys being presented with a trophy at the YMCA in May 1964, Mount Gambier.</t>
  </si>
  <si>
    <t>Young Men's Christian associations -- South Australia -- Mount Gambier;Awards -- South Australia -- Mount Gambier;Teenagers -- South Australia -- Mount Gambier</t>
  </si>
  <si>
    <t>b21108511</t>
  </si>
  <si>
    <t>Photograph of teenagers receiving a trophy at the YMCA in May 1964.</t>
  </si>
  <si>
    <t>Teenagers -- South Australia -- Mount Gambier;Awards -- South Australia -- Mount Gambier;Young Men's Christian associations -- South Australia -- Mount Gambier</t>
  </si>
  <si>
    <t>b21109230</t>
  </si>
  <si>
    <t>Photograph of representatives from Rural Youth with dignitaries at an event in May 1964, Mount Gambier.</t>
  </si>
  <si>
    <t>Rural Youth Movement of South Australia;Rural Youth -- South Australia -- Societies, etc.</t>
  </si>
  <si>
    <t>b21109242</t>
  </si>
  <si>
    <t>St. Martins Kindergarten</t>
  </si>
  <si>
    <t>Photograph of children and teachers playing with toys at St. Martins Kindergarten in July 1964, Mount Gambier.</t>
  </si>
  <si>
    <t>St. Martins Kindergarten (Mount Gambier, S.A.);Kindergarten facilities -- South Australia -- Mount Gambier;Teachers -- South Australia -- Mount Gambier;Children -- South Australia -- Mount Gambier</t>
  </si>
  <si>
    <t>b21109254</t>
  </si>
  <si>
    <t>Photograph of young boys from the Spartans Basketball Team at the YMCA in August 1964.</t>
  </si>
  <si>
    <t>Young Men's Christian associations -- South Australia -- Mount Gambier;Basketball players -- South Australia -- Mount Gambier</t>
  </si>
  <si>
    <t>b21109266</t>
  </si>
  <si>
    <t>Photograph of children from St. Martins Kindergarten being read a story by their teacher in July 1964, Mount Gambier.</t>
  </si>
  <si>
    <t>b21109308</t>
  </si>
  <si>
    <t>Lutheran Kindergarten</t>
  </si>
  <si>
    <t>Photograph of six Lutheran Kindergarten students playing percussion instruments in October 1964, Mount Gambier.</t>
  </si>
  <si>
    <t>Kindergarten facilities -- South Australia -- Mount Gambier;Percussion ensembles;Children -- South Australia -- Mount Gambier</t>
  </si>
  <si>
    <t>b21109357</t>
  </si>
  <si>
    <t>Technical High School YMCA</t>
  </si>
  <si>
    <t>Photograph of four students and a teacher from the Mount Gambier Technical High School on 9th April 1964. The student in the prefect jacket is Ian Attiwill. (information supplied by a researcher).</t>
  </si>
  <si>
    <t>Mount Gambier Technical High School;Students -- South Australia -- Mount Gambier;Teachers -- South Australia -- Mount Gambier;High schools -- South Australia -- Mount Gambier</t>
  </si>
  <si>
    <t>b21109369</t>
  </si>
  <si>
    <t>High School actors</t>
  </si>
  <si>
    <t>Photograph of four actors from the cast of the Mount Gambier High School play in September 1964. They include David Ashton, Helena Trevor, and Diane Williams, when they appeared in Shakespeare's 'The Merchant of Venice'.</t>
  </si>
  <si>
    <t>High schools -- South Australia -- Mount Gambier;Students -- South Australia -- Mount Gambier;Costume -- South Australia -- Mount Gambier;Amateur theater -- South Australia -- Mount Gambier</t>
  </si>
  <si>
    <t>b21109382</t>
  </si>
  <si>
    <t>Photograph of six marching girls with their instructor in February 1964, Mount Gambier. According to a researcher, the girl with the whistle is Linda Sutherland and the woman next to her probably her mother and team chaperone, Mrs. J. R. Sutherland. This Mt Gambier team were called the 'Robertaires' and this was their first competition.</t>
  </si>
  <si>
    <t>b21110153</t>
  </si>
  <si>
    <t>Nelson</t>
  </si>
  <si>
    <t>Aerial photograph of the construction of the bridge over the Glenelg River at Nelson in 1964.</t>
  </si>
  <si>
    <t>Bridges -- Victoria -- Design and construction;Glenelg River (Vic.)</t>
  </si>
  <si>
    <t>b21110165</t>
  </si>
  <si>
    <t>Field Show</t>
  </si>
  <si>
    <t>Photograph of a harvester and tractor possibly at a field day or agricultural show in 1964.</t>
  </si>
  <si>
    <t>Agricultural exhibitions -- South Australia -- Mount Gambier;Agricultural machinery -- Harvesters -- South Australia;Tractors</t>
  </si>
  <si>
    <t>b21110177</t>
  </si>
  <si>
    <t>Panel Board Expansion</t>
  </si>
  <si>
    <t>Photograph of two men  looking at plans of the Panel Board Expansion project on 9th April 1964, Mount Gambier.</t>
  </si>
  <si>
    <t>Architecture -- South Australia</t>
  </si>
  <si>
    <t>b21110189</t>
  </si>
  <si>
    <t>Photograph of the Governor receiving an explanation about  machinery during the Governor's visit on 27th May 1954.</t>
  </si>
  <si>
    <t>b21110190</t>
  </si>
  <si>
    <t>Miss Industry, Kaylene Mudford.</t>
  </si>
  <si>
    <t>Photograph of the finalists and winner of the Miss Industry award. The winner was Miss Kaylene Mudford. The competition was in March 1964, Mount Gambier.</t>
  </si>
  <si>
    <t>Women -- South Australia -- Mount Gambier;Beauty contests -- South Australia -- Mount Gambier</t>
  </si>
  <si>
    <t>b2111075x</t>
  </si>
  <si>
    <t>Photograph of the Governor and others inspecting a potato picking machine on 27th May 1964, Mount Gambier.</t>
  </si>
  <si>
    <t>Bastyan, Edric Montague, Sir, 1903-1980;Visits of state -- South Australia -- Mount Gambier;Potatoes -- South Australia -- Mount Gambier;Governors -- South Australia</t>
  </si>
  <si>
    <t>b21110761</t>
  </si>
  <si>
    <t>b21110773</t>
  </si>
  <si>
    <t>Pig Sales</t>
  </si>
  <si>
    <t>Photograph of three farmers inspecting a pig at the Pig Sales in March 1964, Mount Gambier.</t>
  </si>
  <si>
    <t>Swine -- South Australia -- Mount Gambier;Farmers -- South Australia -- Mount Gambier</t>
  </si>
  <si>
    <t>b21110785</t>
  </si>
  <si>
    <t>Potato Board members presenting cup to R. Telfer</t>
  </si>
  <si>
    <t>Photograph of Potato Board Representatives, L-R: Robert 'Bob' Beck, Greg Botting, and Gilbert 'Gill' Myer  presenting a cup to Ronald 'Ron' Telfer from Glencoe for his superior potatoes, July 1964.</t>
  </si>
  <si>
    <t>Beck, Robert George, 1919-2004;Botting, Greg;Myer, Gilbert;Telfer, Ronald;Potatoes -- South Australia -- Mount Gambier -- Marketing;Awards -- South Australia -- Mount Gambier</t>
  </si>
  <si>
    <t>b21118528</t>
  </si>
  <si>
    <t>Lions Club President</t>
  </si>
  <si>
    <t>Photograph of Eric Roughana from the Timber Industry Management meeting the Lions Club President on 14th July 1964, Mount Gambier.</t>
  </si>
  <si>
    <t>Roughana, Eric Joseph, 1926-;Lions Club of Mount Gambier</t>
  </si>
  <si>
    <t>b21118541</t>
  </si>
  <si>
    <t>Lions - Hospital Presentation</t>
  </si>
  <si>
    <t>Photograph of a lady being given an x-ray using the new machine presented to the Hospital by the Lions Club in July 1964, Mount Gambier.</t>
  </si>
  <si>
    <t>Lions Club of Mount Gambier;Radiography, Medical -- South Australia -- Mount Gambier;X-rays -- Equipment and supplies</t>
  </si>
  <si>
    <t>b21118565</t>
  </si>
  <si>
    <t>APEX club</t>
  </si>
  <si>
    <t>Photograph of four men from the APEX Club looking at a trophy in September 1964, Mount Gambier.</t>
  </si>
  <si>
    <t>b21118589</t>
  </si>
  <si>
    <t>CWA Presentation</t>
  </si>
  <si>
    <t>Photograph of four members of the Country Women's Association admiring a blanket naming South Australian towns, December 1964, Mount Gambier.</t>
  </si>
  <si>
    <t>b21118632</t>
  </si>
  <si>
    <t>Toastmaster</t>
  </si>
  <si>
    <t>Photograph of a group of men on the tarmac at the airport greeting a visitor on 6th May 1964.</t>
  </si>
  <si>
    <t>Orators -- South Australia</t>
  </si>
  <si>
    <t>b21118644</t>
  </si>
  <si>
    <t>Photograph of a group residents playing carpet bowls at Boandik Lodge on 18th April 1964, Mount Gambier.</t>
  </si>
  <si>
    <t>b21118656</t>
  </si>
  <si>
    <t>JayCee cheque to St. John</t>
  </si>
  <si>
    <t>Photograph of the occasion on 4th February 1964 when a cheque was presented to St. John Ambulance from the JayCees Club, Mount Gambier.</t>
  </si>
  <si>
    <t>Mount Gambier Jaycees;St. John Ambulance Brigade (Australia). South Australia District</t>
  </si>
  <si>
    <t>b2118026x</t>
  </si>
  <si>
    <t>J.C. Swimming Shield</t>
  </si>
  <si>
    <t>Photograph of two student recipients being awarded Swimming Shields by the JayCee Club in March 1964, Mount Gambier.</t>
  </si>
  <si>
    <t>Mount Gambier Jaycees;Swimmers -- South Australia -- Mount Gambier</t>
  </si>
  <si>
    <t>b21182383</t>
  </si>
  <si>
    <t>Apex award</t>
  </si>
  <si>
    <t>Negative (acetate)  12 cm x 9.5 cm</t>
  </si>
  <si>
    <t>One man being presented with an award by Mirians Karklins (auto engineer and Apex president 1958-1960), with an Apex trophy on the table in front of them.</t>
  </si>
  <si>
    <t>Karklins, Mirians;Apex Club of Mount Gambier</t>
  </si>
  <si>
    <t>b21180313</t>
  </si>
  <si>
    <t>Ex-Apexian night</t>
  </si>
  <si>
    <t>Photograph of five men from the APEX Club chatting to an ex-Apexian in July 1964, Mount Gambier. The men in front are Messrs R. Clark, J. Dohle and J. Temby.</t>
  </si>
  <si>
    <t>b2111867x</t>
  </si>
  <si>
    <t>J.C. Swimming Shield presentation</t>
  </si>
  <si>
    <t>Photograph of two students, Alison Rowe and Donald Ross, at the High School swimming carnival, being awarded swimming shields by the JayCee Club in March 1964, Mount Gambier.</t>
  </si>
  <si>
    <t>Ross, Donald;Rowe, Alison;Swimmers -- South Australia -- Mount Gambier</t>
  </si>
  <si>
    <t>b21119429</t>
  </si>
  <si>
    <t>Photograph of a child patient in hospital being shown equipment donated by the Lions Club in July 1964, Mount Gambier.</t>
  </si>
  <si>
    <t>Lions Club of Mount Gambier;Hospitals -- South Australia -- Mount Gambier</t>
  </si>
  <si>
    <t>b21119466</t>
  </si>
  <si>
    <t>YMCA Group</t>
  </si>
  <si>
    <t>Photograph of a large group of boys outside the YMCA Building in Mount Gambier on 19th May 1964.</t>
  </si>
  <si>
    <t>b21119740</t>
  </si>
  <si>
    <t>Photograph of two lady golfers on the Golf Course in July 1964, Mount Gambier.</t>
  </si>
  <si>
    <t>b21119752</t>
  </si>
  <si>
    <t>Photograph of four male indoor bowlers checking their scores on 16th July 1964, Mount Gambier.</t>
  </si>
  <si>
    <t>b21181202</t>
  </si>
  <si>
    <t>Photograph of two lady golfers with their score card in July 1964, Mount Gambier. The lady on the right is Miss Marjory 'Marcie' Varcoe.</t>
  </si>
  <si>
    <t>b21119764</t>
  </si>
  <si>
    <t>Photograph of three men discussing indoor bowls on 16th July 1964, Mount Gambier.</t>
  </si>
  <si>
    <t>b21119776</t>
  </si>
  <si>
    <t>Photograph of owners, rider and horse at the Hunt Club in 1964, Mount Gambier.</t>
  </si>
  <si>
    <t>b21119788</t>
  </si>
  <si>
    <t>RSL Bowls</t>
  </si>
  <si>
    <t>Photograph of five lady bowlers in colonial costumes at the RSL Bowls Competition in April 1964, Mount Gambier.</t>
  </si>
  <si>
    <t>Lawn bowls -- South Australia -- Mount Gambier;Bowls (Game) -- South Australia -- Mount Gambier;Costume -- South Australia -- Mount Gambier</t>
  </si>
  <si>
    <t>b21180295</t>
  </si>
  <si>
    <t>Yacht Club</t>
  </si>
  <si>
    <t>Five men with a boat on a trailer at Marks Lookout, Mount Gambier on 12th May 1964. The man on left of the photo is David John. The man on the right is Ken Cuthbertson.</t>
  </si>
  <si>
    <t>Cuthbertson, Ken;John, David;Boats and Boating -- South Australia -- Mount Gambier</t>
  </si>
  <si>
    <t>b21180301</t>
  </si>
  <si>
    <t>MBHA Golf Day</t>
  </si>
  <si>
    <t>Photograph of a group of ladies enjoying a glass of sherry before having lunch during the MBHA Golf Day on 12th May 1964, Mount Gambier.</t>
  </si>
  <si>
    <t>b2111979x</t>
  </si>
  <si>
    <t>Photograph of three men measuring the distance between bowls during an indoor bowls competition.</t>
  </si>
  <si>
    <t>b21119806</t>
  </si>
  <si>
    <t>Photograph of a group of lady golfers enjoying a glass of sherry before having lunch during the MBHA Golf Day on 12th May 1964, Mount Gambier.</t>
  </si>
  <si>
    <t>b21119818</t>
  </si>
  <si>
    <t>Photograph of riders and families during an event at the Hunt Club in 1964, Mount Gambier.</t>
  </si>
  <si>
    <t>Horse racing -- South Australia -- Mount Gambier;Horsemen and horsewomen -- South Australia -- Mount Gambier</t>
  </si>
  <si>
    <t>b2111982x</t>
  </si>
  <si>
    <t>Photograph of lady bowlers dressed in period costumes at a RSL Bowls Day in April 1964, Mount Gambier.</t>
  </si>
  <si>
    <t>b21119831</t>
  </si>
  <si>
    <t>Photograph of youths receiving tuition in table tennis on 28th April 1964, Mount Gambier.</t>
  </si>
  <si>
    <t>b21119843</t>
  </si>
  <si>
    <t>Photograph of team of four lady bowlers looking at prizes at the Mount Gambier Bowling Club in April 1964.</t>
  </si>
  <si>
    <t>b21119855</t>
  </si>
  <si>
    <t>Paraplegic Games</t>
  </si>
  <si>
    <t>Photograph of team of paraplegic sportsmen playing basketball in January 1964, Mount Gambier.</t>
  </si>
  <si>
    <t>Sports for people with disabilities -- South Australia -- Mount Gambier;Wheelchair sports -- South Australia -- Mount Gambier</t>
  </si>
  <si>
    <t>b21119867</t>
  </si>
  <si>
    <t>Photograph of winners of the New Years Day Sports Dancing Competition in Mount Gambier 1964. The two male dancers are in sailor costumes.</t>
  </si>
  <si>
    <t>New Year -- South Australia -- Mount Gambier;Dancers -- South Australia -- Mount Gambier</t>
  </si>
  <si>
    <t>b21119879</t>
  </si>
  <si>
    <t>Photograph of four lady croquet players playing a game in January 1964, Mount Gambier.</t>
  </si>
  <si>
    <t>b21119880</t>
  </si>
  <si>
    <t>Photograph of three golfers checking their scores after a game on 13th June 1964, Mount Gambier.</t>
  </si>
  <si>
    <t>b21119892</t>
  </si>
  <si>
    <t>Photograph of seven lady bowlers with their prizes after the prize giving in April 1964, Mount Gambier.</t>
  </si>
  <si>
    <t>b21119909</t>
  </si>
  <si>
    <t>Photograph of a man and a two ladies playing golf in January 1964, Mount Gambier.</t>
  </si>
  <si>
    <t>b21181214</t>
  </si>
  <si>
    <t>Photograph of three lady golfers and a gentleman in January 1964, Mount Gambier.</t>
  </si>
  <si>
    <t>b21119910</t>
  </si>
  <si>
    <t>BP Rally Preparations</t>
  </si>
  <si>
    <t>Photograph of four organisers looking at a map during the BP Rally preparations on 24th April 1964, Mount Gambier. L to R: N Batters, L B Rees, R J Cameron, J Whittick. (Photograph appeared in the 'Border Watch' on 28 April 1964).</t>
  </si>
  <si>
    <t>British Petroleum Company;Automobile rallies -- South Australia -- Mount Gambier</t>
  </si>
  <si>
    <t>b21119922</t>
  </si>
  <si>
    <t>Photograph of three paraplegic sportsmen with a helper during an archery tournament in January 1964, Mount Gambier.</t>
  </si>
  <si>
    <t>b21119934</t>
  </si>
  <si>
    <t>Photograph of five men, four of whom are in kilts during the New Years Day Sports in 1964.</t>
  </si>
  <si>
    <t>b21119946</t>
  </si>
  <si>
    <t>Photograph of four highland dancers and a piper performing during the New Years Day celebrations in 1964.</t>
  </si>
  <si>
    <t>b21119958</t>
  </si>
  <si>
    <t>Marching girls' judges having tea</t>
  </si>
  <si>
    <t>Photograph of marching girls' officials receiving a cup of tea during the State Championships in February 1964, Mount Gambier. The tea is being poured by Mrs. Carter. The other people are A. Hemly, M. Salter, A. Comly, J. Gilroy, L. Williams and A. Berkin.</t>
  </si>
  <si>
    <t>b2111996x</t>
  </si>
  <si>
    <t>Photograph of five marching girls, K. Mavensnewski, S. Mildenhall, C. Awith, S. Colley and J. Gallagher of the Woodville Regal Stars, in their uniforms, talking to Mrs D. Freak in February 1964, Mount Gambier. They are the junior team, aged 12 to 15. The team wore green jackets and gold skirts.</t>
  </si>
  <si>
    <t>b21119971</t>
  </si>
  <si>
    <t>Photograph of five athletes being congratulated after the New Years Day Sports in 1964, Mount Gambier.</t>
  </si>
  <si>
    <t>b21119983</t>
  </si>
  <si>
    <t>Bowls Tournament</t>
  </si>
  <si>
    <t>Photograph of five male bowlers representing Millicent, Hamilton and Mount Gambier during the Bowls Tournaments in 1964.</t>
  </si>
  <si>
    <t>b21119995</t>
  </si>
  <si>
    <t>Photograph of four male bowlers representing Penola and Mount Gambier during the Bowls Tournaments in December 1964.</t>
  </si>
  <si>
    <t>b21120006</t>
  </si>
  <si>
    <t>Photograph of the junior baseball team with their coach in September 1964, Mount Gambier.</t>
  </si>
  <si>
    <t>b21120018</t>
  </si>
  <si>
    <t>Bowls Tournaments</t>
  </si>
  <si>
    <t>Photograph of four male bowlers measuring the distance between bowls during the Bowls Tournament in December 1964, Mount Gambier.</t>
  </si>
  <si>
    <t>b2112002x</t>
  </si>
  <si>
    <t>Photograph of four male bowlers taking part in the Bowls Tournament in December 1964, Mount Gambier.</t>
  </si>
  <si>
    <t>b21120031</t>
  </si>
  <si>
    <t>Photograph of six young male baseball players after a baseball game in September 1964, Mount Gambier.</t>
  </si>
  <si>
    <t>b21120043</t>
  </si>
  <si>
    <t>Photograph of two teenage table tennis players with an umpire admiring a trophy in August 1964, Mount Gambier.</t>
  </si>
  <si>
    <t>b21120912</t>
  </si>
  <si>
    <t>Photograph of a group of nine debutantes at the Highland Ball in 1964.</t>
  </si>
  <si>
    <t>b21180519</t>
  </si>
  <si>
    <t>D. Roeger, Town Clerk</t>
  </si>
  <si>
    <t>Photograph of town clerk Mr. D. Roeger standing beside a tree with the new gardener on 5th February 1964.</t>
  </si>
  <si>
    <t>Roeger, D.;Town clerks -- South Australia -- Mount Gambier;Gardening -- South Australia -- Mount Gambier</t>
  </si>
  <si>
    <t>b21125181</t>
  </si>
  <si>
    <t>E. Aston</t>
  </si>
  <si>
    <t>Photograph of Police Inspector Mr E. Aston at his desk in July 1964, Mount Gambier.</t>
  </si>
  <si>
    <t>Aston, E.;Police -- South Australia -- Mount Gambier</t>
  </si>
  <si>
    <t>b21125193</t>
  </si>
  <si>
    <t>Lion's Lookout, Mount Gambier</t>
  </si>
  <si>
    <t>Photograph of Mr E. Roughana, Mr Mel (Melmoth Roland) Hirth, Mr S. Elliott and Mrs I. Bishop at the Lion's Lookout in Mount Gambier on 22nd December 1964.</t>
  </si>
  <si>
    <t>Bishop, Lenore, 1919-;Elliott, Stanley Hamilton, 1910-1990;Hirth, Melmoth Roland;Roughana, E.;Lion's Lookout (Mount Gambier, S.A.)</t>
  </si>
  <si>
    <t>b2112520x</t>
  </si>
  <si>
    <t>Lion's Lookout Mount Gambier</t>
  </si>
  <si>
    <t>Photograph of Mr E. Roughana, Mrs. L. Bishop and Mr S. Elliott at the Lion's Lookout in Mount Gambier on 22nd December 1964.</t>
  </si>
  <si>
    <t>Elliott, Stanley Hamilton, 1910-1990;Bishop, L.;Roughana, E.;Lion's Lookout (Mount Gambier, S.A.)</t>
  </si>
  <si>
    <t>b21125223</t>
  </si>
  <si>
    <t>Messrs Simpson and Pegler</t>
  </si>
  <si>
    <t>Photograph of Mr Ralph Simpson and Mr W.J.Pegler, executives of the SE Land &amp; Mercantile Ltd, December 1964, Mount Gambier.</t>
  </si>
  <si>
    <t>Pegler, W. J.;Simpson, Ralph</t>
  </si>
  <si>
    <t>b21125235</t>
  </si>
  <si>
    <t>Mr Burton and Mr H. Hirth</t>
  </si>
  <si>
    <t>Photograph of Mr Burton and Harry Hirth drinking a toast at a celebration on 15th July 1964, Mount Gambier.</t>
  </si>
  <si>
    <t>Burton, Mr;Hirth, Karl Heinrich</t>
  </si>
  <si>
    <t>b21125272</t>
  </si>
  <si>
    <t>Allison Family</t>
  </si>
  <si>
    <t>The Allison Family. Standing L-R Mr Allison Snr, Maude Allison, and husband Harold Allison (Mount Gambier High School teacher and M.P. for Mount Gambier 1975 to 1997). Front L-R Mary Allison (daughter of Mr Allison Snr. and sister of Harold), Mrs Allison Snr. This family were born in England and migrated to Australia.</t>
  </si>
  <si>
    <t>Allison, H. (Harold);Allison, Maude;Allison (Family)</t>
  </si>
  <si>
    <t>b21125284</t>
  </si>
  <si>
    <t>Photograph of Mr R. Kay and Mr J. Hopgood with another man consulting a chart during a meeting at the Chamber of Commerce on 30th July 1964, Mount Gambier.</t>
  </si>
  <si>
    <t>Kay, R.;Hopgood, J.;Chamber of Commerce and Industry South Australia</t>
  </si>
  <si>
    <t>b21125296</t>
  </si>
  <si>
    <t>C. Edkins Art Award</t>
  </si>
  <si>
    <t>Photograph of Dr. Guy Robertson with Miss Cathleen Edkins, recipient of the Art Award on 16th June 1964, Mount Gambier.</t>
  </si>
  <si>
    <t>Robertson, Guy, Dr;Edkins, Cathleen Elizabeth, 1922-;Women artists -- South Australia -- Mount Gambier -- Exhibitions;Art -- Awards -- South Australia -- Mount Gambier</t>
  </si>
  <si>
    <t>b21128236</t>
  </si>
  <si>
    <t>J. Holland</t>
  </si>
  <si>
    <t>Photograph of Mr John Holland taken in the studio in Mount Gambier in 1964.</t>
  </si>
  <si>
    <t>Holland, John</t>
  </si>
  <si>
    <t>b21128339</t>
  </si>
  <si>
    <t>A.G. Sealey</t>
  </si>
  <si>
    <t>Photograph of Mr A.G. Sealey taken in the studio in Mount Gambier in 1964.</t>
  </si>
  <si>
    <t>Sealey, A. G.</t>
  </si>
  <si>
    <t>b21128340</t>
  </si>
  <si>
    <t>Photograph of Mr A. Weir taken in the studio in Mount Gambier in 1964.</t>
  </si>
  <si>
    <t>b21140662</t>
  </si>
  <si>
    <t>A.R. Malseed</t>
  </si>
  <si>
    <t>Photograph of Mr and Mrs A.R. Malseed and their two young daughters. The girls are about three months and two years of age. The baby is wearing a lace baby dress and her sister is wearing a frilled dress with puffed sleeves and a lace collar.</t>
  </si>
  <si>
    <t>Malseed, A. R.;Children -- South Australia -- Mount Gambier;Mothers -- South Australia -- Mount Gambier</t>
  </si>
  <si>
    <t>b21140728</t>
  </si>
  <si>
    <t>Photograph of the Mitchell family consisting of Mr and Mrs Mitchell and their two sons who are about seventeen and fifteen years old. Mrs Mitchell is wearing a lace dress and a pendant around her neck.</t>
  </si>
  <si>
    <t>Mitchell, J.</t>
  </si>
  <si>
    <t>b30138140</t>
  </si>
  <si>
    <t>1 photograph : acetate, negative, black and white   4.1 x 6.2 cm;RESERVE 1 negatives;still image sti rdacontent;unmediated n rdamedia;sheet nb rdacarrier</t>
  </si>
  <si>
    <t>View of ships at Port Adelaide. Hart's Mill can be seen. To see a selection of photographs in this collection, search on Archival number PRG 1642/13.</t>
  </si>
  <si>
    <t>b30138188</t>
  </si>
  <si>
    <t>People at Woodville</t>
  </si>
  <si>
    <t>1 photograph : acetate, negative, black and white   4.1 x 6.3 cm;RESERVE 1 negatives;still image sti rdacontent;unmediated n rdamedia;sheet nb rdacarrier</t>
  </si>
  <si>
    <t>Elderly couple and a woman standing in the garden of a house at Woodville. To see a selection of photographs in this collection, search on Archival number PRG 1642/13.</t>
  </si>
  <si>
    <t>Woodville (S.A.)</t>
  </si>
  <si>
    <t>Vernon Smith Collection;Woodville Collection</t>
  </si>
  <si>
    <t>b30138218</t>
  </si>
  <si>
    <t>1 photograph : acetate, negative, black and white   4.1 x 6.4 cm;RESERVE 1 negatives;still image sti rdacontent;unmediated n rdamedia;sheet nb rdacarrier</t>
  </si>
  <si>
    <t>Elderly couple, a woman and Vernon Smith standing in the garden of a house at Woodville. To see a selection of photographs in this collection, search on Archival number PRG 1642/13.</t>
  </si>
  <si>
    <t>Smith, Vernon (Vernon Spottiswoode), 1875-1975;Woodville (S.A.)</t>
  </si>
  <si>
    <t>b29398666</t>
  </si>
  <si>
    <t>St James Basketball Club</t>
  </si>
  <si>
    <t>1 photograph : black and white   20.2 x 30.5 cm, on mount 30.4 x 38.2 cm;RESERVE 11;still image sti rdacontent;unmediated n rdamedia;sheet nb rdacarrier</t>
  </si>
  <si>
    <t>Photograph of  the 'St. James Basketball Club - Premiers 1964 - Grade K2'. Back row (from left): L. Williams (Coach), H. Coulter, M. Bevan, L. Polkinghorne, C. Jamieson, T. Wade (Umpire). Front row: Y. Wade, M. Williams (Capt.), Fr Suterland (Parish Priest), P. Williams (Sec.), S. Polkinghorne.</t>
  </si>
  <si>
    <t>Basketball players -- South Australia -- Mile End</t>
  </si>
  <si>
    <t>Mile End Collection</t>
  </si>
  <si>
    <t>b29241236</t>
  </si>
  <si>
    <t>South African Campaign Memorial</t>
  </si>
  <si>
    <t>Photograph (black and white print)  24.7 cm x 19.6 cm;still image sti rdacontent;unmediated n rdamedia;sheet nb rdacarrier</t>
  </si>
  <si>
    <t>South African Campaign Memorial, at St. Peter's Cathedral. The photograph is marking the South African War Veterans' dinner, 17 December 1964, and was donated to Cathedral Records by Captain H.A. Fyfe.</t>
  </si>
  <si>
    <t>St. Peter's Cathedral (Adelaide, S.A.);Memorials -- South Australia -- Adelaide;South African War,1899-1902 -- Monuments -- South Australia -- Adelaide;North Adelaide (S.A.)</t>
  </si>
  <si>
    <t>b21113166</t>
  </si>
  <si>
    <t>Indian High Commissioner's Visit</t>
  </si>
  <si>
    <t>[approximately 1964]</t>
  </si>
  <si>
    <t>Photograph of the Indian High Commissioner with Mr. J. Forbes, Mr. R. Laught (or possibly Senator Keith Alexander Laught), and Mr S. Elliott during the Commissioner's visit to Mount Gambier.</t>
  </si>
  <si>
    <t>Elliott, Stanley Hamilton, 1910-1990;Laught, R.;Forbes, J.;India. High Commission (Australia);Visits of state -- South Australia -- Mount Gambier</t>
  </si>
  <si>
    <t>b21120389</t>
  </si>
  <si>
    <t>L. Bishop (Mayor)</t>
  </si>
  <si>
    <t>Photograph of Mrs. L. Bishop who was Mayor of Mount Gambier.</t>
  </si>
  <si>
    <t>Bishop, Lenore, 1919-;Mayors -- South Australia -- Mount Gambier</t>
  </si>
  <si>
    <t>b21125211</t>
  </si>
  <si>
    <t>Mr. R.J. Watson</t>
  </si>
  <si>
    <t>Photograph of Mr R.J. Watson with two men and three ladies standing on a verandah.</t>
  </si>
  <si>
    <t>b21125247</t>
  </si>
  <si>
    <t>Senator and Mrs K.A. Laught</t>
  </si>
  <si>
    <t>Photograph of Senator K.A. and Mrs J.F. Laught at their front gate in Mount Gambier.</t>
  </si>
  <si>
    <t>Laught, K. A. (Keith Alexander), 1907-1969;Laught, Josephine Faith, 1909-2008;Politicians -- South Australia</t>
  </si>
  <si>
    <t>b30276111</t>
  </si>
  <si>
    <t>Charles William South Junior</t>
  </si>
  <si>
    <t>1 electronic file (photograph) : black and white   14.6 x 9.5 cm;still image sti rdacontent;computer c rdamedia;online resource cr rdacarrier</t>
  </si>
  <si>
    <t>Charles William South, the first son of Charles William South Senior and Alice Nancy South (nee Johnson), as on older man, wearing the regalia of the Royal Order of Antediluvian Buffaloes.</t>
  </si>
  <si>
    <t>South, Charles William, 1904-;Royal Antediluvian Order of Buffaloes.;Men -- South Australia.</t>
  </si>
  <si>
    <t>b2107205x</t>
  </si>
  <si>
    <t>Achille Lauro</t>
  </si>
  <si>
    <t>Photograph  13.9 cm x 8.9 cm</t>
  </si>
  <si>
    <t>Achille Lauro (Ship);Ships</t>
  </si>
  <si>
    <t>b21100597</t>
  </si>
  <si>
    <t>Commercial Street West</t>
  </si>
  <si>
    <t>Photograph of Commercial Street West, Mount Gambier.</t>
  </si>
  <si>
    <t>b21100603</t>
  </si>
  <si>
    <t>Bowling near park</t>
  </si>
  <si>
    <t>Three children playing on bridge in Vansittart Park, December 1965. The Mount Gambier Bowling Club is in the background.</t>
  </si>
  <si>
    <t>Lawn bowls -- South Australia -- Mount Gambier;Parks -- South Australia -- Mount Gambier</t>
  </si>
  <si>
    <t>b21100615</t>
  </si>
  <si>
    <t>Motel Gambier</t>
  </si>
  <si>
    <t>Photograph of Motel Gambier and the Shell Service Station.</t>
  </si>
  <si>
    <t>Motels -- South Australia -- Mount Gambier</t>
  </si>
  <si>
    <t>b21100652</t>
  </si>
  <si>
    <t>Library site</t>
  </si>
  <si>
    <t>Photograph looking northwest with Wyatt St to the left and Penola Rd to the right, in  Mount Gambier, taken June 1965. A library was subsequently built on this corner. That  building still stands, but is no longer used as a library.</t>
  </si>
  <si>
    <t>b21105923</t>
  </si>
  <si>
    <t>Photograph of the Governor inspecting the troops in October 1965, Mount Gambier.</t>
  </si>
  <si>
    <t>Governors -- South Australia;Soldiers -- South Australia -- Mount Gambier</t>
  </si>
  <si>
    <t>b21105935</t>
  </si>
  <si>
    <t>Cellulose Ball</t>
  </si>
  <si>
    <t>Photograph of Miss Janet Williams, the Belle of the Cellulose Ball, being presented with a prize and a sash in September 1965. Phil Ryan of Millicent is holding her prize.</t>
  </si>
  <si>
    <t>Williams, Janet;Balls (Parties) -- South Australia -- Mount Gambier</t>
  </si>
  <si>
    <t>b21105947</t>
  </si>
  <si>
    <t>Photograph of members of the Good Neighbour Association at a function on 9th April 1965.</t>
  </si>
  <si>
    <t>b21105959</t>
  </si>
  <si>
    <t>Photograph of revellers at the Cellulose Ball in September 1965.</t>
  </si>
  <si>
    <t>b21105984</t>
  </si>
  <si>
    <t>Photograph of horse riders and their family during the1965 Mount Gambier Show.</t>
  </si>
  <si>
    <t>Mount Gambier Agricultural and Horticultural Society;Agricultural exhibitions -- South Australia -- Mount Gambier;Horsemen and horsewomen -- South Australia -- Mount Gambier</t>
  </si>
  <si>
    <t>b21109102</t>
  </si>
  <si>
    <t>High School - Glossop visit</t>
  </si>
  <si>
    <t>Photograph of a four High School students being presented with a cup during the Glossop Visit in July 1965.</t>
  </si>
  <si>
    <t>High schools -- South Australia -- Glossop;Students -- South Australia -- Glossop;Awards -- South Australia -- Glossop</t>
  </si>
  <si>
    <t>b21109114</t>
  </si>
  <si>
    <t>High School visit</t>
  </si>
  <si>
    <t>Photograph of a many students gathered together during a visit to the High School, possibly by students from Glossop High School in July 1965.</t>
  </si>
  <si>
    <t>High schools -- South Australia -- Glossop;Students -- South Australia -- Glossop</t>
  </si>
  <si>
    <t>b21109126</t>
  </si>
  <si>
    <t>Swimming Club</t>
  </si>
  <si>
    <t>Photograph of eleven young children from the Swimming Club preparing to dive into the swimming pool on 24th January 1965.</t>
  </si>
  <si>
    <t>Swimmers -- South Australia -- Mount Gambier</t>
  </si>
  <si>
    <t>b21109138</t>
  </si>
  <si>
    <t>Inter School Sports</t>
  </si>
  <si>
    <t>Photograph of four female representatives examing the programme during the Inter School Sports in May 1965.</t>
  </si>
  <si>
    <t>School children -- South Australia -- Mount Gambier;Sports for children -- South Australia -- Mount Gambier</t>
  </si>
  <si>
    <t>b2110914x</t>
  </si>
  <si>
    <t>Back to School</t>
  </si>
  <si>
    <t>Photograph of five boys on the first day back at school on 9th February 1965, Mount Gambier.</t>
  </si>
  <si>
    <t>Schools -- South Australia -- Mount Gambier;School children -- South Australia -- Mount Gambier</t>
  </si>
  <si>
    <t>b21109151</t>
  </si>
  <si>
    <t>Photograph of three young girls crossing the road going back to school on 9th February 1965, Mount Gambier.</t>
  </si>
  <si>
    <t>School children -- South Australia -- Mount Gambier;Schools -- South Australia -- Mount Gambier</t>
  </si>
  <si>
    <t>b21109187</t>
  </si>
  <si>
    <t>Photograph of the St. Martins Kindergarten class in costumes during an event in December 1965, Mount Gambier.</t>
  </si>
  <si>
    <t>St. Martins Kindergarten (Mount Gambier, S.A.);Children -- South Australia -- Mount Gambier;Kindergarten facilities -- South Australia -- Mount Gambier</t>
  </si>
  <si>
    <t>b21110207</t>
  </si>
  <si>
    <t>Quarries</t>
  </si>
  <si>
    <t>Aerial photograph of a quarry taken in December 1965.</t>
  </si>
  <si>
    <t>b21110219</t>
  </si>
  <si>
    <t>b21110220</t>
  </si>
  <si>
    <t>b21110232</t>
  </si>
  <si>
    <t>b21110244</t>
  </si>
  <si>
    <t>Pig sales</t>
  </si>
  <si>
    <t>Photograph of farmers at the pig sales in February 1965, Mount Gambier.</t>
  </si>
  <si>
    <t>b21110256</t>
  </si>
  <si>
    <t>Decimal Currency</t>
  </si>
  <si>
    <t>Photograph of bank tellers counting coinage in preparation for the changeover to decimal currency. Photograph taken on 8th December 1965.</t>
  </si>
  <si>
    <t>Banks and banking -- South Australia -- Mount Gambier;Decimal currency -- Australia</t>
  </si>
  <si>
    <t>b21110268</t>
  </si>
  <si>
    <t>S.E. Border Field Day</t>
  </si>
  <si>
    <t>Photograph of a tractor working during the Field Day in December 1965.</t>
  </si>
  <si>
    <t>Agricultural exhibitions -- South Australia -- Mount Gambier;Tractors</t>
  </si>
  <si>
    <t>b2111027x</t>
  </si>
  <si>
    <t>Photograph of five stewards for the Field Day in December 1965.</t>
  </si>
  <si>
    <t>b21110281</t>
  </si>
  <si>
    <t>Photograph of seven farmers at the Pig Sales in February 1965.</t>
  </si>
  <si>
    <t>b2111030x</t>
  </si>
  <si>
    <t>Commonwealth Bank Chief Visit</t>
  </si>
  <si>
    <t>Photograph of the Chief of the Commonwealth Bank during a visit to a timber mill on 21st June 1965.</t>
  </si>
  <si>
    <t>Commonwealth Bank of Australia -- Employees;Timber -- South Australia -- Mount Gambier</t>
  </si>
  <si>
    <t>b21110463</t>
  </si>
  <si>
    <t>S.E. Telecasters</t>
  </si>
  <si>
    <t>Photograph of a truck carrying steel girders being inspected by three men on 29th June 1965, Mount Gambier.</t>
  </si>
  <si>
    <t>Trucks -- South Australia -- Mount Gambier;Girders -- South Australia -- Mount Gambier</t>
  </si>
  <si>
    <t>b21110475</t>
  </si>
  <si>
    <t>E.S. &amp; A. Bank Manager</t>
  </si>
  <si>
    <t>Photograph of two men, one of whom is the Manager of the ES &amp; A Bank on 5th April 1965, Mount Gambier.</t>
  </si>
  <si>
    <t>ES &amp; A Bank -- Employees;Banks and banking -- South Australia -- Mount Gambier -- Employees</t>
  </si>
  <si>
    <t>b21111546</t>
  </si>
  <si>
    <t>Swimming pool, Mount Gambier</t>
  </si>
  <si>
    <t>Photograph of the swimming pool at Mount Gambier, 9 January 1965.</t>
  </si>
  <si>
    <t>b21111571</t>
  </si>
  <si>
    <t>Catholic Church Building</t>
  </si>
  <si>
    <t>Photograph of the Catholic Church Building on 15th January 1965, Mount Gambier.</t>
  </si>
  <si>
    <t>Catholic Church -- South Australia -- Mount Gambier;Church buildings -- South Australia -- Mount Gambier</t>
  </si>
  <si>
    <t>b21111856</t>
  </si>
  <si>
    <t>Church of England</t>
  </si>
  <si>
    <t>Photograph of the Church of England in Mount Gambier in 1965.</t>
  </si>
  <si>
    <t>Church of England -- South Australia -- Mount Gambier;Church buildings -- South Australia -- Mount Gambier</t>
  </si>
  <si>
    <t>b21118668</t>
  </si>
  <si>
    <t>Senior Citizen Club</t>
  </si>
  <si>
    <t>Photograph of an assistant serving tea to members of the Senior Citizens Club in February 1965, Mount Gambier.</t>
  </si>
  <si>
    <t>Older people -- South Australia -- Mount Gambier</t>
  </si>
  <si>
    <t>b21118681</t>
  </si>
  <si>
    <t>Apex Boys Camp</t>
  </si>
  <si>
    <t>Photograph of campers lining up for food at the Apex Boys Camp in 1965, Mount Gambier.</t>
  </si>
  <si>
    <t>Apex Club of Mount Gambier;Camps -- South Australia -- Mount Gambier</t>
  </si>
  <si>
    <t>b21118693</t>
  </si>
  <si>
    <t>Mrs Ascione 90th Birthday</t>
  </si>
  <si>
    <t>Photograph of Mrs Ascione cutting her birthday cake during the celebrations to mark her 90th birthday in January 1965, Mount Gambier, with her son Jack  on the left and Byrom on the right.</t>
  </si>
  <si>
    <t>Birthdays -- South Australia -- Mount Gambier;Parties -- South Australia -- Mount Gambier;Cake -- South Australia -- Mount Gambier</t>
  </si>
  <si>
    <t>b21118711</t>
  </si>
  <si>
    <t>Photograph of young campers having cocoa before bed at the Apex Boys Camp in 1965.</t>
  </si>
  <si>
    <t>b21118723</t>
  </si>
  <si>
    <t>Senior Citizens Club</t>
  </si>
  <si>
    <t>Photograph of members of the Senior Citizen Club enjoying afternoon tea in February 1965.</t>
  </si>
  <si>
    <t>b21118735</t>
  </si>
  <si>
    <t>b21118747</t>
  </si>
  <si>
    <t>Photograph of helpers preparing afternoon tea for members of the Senior Citizen Club in February 1965.</t>
  </si>
  <si>
    <t>b21118759</t>
  </si>
  <si>
    <t>Photograph of four ladies at the Citizen Club in February 1965.</t>
  </si>
  <si>
    <t>b21118838</t>
  </si>
  <si>
    <t>Photograph of three ladies and three men playing cards at the Senior Citizens Club on 14th January 1965, Mount Gambier. The man sitting at left is Mr John Butler.</t>
  </si>
  <si>
    <t>b21118760</t>
  </si>
  <si>
    <t>Group at the Citizen Club in February 1965. Mt. Gambier butcher, Reginald Higgs, is third from left.</t>
  </si>
  <si>
    <t>Higgs, Reginald;Older people -- South Australia -- Mount Gambier</t>
  </si>
  <si>
    <t>b2111884x</t>
  </si>
  <si>
    <t>Photograph of six male members of the Senior Citizens Club on 14th January 1965, Mount Gambier.</t>
  </si>
  <si>
    <t>b21181251</t>
  </si>
  <si>
    <t>Photograph of four women at an APEX Club function in 1965, Mount Gambier.</t>
  </si>
  <si>
    <t>b21118851</t>
  </si>
  <si>
    <t>Photograph of five members of the APEX Club in 1965, Mount Gambier, two of whom are Bruce and Patricia Millar.</t>
  </si>
  <si>
    <t>b21118863</t>
  </si>
  <si>
    <t>Photograph of a special occasion for the Meals on Wheels organisation held on 12th October 1965, Mount Gambier.</t>
  </si>
  <si>
    <t>b21118875</t>
  </si>
  <si>
    <t>RSL ANZAC Memorial Appeal</t>
  </si>
  <si>
    <t>Photograph of six volunteers working for the RSL ANZAC Memorial Appeal in October 1965.</t>
  </si>
  <si>
    <t>Returned Services League of Australia. Mount Gambier Sub-branch</t>
  </si>
  <si>
    <t>b21118887</t>
  </si>
  <si>
    <t>JAYCEE Club</t>
  </si>
  <si>
    <t>Photograph of five members of the JAYCEE Club planning an event on 9th April 1965.</t>
  </si>
  <si>
    <t>b21118899</t>
  </si>
  <si>
    <t>T. Casadio</t>
  </si>
  <si>
    <t>Photograph of three men and a lady having a cup of tea on 9th July 1965 at Mount Gambier airport. They are John Friedrichs, Tony Casadio (Midshipman, RAN), Mrs Casadio and Errol Kavanagh (Lt.RAN). The photograph was taken after a navigation training exercise from Pt Cook in Victoria to Mt Gambier. The 3 young men all attended Marist Brothers College in Mt Gambier, all friends from school. They all became pilots, Errol and Tony were members of the Fleet Air Arm, and John Friedrichs joined the RAAF. Sadly, all these men were killed while flying. Tony Casadio died in Vietnam, on August 21st 1968 [aged 22] whilst on a combat mission. Errol Kavanagh served for many years in the Fleet Air Arm and was killed in an air accident when flying in the Canberra air show as a civilian. John Friedrichs was killed during a training exercise whilst serving in the RAAF. He was a member of the Roulettes. Information provided by Virginia Jacobs].</t>
  </si>
  <si>
    <t>Casadio, Tony, -1968;Kavanagh, Errol;Friedrichs, John</t>
  </si>
  <si>
    <t>b21118905</t>
  </si>
  <si>
    <t>RSL Visit</t>
  </si>
  <si>
    <t>Photograph of three men and two ladies during the RSL Visit in July 1965.</t>
  </si>
  <si>
    <t>b21119363</t>
  </si>
  <si>
    <t>Photograph of teenagers taking part in a "Teens to Maturity" event held by the YMCA on 9th April 1965, Mount Gambier.Those present include Helen Matters, Geraldine Stark, Suzanna Bell and Glynn Franden.</t>
  </si>
  <si>
    <t>Matters, Helen;Stark, Geraldine;Bell, Suzanna;Franden, Glynn;Young Men's Christian associations -- South Australia -- Mount Gambier;Teenagers -- South Australia -- Mount Gambier</t>
  </si>
  <si>
    <t>b21119375</t>
  </si>
  <si>
    <t>APEX Camp</t>
  </si>
  <si>
    <t>Photograph of organisers of the 1965 Apex Camp with camp supplies in January 1965, Mount Gambier. Among those is Sam Sutton at far right.</t>
  </si>
  <si>
    <t>Sutton, Sam;Apex Club of Mount Gambier;Camps -- South Australia -- Mount Gambier</t>
  </si>
  <si>
    <t>b21119387</t>
  </si>
  <si>
    <t>Photograph of the Band called the Chessmen at a dance on 9th April 1965, in Mount Gambier.</t>
  </si>
  <si>
    <t>Chessmen;Bands (Music) -- South Australia -- Mount Gambier</t>
  </si>
  <si>
    <t>b21119399</t>
  </si>
  <si>
    <t>Photograph of a group of youths possibly at a Teens to Maturity session in Mount Gambier on 9th April 1965.</t>
  </si>
  <si>
    <t>b21119405</t>
  </si>
  <si>
    <t>APEX Convention</t>
  </si>
  <si>
    <t>Photograph of delegates from the Apex Convention relaxing in July 1965, Mount Gambier.</t>
  </si>
  <si>
    <t>Apex Club of Mount Gambier;Congresses and conventions -- South Australia -- Mount Gambier</t>
  </si>
  <si>
    <t>b21119417</t>
  </si>
  <si>
    <t>APEX Asthma Competition</t>
  </si>
  <si>
    <t>Photograph of prizewinners for the APEX Asthma Competition with three organisers with the prizes which possibly are a Malvern Star bicyle and a transistor radio.</t>
  </si>
  <si>
    <t>b21119430</t>
  </si>
  <si>
    <t>Photograph of two Apex Club couples looking at a framed item in August 1965, Mount Gambier. A researcher has identified the couples as Sam Sutton and his wife on left, Marians Karklins and his wife on right.</t>
  </si>
  <si>
    <t>b21119442</t>
  </si>
  <si>
    <t>Photograph of four ladies from Meals on Wheels at a formal occasion in October 1965, Mount Gambier. The person in a wheel chair is Doris Taylor, founder of Meels on Wheels.</t>
  </si>
  <si>
    <t>Meals on Wheels Inc. (S.A.);Volunteers -- South Australia -- Mount Gambier</t>
  </si>
  <si>
    <t>b21119454</t>
  </si>
  <si>
    <t>JayCees Club</t>
  </si>
  <si>
    <t>Photograph of five members of the JayCees Club holding a silver plate on 18th February 1965, Mount Gambier.</t>
  </si>
  <si>
    <t>b21120055</t>
  </si>
  <si>
    <t>Riding Club</t>
  </si>
  <si>
    <t>Photograph of families and members of the Riding Club in May 1965, Mount Gambier.</t>
  </si>
  <si>
    <t>b21120067</t>
  </si>
  <si>
    <t>Photograph of families and members of the Riding Club at an event in May 1965, Mount Gambier. Wally and Monica Guster and their daughter Maureen are among this group.</t>
  </si>
  <si>
    <t>Guster (Family);Riding clubs -- South Australia -- Mount Gambier</t>
  </si>
  <si>
    <t>b21120079</t>
  </si>
  <si>
    <t>Photograph of rider number 36 with possibly his father, and their horse at an event at the Riding Club in May 1965, Mount Gambier.</t>
  </si>
  <si>
    <t>b21120080</t>
  </si>
  <si>
    <t>Country Golf</t>
  </si>
  <si>
    <t>Photograph of four lady golfers at the Country Golf Tournament in August 1965, Mount Gambier.</t>
  </si>
  <si>
    <t>b21120092</t>
  </si>
  <si>
    <t>Photograph of seven members of the Coursing Club in the countryside during a coursing event in July 1965.</t>
  </si>
  <si>
    <t>b21120109</t>
  </si>
  <si>
    <t>Photograph of five members of the Coursing Club in their jackets and raincoats during a coursing event in July 1965.</t>
  </si>
  <si>
    <t>b21120110</t>
  </si>
  <si>
    <t>Winning Dog</t>
  </si>
  <si>
    <t>Photograph of a man and a woman with a dog which has been awarded a sash and a trophy in 1965. The event could possibly be coursing.</t>
  </si>
  <si>
    <t>b21181238</t>
  </si>
  <si>
    <t>Greyhound</t>
  </si>
  <si>
    <t>Photograph of two men, a young boy and a greyhound dog. The event could possibly be coursing.</t>
  </si>
  <si>
    <t>b21120122</t>
  </si>
  <si>
    <t>Photograph of two cricket players walking onto the pitch during a game on 22nd December 1965, Mount Gambier.</t>
  </si>
  <si>
    <t>b21120134</t>
  </si>
  <si>
    <t>Photograph of the owner and his dog being awarded a sash after winning a coursing event 1965.</t>
  </si>
  <si>
    <t>b21120146</t>
  </si>
  <si>
    <t>Photograph of members of the cricket team being awarded small tankards on 22nd December 1965, Mount Gambier.</t>
  </si>
  <si>
    <t>b21120158</t>
  </si>
  <si>
    <t>Photograph of members of the cricket team being awarded engraved silver trays on 22nd December 1965, Mount Gambier.</t>
  </si>
  <si>
    <t>b2112016x</t>
  </si>
  <si>
    <t>Swimming lessons</t>
  </si>
  <si>
    <t>Photograph of lots of children receiving swimming tuition from an instructor during swimming lessons in January 1965, Mount Gambier.</t>
  </si>
  <si>
    <t>b21120171</t>
  </si>
  <si>
    <t>Photograph of the cricket team leaving the field after a game, flanked by spectators on 22nd December 1965, Mount Gambier.</t>
  </si>
  <si>
    <t>b21120183</t>
  </si>
  <si>
    <t>Photograph of four attractive teenage girls on the edge of the swimming pool on 9th January 1965, Mount Gambier.</t>
  </si>
  <si>
    <t>b21120195</t>
  </si>
  <si>
    <t>Sport Carnival</t>
  </si>
  <si>
    <t>Photograph of four athletes receiving congratulations during the Sports Carnival held in March 1965, Mount Gambier.</t>
  </si>
  <si>
    <t>b21182395</t>
  </si>
  <si>
    <t>Sports Carnival</t>
  </si>
  <si>
    <t>Four teenage boys sitting on the oval at an athletics carnival, March 1965.</t>
  </si>
  <si>
    <t>b21182401</t>
  </si>
  <si>
    <t>Negative (acetate)  9.4 cm x 12 cm</t>
  </si>
  <si>
    <t>Three teenage boys sitting on the oval at an athletics carnival, March 1965, with one putting on his running shoes.</t>
  </si>
  <si>
    <t>Athletes -- South Australia -- Mount Gambier</t>
  </si>
  <si>
    <t>b21120201</t>
  </si>
  <si>
    <t>Photograph of a rider, her horse and her family during an event at the Riding Club in May 1965, Mount Gambier.</t>
  </si>
  <si>
    <t>Riding clubs -- South Australia -- Mount Gambier;Horsemen and horsewomen -- South Australia -- Mount Gambier</t>
  </si>
  <si>
    <t>b21120213</t>
  </si>
  <si>
    <t>Photograph of three officials of the Riding Club on a rainy day in May 1965.</t>
  </si>
  <si>
    <t>b21120225</t>
  </si>
  <si>
    <t>Photograph of three lady winners with their trophies at the Golf Club  on 4th August 1965, Mount Gambier.  They are standing in front of the winners' board.</t>
  </si>
  <si>
    <t>b21120237</t>
  </si>
  <si>
    <t>Photograph of a young girl on her horse with two other riders holding the reins. Taken at the Riding Club in May 1965, Mount Gambier.</t>
  </si>
  <si>
    <t>b21120249</t>
  </si>
  <si>
    <t>Photograph of six lady golfers at the Golf Club in August 1965, Mount Gambier.</t>
  </si>
  <si>
    <t>b21120250</t>
  </si>
  <si>
    <t>Photograph of four lady golfers at the Golf Club in August 1965, Mount Gambier.</t>
  </si>
  <si>
    <t>b21120262</t>
  </si>
  <si>
    <t>Photograph of four young dancers at the Sports Carnival in March 1965, Mount Gambier.  They were competing in the South Eastern National Dancing Competition. They are (from left to right) Margaret Newton, Shirlene Speck, Karen Mewett, (unknown).</t>
  </si>
  <si>
    <t>Sports -- South Australia -- Mount Gambier;Dancers -- South Australia -- Mount Gambier</t>
  </si>
  <si>
    <t>b21120274</t>
  </si>
  <si>
    <t>Photograph of four lady croquet players in January 1965, Mount Gambier.</t>
  </si>
  <si>
    <t>b21180696</t>
  </si>
  <si>
    <t>Photograph of five lady croquet players in January 1965, Mount Gambier.</t>
  </si>
  <si>
    <t>b21120286</t>
  </si>
  <si>
    <t>Photograph of three male bowlers representing Mount Gambier at the Bowls Carnival in March 1965.</t>
  </si>
  <si>
    <t>b21120298</t>
  </si>
  <si>
    <t>Photograph of three male bowlers during a game at the RSL Bowls on 10th March 1965.  Players are from Naracoorte and Mount Gambier.</t>
  </si>
  <si>
    <t>b21120304</t>
  </si>
  <si>
    <t>Photograph of five bowlers after a bowls tournament in January 1965.  Bowlers are from the RSL, Barmera and Mount Gambier.</t>
  </si>
  <si>
    <t>b21120316</t>
  </si>
  <si>
    <t>Photograph of five officials during the Sports Carnival in March 1965, Mount Gambier.</t>
  </si>
  <si>
    <t>b21120328</t>
  </si>
  <si>
    <t>Photograph of the South East Footballers sash and cup being awarded to the captain of the winning team during the Sports Carnival in March 1965, Mount Gambier. The person holding the winner's cup is David Thompson, a well known runner, footballer and official of West Gambier Football Club. He was buried 10th November 2008.</t>
  </si>
  <si>
    <t>Thompson, David, -2008;Sports -- South Australia -- Mount Gambier</t>
  </si>
  <si>
    <t>b2112033x</t>
  </si>
  <si>
    <t>Swimming Coach</t>
  </si>
  <si>
    <t>Photograph of the swimming coach giving a demonstration to young swimmers in March 1965, Mount Gambier.</t>
  </si>
  <si>
    <t>b21120341</t>
  </si>
  <si>
    <t>Photograph of a cricketer and officials at the Country Cricket Tournament on 22nd December 1965.</t>
  </si>
  <si>
    <t>Marlebone Cricket Club;Cricket -- South Australia -- Mount Gambier;Cricket players -- South Australia -- Mount Gambier</t>
  </si>
  <si>
    <t>b21120353</t>
  </si>
  <si>
    <t>B. Woosley</t>
  </si>
  <si>
    <t>Belinda Woosley, a Commonwealth Games swimmer for Australia, coaching swimmer Andrew Levings in the Mount Gambier pool on 9th February 1965.</t>
  </si>
  <si>
    <t>Woosley, Belinda;Levings, Andrew;Swimmers -- South Australia -- Mount Gambier;Swimming -- South Australia -- Mount Gambier</t>
  </si>
  <si>
    <t>b21120365</t>
  </si>
  <si>
    <t>Photograph of two players from the RSL Bowls Competition on 5th March 1965, Mount Gambier.</t>
  </si>
  <si>
    <t>b21120377</t>
  </si>
  <si>
    <t>Photograph of seven players from the RSL Bowls Competition on 5th March 1965, Mount Gambier. They come from Millicent, Kingston and Mount Gambier.</t>
  </si>
  <si>
    <t>b21120870</t>
  </si>
  <si>
    <t>Photograph of a group of twelve debutantes at the Highland Ball in 1965.</t>
  </si>
  <si>
    <t>Balls (parties) -- South Australia</t>
  </si>
  <si>
    <t>b21122416</t>
  </si>
  <si>
    <t>Photograph of a blood donor giving blood in Mount Gambier in August 1965.</t>
  </si>
  <si>
    <t>b21122428</t>
  </si>
  <si>
    <t>Photograph of people enlisting to become blood donors in Mount Gambier in August 1965. The two men in middle are Barry Brooks and Bill Cocks, both North Gambier Footballers, with Bill Cocks being the Coach.</t>
  </si>
  <si>
    <t>Brooks, Barry;Cocks, Bill;Blood -- Red Cross -- South Australia -- Mount Gambier</t>
  </si>
  <si>
    <t>b21122465</t>
  </si>
  <si>
    <t>Photograph of the swimming pool being well used in Mount Gambier on 9th January 1965.</t>
  </si>
  <si>
    <t>b21180507</t>
  </si>
  <si>
    <t>Tony Casadio</t>
  </si>
  <si>
    <t>Photograph of pilot Tony Casadio standing beside an aeroplane in Mount Gambier on 9th July 1965. Later Lieutenant Tony Casadio MID, Royal Australian Navy, Helicopter Flight Vietnam, he was killed in action in Vietnam on 21/8/1968.</t>
  </si>
  <si>
    <t>Casadio, Tony, -1968;Airplanes -- South Australia -- Mount Gambier;Pilots and pilotage -- South Australia -- Mount Gambier</t>
  </si>
  <si>
    <t>b21125132</t>
  </si>
  <si>
    <t>D. Cleves</t>
  </si>
  <si>
    <t>Photograph of pianist Dale Cleves seated at the piano in 1965, Mount Gambier.</t>
  </si>
  <si>
    <t>Cleves, Dale, 1940-;Pianists -- South Australia -- Mount Gambier;Piano</t>
  </si>
  <si>
    <t>b21125144</t>
  </si>
  <si>
    <t>Dr Stegman</t>
  </si>
  <si>
    <t>Photograph of Dr Stegman in the library with a man and a lady on 1st June 1965.</t>
  </si>
  <si>
    <t>Stegman, Dr;Libraries -- South Australia -- Mount Gambier;Physicians -- South Australia -- Mount Gambier</t>
  </si>
  <si>
    <t>b21125156</t>
  </si>
  <si>
    <t>Vintage cars</t>
  </si>
  <si>
    <t>Photograph of a vintage car, number plate 013, outside the O.G. Roberts Garage in Mount Gambier on 6th May 1965.</t>
  </si>
  <si>
    <t>O.G. Roberts &amp; Company (Mount Gambier, S.A.);Antique and classic cars -- South Australia -- Mount Gambier</t>
  </si>
  <si>
    <t>b21125260</t>
  </si>
  <si>
    <t>The Governor, Sir Edric Bastyan, K.C.M.G  K.C.V.O  K.B.E. C.B, unveiling a plaque on 20th October 1965 in the Jubilee Gardens, to commemorate the Jubilee of Her Majesty Queen Victoria. In the rear are Mr. C. Davis  (left) and the Town Clerk Mr D. Roeger (right).</t>
  </si>
  <si>
    <t>b21125302</t>
  </si>
  <si>
    <t>Aileen and Ted Coote</t>
  </si>
  <si>
    <t>Photograph of Aileen and Ted Coote and their baby in 1965, Mount Gambier.</t>
  </si>
  <si>
    <t>Coote, Aileen;Coote (Family);Coote, Ted</t>
  </si>
  <si>
    <t>b31394279</t>
  </si>
  <si>
    <t>Zajicek, Lubomir, 1921-1988, photographer</t>
  </si>
  <si>
    <t>Woomera, South Australia.</t>
  </si>
  <si>
    <t>[approximately 1965]</t>
  </si>
  <si>
    <t>1 slide : colour;still image sti rdacontent;computer c rdamedia;online resource cr rdacarrier;image file TIFF 6708 x 4564 pixels rda</t>
  </si>
  <si>
    <t>Woomera (S.A.)</t>
  </si>
  <si>
    <t>Woomera Collection</t>
  </si>
  <si>
    <t>b21113270</t>
  </si>
  <si>
    <t>Mayor Mrs L. Bishop</t>
  </si>
  <si>
    <t>Photograph of Mrs L. Bishop Mayor of Mount Gambier.</t>
  </si>
  <si>
    <t>Bishop, L.;Mayors -- South Australia -- Mount Gambier</t>
  </si>
  <si>
    <t>b21078555</t>
  </si>
  <si>
    <t>Angelina Lauro</t>
  </si>
  <si>
    <t>Photograph  11.2 cm x 8.2 cm</t>
  </si>
  <si>
    <t>Angelina Lauro (Ship);Ships</t>
  </si>
  <si>
    <t>b21104438</t>
  </si>
  <si>
    <t>Photograph of five adults possibly organising supplies for the Apex Boys Camp.</t>
  </si>
  <si>
    <t>b2110444x</t>
  </si>
  <si>
    <t>Photograph of five adults possibly organising supplies for the Apex Boys Camp on 22nd January 1966.</t>
  </si>
  <si>
    <t>b21104451</t>
  </si>
  <si>
    <t>Photograph of four members of the Apex Club. One is Sam Sutton.</t>
  </si>
  <si>
    <t>b21104463</t>
  </si>
  <si>
    <t>Photograph of several boys sitting on the beach at the Apex Boys Camp in January 1966.</t>
  </si>
  <si>
    <t>Apex Club of Mount Gambier;Camps -- South Australia -- Mount Gambier;Beaches -- South Australia -- Mount Gambier</t>
  </si>
  <si>
    <t>b21104475</t>
  </si>
  <si>
    <t>Jaycee</t>
  </si>
  <si>
    <t>Photograph of Jaycee meeting being held in on 19th June 1966.</t>
  </si>
  <si>
    <t>b21104487</t>
  </si>
  <si>
    <t>Photograph of young boys and their helpers having dinner at the Apex Boys Camp in January 1966.</t>
  </si>
  <si>
    <t>Apex Club of Mount Gambier;Camps -- South Australia -- Mount Gambier;Dinners and dining -- South Australia -- Mount Gambier</t>
  </si>
  <si>
    <t>b21104542</t>
  </si>
  <si>
    <t>Lions Club</t>
  </si>
  <si>
    <t>Photograph of a visiting Lions Club member from Fremantle presenting a banner to the Mount Gambier Lions Club on 19th January 1966. At left, Eric Roughana, at right Ken McPherson, Club President.</t>
  </si>
  <si>
    <t>Lions Club of Mount Gambier;Lions Club of Fremantle</t>
  </si>
  <si>
    <t>b21104554</t>
  </si>
  <si>
    <t>Photograph of four men from Jaycee having a meeting on 19th June 1966.</t>
  </si>
  <si>
    <t>b21104566</t>
  </si>
  <si>
    <t>Rural Youth Press</t>
  </si>
  <si>
    <t>Photograph of members of the Rural Youth Press group inspecting sheep in a pen on 11th August 1966.</t>
  </si>
  <si>
    <t>Rural Youth Movement of South Australia;Rural youth -- South Australia -- Societies, etc.;Sheep -- South Australia -- Mount Gambier</t>
  </si>
  <si>
    <t>b21104578</t>
  </si>
  <si>
    <t>Photograph of Stan H. Elliot (Mount Gambier Mayor) and a lady playing cards in February 1966.</t>
  </si>
  <si>
    <t>Lions Club of Mount Gambier;Card players -- South Australia -- Mount Gambier</t>
  </si>
  <si>
    <t>b2110458x</t>
  </si>
  <si>
    <t>Photograph of a card game in progress in February 1966 with Messrs K. Cuthbertson, S. Elliott, unknown, J. Temby, unknown.</t>
  </si>
  <si>
    <t>b21104591</t>
  </si>
  <si>
    <t>Apex Club</t>
  </si>
  <si>
    <t>Photograph of Sam Sutton and another man holding an Apex trophy in August 1966.</t>
  </si>
  <si>
    <t>b21105868</t>
  </si>
  <si>
    <t>Melbourne Cup Plane</t>
  </si>
  <si>
    <t>Photograph of punters boarding an Ansett aeroplane for the Melbourne Cup on 1st November 1966.</t>
  </si>
  <si>
    <t>b21105881</t>
  </si>
  <si>
    <t>ABC Music Group</t>
  </si>
  <si>
    <t>Photograph of four members of the ABC Music Group looking at LP records on 4th May 1966. The man on the left is Dale Cleves. (information supplied by a researcher).</t>
  </si>
  <si>
    <t>ABC Music Group;Popular music -- South Australia -- 1961-1970</t>
  </si>
  <si>
    <t>b21105893</t>
  </si>
  <si>
    <t>Woolshed Dance</t>
  </si>
  <si>
    <t>Photograph of five dancers at the Woolshed Dance in July 1966.</t>
  </si>
  <si>
    <t>Dance parties -- South Australia -- Mount Gambier</t>
  </si>
  <si>
    <t>b2110590x</t>
  </si>
  <si>
    <t>Photograph of four young people at the Woolshed Dance in July 1966. Couple at right are Catherine Barry and Brenton Willoughby.</t>
  </si>
  <si>
    <t>b21105911</t>
  </si>
  <si>
    <t>Patricia Reske</t>
  </si>
  <si>
    <t>Photograph of a family group of a man, two ladies, one of whom is Patricia Reske, and two small children at a function in 1966.</t>
  </si>
  <si>
    <t>Reske, Patricia</t>
  </si>
  <si>
    <t>b21109023</t>
  </si>
  <si>
    <t>Junior Golf</t>
  </si>
  <si>
    <t>Photograph of six children after being presented with prizes for Junior Golf in September 1966, Mount Gambier.</t>
  </si>
  <si>
    <t>Golf -- South Australia -- Mount Gambier;Children -- South Australia -- Mount Gambier</t>
  </si>
  <si>
    <t>b21109035</t>
  </si>
  <si>
    <t>Ballet</t>
  </si>
  <si>
    <t>Photograph of a ballet class in costume on 5th October 1966, Mount Gambier.</t>
  </si>
  <si>
    <t>Ballet dancers -- South Australia -- Mount Gambier;Costume -- South Australia -- Mount Gambier</t>
  </si>
  <si>
    <t>b21109047</t>
  </si>
  <si>
    <t>Photograph of thee young golfers on the golf course in September 1966, Mount Gambier.</t>
  </si>
  <si>
    <t>Golf -- South Australia -- Mount Gambier;Golf courses -- South Australia -- Mount Gambier;Children -- South Australia -- Mount Gambier</t>
  </si>
  <si>
    <t>b21109059</t>
  </si>
  <si>
    <t>Photograph of a ballet class dressed in sailor costumes on the 5th October 1966, Mount Gambier.</t>
  </si>
  <si>
    <t>b21109060</t>
  </si>
  <si>
    <t>Photograph of a group of young people examining sheep in pens on 12th August 1966, Mount Gambier.</t>
  </si>
  <si>
    <t>Rural Youth Movement of South Australia;Sheep -- South Australia -- Mount Gambier;Rural youth -- South Australia -- Societies, etc.</t>
  </si>
  <si>
    <t>b21109072</t>
  </si>
  <si>
    <t>Photograph of a teacher and ten young students at the Umpherston Kindergarten on 16th June 1966.</t>
  </si>
  <si>
    <t>b21109084</t>
  </si>
  <si>
    <t>Photograph of a group of young people examining sheep on 12th August 1966, Mount Gambier.</t>
  </si>
  <si>
    <t>b21109096</t>
  </si>
  <si>
    <t>Photograph of a group of young people examining sheep's fleece on 12th August 1966, Mount Gambier.</t>
  </si>
  <si>
    <t>b21182413</t>
  </si>
  <si>
    <t>Cheese factory</t>
  </si>
  <si>
    <t>View of the demolition of the cheese factory at Mount Gambier, January 1966. A crane on the back of a truck is removing roofing material from the buidling while a number of men look on  there is a pile of salvage material in the foreground.</t>
  </si>
  <si>
    <t>Cheese factories -- South Australia -- Mount Gambier</t>
  </si>
  <si>
    <t>b21110293</t>
  </si>
  <si>
    <t>Abattoirs</t>
  </si>
  <si>
    <t>Photograph of Mr D. Rouger (Town Clerk) and Mr Henry Monger (abattoirs manager) checking a carcass at the abattoirs on 18th August 1966.</t>
  </si>
  <si>
    <t>Monger, Henry;Meat industry and trade -- South Australia -- Mount Gambier</t>
  </si>
  <si>
    <t>b21110426</t>
  </si>
  <si>
    <t>Photograph of five people at the Chamber of Commerce dinner held on 28th April 1966, Mount Gambier.</t>
  </si>
  <si>
    <t>Chamber of Commerce of South Australia;Dinners and dining -- South Australia -- Mount Gambier</t>
  </si>
  <si>
    <t>b21110438</t>
  </si>
  <si>
    <t>Photograph of five delegates at the Cheese Conference on 23rd March 1966, Mount Gambier.</t>
  </si>
  <si>
    <t>Cheese -- South Australia -- Mount Gambier -- Congresses</t>
  </si>
  <si>
    <t>b2111044x</t>
  </si>
  <si>
    <t>Old ETSA Engine</t>
  </si>
  <si>
    <t>Photograph of workers and officials looking at the old Electricity Trust of South Australia engine on 15th February 1966, Mount Gambier.</t>
  </si>
  <si>
    <t>b21178823</t>
  </si>
  <si>
    <t>Photograph of the interior of the Methodist Church in 1966, Mount Gambier.</t>
  </si>
  <si>
    <t>Church buildings -- South Australia -- Mount Gambier;Methodist Church (Mount Gambier, S.A.)</t>
  </si>
  <si>
    <t>b21111558</t>
  </si>
  <si>
    <t>M.C.C. Convent</t>
  </si>
  <si>
    <t>Photograph of the M.C.C. Convent in May 1966, Mount Gambier.</t>
  </si>
  <si>
    <t>Convent of Mercy (Mount Gambier, S.A.);Catholic Church -- South Australia -- Mount Gambier;Church buildings -- South Australia -- Mount Gambier;Convents -- South Australia -- Mount Gambier</t>
  </si>
  <si>
    <t>b2111156x</t>
  </si>
  <si>
    <t>Catholic Church</t>
  </si>
  <si>
    <t>Photograph of the interior of the Catholic Church in 1966, Mount Gambier.</t>
  </si>
  <si>
    <t>b21120559</t>
  </si>
  <si>
    <t>Pistol Shooters</t>
  </si>
  <si>
    <t>Photograph of two pistol shooters ready to represent Australia, and a supporter, boarding an aeroplane in Mount Gambier on 8th July 1966. Team members Ted Vause (top of the stairs) and Gloria Vause (bottom of the stairs) are shown with Ivan Vause (husband of Gloria and team supporter, middle).</t>
  </si>
  <si>
    <t>Pistol shooting -- South Australia -- Mount Gambier</t>
  </si>
  <si>
    <t>b21120560</t>
  </si>
  <si>
    <t>Bowls RSL</t>
  </si>
  <si>
    <t>Photograph of many lady bowlers during the RSL Bowls on 23rd March 1966, Mount Gambier.</t>
  </si>
  <si>
    <t>b21120572</t>
  </si>
  <si>
    <t>League Players - Schools</t>
  </si>
  <si>
    <t>Photograph of league players with school-age footballers on 17th August 1966, Mount Gambier. Senior players are (standing, left to right): Tom Grljusich, Peter Obst and David Christie  Fred Smith and Leigh Whicker in front.</t>
  </si>
  <si>
    <t>b21120584</t>
  </si>
  <si>
    <t>League Football instructors</t>
  </si>
  <si>
    <t>Photograph of five league football players on 17th August 1966 in Mount Gambier to provide coaching for school aged footballers. From left to right: Tom Grljusich (Central Districts), Leigh Whicker (Sturt), Fred Smith (Sturt), Peter Obst (Woodville) and David Christie (Woodville).</t>
  </si>
  <si>
    <t>b21120596</t>
  </si>
  <si>
    <t>Photograph of three lady golfers on 19th July 1966, Mount Gambier.</t>
  </si>
  <si>
    <t>b21120602</t>
  </si>
  <si>
    <t>Photograph of a member of the Mount Gambier RSL Bowling Club welcoming others to the RSL Bowls Championships on 21st March 1966, Mount Gambier.</t>
  </si>
  <si>
    <t>b21120614</t>
  </si>
  <si>
    <t>Horse Trials</t>
  </si>
  <si>
    <t>Photograph of a rider, owner and family at the Horse Trials on 21st May 1966, Mount Gambier.</t>
  </si>
  <si>
    <t>Horsemen and horsewomen -- South Australia -- Mount Gambier;Horse sports -- South Australia -- Mount Gambier</t>
  </si>
  <si>
    <t>b21120626</t>
  </si>
  <si>
    <t>Photograph of four young boys during the Junior Golf Competition held in September 1966, Mount Gambier.</t>
  </si>
  <si>
    <t>b21181287</t>
  </si>
  <si>
    <t>Photograph of two men and two lady spectators at the Horse Trials on 21st May 1966 near Mount Gambier.</t>
  </si>
  <si>
    <t>b21120638</t>
  </si>
  <si>
    <t>Photograph of five men and one lady who are spectators at the Horse Trials on 21st May 1966 near Mount Gambier. Among the group is a policeman who is wearing a number twelve sign and appears to be a competitor.</t>
  </si>
  <si>
    <t>b2112064x</t>
  </si>
  <si>
    <t>Photograph of three teenagers who are participating in the Junior Golf Competition in September 1966, Mount Gambier.</t>
  </si>
  <si>
    <t>b21120651</t>
  </si>
  <si>
    <t>Photograph of three teenage girls and a youth who are participating in the Junior Golf Competition in September 1966, Mount Gambier.</t>
  </si>
  <si>
    <t>b21120663</t>
  </si>
  <si>
    <t>Photograph of four teenage girls and a youth who are participating in the Junior Golf Competition in September 1966, Mount Gambier.</t>
  </si>
  <si>
    <t>b21120675</t>
  </si>
  <si>
    <t>Photograph of a youth and a woman next to their horses during the Horse Trials on 21st May 1966, Mount Gambier.</t>
  </si>
  <si>
    <t>b21120699</t>
  </si>
  <si>
    <t>Speed Boat Champions</t>
  </si>
  <si>
    <t>Photograph of the winners of the Speed Boat Championships sitting in a speedboat holding their cups and trophies in December 1966, Mount Gambier.</t>
  </si>
  <si>
    <t>Motorboat racing -- South Australia -- Mount Gambier;Motorboats -- Mount Gambier -- Mount Gambier</t>
  </si>
  <si>
    <t>b21120705</t>
  </si>
  <si>
    <t>Millicent A Grade Football Team</t>
  </si>
  <si>
    <t>1 photograph : begative, acetate, black and white   11.6 x 16 cm;still image sti rdacontent;other x rdamedia;other nz rdacarrier</t>
  </si>
  <si>
    <t>Photograph of the members of the Millicent A Grade Football Team with their coaches on the Oval in 1966. A researcher has provided the following names: back row: Don Leopold, Dean Baker, Rod Probert, Graeme Weir, Brad Turner, Alby Weingard. Centre row: Don Zanker (secretary), Len Cory, Ralph Ashenden, Kevin Bowering, Bob O'Shaunessy, Geoff Peek, Trevor Kelly, Brian Pratt (committee). Front row: Ian Hookings, Dale Baker, Merv Peek, Bob Clifford (Captain, coach), John Roberts (Vice Captain), Peter Leopold, Neil Bowering.</t>
  </si>
  <si>
    <t>b21120717</t>
  </si>
  <si>
    <t>Photograph of four young male golfers playing a game during the Junior Golf Competition in September 1966, Mount Gambier.</t>
  </si>
  <si>
    <t>b21120882</t>
  </si>
  <si>
    <t>Photograph of a group of seven debutantes at the Highland Ball in 1966.</t>
  </si>
  <si>
    <t>b21122362</t>
  </si>
  <si>
    <t>Photograph of two newly naturalised citizens being congratulated by the Lady Mayor and two Boy Scouts on 18th February 1966, Mount Gambier. Unknown woman, R. Krolikowski, G. Sheehan and Mrs L. Bishop (Mayor) pose with the scouts.</t>
  </si>
  <si>
    <t>b21125077</t>
  </si>
  <si>
    <t>S. Keiselbach and A. Pryce</t>
  </si>
  <si>
    <t>Photograph of Messrs A. Pryce (left) and S. Keiselbach on board the new day train on 7th October 1966, Mount Gambier.</t>
  </si>
  <si>
    <t>Pryce, A.;Keiselbach, S.;Railroad trains -- South Australia -- Mount Gambier</t>
  </si>
  <si>
    <t>b21125089</t>
  </si>
  <si>
    <t>David Martin</t>
  </si>
  <si>
    <t>Photograph of two airline personnel, one of whom is Mr. David Martin, standing next to an Ansett ANA aeroplane in July 1966.</t>
  </si>
  <si>
    <t>Martin, David;Ansett Airlines of Australia -- Employees;Airplanes -- South Australia -- Mount Gambier</t>
  </si>
  <si>
    <t>b21180490</t>
  </si>
  <si>
    <t>Burton and Harry Hirth</t>
  </si>
  <si>
    <t>Photograph of two men, Mr. Burton and Mr. Harry (Karl Heinrich) Hirth, at a function on 15th July 1966.</t>
  </si>
  <si>
    <t>b21125107</t>
  </si>
  <si>
    <t>RSL and Legacy Golf Day</t>
  </si>
  <si>
    <t>Photograph of organisers of the RSL and Legacy Golf Day which was held on Sunday 13th November 1966. The men seated (front row, from left) are: Bill Carey, Bert Whiteside, Ken Wait, Graham Robinson, Max Young, Bill Bradley, Murray Clements. Back row: On left is Peter Collins, manager of the Mount Gambier Hotel  second from right is Eldon Young   third from right is possibly Dr Henry Holmes.</t>
  </si>
  <si>
    <t>Returned Services League of Australia. South Australian Branch;Legacy Club of Mount Gambier;Golf -- South Australia -- Mount Gambier</t>
  </si>
  <si>
    <t>b21125168</t>
  </si>
  <si>
    <t>Sister Mary Margaret</t>
  </si>
  <si>
    <t>Photograph of Sister Mary Margaret on 22nd January 1966, Mount Gambier.</t>
  </si>
  <si>
    <t>Margaret, May, Sister;Nuns -- South Australia -- Mount Gambier</t>
  </si>
  <si>
    <t>b2112825x</t>
  </si>
  <si>
    <t>J. Somerville</t>
  </si>
  <si>
    <t>Photograph of Mr J. Somerville taken in the studio in Mount Gambier in 1964.</t>
  </si>
  <si>
    <t>Somerville, J.</t>
  </si>
  <si>
    <t>b30295002</t>
  </si>
  <si>
    <t>Port Adelaide Rowing Club Life Members</t>
  </si>
  <si>
    <t>1 photograph : colour   14.5 x 13 cm;still image sti rdacontent;unmediated n rdamedia;sheet nb rdacarrier</t>
  </si>
  <si>
    <t>Port Adelaide Rowing Club Life Member R. K. Coldwell.</t>
  </si>
  <si>
    <t>Coldwell, Ron;Port Adelaide Rowing Club;Rowing -- South Australia -- Port Adelaide</t>
  </si>
  <si>
    <t>b21180477</t>
  </si>
  <si>
    <t>H.R. Hawkins</t>
  </si>
  <si>
    <t>[approximately 1966]</t>
  </si>
  <si>
    <t>Studio portrait of H.R. Hawkins dressed in a business suit.</t>
  </si>
  <si>
    <t>Hawkins, H. R.</t>
  </si>
  <si>
    <t>b21125053</t>
  </si>
  <si>
    <t>Caledonian Society</t>
  </si>
  <si>
    <t>Photograph of a member of the Caledonian Society possibly presenting a woollen blanket to a resident of a retirement home.</t>
  </si>
  <si>
    <t>Mount Gambier Caledonian Society;Scots -- South Australia -- Mount Gambier</t>
  </si>
  <si>
    <t>b21125065</t>
  </si>
  <si>
    <t>Dr. Clifford Leeson</t>
  </si>
  <si>
    <t>Dr. Clifford Alfred Leeson, Mount Gambier G.P., practiced at Ferrers Clinic between 1956 and 1970.</t>
  </si>
  <si>
    <t>Leeson, Clifford Alfred</t>
  </si>
  <si>
    <t>b21125090</t>
  </si>
  <si>
    <t>Kevin Hein</t>
  </si>
  <si>
    <t>Photograph of Mr Kevin Hein during the organisation of the Back to Mount Gambier celebration. He is surrounded by plaques, medals and sashes.</t>
  </si>
  <si>
    <t>Hein, Kevin George, 1932-</t>
  </si>
  <si>
    <t>b2110119x</t>
  </si>
  <si>
    <t>Photograph of the Leg of Mutton lake in June 1967 with very little water.</t>
  </si>
  <si>
    <t>b21101292</t>
  </si>
  <si>
    <t>Pioneer Memorial</t>
  </si>
  <si>
    <t>Photograph of a ceremony at the Pioneer Memorial in October 1967.</t>
  </si>
  <si>
    <t>Monuments -- South Australia -- Mount Gambier</t>
  </si>
  <si>
    <t>b21101309</t>
  </si>
  <si>
    <t>Distant photograph of tree planting in lakes area on 13th June 1964, Mount Gambier.</t>
  </si>
  <si>
    <t>b21104499</t>
  </si>
  <si>
    <t>Photograph of members of Apex performing voluntary work in April 1967. They are shovelling mounds of dirt possibly in a park.</t>
  </si>
  <si>
    <t>b21104505</t>
  </si>
  <si>
    <t>Photograph of members of Apex performing voluntary work in April 1967.</t>
  </si>
  <si>
    <t>b21104517</t>
  </si>
  <si>
    <t>b21104529</t>
  </si>
  <si>
    <t>Apex working bee</t>
  </si>
  <si>
    <t>Photograph of members of Apex performing voluntary work in April 1967.  They are building playground equipment climbing frames.</t>
  </si>
  <si>
    <t>Apex Club of Mount Gambier;Playground equipment and supplies -- South Australia -- Mount Gambier;Volunteers -- South Australia -- Mount Gambier</t>
  </si>
  <si>
    <t>b21104530</t>
  </si>
  <si>
    <t>b21104608</t>
  </si>
  <si>
    <t>Photograph of four gentlemen and three ladies in front of the Pioneer Memorial on 16th October 1967.</t>
  </si>
  <si>
    <t>Monuments -- South Australia -- Mount Gambier;Pioneer Memorial (Mount Gambier, S.A.);Pioneers -- South Australia -- Mount Gambier</t>
  </si>
  <si>
    <t>b2110461x</t>
  </si>
  <si>
    <t>Photograph of food being distributed from the kitchen at the Apex Boys Camp in 1967.</t>
  </si>
  <si>
    <t>Apex Club of Mount Gambier;Camps -- South Australia -- Mount Gambier;Food -- South Australia -- Mount Gambier</t>
  </si>
  <si>
    <t>b2110900x</t>
  </si>
  <si>
    <t>Port MacDonnell Centenary 1967</t>
  </si>
  <si>
    <t>Photograph of several children fishing from Port MacDonnell jetty during the Port MacDonnell Centenary in 1967.</t>
  </si>
  <si>
    <t>Jetties -- South Australia -- Port MacDonnell;Fishers -- South Australia -- Port MacDonnell;Children -- South Australia -- Port MacDonnell;Port MacDonnell -- Centennial celebrations, etc.</t>
  </si>
  <si>
    <t>b21110396</t>
  </si>
  <si>
    <t>Photograph of four delegates, including Mr J. Hopgood at right, at the Forestry Conference, 7th December 1967 at Mount Gambier.</t>
  </si>
  <si>
    <t>b21110414</t>
  </si>
  <si>
    <t>Photograph of four delegates at the Forestry Conference on 7th December 1967, Mount Gambier.</t>
  </si>
  <si>
    <t>b21111510</t>
  </si>
  <si>
    <t>RSL Corner</t>
  </si>
  <si>
    <t>Photograph of the the RSL Corner in 1967, Mount Gambier.</t>
  </si>
  <si>
    <t>b21111522</t>
  </si>
  <si>
    <t>TAB Office - Mount Gambier</t>
  </si>
  <si>
    <t>Photograph of the TAB Office being built in Mount Gambier in January 1967.</t>
  </si>
  <si>
    <t>Sports betting -- South Australia -- Mount Gambier;Stores, Retail -- South Australia -- Mount Gambier;Horse racing -- Betting -- South Australia -- Mount Gambier</t>
  </si>
  <si>
    <t>b21178859</t>
  </si>
  <si>
    <t>Photograph of the National Bank building in Mount Gambier under construction, 27 August 1967.</t>
  </si>
  <si>
    <t>National Bank of Australasia;Bank buildings -- South Australia -- Mount Gambier -- Design and construction</t>
  </si>
  <si>
    <t>b21111790</t>
  </si>
  <si>
    <t>Photograph of the front of the Park Hotel on 17th February 1967, Mount Gambier.</t>
  </si>
  <si>
    <t>b21178872</t>
  </si>
  <si>
    <t>b21120390</t>
  </si>
  <si>
    <t>Photograph of the Junior Baseball Team with their coaches on 22nd July 1967, Mount Gambier.</t>
  </si>
  <si>
    <t>b21120407</t>
  </si>
  <si>
    <t>Photograph of organisers of the New Years Day Sports in 1967, Mount Gambier.</t>
  </si>
  <si>
    <t>b21120419</t>
  </si>
  <si>
    <t>Baseball - YMCA</t>
  </si>
  <si>
    <t>Photograph of the YMCA Baseball Team on 29th July 1967, Mount Gambier.</t>
  </si>
  <si>
    <t>b21120420</t>
  </si>
  <si>
    <t>Soccer</t>
  </si>
  <si>
    <t>Photograph of  Mount Gambier Soccer Team on 13th August 1967.</t>
  </si>
  <si>
    <t>b21120432</t>
  </si>
  <si>
    <t>Photograph of one of the Mount Gambier Soccer Teams on 13th August 1967.</t>
  </si>
  <si>
    <t>b21120444</t>
  </si>
  <si>
    <t>Photograph of a young baseball team at Mount Gambier taken on 24th July 1967.</t>
  </si>
  <si>
    <t>b21120456</t>
  </si>
  <si>
    <t>Baseball MBC</t>
  </si>
  <si>
    <t>b21181263</t>
  </si>
  <si>
    <t>East Gambier Football Club team</t>
  </si>
  <si>
    <t>Photograph of East Gambier Football Club team on a bus on 6th October 1967. The person on far right is the coach, Gary Window (1965 Magarey Medalist) who East Gambier signed up from Central District, SANFL.</t>
  </si>
  <si>
    <t>East Gambier Football Club;Australian football players -- South Australia -- Mount Gambier;Australian football teams -- South Australia -- Mount Gambier</t>
  </si>
  <si>
    <t>b21120468</t>
  </si>
  <si>
    <t>Photograph of the soccer team holding their banner on 13th August 1967, Mount Gambier.</t>
  </si>
  <si>
    <t>b2112047x</t>
  </si>
  <si>
    <t>Sports Club Holland Trophy</t>
  </si>
  <si>
    <t>Photograph of the Holland Trophy being awarded to a recipient on 28th July 1967, Mount Gambier. The Holland Trophy is a soccer award.</t>
  </si>
  <si>
    <t>b21120481</t>
  </si>
  <si>
    <t>Photograph of the baseball team with coaches on 22nd July 1967, Mount Gambier.</t>
  </si>
  <si>
    <t>b21120493</t>
  </si>
  <si>
    <t>East Gambier Football Club</t>
  </si>
  <si>
    <t>Photograph of East Gambier Football Club team posing for a photo in front of a bus on 6th October 1967.</t>
  </si>
  <si>
    <t>b2112050x</t>
  </si>
  <si>
    <t>Photograph of the soccer team on 13th August 1967, Mount Gambier.</t>
  </si>
  <si>
    <t>b21120523</t>
  </si>
  <si>
    <t>Photograph of ladies and gentlemen leaving on an Ansett aeroplane for the Melbourne Cup on 1967.</t>
  </si>
  <si>
    <t>b21120547</t>
  </si>
  <si>
    <t>Photograph of five cyclists before the race at the New Years Day Sports in 1967, Mount Gambier.</t>
  </si>
  <si>
    <t>New Year -- South Australia -- Mount Gambier;Cycling -- South Australia -- Mount Gambier;Bicycle racing -- South Australia -- Mount Gambier</t>
  </si>
  <si>
    <t>b21120766</t>
  </si>
  <si>
    <t>Photograph of three cyclists at the New Years Day Sports in 1967, Mount Gambier.</t>
  </si>
  <si>
    <t>b21120778</t>
  </si>
  <si>
    <t>Soccer - Sports Club Holland Trophy</t>
  </si>
  <si>
    <t>Photograph of the soccer team that possibly won the Holland Trophy on 13th August 1967, Mount Gambier.</t>
  </si>
  <si>
    <t>b21120791</t>
  </si>
  <si>
    <t>Photograph of members of the Soccer Team taken on 13th August 1967, Mount Gambier.</t>
  </si>
  <si>
    <t>b21120808</t>
  </si>
  <si>
    <t>Photograph of six highland dancers and a piper at the New Years Day Sports in 1967, Mount Gambier.</t>
  </si>
  <si>
    <t>New year -- South Australia -- Mount Gambier;Costume -- Scotland;Dancers -- South Australia -- Mount Gambier</t>
  </si>
  <si>
    <t>b21120821</t>
  </si>
  <si>
    <t>Yachtsmen return from Canada</t>
  </si>
  <si>
    <t>Three members of the GP 14 Association of Australia upon their return after representing Australia in Canada.  The three yachtsmen are being presented with medals  by Mount Gambier Mayor Stan Elliott on 8th September 1967.</t>
  </si>
  <si>
    <t>Yachting -- South Australia -- Mount Gambier;Elliott, Stanley Hamilton, 1910-1990</t>
  </si>
  <si>
    <t>b21122398</t>
  </si>
  <si>
    <t>S. Elliott - Mayor</t>
  </si>
  <si>
    <t>Photograph of Mayor S. Elliott entering the Town Hall in July 1967, Mount Gambier.</t>
  </si>
  <si>
    <t>b21122404</t>
  </si>
  <si>
    <t>Photograph of Mayor S.H. Elliott  and his wife looking at a scrapbook of press clippings in 1967, Mount Gambier.</t>
  </si>
  <si>
    <t>b21125119</t>
  </si>
  <si>
    <t>J. Hutton</t>
  </si>
  <si>
    <t>Photograph of Mr. J. Hutton, veterinary surgeon, centre, with two other men beside an aeroplane on 10th July 1967, Mount Gambier. Mr Hutton was known as the 'flying vet'.</t>
  </si>
  <si>
    <t>Hutton, J.;Airplanes -- South Australia -- Mount Gambier</t>
  </si>
  <si>
    <t>b21165282</t>
  </si>
  <si>
    <t>New Years Day Sports Band Parade</t>
  </si>
  <si>
    <t>Photograph of the Massed Highland Bands taken during the New Years Day Sports Parade in Mount Gambier in 1967.</t>
  </si>
  <si>
    <t>b21166572</t>
  </si>
  <si>
    <t>Mr and Mrs S.H. Elliott</t>
  </si>
  <si>
    <t>[approximately 1967]</t>
  </si>
  <si>
    <t>Photograph of Mr and Mrs S.H. Elliott taken in the studio in Mount Gambier. They held the office of Mayor and Mayoress from 1958-64 and 1967-71.</t>
  </si>
  <si>
    <t>b21023876</t>
  </si>
  <si>
    <t>Adelaide Rowing Club : Veterans VIII</t>
  </si>
  <si>
    <t>Photograph  25 cm x 18 cm;RESERVE 1</t>
  </si>
  <si>
    <t>Opening Day. Veterans VIII. Bow J.B. Osborne  2 ?, 3 C. Amiel  4 W.J. Menz  5 W.H. (Bill) Stephenson  6 R.V. Osman  7 J.T. Sheppard  Stroke D. Linnett  Cox C.S. Coogan  Squatting on bank H.C. Morphett. [A researcher has suggested that the man on the bank was Lord Mayor Brigland (1966-1968) which would date the photo to that time. The identifications were taken from the back of the photograph.]</t>
  </si>
  <si>
    <t>Osborne, J. B.;Amiel, Charles Wallace;Menz, W. J.;Stephenson, W. H.;Osman, R. V.;Sheppard, J. T.;Linnett, D.;Coogan, C. S.;Morphett, Hurtle Cummins;Rowing clubs -- South Australia -- Adelaide</t>
  </si>
  <si>
    <t>General collection</t>
  </si>
  <si>
    <t>b29126095</t>
  </si>
  <si>
    <t>Port Vincent</t>
  </si>
  <si>
    <t>approximately 1967</t>
  </si>
  <si>
    <t>A southern view of Port Vincent taken from a hillside overlooking the bay. Buildings can be seen along the foreshore and there are many boats moored in the harbour  the tide is out and it is a sunny day.</t>
  </si>
  <si>
    <t>b21099868</t>
  </si>
  <si>
    <t>Australian 125 mile Championship</t>
  </si>
  <si>
    <t>Photograph of three cyclists arriving at finish line of the Australian 125 mile championship.</t>
  </si>
  <si>
    <t>Bicycle racing -- South Australia</t>
  </si>
  <si>
    <t>b2110055x</t>
  </si>
  <si>
    <t>Ceremony at street corner</t>
  </si>
  <si>
    <t>Photograph of a ceremony at a street corner on 11th November 1968.</t>
  </si>
  <si>
    <t>Rites and ceremonies -- South Australia  -- Mount Gambier</t>
  </si>
  <si>
    <t>b21100561</t>
  </si>
  <si>
    <t>b21177235</t>
  </si>
  <si>
    <t>Sheltered Workshop</t>
  </si>
  <si>
    <t>A group of women work at handicraft at a Sheltered Workshop in May 1968.</t>
  </si>
  <si>
    <t>Handicraft -- South Australia -- Mount Gambier;Sheltered workshops -- South Australia -- Mount Gambier;People with disabilities -- South Australia -- Mount Gambier</t>
  </si>
  <si>
    <t>b21104621</t>
  </si>
  <si>
    <t>Photograph of members of a sheltered workshop making handicafts in May 1968.</t>
  </si>
  <si>
    <t>Sheltered workshops -- South Australia -- Mount Gambier;Handicraft -- South Australia -- Mount Gambier;People with disabilities -- Employment -- South Australia -- Mount Gambier</t>
  </si>
  <si>
    <t>b21104633</t>
  </si>
  <si>
    <t>Y.M.C.A</t>
  </si>
  <si>
    <t>Photograph of Messrs Charles (Charlie) Miller, Ern James, Colin Davis (back row), A. Herbert, Owen G. Roberts and Keith Allan Laslett (in front), members of the Y.M.C.A., looking at building plans, October 1968.</t>
  </si>
  <si>
    <t>Miller, Charles;Laslett, Keith Allan;Roberts, Owen;Davis, Colin;James, Ern;Building planning;Young Men's Christian associations -- South Australia -- Mount Gambier</t>
  </si>
  <si>
    <t>b21104645</t>
  </si>
  <si>
    <t>Photograph of a saw being used at a sheltered workshop in May 1968. Jerry Sheehan is at left and Eric Roughana at centre, back row.</t>
  </si>
  <si>
    <t>Sheltered workshops -- South Australia -- Mount Gambier;People with disabilities -- Employment -- South Australia -- Mount Gambier;Saws</t>
  </si>
  <si>
    <t>b21104657</t>
  </si>
  <si>
    <t>Community Aid Abroad</t>
  </si>
  <si>
    <t>Photograph of items for sale from Community Aid Abroad  in August 1968.</t>
  </si>
  <si>
    <t>Community Aid Abroad (Australia). Mount Gambier Group;Charities -- South Australia -- Mount Gambier</t>
  </si>
  <si>
    <t>b21104669</t>
  </si>
  <si>
    <t>Photograph of members of a sheltered workshop creating mosaic artwork in May 1968. The man seated is Mr Jim Stafford.</t>
  </si>
  <si>
    <t>Sheltered workshops -- South Australia -- Mount Gambier;Mosaics;People with disabilities -- Employment -- South Australia -- Mount Gambier</t>
  </si>
  <si>
    <t>b21105832</t>
  </si>
  <si>
    <t>Sir Robert Helpmann</t>
  </si>
  <si>
    <t>Photograph of local residents meeting Sir Robert Helpmann at a reception in 1968.</t>
  </si>
  <si>
    <t>Helpmann, Robert, Sir, 1909-1986</t>
  </si>
  <si>
    <t>b21105856</t>
  </si>
  <si>
    <t>Photograph of Sir Robert Helpmann cutting a cake watched by a man and two school girls in 1968.</t>
  </si>
  <si>
    <t>b21110372</t>
  </si>
  <si>
    <t>Photograph of two members from the Chamber of Commerce holding wood turned products on 20 November 1968, Mount Gambier.</t>
  </si>
  <si>
    <t>Chamber of Commerce and Industry South Australia;Wood products -- South Australia -- Mount Gambier</t>
  </si>
  <si>
    <t>b21110384</t>
  </si>
  <si>
    <t>Savings Bank of South Australia</t>
  </si>
  <si>
    <t>Photograph of staff from the Mount Gambier Branch of the Savings Bank of South Australia at their Annual Branch Dinner held on 19th October 1968, Mount Gambier.</t>
  </si>
  <si>
    <t>Savings Bank of South Australia -- Employees;Banks and banking -- South Australia -- Mount Gambier -- Employees;Dinners and dining -- South Australia -- Mount Gambier</t>
  </si>
  <si>
    <t>b21110402</t>
  </si>
  <si>
    <t>Heritage Industries</t>
  </si>
  <si>
    <t>Photograph of workers and officials looking at wooden pallets at Heritage Industries on 25th November 1968, Mount Gambier. Man seated is Mr Jim Stafford.</t>
  </si>
  <si>
    <t>Wood products -- South Australia -- Mount Gambier</t>
  </si>
  <si>
    <t>b21110451</t>
  </si>
  <si>
    <t>Cheese Cold Store</t>
  </si>
  <si>
    <t>Photograph of the opening of the Cheese Cold Store on 28th October 1968, Mount Gambier.</t>
  </si>
  <si>
    <t>Cheese -- South Australia -- Mount Gambier;Stores, Retail -- South Australia -- Mount Gambier</t>
  </si>
  <si>
    <t>b21111509</t>
  </si>
  <si>
    <t>City Council Offices</t>
  </si>
  <si>
    <t>Photograph of the City Council Offices in April 1968, Mount Gambier.</t>
  </si>
  <si>
    <t>Mount Gambier (S.A.). Corporation;Municipal buildings -- South Australia -- Mount Gambier</t>
  </si>
  <si>
    <t>b21181275</t>
  </si>
  <si>
    <t>News - Castrol Trial</t>
  </si>
  <si>
    <t>Photograph of a man talking to a woman in car number nine in the News - Castrol Car Trials on 4th August 1968, Mount Gambier.</t>
  </si>
  <si>
    <t>b21120687</t>
  </si>
  <si>
    <t>Photograph of a group of interested people during the News - Castrol Car Trials on 4th August 1968, Mount Gambier.</t>
  </si>
  <si>
    <t>b21120833</t>
  </si>
  <si>
    <t>Photograph of a party of people from the Mount Gambier area while they are flying to Melbourne to attend the Melbourne Cup Races in 1968. The two front seat men are Albert Chuck and Bill Medhurst, both from Tarpeena.</t>
  </si>
  <si>
    <t>b21125120</t>
  </si>
  <si>
    <t>Kevin Hein and Mrs Watson</t>
  </si>
  <si>
    <t>Photograph of Mr Kevin Hein working on a sculptured bust watched by Mrs Watson on 10th March 1968, Mount Gambier.</t>
  </si>
  <si>
    <t>Watson, Mrs;Hein, Kevin George, 1932-;Sculptors -- South Australia -- Mount Gambier;Sculpture -- South Australia -- Mount Gambier</t>
  </si>
  <si>
    <t>b29240943</t>
  </si>
  <si>
    <t>Photograph (black and white print)  21.6 cm x 16.0 cm;still image sti rdacontent;unmediated n rdamedia;sheet nb rdacarrier</t>
  </si>
  <si>
    <t>Adelaide University students 'Prosh' stunt, showing a banner being hung between the steeples of St. Peter's Cathedral, which reads 'Tom the Cheap'. [This student prank was at a time when the Bishop was Thomas Thornton Reed  'Tom the Cheap' was a grocery chain.]</t>
  </si>
  <si>
    <t>St. Peter's Cathedral (Adelaide, S.A.);North Adelaide (S.A.)</t>
  </si>
  <si>
    <t>b29240967</t>
  </si>
  <si>
    <t>Photograph (black and white print)  21.5 cm x 15.9 cm;still image sti rdacontent;unmediated n rdamedia;sheet nb rdacarrier</t>
  </si>
  <si>
    <t>Adelaide University students 'Prosh' stunt, showing a banner being hung between the steeples of St. Peter's Cathedral, which possibly reads 'Tom the Cheap'.</t>
  </si>
  <si>
    <t>b3139260x</t>
  </si>
  <si>
    <t>Woomera obelisk</t>
  </si>
  <si>
    <t>[approximately 1968]</t>
  </si>
  <si>
    <t>1 slide : colour;still image sti rdacontent;computer c rdamedia;online resource cr rdacarrier;image file TIFF 6720 x 4540 pixels rda</t>
  </si>
  <si>
    <t>Obelisk, Woomera, South Australia. Sometimes referrred to as the 'Symbol of Woomera', it shows a woomera bearing an orbiting satellite in the arc of a dish. The rocket shape depicts the original purpose of Woomera.  Erected to commemorate the founding of the Woomera Village in November 1947, with the original survey mark placed adjacent to this point. Unveiled on Australia Day in 1967.</t>
  </si>
  <si>
    <t>b31392374</t>
  </si>
  <si>
    <t>Woomera theatre</t>
  </si>
  <si>
    <t>1 slide : colour;still image sti rdacontent;computer c rdamedia;online resource cr rdacarrier;image file TIFF 6720 x 4552 pixels rda</t>
  </si>
  <si>
    <t>b31392349</t>
  </si>
  <si>
    <t>Woomera</t>
  </si>
  <si>
    <t>1 slide : colour;still image sti rdacontent;computer c rdamedia;online resource cr rdacarrier;image file TIFF 6708 x 4540 pixels rda</t>
  </si>
  <si>
    <t>War Memorial, Woomera</t>
  </si>
  <si>
    <t>b31392611</t>
  </si>
  <si>
    <t>Woomera sandhills</t>
  </si>
  <si>
    <t>1 slide : colour;still image sti rdacontent;computer c rdamedia;online resource cr rdacarrier;image file TIFF 6708 x 4552 pixels rda</t>
  </si>
  <si>
    <t>Sandhills, Woomera, South Australia</t>
  </si>
  <si>
    <t>b31392635</t>
  </si>
  <si>
    <t>Banks at Woomera</t>
  </si>
  <si>
    <t>Banks at Woomera, South Australia. Left to Right  The National Bank of Australasia, the Bank of New South Wales, the Commonwelath Banking Corporation.</t>
  </si>
  <si>
    <t>b21073247</t>
  </si>
  <si>
    <t>Photograph  14.1 cm x 9.0 cm</t>
  </si>
  <si>
    <t>b21084555</t>
  </si>
  <si>
    <t>Photograph  13.1 cm x 8.2 cm</t>
  </si>
  <si>
    <t>b21104670</t>
  </si>
  <si>
    <t>K. Waite RSL</t>
  </si>
  <si>
    <t>Photograph of an R.S.L. formal dinner in 1969.  Toast being drunk possibly to K. Waite.</t>
  </si>
  <si>
    <t>Returned Services League of Australia. Mount Gambier Sub-Branch;Dinners and dining -- South Australia -- Mount Gambier;Toasts</t>
  </si>
  <si>
    <t>b21104700</t>
  </si>
  <si>
    <t>Photograph of a man and a lady outside City Hall in Mount Gambier on 20th January 1969.</t>
  </si>
  <si>
    <t>Community Aid Abroad (Australia). Mount Gambier Group;Mount Gambier City Hall (Mount Gambier, S.A.)</t>
  </si>
  <si>
    <t>b21104761</t>
  </si>
  <si>
    <t>Photograph of three helpers delivering food on behalf of Meals on Wheels on 22nd May 1969.</t>
  </si>
  <si>
    <t>b21104773</t>
  </si>
  <si>
    <t>Hoo Hoo Club</t>
  </si>
  <si>
    <t>Photograph of three members of the Hoo Hoo Club reading papers on 4th August 1973.</t>
  </si>
  <si>
    <t>Hoo Hoo Club of Mount Gambier</t>
  </si>
  <si>
    <t>b21105753</t>
  </si>
  <si>
    <t>South East Art Society</t>
  </si>
  <si>
    <t>Photograph of a man and a lady admiring art works at the exhibition of the South East Art Society in 1969.</t>
  </si>
  <si>
    <t>South East Art Society;Art -- South Australia -- Mount Gambier -- Exhibitions</t>
  </si>
  <si>
    <t>b21105765</t>
  </si>
  <si>
    <t>Art Society</t>
  </si>
  <si>
    <t>Photograph of three men looking at art works at the Art Society on 11th December 1969.</t>
  </si>
  <si>
    <t>b21105777</t>
  </si>
  <si>
    <t>Photograph of the girls and boys of the Junior Choral Society on 10th November 1969.</t>
  </si>
  <si>
    <t>b21105789</t>
  </si>
  <si>
    <t>Photograph of the girls and boys of the Junior Choral Society in October 1969.</t>
  </si>
  <si>
    <t>Choirs (Music) -- South Australia -- Mount Gambier;Children -- South Australia -- Mount Gambier;Choral societies -- South Australia -- Mount Gambier</t>
  </si>
  <si>
    <t>b21105790</t>
  </si>
  <si>
    <t>Photograph of the girls and boys of the Junior Choral Society on stage in costumes in October 1969.</t>
  </si>
  <si>
    <t>b21105844</t>
  </si>
  <si>
    <t>Photograph of Sir Robert Helpmann looking at a Mount Gambier memorial on 8th April 1969.</t>
  </si>
  <si>
    <t>Helpmann, Robert, Sir, 1909-1986;Memorials -- South Australia -- Mount Gambier</t>
  </si>
  <si>
    <t>b21110347</t>
  </si>
  <si>
    <t>Photograph of the crew boarding an Ansett ANA aeroplane on 8th May 1969, Mount Gambier.</t>
  </si>
  <si>
    <t>Ansett Airlines of Australia -- Employees;Airplanes -- South Australia -- Mount Gambier</t>
  </si>
  <si>
    <t>b21110360</t>
  </si>
  <si>
    <t>Southern Cross Pumps</t>
  </si>
  <si>
    <t>Photograph of five men looking at a Southern Cross Centrifugal Pump on 1st September 1969, Mount Gambier.</t>
  </si>
  <si>
    <t>Pumping machinery -- South Australia -- Mount Gambier</t>
  </si>
  <si>
    <t>b21111480</t>
  </si>
  <si>
    <t>D. J. Fowler</t>
  </si>
  <si>
    <t>Photograph of D.J. Fowler business in 1969, Mount Gambier.</t>
  </si>
  <si>
    <t>D. &amp; J. Fowler Limited</t>
  </si>
  <si>
    <t>b21120511</t>
  </si>
  <si>
    <t>Photograph of a couple of competitors checking a map on the bonnet of their car in the News-Castrol Trial in September 1969, Mount Gambier.</t>
  </si>
  <si>
    <t>b21120535</t>
  </si>
  <si>
    <t>Photograph of two lady bowlers from Penola during a bowls competition on 12th March 1969, Mount Gambier.</t>
  </si>
  <si>
    <t>b21120729</t>
  </si>
  <si>
    <t>Photograph of a lady bowler pinning a badge onto another bowler during an event at the Bowling Club on 12th March 1969, Mount Gambier.</t>
  </si>
  <si>
    <t>b21120730</t>
  </si>
  <si>
    <t>Photograph of two lady bowlers at the Bowling Club on 12th March 1969, Mount Gambier.</t>
  </si>
  <si>
    <t>b21180271</t>
  </si>
  <si>
    <t>Old Hospital</t>
  </si>
  <si>
    <t>Photograph of Mr Les Hill, unknown, Mr Kevin Hein and Mr C. Davis looking at an aerial photograph of the hospital at Mount Gambier, 22 December 1969.</t>
  </si>
  <si>
    <t>b21124978</t>
  </si>
  <si>
    <t>Photograph of Sir Robert Helpmann sitting on the edge of a  memorial in the street in Mount Gambier on 8th April 1969.</t>
  </si>
  <si>
    <t>b21125004</t>
  </si>
  <si>
    <t>Mrs Ivy Webster</t>
  </si>
  <si>
    <t>Photograph of Mrs Ivy Webster holding a baby in 1969.</t>
  </si>
  <si>
    <t>Webster, Ivy</t>
  </si>
  <si>
    <t>b2112503x</t>
  </si>
  <si>
    <t>Robert Helpmann</t>
  </si>
  <si>
    <t>Sir Robert Helpmann at a reception in Mount Gambier in 1969. The Mayor of Mt. Gambier, Stanley Elliott, is to the left of Helpmann.</t>
  </si>
  <si>
    <t>b21125041</t>
  </si>
  <si>
    <t>Sir R. Helpmann</t>
  </si>
  <si>
    <t>Photograph of Sir Robert Helpmann being presented with a cake with candles by two school girls at an event in Mount Gambier on 10th April 1969.</t>
  </si>
  <si>
    <t>Helpmann, Robert, Sir, 1909-1986;Students -- South Australia -- Mount Gambier</t>
  </si>
  <si>
    <t>b31392647</t>
  </si>
  <si>
    <t>Playing Baseball at Woomera</t>
  </si>
  <si>
    <t>[approximately 1969]</t>
  </si>
  <si>
    <t>1 slide : colour;still image sti rdacontent;computer c rdamedia;online resource cr rdacarrier;image file TIFF 4560 x 6750 pixels rda</t>
  </si>
  <si>
    <t>Playing Baseball at Woomera, South Australia.</t>
  </si>
  <si>
    <t>b31392672</t>
  </si>
  <si>
    <t>1 slide : colour;still image sti rdacontent;computer c rdamedia;online resource cr rdacarrier;image file TIFF 4548 x 6738 pixels rda</t>
  </si>
  <si>
    <t>b31392684</t>
  </si>
  <si>
    <t>At Woomera</t>
  </si>
  <si>
    <t>At Woomera, South Australia.</t>
  </si>
  <si>
    <t>b31392696</t>
  </si>
  <si>
    <t>b31392702</t>
  </si>
  <si>
    <t>b31392714</t>
  </si>
  <si>
    <t>b3139274x</t>
  </si>
  <si>
    <t>b31392751</t>
  </si>
  <si>
    <t>b31392763</t>
  </si>
  <si>
    <t>Zajicek's at Woomera</t>
  </si>
  <si>
    <t>Zajicek's at Woomera, South Australia.</t>
  </si>
  <si>
    <t>b31392817</t>
  </si>
  <si>
    <t>1 slide : colour;still image sti rdacontent;computer c rdamedia;online resource cr rdacarrier;image file TIFF 6696 x 4552 pixels rda</t>
  </si>
  <si>
    <t>b31392830</t>
  </si>
  <si>
    <t>School children at Woomera</t>
  </si>
  <si>
    <t>1 slide : colour;still image sti rdacontent;computer c rdamedia;online resource cr rdacarrier;image file TIFF 6672 x 4528 pixels rda</t>
  </si>
  <si>
    <t>School children at Woomera, South Australia.</t>
  </si>
  <si>
    <t>b31392891</t>
  </si>
  <si>
    <t>b31392908</t>
  </si>
  <si>
    <t>Zajiceks at Woomera</t>
  </si>
  <si>
    <t>1 slide : colour;still image sti rdacontent;computer c rdamedia;online resource cr rdacarrier;image file TIFF 6684 x 4540 pixels rda</t>
  </si>
  <si>
    <t>Peter Zajicek and his mother Joan at Woomera, South Australia.</t>
  </si>
  <si>
    <t>Zajicek, Joan;Zajicek, Peter;Woomera (S.A.)</t>
  </si>
  <si>
    <t>b3139291x</t>
  </si>
  <si>
    <t>Zajicek, Joan, photographer</t>
  </si>
  <si>
    <t>1 slide : colour;still image sti rdacontent;computer c rdamedia;online resource cr rdacarrier;image file TIFF 6672 x 4552 pixels rda</t>
  </si>
  <si>
    <t>Peter Zajicek and his father Lubomir (Les) at Woomera, South Australia.</t>
  </si>
  <si>
    <t>Zajicek, Lubomir, 1921-1988;Zajicek, Peter;Woomera (S.A.)</t>
  </si>
  <si>
    <t>b31392933</t>
  </si>
  <si>
    <t>1 slide : colour;still image sti rdacontent;computer c rdamedia;online resource cr rdacarrier;image file TIFF 4548 x 6750 pixels rda</t>
  </si>
  <si>
    <t>b31392957</t>
  </si>
  <si>
    <t>Peter Zajicek at Woomera</t>
  </si>
  <si>
    <t>1 slide : colour;still image sti rdacontent;computer c rdamedia;online resource cr rdacarrier;image file TIFF 4524 x 6714 pixels rda</t>
  </si>
  <si>
    <t>Peter Zajicek holding a bottle of Coca-Cola and a football at Woomera, South Australia.</t>
  </si>
  <si>
    <t>Zajicek, Peter;Woomera (S.A.)</t>
  </si>
  <si>
    <t>b31392969</t>
  </si>
  <si>
    <t>Peter Zajicek drinking from a bottle of Coca-Cola while lying in the red dirt of Woomera, South Australia.</t>
  </si>
  <si>
    <t>b31392970</t>
  </si>
  <si>
    <t>Peter Zajicek on a rope swing at Woomera, South Australia.</t>
  </si>
  <si>
    <t>b31392982</t>
  </si>
  <si>
    <t>1 slide : colour;still image sti rdacontent;computer c rdamedia;online resource cr rdacarrier;image file TIFF 6696 x 4540 pixels rda</t>
  </si>
  <si>
    <t>Peter Zajicek climbing a tree at Woomera, South Australia.</t>
  </si>
  <si>
    <t>b31393019</t>
  </si>
  <si>
    <t>Peter Zajicek tends a campfire at Woomera, South Australia.</t>
  </si>
  <si>
    <t>b31393020</t>
  </si>
  <si>
    <t>Peter and Joan Zajicek at Woomera</t>
  </si>
  <si>
    <t>1 slide : colour;still image sti rdacontent;computer c rdamedia;online resource cr rdacarrier;image file TIFF 4572 x 6822 pixels rda</t>
  </si>
  <si>
    <t>Peter Zajicek with his mother Joan at Woomera, South Australia.</t>
  </si>
  <si>
    <t>b31393032</t>
  </si>
  <si>
    <t>b31393056</t>
  </si>
  <si>
    <t>1 slide : colour;still image sti rdacontent;computer c rdamedia;online resource cr rdacarrier;image file TIFF 6696 x 4528 pixels rda</t>
  </si>
  <si>
    <t>b31393068</t>
  </si>
  <si>
    <t>b3139307x</t>
  </si>
  <si>
    <t>1 slide : colour;still image sti rdacontent;computer c rdamedia;online resource cr rdacarrier;image file TIFF 6840 x 4576 pixels rda</t>
  </si>
  <si>
    <t>Peter Zajicek riding a bike at Woomera, South Australia.</t>
  </si>
  <si>
    <t>b31393081</t>
  </si>
  <si>
    <t>1 slide : colour;still image sti rdacontent;computer c rdamedia;online resource cr rdacarrier;image file TIFF 6816 x 4576 pixels rda</t>
  </si>
  <si>
    <t>b31393226</t>
  </si>
  <si>
    <t>Horse riding at Woomera</t>
  </si>
  <si>
    <t>1 slide : colour;still image sti rdacontent;computer c rdamedia;online resource cr rdacarrier;image file TIFF 6708 x 4504 pixels rda</t>
  </si>
  <si>
    <t>Horse riding at Woomera, South Australia.</t>
  </si>
  <si>
    <t>b31393251</t>
  </si>
  <si>
    <t>Peafowl at Woomera</t>
  </si>
  <si>
    <t>1 slide : colour;still image sti rdacontent;computer c rdamedia;online resource cr rdacarrier;image file TIFF 5964 x 4624 pixels rda</t>
  </si>
  <si>
    <t>Peter Zajicek looking at Peafowl at Woomera, South Australia.</t>
  </si>
  <si>
    <t>b31393263</t>
  </si>
  <si>
    <t>House at Woomera</t>
  </si>
  <si>
    <t>1 slide : colour;still image sti rdacontent;computer c rdamedia;online resource cr rdacarrier;image file TIFF 6629 x 4476 pixels rda</t>
  </si>
  <si>
    <t>Exterior night view of a house with its interior lights and porch light turned on at Woomera, South Australia.</t>
  </si>
  <si>
    <t>Architecture, Domestic -- South Australia -- Woomera;Woomera (S.A.)</t>
  </si>
  <si>
    <t>b31393287</t>
  </si>
  <si>
    <t>1 slide : colour;still image sti rdacontent;computer c rdamedia;online resource cr rdacarrier;image file TIFF 6864 x 4504 pixels rda</t>
  </si>
  <si>
    <t>Exterior view of a house at Woomera, South Australia.</t>
  </si>
  <si>
    <t>b31393305</t>
  </si>
  <si>
    <t>Baking bread at Woomera</t>
  </si>
  <si>
    <t>1 slide : colour;still image sti rdacontent;computer c rdamedia;online resource cr rdacarrier;image file TIFF 6816 x 4516 pixels rda</t>
  </si>
  <si>
    <t>Joan Zajicek baking bread in the kitchen of their house at Woomera, South Australia.</t>
  </si>
  <si>
    <t>Zajicek, Joan;Interior architecture -- South Australia -- Woomera;Woomera (S.A.)</t>
  </si>
  <si>
    <t>b31393329</t>
  </si>
  <si>
    <t>Reading 'Flynn of the Inland' at Woomera</t>
  </si>
  <si>
    <t>1 slide : colour;still image sti rdacontent;computer c rdamedia;online resource cr rdacarrier;image file TIFF 6804 x 4528 pixels rda</t>
  </si>
  <si>
    <t>Joan Zajicek reading 'Flynn of the Inland' while sitting in a chair in the loungeroom of their house at Woomera, South Australia.</t>
  </si>
  <si>
    <t>b31393470</t>
  </si>
  <si>
    <t>Austin 1800 sedan near Woomera</t>
  </si>
  <si>
    <t>1 slide : colour;still image sti rdacontent;computer c rdamedia;online resource cr rdacarrier;image file TIFF 6852 x 4552 pixels rda</t>
  </si>
  <si>
    <t>Austin 1800 sedan on a dirt road near Woomera, South Australia.</t>
  </si>
  <si>
    <t>Austin 1800 automobile;Woomera (S.A.)</t>
  </si>
  <si>
    <t>b31393512</t>
  </si>
  <si>
    <t>Salt pan near Woomera</t>
  </si>
  <si>
    <t>Joan Zajicek with her back to the camera looks across a salt pan near Woomera, South Australia.</t>
  </si>
  <si>
    <t>Zajicek, Joan;Woomera (S.A.)</t>
  </si>
  <si>
    <t>b31393536</t>
  </si>
  <si>
    <t>View across a salt pan near Woomera, South Australia.</t>
  </si>
  <si>
    <t>b21072139</t>
  </si>
  <si>
    <t>Achimota</t>
  </si>
  <si>
    <t>Photograph  13.7 cm x 8 cm</t>
  </si>
  <si>
    <t>Achimota (Ship);Ships</t>
  </si>
  <si>
    <t>b21100548</t>
  </si>
  <si>
    <t>Rail Yard</t>
  </si>
  <si>
    <t>Photograph of two men loading hay at a railway yard.</t>
  </si>
  <si>
    <t>Railroads -- South Australia -- Yards</t>
  </si>
  <si>
    <t>b21100573</t>
  </si>
  <si>
    <t>Cemetery</t>
  </si>
  <si>
    <t>Photograph of a funeral procession of hearses about to enter the cemetery.</t>
  </si>
  <si>
    <t>Funeral rites and ceremonies -- South Australia;Cemeteries -- South Australia</t>
  </si>
  <si>
    <t>b21101164</t>
  </si>
  <si>
    <t>Lake at Mount Gambier</t>
  </si>
  <si>
    <t>Photograph of one of the lakes at Mount Gambier taken in 1970.</t>
  </si>
  <si>
    <t>b21182425</t>
  </si>
  <si>
    <t>b21101188</t>
  </si>
  <si>
    <t>Road around Blue Lake</t>
  </si>
  <si>
    <t>Photograph in 1970 of Bay Road (leading to Port MacDonnell), with the Blue Lake at left and the Adam Lindsay Gordon monument by the roadway at right to Leg of Mutton Lake, Mount Gambier.</t>
  </si>
  <si>
    <t>b21104712</t>
  </si>
  <si>
    <t>Legacy</t>
  </si>
  <si>
    <t>Photograph of three men at a Legacy event on 11th July 1970.</t>
  </si>
  <si>
    <t>Legacy Club of Mount Gambier;Charities -- South Australia -- Mount Gambier;Child welfare -- South Australia -- Mount Gambier;Veterans -- South Australia -- Societies, etc.</t>
  </si>
  <si>
    <t>b21104724</t>
  </si>
  <si>
    <t>Photograph of five men at a Legacy meeting possibly depicting donations being given to Legacy. Event was held on 11th July 1970.</t>
  </si>
  <si>
    <t>Legacy Club of Mount Gambier;Charities -- South Australia -- Mount Gambier;Veterans -- South Australia -- Societies, etc.;Child welfare -- South Australia -- Mount Gambier</t>
  </si>
  <si>
    <t>b21104736</t>
  </si>
  <si>
    <t>M.B.H.A</t>
  </si>
  <si>
    <t>Photograph of a man and lady in seventies fashions admiring a scarf on 15th September 1970. Researcher suggest the man is possibly from the de Bruin family, and the woman is Pam Hillier.</t>
  </si>
  <si>
    <t>Clothing and dress</t>
  </si>
  <si>
    <t>b2110587x</t>
  </si>
  <si>
    <t>South East Art Society Opening</t>
  </si>
  <si>
    <t>Photograph of works of art being admired by Mrs Jean Elliott (mayoress), Mr Stan Elliott,(Mayor) and Mr Kevin Hein, Art Society secretary, at the opening of the South East Art Society Exhibition in September 1970.</t>
  </si>
  <si>
    <t>b21110359</t>
  </si>
  <si>
    <t>Mount Gambier Power Station</t>
  </si>
  <si>
    <t>Photograph of machinery at the Mount Gambier Power Station in 1970.</t>
  </si>
  <si>
    <t>b21111352</t>
  </si>
  <si>
    <t>Aerial view of Mildara</t>
  </si>
  <si>
    <t>Aerial photograph of Mildara in 1970.</t>
  </si>
  <si>
    <t>Mildara Blass Limited;Wineries -- South Australia -- Barossa Valley</t>
  </si>
  <si>
    <t>b21111364</t>
  </si>
  <si>
    <t>Aerial view of Mount Gambier looking South West</t>
  </si>
  <si>
    <t>Aerial photograph of Mount Gambier looking South West on 16th September 1970.</t>
  </si>
  <si>
    <t>b21111443</t>
  </si>
  <si>
    <t>Photograph of Dr. H.R. Hawkins President of Boandik Lodge laying the Foundation Stone on 1st February 1970, Mount Gambier.</t>
  </si>
  <si>
    <t>Boandik Lodge (Mount Gambier, S.A.)</t>
  </si>
  <si>
    <t>b21111455</t>
  </si>
  <si>
    <t>Ambulance base</t>
  </si>
  <si>
    <t>The St John Ambulance Centre, east side of Penola Road, Mount Gambier, February 1970. A ambulance is in the driveway.</t>
  </si>
  <si>
    <t>b21111479</t>
  </si>
  <si>
    <t>Tourist Office in the Town Hall</t>
  </si>
  <si>
    <t>Photograph of the Town Hall and Jens Hotel in Mount Gambier in 1970.</t>
  </si>
  <si>
    <t>Mount Gambier Town Hall;Municipal buildings -- South Australia -- Mount Gambier;Tourism -- South Australia -- Mount Gambier</t>
  </si>
  <si>
    <t>b2118124x</t>
  </si>
  <si>
    <t>Photograph of Mr. K. Waite and other male guests at a dinner in 1970, Mount Gambier.</t>
  </si>
  <si>
    <t>Waite, K. R.;Dinners and dining -- South Australia -- Mount Gambier</t>
  </si>
  <si>
    <t>b21120754</t>
  </si>
  <si>
    <t>Racing Trophies</t>
  </si>
  <si>
    <t>Photograph of two men with a silver jug and a silver tray which appear to be racing trophies awarded on 23rd July 1970, Mount Gambier. A researcher has added that 'the man on the left is Robert Kirby of Mingbool Station. He was a racehorse breeder and active member of the Mt Gambier Racing Club. The man on the right may be then mayor, Stan Elliott.'</t>
  </si>
  <si>
    <t>Horse racing -- Awards -- South Australia -- Mount Gambier</t>
  </si>
  <si>
    <t>b2112078x</t>
  </si>
  <si>
    <t>Photograph of members of the Sunnyside Bowling Club during a game in September 1970, Mount Gambier.</t>
  </si>
  <si>
    <t>b2112081x</t>
  </si>
  <si>
    <t>Sunnyside Bowls</t>
  </si>
  <si>
    <t>Photograph of members from the Sunnyside Bowling Club playing a game in September 1970, Mount Gambier.</t>
  </si>
  <si>
    <t>Bowls -- South Australia -- Mount Gambier;Bowls (Game) -- South Australia -- Mount Gambier</t>
  </si>
  <si>
    <t>b31392477</t>
  </si>
  <si>
    <t>[approximately 1970]</t>
  </si>
  <si>
    <t>Commonwealth Police Check Point, Woomera, South Australia</t>
  </si>
  <si>
    <t>b29531731</t>
  </si>
  <si>
    <t>Gordon, Raymond Hier, 1909-2001, photographer</t>
  </si>
  <si>
    <t>Shark</t>
  </si>
  <si>
    <t>1 photograph : acetate, negative, black and white   5.6 x 5.6 cm;still image sti rdacontent;other x rdamedia;unspecified zu rdacarrier</t>
  </si>
  <si>
    <t>A shark in a cage. To see all the photographs in this collection, search on Archival number PRG 1605/9.</t>
  </si>
  <si>
    <t>Sharks -- South Australia</t>
  </si>
  <si>
    <t>Raymond Gordon Collection</t>
  </si>
  <si>
    <t>b29531755</t>
  </si>
  <si>
    <t>Three scuba divers</t>
  </si>
  <si>
    <t>Three scuba divers in a cage, one appears to be filming the other divers. To see all the photographs in this collection, search on Archival number PRG 1605/9.</t>
  </si>
  <si>
    <t>Scuba divers -- South Australia</t>
  </si>
  <si>
    <t>b29531767</t>
  </si>
  <si>
    <t>Man with tie</t>
  </si>
  <si>
    <t>Man in a shirt and tie. To see all the photographs in this collection, search on Archival number PRG 1605/9.</t>
  </si>
  <si>
    <t>b29531779</t>
  </si>
  <si>
    <t>Two scuba divers</t>
  </si>
  <si>
    <t>Two scuba divers, preparing to enter the water. To see all the photographs in this collection, search on Archival number PRG 1605/9.</t>
  </si>
  <si>
    <t>b29531780</t>
  </si>
  <si>
    <t>A shark.  To see all the photographs in this collection, search on Archival number PRG 1605/9.</t>
  </si>
  <si>
    <t>b29531792</t>
  </si>
  <si>
    <t>Scuba divers in cage</t>
  </si>
  <si>
    <t>Two scuba divers in a cage. To see all the photographs in this collection, search on Archival number PRG 1605/9.</t>
  </si>
  <si>
    <t>b29531809</t>
  </si>
  <si>
    <t>Men in boat</t>
  </si>
  <si>
    <t>Men in a boat, including a scuba diver. A fin is poking up through the water nearby. To see all the photographs in this collection, search on Archival number PRG 1605/9.</t>
  </si>
  <si>
    <t>Boats and boating -- South Australia</t>
  </si>
  <si>
    <t>b29531810</t>
  </si>
  <si>
    <t>Dolphins or sharks</t>
  </si>
  <si>
    <t>Dolphins or sharks by the shore. To see all the photographs in this collection, search on Archival number PRG 1605/9.</t>
  </si>
  <si>
    <t>Dolphins -- South Australia;Sharks -- South Australia</t>
  </si>
  <si>
    <t>b29532826</t>
  </si>
  <si>
    <t>Close up view of a shark and its teeth. To see all the photographs in this collection, search on Archival number PRG 1605/9.</t>
  </si>
  <si>
    <t>b29532838</t>
  </si>
  <si>
    <t>Close up view of a shark. The photograph includes a reflection of a building and the the legs of the photographer. To see all the photographs in this collection, search on Archival number PRG 1605/9.</t>
  </si>
  <si>
    <t>b2953284x</t>
  </si>
  <si>
    <t>Man grinning</t>
  </si>
  <si>
    <t>Man grinning. To see all the photographs in this collection, search on Archival number PRG 1605/9.</t>
  </si>
  <si>
    <t>b2953172x</t>
  </si>
  <si>
    <t>Rodney Fox</t>
  </si>
  <si>
    <t>Photograph of a man with large wounds on his back, possibly from a shark attack. To see all the photographs in this collection, search on Archival number PRG 1605/9.</t>
  </si>
  <si>
    <t>Fox, Rodney, 1940-;Shark attacks -- South Australia;Wounds and injuries -- South Australia</t>
  </si>
  <si>
    <t>b31392398</t>
  </si>
  <si>
    <t>1 slide : colour;still image sti rdacontent;computer c rdamedia;online resource cr rdacarrier;image file TIFF 6744 x 4528 pixels rda</t>
  </si>
  <si>
    <t>Kev Cameron Motors Pty Ltd Holden dealership, Woomera</t>
  </si>
  <si>
    <t>b31392441</t>
  </si>
  <si>
    <t>b31392453</t>
  </si>
  <si>
    <t>Zajicek, Lubomir, photographer</t>
  </si>
  <si>
    <t>1 slide : colour;still image sti rdacontent;computer c rdamedia;online resource cr rdacarrier;image file TIFF 6684 x 4516 pixels rda</t>
  </si>
  <si>
    <t>Ernest Giles Auto Port, Woomera, South Australia</t>
  </si>
  <si>
    <t>b31394188</t>
  </si>
  <si>
    <t>Rocket on its launch pad at Woomera, South Australia.</t>
  </si>
  <si>
    <t>b3139419x</t>
  </si>
  <si>
    <t>1 slide : colour;still image sti rdacontent;computer c rdamedia;online resource cr rdacarrier;image file TIFF 6696 x 4564 pixels rda</t>
  </si>
  <si>
    <t>b31394206</t>
  </si>
  <si>
    <t>1 slide : colour;still image sti rdacontent;computer c rdamedia;online resource cr rdacarrier;image file TIFF 6720 x 4576 pixels rda</t>
  </si>
  <si>
    <t>b31394218</t>
  </si>
  <si>
    <t>b3139422x</t>
  </si>
  <si>
    <t>b31394231</t>
  </si>
  <si>
    <t>1 slide : colour;still image sti rdacontent;computer c rdamedia;online resource cr rdacarrier;image file TIFF 6696 x 4588 pixels rda</t>
  </si>
  <si>
    <t>b31394255</t>
  </si>
  <si>
    <t>1 slide : colour;still image sti rdacontent;computer c rdamedia;online resource cr rdacarrier;image file TIFF 6720 x 4588 pixels rda</t>
  </si>
  <si>
    <t>b31394267</t>
  </si>
  <si>
    <t>b31392465</t>
  </si>
  <si>
    <t>Buses at Woomera, South Australia</t>
  </si>
  <si>
    <t>b31394280</t>
  </si>
  <si>
    <t>Dead Wedge-tailed eagles on a fence</t>
  </si>
  <si>
    <t>1 slide : colour;still image sti rdacontent;computer c rdamedia;online resource cr rdacarrier;image file TIFF 6852 x 4672 pixels rda</t>
  </si>
  <si>
    <t>Dead Wedge-tailed eagles on a fence.</t>
  </si>
  <si>
    <t>Wedge-tailed eagle -- South Australia</t>
  </si>
  <si>
    <t>b21104839</t>
  </si>
  <si>
    <t>1970 February 1</t>
  </si>
  <si>
    <t>Photograph of the foundation stone being laid by Dr. H. R. Hawkins, President of Boandik Lodge Inc. on 1st February 1970. The three men at left are Mr. W. Edward (manager), Mr C.H. Kentish and Dr Hawkins.</t>
  </si>
  <si>
    <t>b3140389x</t>
  </si>
  <si>
    <t>Clark, Terry, 1937- photographer</t>
  </si>
  <si>
    <t>Motocross, Woomera, South Australia</t>
  </si>
  <si>
    <t>1970 October 25</t>
  </si>
  <si>
    <t>1 negative black and white;still image sti rdacontent;computer c rdamedia;online resource cr rdacarrier;image file TIFF 6614 x 4471 pixels rda</t>
  </si>
  <si>
    <t>Motocross at Woomera, South Australia. The dirt track was located on the right hand side of the road between the Viilage and the Technical Area.</t>
  </si>
  <si>
    <t>Motocross -- South Australia -- Woomera;Motorcycles -- South Australia -- Woomera;Woomera (S.A.)</t>
  </si>
  <si>
    <t>b31403906</t>
  </si>
  <si>
    <t>1 negative black and white;still image sti rdacontent;computer c rdamedia;online resource cr rdacarrier;image file TIFF 6616 x 4430 pixels rda</t>
  </si>
  <si>
    <t>Motocross at Woomera, South Australia</t>
  </si>
  <si>
    <t>b31403918</t>
  </si>
  <si>
    <t>1 negative black and white;still image sti rdacontent;computer c rdamedia;online resource cr rdacarrier;image file TIFF 6654 x 4505 pixels rda</t>
  </si>
  <si>
    <t>b31404121</t>
  </si>
  <si>
    <t>1 negative black and white;still image sti rdacontent;computer c rdamedia;online resource cr rdacarrier;image file TIFF 6580 x 4441 pixels rda</t>
  </si>
  <si>
    <t>b31404145</t>
  </si>
  <si>
    <t>1 negative black and white;still image sti rdacontent;computer c rdamedia;online resource cr rdacarrier;image file TIFF 6543 x 4420 pixels rda</t>
  </si>
  <si>
    <t>b31404157</t>
  </si>
  <si>
    <t>1 negative black and white;still image sti rdacontent;computer c rdamedia;online resource cr rdacarrier;image file TIFF 6526 x 4412 pixels rda</t>
  </si>
  <si>
    <t>b31404169</t>
  </si>
  <si>
    <t>1 negative black and white;still image sti rdacontent;computer c rdamedia;online resource cr rdacarrier;image file TIFF 4430 x 6539 pixels rda</t>
  </si>
  <si>
    <t>b31404182</t>
  </si>
  <si>
    <t>1 negative black and white;still image sti rdacontent;computer c rdamedia;online resource cr rdacarrier;image file TIFF 6601 x 4457 pixels rda</t>
  </si>
  <si>
    <t>b31404194</t>
  </si>
  <si>
    <t>1 negative black and white;still image sti rdacontent;computer c rdamedia;online resource cr rdacarrier;image file TIFF 6594 x 4440 pixels rda</t>
  </si>
  <si>
    <t>b31404212</t>
  </si>
  <si>
    <t>1 negative black and white;still image sti rdacontent;computer c rdamedia;online resource cr rdacarrier;image file TIFF 6599 x 4486 pixels rda</t>
  </si>
  <si>
    <t>b31404224</t>
  </si>
  <si>
    <t>1 negative black and white;still image sti rdacontent;computer c rdamedia;online resource cr rdacarrier;image file TIFF 6594 x 4451 pixels rda</t>
  </si>
  <si>
    <t>b31404248</t>
  </si>
  <si>
    <t>1 negative black and white;still image sti rdacontent;computer c rdamedia;online resource cr rdacarrier;image file TIFF 6593 x 4436 pixels rda</t>
  </si>
  <si>
    <t>b31394334</t>
  </si>
  <si>
    <t>St. Boniface's Anglican Church (Nuriootpa, S.A.)</t>
  </si>
  <si>
    <t>Confirmees at St. Boniface's Church, Nuriootpa</t>
  </si>
  <si>
    <t>1973 October 7</t>
  </si>
  <si>
    <t>1 photograph : black and white   12.6 x 17.6 cm.;RESERVE 1</t>
  </si>
  <si>
    <t>A group of young church members of St. Boniface's Church, pictured after their confirmation service with the Right Reverend L.E.W Renfrey (seated) and the rector, the Reverend I.J. Mc Dowell. Back row, from left: Betty Linke, Coralie Heywood, Joanne Schroeter, Gillas Ramsay, Janene Graetz, Sonia Grosskopp, Alexandra Wiscombe, Denise Grocke, Angela Brooks. Front row, from left: Geoffrey King, Richard Goers, Robert Moore, Tristan Ramsay, Robert Martin, Mark Holmes, Mark Schick, Graeme Martin.</t>
  </si>
  <si>
    <t>Renfrey, L. E. W. (Lionel Edward William), 1916-2008;McDowell, I. J.;St. Boniface's Church (Nuriootpa, S.A.);Anglican Church -- South Australia -- Nuriootpa</t>
  </si>
  <si>
    <t>b23646470</t>
  </si>
  <si>
    <t>The Arthur Studio : SUMMARY RECORD</t>
  </si>
  <si>
    <t>approximately 1930-1970</t>
  </si>
  <si>
    <t>RESERVE 1 [negatives &amp; prints];2.18 metres</t>
  </si>
  <si>
    <t>A collection of over 6500 photographs taken by Mount Gambier photography firm of Arthur &amp; Son (later The Arthur Studio). The images, mostly taken by Eric Arthur, provide a comprehensive visual perspective on the people, places and events from the late 1930s to the 1970s in the Mount Gambier region. The earlier photos are the work of his father, Garnet William Arthur, who established the business.</t>
  </si>
  <si>
    <t>b21101152</t>
  </si>
  <si>
    <t>Aerial photograph of lakes</t>
  </si>
  <si>
    <t>Photograph of all of the lakes at Mount Gambier taken in 1971.</t>
  </si>
  <si>
    <t>Lakes -- South Australia -- Mount Gambier;Mount Gambier (S.A.) -- Aerial photographs</t>
  </si>
  <si>
    <t>b21111212</t>
  </si>
  <si>
    <t>Aerial view Fletcher Jones Factory at Mount Gambier</t>
  </si>
  <si>
    <t>Aerial photograph of the Fletcher Jones Factory at Mount Gambier in September 1971.</t>
  </si>
  <si>
    <t>Fletcher Jones (Firm);Textile industry -- South Australia -- Mount Gambier</t>
  </si>
  <si>
    <t>b21111224</t>
  </si>
  <si>
    <t>Aerial view of the Lakes at Mount Gambier</t>
  </si>
  <si>
    <t>Aerial photograph of the Lakes at Mount Gambier in 1971.</t>
  </si>
  <si>
    <t>b21111236</t>
  </si>
  <si>
    <t>b21111315</t>
  </si>
  <si>
    <t>Aerial view of Mount Gambier and the Lakes</t>
  </si>
  <si>
    <t>Aerial photograph of Mount Gambier and the Lakes in 1971photographed from directly above.</t>
  </si>
  <si>
    <t>b21124966</t>
  </si>
  <si>
    <t>Christmas Parade</t>
  </si>
  <si>
    <t>Photograph of a comedy fireman's float during the Mount Gambier Christmas Parade in 1971. Photograph shows six "firemen" in old uniforms aboard a vintage fire engine.</t>
  </si>
  <si>
    <t>Pageants -- South Australia -- Mount Gambier;Christmas -- South Australia -- Mount Gambier</t>
  </si>
  <si>
    <t>b21125028</t>
  </si>
  <si>
    <t>Mr H. Holmes and family</t>
  </si>
  <si>
    <t>Photograph of Mr H. Holmes and his wife and son and daughter about to board an aeroplane in 1971, Mount Gambier.</t>
  </si>
  <si>
    <t>Holmes, H.;Holmes (Family);Airplanes -- South Australia -- Mount Gambier</t>
  </si>
  <si>
    <t>b21101176</t>
  </si>
  <si>
    <t>Lakes water storage</t>
  </si>
  <si>
    <t>Photograph of lakes water storage on 11th April 1972, Mount Gambier.</t>
  </si>
  <si>
    <t>Lakes -- South Australia -- Mount Gambier.;Water-supply -- South Australia -- Mount Gambier.</t>
  </si>
  <si>
    <t>b21104827</t>
  </si>
  <si>
    <t>Photograph of buildings at the Boandik Lodge on 11th April 1972.</t>
  </si>
  <si>
    <t>b21111133</t>
  </si>
  <si>
    <t>Photograph of Mount Gambier from the air in May 1972.</t>
  </si>
  <si>
    <t>b21111145</t>
  </si>
  <si>
    <t>Photograph of Mount Gambier and the Lakes from the air in November 1972.</t>
  </si>
  <si>
    <t>b21111248</t>
  </si>
  <si>
    <t>Aerial photograph of the Lakes at Mount Gambier in November 1972.</t>
  </si>
  <si>
    <t>b2111125x</t>
  </si>
  <si>
    <t>b21111261</t>
  </si>
  <si>
    <t>b21111273</t>
  </si>
  <si>
    <t>Aerial photograph of Mount Gambier in May 1972.</t>
  </si>
  <si>
    <t>b21111285</t>
  </si>
  <si>
    <t>b21111297</t>
  </si>
  <si>
    <t>Aerial photograph of Mount Gambier and the Lakes in November 1972.</t>
  </si>
  <si>
    <t>b2111142x</t>
  </si>
  <si>
    <t>St. Paul's Church</t>
  </si>
  <si>
    <t>Photograph of St. Paul's Church on 22nd July 1972, Mount Gambier.</t>
  </si>
  <si>
    <t>St. Paul's Church (Mount Gambier, S.A.);Church buildings -- South Australia -- Mount Gambier</t>
  </si>
  <si>
    <t>b21111431</t>
  </si>
  <si>
    <t>b21180465</t>
  </si>
  <si>
    <t>Les Hill and family</t>
  </si>
  <si>
    <t>Photograph of Les Hill and his family looking at copies of Les Hill's book "Mount Gambier : the city around a cave" at the book launch in the Mount Gambier Art Gallery. From left clockwise: Vivienne Hill (nee Peters), Doug Hill, Les Hill, Marj Hill (nee Sexton), Graham Hill, and Karen Hill.</t>
  </si>
  <si>
    <t>Hill (Family);Hill, Les R. (Leslie Raymond), 1912-;Authors, Australian -- South Australia -- Mount Gambier</t>
  </si>
  <si>
    <t>b31396343</t>
  </si>
  <si>
    <t>Ginticklers at Woomera, South Australia</t>
  </si>
  <si>
    <t>[approximately 1972]</t>
  </si>
  <si>
    <t>1 photograph : black and white;still image sti rdacontent;computer c rdamedia;online resource cr rdacarrier;image file TIFF 5766 x 4207 pixels rda</t>
  </si>
  <si>
    <t>The Ginticklers Cricket team at Woomera, South Australia.</t>
  </si>
  <si>
    <t>Cricket players -- South Australia -- Woomera;Woomera (S.A.)</t>
  </si>
  <si>
    <t>b31396355</t>
  </si>
  <si>
    <t>Squash players at Woomera, South Australia</t>
  </si>
  <si>
    <t>1 photograph : black and white;still image sti rdacontent;computer c rdamedia;online resource cr rdacarrier;image file TIFF 4892 x 4859 pixels rda</t>
  </si>
  <si>
    <t>Squash players at Woomera, South Australia.</t>
  </si>
  <si>
    <t>Squash players -- South Australia -- Woomera;Woomera (S.A.)</t>
  </si>
  <si>
    <t>b31396380</t>
  </si>
  <si>
    <t>Roy Watchow and visiting ballet troupe at Woomera, South Australia</t>
  </si>
  <si>
    <t>1 photograph : black and white;still image sti rdacontent;computer c rdamedia;online resource cr rdacarrier;image file TIFF 5747 x 4257 pixels rda</t>
  </si>
  <si>
    <t>Roy Watchow and a visiting ballet troupe at Woomera, South Australia, as part of a tour  from NSW in conjunction with The Arts Council of South Australia.</t>
  </si>
  <si>
    <t>Watchow, Roy;Ballet dancers -- Australia;Woomera (S.A.) -- Social life and customs</t>
  </si>
  <si>
    <t>b31396392</t>
  </si>
  <si>
    <t>Visiting ballet dancers at Woomera, South Australia</t>
  </si>
  <si>
    <t>1 photograph : black and white;still image sti rdacontent;computer c rdamedia;online resource cr rdacarrier;image file TIFF 4214 x 5748 pixels rda</t>
  </si>
  <si>
    <t>Two ballet dancers from a visiting ballet troupe at a social event at Woomera, South Australia, visiting as part of a tour from NSW in conjunction with The Arts Council of South Australia.</t>
  </si>
  <si>
    <t>Ballet dancers -- Australia;Woomera (S.A.) -- Social life and customs</t>
  </si>
  <si>
    <t>b31396409</t>
  </si>
  <si>
    <t>Social event at Woomera, South Australia</t>
  </si>
  <si>
    <t>1 photograph : black and white;still image sti rdacontent;computer c rdamedia;online resource cr rdacarrier;image file TIFF 4239 x 5753 pixels rda</t>
  </si>
  <si>
    <t>Marion Owen [left] and Bev Lightowler [centre], a local school teacher, with members of a visiting ballet troupe to Woomera, South Australia. The visit was part of a tour from NSW in conjunction with The Arts Council of South Australia.</t>
  </si>
  <si>
    <t>Owen, Marion;Lightowler, Bev;Ballet dancers -- Australia;Woomera (S.A.) -- Social life and customs</t>
  </si>
  <si>
    <t>b31396434</t>
  </si>
  <si>
    <t>Kamahl at Woomera, South Australia</t>
  </si>
  <si>
    <t>1 photograph : black and white;still image sti rdacontent;computer c rdamedia;online resource cr rdacarrier;image file TIFF 6027 x 4592 pixels rda</t>
  </si>
  <si>
    <t>Gwyn Jones with Kamahl at Woomera, South Australia.</t>
  </si>
  <si>
    <t>Kamalesvaran, Kandiah;Jones, Gwyn;Woomera (S.A.) -- Social life and customs</t>
  </si>
  <si>
    <t>b31396458</t>
  </si>
  <si>
    <t>Actress, television personality and model, Peta Peter,  on a visit to Woomera, South Australia.</t>
  </si>
  <si>
    <t>1 photograph : black and white;still image sti rdacontent;computer c rdamedia;online resource cr rdacarrier;image file TIFF 4573 x 5871 pixels rda</t>
  </si>
  <si>
    <t>b3139646x</t>
  </si>
  <si>
    <t>Woomera, South Australia</t>
  </si>
  <si>
    <t>1 photograph : black and white;still image sti rdacontent;computer c rdamedia;online resource cr rdacarrier;image file TIFF 4374 x 5582 pixels rda</t>
  </si>
  <si>
    <t>b31399824</t>
  </si>
  <si>
    <t>X-Band frequency meter, Woomera, South Australia</t>
  </si>
  <si>
    <t>1 photograph : black and white;still image sti rdacontent;computer c rdamedia;online resource cr rdacarrier;image file TIFF 5717 x 4303 pixels rda</t>
  </si>
  <si>
    <t>Terry Clark operating a X-Band frequency meter at Woomera, South Australia.</t>
  </si>
  <si>
    <t>Clark, Terry;Woomera (S.A.)</t>
  </si>
  <si>
    <t>b31399836</t>
  </si>
  <si>
    <t>Squash trophy, Woomera, South Australia</t>
  </si>
  <si>
    <t>1 photograph : black and white;still image sti rdacontent;computer c rdamedia;online resource cr rdacarrier;image file TIFF 4992 x 4313 pixels rda</t>
  </si>
  <si>
    <t>Squash trophy made by Terry Clark for competition between W.R.E. Salisbury Squash Team and Woomera Squash Team. The photo in the trophy is of the winning Woomera team.</t>
  </si>
  <si>
    <t>b21075657</t>
  </si>
  <si>
    <t>Aldington Court</t>
  </si>
  <si>
    <t>Photograph  13.1 cm x 8.0 cm</t>
  </si>
  <si>
    <t>Aldington Court (Ship);Ships</t>
  </si>
  <si>
    <t>b21104682</t>
  </si>
  <si>
    <t>Photograph of three men and a lady from Ryder Cheshire in September 1973.</t>
  </si>
  <si>
    <t>Returned Services League of Australia. Mount Gambier Sub-Branch</t>
  </si>
  <si>
    <t>b21104694</t>
  </si>
  <si>
    <t>Photograph of a banner being presented to an overseas visitor during a Lions Club meeting on 14th August 1973.</t>
  </si>
  <si>
    <t>b21104748</t>
  </si>
  <si>
    <t>Photograph of a tree being planted by Lions Club members as a memorial. Ceremony took place on 6th October 1973.</t>
  </si>
  <si>
    <t>Lions Club of Mount Gambier;Tree planting -- South Australia -- Mount Gambier</t>
  </si>
  <si>
    <t>b2110475x</t>
  </si>
  <si>
    <t>Photograph of a tree being planted by Lions Club members as a memorial. Ceremony took place on 6th October 1973 in  park.</t>
  </si>
  <si>
    <t>b21105807</t>
  </si>
  <si>
    <t>Photograph of three sculptors working on two stone sculptures on 20th March 1973.</t>
  </si>
  <si>
    <t>South East Art Society;Sculptors -- South Australia -- Mount Gambier;Sculpture -- South Australia -- Mount Gambier</t>
  </si>
  <si>
    <t>b21105820</t>
  </si>
  <si>
    <t>Photograph of participants in the South East Art Society art classes on 20th March 1973.</t>
  </si>
  <si>
    <t>South East Art Society;Artists -- South Australia -- Mount Gambier</t>
  </si>
  <si>
    <t>b21109011</t>
  </si>
  <si>
    <t>Students at St Paul's, Mount Gambier</t>
  </si>
  <si>
    <t>Photograph of a class of school children with a Father Dean Travers at St Paul's School in March 1973, Mount Gambier.</t>
  </si>
  <si>
    <t>Mount Gambier Grammar School;School children -- South Australia -- Mount Gambier;Schools -- South Australia -- Mount Gambier</t>
  </si>
  <si>
    <t>b21110323</t>
  </si>
  <si>
    <t>Target Store</t>
  </si>
  <si>
    <t>Photograph of the construction of the Target Store in June 1973, Mount Gambier.</t>
  </si>
  <si>
    <t>Target (Firm);Stores, Retail -- South Australia -- Mount Gambier</t>
  </si>
  <si>
    <t>b21178811</t>
  </si>
  <si>
    <t>Aerial view of Mount Gambier Pine Industry</t>
  </si>
  <si>
    <t>Photograph of Mount Gambier Pine Industry from the air in November 1973.</t>
  </si>
  <si>
    <t>Timber industry and trade -- South Australia -- Mount Gambier;Mount Gambier (S.A.)</t>
  </si>
  <si>
    <t>b21111121</t>
  </si>
  <si>
    <t>Photograph of Mount Gambier from the air in August 1973.</t>
  </si>
  <si>
    <t>b21111303</t>
  </si>
  <si>
    <t>Aerial photograph of Mount Gambier in October 1973.</t>
  </si>
  <si>
    <t>b21111327</t>
  </si>
  <si>
    <t>b21111339</t>
  </si>
  <si>
    <t>b21111340</t>
  </si>
  <si>
    <t>b21111388</t>
  </si>
  <si>
    <t>Photograph of the Savings Bank of South Australia in 1973.</t>
  </si>
  <si>
    <t>b2111139x</t>
  </si>
  <si>
    <t>Court House</t>
  </si>
  <si>
    <t>Photograph of the Court House in July 1973 with cars parked in front of it.</t>
  </si>
  <si>
    <t>Courthouses -- South Australia -- Mount Gambier</t>
  </si>
  <si>
    <t>b21111418</t>
  </si>
  <si>
    <t>Hirth Corner</t>
  </si>
  <si>
    <t>Photograph of a house on the corner of Bay Road and Gwendoline Street taken on 20th July 1973, Mount Gambier. Formerly the home of Mr and Mrs H. Hirth, it was demolished and the new Court House built on the site.</t>
  </si>
  <si>
    <t>b21180441</t>
  </si>
  <si>
    <t>Evelyn Koren</t>
  </si>
  <si>
    <t>Photograph of Evelyn Koren, sitting at a window with a compass and map  beside her are some her flying trophies.</t>
  </si>
  <si>
    <t>Koren, Evelyn;Women air pilots -- South Australia -- Mount Gambier</t>
  </si>
  <si>
    <t>b31403487</t>
  </si>
  <si>
    <t>4th of July, Woomera, South Australia</t>
  </si>
  <si>
    <t>1 slide : colour;still image sti rdacontent;computer c rdamedia;online resource cr rdacarrier;image file TIFF 4515 x 6605 pixels rda</t>
  </si>
  <si>
    <t>U.S. personnel celebrating 4th of July in Breen Park, Woomera, South Australia.</t>
  </si>
  <si>
    <t>Fourth of July celebrations -- South Australia -- Woomera;Woomera (S.A.)</t>
  </si>
  <si>
    <t>b21101139</t>
  </si>
  <si>
    <t>Bavarian Festival</t>
  </si>
  <si>
    <t>Photograph of the Bavarian Festival held next to the lake in January 1974, Mount Gambier.</t>
  </si>
  <si>
    <t>Festivals -- South Australia -- South East Region;Lakes -- South Australia -- Mount Gambier</t>
  </si>
  <si>
    <t>b21105819</t>
  </si>
  <si>
    <t>Methodist Ball</t>
  </si>
  <si>
    <t>Photograph of nine debutantes at the Methodist Ball in September 1974.</t>
  </si>
  <si>
    <t>Methodists -- South Australia -- Mount Gambier;Balls (parties) -- South Australia -- Mount Gambier</t>
  </si>
  <si>
    <t>b2111108x</t>
  </si>
  <si>
    <t>Aerial view of Mount Gambier and Helen Street</t>
  </si>
  <si>
    <t>Photograph of Mount Gambier and Helen Street from the air in January 1974.</t>
  </si>
  <si>
    <t>b21111091</t>
  </si>
  <si>
    <t>b21111108</t>
  </si>
  <si>
    <t>Aerial view of Mount Gambier and Central Caravan</t>
  </si>
  <si>
    <t>Photograph of Mount Gambier and Central Caravan from the air in 1974.</t>
  </si>
  <si>
    <t>b2111111x</t>
  </si>
  <si>
    <t>Photograph of Mount Gambier from the air in 1974.</t>
  </si>
  <si>
    <t>b2112498x</t>
  </si>
  <si>
    <t>Photograph of aviator E. Koren boarding her aeroplane in 1974.</t>
  </si>
  <si>
    <t>b31396227</t>
  </si>
  <si>
    <t>Members of the Works Football Club, Woomera, South Australia</t>
  </si>
  <si>
    <t>1 photograph : colour;still image sti rdacontent;computer c rdamedia;online resource cr rdacarrier;image file TIFF 5592 x 3974 pixels rda</t>
  </si>
  <si>
    <t>Works Football Club team at Woomera, South Australia, holding banner with an image of a tiger. From left rear: Ron Weser, Noel Dunn, Wolfgang Koenig, Wayne Roberts, Stan Grillett, Andrew McSporran, Klaus Wagnitz, Frank Gurr (president) Eric Saddington.  Middle row: Peter Worrall, Bill Gray, Vladimir Kurovec, Jeff Eneberg, Graeme Gorge, Dave Worden, John Morrison, Nic Safta, Graham Thomas, John Bedford (time keeper). Front row: Russell Kirkmoe, Robert Leverington, Andy Bishop, John Shepherdson (vice captain), Bob Boyle (captain), Bill Leverington (coach), David Cock, Gavin Hitch, Mark Kuchel. Seated on floor: David Treagus, John Langford.</t>
  </si>
  <si>
    <t>Works Football Club (Woomera, S.A.);Australian football players -- South Australia -- Woomera;Woomera (S.A.)</t>
  </si>
  <si>
    <t>b31403451</t>
  </si>
  <si>
    <t>1 slide : colour;still image sti rdacontent;computer c rdamedia;online resource cr rdacarrier;image file TIFF 6617 x 4473 pixels rda</t>
  </si>
  <si>
    <t>4th of July celebrations at at Breen Park, Woomera, South Australia</t>
  </si>
  <si>
    <t>b31403463</t>
  </si>
  <si>
    <t>1 slide : colour;still image sti rdacontent;computer c rdamedia;online resource cr rdacarrier;image file TIFF 6665 x 4496 pixels rda</t>
  </si>
  <si>
    <t>Crowd at 4th of July celebrations at Breen Park, Woomera, South Australia</t>
  </si>
  <si>
    <t>b31403499</t>
  </si>
  <si>
    <t>1 slide : colour;still image sti rdacontent;computer c rdamedia;online resource cr rdacarrier;image file TIFF 4515 x 6621 pixels rda</t>
  </si>
  <si>
    <t>b31403505</t>
  </si>
  <si>
    <t>1 slide : colour;still image sti rdacontent;computer c rdamedia;online resource cr rdacarrier;image file TIFF 6607 x 4468 pixels rda</t>
  </si>
  <si>
    <t>b31403839</t>
  </si>
  <si>
    <t>1 slide : colour;still image sti rdacontent;computer c rdamedia;online resource cr rdacarrier;image file TIFF 4442 x 6546 pixels rda</t>
  </si>
  <si>
    <t>b31403840</t>
  </si>
  <si>
    <t>1 slide : colour;still image sti rdacontent;computer c rdamedia;online resource cr rdacarrier;image file TIFF 6558 x 4445 pixels rda</t>
  </si>
  <si>
    <t>b31403864</t>
  </si>
  <si>
    <t>1 slide : colour;still image sti rdacontent;computer c rdamedia;online resource cr rdacarrier;image file TIFF 6571 x 4444 pixels rda</t>
  </si>
  <si>
    <t>Children celebrating 4th of July in Breen Park, Woomera, South Australia.</t>
  </si>
  <si>
    <t>b31403876</t>
  </si>
  <si>
    <t>1 slide : colour;still image sti rdacontent;computer c rdamedia;online resource cr rdacarrier;image file TIFF 6592 x 4463 pixels rda</t>
  </si>
  <si>
    <t>4th of July celebrations at Woomera, South Australia</t>
  </si>
  <si>
    <t>b31403888</t>
  </si>
  <si>
    <t>1 slide : colour;still image sti rdacontent;computer c rdamedia;online resource cr rdacarrier;image file TIFF 6554 x 4433 pixels rda</t>
  </si>
  <si>
    <t>b31399800</t>
  </si>
  <si>
    <t>Motocross racing at Woomera, South Australia</t>
  </si>
  <si>
    <t>[approximately 1974]</t>
  </si>
  <si>
    <t>1 photograph : black and white;still image sti rdacontent;computer c rdamedia;online resource cr rdacarrier;image file TIFF 7217 x 4349 pixels rda</t>
  </si>
  <si>
    <t>Greg Cameron launching his motorbike into the air over a jump during motocross racing at Woomera, South Australia.</t>
  </si>
  <si>
    <t>b21110311</t>
  </si>
  <si>
    <t>Potato Marketing Board</t>
  </si>
  <si>
    <t>Photograph of a promotion by the Potato Marketing Board on 12th June 1975  I Dig Spuds Campaign  Mrs Jan Kentish, second from left, Mr Arch Sealey (Mayor) and Mrs L. Sealey (Mayoress).</t>
  </si>
  <si>
    <t>Potatoes -- South Australia -- Mount Gambier -- Marketing</t>
  </si>
  <si>
    <t>b21110335</t>
  </si>
  <si>
    <t>Photograph of a potato promotion at a supermarket by the Potato Marketing Board on 12th June 1975, Mount Gambier. The lady holding the large white platter is Norma Martin. Her husband Len Martin and son, Kent were potato growers at Kalangadoo, near Mount Gambier, and the land is still in use by other growers. Norma and Len Martin died in 1989.</t>
  </si>
  <si>
    <t>Martin, Norma;Potatoes -- South Australia -- Mount Gambier -- Marketing</t>
  </si>
  <si>
    <t>b21110967</t>
  </si>
  <si>
    <t>Aerial view of Tarpeena looking SE</t>
  </si>
  <si>
    <t>Photograph of Tarpeena looking SE from the air in April 1975.</t>
  </si>
  <si>
    <t>Tarpeena (S.A.)</t>
  </si>
  <si>
    <t>b21110979</t>
  </si>
  <si>
    <t>Aerial view of Nangwarry looking SE</t>
  </si>
  <si>
    <t>Photograph of Nangwarry looking SE from the air in April 1975.</t>
  </si>
  <si>
    <t>Nangwarry (S.A.)</t>
  </si>
  <si>
    <t>b21110980</t>
  </si>
  <si>
    <t>Aerial view of Penola</t>
  </si>
  <si>
    <t>Photograph of Penola from the air in April 1975.</t>
  </si>
  <si>
    <t>Penola (S.A.)</t>
  </si>
  <si>
    <t>b21110992</t>
  </si>
  <si>
    <t>Aerial view of the Racecourse</t>
  </si>
  <si>
    <t>Photograph of the Racecourse from the air in March 1975.</t>
  </si>
  <si>
    <t>Racetracks (Horse racing) -- South Australia -- Mount Gambier</t>
  </si>
  <si>
    <t>b21178793</t>
  </si>
  <si>
    <t>b21111005</t>
  </si>
  <si>
    <t>Photograph of Mount Gambier from the air in April 1975.</t>
  </si>
  <si>
    <t>b21111017</t>
  </si>
  <si>
    <t>b21111029</t>
  </si>
  <si>
    <t>b21111042</t>
  </si>
  <si>
    <t>b21111054</t>
  </si>
  <si>
    <t>b21111030</t>
  </si>
  <si>
    <t>b21111066</t>
  </si>
  <si>
    <t>b21111078</t>
  </si>
  <si>
    <t>b2117880x</t>
  </si>
  <si>
    <t>b21111406</t>
  </si>
  <si>
    <t>Photograph of the the Bank of New South Wales in December 1975, Mount Gambier.</t>
  </si>
  <si>
    <t>b21120742</t>
  </si>
  <si>
    <t>Legacy Golf Day</t>
  </si>
  <si>
    <t>Photograph of Mr J.A. McGowan and Mayor Arch Sealey choosing bottles of wine and spirits possibly as prizes for the Legacy Golf Day in November 1975, Mount Gambier.</t>
  </si>
  <si>
    <t>b31373185</t>
  </si>
  <si>
    <t>Woomera oval</t>
  </si>
  <si>
    <t>[approximately 1975]</t>
  </si>
  <si>
    <t>1 photograph : colour;still image sti rdacontent;computer c rdamedia;online resource cr rdacarrier;image file TIFF 10000 x 7942 pixels rda</t>
  </si>
  <si>
    <t>Distant view of sports ground at Woomera, South Australia.</t>
  </si>
  <si>
    <t>b31394905</t>
  </si>
  <si>
    <t>1 photograph : colour;still image sti rdacontent;computer c rdamedia;online resource cr rdacarrier;image file TIFF 5522 x 3979 pixels rda</t>
  </si>
  <si>
    <t>Aerial photograph of Woomera, South Australia. Terry Clark provided the following information: 'The story behind the taking of the photo is interesting. I was taking a series of photos to update the Woomera postcards. I felt an aerial shot would be a key to the series. I made a number of approaches to security, the stumbling block was the fact that not far away the Americans had just started building Narrunga. Eventually I got permission, with strings attached. There was a guy in Woomera, can't remember his name, who owned a Tiger Moth. He agreed to fly me over the town to get the photo. Security were still nervous. We taxied to the end of the runway. A Commonwealth Policeman came to the end of the runway and watched as I loaded my Koni Omega camera with a roll of 120 Ektachrome transparency film. I took the photo. When we landed the Commonwealth Policeman met us again and watched as I unloaded the film and sealed the tag. He then took it from me and put it in a security bag that was sent to WRE Salisbury where the film was processed and returned to security in Woomera. They inspected the pictures, to make sure I did not have any pictures of Nurrungar, then returned them to me. I finished the series of postcards and stored them in my collection for about forty three years.'</t>
  </si>
  <si>
    <t>b31403141</t>
  </si>
  <si>
    <t>Go-cart racing, Woomera, South Australia</t>
  </si>
  <si>
    <t>1 photograph : black and white;still image sti rdacontent;computer c rdamedia;online resource cr rdacarrier;image file TIFF 5727 x 4277pixels rda</t>
  </si>
  <si>
    <t>Woman in a bathtub on wheels bearing the sign 'Save time streak together' racing on a street at Woomera, South Australia. According to a researcher the gentleman on the left with the beard is Derek Bee, the boy to his left is his son Duncan Bee, boy on roadway is brother Andrew Bee, behind whom is sister Kelsey Bee. Probably part of the Woomera week billy cart race.</t>
  </si>
  <si>
    <t>Karting -- South Australia -- Woomera;Woomera (S.A.)</t>
  </si>
  <si>
    <t>b29517254</t>
  </si>
  <si>
    <t>Fishing boats, Port Lincoln</t>
  </si>
  <si>
    <t>[Approximately 1975]</t>
  </si>
  <si>
    <t>1 photograph : black and white   19.6 x 13.8 cm;still image sti rdacontent;unmediated n rdamedia;sheet nb rdacarrier</t>
  </si>
  <si>
    <t>Two fishing boats using a government slipway, most likely boats from the tuna fleet [see B 70235/6 for a sketch of a similar scene].</t>
  </si>
  <si>
    <t>Porter Bay Slip (Port Lincoln, S.A.);Fishing boats -- South Australia -- Port Lincoln;Port Lincoln (S.A.)</t>
  </si>
  <si>
    <t>Port Lincoln Collection;Baillie Collection</t>
  </si>
  <si>
    <t>b29517242</t>
  </si>
  <si>
    <t>Grain silos, Port Lincoln</t>
  </si>
  <si>
    <t>1 photograph : black and white   12.8 x 20.2 cm;still image sti rdacontent;unmediated n rdamedia;sheet nb rdacarrier</t>
  </si>
  <si>
    <t>View of the large grain silos at Port Lincoln. The building in front reads Port Lincoln Dairy Produce Co. Ltd.</t>
  </si>
  <si>
    <t>Silos -- South Australia -- Port Lincoln;Grain -- South Australia -- Port Lincoln;Port Lincoln (S.A.)</t>
  </si>
  <si>
    <t>b31373161</t>
  </si>
  <si>
    <t>Woomera swimming pool</t>
  </si>
  <si>
    <t>1 photograph : colour;still image sti rdacontent;computer c rdamedia;online resource cr rdacarrier;image file TIFF 6000 x 4919 pixels rda</t>
  </si>
  <si>
    <t>Swimming pool at Woomera, South Australia.</t>
  </si>
  <si>
    <t>b31394930</t>
  </si>
  <si>
    <t>1 photograph : black and white;still image sti rdacontent;computer c rdamedia;online resource cr rdacarrier;image file TIFF 6059 x 3734 pixels rda</t>
  </si>
  <si>
    <t>Aerial of Woomera, South Australia.</t>
  </si>
  <si>
    <t>b31395727</t>
  </si>
  <si>
    <t>1 photograph : colour;still image sti rdacontent;computer c rdamedia;online resource cr rdacarrier;image file TIFF 29921 x 22647 pixels rda</t>
  </si>
  <si>
    <t>Aerial photograph of Woomera, South Australia. The photographer provided the following information: 'The story behind the taking of the photo is interesting. I was taking a series of photos to update the Woomera postcards. I felt an aerial shot would be a key to the series. I made a number of approaches to security, the stumbling block was the fact that not far away the Americans had just started building Narrunga. Eventually I got permission, with strings attached. There was a guy in Woomera, can't remember his name, who owned a Tiger Moth. He agreed to fly me over the town to get the photo. Security were still nervous. We taxied to the end of the runway. A Commonwealth Policeman came to the end of the runway and watched as I loaded my Koni Omega camera with a roll of 120 Ektachrome transparency film. I took the photo. When we landed the Commonwealth Policeman met us again and watched as I unloaded the film and sealed the tag. He then took it from me and put it in a security bag that was sent to WRE Salisbury where the film was processed and returned to security in Woomera. They inspected the pictures, to make sure I did not have any pictures of Nurrungar, then returned them to me. I finished the series of postcards and stored them in my collection for about forty three years.'</t>
  </si>
  <si>
    <t>b31394954</t>
  </si>
  <si>
    <t>25 J.S.T.U. Woomera</t>
  </si>
  <si>
    <t>1 photograph : black and white;still image sti rdacontent;computer c rdamedia;online resource cr rdacarrier;image file TIFF 5756 x 4192 pixels rda</t>
  </si>
  <si>
    <t>Sign of the Commanding Officer 25 J.S.T.U. (Joint Services Trials Unit) at Woomera, South Australia.</t>
  </si>
  <si>
    <t>b3137315x</t>
  </si>
  <si>
    <t>1 photograph : colour;still image sti rdacontent;computer c rdamedia;online resource cr rdacarrier;image file TIFF 6000 x 4802 pixels rda</t>
  </si>
  <si>
    <t>Swimming pool at Woomera.</t>
  </si>
  <si>
    <t>b31396070</t>
  </si>
  <si>
    <t>1 photograph : black and white;still image sti rdacontent;computer c rdamedia;online resource cr rdacarrier;image file TIFF 5894 x 3665 pixels rda</t>
  </si>
  <si>
    <t>Group of men with Jindivik at Woomera, South Australia.</t>
  </si>
  <si>
    <t>b31396203</t>
  </si>
  <si>
    <t>Group at Woomera, South Australia</t>
  </si>
  <si>
    <t>1 photograph : black and white;still image sti rdacontent;computer c rdamedia;online resource cr rdacarrier;image file TIFF 6072 x 3937 pixels rda</t>
  </si>
  <si>
    <t>Group of nine women with a man wearing a wig and a skirt at Woomera, South Australia.</t>
  </si>
  <si>
    <t>b31396215</t>
  </si>
  <si>
    <t>1 photograph : black and white;still image sti rdacontent;computer c rdamedia;online resource cr rdacarrier;image file TIFF 4715 x 3711 pixels rda</t>
  </si>
  <si>
    <t>Tennis team of five women and five men at Woomera, South Australia.</t>
  </si>
  <si>
    <t>Tennis players -- South Australia -- Woomera;Woomera (S.A.)</t>
  </si>
  <si>
    <t>b31396239</t>
  </si>
  <si>
    <t>Squash player at Woomera, South Australia</t>
  </si>
  <si>
    <t>1 photograph : black and white;still image sti rdacontent;computer c rdamedia;online resource cr rdacarrier;image file TIFF 3994 x 4925 pixels rda</t>
  </si>
  <si>
    <t>Woman squash player at Woomera, South Australia.</t>
  </si>
  <si>
    <t>b31396240</t>
  </si>
  <si>
    <t>Social group at Woomera, South Australia</t>
  </si>
  <si>
    <t>1 photograph : black and white;still image sti rdacontent;computer c rdamedia;online resource cr rdacarrier;image file TIFF 5371 x 2528 pixels rda</t>
  </si>
  <si>
    <t>Social group of men and women at Woomera, South Australia.</t>
  </si>
  <si>
    <t>b31396252</t>
  </si>
  <si>
    <t>Social group at Village Club rooms, Woomera, South Australia</t>
  </si>
  <si>
    <t>1 photograph : black and white;still image sti rdacontent;computer c rdamedia;online resource cr rdacarrier;image file TIFF 5410 x 3505 pixels rda</t>
  </si>
  <si>
    <t>Social group of men and women at the Village Club rooms, Woomera, South Australia. On left Paul and Wendy Adams managers at Oakden Hills Station off the Stuart Highway on the Woomera to Port Augusta Road. Next to them George and Audrey Woods, Woomera Squash champions men's and women's 1973. Next Janet Clark women's squash champion 1974. Next Bryan Whibley, Anne ? (a secretary at ELDO) and Don Purdy. Just visible on the right Brian Murray manager Parakylia Station and member of The Senior Mess cricket team, Woomera. Partially hidden behind Brian Murray on the right is Carolyn Whibley. The person cut off on the extreme right is Pam Murray.</t>
  </si>
  <si>
    <t>Woomera (S.A.) -- Social life and customs</t>
  </si>
  <si>
    <t>b31396264</t>
  </si>
  <si>
    <t>1 photograph : black and white;still image sti rdacontent;computer c rdamedia;online resource cr rdacarrier;image file TIFF 5400 x 3541 pixels rda</t>
  </si>
  <si>
    <t>b31396276</t>
  </si>
  <si>
    <t>1 photograph : black and white;still image sti rdacontent;computer c rdamedia;online resource cr rdacarrier;image file TIFF 5414 x 3504 pixels rda</t>
  </si>
  <si>
    <t>b31396288</t>
  </si>
  <si>
    <t>1 photograph : black and white;still image sti rdacontent;computer c rdamedia;online resource cr rdacarrier;image file TIFF 3534 x 5429 pixels rda</t>
  </si>
  <si>
    <t>b31396306</t>
  </si>
  <si>
    <t>1 photograph : black and white;still image sti rdacontent;computer c rdamedia;online resource cr rdacarrier;image file TIFF 6101 x 3952 pixels rda</t>
  </si>
  <si>
    <t>b31396082</t>
  </si>
  <si>
    <t>1 photograph : black and white;still image sti rdacontent;computer c rdamedia;online resource cr rdacarrier;image file TIFF 5845 x 3637 pixels rda</t>
  </si>
  <si>
    <t>b31396318</t>
  </si>
  <si>
    <t>b3139632x</t>
  </si>
  <si>
    <t>Terry Clark at Woomera, South Australia</t>
  </si>
  <si>
    <t>1 photograph : black and white;still image sti rdacontent;computer c rdamedia;online resource cr rdacarrier;image file TIFF 4202 x 5713 pixels rda</t>
  </si>
  <si>
    <t>Terry Clark at Woomera, South Australia.</t>
  </si>
  <si>
    <t>Photographers -- South Australia -- Woomera;Woomera (S.A.)</t>
  </si>
  <si>
    <t>b31396094</t>
  </si>
  <si>
    <t>1 photograph : black and white;still image sti rdacontent;computer c rdamedia;online resource cr rdacarrier;image file TIFF 5564 x 3368 pixels rda</t>
  </si>
  <si>
    <t>Group of men with Gloster Meteor at Woomera, South Australia.</t>
  </si>
  <si>
    <t>b31396483</t>
  </si>
  <si>
    <t>Woman squash player at Woomera, South Australia</t>
  </si>
  <si>
    <t>1 photograph : black and white;still image sti rdacontent;computer c rdamedia;online resource cr rdacarrier;image file TIFF 6693 x 5147 pixels rda</t>
  </si>
  <si>
    <t>b31399241</t>
  </si>
  <si>
    <t>Cricket team at Woomera, South Australia</t>
  </si>
  <si>
    <t>1 photograph : black and white;still image sti rdacontent;computer c rdamedia;online resource cr rdacarrier;image file TIFF 4858 x 3967 pixels rda</t>
  </si>
  <si>
    <t>Cricket team at Woomera, South Australia.</t>
  </si>
  <si>
    <t>b31399277</t>
  </si>
  <si>
    <t>Tennis players at Woomera, South Australia</t>
  </si>
  <si>
    <t>1 photograph : black and white;still image sti rdacontent;computer c rdamedia;online resource cr rdacarrier;image file TIFF 4873 x 3942 pixels rda</t>
  </si>
  <si>
    <t>Tennis players at Woomera, South Australia.</t>
  </si>
  <si>
    <t>b31399290</t>
  </si>
  <si>
    <t>Family at Woomera, South Australia</t>
  </si>
  <si>
    <t>1 photograph : black and white;still image sti rdacontent;computer c rdamedia;online resource cr rdacarrier;image file TIFF 6170 x 4808 pixels rda</t>
  </si>
  <si>
    <t>Family at Woomera, South Australia.</t>
  </si>
  <si>
    <t>Families -- South Australia -- Woomera;Woomera (S.A.)</t>
  </si>
  <si>
    <t>b31399319</t>
  </si>
  <si>
    <t>Woman modelling coat at Woomera, South Australia</t>
  </si>
  <si>
    <t>1 photograph : black and white;still image sti rdacontent;computer c rdamedia;online resource cr rdacarrier;image file TIFF 4801 x 6193 pixels rda</t>
  </si>
  <si>
    <t>Woman modelling coat at Woomera, South Australia.</t>
  </si>
  <si>
    <t>Women -- South Australia -- Woomera;Woomera (S.A.)</t>
  </si>
  <si>
    <t>b31396100</t>
  </si>
  <si>
    <t>1 photograph : black and white;still image sti rdacontent;computer c rdamedia;online resource cr rdacarrier;image file TIFF 5575 x 3368 pixels rda</t>
  </si>
  <si>
    <t>b31396112</t>
  </si>
  <si>
    <t>Jindivik at Woomera, South Australia</t>
  </si>
  <si>
    <t>1 photograph : black and white;still image sti rdacontent;computer c rdamedia;online resource cr rdacarrier;image file TIFF 5630 x 3767 pixels rda</t>
  </si>
  <si>
    <t>Jindivik WRE-506 at Woomera, South Australia.</t>
  </si>
  <si>
    <t>Jindivik (Aircraft);Woomera (S.A.)</t>
  </si>
  <si>
    <t>b31396161</t>
  </si>
  <si>
    <t>Group of men with Jindivik WRE-418 at Woomera, South Australia.</t>
  </si>
  <si>
    <t>b31396173</t>
  </si>
  <si>
    <t>Running at Woomera, South Australia</t>
  </si>
  <si>
    <t>1 photograph : black and white;still image sti rdacontent;computer c rdamedia;online resource cr rdacarrier;image file TIFF 4005 x 5652 pixels rda</t>
  </si>
  <si>
    <t>Running at Woomera, South Australia.</t>
  </si>
  <si>
    <t>Service stations -- South Australia -- Woomera;Woomera (S.A.)</t>
  </si>
  <si>
    <t>b31396185</t>
  </si>
  <si>
    <t>1 photograph : black and white;still image sti rdacontent;computer c rdamedia;online resource cr rdacarrier;image file TIFF 3180 x 4848 pixels rda</t>
  </si>
  <si>
    <t>b31396197</t>
  </si>
  <si>
    <t>Photographer at Woomera, South Australia</t>
  </si>
  <si>
    <t>1 photograph : black and white;still image sti rdacontent;computer c rdamedia;online resource cr rdacarrier;image file TIFF 3583 x 5828 pixels rda</t>
  </si>
  <si>
    <t>b31373197</t>
  </si>
  <si>
    <t>Football game on the Woomera oval</t>
  </si>
  <si>
    <t>1 photograph : colour;still image sti rdacontent;computer c rdamedia;online resource cr rdacarrier;image file TIFF 6000 x 4079 pixels rda</t>
  </si>
  <si>
    <t>Australian rules football game on the sports ground at Woomera, South Australia.</t>
  </si>
  <si>
    <t>Australian football matches -- South Australia -- Woomera;Woomera (S.A.)</t>
  </si>
  <si>
    <t>b31399794</t>
  </si>
  <si>
    <t>Cricket match at Woomera, South Australia</t>
  </si>
  <si>
    <t>1 photograph : black and white;still image sti rdacontent;computer c rdamedia;online resource cr rdacarrier;image file TIFF 6320 x 4781 pixels rda</t>
  </si>
  <si>
    <t>Cricket match at Woomera, South Australia.</t>
  </si>
  <si>
    <t>b31373227</t>
  </si>
  <si>
    <t>1 photograph : colour;still image sti rdacontent;computer c rdamedia;online resource cr rdacarrier;image file TIFF 6000 x 3969 pixels rda</t>
  </si>
  <si>
    <t>b31373239</t>
  </si>
  <si>
    <t>b31402963</t>
  </si>
  <si>
    <t>Football at Woomera, South Australia</t>
  </si>
  <si>
    <t>1 photograph : black and white;still image sti rdacontent;computer c rdamedia;online resource cr rdacarrier;image file TIFF 6086 x 3926 pixels rda</t>
  </si>
  <si>
    <t>Football at Woomera, South Australia.</t>
  </si>
  <si>
    <t>Australian football players -- South Australia -- Woomera;Woomera (S.A.)</t>
  </si>
  <si>
    <t>b31402975</t>
  </si>
  <si>
    <t>Stock car racing at Woomera, South Australia</t>
  </si>
  <si>
    <t>1 photograph : black and white;still image sti rdacontent;computer c rdamedia;online resource cr rdacarrier;image file TIFF 5512 x 4004 pixels rda</t>
  </si>
  <si>
    <t>Stock car racing on dirt track located between Woomera village and the technical area, South Australia.</t>
  </si>
  <si>
    <t>Automobile racing -- South Australia -- Woomera;Woomera (S.A.)</t>
  </si>
  <si>
    <t>b31403001</t>
  </si>
  <si>
    <t>Child dancers at Woomera Theatre, South Australia</t>
  </si>
  <si>
    <t>1 photograph : black and white;still image sti rdacontent;computer c rdamedia;online resource cr rdacarrier;image file TIFF 6065 x 3948 pixels rda</t>
  </si>
  <si>
    <t>Presentation to young dancers at Woomera Theatre, South Australia.</t>
  </si>
  <si>
    <t>Children's theater -- South Australia -- Woomera;Woomera (S.A.)</t>
  </si>
  <si>
    <t>b31403098</t>
  </si>
  <si>
    <t>Dance and ballet production at Woomera, South Australia</t>
  </si>
  <si>
    <t>1 photograph : black and white;still image sti rdacontent;computer c rdamedia;online resource cr rdacarrier;image file TIFF 6058 x 3950 pixels rda</t>
  </si>
  <si>
    <t>Ballet teacher Cheryl Summers nee Denton (far left) and her pupils put on a dance and ballet show at the Woomera Theatre, South Australia.</t>
  </si>
  <si>
    <t>b31403104</t>
  </si>
  <si>
    <t>Live music at the JRC Mess hall, Woomera, South Australia</t>
  </si>
  <si>
    <t>1 photograph : black and white;still image sti rdacontent;computer c rdamedia;online resource cr rdacarrier;image file TIFF 5727 x 4241 pixels rda</t>
  </si>
  <si>
    <t>The Ray Price Quintet playing to a large audience at the JRC Mess, known as the "Jazza" at Woomera, South Australia. Members of the quintet were Tom Baker (Trumpet/Tuba), Graham Speeding (Clarinet/Saxophones/Vocals), Patricia Qua (Keyboard/Bass), Len Barnard (Drums/Washboard) and Ray Price (Banjo/Leader). The gig was potentially organised by Nick Goodall, Manager of the Jazza.</t>
  </si>
  <si>
    <t>Bands (Music) -- South Australia -- Woomera;Woomera (S.A.)</t>
  </si>
  <si>
    <t>b31373240</t>
  </si>
  <si>
    <t>1 photograph : colour;still image sti rdacontent;computer c rdamedia;online resource cr rdacarrier;image file TIFF 5999 x 3974 pixels rda</t>
  </si>
  <si>
    <t>b31373252</t>
  </si>
  <si>
    <t>1 photograph : colour;still image sti rdacontent;computer c rdamedia;online resource cr rdacarrier;image file TIFF 6000 x 3974 pixels rda</t>
  </si>
  <si>
    <t>b31373264</t>
  </si>
  <si>
    <t>1 photograph : colour;still image sti rdacontent;computer c rdamedia;online resource cr rdacarrier;image file TIFF 6000 x 3810 pixels rda</t>
  </si>
  <si>
    <t>b31399654</t>
  </si>
  <si>
    <t>Woomera Go-Kart</t>
  </si>
  <si>
    <t>1 photograph : black and white;still image sti rdacontent;computer c rdamedia;online resource cr rdacarrier;image file TIFF 5782 x 4266 pixels rda</t>
  </si>
  <si>
    <t>Go-Kart at Woomera, South Australia.</t>
  </si>
  <si>
    <t>b31399769</t>
  </si>
  <si>
    <t>Women in costume on stage</t>
  </si>
  <si>
    <t>1 photograph : black and white;still image sti rdacontent;computer c rdamedia;online resource cr rdacarrier;image file TIFF 5789 x 4244 pixels rda</t>
  </si>
  <si>
    <t>Women in costume on stage, Woomera, South Australia.</t>
  </si>
  <si>
    <t>Actors -- South Australia -- Woomera;Woomera (S.A.)</t>
  </si>
  <si>
    <t>b31399770</t>
  </si>
  <si>
    <t>Women at Woomera</t>
  </si>
  <si>
    <t>1 photograph : black and white;still image sti rdacontent;computer c rdamedia;online resource cr rdacarrier;image file TIFF 6239 x 4777 pixels rda</t>
  </si>
  <si>
    <t>Group of seven women and a girl next to a pile of clothing and shoes, Woomera, South Australia.</t>
  </si>
  <si>
    <t>b3139257x</t>
  </si>
  <si>
    <t>1 slide : colour;still image sti rdacontent;computer c rdamedia;online resource cr rdacarrier;image file TIFF 6768 x 4528 pixels rda</t>
  </si>
  <si>
    <t>b31392581</t>
  </si>
  <si>
    <t>1 slide : colour;still image sti rdacontent;computer c rdamedia;online resource cr rdacarrier;image file TIFF 6888 x 4504 pixels rda</t>
  </si>
  <si>
    <t>b31392593</t>
  </si>
  <si>
    <t>1 slide : colour;still image sti rdacontent;computer c rdamedia;online resource cr rdacarrier;image file TIFF 6816 x 4504 pixels rda</t>
  </si>
  <si>
    <t>b31392568</t>
  </si>
  <si>
    <t>1 slide : colour;still image sti rdacontent;computer c rdamedia;online resource cr rdacarrier;image file TIFF 6840 x 4528 pixels rda</t>
  </si>
  <si>
    <t>b21110955</t>
  </si>
  <si>
    <t>Photograph of Mount Gambier from the air in 1976.</t>
  </si>
  <si>
    <t>b21110864</t>
  </si>
  <si>
    <t>Photograph of Mount Gambier from the air in July 1977.</t>
  </si>
  <si>
    <t>b21110876</t>
  </si>
  <si>
    <t>b2111089x</t>
  </si>
  <si>
    <t>b21110906</t>
  </si>
  <si>
    <t>b21178781</t>
  </si>
  <si>
    <t>Aerial view of Borderline Speedway at Mount Gambier</t>
  </si>
  <si>
    <t>Photograph of Borderline Speedway in Mount Gambier, taken from the air in April 1977.</t>
  </si>
  <si>
    <t>Borderline Speedway (Mount Gambier, S.A.);Automobile racing -- South Australia -- Mount Gambier</t>
  </si>
  <si>
    <t>b21114663</t>
  </si>
  <si>
    <t>Aerial Photograph of Mount Gambier</t>
  </si>
  <si>
    <t>Mount Gambier (S.A.) -- Aerial photographs</t>
  </si>
  <si>
    <t>b21124991</t>
  </si>
  <si>
    <t>Les Hill, A. Sealey and Kevin Hein</t>
  </si>
  <si>
    <t>Photograph of Les Hill, Mayor A. Sealey and Kevin Hein at the Mount Gambier Art Gallery for the launch of Les Hill's book "Mount Gambier : the city around a cave".</t>
  </si>
  <si>
    <t>Hein, Kevin George, 1932-;Sealey, Archibald Llewellyn, 1914-1984;Hill, Les R. (Leslie Raymond), 1912-;Authors, Australian -- South Australia -- Mount Gambier;Mayors -- South Australia -- Mount Gambier</t>
  </si>
  <si>
    <t>b31392489</t>
  </si>
  <si>
    <t>[approximately 1977]</t>
  </si>
  <si>
    <t>1 slide : colour;still image sti rdacontent;computer c rdamedia;online resource cr rdacarrier;image file TIFF 6723 x 4476 pixels rda</t>
  </si>
  <si>
    <t>b21101127</t>
  </si>
  <si>
    <t>Valley Lake</t>
  </si>
  <si>
    <t>Photograph of the Valley Lake taken on 8th February 1979, Mount Gambier.</t>
  </si>
  <si>
    <t>Valley Lake (S.A.)</t>
  </si>
  <si>
    <t>b21101140</t>
  </si>
  <si>
    <t>Photograph of Valley Lake on 8th February 1979, Mount Gambier.</t>
  </si>
  <si>
    <t>b29240426</t>
  </si>
  <si>
    <t>Ordination at St. Peter's Cathedral</t>
  </si>
  <si>
    <t>Photograph (colour print)  20.1 cm x 25.3 cm;still image sti rdacontent;unmediated n rdamedia;sheet nb rdacarrier</t>
  </si>
  <si>
    <t>Ordination at St. Peter's Cathedral, 3 February 1979. This photograph appeared on the front page of Adelaide Church Guardian, March 1979, Vol. 73, No. 2. Standing L-R, Mr W. Rogers (server), DEACONS: The Reverends Frank Kernot (St Mary's South Road), Colin Griffiths SSM (St John's, Halifax Street), David McLean (St Jude's, Brighton), Mr. K. Webster (crucifer), The Reverend P.G. Osborn, Anthony Noble (St Margaret's, Woodville), Grantley Bullen (St Francis', Edwardstown), Mr A. Charlton (server). Seated L-R, PRIESTS: The Reverends Edward Whitworth (St Matthew's, Kensington), David Lunnis (St Michael's, Mitcham), The Preacher The Rev'd G.M. Yould, The Assistant Bishop The Rt Rev'd L.E.W. Renfrey, The Archbishop The Most Rev'd K. Rayner, The Archdeacon of Sturt The Ven. S.M. Smith, The Bishop's Vicar Canon W.R. Ray, Bruce Naylor (St Columba's, Hawthorn), James Baillie (St Chad's, Fullarton).</t>
  </si>
  <si>
    <t>St. Peter's Cathedral (Adelaide, S.A.);Bishops -- South Australia -- Adelaide;Priests -- South Australia</t>
  </si>
  <si>
    <t>b29240438</t>
  </si>
  <si>
    <t>Photograph (colour print)  20.1 cm x 25.1 cm;still image sti rdacontent;unmediated n rdamedia;sheet nb rdacarrier</t>
  </si>
  <si>
    <t>Ordination at St. Peter's Cathedral, 3 February 1979. Standing L-R, Mr W. Rogers (server), DEACONS: The Reverends Frank Kernot (St Mary's South Road), Colin Griffiths SSM (St John's, Halifax Street), David McLean (St Jude's, Brighton), Mr. K. Webster (crucifer), The Reverend P.G. Osborn, Anthony Noble (St Margaret's, Woodville), Grantley Bullen (St Francis', Edwardstown), Mr A. Charlton (server). Seated L-R, PRIESTS: The Reverends Edward Whitworth (St Matthew's, Kensington), David Lunnis (St Michael's, Mitcham), The Preacher The Rev'd G.M. Yould, The Assistant Bishop The Rt Rev'd L.E.W. Renfrey, The Archbishop The Most Rev'd K. Rayner, The Archdeacon of Sturt The Ven. S.M. Smith, The Bishop's Vicar Canon W.R. Ray, Bruce Naylor (St Columba's, Hawthorn), James Baillie (St Chad's, Fullarton).</t>
  </si>
  <si>
    <t>b21111467</t>
  </si>
  <si>
    <t>Mac's Hotel</t>
  </si>
  <si>
    <t>Photograph of Mac's Hotel in Mount Gambier in 1980.</t>
  </si>
  <si>
    <t>Mac's Hotel (Mount Gambier, S.A.);Hotels -- South Australia -- Mount Gambier</t>
  </si>
  <si>
    <t>b21111492</t>
  </si>
  <si>
    <t>Herbert Street Church</t>
  </si>
  <si>
    <t>Photograph of the Herbert Street Church in June 1980, Mount Gambier.</t>
  </si>
  <si>
    <t>Herbert Street Church (Mount Gambier, S.A.);Church buildings -- South Australia -- Mount Gambier</t>
  </si>
  <si>
    <t>b2924044x</t>
  </si>
  <si>
    <t>Photograph (colour print)  20.0 cm x 25.1 cm;still image sti rdacontent;unmediated n rdamedia;sheet nb rdacarrier</t>
  </si>
  <si>
    <t>Ordination at St. Peter's Cathedral, February 1980. Standing L-R, Mr W. Rogers (server), Made Deacon Stephen Clark (South Road), Ross Morony (Hawthorn), Keith Brice (Woodville), The Rev'd P.G. Osborn, ÔÇª (crucifer), Graham Head (Toorak Gardens), Barry Davis (Unley), ÔÇª?. Seated L-R, Ordained Priests: Frank Kernot (Mitcham), Anthony Noble (Campbelltown), ÔÇª?, The Assistant Bishop The Rt Rev'd L.E.W. Renfrey, The Archbishop The Most Rev'd K. Rayner, The Archdeacon of Sturt The Ven. S.M. Smith, The Bishop's Vicar Canon W.R. Ray, David McLean (Brighton), Grant Bullen (Edwardstown), Colin Griffiths S.S.M. (St John's Halifax Street).</t>
  </si>
  <si>
    <t>b32030794</t>
  </si>
  <si>
    <t>Aerial view of Southern Bricks</t>
  </si>
  <si>
    <t>[approximately 1980]</t>
  </si>
  <si>
    <t>1 photograph : black and white   40.5 x 50.7 cm;RESERVE 11;still image sti rdacontent;unmediated n rdamedia;sheet nb rdacarrier</t>
  </si>
  <si>
    <t>Aerial view of Southern Bricks at Lonsdale, which was acquired by Hallett Brick Industries. The plant is located on Aldenhoven Road, with the Noarlunga train line at the rear.</t>
  </si>
  <si>
    <t>J. Hallett &amp; Son Ltd.;Hallett Brick Industries;Brickmakers -- South Australia.;Factories -- South Australia -- Lonsdale.</t>
  </si>
  <si>
    <t>Lonsdale Collection</t>
  </si>
  <si>
    <t>b21024005</t>
  </si>
  <si>
    <t>Photograph  25 cm x 20.5 cm;RESERVE 1</t>
  </si>
  <si>
    <t>Veterans VIII on the River Torrens. The Clubhouse can be seen on the banks with people standing in front of it. Other buildings along the bank can be seen as in the C.B.D. Rowers are : bow, I.T. Grummett  2, C. Amiel , 3. ?  4, J.P. Motteram  5, J.T. Sheppard  6, L.K. Milne  7, L.E. Runge  stroke, R.V. Osman  Cox, ?.</t>
  </si>
  <si>
    <t>Grummett, I. T.;Amiel, Charles Wallace;Motteram, J. P.;Sheppard, J. T.;Milne, L. K.;Runge, L. E.;Osman, R. V.;Rowing clubs -- South Australia -- Adelaide</t>
  </si>
  <si>
    <t>b21110888</t>
  </si>
  <si>
    <t>Aerial view of McNamara Park</t>
  </si>
  <si>
    <t>Photograph of McNamara Park Road Racing Circuit from the air in February 1981.</t>
  </si>
  <si>
    <t>Automobile racing -- South Australia -- Mount Gambier;McNamara Park (Mount Gambier, S.A.)</t>
  </si>
  <si>
    <t>b21110918</t>
  </si>
  <si>
    <t>Photograph of McNamara Park Road Racing Circuit  from the air on 19th April 1981.</t>
  </si>
  <si>
    <t>b2111092x</t>
  </si>
  <si>
    <t>b21110931</t>
  </si>
  <si>
    <t>b29241674</t>
  </si>
  <si>
    <t>Sacristy window, St. Peter's Cathedral</t>
  </si>
  <si>
    <t>Photograph (colour)  12.9 cm x 8.8 cm;still image sti rdacontent;unmediated n rdamedia;sheet nb rdacarrier</t>
  </si>
  <si>
    <t>Sacristy window, St. Peter's Cathedral, Adelaide.</t>
  </si>
  <si>
    <t>St. Peter's Cathedral (Adelaide, S.A.);Stained glass windows -- South Australia -- Adelaide;North Adelaide (S.A.)</t>
  </si>
  <si>
    <t>b30276561</t>
  </si>
  <si>
    <t>Australian Under 23 World Championships Rowing Team</t>
  </si>
  <si>
    <t>1 photograph : colour   14.4 x 10.3 cm;still image sti rdacontent;unmediated n rdamedia;sheet nb rdacarrier</t>
  </si>
  <si>
    <t>Australian Under 23 World Championships Rowing Team leaving Mascot Airport, Sydney, for Vienna, Austria.</t>
  </si>
  <si>
    <t>Rowing -- Australia</t>
  </si>
  <si>
    <t>b31402148</t>
  </si>
  <si>
    <t>Woomera 40th anniversary celebrations</t>
  </si>
  <si>
    <t>[approximately 1982]</t>
  </si>
  <si>
    <t>1 photograph : colour;still image sti rdacontent;computer c rdamedia;online resource cr rdacarrier;image file TIFF 5932 x 3974 pixels rda</t>
  </si>
  <si>
    <t>Sealing a time capsule at Woomera's 40th anniversary celebrations, South Australia.</t>
  </si>
  <si>
    <t>b29240979</t>
  </si>
  <si>
    <t>Photograph (black and white print)  12.6 cm x 10.1 cm;still image sti rdacontent;unmediated n rdamedia;sheet nb rdacarrier</t>
  </si>
  <si>
    <t>West front of the Cathedral Church of St. Peter, Adelaide.</t>
  </si>
  <si>
    <t>b29241005</t>
  </si>
  <si>
    <t>Photograph (black and white print)  12.7 cm x 10.1 cm;still image sti rdacontent;unmediated n rdamedia;sheet nb rdacarrier</t>
  </si>
  <si>
    <t>East end of the Cathedral Church of St. Peter, Adelaide.</t>
  </si>
  <si>
    <t>b29241066</t>
  </si>
  <si>
    <t>High altar and carved reredos of the Cathedral Church of St. Peter, Adelaide.</t>
  </si>
  <si>
    <t>St. Peter's Cathedral (Adelaide, S.A.);Interior architecture -- South Australia -- Adelaide;North Adelaide (S.A.)</t>
  </si>
  <si>
    <t>b29241078</t>
  </si>
  <si>
    <t>Interior of the Cathedral Church of St. Peter, Adelaide.</t>
  </si>
  <si>
    <t>b30126149</t>
  </si>
  <si>
    <t>Ragless, Margaret E., 1952-2012, photographer</t>
  </si>
  <si>
    <t>Crown house, Mount Barker</t>
  </si>
  <si>
    <t>1 photograph : black and white   8.8 x 13.1 cm;still image sti rdacontent;unmediated n rdamedia;sheet nb rdacarrier</t>
  </si>
  <si>
    <t>Crown House on Hutchinson St., Mount Barker. To see a selection of photographs in this collection, search on Archival number PRG 1631/98.</t>
  </si>
  <si>
    <t>Architecture, Domestic -- South Australia -- Mount Barker;Mount Barker (S.A.)</t>
  </si>
  <si>
    <t>Margaret E. Ragless Collection;Mount Barker Collection</t>
  </si>
  <si>
    <t>b29264868</t>
  </si>
  <si>
    <t>Glass tube exposure unit</t>
  </si>
  <si>
    <t>1986 June</t>
  </si>
  <si>
    <t>1 photograph : colour   8.9 x 13.1 cm;OUTSIZE 1;still image sti rdacontent;unmediated n rdamedia;sheet nb rdacarrier</t>
  </si>
  <si>
    <t>Photograph showing a section of a machine. Caption reads 'glass tube exposure unit with fluro lamp informally exposing ten a variance slit', '..... mechanism for transparency June 86'.</t>
  </si>
  <si>
    <t>Electrophotography -- South Australia -- History;Machinery -- South Australia</t>
  </si>
  <si>
    <t>b21110943</t>
  </si>
  <si>
    <t>Cave Gardens and Target</t>
  </si>
  <si>
    <t>Photograph of Mount Gambier from the air in 1990.</t>
  </si>
  <si>
    <t>Target (Firm);Stores, Retail -- South Australia -- Mount Gambier;Cave Garden (Mount Gambier, S.A.)</t>
  </si>
  <si>
    <t>b29371181</t>
  </si>
  <si>
    <t>Jenkins, Brian, photographer</t>
  </si>
  <si>
    <t>The Australian Democrats Senate team in 1987-90</t>
  </si>
  <si>
    <t>1987-1990</t>
  </si>
  <si>
    <t>1 photograph : colour   14.4 x 12.6 cm;still image sti rdacontent;unmediated n rdamedia;sheet nb rdacarrier</t>
  </si>
  <si>
    <t>Colour photograph of 'The Australian Democrats Senate team in 1987-90. From left, Jean Jenkins (rear), John Coulter, Norm Sanders, Paul MacLean, Janet Powell. In front, Michael Macklin (deputy) and Janine Haines (leader)'. Includes a Wikipedia printout by the photographer showing the upload of the image to Wikipedia releasing the photograph into the public domain.</t>
  </si>
  <si>
    <t>Australian Democrats;Politicians -- Australia</t>
  </si>
  <si>
    <t>b2917627x</t>
  </si>
  <si>
    <t>Flannery, Nancy, 1929-.</t>
  </si>
  <si>
    <t>Photographs relating to Nancy Flannery's research on Paquita Delprat</t>
  </si>
  <si>
    <t>1995-1997</t>
  </si>
  <si>
    <t>Digital images only</t>
  </si>
  <si>
    <t>Photographs taken of interviewees for Nancy Flannery's book on Paquita Delprat, the Brighton home of the Mawsons and 'Harewood', the former farm of Sir Douglas Mawson.</t>
  </si>
  <si>
    <t>Mawson, Paquita, 1891-1974;Mawson, Douglas, Sir, 1882-1958</t>
  </si>
  <si>
    <t>b29176281</t>
  </si>
  <si>
    <t>Flannery, Nancy, 1929-</t>
  </si>
  <si>
    <t>Noel Lothian</t>
  </si>
  <si>
    <t>Digital image only</t>
  </si>
  <si>
    <t>Noel Lothian on the day of his interview with Nancy Flannery for her book on Paquita Delprat.</t>
  </si>
  <si>
    <t>Lothian, Noel, 1915-2004</t>
  </si>
  <si>
    <t>b29176566</t>
  </si>
  <si>
    <t>Vivien Lothian</t>
  </si>
  <si>
    <t>Vivien Lothian on the day of her interview with Nancy Flannery for Nancy's book on Paquita Delprat.</t>
  </si>
  <si>
    <t>Lothian, Vivien</t>
  </si>
  <si>
    <t>b29176578</t>
  </si>
  <si>
    <t>Oliver Moriarty</t>
  </si>
  <si>
    <t>Oliver Moriarty at his home in Stirling on the day of his interview with Nancy Flannery for her book on Paquita Delprat.</t>
  </si>
  <si>
    <t>Moriarty, Oliver</t>
  </si>
  <si>
    <t>b2917658x</t>
  </si>
  <si>
    <t>Mina Muecke</t>
  </si>
  <si>
    <t>Mina Muecke on the day of her interview with Nancy Flannery for Nancy's book on Paquita Delprat.</t>
  </si>
  <si>
    <t>Muecke, Mina</t>
  </si>
  <si>
    <t>b29176591</t>
  </si>
  <si>
    <t>Ian Muecke</t>
  </si>
  <si>
    <t>Ian Muecke on the day of his interview with Nancy Flannery for her book on Paquita Delprat.</t>
  </si>
  <si>
    <t>Muecke, Ian Donald, 1925-2001</t>
  </si>
  <si>
    <t>b2917661x</t>
  </si>
  <si>
    <t>Stella Vitzthum</t>
  </si>
  <si>
    <t>Stella Vitzthum (nee McEwin) at 'Gorgoyle' talking with Nancy Flannery for Nancy's book on Paquita Delprat.</t>
  </si>
  <si>
    <t>Vitzthum, Stella</t>
  </si>
  <si>
    <t>b29176621</t>
  </si>
  <si>
    <t>Pat Thomas</t>
  </si>
  <si>
    <t>Pat Thomas, daughter of Paquita and Sir Douglas Mawson, being intereviewed at the home of Nancy and Ian Flannery.</t>
  </si>
  <si>
    <t>Thomas, Pat</t>
  </si>
  <si>
    <t>b29176633</t>
  </si>
  <si>
    <t>Reg Sprigg(?)</t>
  </si>
  <si>
    <t>Reg Sprigg on the day he was being interviewed by Nancy Flannery for her book on Paquita Delprat.</t>
  </si>
  <si>
    <t>Sprigg, R. C. (Reginald Claude), 1919-1994</t>
  </si>
  <si>
    <t>b29176918</t>
  </si>
  <si>
    <t>Jessica McEwin, Nancy Flannery and Pat Thomas at Brighton</t>
  </si>
  <si>
    <t>approximately 1994</t>
  </si>
  <si>
    <t>Jessica McEwin, Nancy Flannery and Pat Thomas at Brighton "In the steps of Paquita".</t>
  </si>
  <si>
    <t>McEwin, Jessica;Thomas, Pat</t>
  </si>
  <si>
    <t>b29176943</t>
  </si>
  <si>
    <t>Brighton Cemetery</t>
  </si>
  <si>
    <t>Jessica McEwin, Nancy Flannery and Pat Thomas at Brighton Cemetery, near the grave on Nancy's parents.</t>
  </si>
  <si>
    <t>b29177005</t>
  </si>
  <si>
    <t>Gareth Thomas and Jessica McEwin at Harewood</t>
  </si>
  <si>
    <t>Gareth Thomas and Jessica McEwin at Harewood near Macclesfield, the property once owned by Sir Douglas Mawson.</t>
  </si>
  <si>
    <t>Thomas, Gareth;McEwin, Jessica</t>
  </si>
  <si>
    <t>b29176657</t>
  </si>
  <si>
    <t>Sue McEwin</t>
  </si>
  <si>
    <t>Sue McEwin being interviewed by Nancy Flannery for her book on Paquita Delprat in March 1995 at Hahndorf.</t>
  </si>
  <si>
    <t>McEwin, Sue</t>
  </si>
  <si>
    <t>b29176694</t>
  </si>
  <si>
    <t>Eleanor Jacker</t>
  </si>
  <si>
    <t>Eleanor Jacker being interviewed by Nancy Flannery for her book on Paquita Delprat in March 1995.</t>
  </si>
  <si>
    <t>Jacker, Eleanor</t>
  </si>
  <si>
    <t>b29176700</t>
  </si>
  <si>
    <t>Jack Montgomery</t>
  </si>
  <si>
    <t>Jack Montgomery being interviewed by Nancy Flannery for her book on Paquita Delprat in March 1995.</t>
  </si>
  <si>
    <t>Montgomery, Jack</t>
  </si>
  <si>
    <t>b29176724</t>
  </si>
  <si>
    <t>Dr. Phillip Law</t>
  </si>
  <si>
    <t>Dr. Philip Law of Melbourne being interviewed by Nancy Flannery for her book on Paquita Delprat in May 1995.</t>
  </si>
  <si>
    <t>Law, Philip, Dr.</t>
  </si>
  <si>
    <t>b29176748</t>
  </si>
  <si>
    <t>Gwyneth Campbell-Drury</t>
  </si>
  <si>
    <t>Gwyneth Campbell-Drury of East Doncaster being interviewed by Nancy Flannery for her book on Paquita Delprat in May 1995.</t>
  </si>
  <si>
    <t>Campbell-Drury, Gwyneth</t>
  </si>
  <si>
    <t>b29176645</t>
  </si>
  <si>
    <t>Andrew McEwin</t>
  </si>
  <si>
    <t>Andrew McEwin being interviewed by Nancy Flannery for her book on Paquita Delprat in March 1995.</t>
  </si>
  <si>
    <t>McEwin, Andrew</t>
  </si>
  <si>
    <t>b31455189</t>
  </si>
  <si>
    <t>[approximately 1995]</t>
  </si>
  <si>
    <t>1 photograph : colour;still image sti rdacontent;computer c rdamedia;online resource cr rdacarrier;image file TIFF 6637 x 4503 pixels rda</t>
  </si>
  <si>
    <t>b31455190</t>
  </si>
  <si>
    <t>1 photograph : colour;still image sti rdacontent;computer c rdamedia;online resource cr rdacarrier;image file TIFF 6647 x 4527 pixels rda</t>
  </si>
  <si>
    <t>b31455207</t>
  </si>
  <si>
    <t>Salt pan, South Australia</t>
  </si>
  <si>
    <t>1 photograph : colour;still image sti rdacontent;computer c rdamedia;online resource cr rdacarrier;image file TIFF 6634 x 4490 pixels rda</t>
  </si>
  <si>
    <t>Salt pan near Woomera, South Australia.</t>
  </si>
  <si>
    <t>Salt pans -- South Australia;Woomera (S.A.)</t>
  </si>
  <si>
    <t>b31455220</t>
  </si>
  <si>
    <t>1 photograph : colour;still image sti rdacontent;computer c rdamedia;online resource cr rdacarrier;image file TIFF 6620 x 4515 pixels rda</t>
  </si>
  <si>
    <t>b31455244</t>
  </si>
  <si>
    <t>1 photograph : colour;still image sti rdacontent;computer c rdamedia;online resource cr rdacarrier;image file TIFF 6634 x 4495 pixels rda</t>
  </si>
  <si>
    <t>b31455256</t>
  </si>
  <si>
    <t>1 photograph : colour;still image sti rdacontent;computer c rdamedia;online resource cr rdacarrier;image file TIFF 6639 x 4490 pixels rda</t>
  </si>
  <si>
    <t>Bushland near Woomera, South Australia.</t>
  </si>
  <si>
    <t>b31455268</t>
  </si>
  <si>
    <t>1 photograph : colour;still image sti rdacontent;computer c rdamedia;online resource cr rdacarrier;image file TIFF 6648 x 4512 pixels rda</t>
  </si>
  <si>
    <t>b3145530x</t>
  </si>
  <si>
    <t>1 photograph : colour;still image sti rdacontent;computer c rdamedia;online resource cr rdacarrier;image file TIFF 6605 x 4479 pixels rda</t>
  </si>
  <si>
    <t>b31455311</t>
  </si>
  <si>
    <t>1 photograph : colour;still image sti rdacontent;computer c rdamedia;online resource cr rdacarrier;image file TIFF 6612 x 4516 pixels rda</t>
  </si>
  <si>
    <t>b31455323</t>
  </si>
  <si>
    <t>1 photograph : colour;still image sti rdacontent;computer c rdamedia;online resource cr rdacarrier;image file TIFF 6641 x 4515 pixels rda</t>
  </si>
  <si>
    <t>b31455335</t>
  </si>
  <si>
    <t>1 photograph : colour;still image sti rdacontent;computer c rdamedia;online resource cr rdacarrier;image file TIFF 6621 x 4507 pixels rda</t>
  </si>
  <si>
    <t>Woomera housing, South Australia.</t>
  </si>
  <si>
    <t>b31455347</t>
  </si>
  <si>
    <t>1 photograph : colour;still image sti rdacontent;computer c rdamedia;online resource cr rdacarrier;image file TIFF 6651 x 4506 pixels rda</t>
  </si>
  <si>
    <t>b31455359</t>
  </si>
  <si>
    <t>1 photograph : colour;still image sti rdacontent;computer c rdamedia;online resource cr rdacarrier;image file TIFF 6635 x 4486 pixels rda</t>
  </si>
  <si>
    <t>b31455360</t>
  </si>
  <si>
    <t>1 photograph : colour;still image sti rdacontent;computer c rdamedia;online resource cr rdacarrier;image file TIFF 6626 x 4513 pixels rda</t>
  </si>
  <si>
    <t>b31455372</t>
  </si>
  <si>
    <t>1 photograph : colour;still image sti rdacontent;computer c rdamedia;online resource cr rdacarrier;image file TIFF 6608 x 4473 pixels rda</t>
  </si>
  <si>
    <t>b31455384</t>
  </si>
  <si>
    <t>1 photograph : colour;still image sti rdacontent;computer c rdamedia;online resource cr rdacarrier;image file TIFF 6624 x 4483 pixels rda</t>
  </si>
  <si>
    <t>b31456807</t>
  </si>
  <si>
    <t>1 photograph : colour;still image sti rdacontent;computer c rdamedia;online resource cr rdacarrier;image file TIFF 6619 x 4491 pixels rda</t>
  </si>
  <si>
    <t>Ford sedan, registration number UYD-736, in a carport at Woomera, South Australia.</t>
  </si>
  <si>
    <t>Ford automobile;Woomera (S.A.)</t>
  </si>
  <si>
    <t>b31456819</t>
  </si>
  <si>
    <t>1 photograph : colour;still image sti rdacontent;computer c rdamedia;online resource cr rdacarrier;image file TIFF 6627 x 4480 pixels rda</t>
  </si>
  <si>
    <t>b31456820</t>
  </si>
  <si>
    <t>1 photograph : colour;still image sti rdacontent;computer c rdamedia;online resource cr rdacarrier;image file TIFF 6635 x 4506 pixels rda</t>
  </si>
  <si>
    <t>b31456832</t>
  </si>
  <si>
    <t>1 photograph : colour;still image sti rdacontent;computer c rdamedia;online resource cr rdacarrier;image file TIFF 6666 x 4502 pixels rda</t>
  </si>
  <si>
    <t>b31456844</t>
  </si>
  <si>
    <t>1 photograph : colour;still image sti rdacontent;computer c rdamedia;online resource cr rdacarrier;image file TIFF 6622 x 4512 pixels rda</t>
  </si>
  <si>
    <t>b31456856</t>
  </si>
  <si>
    <t>Swimming pool, Woomera, South Australia</t>
  </si>
  <si>
    <t>1 photograph : colour;still image sti rdacontent;computer c rdamedia;online resource cr rdacarrier;image file TIFF 6614 x 4484 pixels rda</t>
  </si>
  <si>
    <t>Swimming pools -- South Australia -- Woomera;Woomera (S.A.)</t>
  </si>
  <si>
    <t>b31456868</t>
  </si>
  <si>
    <t>1 photograph : colour;still image sti rdacontent;computer c rdamedia;online resource cr rdacarrier;image file TIFF 6626 x 4474 pixels rda</t>
  </si>
  <si>
    <t>b3145687x</t>
  </si>
  <si>
    <t>1 photograph : colour;still image sti rdacontent;computer c rdamedia;online resource cr rdacarrier;image file TIFF 6631 x 4469 pixels rda</t>
  </si>
  <si>
    <t>b31456881</t>
  </si>
  <si>
    <t>1 photograph : colour;still image sti rdacontent;computer c rdamedia;online resource cr rdacarrier;image file TIFF 6605 x 4463 pixels rda</t>
  </si>
  <si>
    <t>Children playing in the swimming pool at Woomera, South Australia.</t>
  </si>
  <si>
    <t>Swimming pools -- South Australia -- Woomera;Children -- South Australia -- Woomera;Woomera (S.A.)</t>
  </si>
  <si>
    <t>b31456893</t>
  </si>
  <si>
    <t>1 photograph : colour;still image sti rdacontent;computer c rdamedia;online resource cr rdacarrier;image file TIFF 6606 x 4470 pixels rda</t>
  </si>
  <si>
    <t>b3145690x</t>
  </si>
  <si>
    <t>1 photograph : colour;still image sti rdacontent;computer c rdamedia;online resource cr rdacarrier;image file TIFF 6579 x 4474 pixels rda</t>
  </si>
  <si>
    <t>b31456911</t>
  </si>
  <si>
    <t>1 photograph : colour;still image sti rdacontent;computer c rdamedia;online resource cr rdacarrier;image file TIFF 6654 x 4504 pixels rda</t>
  </si>
  <si>
    <t>b31456923</t>
  </si>
  <si>
    <t>1 photograph : colour;still image sti rdacontent;computer c rdamedia;online resource cr rdacarrier;image file TIFF 6668 x 4516 pixels rda</t>
  </si>
  <si>
    <t>b31456935</t>
  </si>
  <si>
    <t>1 photograph : colour;still image sti rdacontent;computer c rdamedia;online resource cr rdacarrier;image file TIFF 6683 x 4518 pixels rda</t>
  </si>
  <si>
    <t>b31456947</t>
  </si>
  <si>
    <t>1 photograph : colour;still image sti rdacontent;computer c rdamedia;online resource cr rdacarrier;image file TIFF 6641 x 4505 pixels rda</t>
  </si>
  <si>
    <t>b31456959</t>
  </si>
  <si>
    <t>1 photograph : colour;still image sti rdacontent;computer c rdamedia;online resource cr rdacarrier;image file TIFF 6647 x 4504 pixels rda</t>
  </si>
  <si>
    <t>b31456972</t>
  </si>
  <si>
    <t>Little Falcon near Woomera, South Australia</t>
  </si>
  <si>
    <t>1 photograph : colour;still image sti rdacontent;computer c rdamedia;online resource cr rdacarrier;image file TIFF 6510 x 4440 pixels rda</t>
  </si>
  <si>
    <t>Little Falcon or Australian Hobby (Falco longipennis) near Woomera, South Australia.</t>
  </si>
  <si>
    <t>Australian hobby -- South Australia;Birds -- South Australia;Birds of prey -- South Australia;Woomera (S.A.)</t>
  </si>
  <si>
    <t>b31457198</t>
  </si>
  <si>
    <t>Near Woomera, South Australia</t>
  </si>
  <si>
    <t>1 photograph : colour;still image sti rdacontent;computer c rdamedia;online resource cr rdacarrier;image file TIFF 6530 x 4426 pixels rda</t>
  </si>
  <si>
    <t>Wild flowers near Woomera, South Australia.</t>
  </si>
  <si>
    <t>Wild flowers -- South Australia;Woomera (S.A.)</t>
  </si>
  <si>
    <t>b31457204</t>
  </si>
  <si>
    <t>1 photograph : colour;still image sti rdacontent;computer c rdamedia;online resource cr rdacarrier;image file TIFF 6687 x 4486 pixels rda</t>
  </si>
  <si>
    <t>Near Woomera, South Australia.</t>
  </si>
  <si>
    <t>b31457216</t>
  </si>
  <si>
    <t>1 photograph : colour;still image sti rdacontent;computer c rdamedia;online resource cr rdacarrier;image file TIFF 6621 x 4448 pixels rda</t>
  </si>
  <si>
    <t>A large tyre partially buried in order to stand upright, near Woomera, South Australia.</t>
  </si>
  <si>
    <t>b31457228</t>
  </si>
  <si>
    <t>1 photograph : colour;still image sti rdacontent;computer c rdamedia;online resource cr rdacarrier;image file TIFF 6664 x 4456 pixels rda</t>
  </si>
  <si>
    <t>Distant view of a salt pan near Woomera, South Australia</t>
  </si>
  <si>
    <t>b3139503x</t>
  </si>
  <si>
    <t>1 photograph : colour;still image sti rdacontent;computer c rdamedia;online resource cr rdacarrier;image file TIFF 5309 x 3581 pixels rda</t>
  </si>
  <si>
    <t>A flock of Corellas fly over a disused facility at Woomera, South Australia.</t>
  </si>
  <si>
    <t>b31395089</t>
  </si>
  <si>
    <t>1 photograph : colour;still image sti rdacontent;computer c rdamedia;online resource cr rdacarrier;image file TIFF 5296 x 3573 pixels rda</t>
  </si>
  <si>
    <t>On the roof of a disused tracking facility at Woomera, South Australia.</t>
  </si>
  <si>
    <t>b31395211</t>
  </si>
  <si>
    <t>1 photograph : colour;still image sti rdacontent;computer c rdamedia;online resource cr rdacarrier;image file TIFF 3710 x 2490 pixels rda</t>
  </si>
  <si>
    <t>Picnic stop on the roadside at Woomera, South Australia.</t>
  </si>
  <si>
    <t>b31395223</t>
  </si>
  <si>
    <t>1 photograph : colour;still image sti rdacontent;computer c rdamedia;online resource cr rdacarrier;image file TIFF 5271 x 3588 pixels rda</t>
  </si>
  <si>
    <t>Suzuki Vitara, registration number WDV-665, parked on a track beside wild flowers at Woomera, South Australia.</t>
  </si>
  <si>
    <t>b31395296</t>
  </si>
  <si>
    <t>b31395314</t>
  </si>
  <si>
    <t>1 photograph : colour;still image sti rdacontent;computer c rdamedia;online resource cr rdacarrier;image file TIFF 5271 x 3587 pixels rda</t>
  </si>
  <si>
    <t>b31395338</t>
  </si>
  <si>
    <t>1 photograph : colour;still image sti rdacontent;computer c rdamedia;online resource cr rdacarrier;image file TIFF 5309 x 3573 pixels rda</t>
  </si>
  <si>
    <t>b3139534x</t>
  </si>
  <si>
    <t>1 photograph : colour;still image sti rdacontent;computer c rdamedia;online resource cr rdacarrier;image file TIFF 5295 x 3573 pixels rda</t>
  </si>
  <si>
    <t>b31395351</t>
  </si>
  <si>
    <t>1 photograph : colour;still image sti rdacontent;computer c rdamedia;online resource cr rdacarrier;image file TIFF 5271 x 3614 pixels rda</t>
  </si>
  <si>
    <t>b31395375</t>
  </si>
  <si>
    <t>1 photograph : colour;still image sti rdacontent;computer c rdamedia;online resource cr rdacarrier;image file TIFF 5271 x 3615 pixels rda</t>
  </si>
  <si>
    <t>b31395387</t>
  </si>
  <si>
    <t>b31395399</t>
  </si>
  <si>
    <t>b31395405</t>
  </si>
  <si>
    <t>b31395429</t>
  </si>
  <si>
    <t>b31395430</t>
  </si>
  <si>
    <t>b31395442</t>
  </si>
  <si>
    <t>b31395454</t>
  </si>
  <si>
    <t>b31395466</t>
  </si>
  <si>
    <t>b31395478</t>
  </si>
  <si>
    <t>1 photograph : colour;still image sti rdacontent;computer c rdamedia;online resource cr rdacarrier;image file TIFF 5310 x 3590 pixels rda</t>
  </si>
  <si>
    <t>b3139548x</t>
  </si>
  <si>
    <t>b31395491</t>
  </si>
  <si>
    <t>b31395508</t>
  </si>
  <si>
    <t>1 photograph : colour;still image sti rdacontent;computer c rdamedia;online resource cr rdacarrier;image file TIFF 5235 x 3615 pixels rda</t>
  </si>
  <si>
    <t>b3139551x</t>
  </si>
  <si>
    <t>1 photograph : colour;still image sti rdacontent;computer c rdamedia;online resource cr rdacarrier;image file TIFF 5262 x 3615 pixels rda</t>
  </si>
  <si>
    <t>b31395521</t>
  </si>
  <si>
    <t>b31395533</t>
  </si>
  <si>
    <t>1 photograph : colour;still image sti rdacontent;computer c rdamedia;online resource cr rdacarrier;image file TIFF 6552 x 4430 pixels rda</t>
  </si>
  <si>
    <t>b31395545</t>
  </si>
  <si>
    <t>1 photograph : colour;still image sti rdacontent;computer c rdamedia;online resource cr rdacarrier;image file TIFF 6606 x 4492 pixels rda</t>
  </si>
  <si>
    <t>b31395557</t>
  </si>
  <si>
    <t>1 photograph : colour;still image sti rdacontent;computer c rdamedia;online resource cr rdacarrier;image file TIFF 6554 x 4449 pixels rda</t>
  </si>
  <si>
    <t>b31395569</t>
  </si>
  <si>
    <t>1 photograph : colour;still image sti rdacontent;computer c rdamedia;online resource cr rdacarrier;image file TIFF 6589 x 4457 pixels rda</t>
  </si>
  <si>
    <t>b31395582</t>
  </si>
  <si>
    <t>1 photograph : colour;still image sti rdacontent;computer c rdamedia;online resource cr rdacarrier;image file TIFF 6559 x 4472 pixels rda</t>
  </si>
  <si>
    <t>b31395594</t>
  </si>
  <si>
    <t>1 photograph : colour;still image sti rdacontent;computer c rdamedia;online resource cr rdacarrier;image file TIFF 6549 x 4470 pixels rda</t>
  </si>
  <si>
    <t>b31395600</t>
  </si>
  <si>
    <t>b31395818</t>
  </si>
  <si>
    <t>1 photograph : colour;still image sti rdacontent;computer c rdamedia;online resource cr rdacarrier;image file TIFF 6593 x 4488 pixels rda</t>
  </si>
  <si>
    <t>b3139582x</t>
  </si>
  <si>
    <t>1 photograph : colour;still image sti rdacontent;computer c rdamedia;online resource cr rdacarrier;image file TIFF 6562 x 4473 pixels rda</t>
  </si>
  <si>
    <t>b31395831</t>
  </si>
  <si>
    <t>1 photograph : colour;still image sti rdacontent;computer c rdamedia;online resource cr rdacarrier;image file TIFF 6590 x 4492 pixels rda</t>
  </si>
  <si>
    <t>b31395843</t>
  </si>
  <si>
    <t>1 photograph : colour;still image sti rdacontent;computer c rdamedia;online resource cr rdacarrier;image file TIFF 6590 x 4497 pixels rda</t>
  </si>
  <si>
    <t>b31395855</t>
  </si>
  <si>
    <t>1 photograph : colour;still image sti rdacontent;computer c rdamedia;online resource cr rdacarrier;image file TIFF 6569 x 4483 pixels rda</t>
  </si>
  <si>
    <t>b31395880</t>
  </si>
  <si>
    <t>1 photograph : colour;still image sti rdacontent;computer c rdamedia;online resource cr rdacarrier;image file TIFF 6570 x 4487 pixels rda</t>
  </si>
  <si>
    <t>b31395909</t>
  </si>
  <si>
    <t>1 photograph : colour;still image sti rdacontent;computer c rdamedia;online resource cr rdacarrier;image file TIFF 6557 x 4462 pixels rda</t>
  </si>
  <si>
    <t>b31395910</t>
  </si>
  <si>
    <t>1 photograph : colour;still image sti rdacontent;computer c rdamedia;online resource cr rdacarrier;image file TIFF 6568 x 4466 pixels rda</t>
  </si>
  <si>
    <t>b31395922</t>
  </si>
  <si>
    <t>1 photograph : colour;still image sti rdacontent;computer c rdamedia;online resource cr rdacarrier;image file TIFF 6574 x 4478 pixels rda</t>
  </si>
  <si>
    <t>b31395934</t>
  </si>
  <si>
    <t>1 photograph : colour;still image sti rdacontent;computer c rdamedia;online resource cr rdacarrier;image file TIFF 6563 x 4489 pixels rda</t>
  </si>
  <si>
    <t>b31419689</t>
  </si>
  <si>
    <t>1 photograph : colour;still image sti rdacontent;computer c rdamedia;online resource cr rdacarrier;image file TIFF 6556 x 4484 pixels rda</t>
  </si>
  <si>
    <t>b31419690</t>
  </si>
  <si>
    <t>1 photograph : colour;still image sti rdacontent;computer c rdamedia;online resource cr rdacarrier;image file TIFF 6557 x 4510 pixels rda</t>
  </si>
  <si>
    <t>b31419719</t>
  </si>
  <si>
    <t>1 photograph : colour;still image sti rdacontent;computer c rdamedia;online resource cr rdacarrier;image file TIFF 6566 x 4472 pixels rda</t>
  </si>
  <si>
    <t>b31419720</t>
  </si>
  <si>
    <t>1 photograph : colour;still image sti rdacontent;computer c rdamedia;online resource cr rdacarrier;image file TIFF 6532 x 4428 pixels rda</t>
  </si>
  <si>
    <t>Dome covering a Contraves Cinetheodolite, Woomera, South Australia.</t>
  </si>
  <si>
    <t>b31419732</t>
  </si>
  <si>
    <t>1 photograph : colour;still image sti rdacontent;computer c rdamedia;online resource cr rdacarrier;image file TIFF 6548 x 4448 pixels rda</t>
  </si>
  <si>
    <t>b31419756</t>
  </si>
  <si>
    <t>1 photograph : colour;still image sti rdacontent;computer c rdamedia;online resource cr rdacarrier;image file TIFF 6548 x 4437 pixels rda</t>
  </si>
  <si>
    <t>b31419768</t>
  </si>
  <si>
    <t>1 photograph : colour;still image sti rdacontent;computer c rdamedia;online resource cr rdacarrier;image file TIFF 4517 x 6564 pixels rda</t>
  </si>
  <si>
    <t>b31419781</t>
  </si>
  <si>
    <t>1 photograph : colour;still image sti rdacontent;computer c rdamedia;online resource cr rdacarrier;image file TIFF 6635 x 4519 pixels rda</t>
  </si>
  <si>
    <t>b31419793</t>
  </si>
  <si>
    <t>1 photograph : colour;still image sti rdacontent;computer c rdamedia;online resource cr rdacarrier;image file TIFF 6574 x 4472 pixels rda</t>
  </si>
  <si>
    <t>b31421106</t>
  </si>
  <si>
    <t>1 photograph : colour;still image sti rdacontent;computer c rdamedia;online resource cr rdacarrier;image file TIFF 6602 x 4493 pixels rda</t>
  </si>
  <si>
    <t>b31421131</t>
  </si>
  <si>
    <t>1 photograph : colour;still image sti rdacontent;computer c rdamedia;online resource cr rdacarrier;image file TIFF 6560 x 4465 pixels rda</t>
  </si>
  <si>
    <t>b31421143</t>
  </si>
  <si>
    <t>1 photograph : colour;still image sti rdacontent;computer c rdamedia;online resource cr rdacarrier;image file TIFF 6618 x 4411 pixels rda</t>
  </si>
  <si>
    <t>b31421167</t>
  </si>
  <si>
    <t>1 photograph : colour;still image sti rdacontent;computer c rdamedia;online resource cr rdacarrier;image file TIFF 6573 x 4489 pixels rda</t>
  </si>
  <si>
    <t>b31421180</t>
  </si>
  <si>
    <t>1 photograph : colour;still image sti rdacontent;computer c rdamedia;online resource cr rdacarrier;image file TIFF 6598 x 4475 pixels rda</t>
  </si>
  <si>
    <t>b31421210</t>
  </si>
  <si>
    <t>1 photograph : colour;still image sti rdacontent;computer c rdamedia;online resource cr rdacarrier;image file TIFF 6642 x 4489 pixels rda</t>
  </si>
  <si>
    <t>b31421222</t>
  </si>
  <si>
    <t>1 photograph : colour;still image sti rdacontent;computer c rdamedia;online resource cr rdacarrier;image file TIFF 6642 x 4532 pixels rda</t>
  </si>
  <si>
    <t>b31421234</t>
  </si>
  <si>
    <t>1 photograph : colour;still image sti rdacontent;computer c rdamedia;online resource cr rdacarrier;image file TIFF 6594 x 4481 pixels rda</t>
  </si>
  <si>
    <t>b31421246</t>
  </si>
  <si>
    <t>1 photograph : colour;still image sti rdacontent;computer c rdamedia;online resource cr rdacarrier;image file TIFF 6599 x 4495 pixels rda</t>
  </si>
  <si>
    <t>b31421258</t>
  </si>
  <si>
    <t>1 photograph : colour;still image sti rdacontent;computer c rdamedia;online resource cr rdacarrier;image file TIFF 6601 x 4494 pixels rda</t>
  </si>
  <si>
    <t>b31421271</t>
  </si>
  <si>
    <t>1 photograph : colour;still image sti rdacontent;computer c rdamedia;online resource cr rdacarrier;image file TIFF 6607 x 4489 pixels rda</t>
  </si>
  <si>
    <t>b31421295</t>
  </si>
  <si>
    <t>1 photograph : colour;still image sti rdacontent;computer c rdamedia;online resource cr rdacarrier;image file TIFF 6607 x 4488 pixels rda</t>
  </si>
  <si>
    <t>b31421301</t>
  </si>
  <si>
    <t>1 photograph : colour;still image sti rdacontent;computer c rdamedia;online resource cr rdacarrier;image file TIFF 6600 x 4493 pixels rda</t>
  </si>
  <si>
    <t>b31421313</t>
  </si>
  <si>
    <t>1 photograph : colour;still image sti rdacontent;computer c rdamedia;online resource cr rdacarrier;image file TIFF 6574 x 4456 pixels rda</t>
  </si>
  <si>
    <t>b31421386</t>
  </si>
  <si>
    <t>1 photograph : colour;still image sti rdacontent;computer c rdamedia;online resource cr rdacarrier;image file TIFF 6587 x 4469 pixels rda</t>
  </si>
  <si>
    <t>b31421398</t>
  </si>
  <si>
    <t>1 photograph : colour;still image sti rdacontent;computer c rdamedia;online resource cr rdacarrier;image file TIFF 6586 x 4455 pixels rda</t>
  </si>
  <si>
    <t>b31421404</t>
  </si>
  <si>
    <t>1 photograph : colour;still image sti rdacontent;computer c rdamedia;online resource cr rdacarrier;image file TIFF 6618 x 4472 pixels rda</t>
  </si>
  <si>
    <t>b31454902</t>
  </si>
  <si>
    <t>1 photograph : colour;still image sti rdacontent;computer c rdamedia;online resource cr rdacarrier;image file TIFF 6571 x 4453 pixels rda</t>
  </si>
  <si>
    <t>b31454914</t>
  </si>
  <si>
    <t>1 photograph : colour;still image sti rdacontent;computer c rdamedia;online resource cr rdacarrier;image file TIFF 6572 x 4491 pixels rda</t>
  </si>
  <si>
    <t>b31454926</t>
  </si>
  <si>
    <t>1 photograph : colour;still image sti rdacontent;computer c rdamedia;online resource cr rdacarrier;image file TIFF 6573 x 4461 pixels rda</t>
  </si>
  <si>
    <t>b31454938</t>
  </si>
  <si>
    <t>1 photograph : colour;still image sti rdacontent;computer c rdamedia;online resource cr rdacarrier;image file TIFF 6552 x 4449 pixels rda</t>
  </si>
  <si>
    <t>b3145494x</t>
  </si>
  <si>
    <t>1 photograph : colour;still image sti rdacontent;computer c rdamedia;online resource cr rdacarrier;image file TIFF 6611 x 4496 pixels rda</t>
  </si>
  <si>
    <t>b31454951</t>
  </si>
  <si>
    <t>1 photograph : colour;still image sti rdacontent;computer c rdamedia;online resource cr rdacarrier;image file TIFF 6573 x 4452 pixels rda</t>
  </si>
  <si>
    <t>b31454963</t>
  </si>
  <si>
    <t>1 photograph : colour;still image sti rdacontent;computer c rdamedia;online resource cr rdacarrier;image file TIFF 6589 x 4465 pixels rda</t>
  </si>
  <si>
    <t>b31454999</t>
  </si>
  <si>
    <t>1 photograph : colour;still image sti rdacontent;computer c rdamedia;online resource cr rdacarrier;image file TIFF 6586 x 4479 pixels rda</t>
  </si>
  <si>
    <t>b31455013</t>
  </si>
  <si>
    <t>1 photograph : colour;still image sti rdacontent;computer c rdamedia;online resource cr rdacarrier;image file TIFF 6600 x 4478 pixels rda</t>
  </si>
  <si>
    <t>b31455025</t>
  </si>
  <si>
    <t>1 photograph : colour;still image sti rdacontent;computer c rdamedia;online resource cr rdacarrier;image file TIFF 6610 x 4515 pixels rda</t>
  </si>
  <si>
    <t>b31455037</t>
  </si>
  <si>
    <t>1 photograph : colour;still image sti rdacontent;computer c rdamedia;online resource cr rdacarrier;image file TIFF 6633 x 4525 pixels rda</t>
  </si>
  <si>
    <t>b31455049</t>
  </si>
  <si>
    <t>1 photograph : colour;still image sti rdacontent;computer c rdamedia;online resource cr rdacarrier;image file TIFF 6630 x 4521 pixels rda</t>
  </si>
  <si>
    <t>b31455050</t>
  </si>
  <si>
    <t>1 photograph : colour;still image sti rdacontent;computer c rdamedia;online resource cr rdacarrier;image file TIFF 6670 x 4542 pixels rda</t>
  </si>
  <si>
    <t>b31455062</t>
  </si>
  <si>
    <t>1 photograph : colour;still image sti rdacontent;computer c rdamedia;online resource cr rdacarrier;image file TIFF 6608 x 4480 pixels rda</t>
  </si>
  <si>
    <t>b31455074</t>
  </si>
  <si>
    <t>1 photograph : colour;still image sti rdacontent;computer c rdamedia;online resource cr rdacarrier;image file TIFF 6632 x 4504 pixels rda</t>
  </si>
  <si>
    <t>b3145513x</t>
  </si>
  <si>
    <t>1 photograph : colour;still image sti rdacontent;computer c rdamedia;online resource cr rdacarrier;image file TIFF 6637 x 4492 pixels rda</t>
  </si>
  <si>
    <t>b31455141</t>
  </si>
  <si>
    <t>1 photograph : colour;still image sti rdacontent;computer c rdamedia;online resource cr rdacarrier;image file TIFF 6659 x 4513 pixels rda</t>
  </si>
  <si>
    <t>b31455165</t>
  </si>
  <si>
    <t>1 photograph : colour;still image sti rdacontent;computer c rdamedia;online resource cr rdacarrier;image file TIFF 6658 x 4483 pixels rda</t>
  </si>
  <si>
    <t>b31399320</t>
  </si>
  <si>
    <t>Woman holding lipstick at Woomera, South Australia</t>
  </si>
  <si>
    <t>1 photograph : colour;still image sti rdacontent;computer c rdamedia;online resource cr rdacarrier;image file TIFF 6568 x 4469 pixels rda</t>
  </si>
  <si>
    <t>Woman holding lipstick at Woomera, South Australia.</t>
  </si>
  <si>
    <t>b31399332</t>
  </si>
  <si>
    <t>1 photograph : colour;still image sti rdacontent;computer c rdamedia;online resource cr rdacarrier;image file TIFF 6603 x 4472 pixels rda</t>
  </si>
  <si>
    <t>b31399526</t>
  </si>
  <si>
    <t>Man at Woomera, South Australia</t>
  </si>
  <si>
    <t>1 photograph : colour;still image sti rdacontent;computer c rdamedia;online resource cr rdacarrier;image file TIFF 6651 x 4510 pixels rda</t>
  </si>
  <si>
    <t>Man standing on a salt pan near Woomera, South Australia.</t>
  </si>
  <si>
    <t>Men -- South Australia -- Woomera;Woomera (S.A.)</t>
  </si>
  <si>
    <t>b31399538</t>
  </si>
  <si>
    <t>Man near Woomera, South Australia</t>
  </si>
  <si>
    <t>1 photograph : colour;still image sti rdacontent;computer c rdamedia;online resource cr rdacarrier;image file TIFF 6625 x 4495 pixels rda</t>
  </si>
  <si>
    <t>b31399629</t>
  </si>
  <si>
    <t>Unidentified woman</t>
  </si>
  <si>
    <t>1 photograph : colour;still image sti rdacontent;computer c rdamedia;online resource cr rdacarrier;image file TIFF 6602 x 4496 pixels rda</t>
  </si>
  <si>
    <t>Unidentified woman.</t>
  </si>
  <si>
    <t>Women -- South Australia;Woomera (S.A.)</t>
  </si>
  <si>
    <t>b31399630</t>
  </si>
  <si>
    <t>Young girl</t>
  </si>
  <si>
    <t>1 photograph : colour;still image sti rdacontent;computer c rdamedia;online resource cr rdacarrier;image file TIFF 6683 x 4490 pixels rda</t>
  </si>
  <si>
    <t>Unidentified young girl standing ona dirt road.</t>
  </si>
  <si>
    <t>Children -- South Australia;Woomera (S.A.)</t>
  </si>
  <si>
    <t>b3140215x</t>
  </si>
  <si>
    <t>1 photograph : colour;still image sti rdacontent;computer c rdamedia;online resource cr rdacarrier;image file TIFF 5896 x 3967 pixels rda</t>
  </si>
  <si>
    <t>Crowd of people at Woomera's 40th anniversary celebrations, South Australia.</t>
  </si>
  <si>
    <t>b31403414</t>
  </si>
  <si>
    <t>Woomera Test Range, South Australia</t>
  </si>
  <si>
    <t>1 slide : colour;still image sti rdacontent;computer c rdamedia;online resource cr rdacarrier;image file TIFF 6583 x 4483 pixels rda</t>
  </si>
  <si>
    <t>Large sign 'Woomera Test Range South Australia' on side of the E Range Instrumentation Building</t>
  </si>
  <si>
    <t>Signs and signboards -- South Australia -- Woomera;Woomera (S.A.)</t>
  </si>
  <si>
    <t>b3140344x</t>
  </si>
  <si>
    <t>Len Beadell memorial plaque, Woomera, South Australia</t>
  </si>
  <si>
    <t>1 slide : colour;still image sti rdacontent;computer c rdamedia;online resource cr rdacarrier;image file TIFF 6574 x 4473 pixels rda</t>
  </si>
  <si>
    <t>Plaque commemorating the achievements of Len Beadell, 1923-1995, O.A.M., B.E.M., F.I.E.M.S. (Aust)</t>
  </si>
  <si>
    <t>Plaques, plaquettes -- South Australia -- Woomera;Woomera (S.A.)</t>
  </si>
  <si>
    <t>b2917675x</t>
  </si>
  <si>
    <t>Alun Thomas</t>
  </si>
  <si>
    <t>Alun Thomas at his Brighton home being interviewed by Nancy Flannery for her book on Paquita Delprat.</t>
  </si>
  <si>
    <t>Thomas, Alun</t>
  </si>
  <si>
    <t>b29176797</t>
  </si>
  <si>
    <t>Nita Bout</t>
  </si>
  <si>
    <t>Nita Bout, Paquita Delprat's housekeeper, being interviewed at Crafers by Nancy Flannery for her book on Paquita.</t>
  </si>
  <si>
    <t>Bout, Nita</t>
  </si>
  <si>
    <t>b29176803</t>
  </si>
  <si>
    <t>Guert(?) Bout</t>
  </si>
  <si>
    <t>Guert(?) Bout being interviewed by Nancy Flannery for her book on Paquita Delprat.</t>
  </si>
  <si>
    <t>Bout, Guert</t>
  </si>
  <si>
    <t>b29176815</t>
  </si>
  <si>
    <t>Gareth Thomas</t>
  </si>
  <si>
    <t>Gareth Thomas being interviewed by Nancy Flannery for her book on Paquita Delprat.</t>
  </si>
  <si>
    <t>Thomas, Gareth</t>
  </si>
  <si>
    <t>b29176827</t>
  </si>
  <si>
    <t>Dr. Stan Martin</t>
  </si>
  <si>
    <t>Dr. Stan Martin being interviewed by Nancy Flannery for her book on Paquita Delprat.</t>
  </si>
  <si>
    <t>Martin, Stan, Dr.</t>
  </si>
  <si>
    <t>b29176840</t>
  </si>
  <si>
    <t>Emlyn Thomas</t>
  </si>
  <si>
    <t>Emlyn Thomas being interviewed by Nancy Flannery at 'Gorgoyle' for Nancy's book on Paquita Delprat in June 1997.</t>
  </si>
  <si>
    <t>Thomas, Emlyn</t>
  </si>
  <si>
    <t>b29176852</t>
  </si>
  <si>
    <t>Pamela Thomas</t>
  </si>
  <si>
    <t>Pamela Thomas being interviewed by Nancy Flannery for Nancy's book on Paquita Delprat.</t>
  </si>
  <si>
    <t>Thomas, Pamela</t>
  </si>
  <si>
    <t>b29176864</t>
  </si>
  <si>
    <t>Geraldine Thomas</t>
  </si>
  <si>
    <t>Geraldine Thomas being interviewed by Nancy Flannery for Nancy's book on Paquita Delprat in June 1997.</t>
  </si>
  <si>
    <t>Thomas, Geraldine</t>
  </si>
  <si>
    <t>b29176888</t>
  </si>
  <si>
    <t>Jessica McEwin</t>
  </si>
  <si>
    <t>Jessica McEwin being interviewed at Ian and Nancy Flannery's home by Nancy Flannery for Nancy's book on Paquita Delprat.</t>
  </si>
  <si>
    <t>McEwin, Jessica</t>
  </si>
  <si>
    <t>b2917689x</t>
  </si>
  <si>
    <t>Alison Lynch</t>
  </si>
  <si>
    <t>Alison Lynch (nee McEwin) being interviewed by Nancy Flannery for Nancy's book on Paquita Delprat.</t>
  </si>
  <si>
    <t>Lynch, Alison</t>
  </si>
  <si>
    <t>b29176906</t>
  </si>
  <si>
    <t>Paquita Borton and Alison Lynch</t>
  </si>
  <si>
    <t>Paquita Borton and Alison Lynch at lunch at Pat Thomas's house.</t>
  </si>
  <si>
    <t>Lynch, Alison;Borton, Paquita</t>
  </si>
  <si>
    <t>b29176992</t>
  </si>
  <si>
    <t>Gareth Thomas, Pamela Thomas and Jessica McEwin at Harewood</t>
  </si>
  <si>
    <t>Gareth Thomas, Pamela Thomas and Jessica McEwin at Harewood, the former farm of Sir Douglas Mawson.</t>
  </si>
  <si>
    <t>Thomas, Gareth;Thomas, Pamela;McEwin, Jessica</t>
  </si>
  <si>
    <t>b29176967</t>
  </si>
  <si>
    <t>Harewood</t>
  </si>
  <si>
    <t>Trees planted by Sir Douglas Mawson at Harewood, his former farm.</t>
  </si>
  <si>
    <t>b29176979</t>
  </si>
  <si>
    <t>b29176955</t>
  </si>
  <si>
    <t>Paddocks at Harewood, the former farm of Sir Douglas Mawson.</t>
  </si>
  <si>
    <t>b29177029</t>
  </si>
  <si>
    <t>Sir Douglas Mawson's home, Brighton</t>
  </si>
  <si>
    <t>The house rented by the Mawsons on the Esplanade at Brighton, while Jerbii was being built. The original verandahs have been removed.</t>
  </si>
  <si>
    <t>b29177030</t>
  </si>
  <si>
    <t>Painted portrait of Paquita Mawson</t>
  </si>
  <si>
    <t>Painted portrait of Paquita Mawson (nee Delprat).</t>
  </si>
  <si>
    <t>Mawson, Paquita, 1891-1974</t>
  </si>
  <si>
    <t>b29177054</t>
  </si>
  <si>
    <t>Gravesite of Paquita Mawson</t>
  </si>
  <si>
    <t>Gravesite of Paquita Mawson (nee Delprat).</t>
  </si>
  <si>
    <t>b31372387</t>
  </si>
  <si>
    <t>Woomera Missile Park</t>
  </si>
  <si>
    <t>[approximately 1997]</t>
  </si>
  <si>
    <t>1 photograph : colour;still image sti rdacontent;computer c rdamedia;online resource cr rdacarrier;image file TIFF 20000 x 7350 pixels rda</t>
  </si>
  <si>
    <t>Woomera Missile Park.</t>
  </si>
  <si>
    <t>b31372399</t>
  </si>
  <si>
    <t>b31372405</t>
  </si>
  <si>
    <t>Woomera.</t>
  </si>
  <si>
    <t>b31372417</t>
  </si>
  <si>
    <t>1 photograph : colour;still image sti rdacontent;computer c rdamedia;online resource cr rdacarrier;image file TIFF 20000 x 7223 pixels rda</t>
  </si>
  <si>
    <t>b31372429</t>
  </si>
  <si>
    <t>Woomera swimming pool.</t>
  </si>
  <si>
    <t>b31372430</t>
  </si>
  <si>
    <t>b31372442</t>
  </si>
  <si>
    <t>b31372454</t>
  </si>
  <si>
    <t>b31400863</t>
  </si>
  <si>
    <t>Remnant of a Blue Steel rocket, McDouall Peak Station, South Australia</t>
  </si>
  <si>
    <t>1 photograph : colour;still image sti rdacontent;computer c rdamedia;online resource cr rdacarrier;image file TIFF 5825 x 4033 pixels rda</t>
  </si>
  <si>
    <t>Remnant of skin of a Blue Steel rocket recovered on McDouall Peak Station, South Australia.</t>
  </si>
  <si>
    <t>McDouall Peak Station (S.A.)</t>
  </si>
  <si>
    <t>b31400899</t>
  </si>
  <si>
    <t>1 photograph : colour;still image sti rdacontent;computer c rdamedia;online resource cr rdacarrier;image file TIFF 4027 x 5841 pixels rda</t>
  </si>
  <si>
    <t>b31400905</t>
  </si>
  <si>
    <t>1 photograph : colour;still image sti rdacontent;computer c rdamedia;online resource cr rdacarrier;image file TIFF 5826 x 4034 pixels rda</t>
  </si>
  <si>
    <t>b31400917</t>
  </si>
  <si>
    <t>1 photograph : colour;still image sti rdacontent;computer c rdamedia;online resource cr rdacarrier;image file TIFF 5826 x 4033 pixels rda</t>
  </si>
  <si>
    <t>b31400929</t>
  </si>
  <si>
    <t>b31400930</t>
  </si>
  <si>
    <t>1 photograph : colour;still image sti rdacontent;computer c rdamedia;online resource cr rdacarrier;image file TIFF 5895 x 3967 pixels rda</t>
  </si>
  <si>
    <t>A tape measure on a remnant of skin of a Blue Steel rocket recovered on McDouall Peak Station, South Australia.</t>
  </si>
  <si>
    <t>b31400954</t>
  </si>
  <si>
    <t>1 photograph : colour;still image sti rdacontent;computer c rdamedia;online resource cr rdacarrier;image file TIFF 4033 x 5825 pixels rda</t>
  </si>
  <si>
    <t>b31401193</t>
  </si>
  <si>
    <t>Blue Steel reunion, Weapons Research Establishment, South Australia</t>
  </si>
  <si>
    <t>1 photograph : colour;still image sti rdacontent;computer c rdamedia;online resource cr rdacarrier;image file TIFF 5841 x 4038 pixels rda</t>
  </si>
  <si>
    <t>Group of men and women at a Blue Steel reunion dinner, Weapons Research Establishment, Salisbury, South Australia.</t>
  </si>
  <si>
    <t>Reunions -- South Australia -- Salisbury</t>
  </si>
  <si>
    <t>b3140120x</t>
  </si>
  <si>
    <t>Blue Steel reunion cake, South Australia</t>
  </si>
  <si>
    <t>Cake at a Blue Steel reunion dinner at the South Australian Aviation Museum, Port Adelaide, South Australia.</t>
  </si>
  <si>
    <t>Cake -- South Australia -- Port Adelaide;Reunions -- South Australia -- Port Adelaide</t>
  </si>
  <si>
    <t>b31401223</t>
  </si>
  <si>
    <t>Blue Steel Reunion cake, South Australia</t>
  </si>
  <si>
    <t>1 photograph : colour;still image sti rdacontent;computer c rdamedia;online resource cr rdacarrier;image file TIFF 5831 x 3948 pixels rda</t>
  </si>
  <si>
    <t>Blue Steel reunion cake, South Australia Aviation Museum, Port Adelaide, South Australia. Next to the cake are pieces of a recovered Blue Steel rocket mounted on wood, they were presented to all attendees.</t>
  </si>
  <si>
    <t>b31401235</t>
  </si>
  <si>
    <t>4JSTU reunion at Chateau Yaldara, South Australia</t>
  </si>
  <si>
    <t>1 photograph : colour;still image sti rdacontent;computer c rdamedia;online resource cr rdacarrier;image file TIFF 5895 x 3966 pixels rda</t>
  </si>
  <si>
    <t>Former members of 4JSTU (Royal Air Force No. 4 Joint Services Trials Unit) and partners at a reunion at Chateau Yaldara, South Australia.</t>
  </si>
  <si>
    <t>Reunions -- South Australia -- Chateau Yaldara;Chateau Yaldara (S.A.)</t>
  </si>
  <si>
    <t>b31401272</t>
  </si>
  <si>
    <t>4JSTU Reunion at Chateau Yaldara, South Australia</t>
  </si>
  <si>
    <t>1 photograph : colour;still image sti rdacontent;computer c rdamedia;online resource cr rdacarrier;image file TIFF 5896 x 3966 pixels rda</t>
  </si>
  <si>
    <t>At a barbeque during a reunion of 4JSTU (Royal Air Force No. 4 Joint Services Trials Unit) reunion, Chateau Yaldara, South Australia. L-R: Anne Smith, Ray Smith, Isobel Potter.</t>
  </si>
  <si>
    <t>b31401296</t>
  </si>
  <si>
    <t>Reunion at Chateau Yaldara, South Australia</t>
  </si>
  <si>
    <t>1 photograph : colour;still image sti rdacontent;computer c rdamedia;online resource cr rdacarrier;image file TIFF 5841 x 4008 pixels rda</t>
  </si>
  <si>
    <t>At a barbeque during a reunion of 4JSTU (Royal Air Force No. 4 Joint Services Trials Unit) reunion, Chateau Yaldara, South Australia. L-R: Janet Clark, Gerald 'Gerry' Maidment, Violet 'Vi' Maidment.</t>
  </si>
  <si>
    <t>b31401314</t>
  </si>
  <si>
    <t>1 photograph : colour;still image sti rdacontent;computer c rdamedia;online resource cr rdacarrier;image file TIFF 5857 x 3992 pixels rda</t>
  </si>
  <si>
    <t>Three men at a barbeque during a reunion of 4JSTU (Royal Air Force No. 4 Joint Services Trials Unit) reunion, Chateau Yaldara, South Australia.</t>
  </si>
  <si>
    <t>Reunions -- South Australia -- Woomera;Chateau Yaldara (S.A.)</t>
  </si>
  <si>
    <t>b31401338</t>
  </si>
  <si>
    <t>4JSTU Reunion at Woomera, South Australia</t>
  </si>
  <si>
    <t>A roadside picnic lunch during 4JSTU (Royal Air Force No. 4 Joint Services Trials Unit) reunion, Woomera, South Australia. David Lloyd stand beside the Suzuki Grande Vitara WDV 665. Terry Clark on right of photo.</t>
  </si>
  <si>
    <t>Reunions -- South Australia -- Woomera;Woomera (S.A.)</t>
  </si>
  <si>
    <t>b31401351</t>
  </si>
  <si>
    <t>1 photograph : colour;still image sti rdacontent;computer c rdamedia;online resource cr rdacarrier;image file TIFF 5830 x 4018 pixels rda</t>
  </si>
  <si>
    <t>L-R: Hermann Thum, John Ison and Dennis Pfeiffer talking at a barbeque during a reunion of 4JSTU (Royal Air Force No. 4 Joint Services Trials Unit) reunion, Chateau Yaldara, South Australia.</t>
  </si>
  <si>
    <t>Ison, John;Pfeiffer, Dennis;Thum, Hermann;Reunions -- South Australia -- Chateau Yaldara;Chateau Yaldara (S.A.)</t>
  </si>
  <si>
    <t>b31401909</t>
  </si>
  <si>
    <t>1 photograph : colour;still image sti rdacontent;computer c rdamedia;online resource cr rdacarrier;image file TIFF 5896 x 3936 pixels rda</t>
  </si>
  <si>
    <t>Dennis Pfeiffer sitting at a picnic table with two other people during a reunion, at Chateau Yaldara, South Australia.</t>
  </si>
  <si>
    <t>Pfeiffer, Dennis;Reunions -- South Australia -- Chateau Yaldara;Chateau Yaldara (S.A.)</t>
  </si>
  <si>
    <t>b31401910</t>
  </si>
  <si>
    <t>[approximately 2001]</t>
  </si>
  <si>
    <t>b3025968x</t>
  </si>
  <si>
    <t>Bob Lepley's family preparing to scatter his ashes</t>
  </si>
  <si>
    <t>1 photograph : colour   15 x 10.1 cm;still image sti rdacontent;unmediated n rdamedia;sheet nb rdacarrier</t>
  </si>
  <si>
    <t>Bob Lepley's family, in rescue boat on Port River, preparing to scatter his ashes.</t>
  </si>
  <si>
    <t>b30260231</t>
  </si>
  <si>
    <t>Dawn Fraser with women rowers</t>
  </si>
  <si>
    <t>[approximately 2008]</t>
  </si>
  <si>
    <t>1 photograph : colour   17.3 x 12 cm;still image sti rdacontent;unmediated n rdamedia;sheet nb rdacarrier</t>
  </si>
  <si>
    <t>Lenore, Dawn Fraser, Doris, Frances and Elaine at the clubhouse.</t>
  </si>
  <si>
    <t>Fraser, Dawn, 1937-;Port Adelaide Rowing Club;Rowing -- South Australia -- Port Adelaide</t>
  </si>
  <si>
    <t>b30266555</t>
  </si>
  <si>
    <t>Gerry Roberts, Kathy Landreth and Maggie Viceman</t>
  </si>
  <si>
    <t>1 photograph : colour   14.1 x 9.4 cm;still image sti rdacontent;unmediated n rdamedia;sheet nb rdacarrier</t>
  </si>
  <si>
    <t>Gerry Roberts, Kathy Landreth and Maggie Viceman at an Australia Day function.</t>
  </si>
  <si>
    <t>Port Adelaide Rowing Club</t>
  </si>
  <si>
    <t>b20921226</t>
  </si>
  <si>
    <t>John Martin's Christmas Pageant: Elephant</t>
  </si>
  <si>
    <t>Slide  35 mm  21.5 x 15 cm</t>
  </si>
  <si>
    <t>The 'elephant' - the mechanical elephant named 'Nellie' being riden by children.</t>
  </si>
  <si>
    <t>John Martin &amp; Co;Pageants -- South Australia -- Adelaide;Christmas -- South Australia -- Adelaide;Parade floats -- South Australia -- Adelaide</t>
  </si>
  <si>
    <t>Album Collection</t>
  </si>
  <si>
    <t>b20184505</t>
  </si>
  <si>
    <t>Old Chimney</t>
  </si>
  <si>
    <t>Photograph  21 cm x 16 cm</t>
  </si>
  <si>
    <t>Part of an old building built in 1895 at Alice Springs featuring the chimney.</t>
  </si>
  <si>
    <t>Chimneys -- Northern Territory -- Alice Springs</t>
  </si>
  <si>
    <t>Alice Springs Collection</t>
  </si>
  <si>
    <t>b20187555</t>
  </si>
  <si>
    <t>Woodburn Homestead</t>
  </si>
  <si>
    <t>Photograph  12.8 cm x 8 cm</t>
  </si>
  <si>
    <t>Woodburn homestead at Angus Plains.</t>
  </si>
  <si>
    <t>Woodburn (House : Angas Plains, S.A.);Farmhouses -- South Australia -- Angas Plains</t>
  </si>
  <si>
    <t>Angas Plains Collection</t>
  </si>
  <si>
    <t>b20187567</t>
  </si>
  <si>
    <t>Photograph  20.8 cm x 13.4 cm</t>
  </si>
  <si>
    <t>Woodburn homestead at Angas Plains.</t>
  </si>
  <si>
    <t>b20191078</t>
  </si>
  <si>
    <t>Bately, J. M., photographer</t>
  </si>
  <si>
    <t>Main Road, Arno Bay</t>
  </si>
  <si>
    <t>Photograph  10.3 cm x 7.2 cm</t>
  </si>
  <si>
    <t>[General description] Arno Bay's main street on a quiet day, 1950. Grain was exported from Arno Bay from the 1880s until the early 1960s when storage silos were built and road transport made the port redundant. Nowadays the town is a popular tourist destination for recreational fishing.</t>
  </si>
  <si>
    <t>Roads -- South Australia -- Arno Bay</t>
  </si>
  <si>
    <t>Arno Bay Collection</t>
  </si>
  <si>
    <t>b20192526</t>
  </si>
  <si>
    <t>Football Team, Auburn</t>
  </si>
  <si>
    <t>Photograph  21 cm x 13 cm</t>
  </si>
  <si>
    <t>Auburn Football Team, A Grade. Back row: G. Blatchford (Boundary Umpire)  S. Michalanney  R. Smith (Goal Umpire)  E. Gaerth  H. Ireland  K. Bellman  M. Vandeler (Captain)  L. Schober  D. Kimpton  K. Holmam  D. Lambert  K. Dunstan (Boundary Umpire). Middle row: F. Mintern  E. Catford  K. Cater (Central Umpire)  L. Catford  G. Baum  G. Edwards (Vice Captain)  N. Schrubsole. A. Hean (Trainer)  M. Bennett  R. Garrard  A. Kench (Secretary)  E. Fitzgerald  W. Long  M. Nicolai  C. Helbig.</t>
  </si>
  <si>
    <t>Australian football players -- South Australia -- Auburn</t>
  </si>
  <si>
    <t>Auburn Collection</t>
  </si>
  <si>
    <t>b2019254x</t>
  </si>
  <si>
    <t>Lucerne Pasture, Auburn</t>
  </si>
  <si>
    <t>Photograph  21 cm x 15 cm</t>
  </si>
  <si>
    <t>Lucerne pasture being sown with oats, being cut for baled hay.</t>
  </si>
  <si>
    <t>Agricultural machinery -- South Australia -- Auburn</t>
  </si>
  <si>
    <t>b20192563</t>
  </si>
  <si>
    <t>Haystacking, Auburn</t>
  </si>
  <si>
    <t>Photograph  21 cm x 14.5 cm</t>
  </si>
  <si>
    <t>International Tractor and old trolly trailer being used to cart and stack the baled meadow hay.</t>
  </si>
  <si>
    <t>Agricultural machinery -- South Australia -- Auburn;Hay -- Harvesting -- South Australia -- Auburn;Tractors -- South Australia -- Auburn</t>
  </si>
  <si>
    <t>b20193531</t>
  </si>
  <si>
    <t>Carting Flax Straw</t>
  </si>
  <si>
    <t>photograph</t>
  </si>
  <si>
    <t>A. Garrard's horse team carting retted flax for the flax mill at Auburn. Farm workers on top of the load are: Les Mildren and O. Burford. Leaning on the fork is A. Garrard.</t>
  </si>
  <si>
    <t>Burford, O.;Mildren, Les;Garrard, A.;Flax -- South Australia -- Auburn;Harvesting -- South Australia -- Auburn</t>
  </si>
  <si>
    <t>b20193543</t>
  </si>
  <si>
    <t>Flax Straw</t>
  </si>
  <si>
    <t>Mr. J.Grace barrow loading retted flax straw for the flax mill.</t>
  </si>
  <si>
    <t>Flax -- South Australia -- Auburn</t>
  </si>
  <si>
    <t>b20193555</t>
  </si>
  <si>
    <t>Flax Mill, Auburn</t>
  </si>
  <si>
    <t>View of the flax mill.</t>
  </si>
  <si>
    <t>Flax -- South Australia -- Auburn;Mills and mill-work -- South Australia -- Auburn</t>
  </si>
  <si>
    <t>b20193567</t>
  </si>
  <si>
    <t>View of the flax mill . Left - right: Hay shed, de-seeder shed  scutcher shed  fibre shed. There are tanks for fire fighting on the extreme left.</t>
  </si>
  <si>
    <t>b20193579</t>
  </si>
  <si>
    <t>Flax Mill Staff, Auburn</t>
  </si>
  <si>
    <t>The mill hands and staff of the flax mill . Front row: l-r: J.Longman  M.Hadley  J.Nicolai  C.Willis  N.Glaetzer  J.Grace  B.Catford  E, Longman. Back row: l-r:C.Shepherd  B.Spackman  J.Allen  T.Allen  O, T, Burford  A, Kennewell  C.Catford  R.Graham  L.Mildren  T.Lindner.</t>
  </si>
  <si>
    <t>b20195084</t>
  </si>
  <si>
    <t>School Children, Barmera</t>
  </si>
  <si>
    <t>Photograph  20.6 cm x 15.2 cm</t>
  </si>
  <si>
    <t>School children from Grade 6 at Barmera.Primary School.</t>
  </si>
  <si>
    <t>School children -- South Australia -- Barmera;Children -- South Australia -- Barmera</t>
  </si>
  <si>
    <t>Barmera Collection</t>
  </si>
  <si>
    <t>b20203421</t>
  </si>
  <si>
    <t>Bower Primary School</t>
  </si>
  <si>
    <t>Photograph (b&amp;w print)  16.5 cm x 20.8 cm;C1</t>
  </si>
  <si>
    <t>Pupils of Bower Primary School : Back D. Stribling, M. Frahm, L. Zander, B. Lange, D. Rankine, R. Menz, A. Steinborner. Front: P. Zander, B. Haines, M. Otto, C. Haliday, K. Hutchings, R. Lange, J. Haines.</t>
  </si>
  <si>
    <t>Children -- South Australia -- Bower;School children -- South Australia -- Bower</t>
  </si>
  <si>
    <t>Bower Collection</t>
  </si>
  <si>
    <t>b20208297</t>
  </si>
  <si>
    <t>School house, Burra</t>
  </si>
  <si>
    <t>World's End Creek School.</t>
  </si>
  <si>
    <t>Schools -- South Australia -- Burra</t>
  </si>
  <si>
    <t>Burra Collection</t>
  </si>
  <si>
    <t>b20208303</t>
  </si>
  <si>
    <t>School Children, Burra</t>
  </si>
  <si>
    <t>Pupils assembled outside the World's End Creek Schoolhouse.</t>
  </si>
  <si>
    <t>Children -- South Australia -- Burra;School children -- South Australia -- Burra;Schools -- South Australia -- Burra</t>
  </si>
  <si>
    <t>b20211685</t>
  </si>
  <si>
    <t>Racehorse "Lord Wyfold" winning</t>
  </si>
  <si>
    <t>Photograph (b&amp;w print, hand-tinted)  26 cm x 38 cm (oval);RESERVE 1 (with albums)</t>
  </si>
  <si>
    <t>Racehorse "Lord Wyfold" winning Benson Quality stakes.</t>
  </si>
  <si>
    <t>Race horses -- South Australia -- Cheltenham;Horse racing -- South Australia -- Cheltenham</t>
  </si>
  <si>
    <t>Cheltenham Collection</t>
  </si>
  <si>
    <t>b20221095</t>
  </si>
  <si>
    <t>Football, Cowell</t>
  </si>
  <si>
    <t>Photograph (b&amp;w print)  15.4 cm x 21.5 cm;C1</t>
  </si>
  <si>
    <t>Football team - Carpa District. No order given: Erron Carmody  Ian Bienke  Sid Williams  C. McKeogh  C. Jacobs  Jim West  Ira Haskett  John Haskett  Gill Ward  Hilary Carmody  Stan Rehn  Gerald Beinke  Frank McDonald  Ray Story  Roy Braun  Howard Story.</t>
  </si>
  <si>
    <t>Australian football players -- South Australia -- Cowell</t>
  </si>
  <si>
    <t>Cowell Collection</t>
  </si>
  <si>
    <t>b20221125</t>
  </si>
  <si>
    <t>Photograph (b&amp;w print)  15 cm x 21.5 cm;C1</t>
  </si>
  <si>
    <t>South Football Team.Back row: Colin Forbes  Bob Tonkin  Ray Tonkin  Greg Wiseman  Bruce Tonkin  Allan Stening  Gordon Clothier  Don Read  Herb Honard  Tome Basecombe. Front row: Rod Tonkin  Keith Hale  Brian Wiseman  Roy Bagnell  Dean Bagnell  Robert Clothier  Leon Harris.</t>
  </si>
  <si>
    <t>b20229975</t>
  </si>
  <si>
    <t>Edwards, R., photographer</t>
  </si>
  <si>
    <t>Church, Edwardstown</t>
  </si>
  <si>
    <t>Photograph  12.0 cm x 8.3 cm</t>
  </si>
  <si>
    <t>St. Mary's Church, Edwardstown. The original church was built and paid for by pioneers of the district. John Wickham Daw who arrived on the "Winchester" with his wife and children gave an acre of land for the first church to be built in 1841. He named it after his home parish, St Mary Abbots in Kensington. A more substantial building was opened in 1847. The 36 foot bell tower was completed in the1870's. This view of the church shows the gravestones</t>
  </si>
  <si>
    <t>St. Mary's Church (Edwardstown, S.A.);Church architecture -- South Australia -- Edwardstown</t>
  </si>
  <si>
    <t>Edwardstown Collection</t>
  </si>
  <si>
    <t>b2024566x</t>
  </si>
  <si>
    <t>Glen Osmond</t>
  </si>
  <si>
    <t>Photograph  21 cm x 16.1 cm</t>
  </si>
  <si>
    <t>Ruins of the Glen Osmond Smelters.</t>
  </si>
  <si>
    <t>Smelting -- South Australia -- Glen Osmond</t>
  </si>
  <si>
    <t>Glen Osmond Collection</t>
  </si>
  <si>
    <t>b20245671</t>
  </si>
  <si>
    <t>Photograph  20.9 cm x 16.2 cm</t>
  </si>
  <si>
    <t>Glen Osmond Smelters - Wheal Augusta Mine at top left.</t>
  </si>
  <si>
    <t>b20245683</t>
  </si>
  <si>
    <t>Photograph  21 cm x 15.9 cm</t>
  </si>
  <si>
    <t>Glen Osmond Mining Captains cottage.</t>
  </si>
  <si>
    <t>b20262747</t>
  </si>
  <si>
    <t>Howie, B., photographer</t>
  </si>
  <si>
    <t>Kadina Town Hall</t>
  </si>
  <si>
    <t>Photograph  8.9 cm x 6.2 cm</t>
  </si>
  <si>
    <t>[General description] The Heritage listed Kadina Town Hall, designed by John Gaskell was built in stages, the first storey completed in 1880. The second was added in 1898 along with the balcony and ornamental gable. The clock tower was constructed in 1903 to house a clock donated by businessman Daniel Squibb. The Council was struggling to find the revenue to pay for the tower so on its completion Mr. Squibb paid for it as well.</t>
  </si>
  <si>
    <t>City halls -- South Australia -- Kadina;Municipal buildings -- South Australia -- Kadina</t>
  </si>
  <si>
    <t>Kadina Collection</t>
  </si>
  <si>
    <t>b20265499</t>
  </si>
  <si>
    <t>Kangaroo Island</t>
  </si>
  <si>
    <t>Photograph (b&amp;w print)  25.2 cm x 10.5 cm;RESERVE 1</t>
  </si>
  <si>
    <t>G. Lonzar &amp; P. Macrow banding a Cape Barren goose.</t>
  </si>
  <si>
    <t>Macrow, P.;Lonzar, George, 1928-;Birds -- South Australia -- Kangaroo Island;Cape Barren Goose -- Kangaroo Island;Flinders Chase National Park (S.A.)</t>
  </si>
  <si>
    <t>Kangaroo Island Collection</t>
  </si>
  <si>
    <t>b20279164</t>
  </si>
  <si>
    <t>News Limited, photographer</t>
  </si>
  <si>
    <t>Coal Field, Leigh Creek</t>
  </si>
  <si>
    <t>Photograph  21.2 cm x 15.5 cm</t>
  </si>
  <si>
    <t>Aerial view of the coal field at Leigh Creek, 26 September 1950.</t>
  </si>
  <si>
    <t>Mines and mineral resources -- South Australia -- Leigh Creek;Leigh Creek (S.A.) -- Aerial photographs</t>
  </si>
  <si>
    <t>Leigh Creek Collection</t>
  </si>
  <si>
    <t>b20279176</t>
  </si>
  <si>
    <t>b20286946</t>
  </si>
  <si>
    <t>Football team, Mangalo</t>
  </si>
  <si>
    <t>Photograph (b&amp;w print)  15.5 cm x 21.5 cm;C1</t>
  </si>
  <si>
    <t>Mangalo Football team . For names, apply to Library Staff.</t>
  </si>
  <si>
    <t>Australian football players -- South Australia -- Mangalo</t>
  </si>
  <si>
    <t>Mangalo Collection</t>
  </si>
  <si>
    <t>b20295753</t>
  </si>
  <si>
    <t>Methodist Church at Mintaro</t>
  </si>
  <si>
    <t>Photograph  21.1 cm x 14.7cm</t>
  </si>
  <si>
    <t>Methodist church at Mintaro built in 1867.</t>
  </si>
  <si>
    <t>Mintaro Collection</t>
  </si>
  <si>
    <t>b2029962x</t>
  </si>
  <si>
    <t>Mailcart horses, Moculta</t>
  </si>
  <si>
    <t>Photograph (b&amp;w print)  14.7 cm x 20.5 cm;C1</t>
  </si>
  <si>
    <t>Mr. Gabels with the horses used in the Mail cart at the back of Gabel's Shop.</t>
  </si>
  <si>
    <t>Moculta Collection</t>
  </si>
  <si>
    <t>b20299655</t>
  </si>
  <si>
    <t>Post Office /Store, Moculta</t>
  </si>
  <si>
    <t>Photograph (b&amp;w print)  14.7 cm x 21 cm;C1</t>
  </si>
  <si>
    <t>Les Gabels P O and store.</t>
  </si>
  <si>
    <t>b20299679</t>
  </si>
  <si>
    <t>Hubbard's shop</t>
  </si>
  <si>
    <t>Photograph (b&amp;w print)  14.5 cm x 20.2 cm;C1</t>
  </si>
  <si>
    <t>Hubbards shop and petrol bowser.</t>
  </si>
  <si>
    <t>b20301923</t>
  </si>
  <si>
    <t>Main road, Moonta</t>
  </si>
  <si>
    <t>[General description] Main Road, Moonta, 1950. [On back of photograph] 'George Street, Moonta, looking west (Named after George W. Goyder, Surveyor General'</t>
  </si>
  <si>
    <t>Streets -- South Australia -- Moonta;Moonta (S.A.) -- Buildings, structures, etc.</t>
  </si>
  <si>
    <t>Moonta Collection</t>
  </si>
  <si>
    <t>b20317980</t>
  </si>
  <si>
    <t>Federal Hotel, Mount Gambier</t>
  </si>
  <si>
    <t>Federal Hotel, Mount Gambier.</t>
  </si>
  <si>
    <t>Hotel Federal (Mount Gambier, S.A.);Hotels -- South Australia -- Mount Gambier</t>
  </si>
  <si>
    <t>b20320565</t>
  </si>
  <si>
    <t>Sunshine Motors, Mount Gambier</t>
  </si>
  <si>
    <t>Photograph (b&amp;w print)  15.3 cm x 21.5 cm;C1</t>
  </si>
  <si>
    <t>Lange and Co. - Sunshine Motors staff outside their premises at Mount Gambier.</t>
  </si>
  <si>
    <t>b20320577</t>
  </si>
  <si>
    <t>Lange and Co., Mount Gambier</t>
  </si>
  <si>
    <t>Lange and Co., - Sunshine Motors staff at Mount Gambier.</t>
  </si>
  <si>
    <t>b20328461</t>
  </si>
  <si>
    <t>River Steamer "Marion"</t>
  </si>
  <si>
    <t>Photograph  14.5 cm x 8.1 cm</t>
  </si>
  <si>
    <t>River Steamer "Marion" at Mildura. She is propped up on the banks of the River Murray. About this time she experienced boiler trouble that necessitated repairs</t>
  </si>
  <si>
    <t>Marion (Paddle steamer);Paddle steamers -- Murray River (N.S.W.- S.A.)</t>
  </si>
  <si>
    <t>Murray River Collection</t>
  </si>
  <si>
    <t>b20328485</t>
  </si>
  <si>
    <t>River Steamer "Adelaide"</t>
  </si>
  <si>
    <t>Photograph &amp; neg.  14.5 cm x 8.1 cm</t>
  </si>
  <si>
    <t>River steamer Adelaide at Echuca. Paddle steamer "Adelaide" is the oldest wooden hulled paddle steamer still operating in the world. The original owners used the steamer to transport wool to Echuca from nearby sheep stations. In her time the "Adelaide" was used as a passenger boat and logging steamer. She was built in 1866</t>
  </si>
  <si>
    <t>Adelaide (Paddle steamer);Paddle steamers -- Murray River (N.S.W.- S.A.)</t>
  </si>
  <si>
    <t>b2033395x</t>
  </si>
  <si>
    <t>Lay preachers at Nairne</t>
  </si>
  <si>
    <t>Photograph (b&amp;w print)  11 cm x 15.5 cm;C1</t>
  </si>
  <si>
    <t>A group of Lay Preachers at Nairne, including the Rev. &amp; Mrs. Harrison.</t>
  </si>
  <si>
    <t>Clergy -- South Australia -- Nairne</t>
  </si>
  <si>
    <t>Nairne Collection</t>
  </si>
  <si>
    <t>b20341830</t>
  </si>
  <si>
    <t>Robjohns, W. A. (William Arthur), 1877-1977, photographer</t>
  </si>
  <si>
    <t>Clarke Street, Norwood</t>
  </si>
  <si>
    <t>Photograph  13.2 cm x 8.4 cm</t>
  </si>
  <si>
    <t>Clarke Street, Norwood showing a double storey house at number 1 Clarke Street. The 1950 photograph shows the house had three windows on the first storey over a porch and verandah behind a walled garden</t>
  </si>
  <si>
    <t>Norwood Collection</t>
  </si>
  <si>
    <t>b20341842</t>
  </si>
  <si>
    <t>Clarke Street, Norwood (number 3). This photograph taken in 1950 shows a single storey cottage with hollyhocks growing over the front fence</t>
  </si>
  <si>
    <t>b20341854</t>
  </si>
  <si>
    <t>Edsall Street, Norwood</t>
  </si>
  <si>
    <t>Edsall Street, Norwood. The house on the left was at one time occupied by a Mrs Best. The photograph taken in 1950 shows number 8 and 10 Edsall Street Norwood. The following information was supplied by a researcher: Mrs Best was a widow. She lived with her parents, Mr and Mrs Bradley, along with her daughter. She earned her living as a dressmaker.</t>
  </si>
  <si>
    <t>b20341866</t>
  </si>
  <si>
    <t>Nos. 20-22, 24, 26 Church Avenue, Norwood.</t>
  </si>
  <si>
    <t>b20341878</t>
  </si>
  <si>
    <t>Church Avenue, Norwood</t>
  </si>
  <si>
    <t>Hampton Grove, Norwood.</t>
  </si>
  <si>
    <t>b2034188x</t>
  </si>
  <si>
    <t>Threlfall Avenue off Collivar Street, Norwood.</t>
  </si>
  <si>
    <t>b20341891</t>
  </si>
  <si>
    <t>Somerset Place, Norwood</t>
  </si>
  <si>
    <t>Creek looking east from the bridge in Sydenham Road, Norwood.</t>
  </si>
  <si>
    <t>b20341908</t>
  </si>
  <si>
    <t>Gloucester Terrace, Norwood</t>
  </si>
  <si>
    <t>Gloucester House, Gloucester Terrace, Norwood. Gloucester Street runs off Osmond Terrace, parallel to William Street. The house consists of three different roof levels, possibly created when additions were added to the house. There are two chimneys, and a rose covered arch at the gate</t>
  </si>
  <si>
    <t>b2034191x</t>
  </si>
  <si>
    <t>General Store, Norwood</t>
  </si>
  <si>
    <t>General store at Norwood.</t>
  </si>
  <si>
    <t>Stores, Retail -- South Australia -- Norwood</t>
  </si>
  <si>
    <t>b20341921</t>
  </si>
  <si>
    <t>Gloucester House, Norwood</t>
  </si>
  <si>
    <t>Number 2 and 4 Somerset Place off Elizabeth Street, Norwood. The photograph shows two storey houses with wrap around balcanies on the first floor.</t>
  </si>
  <si>
    <t>b20343723</t>
  </si>
  <si>
    <t>Country scene near Oakbank</t>
  </si>
  <si>
    <t>Photograph (b&amp;w print)  20.5 cm x 20.1 cm;RESERVE 1</t>
  </si>
  <si>
    <t>A country scene near Oakbank.</t>
  </si>
  <si>
    <t>Oakbank (S.A.)</t>
  </si>
  <si>
    <t>Oakbank Collection</t>
  </si>
  <si>
    <t>b20356432</t>
  </si>
  <si>
    <t>Wharf at Pine Point</t>
  </si>
  <si>
    <t>Photograph (b&amp;w print)  15.8 cm x 21.5 cm;C1</t>
  </si>
  <si>
    <t>Wharf at Pine Point, ketch out to sea.</t>
  </si>
  <si>
    <t>Pine Point Collection</t>
  </si>
  <si>
    <t>b20356456</t>
  </si>
  <si>
    <t>Ketches at Wharf, Pine Point</t>
  </si>
  <si>
    <t>Ketches at wharf.</t>
  </si>
  <si>
    <t>Sailing ships -- South Australia -- Pine Point</t>
  </si>
  <si>
    <t>b2035647x</t>
  </si>
  <si>
    <t>Pine Point</t>
  </si>
  <si>
    <t>Photograph (b&amp;w print)  16.2 cm x 21.5 cm;C1</t>
  </si>
  <si>
    <t>View of township.</t>
  </si>
  <si>
    <t>b2035910x</t>
  </si>
  <si>
    <t>E.F.S. Appliance, Pinnaroo</t>
  </si>
  <si>
    <t>1 photograph : black and white   21 x 14.5 cm;still image sti rdacontent;unmediated n rdamedia;sheet nb rdacarrier</t>
  </si>
  <si>
    <t>Pinnaroo E.F.S. appliance (Blitz vehicle with Coventry Climax engine). The man standing up in the middle of the truck is Maurice O'Loughlin. The following information was provided by a researcher: This truck is a Chevrolet Blitz, one of the many ex-Army vehicles purchased by Peter R. Peers from Army disposal sales. He was in business at Murrayville, Victoria, across the border from Pinnaroo. The man standing on the rear of the truck is Keith Jolly. The truck was purchased by the Pinnaroo District Council to be used as a firetruck, in October 1948. See article in the 'Pinaroo and Border Times, Thursday 14 October 1948, page 1, for more details.</t>
  </si>
  <si>
    <t>Pinnaroo E.F.S. (Pinnaroo, S.A.);S.A. Emergency Fire Services.;Fire engines -- South Australia -- Pinnaroo.;Fire fighters -- South Australia -- Pinnaroo.</t>
  </si>
  <si>
    <t>Pinnaroo Collection</t>
  </si>
  <si>
    <t>b2035938x</t>
  </si>
  <si>
    <t>Post Office, Plympton</t>
  </si>
  <si>
    <t>Photograph  21.8 cm x 15.6 cm</t>
  </si>
  <si>
    <t>Plympton Post Office was opened on October 7, 1856. South Plympton Post Office opened on January 5, 1948. The photograph shows a corrugated building with a shady verandah and a telephone box standing outside</t>
  </si>
  <si>
    <t>Post office buildings -- South Australia -- Plympton</t>
  </si>
  <si>
    <t>b20365305</t>
  </si>
  <si>
    <t>Black Diamond Corner</t>
  </si>
  <si>
    <t>Photograph  20 cm x 14.5 cm</t>
  </si>
  <si>
    <t>Black Diamond Corner, Port Adelaide.</t>
  </si>
  <si>
    <t>Port Adelaide Collection</t>
  </si>
  <si>
    <t>b20376200</t>
  </si>
  <si>
    <t>"Mill Hill" in Boston Bay</t>
  </si>
  <si>
    <t>Photograph (b&amp;w print)  10.7 cm x 13.9 cm;C1</t>
  </si>
  <si>
    <t>The listing "Mill Hill" in Boston Bay, Port Lincoln after being towed there in order to re-stow a shifting caro of pig iron ingots.</t>
  </si>
  <si>
    <t>Mill Hill (Ship);Cargo ships -- South Australia -- Boston Bay</t>
  </si>
  <si>
    <t>b20376236</t>
  </si>
  <si>
    <t>Clergy of Eyre Peninsula</t>
  </si>
  <si>
    <t>Photograph (b&amp;w print)  16.5 cm x 21.5 cm;C1</t>
  </si>
  <si>
    <t>Group of Ruidecanal Chapter clergy of the Eyre Peninsula at Port Lincoln, 2 May 1956. Back row:l-r: D. Pugh, C. Penn, A. Williams, J. Smith, J. James, A. Blaxell, J. Kelly. Front: P. Connell, Ven. A. Codd (Archdeacon), Very Rev. T. Reed (Dean), A. Bowers, T. Hayman.</t>
  </si>
  <si>
    <t>Codd, A.;Connell, P.;Kelly, J.;Blaxell, A.;James, J.;Smith, J.;Williams, A.;Penn, C.;Pugh, D.;Reed, T. T. (Thomas Thornton), 1902-1995;Clergy -- South Australia -- Port Lincoln</t>
  </si>
  <si>
    <t>b2039326x</t>
  </si>
  <si>
    <t>Township, Rapid Bay</t>
  </si>
  <si>
    <t>Panoramic aerial view of township of Rapid Bay. The photograph shows the Town, Quarry and the Jetty looking west towards Rapid Head</t>
  </si>
  <si>
    <t>Rapid Bay (S.A.) -- Aerial photographs</t>
  </si>
  <si>
    <t>b20393386</t>
  </si>
  <si>
    <t>Government Photolithographer (S.A.), photographer</t>
  </si>
  <si>
    <t>Jetty, Rapid Bay</t>
  </si>
  <si>
    <t>C1;Photograph (b&amp;w print)  16 cm x 21 cm</t>
  </si>
  <si>
    <t>Loading limestone onto a ship via conveyor belt from jetty at Rapid Bay.</t>
  </si>
  <si>
    <t>b20398827</t>
  </si>
  <si>
    <t>Skyways, photographer</t>
  </si>
  <si>
    <t>Aerial View of Riverton</t>
  </si>
  <si>
    <t>Photograph  20.7 cm x 15.3 cm</t>
  </si>
  <si>
    <t>Aerial view of Riverton.</t>
  </si>
  <si>
    <t>Riverton (S.A.) -- Aerial photographs</t>
  </si>
  <si>
    <t>Riverton Collection</t>
  </si>
  <si>
    <t>b20400925</t>
  </si>
  <si>
    <t>View of jetty at Robe</t>
  </si>
  <si>
    <t>Photograph (b&amp;w print)  6.3 cm x 9 cm;RESERVE 1</t>
  </si>
  <si>
    <t>View of the coastline and jetty.</t>
  </si>
  <si>
    <t>Jetties -- South Australia -- Robe</t>
  </si>
  <si>
    <t>Robe Collection</t>
  </si>
  <si>
    <t>b20400937</t>
  </si>
  <si>
    <t>Jetty at Robe</t>
  </si>
  <si>
    <t>Swimmers near the jetty.</t>
  </si>
  <si>
    <t>Jetties -- South Australia -- Robe;Swimmers -- South Australia -- Robe</t>
  </si>
  <si>
    <t>b20400949</t>
  </si>
  <si>
    <t>Robe</t>
  </si>
  <si>
    <t>Searching for cockles on the beach.</t>
  </si>
  <si>
    <t>Fishing -- South Australia -- Robe</t>
  </si>
  <si>
    <t>b20400950</t>
  </si>
  <si>
    <t>Boat is on the slipway, Lake Butler in Robe</t>
  </si>
  <si>
    <t>A beached cray boat. This boat is on the slipway, with Lake Butler behind. Before a channel was built connecting the lake to the sea, boats were hoisted on a slipway over the sandhills into Lake Butler.</t>
  </si>
  <si>
    <t>b20400962</t>
  </si>
  <si>
    <t>Caravan Park, Ardrossan</t>
  </si>
  <si>
    <t>Car and caravan believed to be at the Caravan Park in Ardrossan, or another town on the Yorke Peninsula.</t>
  </si>
  <si>
    <t>Trailer camps -- South Australia -- Ardrossan;Automobiles -- South Australia -- Ardrossan;Travel trailers -- South Australia -- Ardrossan</t>
  </si>
  <si>
    <t>Ardrossan Collection</t>
  </si>
  <si>
    <t>b20400974</t>
  </si>
  <si>
    <t>Caravan Park, Robe</t>
  </si>
  <si>
    <t>Washing day in the Caravan Park.</t>
  </si>
  <si>
    <t>Trailer camps -- South Australia -- Robe;Camping -- South Australia -- Robe</t>
  </si>
  <si>
    <t>b20400986</t>
  </si>
  <si>
    <t>Playing on the beach at Robe.</t>
  </si>
  <si>
    <t>Children -- South Australia -- Robe</t>
  </si>
  <si>
    <t>b20400998</t>
  </si>
  <si>
    <t>b20402776</t>
  </si>
  <si>
    <t>Roxby Downs</t>
  </si>
  <si>
    <t>Roxby Downs: an aerial view of a homestead.</t>
  </si>
  <si>
    <t>Farmhouses -- South Australia -- Roxby Downs</t>
  </si>
  <si>
    <t>Roxby Downs Collection</t>
  </si>
  <si>
    <t>b20402788</t>
  </si>
  <si>
    <t>b2040279x</t>
  </si>
  <si>
    <t>Approach to a Roxby Downs Property.</t>
  </si>
  <si>
    <t>b20407622</t>
  </si>
  <si>
    <t>Second Valley School</t>
  </si>
  <si>
    <t>Students outside Second Valley School.</t>
  </si>
  <si>
    <t>Schools -- South Australia -- Second Valley;School children -- South Australia -- Second Valley;Children -- South Australia -- Second Valley</t>
  </si>
  <si>
    <t>Second Valley Collection</t>
  </si>
  <si>
    <t>b20408973</t>
  </si>
  <si>
    <t>Aerial View of Semaphore</t>
  </si>
  <si>
    <t>Aerial view of Semaphore showing the Semaphore Jetty which was completed in 1860. Swimming Baths were added to the jetty in 1889. In 1914 a two storey kiosk on the inner T-head of the jetty was opened in December. It included a restaurant, accommodation for the lessee and a dance hall upstairs. This was removed in 1948 following a fire.</t>
  </si>
  <si>
    <t>Semaphore (S.A.) -- Aerial photographs</t>
  </si>
  <si>
    <t>Semaphore Collection</t>
  </si>
  <si>
    <t>b20413300</t>
  </si>
  <si>
    <t>"Strathspey" Drawing Room</t>
  </si>
  <si>
    <t>Photograph  20.5 cm x 14.8 cm</t>
  </si>
  <si>
    <t>"Strathspey" interior view of drawing room.</t>
  </si>
  <si>
    <t>Strathspey (House : Springfield, S.A.);Furniture -- South Australia -- Springfield;Interior architecture -- South Australia -- Springfield</t>
  </si>
  <si>
    <t>Springfield Collection</t>
  </si>
  <si>
    <t>b20414341</t>
  </si>
  <si>
    <t>"Forest Lodge" Garden</t>
  </si>
  <si>
    <t>Photograph  20.5 cm x 15 cm</t>
  </si>
  <si>
    <t>Part of the garden at "Forest Lodge", Pine Street, Stirling.</t>
  </si>
  <si>
    <t>Gardens -- South Australia -- Stirling</t>
  </si>
  <si>
    <t>Stirling Collection</t>
  </si>
  <si>
    <t>b20426239</t>
  </si>
  <si>
    <t>Railway Station, Terowie</t>
  </si>
  <si>
    <t>Photograph  19.6 cm x 16.4 cm</t>
  </si>
  <si>
    <t>Railway Station, Terowie.</t>
  </si>
  <si>
    <t>Railroad stations -- South Australia -- Terowie</t>
  </si>
  <si>
    <t>Terowie Collection</t>
  </si>
  <si>
    <t>b2045255x</t>
  </si>
  <si>
    <t>Warradale</t>
  </si>
  <si>
    <t>Photograph (b&amp;w print)  10.5 cm x 14.2 cm;C1</t>
  </si>
  <si>
    <t>Foundation and footings for a new house, Warradale.</t>
  </si>
  <si>
    <t>Building -- South Australia -- Warradale</t>
  </si>
  <si>
    <t>Warradale Collection</t>
  </si>
  <si>
    <t>b20452561</t>
  </si>
  <si>
    <t>Building the roof on a new house, Warradale.</t>
  </si>
  <si>
    <t>Building -- South Australia -- Warradale;Roofs -- South Australia -- Warradale</t>
  </si>
  <si>
    <t>b20457303</t>
  </si>
  <si>
    <t>Wellington Hotel</t>
  </si>
  <si>
    <t>Wellington Hotel.</t>
  </si>
  <si>
    <t>Hotels -- South Australia -- Wellington</t>
  </si>
  <si>
    <t>Wellington Collection</t>
  </si>
  <si>
    <t>b20457960</t>
  </si>
  <si>
    <t>St. Theresa's Convent</t>
  </si>
  <si>
    <t>[On back of photgraph] 'St. Theresa's Convent of the Good Samaritan Nuns at Whyalla / 1950'</t>
  </si>
  <si>
    <t>St. Theresa's Convent (Whyalla, S.A.);Convents -- South Australia -- Whyalla</t>
  </si>
  <si>
    <t>Whyalla Collection</t>
  </si>
  <si>
    <t>b20458150</t>
  </si>
  <si>
    <t>Whyalla Shipyards</t>
  </si>
  <si>
    <t>Photograph  20 cm x 15.7 cm</t>
  </si>
  <si>
    <t>View of Whyalla Shipyards.</t>
  </si>
  <si>
    <t>Shipyards -- South Australia -- Whyalla</t>
  </si>
  <si>
    <t>b20461604</t>
  </si>
  <si>
    <t>Aerial view of Wilmington</t>
  </si>
  <si>
    <t>Aerial view of Wilmington.</t>
  </si>
  <si>
    <t>Wilmington (S.A.) -- Aerial photographs</t>
  </si>
  <si>
    <t>Wilmington Collection</t>
  </si>
  <si>
    <t>b20465774</t>
  </si>
  <si>
    <t>Methodist Church, Yahl</t>
  </si>
  <si>
    <t>Photograph</t>
  </si>
  <si>
    <t>Methodist Church at Yahl.</t>
  </si>
  <si>
    <t>Yahl Collection</t>
  </si>
  <si>
    <t>b20468945</t>
  </si>
  <si>
    <t>Aboriginal water soak</t>
  </si>
  <si>
    <t>Photograph (b&amp;w print)  10.5 cm x 15.9 cm;C1</t>
  </si>
  <si>
    <t>Aboriginal water soak on McKenzie farm, Yorketown.</t>
  </si>
  <si>
    <t>Aboriginal Australians -- South Australia -- Yorketown.;Water-supply -- South Australia -- Yorketown.</t>
  </si>
  <si>
    <t>Yorketown Collection</t>
  </si>
  <si>
    <t>b20487757</t>
  </si>
  <si>
    <t>Duryea, Clyde, photographer</t>
  </si>
  <si>
    <t>Sir Herbert Mayo</t>
  </si>
  <si>
    <t>Photograph  9.1  cm x 5.8 cm</t>
  </si>
  <si>
    <t>Sir Herbert Mayo was a South Australian judge, barrister, solicitor, Anglican lay leader and academic.</t>
  </si>
  <si>
    <t>Mayo, Herbert, Sir, 1885-1972</t>
  </si>
  <si>
    <t>b20511929</t>
  </si>
  <si>
    <t>Crew: H.M.C.S."Protector"</t>
  </si>
  <si>
    <t>Photograph  22 cm x 16.5 cm</t>
  </si>
  <si>
    <t>Ex-Members of the crew of H.M.C.S. "Protector". Left - right: John Gillis  F. Edwards  John Ledo  "Duke" Lucas  Fred Pearce. Photograph was taken at John Ledo's Golden Wedding Anniversary.</t>
  </si>
  <si>
    <t>Pearce, Fred;Lucas, Duke;Ledo, John, 1873-1951;Edwards, F.;Gillis, John;Protector (Ship);Sailors</t>
  </si>
  <si>
    <t>b20535739</t>
  </si>
  <si>
    <t>Country scene</t>
  </si>
  <si>
    <t>Photograph (b&amp;w print)  25.3 cm x 20 cm;RESERVE 1</t>
  </si>
  <si>
    <t>A country scene.</t>
  </si>
  <si>
    <t>b20539253</t>
  </si>
  <si>
    <t>St. Barnabas' College Group</t>
  </si>
  <si>
    <t>St. Barnabas' College staff and students. Back row (left to right): J.Brodie, E.J.Bennett, R.O.Nichols, W.Warnes, D.M.Sutherland, W.D.G.Humphreys, G.F.Hewitson, K.A.Osborne, A.B.Williams. Front row: J.F.Blades, J.L.Wardman, J.Y.MacDonald, Rev. J.W.Clarke (tutor), Rev. J.W.Griffiths (warden), Rev. J.G.M.Gent (tutor), M.W.Ward, L.R.Lenthall, B.W.Brooker.</t>
  </si>
  <si>
    <t>St. Barnabas' Theological College (Adelaide, S.A.);Clergy -- South Australia -- North Adelaide</t>
  </si>
  <si>
    <t>b20539265</t>
  </si>
  <si>
    <t>St. Barnabas' College staff and students L-r: Back: Rev. A.B.Williams  Rev.R.O.Nichols  L.G.Mauger  I.D.Stuart  Rev.W.H.Warnes  R.O.Herde  D.W.Brockhoff. Front: F.G.Hawkes  Rev.A.R.Bowens  Rev.J.W.Griffiths  Rev J.W.Clarke  Rev.N.Crawford.</t>
  </si>
  <si>
    <t>b20543335</t>
  </si>
  <si>
    <t>Ordination of deacons</t>
  </si>
  <si>
    <t>Photograph (b&amp;w print)  16.2 cm x 21.6 cm;C1</t>
  </si>
  <si>
    <t>Ordination of Deacons with the Lord Bishop of Adelaide, Bishop Robin.</t>
  </si>
  <si>
    <t>Robin, B. P. (Bryan Percival), 1887-1969;St. Peter's Cathedral (Adelaide, S.A.);Deacons -- South Australia;Clergy -- South Australia;Ordination -- South Australia -- Adelaide</t>
  </si>
  <si>
    <t>b20578933</t>
  </si>
  <si>
    <t>Hindmarsh Square</t>
  </si>
  <si>
    <t>Photograph (b&amp;w print)  15.5 cm x 21.3 cm</t>
  </si>
  <si>
    <t>Repatriation Building, eastern side Hindmarsh Square.</t>
  </si>
  <si>
    <t>Acre 161 Collection</t>
  </si>
  <si>
    <t>b20578945</t>
  </si>
  <si>
    <t>b20578957</t>
  </si>
  <si>
    <t>Photograph (b&amp;w print)  21 cm x 15.4 cm</t>
  </si>
  <si>
    <t>b20589001</t>
  </si>
  <si>
    <t>Flinders Street</t>
  </si>
  <si>
    <t>Photograph  21.1 cm x 15.5 cm</t>
  </si>
  <si>
    <t>Residence of Mr. A. Rymill, corner of Flinders Street and East Terrace, 17 May 1950.</t>
  </si>
  <si>
    <t>Acre 220 Collection</t>
  </si>
  <si>
    <t>b20652641</t>
  </si>
  <si>
    <t>Adelaide City Bridge</t>
  </si>
  <si>
    <t>Photograph (b&amp;w print)  20 cm x 25.2 cm;RESERVE 1</t>
  </si>
  <si>
    <t>Adelaide City Bridge.</t>
  </si>
  <si>
    <t>Adelaide Views Collection;Adelaide Bridge Collection</t>
  </si>
  <si>
    <t>b20670266</t>
  </si>
  <si>
    <t>North Terrace</t>
  </si>
  <si>
    <t>Photograph (b&amp;w print)  19.8 cm x 25.2 cm;RESERVE 1</t>
  </si>
  <si>
    <t>North Terrace.</t>
  </si>
  <si>
    <t>Adelaide Views Collection;North Terrace Collection</t>
  </si>
  <si>
    <t>b20690046</t>
  </si>
  <si>
    <t>The "S.S. Karatta"</t>
  </si>
  <si>
    <t>The "S.S. Karatta" after refitting, which was captained by Captain Pearson.</t>
  </si>
  <si>
    <t>Karatta (Ship)</t>
  </si>
  <si>
    <t>Ship Collection</t>
  </si>
  <si>
    <t>b2069006x</t>
  </si>
  <si>
    <t>The "S.S. Warrawee"</t>
  </si>
  <si>
    <t>The "S.S. Warrawee" last trip on mail ruyn during refitting of the "S.S. Karatta".</t>
  </si>
  <si>
    <t>Warrawee (Ship)</t>
  </si>
  <si>
    <t>b20725383</t>
  </si>
  <si>
    <t>Locomotive</t>
  </si>
  <si>
    <t>Photograph (b&amp;w print)  10.3 cm x 10.2 cm;RESERVE 1 album</t>
  </si>
  <si>
    <t>SAR 12 wheeled car.</t>
  </si>
  <si>
    <t>Locomotives -- South Australia</t>
  </si>
  <si>
    <t>Album Collection;Skewes Collection</t>
  </si>
  <si>
    <t>b20725395</t>
  </si>
  <si>
    <t>Railway Track</t>
  </si>
  <si>
    <t>Break of gauge, Colley Terrace.</t>
  </si>
  <si>
    <t>Railroads -- South Australia</t>
  </si>
  <si>
    <t>b20725401</t>
  </si>
  <si>
    <t>Curve of Tolley Terrace into Anzac Highway.</t>
  </si>
  <si>
    <t>Railroads -- South Australia -- Adelaide</t>
  </si>
  <si>
    <t>b2072603x</t>
  </si>
  <si>
    <t>Class "P" No. 122 with train in Port Adelaide street.</t>
  </si>
  <si>
    <t>Locomotives -- South Australia -- Port Adelaide</t>
  </si>
  <si>
    <t>b20726041</t>
  </si>
  <si>
    <t>Railway lines</t>
  </si>
  <si>
    <t>Railway lines in Anzac Highway, Glenelg.</t>
  </si>
  <si>
    <t>Railroads -- South Australia -- Glenelg</t>
  </si>
  <si>
    <t>b20726053</t>
  </si>
  <si>
    <t>Railway Station</t>
  </si>
  <si>
    <t>Port Dock Station.</t>
  </si>
  <si>
    <t>Railroads -- South Australia -- Port Adelaide</t>
  </si>
  <si>
    <t>b20726065</t>
  </si>
  <si>
    <t>Railway Level Crossing</t>
  </si>
  <si>
    <t>S.A.R. Alberton Level Crossing gates manual operation.</t>
  </si>
  <si>
    <t>Railroads -- South Australia -- Alberton</t>
  </si>
  <si>
    <t>b20726077</t>
  </si>
  <si>
    <t>S.A.R. CLASS 740 NO. 744, Islington. (Note N.S.W. chimney).</t>
  </si>
  <si>
    <t>Locomotives -- South Australia -- Islington</t>
  </si>
  <si>
    <t>b20726090</t>
  </si>
  <si>
    <t>Class "F" advertising Semaphore illuminated carnival at Cheltenham old Station.</t>
  </si>
  <si>
    <t>Locomotives -- South Australia -- Cheltenham</t>
  </si>
  <si>
    <t>b20726107</t>
  </si>
  <si>
    <t>Railway carriage</t>
  </si>
  <si>
    <t>S.A.R. Old passenger carriage at Islington.</t>
  </si>
  <si>
    <t>Railroads -- South Australia -- Trains</t>
  </si>
  <si>
    <t>b20726193</t>
  </si>
  <si>
    <t>Railway Water Tower</t>
  </si>
  <si>
    <t>S.A.R. Class "F" No. 177 locomotive taking water at Henley Beach.</t>
  </si>
  <si>
    <t>Locomotives -- South Australia -- Henley Beach</t>
  </si>
  <si>
    <t>b20740037</t>
  </si>
  <si>
    <t>Stanley Studios, photographer</t>
  </si>
  <si>
    <t>Saddleworth A Grade Football Team, 1950</t>
  </si>
  <si>
    <t>Photograph (b&amp;w print)  13.2 cm x 16.4 cm;RESERVE 1</t>
  </si>
  <si>
    <t>SADDLEWORTH: Members of the Saddleworth A Grade football team. Back row: J. Mitchell (Trainer)  Keith Schmaal  Kevin Oster  Howard Plueckhahn  Jim Marrett  Max Huppatz  Barry Huppatz  Joe Hodgens  Mick Haydon  Wilf Becker (Goal Umpire). Middle row: Bede Darmody  Don Christie  Don Farrow  W.J. (Bill) Slattery  W.H. Stone (Umpire)  L.A. (Digger) Davis (Captain)  Lou Koster  Kellick Hogben. Front row: Paul O'Loughlin  Morris Buttfield  Graham Wilkins  Ross Haydon. Absent: Willis Draper  Max Maynard  Trevor Livingstone and Lionel Winter.</t>
  </si>
  <si>
    <t>Australian football players -- South Australia -- Saddleworth</t>
  </si>
  <si>
    <t>Saddleworth Collection</t>
  </si>
  <si>
    <t>b20740207</t>
  </si>
  <si>
    <t>Saddleworth B Grade football team</t>
  </si>
  <si>
    <t>RESERVE 1;Photograph (b&amp;w print)  15.1 cm x 20.3 cm  (image)   22 cm x 20.5 cm (mount)</t>
  </si>
  <si>
    <t>SADDLEWORTH: Members of the Saddleworth B Grade football team, 1950. Back row: D. Stone ( Timekeeper)  R. Lovell  D.T. Sharman  C.G. Wurst  D. Piest  R. Schirmer  N. Schmidtke  A.E. Bannear  I.A. Noble  D.H. Adams (Vice-Captain)  K. Stetley  M. Vater (Trainer). Middle row: A.J. Marret (President)  J. Vater  R. Kahl  W. Marlow  J.R. Paris (Umpire)  V.D. Mitchell (Captain)  A.R. Marrett  J. Wooding  K. Klem  J. Palmer (Joint Secretary). Front row: C. Vater  R. Treloar  R. Vater  W. Overton  G. Stone.</t>
  </si>
  <si>
    <t>b20753172</t>
  </si>
  <si>
    <t>Prefabricated Housing Trust home</t>
  </si>
  <si>
    <t>Photograph  20 cm x 15.5 cm</t>
  </si>
  <si>
    <t>GENERAL: A prefabricated Housing Trust home being transported on a prime-mover belonging to Blakistons, 14 June 1950.</t>
  </si>
  <si>
    <t>South Australia. Housing Trust;Buildings, Portable -- South Australia;Housing -- South Australia</t>
  </si>
  <si>
    <t>b20753305</t>
  </si>
  <si>
    <t>GENERAL: Prefabricated Housing Trust home being delivered to a housing site on a prime-mover, 14 June 1950.</t>
  </si>
  <si>
    <t>b20779847</t>
  </si>
  <si>
    <t>Edgar Rowlands with his horse teams</t>
  </si>
  <si>
    <t>WILLUNGA:  A view of Edgar Rowlands with his horse teams carting bagged wheat.  Edgar is driving the rear team.</t>
  </si>
  <si>
    <t>Wheat -- South Australia -- Willunga;Carriages and carts -- South Australia -- Willunga</t>
  </si>
  <si>
    <t>Willunga Collection</t>
  </si>
  <si>
    <t>b20780254</t>
  </si>
  <si>
    <t>Boase, Howard R. (Howard Roy), 1917-1954, photographer</t>
  </si>
  <si>
    <t>Port Adelaide Football Club</t>
  </si>
  <si>
    <t>Photograph (b&amp;w print)  18.7 cm x 24.5 cm (image)   27.8 cm x 32.8 cm (mount);RESERVE 1 b</t>
  </si>
  <si>
    <t>PORT ADELAIDE:  Port Adelaide Football Club, season 1950.</t>
  </si>
  <si>
    <t>Port Adelaide Football Club (SANFL);Australian football players -- South Australia -- Port Adelaide</t>
  </si>
  <si>
    <t>b20782032</t>
  </si>
  <si>
    <t>Members of the Willunga Band</t>
  </si>
  <si>
    <t>WILLUNGA: The Willunga Band in 1950, piano: Mrs. B. Turner  piano accordion: Miss M. Goldfinch  Saxaphone: Mr. B. Schmidt  drums: Mr. M. Dunstan.</t>
  </si>
  <si>
    <t>Bands (Music) -- South Australia -- Willunga;Musicians -- South Australia -- Willunga</t>
  </si>
  <si>
    <t>b2078644x</t>
  </si>
  <si>
    <t>Farewell for John Althrope, later Earl Spencer</t>
  </si>
  <si>
    <t>Photograph (b&amp;w print)  15.4 cm x 20.8 cm;RESERVE 1</t>
  </si>
  <si>
    <t>GENERAL: Major Colin Duncan, private secretary to Sir Robert George, saying farewell to John Althrope at Government House, Adelaide, May 1950. John Althrope was Aide-de-camp to the Governor of South Australia and later became the late Earl Spencer.</t>
  </si>
  <si>
    <t>Duncan, Colin Robert, 1892-1966</t>
  </si>
  <si>
    <t>b2080085x</t>
  </si>
  <si>
    <t>Motor bikes racing in Woodside</t>
  </si>
  <si>
    <t>WOODSIDE: Motor bikes racing through the streets of Woodside.</t>
  </si>
  <si>
    <t>Motorcycle Racing -- South Australia -- Woodside</t>
  </si>
  <si>
    <t>Woodside Collection</t>
  </si>
  <si>
    <t>b20800861</t>
  </si>
  <si>
    <t>Motor bike racing in Woodside</t>
  </si>
  <si>
    <t>WOODSIDE: Motor bike racing through the streets of Woodside.</t>
  </si>
  <si>
    <t>b20800897</t>
  </si>
  <si>
    <t>Car racing at Woodside</t>
  </si>
  <si>
    <t>WOODSIDE: Racing car taking part in a race through the streets of Woodside. Identified as 'Eldred Norman, Ford Double V8 Special' by D. Shaw.</t>
  </si>
  <si>
    <t>Automobiles -- South Australia -- Woodside -- Racing</t>
  </si>
  <si>
    <t>b20800903</t>
  </si>
  <si>
    <t>WOODSIDE: Racing car taking part in a race through the streets of Woodside.</t>
  </si>
  <si>
    <t>b20802456</t>
  </si>
  <si>
    <t>Members of the Norwood Football Club</t>
  </si>
  <si>
    <t>Photograph (b&amp;w print)  20.5 cm x 29.3 cm (image)   35 cm x 38.2 cm (mount);RESERVE 1 b</t>
  </si>
  <si>
    <t>NORWOOD: Members of the Norwood Football Club, Premiers S.A.N.F.L., 1950.</t>
  </si>
  <si>
    <t>Norwood Football Club;Australian football players -- South Australia -- Norwood</t>
  </si>
  <si>
    <t>b20802572</t>
  </si>
  <si>
    <t>Photograph (b&amp;w print)  20.5 cm x 29.1 cm (image)    33.7 cm x 38.2 cm (mount);RESERVE 1 b</t>
  </si>
  <si>
    <t>NORWOOD: Members of the Norwood Football Club, Premiers S.A.N.F.L. Ltd., 1950.</t>
  </si>
  <si>
    <t>b2081172x</t>
  </si>
  <si>
    <t>The 'Orion' leaving Outer Harbor</t>
  </si>
  <si>
    <t>OUTER HARBOR: Streamers fly from the decks of the 'Orion' as it leaves Outer Harbor en route for England on Saturday, 28th October 1950.</t>
  </si>
  <si>
    <t>Cruise Ships -- South Australia -- Outer Harbor</t>
  </si>
  <si>
    <t>Outer Harbor Collection</t>
  </si>
  <si>
    <t>b20811731</t>
  </si>
  <si>
    <t>Five women on the 'Orion'</t>
  </si>
  <si>
    <t>Five women, including Diana Brooks, having morning tea on the deck of the 'Orion' on November 6th 1950 during their journey to England on a 'big trip'.</t>
  </si>
  <si>
    <t>Women -- South Australia;Cruise Ships</t>
  </si>
  <si>
    <t>b2082726x</t>
  </si>
  <si>
    <t>Sussex Hotel, Walkerville</t>
  </si>
  <si>
    <t>Photgraph  20 cm x 15.5 cm</t>
  </si>
  <si>
    <t>WALKERVILLE: Interior view of the Sussex Hotel, showing the Island Bar.</t>
  </si>
  <si>
    <t>Sussex Hotel (Walkerville, S.A.);Hotels -- South Australia -- Walkerville;Interior architecture -- South Australia -- Walkerville</t>
  </si>
  <si>
    <t>Walkerville Collection</t>
  </si>
  <si>
    <t>b20892342</t>
  </si>
  <si>
    <t>Betty Northmore and Captain Hagerstrand farewelling the 'Passat'</t>
  </si>
  <si>
    <t>Photograph  8 cm x 13 cm</t>
  </si>
  <si>
    <t>Betty Northmore and Captain Ivar Hagerstrand in the snow saying 'farewell' to the 'Passat' at Penarth Dock in Wales on 15 December 1950.</t>
  </si>
  <si>
    <t>Northmore, Betty;Hagerstrand, Ivar;Passat (Ship)</t>
  </si>
  <si>
    <t>b20901665</t>
  </si>
  <si>
    <t>Railway transport: 500 class</t>
  </si>
  <si>
    <t>Photograph (b&amp;w print)  15.5 cm x 19 cm;RESERVE 1 album</t>
  </si>
  <si>
    <t>View of a 500 class engine (No. 505) and carriages at Eden Hills.</t>
  </si>
  <si>
    <t>Railroads -- South Australia -- Trains;Railroads -- South Australia -- Eden Hills</t>
  </si>
  <si>
    <t>Album Collection;Railway Transport Collection</t>
  </si>
  <si>
    <t>b20901689</t>
  </si>
  <si>
    <t>Photograph (b&amp;w print)  10.2 cm x 19 cm;RESERVE 1 album</t>
  </si>
  <si>
    <t>View of a 500 class engine (No. 508) and carriages at Clapham.</t>
  </si>
  <si>
    <t>Railroads -- South Australia -- Trains;Railroads -- South Australia -- Clapham</t>
  </si>
  <si>
    <t>b20901707</t>
  </si>
  <si>
    <t>500 class engine No. 508 at Bridgewater.</t>
  </si>
  <si>
    <t>Railroads -- South Australia -- Trains;Railroads -- South Australia -- Bridgewater</t>
  </si>
  <si>
    <t>b20901719</t>
  </si>
  <si>
    <t>Photograph (b&amp;w print)  15 cm x 18.8 cm;RESERVE 1 album</t>
  </si>
  <si>
    <t>500 class engine No. 501 at Clapham.</t>
  </si>
  <si>
    <t>b2090227x</t>
  </si>
  <si>
    <t>Railway transport: 520 class</t>
  </si>
  <si>
    <t>Photograph (b&amp;w print)  10.2 cm x 14.5 cm;RESERVE 1 album</t>
  </si>
  <si>
    <t>520 class engine and carriages at North Adelaide.</t>
  </si>
  <si>
    <t>Railroads -- South Australia -- Trains;Railroads -- South Australia -- North Adelaide</t>
  </si>
  <si>
    <t>b20902323</t>
  </si>
  <si>
    <t>Photograph (b&amp;w print)  10.3 cm x 14.8 cm;RESERVE 1 album</t>
  </si>
  <si>
    <t>South Coast Limited train at Eden Hills.</t>
  </si>
  <si>
    <t>b20902463</t>
  </si>
  <si>
    <t>Photograph (b&amp;w print)  10.4 cm x 15.3 cm;RESERVE 1 album</t>
  </si>
  <si>
    <t>Pinnaroo Express at Belair Station, 5 May 1950.</t>
  </si>
  <si>
    <t>Railroads -- South Australia -- Trains;Railroads -- South Australia -- Belair</t>
  </si>
  <si>
    <t>b20902682</t>
  </si>
  <si>
    <t>Railway transport: 620 class</t>
  </si>
  <si>
    <t>Photograph (b&amp;w print)  13.3 cm x 19.5 cm;RESERVE 1 album</t>
  </si>
  <si>
    <t>Engine No.624 exiting the tunnel at Eden Hills, 5 May 1950.</t>
  </si>
  <si>
    <t>b20902712</t>
  </si>
  <si>
    <t>Photograph (b&amp;w print)  9.7 cm x 15.5 cm;RESERVE 1 album</t>
  </si>
  <si>
    <t>Engine No.627 with passenger train at North Adelaide.</t>
  </si>
  <si>
    <t>b20903455</t>
  </si>
  <si>
    <t>Railway transport: 720 class</t>
  </si>
  <si>
    <t>Photograph (b&amp;w print)  13.2 cm x 18.7 cm;RESERVE 1 album</t>
  </si>
  <si>
    <t>South Coast Express passenger train (engine No.729) at Goodwood, 28 December 1950.</t>
  </si>
  <si>
    <t>Railroads -- South Australia -- Trains;Railroads -- South Australia -- Goodwood</t>
  </si>
  <si>
    <t>b20903467</t>
  </si>
  <si>
    <t>Photograph (b&amp;w print)  10.2 cm x 18.5 cm;RESERVE 1 album</t>
  </si>
  <si>
    <t>Passenger train (engine No.735) at Victor Harbor, 26 December 1950.</t>
  </si>
  <si>
    <t>Railroads -- South Australia -- Trains;Railroads -- South Australia -- Victor Harbor</t>
  </si>
  <si>
    <t>b20903479</t>
  </si>
  <si>
    <t>Photograph (b&amp;w print)  12 cm x 18.6 cm;RESERVE 1 album</t>
  </si>
  <si>
    <t>Goods train (engine No.725) at Clapham.</t>
  </si>
  <si>
    <t>b20903480</t>
  </si>
  <si>
    <t>Photograph (b&amp;w print)  10.1 cm x 15.3 cm;RESERVE 1 album</t>
  </si>
  <si>
    <t>Passenger train (engine No.732) at Mount Lofty.</t>
  </si>
  <si>
    <t>Railroads -- South Australia -- Trains;Railroads -- South Australia -- Lofty, Mount</t>
  </si>
  <si>
    <t>b20903492</t>
  </si>
  <si>
    <t>Photograph (b&amp;w print)  13.6 cm x 18.2 cm;RESERVE 1 album</t>
  </si>
  <si>
    <t>Goods train (engine No.729) at Eden Hills.</t>
  </si>
  <si>
    <t>b20903509</t>
  </si>
  <si>
    <t>Photograph (b&amp;w print)  10 cm x 15.3 cm;RESERVE 1 album</t>
  </si>
  <si>
    <t>Goods train (engine No.725) at Eden Hills.</t>
  </si>
  <si>
    <t>b20905129</t>
  </si>
  <si>
    <t>Railway transport: Rx class</t>
  </si>
  <si>
    <t>Photograph (b&amp;w print)  14 cm x 17.7 cm;RESERVE 1 album</t>
  </si>
  <si>
    <t>Passenger train at Eden Hills.</t>
  </si>
  <si>
    <t>b20905348</t>
  </si>
  <si>
    <t>Photograph (b&amp;w print)  8.8 cm x 14 cm;RESERVE 1 album</t>
  </si>
  <si>
    <t>Passenger train at unidentified location.</t>
  </si>
  <si>
    <t>Railroads -- South Australia -- Trains;Railroads -- South Australia</t>
  </si>
  <si>
    <t>b20907382</t>
  </si>
  <si>
    <t>Railway transport: 'Overland'</t>
  </si>
  <si>
    <t>Photograph (b&amp;w print)  9.5 cm x 15.8 cm;RESERVE 1 album</t>
  </si>
  <si>
    <t>Overland train at Goodwood, December 1950.</t>
  </si>
  <si>
    <t>Railroads -- South Australia -- Trains;Railroads -- South Australia -- Keswick</t>
  </si>
  <si>
    <t>b2092110x</t>
  </si>
  <si>
    <t>John Martin's Christmas Pageant: Front of store</t>
  </si>
  <si>
    <t>View of the Rundle Street store frontage with its Christmas decorations.</t>
  </si>
  <si>
    <t>b20921111</t>
  </si>
  <si>
    <t>John Martin's Christmas Pageant: Jack in the box</t>
  </si>
  <si>
    <t>Jack-in-the-box float pulled by four golliwogs.</t>
  </si>
  <si>
    <t>b20921123</t>
  </si>
  <si>
    <t>John Martin's Christmas Pageant: Pluto and duck</t>
  </si>
  <si>
    <t>The 'Pluto and duck' sequence showinmg the duck riding a basket being pulled along by two cowboys.</t>
  </si>
  <si>
    <t>b20921135</t>
  </si>
  <si>
    <t>John Martin's Christmas Pageant: Cinderella float</t>
  </si>
  <si>
    <t>The 'Cinderella' float.</t>
  </si>
  <si>
    <t>b20921147</t>
  </si>
  <si>
    <t>John Martin's Christmas Pageant: Carnival float</t>
  </si>
  <si>
    <t>Float with women dressed in crinolines/Spanish dresses.</t>
  </si>
  <si>
    <t>b20921159</t>
  </si>
  <si>
    <t>John Martin's Christmas Pageant: Christmas stocking</t>
  </si>
  <si>
    <t>The 'Christmas stocking' float.</t>
  </si>
  <si>
    <t>b20921160</t>
  </si>
  <si>
    <t>John Martin's Christmas Pageant: Four &amp; twenty blackbirds</t>
  </si>
  <si>
    <t>The 'four and twenty blackbirds' float.</t>
  </si>
  <si>
    <t>b20921172</t>
  </si>
  <si>
    <t>John Martin's Christmas Pageant: Shell and sea urchins</t>
  </si>
  <si>
    <t>The 'shell and sea urchins' float showing women reclining in a sea shell, being pulled along by sailors.</t>
  </si>
  <si>
    <t>b20921184</t>
  </si>
  <si>
    <t>John Martin's Christmas Pageant: Lolly pop girls</t>
  </si>
  <si>
    <t>The 'looly pop girls' float featuring a giant candy bar and basket of lollies.</t>
  </si>
  <si>
    <t>b20921196</t>
  </si>
  <si>
    <t>John Martin's Christmas Pageant: Pirate ship</t>
  </si>
  <si>
    <t>The 'pirate ship' float.</t>
  </si>
  <si>
    <t>b20921202</t>
  </si>
  <si>
    <t>The Pluto half of the 'Pluto and duck' float.</t>
  </si>
  <si>
    <t>b20921214</t>
  </si>
  <si>
    <t>John Martin's Christmas Pageant: Snow White and the seven dwarfs</t>
  </si>
  <si>
    <t>The 'Snow White and the seven dwarfs' float.</t>
  </si>
  <si>
    <t>b20921597</t>
  </si>
  <si>
    <t>John Martin's Christmas Pageant: Mother Goose</t>
  </si>
  <si>
    <t>The 'Mother Goose' float.</t>
  </si>
  <si>
    <t>b20931384</t>
  </si>
  <si>
    <t>Crowd at the opening of the broad gauge railway</t>
  </si>
  <si>
    <t>Photograph  24.5 cm x 19 cm</t>
  </si>
  <si>
    <t>Large crowd gathered at Naracoorte railway station for the opening of the south-eastern broad gauge railway line, 1 February, 1950.</t>
  </si>
  <si>
    <t>Naracoorte Railway Station (Naracoorte, S.A.)</t>
  </si>
  <si>
    <t>Album Collection;Contemporary Life Collection</t>
  </si>
  <si>
    <t>b20931992</t>
  </si>
  <si>
    <t>North Adelaide Central Football Club players</t>
  </si>
  <si>
    <t>Photograph  24 cm x 20 cm</t>
  </si>
  <si>
    <t>Formal photo of the North Adelaide Central Football Club premiership team of 1950.</t>
  </si>
  <si>
    <t>Australian football players -- South Australia -- North Adelaide</t>
  </si>
  <si>
    <t>b20954542</t>
  </si>
  <si>
    <t>A tennis social at Toorak</t>
  </si>
  <si>
    <t>A group of women gathered for a tennis social at Toorak.</t>
  </si>
  <si>
    <t>b21014279</t>
  </si>
  <si>
    <t>Guinea Airways Ltd. DC-3 Aircraft</t>
  </si>
  <si>
    <t>Photograph (b&amp;w print)  8 cm x 13 cm;C1</t>
  </si>
  <si>
    <t>Douglas DC-3 VH-AVK at Ceduna.</t>
  </si>
  <si>
    <t>Guinea Airways Ltd;Airplanes -- South Australia -- Ceduna</t>
  </si>
  <si>
    <t>b21014280</t>
  </si>
  <si>
    <t>Photograph (b&amp;w print)  11.3 cm x 16 cm;C1</t>
  </si>
  <si>
    <t>Refuelling Douglas DC-3 VH-AVK at Whyalla.</t>
  </si>
  <si>
    <t>Guinea Airways Ltd;Airplanes -- South Australia -- Whyalla</t>
  </si>
  <si>
    <t>b21014292</t>
  </si>
  <si>
    <t>Photograph (b&amp;w print)  11 cm x 16.5 cm;C1</t>
  </si>
  <si>
    <t>Refuelling Doulgas DC-3 VH-AVK at Parafield.</t>
  </si>
  <si>
    <t>Guinea Airways Ltd;Airplanes -- South Australia -- Parafield</t>
  </si>
  <si>
    <t>b21059329</t>
  </si>
  <si>
    <t>The Country Carnival Cricket Association competition</t>
  </si>
  <si>
    <t>Photograph  20.8 cm x 15.2 cm;RESERVE 1 b</t>
  </si>
  <si>
    <t>Team photograph of the Gilbert Association: Back row, left to right: D. Ross (former member of the Libraries Board)  A. Wall  M. McKenzie  W. Edwards  C.K. Harkness. Front row, left to right: K. Harkness  H. McKenzie  M. Snook  J. Harkness (Capt.)  D. Dow  G. Uppill.</t>
  </si>
  <si>
    <t>Cricket players -- South Australia</t>
  </si>
  <si>
    <t>b21088718</t>
  </si>
  <si>
    <t>Daniel, Brenda, photographer</t>
  </si>
  <si>
    <t>Graham, Kevin and Billy Daniel</t>
  </si>
  <si>
    <t>Photograph  8 cm x 5.4 cm</t>
  </si>
  <si>
    <t>Graham, Kevin and Billie Daniel with their dog and 89 pairs of rabbits collected over two nights on the family farm at Ninnes in January 1950. The pelts were used for Akubra hats and the meat sent to wholesale butchers.</t>
  </si>
  <si>
    <t>Daniels, Billie;Daniels, Kevin;Daniels, Graham;Rabbits -- Control -- South Australia</t>
  </si>
  <si>
    <t>Ninnes Collection</t>
  </si>
  <si>
    <t>b21089504</t>
  </si>
  <si>
    <t>Dancing at Osborn Hall</t>
  </si>
  <si>
    <t>Photograph  6.1 cm x 13.3 cm</t>
  </si>
  <si>
    <t>Shirley Hayward dancing with 'Johhnie' at Osborn Hall in Gouger street, Adelaide.</t>
  </si>
  <si>
    <t>Hayward, Shirley;Dance -- South Australia -- Adelaide</t>
  </si>
  <si>
    <t>b21089619</t>
  </si>
  <si>
    <t>Sigston, Bessie, photographer</t>
  </si>
  <si>
    <t>Grandpa Willie's horse and trap</t>
  </si>
  <si>
    <t>Photograph  8.2 cm x 5.6 cm</t>
  </si>
  <si>
    <t>Bessie Sigston used her box Brownie to catch her father-in-law, William Charles Sigston, leading the horse while her two sons, Bill and David, get a ride in the trap. William Sigston was born in December 1872 at Underdale, and in 1898 he married Francis Evelyn Townsend at McLaren Vale. They had two daughters, Lillian and Olive, and three sons, Louis, Clifford and Alan. William owned a vineyard at McLaren Flat and the horse was used to pull the plough in the early 1950s.</t>
  </si>
  <si>
    <t>Sigston, David;Sigston, Bill;Sigston, William Charles;Horse-drawn vehicles -- South Australia -- McLaren Flat</t>
  </si>
  <si>
    <t>b2109035x</t>
  </si>
  <si>
    <t>Boyle, Leonard Stanley, photographer</t>
  </si>
  <si>
    <t>Power house site, Port Augusta</t>
  </si>
  <si>
    <t>Photograph  8.1 cm x 5.3 cm</t>
  </si>
  <si>
    <t>A group of three people look at the power station at Port Augusta, November 1950.</t>
  </si>
  <si>
    <t>Factories -- Power supply;Port Augusta (S.A.)</t>
  </si>
  <si>
    <t>b21090361</t>
  </si>
  <si>
    <t>View of a crane at the power station at Port Augusta, November 1950.</t>
  </si>
  <si>
    <t>b21090373</t>
  </si>
  <si>
    <t>Hollywood Park, Port Augusta</t>
  </si>
  <si>
    <t>View overlooking "Hollywood Park" at Port Augusta, November 1950. A researcher has added that this area was also known as Zanuckville after the US film director, Daniel Zanuck. The houses were built as accommodation for the film crew during filming of the colour film 'Kangaroo' in the 1950s. Most of the houses were removed in 1964, see Chronicle, 9/7/1964:63.</t>
  </si>
  <si>
    <t>Port Augusta (S.A.) -- Parks</t>
  </si>
  <si>
    <t>b21141708</t>
  </si>
  <si>
    <t>Ships, Port Adelaide</t>
  </si>
  <si>
    <t>Photograph (photoprint)  8.2 cm x 5.6 cm</t>
  </si>
  <si>
    <t>Ships on the Harbour at Port Adelaide.</t>
  </si>
  <si>
    <t>Cargo ships -- South Australia -- Port Adelaide</t>
  </si>
  <si>
    <t>b2114171x</t>
  </si>
  <si>
    <t>'MV Manoora'</t>
  </si>
  <si>
    <t>Photograph (photoprint)  8.4 cm x 5.2 cm</t>
  </si>
  <si>
    <t>View of MV "Manoora" taken from the pylon lookout on Sydney Harbour Bridge.</t>
  </si>
  <si>
    <t>MV Manoora (Ship);Harbors -- New South Wales -- Sydney</t>
  </si>
  <si>
    <t>b2114459x</t>
  </si>
  <si>
    <t>Stock transport truck</t>
  </si>
  <si>
    <t>Photograph  8.5 cm x 14.4 cm</t>
  </si>
  <si>
    <t>A stock transport truck parked in a paddock, with the driver standing beside it.</t>
  </si>
  <si>
    <t>b21145222</t>
  </si>
  <si>
    <t>H.R.G. sports car</t>
  </si>
  <si>
    <t>Photograph  11 cm x 6 cm</t>
  </si>
  <si>
    <t>H.R.G. sports car, number 12. The first H.R.G was imported into Australia late in 1947. Stan Jones raced in a H.R.G. at Nuriootpa and led in the under 1500 cc scratch race until forced to retire through overheating.</t>
  </si>
  <si>
    <t>Jones, Stan;Automobile racing -- South Australia -- Nuriootpa;Automobiles, Racing -- South Australia -- Nuriootpa</t>
  </si>
  <si>
    <t>Nuriootpa Collection</t>
  </si>
  <si>
    <t>b21145234</t>
  </si>
  <si>
    <t>B.M.W. 328 sports car</t>
  </si>
  <si>
    <t>B.M.W. sports car, at Nuriootpa, on 2nd January 1950, driven by Peter McKenna of Victoria. McKenna drove this sports car regularly at various circuits around Australia between 1949 and 1953.</t>
  </si>
  <si>
    <t>McKenna, Peter;Automobile racing -- South Australia -- Nuriootpa;Automobiles, Racing -- South Australia -- Nuriootpa</t>
  </si>
  <si>
    <t>b21145246</t>
  </si>
  <si>
    <t>Maybach Special sports car</t>
  </si>
  <si>
    <t>Maybach Special sports car, driven by H.C. (Charlie) Dean of Victoria, with a Fiat Topolino in the background. In the Nuriootpa race, overheating and braking problems forced its retirement.</t>
  </si>
  <si>
    <t>Dean, H. C.;Automobile racing -- South Australia -- Nuriootpa;Automobiles, Racing -- South Australia -- Nuriootpa</t>
  </si>
  <si>
    <t>b21145258</t>
  </si>
  <si>
    <t>Maybach Special sports car, driven by H.C. (Charlie) Dean of Victoria, being admired by spectators including a young child in a pith helmet.</t>
  </si>
  <si>
    <t>b2114526x</t>
  </si>
  <si>
    <t>Healey Elliot Saloon</t>
  </si>
  <si>
    <t>Healey Elliot Saloon, with a Nash Ambassador in the background, pictured at Nuriootpa.</t>
  </si>
  <si>
    <t>Automobile racing -- South Australia -- Nuriootpa</t>
  </si>
  <si>
    <t>b21145271</t>
  </si>
  <si>
    <t>Bugatti / Dodge sports car</t>
  </si>
  <si>
    <t>Bugati / Dodge sports car, number 23, driven by L.D. Robinson, of South Australia, at Nuriootpa.</t>
  </si>
  <si>
    <t>Robinson, L. D.;Automobile racing -- South Australia -- Nuriootpa;Automobiles, Racing -- South Australia -- Nuriootpa</t>
  </si>
  <si>
    <t>b21145283</t>
  </si>
  <si>
    <t>Ballot special sports car</t>
  </si>
  <si>
    <t>Spectators looking at a Ballot special sports car, number 25, owned by Jim Gullan of Victoria, at Nuriootpa.</t>
  </si>
  <si>
    <t>Gullan, Jim;Automobile racing -- South Australia -- Nuriootpa;Automobiles, Racing -- South Australia -- Nuriootpa</t>
  </si>
  <si>
    <t>b21145295</t>
  </si>
  <si>
    <t>Curran special sports car</t>
  </si>
  <si>
    <t>Spectators looking at a Curran special sports car, number 20, owned by D.E. Curran of Victoria, at Nuriootpa.</t>
  </si>
  <si>
    <t>Curran, D. E.;Automobile racing -- South Australia -- Nuriootpa;Automobiles, Racing -- South Australia -- Nuriootpa</t>
  </si>
  <si>
    <t>b21178549</t>
  </si>
  <si>
    <t>John Kubasiewicz</t>
  </si>
  <si>
    <t>Photograph (digital copy)  (original) 8 cm x 5.5 cm</t>
  </si>
  <si>
    <t>John Kubasiewicz at Chain of Ponds. The couple's first purchase was a camera which was used to take this photograph when Mr and Mrs Olsen took them to visit Chain of Ponds.</t>
  </si>
  <si>
    <t>Kubasiewicz, John</t>
  </si>
  <si>
    <t>b21178550</t>
  </si>
  <si>
    <t>Ruth Kubasiewicz</t>
  </si>
  <si>
    <t>Ruth Kubasiewicz at Chain of Ponds. The couple's first purchase was a camera which was used to take this photograph when Mr and Mrs Olsen took them to visit Chain of Ponds.</t>
  </si>
  <si>
    <t>Kubasiewicz, Ruth</t>
  </si>
  <si>
    <t>b21178562</t>
  </si>
  <si>
    <t>'Hellenic Prince' in Italy</t>
  </si>
  <si>
    <t>Photograph (digital copy)  (original) 10.7 cm x 16 cm</t>
  </si>
  <si>
    <t>A view of 'Hellenic Prince', an old transport ship from World War I. The Kubasiewiczs travelled to Australia on this ship, leaving from Naples, Italy, and arriving in Melbourne on Anzac Day, 25 April 1950 - 'a great day - we heard the national anthem for the first time'.</t>
  </si>
  <si>
    <t>Hellenic Prince (Ship)</t>
  </si>
  <si>
    <t>b21259732</t>
  </si>
  <si>
    <t>Magain, A. R., photographer</t>
  </si>
  <si>
    <t>Institute Building on North Terrace</t>
  </si>
  <si>
    <t>Photograph (35mm negative)</t>
  </si>
  <si>
    <t>View taken from the top of the Shell Building, looking east along North Terrace towards the Institute Building on the corner of Kintore Avenue and North Terrace. The War Memorial on the north-west corner can also be seen.</t>
  </si>
  <si>
    <t>Institute Building (Adelaide, S.A.);South Australian Institute -- Buildings;Historic buildings -- South Australia -- Adelaide</t>
  </si>
  <si>
    <t>b21259744</t>
  </si>
  <si>
    <t>View taken from the top of the Shell Building, looking east along North Terrace towards the Institute Building on the corner of Kintore Avenue and North Terrace.</t>
  </si>
  <si>
    <t>b21259756</t>
  </si>
  <si>
    <t>Government House on North Terrace</t>
  </si>
  <si>
    <t>View taken from the top of the Shell Building, looking north across North Terrace towards Government House.</t>
  </si>
  <si>
    <t>Government House (Adelaide, S.A.);Historic buildings -- South Australia -- Adelaide</t>
  </si>
  <si>
    <t>b21259768</t>
  </si>
  <si>
    <t>Parliament House on North Terrace</t>
  </si>
  <si>
    <t>View taken from the top of the Shell Building, looking south-west across the intersection of North Terrace and King William Road towards Parliament House. The tram tracks are clearly visible from this angle  a 'drop centre' tram stopped on King William Street shows the conductor looking out the window to check whether the passengers are all clear  a 'toast rack' tram is just entering North Terrace  and a maintenance truck carrying two men checking the overhead tram wires is a little distance down North Terrace.</t>
  </si>
  <si>
    <t>Parliament House (Adelaide, S.A.);Public buildings -- South Australia -- Adelaide;Historic buildings -- South Australia -- Adelaide;North Terrace (Adelaide, S.A.)</t>
  </si>
  <si>
    <t>b2125977x</t>
  </si>
  <si>
    <t>CML Building on King William Road</t>
  </si>
  <si>
    <t>A view of the CML Building on the corner of King William Road and Hindley Street, viewed from the top of the Shell Building on North Terrace.</t>
  </si>
  <si>
    <t>CML Building (Adelaide, S.A.);Historic buildings -- South Australia -- Adelaide</t>
  </si>
  <si>
    <t>b23153593</t>
  </si>
  <si>
    <t>Unveiling of King George V statue, North Adelaide</t>
  </si>
  <si>
    <t>Photograph (B&amp;W print)  29 cm x 24.5 cm on backing  40 cm x 30.5 cm;RESERVE 1 b</t>
  </si>
  <si>
    <t>Unveiling of bronze equestrian statue of King George V in Angas Gardens, North Adelaide (north side of Torrens River) by the Governor of SA Sir Willoughby Norrie on Anzac Day 1950. The sculptor was M. Lambert, A.R.A. and the pedestal made of Waikerie freestone and granite.</t>
  </si>
  <si>
    <t>Statues -- South Australia -- North Adelaide</t>
  </si>
  <si>
    <t>b26166057</t>
  </si>
  <si>
    <t>Wallaroo Cricket Club</t>
  </si>
  <si>
    <t>Photograph (B&amp;W print)  14.9 cm x 19.9 cm on mount 28.3 cm x 30.5 cm</t>
  </si>
  <si>
    <t>Wallaroo Cricket Club, premiers in 1949-1950 season. Names under photograph on mount.</t>
  </si>
  <si>
    <t>Cricket players -- South Australia -- Wallaroo</t>
  </si>
  <si>
    <t>Wallaroo Collection;Evans Collection</t>
  </si>
  <si>
    <t>b26166094</t>
  </si>
  <si>
    <t>Officers of 27th Infantry Battalion</t>
  </si>
  <si>
    <t>Photograph (B&amp;W print)  17.7 cm x 24.7 cm on mount 25 cm x 31.3 cm</t>
  </si>
  <si>
    <t>Officers of the 27th Infantry Battalion (S.A. Scottish Regiment) at Woodside in 1950. Ivor Evans is in back row, far left, and Keith Russack is 5th from left in back row. Reginald Byron Dollan is 2nd from right in the front row.</t>
  </si>
  <si>
    <t>Australia. Army. Battalion, 27th;Soldiers -- South Australia -- Woodside</t>
  </si>
  <si>
    <t>Woodside Collection;Evans Collection</t>
  </si>
  <si>
    <t>b28941160</t>
  </si>
  <si>
    <t>Small paddle steamer under way</t>
  </si>
  <si>
    <t>Negative (colour, copy)  35 mm;B 63241/110 RESERVE 1 negatives</t>
  </si>
  <si>
    <t>The PS 'Enterprise' in the 1970's, when owned by the Niehus family. Passengers are on both front and back decks. This photo is part of the Sheahan Collection which consists of 114 views depicting river craft and two steam boat captains, bridges, and locks on the Murray River in South Australia.</t>
  </si>
  <si>
    <t>Paddle steamers -- Murray River (N.S.W.- S.A.)</t>
  </si>
  <si>
    <t>Album Collection;Sheahan Collection</t>
  </si>
  <si>
    <t>b29215523</t>
  </si>
  <si>
    <t>Millicent Football Club</t>
  </si>
  <si>
    <t>Photograph (black and white print)  19.3 cm x 24.4 cm (print), 28.0 cm x 35.6 cm (mount);RESERVE 1 b;still image sti rdacontent;unmediated n rdamedia;sheet nb rdacarrier</t>
  </si>
  <si>
    <t>1950 Millicent Football Club A Grade team photo. Standing in the back row is W. Burdett, D. Stevens, A. Thompson, B. Donlon, R. Walker, N. McDonald, T. Walker, R. Bowman, H. Walter, J. Walker, R. Huezenroeder, D.Spehr. Middle row is B. Stanway, M. Attiwill, G. Templeton, J. Iron, J. Sullivan, J. Kain (Pres.), C. Sappiatzer (Sec.). Front row is R. Poole, G. Ray, N. Atkinson, C. Downs, &amp; F. Bateman.</t>
  </si>
  <si>
    <t>Australian football -- South Australia -- Millicent;Millicent (S.A.)</t>
  </si>
  <si>
    <t>Millicent Collection</t>
  </si>
  <si>
    <t>b30108202</t>
  </si>
  <si>
    <t>The Himalaya with tugboats</t>
  </si>
  <si>
    <t>1 photograph : acetate, negative, black and white   8.4 x 14.1 cm;RESERVE 1 a;still image sti rdacontent;unmediated n rdamedia;sheet nb rdacarrier</t>
  </si>
  <si>
    <t>Black and white photograph of the SS Himalaya approaching the dock at Port Adelaide, pulled by two tug boats with another to the side.</t>
  </si>
  <si>
    <t>Himalaya (Passenger ship);Passenger ships -- Australia -- History -- 20th century;Ocean Liners -- South Australia -- Port Adelaide</t>
  </si>
  <si>
    <t>Port Adelaide Collection.;Ship Collection</t>
  </si>
  <si>
    <t>b30108263</t>
  </si>
  <si>
    <t>Ocean liner with tugboat</t>
  </si>
  <si>
    <t>1 photograph : acetate, negative, black and white   7.9 x 14.1 cm;RESERVE 1 a;still image sti rdacontent;unmediated n rdamedia;sheet nb rdacarrier</t>
  </si>
  <si>
    <t>Black and white photograph of a passenger ship, assumed to be the SS Himalaya, being assisted by a tugboat to dock at Port Adelaide.</t>
  </si>
  <si>
    <t>Passenger ships -- Australia -- History -- 20th century;Ocean Liners -- South Australia -- Port Adelaide</t>
  </si>
  <si>
    <t>b20366346</t>
  </si>
  <si>
    <t>Commercial Road</t>
  </si>
  <si>
    <t>Photograph  19.9 cm x 15.4 cm</t>
  </si>
  <si>
    <t>Corner of Commercial Road and St. Vincent Street, Port Adelaide.</t>
  </si>
  <si>
    <t>b20920027</t>
  </si>
  <si>
    <t>Sir Ross Smith memorial</t>
  </si>
  <si>
    <t>Photograph (b&amp;w print)  20.2 cm x 14.4 cm;RESERVE 1 album</t>
  </si>
  <si>
    <t>No. 1346. Memorial to Sir Ross Smith. to commemorate the first successful flight by aeroplane from England to Australia, 1919.</t>
  </si>
  <si>
    <t>Smith, Ross Macpherson, Sir, 1892-1922 -- Monuments;Sir Ross Smith Memorial (Adelaide, S.A.)</t>
  </si>
  <si>
    <t>b20182120</t>
  </si>
  <si>
    <t>Mounted Police Barracks</t>
  </si>
  <si>
    <t>MOUNTED POLICE BARRACKS: Stairway in front of the Armoury.</t>
  </si>
  <si>
    <t>Mounted police -- South Australia -- Buildings</t>
  </si>
  <si>
    <t>Adelaide Views</t>
  </si>
  <si>
    <t>b20182132</t>
  </si>
  <si>
    <t>MOUNTED POLICE BARRACKS: Rooms on the eastern quadrangle which were used at one time by the University Women's Union. They were later used by the Art Gallery until they were demolished in 1960.</t>
  </si>
  <si>
    <t>Adelaide views</t>
  </si>
  <si>
    <t>b20182144</t>
  </si>
  <si>
    <t>MOUNTED POLICE BARRACKS: The chimney of one of the rooms used at one time by the University Women's Union.</t>
  </si>
  <si>
    <t>b20182156</t>
  </si>
  <si>
    <t>MOUNTED POLICE BARRACKS: Chimney on one of the buildings.</t>
  </si>
  <si>
    <t>b20182168</t>
  </si>
  <si>
    <t>MOUNTED POLICE BARRACKS: Looking north west from the rear of the eastern wing of the South Australian Museum.</t>
  </si>
  <si>
    <t>b20182478</t>
  </si>
  <si>
    <t>News and Mail, photographer</t>
  </si>
  <si>
    <t>Sturt Street School choir</t>
  </si>
  <si>
    <t>ACRE 547: Members of the Sturt Street School choir during a performance.</t>
  </si>
  <si>
    <t>Sturt Street Primary School;Choirs (Music) -- South Australia -- Adelaide</t>
  </si>
  <si>
    <t>Acre 547 Collection</t>
  </si>
  <si>
    <t>b20182624</t>
  </si>
  <si>
    <t>Teachers' Training College</t>
  </si>
  <si>
    <t>TEACHERS' TRAINING COLLEGE: Trainee teachers at the Teachers' Training College, Kintore Avenue Adelaide.</t>
  </si>
  <si>
    <t>Teachers -- South Australia -- Adelaide</t>
  </si>
  <si>
    <t>b20182636</t>
  </si>
  <si>
    <t>Ballantyne, Colin, 1908-1988, photographer</t>
  </si>
  <si>
    <t>ABC studio at Wayville</t>
  </si>
  <si>
    <t>WAYVILLE: Interior view of the ABC studio at Wayville. The control room can be seen on the left.</t>
  </si>
  <si>
    <t>Radio stations -- South Australia -- Wayville -- History</t>
  </si>
  <si>
    <t>Wayville Collection</t>
  </si>
  <si>
    <t>b20182648</t>
  </si>
  <si>
    <t>Thelma-Duryea Studios, photographer</t>
  </si>
  <si>
    <t>ABC studio Wayville</t>
  </si>
  <si>
    <t>WAYVILLE: Control booth of the ABC studio at Wayville.</t>
  </si>
  <si>
    <t>b2018265x</t>
  </si>
  <si>
    <t>WAYVILLE: Announcer's desk in the ABC studio at Wayville. The control booth is in the background.</t>
  </si>
  <si>
    <t>b20182661</t>
  </si>
  <si>
    <t>Residence in Linden Park</t>
  </si>
  <si>
    <t>LINDEN PARK: Residence in Linden Park.</t>
  </si>
  <si>
    <t>Architecture, Domestic -- South Australia -- Linden Park</t>
  </si>
  <si>
    <t>Linden Park Collection</t>
  </si>
  <si>
    <t>b20182673</t>
  </si>
  <si>
    <t>Apprentice printers at work</t>
  </si>
  <si>
    <t>Apprentice printers at work, location unknown.</t>
  </si>
  <si>
    <t>Printing industry -- South Australia;Apprentices -- South Australia</t>
  </si>
  <si>
    <t>b20182685</t>
  </si>
  <si>
    <t>Mount Burr saw mill</t>
  </si>
  <si>
    <t>MOUNT BURR: Men working in the Mount Burr sawmill.</t>
  </si>
  <si>
    <t>Sawmills -- South Australia -- Mount Burr</t>
  </si>
  <si>
    <t>Mount Burr Collection</t>
  </si>
  <si>
    <t>b20185947</t>
  </si>
  <si>
    <t>Heavitree Gap</t>
  </si>
  <si>
    <t>Photograph  21.1 cm x 13.9 cm</t>
  </si>
  <si>
    <t>A view of Heavitree Gap.</t>
  </si>
  <si>
    <t>b20185959</t>
  </si>
  <si>
    <t>Photograph  20.7 cm x 13.7 cm</t>
  </si>
  <si>
    <t>Heavitree Gap, Alice Springs.</t>
  </si>
  <si>
    <t>b20185960</t>
  </si>
  <si>
    <t>Memorial, Anzac Hill</t>
  </si>
  <si>
    <t>1 photograph : black and white   20.6 x 14.4 cm;still image sti rdacontent;unmediated n rdamedia;sheet nb rdacarrier</t>
  </si>
  <si>
    <t>The memorial on top of Anzac Hill, Alice Springs. The hills in the background are the eastern MacDonnell Ranges.</t>
  </si>
  <si>
    <t>War memorials -- Northern Territory -- Alice Springs;Monuments -- Northern Territory -- Alice Springs;Anzac Hill (N.T.)</t>
  </si>
  <si>
    <t>b20185972</t>
  </si>
  <si>
    <t>Alice Springs</t>
  </si>
  <si>
    <t>Photograph  21.2 cm x 13.2 cm</t>
  </si>
  <si>
    <t>Alice Springs: panoramic view.</t>
  </si>
  <si>
    <t>Alice Springs (N.T.)</t>
  </si>
  <si>
    <t>b20185984</t>
  </si>
  <si>
    <t>Photograph  21.3 cm x 13.3 cm</t>
  </si>
  <si>
    <t>b20185996</t>
  </si>
  <si>
    <t>Photograph  20.9 cm x 13.9 cm</t>
  </si>
  <si>
    <t>Alice Springs panoramic view. According to a researcher The photographer was standing on top of ANZAC HILL where the ANZAC Memorial stands he is facing towards the MacDonnell Ranges looking towards Gap Road which passes between the gap in the distant hills, which is a sacred place to the local Arrente people. It relates to the Eaglehawk dreaming, and the wings of the bird are represented by both sides of the distant range, as told to me by an Arrente Elder.</t>
  </si>
  <si>
    <t>b20186101</t>
  </si>
  <si>
    <t>Fogarty's Store, Alice Springs</t>
  </si>
  <si>
    <t>Premises of Fogarty's Store in Todd Street, Alice Springs. It was erected in 1950, closed in 1960 and sold to Ansett Airways.</t>
  </si>
  <si>
    <t>Stores, Retail -- Northern Territory -- Alice Springs</t>
  </si>
  <si>
    <t>b20186265</t>
  </si>
  <si>
    <t>Hallett Brickworks</t>
  </si>
  <si>
    <t>Photograph (b&amp;w print)  12.5 cm x 8.6 cm;RESERVE 1</t>
  </si>
  <si>
    <t>A view of Hallett Brickwork's chimney being erected.</t>
  </si>
  <si>
    <t>Hallett Brickworks (Allenby Gardens, S.A.);Building -- South Australia -- Allenby Gardens;Chimneys -- South Australia -- Allenby Gardens</t>
  </si>
  <si>
    <t>Allenby Gardens Collection</t>
  </si>
  <si>
    <t>b20186277</t>
  </si>
  <si>
    <t>Photograph (b&amp;w)  12.5 cm x 8.6 cm;RESERVE 1</t>
  </si>
  <si>
    <t>b20191431</t>
  </si>
  <si>
    <t>Cemetery, Arno Bay</t>
  </si>
  <si>
    <t>Photograph (b&amp;w print)  5.9 cm x 8.6 cm;C1</t>
  </si>
  <si>
    <t>General view of the Cemetery at Arno Bay.</t>
  </si>
  <si>
    <t>Cemeteries -- South Australia -- Arno Bay</t>
  </si>
  <si>
    <t>b20193245</t>
  </si>
  <si>
    <t>Councillors, Auburn</t>
  </si>
  <si>
    <t>Photograph  21 cm x 15.2 cm</t>
  </si>
  <si>
    <t>Group of District Councillors.</t>
  </si>
  <si>
    <t>b20193257</t>
  </si>
  <si>
    <t>Photograph  20.3 cm x 16 cm</t>
  </si>
  <si>
    <t>Mr. H. Allen and Mr. N. M. Burfield Councillors at Auburn.</t>
  </si>
  <si>
    <t>b20193269</t>
  </si>
  <si>
    <t>Photograph  20.9 cm x 15.5 cm</t>
  </si>
  <si>
    <t>Local District Councillors of Auburn looking at farm equipment.</t>
  </si>
  <si>
    <t>b20193270</t>
  </si>
  <si>
    <t>Photograph  20.7 cm x 14.4 cm</t>
  </si>
  <si>
    <t>Local District Councillors of Auburn dining out.</t>
  </si>
  <si>
    <t>Dinners and dining -- South Australia -- Auburn;Entertaining -- South Australia -- Auburn</t>
  </si>
  <si>
    <t>b20193300</t>
  </si>
  <si>
    <t>Auburn</t>
  </si>
  <si>
    <t>Photograph  21.2 cm x 15.8 cm</t>
  </si>
  <si>
    <t>Distant view.</t>
  </si>
  <si>
    <t>Auburn (S.A.)</t>
  </si>
  <si>
    <t>b20193312</t>
  </si>
  <si>
    <t>Road-Making, Auburn</t>
  </si>
  <si>
    <t>Photograph  21.8 cm x 14.8 cm</t>
  </si>
  <si>
    <t>Auburn Road Plant.</t>
  </si>
  <si>
    <t>Roads -- South Australia -- Auburn -- Design and construction</t>
  </si>
  <si>
    <t>b20193324</t>
  </si>
  <si>
    <t>Photograph  20.9 cm x 15.1 cm</t>
  </si>
  <si>
    <t>b20193336</t>
  </si>
  <si>
    <t>Photograph  21.4 cm x 15.5 cm</t>
  </si>
  <si>
    <t>b20193348</t>
  </si>
  <si>
    <t>Photograph  21 cm x 15.1 cm</t>
  </si>
  <si>
    <t>Auburn Council Grader.</t>
  </si>
  <si>
    <t>b2019335x</t>
  </si>
  <si>
    <t>Photograph  21.6 cm x 15.5 cm</t>
  </si>
  <si>
    <t>Auburn Council Road Plant.</t>
  </si>
  <si>
    <t>b20193609</t>
  </si>
  <si>
    <t>R.S.L. Club, Auburn</t>
  </si>
  <si>
    <t>Opening of the first R.S.L. Clubrooms, now demolished.</t>
  </si>
  <si>
    <t>b20193610</t>
  </si>
  <si>
    <t>R.S.L.Club, Auburn</t>
  </si>
  <si>
    <t>Opening of the first R.S.L. Clubrooms which are now demolished and new premises have been built.</t>
  </si>
  <si>
    <t>b20195382</t>
  </si>
  <si>
    <t>Barmera News Postcards, photographer</t>
  </si>
  <si>
    <t>Barmera Hotel</t>
  </si>
  <si>
    <t>Photograph (b&amp;w print)   8.9 cm x 14 cm;RESERVE 1</t>
  </si>
  <si>
    <t>Barmera Hotel, front view. Barmera News Postcards   no. 7.</t>
  </si>
  <si>
    <t>Hotel Barmera (Barmera, S.A.);Hotels -- South Australia -- Barmera</t>
  </si>
  <si>
    <t>b20195394</t>
  </si>
  <si>
    <t>Photograph (b&amp;w print)  7 cm x 11.4 cm;C1</t>
  </si>
  <si>
    <t>Barmera hotel, side view.</t>
  </si>
  <si>
    <t>Hotels -- South Australia -- Barmera</t>
  </si>
  <si>
    <t>b20198371</t>
  </si>
  <si>
    <t>Berri Hotel</t>
  </si>
  <si>
    <t>The Berri Hotel.</t>
  </si>
  <si>
    <t>Berri Hotel (Berri, S.A.);Hotels -- South Australia -- Berri</t>
  </si>
  <si>
    <t>Berri Collection</t>
  </si>
  <si>
    <t>b20198383</t>
  </si>
  <si>
    <t>Crossing the Murray, Berri</t>
  </si>
  <si>
    <t>Crossing the River Murray on the punt at Berri.</t>
  </si>
  <si>
    <t>Ferries -- South Australia -- Berri;Murray River (N.S.W.- S.A.)</t>
  </si>
  <si>
    <t>b20203159</t>
  </si>
  <si>
    <t>Tatiara Hotel, Bordertown</t>
  </si>
  <si>
    <t>Photograph  20.5 cm x 13 cm</t>
  </si>
  <si>
    <t>Tatiara Hotel.</t>
  </si>
  <si>
    <t>Tatiara Hotel (Bordertown, S.A.);Hotels -- South Australia -- Bordertown</t>
  </si>
  <si>
    <t>Bordertown Collection</t>
  </si>
  <si>
    <t>b20203160</t>
  </si>
  <si>
    <t>Bordertown Hotel</t>
  </si>
  <si>
    <t>Photograph  20.5 cm x 14 cm</t>
  </si>
  <si>
    <t>Bordertown Hotel.</t>
  </si>
  <si>
    <t>Bordertown Hotel (Bordertown, S.A.);Hotels -- South Australia -- Bordertown</t>
  </si>
  <si>
    <t>b20203433</t>
  </si>
  <si>
    <t>Bower Cricket Club</t>
  </si>
  <si>
    <t>Members of Bower Cricket Club.</t>
  </si>
  <si>
    <t>Cricket -- South Australia -- Bower</t>
  </si>
  <si>
    <t>b20204905</t>
  </si>
  <si>
    <t>Wildlife at Brighton Beach</t>
  </si>
  <si>
    <t>Photograph (b&amp;w print)  11 cm x 14.7 cm;C1</t>
  </si>
  <si>
    <t>Scene at Brighton showing two boys with a camel and a young elephant.</t>
  </si>
  <si>
    <t>Camels -- South Australia -- Brighton;Elephants -- South Australia -- Brighton</t>
  </si>
  <si>
    <t>Brighton Collection</t>
  </si>
  <si>
    <t>b20204978</t>
  </si>
  <si>
    <t>St Jude's, Brighton</t>
  </si>
  <si>
    <t>Photograph (b&amp;w print)  21.5 cm x 16.5 cm;C1</t>
  </si>
  <si>
    <t>Choirboys of St. Jude's Church.</t>
  </si>
  <si>
    <t>St. Jude's Church (Brighton, S.A.);Choirboys -- South Australia -- Brighton</t>
  </si>
  <si>
    <t>b20206525</t>
  </si>
  <si>
    <t>"Attunga", Burnside</t>
  </si>
  <si>
    <t>Photograph (b&amp;w print)  12.7 cm x 17.9 cm;C1</t>
  </si>
  <si>
    <t>Official opening of "Attunga" as Burnside War Memorial Hospital : Miss Gertrude Engelhart, niece to the late Otto Von Rieben is in the wheelchair. The party includes Sir Willoughby and Lady Norrie and the Premier T. Playford.</t>
  </si>
  <si>
    <t>Norrie, Patricia, Lady;Englehart, Gertrude;Playford, Thomas, Sir, 1896-1981;Norrie, Willoughby, Sir, 1893-1977;Attunga (House : Toorak Gardens, S.A.);Burnside War Memorial Hospital (Toorak Gardens, S.A.);Hospitals -- South Australia -- Burnside</t>
  </si>
  <si>
    <t>Burnside Collection</t>
  </si>
  <si>
    <t>b20214984</t>
  </si>
  <si>
    <t>Car wreck, Clarendon</t>
  </si>
  <si>
    <t>Photograph  14 cm x 9.1 cm</t>
  </si>
  <si>
    <t>Remains of a car having plunged from Clarendon bridge.</t>
  </si>
  <si>
    <t>Traffic accidents -- South Australia -- Clarendon</t>
  </si>
  <si>
    <t>Clarendon Collection</t>
  </si>
  <si>
    <t>b20214996</t>
  </si>
  <si>
    <t>Photograph  14.4 cm x 8.4 cm</t>
  </si>
  <si>
    <t>Car having plunged from Clarendon bridge.</t>
  </si>
  <si>
    <t>b20215009</t>
  </si>
  <si>
    <t>Photograph  14.2 cm x 8.3 cm</t>
  </si>
  <si>
    <t>b20215010</t>
  </si>
  <si>
    <t>Pumping Station Site</t>
  </si>
  <si>
    <t>Site for pumping station by the Weir.</t>
  </si>
  <si>
    <t>b20215034</t>
  </si>
  <si>
    <t>War Memorial, Clarendon</t>
  </si>
  <si>
    <t>War memorial.</t>
  </si>
  <si>
    <t>Monuments -- South Australia -- Clarendon;War memorials -- South Australia -- Clarendon</t>
  </si>
  <si>
    <t>b20215046</t>
  </si>
  <si>
    <t>Photograph  14.4 cm x 8.1 cm</t>
  </si>
  <si>
    <t>b20215058</t>
  </si>
  <si>
    <t>Photograph  14.2 cm x 8 cm</t>
  </si>
  <si>
    <t>b20215101</t>
  </si>
  <si>
    <t>Methodist Church, Clarendon</t>
  </si>
  <si>
    <t>Photograph  14.8 cm x 7.9 cm</t>
  </si>
  <si>
    <t>CLARENDON: Celebration of the centenary of Methodism in Clarendon, 21st October 1951  crowds outside the Clarendon Methodist Church, with parked cars.</t>
  </si>
  <si>
    <t>Clarendon Methodist Church (S.A.) -- Centennial celebrations, etc.;Automobiles -- South Australia -- Clarendon;Church architecture -- South Australia -- Clarendon;Methodist Church -- South Australia -- Clarendon</t>
  </si>
  <si>
    <t>b20215137</t>
  </si>
  <si>
    <t>Tea Rooms, Clarendon</t>
  </si>
  <si>
    <t>Photograph  14.3 cm x 8.7 cm</t>
  </si>
  <si>
    <t>Chase's Tea Rooms.</t>
  </si>
  <si>
    <t>b20215149</t>
  </si>
  <si>
    <t>Photograph  14.2 cm x 9.1 cm</t>
  </si>
  <si>
    <t>Interior of Chase's Tea Rooms.</t>
  </si>
  <si>
    <t>b20215162</t>
  </si>
  <si>
    <t>Photograph  14.2 cm x 8.4 cm</t>
  </si>
  <si>
    <t>Methodist Church - Children and teachers standing outside the Church.</t>
  </si>
  <si>
    <t>b20215186</t>
  </si>
  <si>
    <t>The Parsonage, Clarendon</t>
  </si>
  <si>
    <t>Photograph  14.1 cm x 8.7 cm</t>
  </si>
  <si>
    <t>The Parsonage, built in 1858 on land given by Mr. E. Burgess.</t>
  </si>
  <si>
    <t>Parsonages -- South Australia -- Clarendon</t>
  </si>
  <si>
    <t>b20218795</t>
  </si>
  <si>
    <t>Lighthouse, Corny Point</t>
  </si>
  <si>
    <t>Photograph  20.3 cm x 16.2 cm</t>
  </si>
  <si>
    <t>Lighthouse.</t>
  </si>
  <si>
    <t>Corny Point Lighthouse (Corny Point, S.A.);Lighthouses -- South Australia -- Corny Point</t>
  </si>
  <si>
    <t>Corny Point Collection</t>
  </si>
  <si>
    <t>b20221733</t>
  </si>
  <si>
    <t>Fire at Croydon</t>
  </si>
  <si>
    <t>Photograph  20.7 cm x 12.3 cm</t>
  </si>
  <si>
    <t>Port Rd., North side: store fire.</t>
  </si>
  <si>
    <t>Fires -- South Australia -- Croydon;Stores, Retail -- South Australia -- Croydon</t>
  </si>
  <si>
    <t>Croydon Collection</t>
  </si>
  <si>
    <t>b20221745</t>
  </si>
  <si>
    <t>Photograph  20.9 cm x 12.3 cm</t>
  </si>
  <si>
    <t>b20221757</t>
  </si>
  <si>
    <t>Photograph  20.8 cm x 12.7 cm</t>
  </si>
  <si>
    <t>b20221769</t>
  </si>
  <si>
    <t>Photograph  20.9 cm x 12.7 cm</t>
  </si>
  <si>
    <t>Port Rd., North side  store fire.</t>
  </si>
  <si>
    <t>b20227553</t>
  </si>
  <si>
    <t>Cape du Couedic</t>
  </si>
  <si>
    <t>The Remarkable Rocks at Cape du Couedic.</t>
  </si>
  <si>
    <t>Du Couedic, Cape Collection</t>
  </si>
  <si>
    <t>b20227565</t>
  </si>
  <si>
    <t>The Remarkable Rocks at Cape du Couedic - one of the smaller rocks (20 ft.) showing weathering.</t>
  </si>
  <si>
    <t>b20227577</t>
  </si>
  <si>
    <t>Cape du Couedic Lighthouse</t>
  </si>
  <si>
    <t>Cape du Couedic Lighthouse.</t>
  </si>
  <si>
    <t>Lighthouses -- South Australia -- Du Couedic, Cape</t>
  </si>
  <si>
    <t>b20227589</t>
  </si>
  <si>
    <t>Cape du Coeudic</t>
  </si>
  <si>
    <t>Casuarina or Brothers Rocks at Cape du Couedic.</t>
  </si>
  <si>
    <t>b20227590</t>
  </si>
  <si>
    <t>Cape du Couedic: Lighthouse and outbuildings.</t>
  </si>
  <si>
    <t>b20227607</t>
  </si>
  <si>
    <t>Cape du Codeuic Lighthouse</t>
  </si>
  <si>
    <t>Cape du Codeuic: Lighthouse.</t>
  </si>
  <si>
    <t>b20237224</t>
  </si>
  <si>
    <t>Collyer, H. C. D. (Herbert Charles Duncan), 1872-1955</t>
  </si>
  <si>
    <t>Gawler</t>
  </si>
  <si>
    <t>Photograph (b&amp;w print)  16.5 cm x 19.5 cm;C1</t>
  </si>
  <si>
    <t>Old Post Office and Telegraph Office the base for the original Adelaide to Darwin telegraph line.</t>
  </si>
  <si>
    <t>Post office buildings -- South Australia -- Gawler</t>
  </si>
  <si>
    <t>Gawler Collection</t>
  </si>
  <si>
    <t>b2023725x</t>
  </si>
  <si>
    <t>Martindale House, Gawler</t>
  </si>
  <si>
    <t>Martindale House after renovation.</t>
  </si>
  <si>
    <t>Martindale House (Gawler, S.A.);Architecture -- South Australia -- Gawler</t>
  </si>
  <si>
    <t>b20237431</t>
  </si>
  <si>
    <t>Clothing factory, Gawler</t>
  </si>
  <si>
    <t>Photograph (b&amp;w print)  16.5 cm x 20.2 cm;C1</t>
  </si>
  <si>
    <t>Inside the "Timer" clothing factory showing women at work.</t>
  </si>
  <si>
    <t>Clothing factories -- South Australia -- Gawler;Women -- South Australia -- Gawler</t>
  </si>
  <si>
    <t>b20237443</t>
  </si>
  <si>
    <t>Bunyip Press, Gawler</t>
  </si>
  <si>
    <t>Photograph (b&amp;w print)  16.5 cm x 19.1 cm;C1</t>
  </si>
  <si>
    <t>A view of Bunyip Press printing machinery, produced 1400 copies per hour  sold for scrap metal in about 1981.</t>
  </si>
  <si>
    <t>Printing-press -- South Australia -- Gawler</t>
  </si>
  <si>
    <t>b20242785</t>
  </si>
  <si>
    <t>Glenelg</t>
  </si>
  <si>
    <t>Photograph  20.7 cm x 15.5 cm</t>
  </si>
  <si>
    <t>Traffic on Jetty Road : No publication without R. Barrett's permission.</t>
  </si>
  <si>
    <t>Glenelg Collection</t>
  </si>
  <si>
    <t>b2024387x</t>
  </si>
  <si>
    <t>Toll House at Glen Osmond</t>
  </si>
  <si>
    <t>Photograph  20.3 cm x 14.9 cm</t>
  </si>
  <si>
    <t>Toll-Bar House at Glen Osmond.</t>
  </si>
  <si>
    <t>Old Toll House (Glen Osmond, S.A.);Glen Osmond (S.A.) -- Buildings, structures, etc.</t>
  </si>
  <si>
    <t>b20244368</t>
  </si>
  <si>
    <t>Photograph  24.5 cm x 19.4 cm</t>
  </si>
  <si>
    <t>Toll House and gate, Glen Osmond - tolls were instituted in 1841 to help pay for the new road to Mt. Barker and ceased in 1847. The hexagonal toll house was designed to be as comfortable as possible for the tollkeeper who lived there. There was space for a vegetable garden. Various tolls were established for all the traffic which included coach, chariot, chaise, gig, hearse, waggon and dray</t>
  </si>
  <si>
    <t>b20248349</t>
  </si>
  <si>
    <t>The Goolwa Hotel</t>
  </si>
  <si>
    <t>Photograph  13.2 cm x 8.5 cm</t>
  </si>
  <si>
    <t>The Goolwa Hotel.</t>
  </si>
  <si>
    <t>Goolwa Hotel (Goolwa, S.A.);Hotels -- South Australia -- Goolwa</t>
  </si>
  <si>
    <t>Goolwa Collection</t>
  </si>
  <si>
    <t>b20248647</t>
  </si>
  <si>
    <t>P. S. Captain Sturt, Goolwa</t>
  </si>
  <si>
    <t>Photograph (b&amp;w print)  9.8 cm x 16 cm;C1</t>
  </si>
  <si>
    <t>Paddle steamer 'Captain Sturt' at Goolwa.</t>
  </si>
  <si>
    <t>Captain Sturt (Paddle steamer);Paddle steamers -- South Australia -- Goolwa</t>
  </si>
  <si>
    <t>b20248659</t>
  </si>
  <si>
    <t>P. S. "Captain Sturt", Goolwa</t>
  </si>
  <si>
    <t>Paddle Steamer "Captain Sturt" at Goolwa.</t>
  </si>
  <si>
    <t>b20252389</t>
  </si>
  <si>
    <t>Lifeboat at Grindal Island</t>
  </si>
  <si>
    <t>Photograph  15.5 cm x 11 cm</t>
  </si>
  <si>
    <t>The lifeboat, "City of Adelaide " at Grindal Island.</t>
  </si>
  <si>
    <t>City of Adelaide (Lifeboat);Lifeboats -- South Australia -- Grindal Island</t>
  </si>
  <si>
    <t>Grindal Island Collection</t>
  </si>
  <si>
    <t>b20255743</t>
  </si>
  <si>
    <t>Carting cocky chaff</t>
  </si>
  <si>
    <t>Carting cocky chaff at Hammond.</t>
  </si>
  <si>
    <t>Agricultural laborers -- South Australia -- Hammond;Country life -- South Australia -- Hammond</t>
  </si>
  <si>
    <t>Hammond Collection</t>
  </si>
  <si>
    <t>b20255755</t>
  </si>
  <si>
    <t>Bullock team at Hammond</t>
  </si>
  <si>
    <t>Photograph  21 cm x 12.5 cm</t>
  </si>
  <si>
    <t>Bullock team at Hammond.</t>
  </si>
  <si>
    <t>Oxen -- South Australia -- Hammond</t>
  </si>
  <si>
    <t>b20263454</t>
  </si>
  <si>
    <t>Kadina</t>
  </si>
  <si>
    <t>J. H. Rosewarne's store, Graves Street.</t>
  </si>
  <si>
    <t>J. H. Rosewarne (Firm);Service stations -- South Australia -- Kadina</t>
  </si>
  <si>
    <t>b20264549</t>
  </si>
  <si>
    <t>Southwest River.</t>
  </si>
  <si>
    <t>b20264550</t>
  </si>
  <si>
    <t>Homestead, Kangaroo Island</t>
  </si>
  <si>
    <t>Right to left: Rocky River Homestead, Old Homestead &amp; Mailman's Hut.</t>
  </si>
  <si>
    <t>b20264574</t>
  </si>
  <si>
    <t>Mouth of the Western River.</t>
  </si>
  <si>
    <t>b20264586</t>
  </si>
  <si>
    <t>Original Homestead at Snug Cove.</t>
  </si>
  <si>
    <t>b20264598</t>
  </si>
  <si>
    <t>Snug Cove.</t>
  </si>
  <si>
    <t>b20265505</t>
  </si>
  <si>
    <t>Flinders Chase, Kangaroo Is</t>
  </si>
  <si>
    <t>Photograph (b&amp;w print)  19.7 cm x 23.6 cm;RESERVE 1</t>
  </si>
  <si>
    <t>Group at Flinders Chase National Park &amp; members of a Faura Committee.</t>
  </si>
  <si>
    <t>National parks and reserves -- South Australia -- Kangaroo Island;Flinders Chase National Park (S.A.)</t>
  </si>
  <si>
    <t>b2027242x</t>
  </si>
  <si>
    <t>Railway Station, Kilkenny</t>
  </si>
  <si>
    <t>Photograph  8.7 cm x 8.5 cm</t>
  </si>
  <si>
    <t>The Railway Station at Kilkenny.</t>
  </si>
  <si>
    <t>Railroad stations -- South Australia -- Kilkenny</t>
  </si>
  <si>
    <t>Kilkenny Collection</t>
  </si>
  <si>
    <t>b20274865</t>
  </si>
  <si>
    <t>Marchant Studios, photographer</t>
  </si>
  <si>
    <t>Crown Hotel, Kingston</t>
  </si>
  <si>
    <t>Photograph (b&amp;w print)   9 cm x 14.2 cm;C1</t>
  </si>
  <si>
    <t>Crown Hotel.</t>
  </si>
  <si>
    <t>Crown Hotel (Kingston, S.A.);Hotels -- South Australia -- Kingston</t>
  </si>
  <si>
    <t>b20279243</t>
  </si>
  <si>
    <t>Mining Coal, Leigh Creek</t>
  </si>
  <si>
    <t>Photograph  20.6 cm x 13.7 cm</t>
  </si>
  <si>
    <t>Mining coal at Leigh Creek.</t>
  </si>
  <si>
    <t>Mines and mineral Resources -- South Australia -- Leigh Creek</t>
  </si>
  <si>
    <t>b20279255</t>
  </si>
  <si>
    <t>Leigh Creek</t>
  </si>
  <si>
    <t>Photograph  20.6 cm x 14.2 cm</t>
  </si>
  <si>
    <t>Leigh Creek: general view.</t>
  </si>
  <si>
    <t>Leigh Creek (S.A.)</t>
  </si>
  <si>
    <t>b20279267</t>
  </si>
  <si>
    <t>Photograph  20.8 cm x 13.5 cm</t>
  </si>
  <si>
    <t>Mine buildings at Leigh Creek.</t>
  </si>
  <si>
    <t>Mines and mineral resources -- South Australia -- Leigh Creek</t>
  </si>
  <si>
    <t>b20279279</t>
  </si>
  <si>
    <t>Coal Mine, Leigh Creek</t>
  </si>
  <si>
    <t>Photograph  20.6 cm x 13.9 cm</t>
  </si>
  <si>
    <t>Working the coal mine at Leigh Creek.</t>
  </si>
  <si>
    <t>b20279280</t>
  </si>
  <si>
    <t>Photograph  20.7 cm x 13.6 cm</t>
  </si>
  <si>
    <t>b20280749</t>
  </si>
  <si>
    <t>Salt lake works, Lochiel</t>
  </si>
  <si>
    <t>Salt heap and outbuildings at the Salt Lake Works - Note: no copying without permission of the donor.</t>
  </si>
  <si>
    <t>Salt industry and trade -- South Australia -- Lochiel</t>
  </si>
  <si>
    <t>Lochiel Collection</t>
  </si>
  <si>
    <t>b20280750</t>
  </si>
  <si>
    <t>Railway carriages and outbuildings at the Salt lake works - Note: no copying without permission of the donor.</t>
  </si>
  <si>
    <t>b20280762</t>
  </si>
  <si>
    <t>Salt lake works outbuildings - note: no copying without permission from the donor.</t>
  </si>
  <si>
    <t>b20280774</t>
  </si>
  <si>
    <t>Salt lake works. Lochiel</t>
  </si>
  <si>
    <t>Outbuildings at the Salt lake works - note: no copying without permission from the donor.</t>
  </si>
  <si>
    <t>b20280786</t>
  </si>
  <si>
    <t>Salt lake, Lochiel</t>
  </si>
  <si>
    <t>Panoramic view of the Salt lake - Note: no copying without permission of the donor.</t>
  </si>
  <si>
    <t>Salt -- South Australia -- Lochiel</t>
  </si>
  <si>
    <t>b20280798</t>
  </si>
  <si>
    <t>Panoramic view of the Salt lake. Note: no copying without permission of the donor.</t>
  </si>
  <si>
    <t>b20280804</t>
  </si>
  <si>
    <t>Salt lake - Note: no copying without permission from the donor.</t>
  </si>
  <si>
    <t>b20280816</t>
  </si>
  <si>
    <t>Salt mount, Lochiel</t>
  </si>
  <si>
    <t>Salt mount - Note: no copying without permission from the donor.</t>
  </si>
  <si>
    <t>b20280828</t>
  </si>
  <si>
    <t>Salt heaps, Lochiel</t>
  </si>
  <si>
    <t>Salt lake - trucks carrying and loading salt bags from the heaps. Note: no copying without permission from the donor.</t>
  </si>
  <si>
    <t>b20280920</t>
  </si>
  <si>
    <t>Glasshouses, Lockleys</t>
  </si>
  <si>
    <t>C1   Missing from folder 10/2008;Photograph (b&amp;w print)  16x21cm</t>
  </si>
  <si>
    <t>View of tomato greenhouses.</t>
  </si>
  <si>
    <t>Lockleys Collection</t>
  </si>
  <si>
    <t>b20286673</t>
  </si>
  <si>
    <t>Aircraft at Mallala</t>
  </si>
  <si>
    <t>Photograph  21.1 cm x 13.1cm</t>
  </si>
  <si>
    <t>Aircraft at Mallala: at the extreme left is a Bristol freighter, Mustangs are in the foreground, behind them is a Avro Lancaster.</t>
  </si>
  <si>
    <t>Bristol airplanes;Valiant (Jet bomber);Mustang (Fighter planes);Avro airplanes;Airplanes -- South Australia -- Mallala</t>
  </si>
  <si>
    <t>Mallala Collection</t>
  </si>
  <si>
    <t>b20286685</t>
  </si>
  <si>
    <t>Photograph  21.1 cm x 12.7 cm</t>
  </si>
  <si>
    <t>Aircraft at Mallala. A Vickers Valiant is in the air  the three to the left are probably Mustangs  the three to the right are two Wirraways and one Winjeel. No publication without permission. See Library Staff.</t>
  </si>
  <si>
    <t>Wirraway (Training plane);Winjeel (Training plane);Valiant (Jet bomber);Airplanes -- South Australia -- Mallala</t>
  </si>
  <si>
    <t>b2028696x</t>
  </si>
  <si>
    <t>Mount Bluff, Mannahill</t>
  </si>
  <si>
    <t>Photograph (sepia print)   6.3 cm x 8.6 cm;RESERVE 1</t>
  </si>
  <si>
    <t>Mount Bluff at Mannahill.</t>
  </si>
  <si>
    <t>Bluff, Mount (S.A.)</t>
  </si>
  <si>
    <t>Mannahill Collection</t>
  </si>
  <si>
    <t>b20289339</t>
  </si>
  <si>
    <t>Photograph  12 cm x 8.5 cm</t>
  </si>
  <si>
    <t>The Railway Station at an unknown location.</t>
  </si>
  <si>
    <t>Railroad stations -- South Australia</t>
  </si>
  <si>
    <t>b20292612</t>
  </si>
  <si>
    <t>Store at Middleton</t>
  </si>
  <si>
    <t>View of O. W. Hughes' store.</t>
  </si>
  <si>
    <t>Stores, Retail -- South Australia -- Middleton</t>
  </si>
  <si>
    <t>Middleton Collection</t>
  </si>
  <si>
    <t>b20294256</t>
  </si>
  <si>
    <t>Millicent, Cellulose Mill</t>
  </si>
  <si>
    <t>Photograph  20.2 cm x 15.7 cm</t>
  </si>
  <si>
    <t>Millicent, Cellulose Mill where wood is pulped for the production of paper.</t>
  </si>
  <si>
    <t>Cellulose;Pulp mills -- South Australia -- Millicent</t>
  </si>
  <si>
    <t>b20296964</t>
  </si>
  <si>
    <t>Tram terminus, Mitcham</t>
  </si>
  <si>
    <t>Photograph  20 cm x 13.5 cm</t>
  </si>
  <si>
    <t>Tram terminus, corner of Albert and High Streets, Mitcham. This is Mitcham tram terminus with F class tram 220. The fleet number above the front destination indicator shows that is post-war  the image was likely to have been created in the 1950s, prior to the closure of the Mitcham route in July 1958.</t>
  </si>
  <si>
    <t>Trams -- South Australia -- Mitcham</t>
  </si>
  <si>
    <t>Mitcham Collection</t>
  </si>
  <si>
    <t>b20298717</t>
  </si>
  <si>
    <t>Residents of Moculta</t>
  </si>
  <si>
    <t>Photograph (b&amp;w print)   12.5 cm x 16.7 cm;C1</t>
  </si>
  <si>
    <t>Residents of Moculta  l-r: Mr. Fowler  Dick Schliebs  Percy Fowler  Les Sabel.</t>
  </si>
  <si>
    <t>Fowler, Mr;Fowler, Percy;Sabel, Les;Schliebs, Dick;Men -- South Australia -- Moculta</t>
  </si>
  <si>
    <t>b20298882</t>
  </si>
  <si>
    <t>Photograph (b&amp;w print)  17.5 cm x 12.5 cm;C1</t>
  </si>
  <si>
    <t>Local residents of Moculta.</t>
  </si>
  <si>
    <t>Schilling, Paul;Linke, Fred;Klemm, Paul;Bartsch, Gordon;Men -- South Australia -- Moculta</t>
  </si>
  <si>
    <t>b20299060</t>
  </si>
  <si>
    <t>Shannon House at Moculta</t>
  </si>
  <si>
    <t>Photograph (b&amp;w print)  13 cm x 19 cm;C1</t>
  </si>
  <si>
    <t>The Shannon family home at Moculta.</t>
  </si>
  <si>
    <t>Shannon (Family);Architecture, Domestic -- South Australia -- Moculta</t>
  </si>
  <si>
    <t>b20299072</t>
  </si>
  <si>
    <t>Shannon property barn</t>
  </si>
  <si>
    <t>Photograph (b&amp;w print)  12.6 cm x 19.1 cm;C1</t>
  </si>
  <si>
    <t>A barn on the Shannon property at Moculta.</t>
  </si>
  <si>
    <t>Shannon (Family);Farms -- South Australia -- Moculta;Barns -- South Australia -- Moculta</t>
  </si>
  <si>
    <t>b20300001</t>
  </si>
  <si>
    <t>Stables, Moculta</t>
  </si>
  <si>
    <t>Photograph (b&amp;w print)  15 cm x 18.2 cm;C1</t>
  </si>
  <si>
    <t>Shannon's Stables  -  "A relic of the past".</t>
  </si>
  <si>
    <t>Stables -- South Australia -- Moculta</t>
  </si>
  <si>
    <t>b20300487</t>
  </si>
  <si>
    <t>Picking grapes, Moculta</t>
  </si>
  <si>
    <t>Photograph (b&amp;w print)  14.5 cm x 21.5 cm;C1</t>
  </si>
  <si>
    <t>Picking grapes.</t>
  </si>
  <si>
    <t>Viticulture -- South Australia -- Moculta</t>
  </si>
  <si>
    <t>b20301480</t>
  </si>
  <si>
    <t>Borrow, K. T. (Keith Travers), 1917-2005, photographer</t>
  </si>
  <si>
    <t>Moomba Aboriginal Group</t>
  </si>
  <si>
    <t>MOOMBA: Moomba Aboriginal group.</t>
  </si>
  <si>
    <t>Aboriginal Australians -- South Australia -- Moomba</t>
  </si>
  <si>
    <t>Moomba Collection</t>
  </si>
  <si>
    <t>b20306970</t>
  </si>
  <si>
    <t>Pipeline construction, Morgan</t>
  </si>
  <si>
    <t>Men working on laying the first pipeline to Morgan.</t>
  </si>
  <si>
    <t>Water-pipes -- South Australia -- Morgan</t>
  </si>
  <si>
    <t>Morgan Collection</t>
  </si>
  <si>
    <t>b20308723</t>
  </si>
  <si>
    <t>Fire Station and fire truck, Mount Barker</t>
  </si>
  <si>
    <t>Photograph &amp; neg  16 cm x 12 cm</t>
  </si>
  <si>
    <t>Fire Station and appliance at Mount Barker. A researcher has added that the vehicle is an International, which was built by Harold Ghericke of Mount Barker around 1950. After decommissioning it was purchased and restored by David Chapman and is now [2013] on permanent loan to the Adelaide Hills Motor Restorers Club based at Mount Barker.</t>
  </si>
  <si>
    <t>Fire engines -- South Australia -- Mount Barker</t>
  </si>
  <si>
    <t>Mount Barker Collection</t>
  </si>
  <si>
    <t>b20309235</t>
  </si>
  <si>
    <t>Mount Bold Reservoir</t>
  </si>
  <si>
    <t>Photograph (b&amp;w print)  8.5 cm x 13.5 cm;C1</t>
  </si>
  <si>
    <t>Spillway at Mount Bold Reservoir.</t>
  </si>
  <si>
    <t>Reservoirs -- South Australia -- Bold, Mount</t>
  </si>
  <si>
    <t>Mount Bold Collection</t>
  </si>
  <si>
    <t>b20314991</t>
  </si>
  <si>
    <t>Old Home, Mount Gambier</t>
  </si>
  <si>
    <t>Photograph  13.7 cm x 8.9 cm</t>
  </si>
  <si>
    <t>Old Home, Mount Gambier.</t>
  </si>
  <si>
    <t>Cottages -- South Australia -- Mount Gambier</t>
  </si>
  <si>
    <t>b20316598</t>
  </si>
  <si>
    <t>Soldier's Memorial Mount Gambier</t>
  </si>
  <si>
    <t>Soldier's Memorial, Mount Gambier.</t>
  </si>
  <si>
    <t>b20316975</t>
  </si>
  <si>
    <t>Soldiers at Mount Gambier</t>
  </si>
  <si>
    <t>Neg. &amp; photograph  20.2 cm x 15.2 cm</t>
  </si>
  <si>
    <t>'A' Company Royal S.A. Regiment : No copying without the permission of the donor.</t>
  </si>
  <si>
    <t>b20320073</t>
  </si>
  <si>
    <t>Commercial St. Mount Gambier</t>
  </si>
  <si>
    <t>Photograph (b&amp;w print)  7 cm x 9 cm;C1</t>
  </si>
  <si>
    <t>Commercial street, Mount Gambier.</t>
  </si>
  <si>
    <t>b20320085</t>
  </si>
  <si>
    <t>Blue Lake, Mount Gambier</t>
  </si>
  <si>
    <t>Blue Lake.</t>
  </si>
  <si>
    <t>b20320097</t>
  </si>
  <si>
    <t>Valley Lakes, Mount Gambier</t>
  </si>
  <si>
    <t>Valley and Brown Lakes.</t>
  </si>
  <si>
    <t>b20320103</t>
  </si>
  <si>
    <t>Cave Gardens, Mount Gambier</t>
  </si>
  <si>
    <t>Cave Gardens and Jens Hotel at Mount Gambier.</t>
  </si>
  <si>
    <t>Jen's Hotel (Mount Gambier, S.A.);Gardens -- South Australia -- Mount Gambier;Hotels -- South Australia -- Mount Gambier;Cave Garden (Mount Gambier, S.A.)</t>
  </si>
  <si>
    <t>b20320115</t>
  </si>
  <si>
    <t>b20320127</t>
  </si>
  <si>
    <t>Leg of Mutton Lake at Mount Gambier.</t>
  </si>
  <si>
    <t>b20320139</t>
  </si>
  <si>
    <t>Town cave and gardens at Mount Gambier.</t>
  </si>
  <si>
    <t>b20320140</t>
  </si>
  <si>
    <t>The Lakes Road, Mount Gambier</t>
  </si>
  <si>
    <t>The Lakes Road at Mount Gambier.</t>
  </si>
  <si>
    <t>b20323736</t>
  </si>
  <si>
    <t>Railway station, Mt. Lofty</t>
  </si>
  <si>
    <t>Photograph in a folder  13.8 cm x 7.9 cm</t>
  </si>
  <si>
    <t>Railway station.</t>
  </si>
  <si>
    <t>Railroad stations -- South Australia -- Lofty, Mount</t>
  </si>
  <si>
    <t>Mount Lofty Collection</t>
  </si>
  <si>
    <t>b20326749</t>
  </si>
  <si>
    <t>Swimming at Murray Bridge</t>
  </si>
  <si>
    <t>Photograph  20 cm x 15 cm</t>
  </si>
  <si>
    <t>Children swimming in the river enclosure.</t>
  </si>
  <si>
    <t>Murray Bridge Collection</t>
  </si>
  <si>
    <t>b20331046</t>
  </si>
  <si>
    <t>"Gem", River Steamer</t>
  </si>
  <si>
    <t>Photograph  20.8 cm x 15.6 cm</t>
  </si>
  <si>
    <t>River steamer 'Gem'.  The enclosed "Music Room" on the for'ard section of the second deck is clearly visible in this photograph. This room was not added until 1938. Also visible in the photo are the "modern" windows in the vessel's galley situated on the aft starboard paddle case. These weren't added until very late in her life on the river. [from information provided by researcher].</t>
  </si>
  <si>
    <t>Gem (Paddle steamer);Paddle steamers -- Murray River (N.S.W.- S.A.)</t>
  </si>
  <si>
    <t>b2033154x</t>
  </si>
  <si>
    <t>Nicholas, R., photographer</t>
  </si>
  <si>
    <t>Passengers loading Firewood</t>
  </si>
  <si>
    <t>Photograph;RESERVE 1 b</t>
  </si>
  <si>
    <t>Passengers loading firewood onto the river steamer "Gem ".</t>
  </si>
  <si>
    <t>Gem (Paddle steamer);Paddle steamers -- Murray River (N.S.W.- S.A.);Loading and unloading -- Murray River (N.S.W.- S.A.);Fuelwood -- Murray River (N.S.W.- S.A.)</t>
  </si>
  <si>
    <t>b2033381x</t>
  </si>
  <si>
    <t>E.F.S. Light Appliance</t>
  </si>
  <si>
    <t>E.F.S. light appliance at Nairne.</t>
  </si>
  <si>
    <t>Nairne E.F.S. (Nairne, S.A.);S.A. Emergency Fire Services;Fire fighters -- South Australia -- Nairne</t>
  </si>
  <si>
    <t>b20344648</t>
  </si>
  <si>
    <t>Diesel Unit, Oodnadatta</t>
  </si>
  <si>
    <t>Photograph  20.6 cm x 12 cm</t>
  </si>
  <si>
    <t>Diesel Unit, Oodnadatta.</t>
  </si>
  <si>
    <t>Oodnadatta Collection</t>
  </si>
  <si>
    <t>b2034465x</t>
  </si>
  <si>
    <t>Railway Locomotive</t>
  </si>
  <si>
    <t>Photograph  21.2 cm x 13.3 cm</t>
  </si>
  <si>
    <t>Railway locomotive 350 miles south of Alice Springs.</t>
  </si>
  <si>
    <t>Locomotives -- South Australia -- Oodnadatta</t>
  </si>
  <si>
    <t>b20344661</t>
  </si>
  <si>
    <t>Railway Siding</t>
  </si>
  <si>
    <t>Photograph  20.8 cm x 13.9 cm</t>
  </si>
  <si>
    <t>Railway siding 350 miles south of Alice Springs.</t>
  </si>
  <si>
    <t>Railroads -- South Australia -- Oodnadatta</t>
  </si>
  <si>
    <t>b20344673</t>
  </si>
  <si>
    <t>Photograph  20.9 cm x 13.8 cm</t>
  </si>
  <si>
    <t>Railway Siding 350 miles south of Alice Springs.</t>
  </si>
  <si>
    <t>b20344685</t>
  </si>
  <si>
    <t>View over the Neales</t>
  </si>
  <si>
    <t>Photograph  21.2 cm x 13.6 cm</t>
  </si>
  <si>
    <t>View over the Neales, north side railway line, north of Oodnadatta and south of Alice Springs.</t>
  </si>
  <si>
    <t>b20344697</t>
  </si>
  <si>
    <t>Photographp  21.3 cm x 15.2 cm</t>
  </si>
  <si>
    <t>View over the Neales.</t>
  </si>
  <si>
    <t>b2034997x</t>
  </si>
  <si>
    <t>Celery harvest at Paradise</t>
  </si>
  <si>
    <t>Photograph  20.2 cm x 15.4 cm</t>
  </si>
  <si>
    <t>Harvesting a celery crop on the Packer Bros., property adjacent to the Packer home, Richmond Villa. In 2004 this is No.12 Rhus Avenue, Highbury. L. to r.:- Dudley Packer, unidentified Packer brother, Ron Packer, unidentified Packer brother. There were six Packer brothers, William (Bill), Thomas, Joseph, Frank, Frederick and Edwin. The house visible in the picture belonged to the Donaldson family, also market gardeners. In 2004 this is located at No.1 Clarke Crescent, Paradise.</t>
  </si>
  <si>
    <t>Celery -- South Australia -- Paradise -- Harvesting</t>
  </si>
  <si>
    <t>Paradise Collection</t>
  </si>
  <si>
    <t>b20349981</t>
  </si>
  <si>
    <t>Aerial view of Paradise</t>
  </si>
  <si>
    <t>photograph;RESERVE 1 b</t>
  </si>
  <si>
    <t>Aerial view showing original Gameau residence and vegetable gardens. This area was originally a fine citrus orchard until affected by disease  now fully residential area.</t>
  </si>
  <si>
    <t>Paradise (S.A.) -- Aerial photographs</t>
  </si>
  <si>
    <t>b20349993</t>
  </si>
  <si>
    <t>Aerial view - diagram of the market garden area.</t>
  </si>
  <si>
    <t>Truck farming -- South Australia -- Paradise;Paradise (S.A.) -- Aerial photographs</t>
  </si>
  <si>
    <t>b20355944</t>
  </si>
  <si>
    <t>Piccadilly Valley</t>
  </si>
  <si>
    <t>Postcard  14 cm x 9 cm</t>
  </si>
  <si>
    <t>Piccadilly from Mount Lofty.</t>
  </si>
  <si>
    <t>Piccadilly (S.A.)</t>
  </si>
  <si>
    <t>Piccadilly Collection</t>
  </si>
  <si>
    <t>b20358490</t>
  </si>
  <si>
    <t>Railway Terrace, Pinnaroo</t>
  </si>
  <si>
    <t>Railway Terrace, south, Pinnaroo.</t>
  </si>
  <si>
    <t>b20361063</t>
  </si>
  <si>
    <t>Caravan Park, Point Turton</t>
  </si>
  <si>
    <t>Photograph  20.9 cm x 15 cm</t>
  </si>
  <si>
    <t>Caravan Park at Point Turton.</t>
  </si>
  <si>
    <t>Trailer camps -- South Australia -- Point Turton</t>
  </si>
  <si>
    <t>Point Turton Collection</t>
  </si>
  <si>
    <t>b2036488x</t>
  </si>
  <si>
    <t>Queen's building</t>
  </si>
  <si>
    <t>Photograph  11.3 cm x 6.4 cm</t>
  </si>
  <si>
    <t>Queen's building, Port Adelaide.</t>
  </si>
  <si>
    <t>b20366188</t>
  </si>
  <si>
    <t>The Port River, Port Adelaide</t>
  </si>
  <si>
    <t>Photograph  20 cm x 15.2 cm</t>
  </si>
  <si>
    <t>Looking north down Port River, Port Adelaide.</t>
  </si>
  <si>
    <t>Port Adelaide River (S.A.)</t>
  </si>
  <si>
    <t>b20366218</t>
  </si>
  <si>
    <t>Goldsbrough Mort</t>
  </si>
  <si>
    <t>Photograph  21.2 cm x 12.2 cm</t>
  </si>
  <si>
    <t>Goldsbrough Mort New Woodstone in Crozier Street Port Adelaide.</t>
  </si>
  <si>
    <t>b2036622x</t>
  </si>
  <si>
    <t>Commonwealth Bank building</t>
  </si>
  <si>
    <t>Photograph  21.3 cm x 15.1 cm</t>
  </si>
  <si>
    <t>Commonwealth Bank building, St Vincent Street Port Adelaide.</t>
  </si>
  <si>
    <t>Commonwealth Bank of Australia -- Buildings;Architecture -- South Australia -- Port Adelaide;Banks and banking -- South Australia -- Port Adelaide</t>
  </si>
  <si>
    <t>b20366280</t>
  </si>
  <si>
    <t>Port Adelaide Council Chamber</t>
  </si>
  <si>
    <t>Photograph  21 cm x 15.5 cm</t>
  </si>
  <si>
    <t>Interior of Port Adelaide Council Chamber.</t>
  </si>
  <si>
    <t>Port Adelaide (S.A.). Council;Municipal buildings -- South Australia -- Port Adelaide;Interior architecture -- South Australia -- Port Adelaide</t>
  </si>
  <si>
    <t>b20366322</t>
  </si>
  <si>
    <t>Port Adelaide</t>
  </si>
  <si>
    <t>Photograph  20.1 cm x 15.3 cm</t>
  </si>
  <si>
    <t>Looking South-East along Commercial Road, Port Adelaide.</t>
  </si>
  <si>
    <t>b20366334</t>
  </si>
  <si>
    <t>Photograph  19.9 cm x 15.6 cm</t>
  </si>
  <si>
    <t>b20366425</t>
  </si>
  <si>
    <t>Photograph  20.8 cm x 15.9 cm</t>
  </si>
  <si>
    <t>North Parade and Nelson Street, Port Adelaide.</t>
  </si>
  <si>
    <t>b20366462</t>
  </si>
  <si>
    <t>Photograph  21.5 cm x 12.7 cm</t>
  </si>
  <si>
    <t>Looking north over Birkinhead Bridge from St. Vincent Street, Port Adelaide.</t>
  </si>
  <si>
    <t>b20366474</t>
  </si>
  <si>
    <t>Photograph  21.4 cm x 15.1 cm</t>
  </si>
  <si>
    <t>North-East corner of Wilson and St. Vincent Streets, Port Adelaide.</t>
  </si>
  <si>
    <t>b20366747</t>
  </si>
  <si>
    <t>photograph;RESERVE 1 album</t>
  </si>
  <si>
    <t>Ocean Steamers Wharf, Port Adelaide.</t>
  </si>
  <si>
    <t>Wharves -- South Australia -- Port Adelaide</t>
  </si>
  <si>
    <t>b20366759</t>
  </si>
  <si>
    <t>Inner Harbour, Port Adelaide.</t>
  </si>
  <si>
    <t>Steamboats -- South Australia -- Port Adelaide</t>
  </si>
  <si>
    <t>b20369141</t>
  </si>
  <si>
    <t>Recreation Oval, Port Augusta</t>
  </si>
  <si>
    <t>postcard</t>
  </si>
  <si>
    <t>Recreation Oval, Port Augusta.</t>
  </si>
  <si>
    <t>Recreation areas -- South Australia -- Port Augusta</t>
  </si>
  <si>
    <t>b20369153</t>
  </si>
  <si>
    <t>Coal Handling Plant</t>
  </si>
  <si>
    <t>Coal Handling Plant, Port Augusta.</t>
  </si>
  <si>
    <t>Coal-handling machinery -- South Australia -- Port Augusta</t>
  </si>
  <si>
    <t>b20370787</t>
  </si>
  <si>
    <t>Congregational Church, Port Elliot</t>
  </si>
  <si>
    <t>Photograph  13.7 cm x 8.0 cm</t>
  </si>
  <si>
    <t>Congregational Church, Port Elliot. The foundation stone was laid by Mrs Hotham November 29, 1899. The Reverend  J Hotham was appointed first minister February 21, 1856 and held the position for 30 years. The church was also called trhe Hotham Memorial Church. The architect was CE Taplin. Reverend M Harris was the minister from 1899</t>
  </si>
  <si>
    <t>Port Elliot Congregational Church (S.A.);Congregational churches -- South Australia -- Port Elliot;Church architecture -- South Australia -- Port Elliot</t>
  </si>
  <si>
    <t>b2037575x</t>
  </si>
  <si>
    <t>Praite, R. (Ronald), 1922-2011, photographer</t>
  </si>
  <si>
    <t>Grand Hotel, Port Lincoln</t>
  </si>
  <si>
    <t>Photograph (b&amp;w print)  6.4 cm x 8.9 cm;C1</t>
  </si>
  <si>
    <t>Grand Hotel, Port Lincoln.</t>
  </si>
  <si>
    <t>Grand Hotel (Port Lincoln, S.A.);Hotels -- South Australia -- Port Lincoln</t>
  </si>
  <si>
    <t>Port Lincoln Collection;Praite Collection</t>
  </si>
  <si>
    <t>b20376224</t>
  </si>
  <si>
    <t>Randall, Jack H., photographer</t>
  </si>
  <si>
    <t>St. Thomas', Port Lincoln</t>
  </si>
  <si>
    <t>C1;Photograph (b&amp;w print)  16.5 cm x 21.5 cm</t>
  </si>
  <si>
    <t>Interior of St. Thomas church at Port Lincoln.</t>
  </si>
  <si>
    <t>St. Thomas' Church (Port Lincoln, S.A.);Interior architecture -- South Australia -- Port Lincoln</t>
  </si>
  <si>
    <t>b20376297</t>
  </si>
  <si>
    <t>Cargo ship 'Mill Hill'</t>
  </si>
  <si>
    <t>Photograph (b&amp;w print)  13.2 cm x 20.6 cm;RESERVE 1</t>
  </si>
  <si>
    <t>Cargo ship 'Mill Hill' listing off Port Lincoln  its cargo of pig iron moved in heavy seas.</t>
  </si>
  <si>
    <t>Mill Hill (Ship);Cargo ships -- South Australia -- Port Lincoln</t>
  </si>
  <si>
    <t>b20376303</t>
  </si>
  <si>
    <t>Theakston's Gap</t>
  </si>
  <si>
    <t>Photograph (b&amp;w print)  21 cm x 16 cm;RESERVE 1</t>
  </si>
  <si>
    <t>Theakstons Gap, near Port Lincoln  seas rushing into the Gap for 150 metres create a loud noise.</t>
  </si>
  <si>
    <t>b20376315</t>
  </si>
  <si>
    <t>Railway horses, Port Lincoln</t>
  </si>
  <si>
    <t>Photograph (b&amp;w print)  10.7 cm x 15.4 cm;C1</t>
  </si>
  <si>
    <t>A group of railway shunting horses.</t>
  </si>
  <si>
    <t>Horses -- South Australia -- Port Lincoln</t>
  </si>
  <si>
    <t>PORT LINCOLN Collection</t>
  </si>
  <si>
    <t>b20376327</t>
  </si>
  <si>
    <t>Railway yards, Port Lincoln</t>
  </si>
  <si>
    <t>Photograph (b&amp;w print)  10.7 cm x 15.4 cm</t>
  </si>
  <si>
    <t>Farm machinery on a goods train.</t>
  </si>
  <si>
    <t>Agricultural machinery -- South Australia -- Port Lincoln;Railroads -- South Australia -- Port Lincoln -- Freight</t>
  </si>
  <si>
    <t>b20387155</t>
  </si>
  <si>
    <t>Railway Junction, Port Pirie</t>
  </si>
  <si>
    <t>Photograph  13.7 cm x 8.2 cm</t>
  </si>
  <si>
    <t>Railway junction at Port Pirie with the 'East West Express' on the left. The SAR's Cafeteria Car, built in 1947, is in the middle of the train.</t>
  </si>
  <si>
    <t>Railroads -- South Australia -- Port Pirie -- Trains</t>
  </si>
  <si>
    <t>Port Pirie Collection</t>
  </si>
  <si>
    <t>b20389784</t>
  </si>
  <si>
    <t>Port Victoria Jetty</t>
  </si>
  <si>
    <t>Photograph  21.5 cm x 10.9 cm</t>
  </si>
  <si>
    <t>Port Victoria Jetty.</t>
  </si>
  <si>
    <t>Port Victoria Collection</t>
  </si>
  <si>
    <t>b20389899</t>
  </si>
  <si>
    <t>Loading wheat</t>
  </si>
  <si>
    <t>Loading wheat at Port Victoria.</t>
  </si>
  <si>
    <t>Wheat -- South Australia -- Port Victoria</t>
  </si>
  <si>
    <t>b20389905</t>
  </si>
  <si>
    <t>Loading Wheat</t>
  </si>
  <si>
    <t>Photograph  20.8 cm x 14.9 cm</t>
  </si>
  <si>
    <t>Loading Wheat at Port Victoria.</t>
  </si>
  <si>
    <t>b20389917</t>
  </si>
  <si>
    <t>Photograph  20.9 cm x 14.4 cm</t>
  </si>
  <si>
    <t>Wheat -- South Australia -- Port Broughton</t>
  </si>
  <si>
    <t>b20389929</t>
  </si>
  <si>
    <t>Photograph  20.1 cm x 15.5 cm</t>
  </si>
  <si>
    <t>b20389930</t>
  </si>
  <si>
    <t>Photograph  21.3 cm x 13.8 cm</t>
  </si>
  <si>
    <t>b20389942</t>
  </si>
  <si>
    <t>Photograph  21.3 cm x 13.5 cm</t>
  </si>
  <si>
    <t>b20389954</t>
  </si>
  <si>
    <t>Photograph  21.3 cm x 12.6 cm</t>
  </si>
  <si>
    <t>b20391766</t>
  </si>
  <si>
    <t>Prospect - Angmering House</t>
  </si>
  <si>
    <t>Photograph (b&amp;w print)  16.5 cm x 19.2 cm;C1</t>
  </si>
  <si>
    <t>Prospect - Angmering House. Copied from a coloured slide.</t>
  </si>
  <si>
    <t>Angmering House (Prospect, S.A.);Thatched roofs -- South Australia -- Prospect;Architecture, Domestic -- South Australia -- Prospect</t>
  </si>
  <si>
    <t>Prospect Collection</t>
  </si>
  <si>
    <t>b20392230</t>
  </si>
  <si>
    <t>Quorn</t>
  </si>
  <si>
    <t>Aerial view of Quorn with the railway line in the foreground.</t>
  </si>
  <si>
    <t>Quorn (S.A.) -- Aerial photographs</t>
  </si>
  <si>
    <t>Quorn Collection</t>
  </si>
  <si>
    <t>b20393088</t>
  </si>
  <si>
    <t>The "Stock and Station" office</t>
  </si>
  <si>
    <t>Photograph (b&amp;w print)  9.7 cm x 15.5 cm;C1</t>
  </si>
  <si>
    <t>The "Stock and Station" office especially built for the film: "The Sundowners".</t>
  </si>
  <si>
    <t>Motion pictures -- South Australia -- Quorn;Motion pictures -- Stage-setting and scenery</t>
  </si>
  <si>
    <t>b20393295</t>
  </si>
  <si>
    <t>Rapid Bay</t>
  </si>
  <si>
    <t>Photograph (b&amp;w print)   6.2 cm x 8.7 cm;RESERVE 1</t>
  </si>
  <si>
    <t>View of Rapid Bay  cars in the foreground.</t>
  </si>
  <si>
    <t>Rapid Bay (S.A.)</t>
  </si>
  <si>
    <t>b20393301</t>
  </si>
  <si>
    <t>View, Rapid Bay.</t>
  </si>
  <si>
    <t>b20394664</t>
  </si>
  <si>
    <t>School Calf Club</t>
  </si>
  <si>
    <t>School Calf Club, Rendelsham.</t>
  </si>
  <si>
    <t>Humphries, Beryl;Rendelsham School Calf Club (Rendelsham, S.A.);Children -- Societies and clubs -- South Australia -- Rendelsham;Calves -- South Australia -- Rendelsham</t>
  </si>
  <si>
    <t>Rendelsham Collection</t>
  </si>
  <si>
    <t>b20394676</t>
  </si>
  <si>
    <t>Rendelsham school</t>
  </si>
  <si>
    <t>Adamson Family leaving school.</t>
  </si>
  <si>
    <t>Adamson (Family);Children -- South Australia -- Rendelsham;School children -- South Australia -- Rendelsham</t>
  </si>
  <si>
    <t>b2039469x</t>
  </si>
  <si>
    <t>Rendelsham school house</t>
  </si>
  <si>
    <t>Rendelsham school house.</t>
  </si>
  <si>
    <t>Schools -- South Australia -- Rendelsham</t>
  </si>
  <si>
    <t>b20394731</t>
  </si>
  <si>
    <t>Poole's Store, Rendelsham</t>
  </si>
  <si>
    <t>Poole's Store, Rendelsham.</t>
  </si>
  <si>
    <t>b20395115</t>
  </si>
  <si>
    <t>Mt. Hope Cutting</t>
  </si>
  <si>
    <t>Mt. Hope Cutting, Rendelsham.</t>
  </si>
  <si>
    <t>Railroads -- South Australia -- Rendelsham -- Design and construction</t>
  </si>
  <si>
    <t>b20395127</t>
  </si>
  <si>
    <t>b20395139</t>
  </si>
  <si>
    <t>b20395140</t>
  </si>
  <si>
    <t>b20395152</t>
  </si>
  <si>
    <t>b20395164</t>
  </si>
  <si>
    <t>b20395176</t>
  </si>
  <si>
    <t>b20395188</t>
  </si>
  <si>
    <t>b2039519x</t>
  </si>
  <si>
    <t>b2039715x</t>
  </si>
  <si>
    <t>Holden Series Postcards, photographer</t>
  </si>
  <si>
    <t>Taylors Memorial Gardens</t>
  </si>
  <si>
    <t>Photograph (sepia print)   8.7 cm x 13.8 cm;RESERVE 1</t>
  </si>
  <si>
    <t>Taylors Memorial Gardens and State Bank. Holden Series Postcards   no. 15.</t>
  </si>
  <si>
    <t>Renmark Collection</t>
  </si>
  <si>
    <t>b20397161</t>
  </si>
  <si>
    <t>Murray Views, photographer</t>
  </si>
  <si>
    <t>Murray River, Renmark</t>
  </si>
  <si>
    <t>Photograph (tinted print)    8.8 cm x 14.1 cm;RESERVE 1</t>
  </si>
  <si>
    <t>Murray River - looking from Hotel, Renmark. Murray Views Postcards   no. 10.</t>
  </si>
  <si>
    <t>b2039732x</t>
  </si>
  <si>
    <t>Paringa bridge</t>
  </si>
  <si>
    <t>Paringa bridge, Renmark.</t>
  </si>
  <si>
    <t>Bridges -- South Australia -- Renmark;Paringa Bridge (Renmark, S.A.)</t>
  </si>
  <si>
    <t>b20397331</t>
  </si>
  <si>
    <t>Rose Series Postcards, photographer</t>
  </si>
  <si>
    <t>Renmark Hotel and gardens</t>
  </si>
  <si>
    <t>Photograph (b&amp;w print)  8.5 cm x 14 cm;C1</t>
  </si>
  <si>
    <t>Renmark Hotel and gardens. The Rose Garden Series, P9408.</t>
  </si>
  <si>
    <t>Renmark Hotel (Renmark, S.A.);Gardens -- South Australia -- Renmark;Hotels -- South Australia -- Renmark</t>
  </si>
  <si>
    <t>b20401322</t>
  </si>
  <si>
    <t>Handke Brothers Butchers</t>
  </si>
  <si>
    <t>Photograph (b&amp;w print)  10.5 cm x 14.8 cm;C1</t>
  </si>
  <si>
    <t>Premises of Handke Brothers Butchers.</t>
  </si>
  <si>
    <t>Robertstown Collection</t>
  </si>
  <si>
    <t>b20401565</t>
  </si>
  <si>
    <t>Railway Station, Robertstown</t>
  </si>
  <si>
    <t>Photograph (b&amp;w print)  9.7 cm x 14.5 cm;C1</t>
  </si>
  <si>
    <t>Saw mill at the railway station.</t>
  </si>
  <si>
    <t>b20402661</t>
  </si>
  <si>
    <t>St. Francis Xavier Seminary</t>
  </si>
  <si>
    <t>Photograph  20.9 cm x 15.6 cm</t>
  </si>
  <si>
    <t>Part of the garden at St. Francis Xavier Seminary, Rostrevor.</t>
  </si>
  <si>
    <t>St. Francis Xavier's Seminary (Rostrevor, S.A.);Theological seminaries -- South Australia -- Rostrevor;Gardens -- South Australia -- Rostrevor</t>
  </si>
  <si>
    <t>Rostrevor Collection</t>
  </si>
  <si>
    <t>b20404438</t>
  </si>
  <si>
    <t>St. Kilda</t>
  </si>
  <si>
    <t>Photograph  20.3 cm x 15.4 cm</t>
  </si>
  <si>
    <t>St. Kilda.</t>
  </si>
  <si>
    <t>St. Kilda (S.A.) -- Buildings, structures, etc.</t>
  </si>
  <si>
    <t>St Kilda Collection</t>
  </si>
  <si>
    <t>b2040444x</t>
  </si>
  <si>
    <t>St Kilda Hotel</t>
  </si>
  <si>
    <t>St Kilda Hotel.</t>
  </si>
  <si>
    <t>Hotels -- South Australia -- St. Kilda</t>
  </si>
  <si>
    <t>b20405467</t>
  </si>
  <si>
    <t>Salisbury House, Salisbury</t>
  </si>
  <si>
    <t>Photograph  29.7 cm x 22.3 cm</t>
  </si>
  <si>
    <t>Salisbury House, Salisbury.</t>
  </si>
  <si>
    <t>Salisbury House (Salisbury, S.A.);Architecture, Domestic -- South Australia -- Salisbury</t>
  </si>
  <si>
    <t>Salisbury Collection</t>
  </si>
  <si>
    <t>b20405996</t>
  </si>
  <si>
    <t>Saltia</t>
  </si>
  <si>
    <t>Photograph (b&amp;w print)  9.6 cm x 15.5 cm;C1</t>
  </si>
  <si>
    <t>This house in Saltia was specially built for the film "The Sundowners".</t>
  </si>
  <si>
    <t>Architecture, Domestic -- South Australia -- Saltia;Motion pictures -- Stage-setting and scenery</t>
  </si>
  <si>
    <t>Saltia Collection</t>
  </si>
  <si>
    <t>b20407646</t>
  </si>
  <si>
    <t>Second Valley</t>
  </si>
  <si>
    <t>View of a property at Second Valley.</t>
  </si>
  <si>
    <t>b20410049</t>
  </si>
  <si>
    <t>Hutton, George S., 1906-1984, photographer</t>
  </si>
  <si>
    <t>Semaphore beach</t>
  </si>
  <si>
    <t>Photograph  19.8 cm x 16.2 cm</t>
  </si>
  <si>
    <t>Semaphore beach, northern side of jetty.</t>
  </si>
  <si>
    <t>b2041321x</t>
  </si>
  <si>
    <t>"Strathspey", Springfield exterior view</t>
  </si>
  <si>
    <t>Photograph  19.7 cm x 15.6 cm</t>
  </si>
  <si>
    <t>"Strathspey", house and garden at Springfield.</t>
  </si>
  <si>
    <t>Strathspey (House : Springfield, S.A.);Gardens -- South Australia -- Springfield;Architecture, Domestic -- South Australia -- Springfield</t>
  </si>
  <si>
    <t>b20413221</t>
  </si>
  <si>
    <t>"Strathspey", Springfield</t>
  </si>
  <si>
    <t>Photograph  18.2 cm x 14.7 cm</t>
  </si>
  <si>
    <t>b20413233</t>
  </si>
  <si>
    <t>"Strathspey" aerial view</t>
  </si>
  <si>
    <t>Photograph  21 cm x 14.9 cm</t>
  </si>
  <si>
    <t>"Strathspey", Springfield: an aerial view.</t>
  </si>
  <si>
    <t>b20413245</t>
  </si>
  <si>
    <t>Photograph  20.8 cm x 13.2 cm</t>
  </si>
  <si>
    <t>"Strathspey" a house and its grounds at Springfield.</t>
  </si>
  <si>
    <t>b20413257</t>
  </si>
  <si>
    <t>Photograph  19.9 cm x 15.9 cm</t>
  </si>
  <si>
    <t>"Strathspey", a house and its g arden at Springfield.</t>
  </si>
  <si>
    <t>Strathspey (House : Springfield, S.A.);Architecture, Domestic -- South Australia -- Springfield;Gardens -- South Australia -- Springfield</t>
  </si>
  <si>
    <t>b20413269</t>
  </si>
  <si>
    <t>"Strathspey" Dining Room</t>
  </si>
  <si>
    <t>Photograph  18.8 cm x 15.1 cm</t>
  </si>
  <si>
    <t>"Strathspey": view of dining-room.</t>
  </si>
  <si>
    <t>Strathspey (House : Springfield, S.A.);Dining rooms -- South Australia -- Springfield;Furniture -- South Australia -- Springfield;Interior decoration -- South Australia -- Springfield</t>
  </si>
  <si>
    <t>b20413270</t>
  </si>
  <si>
    <t>Entrance H all at "Strathspey"</t>
  </si>
  <si>
    <t>Photograph  19.8 cm x 15.4 cm</t>
  </si>
  <si>
    <t>Entrance hall at "Strathpsey", a house at Springfield.</t>
  </si>
  <si>
    <t>Strathspey (House : Springfield, S.A.);Interior architecture -- South Australia -- Springfield;Interior decoration -- South Australia -- Springfield</t>
  </si>
  <si>
    <t>b20413282</t>
  </si>
  <si>
    <t>Entrance Hall at "Strathspey"</t>
  </si>
  <si>
    <t>Photograph c19.2 cm x 15.4 cm</t>
  </si>
  <si>
    <t>Entrance hall at "Strathspey", a house at Springfield.</t>
  </si>
  <si>
    <t>Strathspey (House : Springfield, S.A.);Interior decoration -- South Australia -- Springfield;Interior architecture -- South Australia -- Springfield</t>
  </si>
  <si>
    <t>b20413294</t>
  </si>
  <si>
    <t>Photograph  19.8 cm x 15.8 cm</t>
  </si>
  <si>
    <t>Entrance hall and stairway at "Strathspey", a house at Springfield.</t>
  </si>
  <si>
    <t>Strathspey (House : Springfield, S.A.);Staircases -- South Australia -- Springfield;Interior architecture -- South Australia -- Springfield</t>
  </si>
  <si>
    <t>b20413312</t>
  </si>
  <si>
    <t>"Strathspey" Breakfast Room</t>
  </si>
  <si>
    <t>Photograph  20.6 cm x 15 cm</t>
  </si>
  <si>
    <t>"Strathspey", interior view of the breakfast room.</t>
  </si>
  <si>
    <t>Strathspey (House : Springfield, S.A.);Interior architecture -- South Australia -- Springfield</t>
  </si>
  <si>
    <t>b20413324</t>
  </si>
  <si>
    <t>"Strathspey", the Library</t>
  </si>
  <si>
    <t>"Strathspey", the Library.</t>
  </si>
  <si>
    <t>b20413336</t>
  </si>
  <si>
    <t>"Strathspey", Drawing Room</t>
  </si>
  <si>
    <t>"Strathspey", the drawing room.</t>
  </si>
  <si>
    <t>b20413348</t>
  </si>
  <si>
    <t>"Strathspey", the Garden</t>
  </si>
  <si>
    <t>"Strathspey", part of the garden.</t>
  </si>
  <si>
    <t>Strathspey (House : Springfield, S.A.);Gardens -- South Australia -- Springfield</t>
  </si>
  <si>
    <t>b2041335x</t>
  </si>
  <si>
    <t>Fountain at "Strathspey"</t>
  </si>
  <si>
    <t>Garden fountain at "Strathspey, Springfield.</t>
  </si>
  <si>
    <t>Strathspey (House : Springfield, S.A.);Fountains -- South Australia -- Springfield;Gardens -- South Australia -- Springfield</t>
  </si>
  <si>
    <t>b20413555</t>
  </si>
  <si>
    <t>Smith, D. Darian, 1900-1984, photographer</t>
  </si>
  <si>
    <t>Patio at "Strathspey"</t>
  </si>
  <si>
    <t>Eastern wall of patio at "Strathspey", Springfield.</t>
  </si>
  <si>
    <t>b20414353</t>
  </si>
  <si>
    <t>Garden Vase at Forest Lodge</t>
  </si>
  <si>
    <t>Detail of a garden vase at "Forest Lodge", Pine Street, Stirling.</t>
  </si>
  <si>
    <t>Garden Ornaments and Furniture</t>
  </si>
  <si>
    <t>b20414420</t>
  </si>
  <si>
    <t>Stirling</t>
  </si>
  <si>
    <t>Folder  13.4 cm x 8.3 cm</t>
  </si>
  <si>
    <t>Distant view of Stirling.</t>
  </si>
  <si>
    <t>b20414432</t>
  </si>
  <si>
    <t>District Hospital, Stirling</t>
  </si>
  <si>
    <t>District Hospital, Stirling.</t>
  </si>
  <si>
    <t>Hospitals -- South Australia -- Stirling</t>
  </si>
  <si>
    <t>b20414444</t>
  </si>
  <si>
    <t>Entrance to"Olivet House"</t>
  </si>
  <si>
    <t>Folder  13.3 cm x 8.9 cm</t>
  </si>
  <si>
    <t>Entrance to "Olivet House", Stirling.</t>
  </si>
  <si>
    <t>b20414468</t>
  </si>
  <si>
    <t>Stirling Hotel</t>
  </si>
  <si>
    <t>Photograph  13.8 cm x 7.9 cm</t>
  </si>
  <si>
    <t>Stirling Hotel.</t>
  </si>
  <si>
    <t>Stirling Hotel (Stirling, S.A.);Hotels -- South Australia -- Stirling</t>
  </si>
  <si>
    <t>b2041447x</t>
  </si>
  <si>
    <t>Stirling Main Road</t>
  </si>
  <si>
    <t>Photograph  13.2 cm x 8.8 cm</t>
  </si>
  <si>
    <t>Stirling main road.</t>
  </si>
  <si>
    <t>b20414481</t>
  </si>
  <si>
    <t>"Olivet House", Stirling</t>
  </si>
  <si>
    <t>"Olivet House", Stirling.</t>
  </si>
  <si>
    <t>Olivet (House : Stirling, S.A.);Architecture, Domestic -- South Australia -- Stirling</t>
  </si>
  <si>
    <t>b20414493</t>
  </si>
  <si>
    <t>Photograph  13.5 cm x 8.5 cm</t>
  </si>
  <si>
    <t>Main road at Stirling.</t>
  </si>
  <si>
    <t>b20420493</t>
  </si>
  <si>
    <t>Public Hall, Swan Reach</t>
  </si>
  <si>
    <t>Photograph  25 cm x 15.4 cm</t>
  </si>
  <si>
    <t>Public Hall, Swan Reach.</t>
  </si>
  <si>
    <t>Swan Reach Collection</t>
  </si>
  <si>
    <t>b2042050x</t>
  </si>
  <si>
    <t>Silver Vale Farm</t>
  </si>
  <si>
    <t>Silver Vale Farm, Swan Reach.</t>
  </si>
  <si>
    <t>Farms -- South Australia -- Swan Reach;Silver Vale Farm (S.A.)</t>
  </si>
  <si>
    <t>b20421096</t>
  </si>
  <si>
    <t>Main Street, Swan Reach</t>
  </si>
  <si>
    <t>Photograph  19.5 cm x 15.3 cm</t>
  </si>
  <si>
    <t>Main Street at Swan Reach.</t>
  </si>
  <si>
    <t>b20421102</t>
  </si>
  <si>
    <t>Main Street at Swan Reach</t>
  </si>
  <si>
    <t>Photograph  20.2 cm x 15.8 cm</t>
  </si>
  <si>
    <t>b20429745</t>
  </si>
  <si>
    <t>Torrens Park</t>
  </si>
  <si>
    <t>View of Torrens Park.</t>
  </si>
  <si>
    <t>Torrens Park (S.A.)</t>
  </si>
  <si>
    <t>Torrens Park Collection</t>
  </si>
  <si>
    <t>b20433268</t>
  </si>
  <si>
    <t>Bridge Construction, Undalya</t>
  </si>
  <si>
    <t>Photograph  20.7 cm x 16 cm</t>
  </si>
  <si>
    <t>Construction of Undalya Bridge at Undalya.</t>
  </si>
  <si>
    <t>Bridges -- South Australia -- Undalya -- Design and construction;Undalya Bridge (S.A.)</t>
  </si>
  <si>
    <t>Undalya Collection</t>
  </si>
  <si>
    <t>b2043327x</t>
  </si>
  <si>
    <t>Photograph  20.3 cm x 16.1 cm</t>
  </si>
  <si>
    <t>New bridge being constructed over the Wakefield River at Undalya.</t>
  </si>
  <si>
    <t>b20433281</t>
  </si>
  <si>
    <t>Undalya</t>
  </si>
  <si>
    <t>Five men standing by the roadside at Undalya: (left to right) Norm Burfield (Clerk of the Council, flew Churchill to Moscow during the war), Charlie Treagus(?), Jack Donelly (with pipe), Stan Treagus and Bill Donnelly (seated).</t>
  </si>
  <si>
    <t>Bridges -- South Australia -- Undalya -- Design and construction;Undalya (S.A.)</t>
  </si>
  <si>
    <t>b20433293</t>
  </si>
  <si>
    <t>Main North Road at Undalya</t>
  </si>
  <si>
    <t>Photograph  20.2 cm x 16 cm</t>
  </si>
  <si>
    <t>New Main North road at Undalya.</t>
  </si>
  <si>
    <t>b20441162</t>
  </si>
  <si>
    <t>Ocean Street, Victor Harbor</t>
  </si>
  <si>
    <t>Photograph  21.7 cm x 13.3 cm</t>
  </si>
  <si>
    <t>Ocean Street, Victor Harbor.</t>
  </si>
  <si>
    <t>Victor Harbor Collection</t>
  </si>
  <si>
    <t>b20444205</t>
  </si>
  <si>
    <t>Outdoor Picture Theatre</t>
  </si>
  <si>
    <t>Photograph (b&amp;w print)  8.7 cm x 14.3 cm;C1</t>
  </si>
  <si>
    <t>Outdoor Picture Theatre, Walkerville.</t>
  </si>
  <si>
    <t>Motion picture theaters -- South Australia -- Walkerville</t>
  </si>
  <si>
    <t>b20452573</t>
  </si>
  <si>
    <t>Distant view of the completed house.</t>
  </si>
  <si>
    <t>Architecture, Domestic -- South Australia -- Warradale;Building -- South Australia -- Warradale</t>
  </si>
  <si>
    <t>b20457601</t>
  </si>
  <si>
    <t>Wharminda</t>
  </si>
  <si>
    <t>Photograph  21 cm x 14 cm</t>
  </si>
  <si>
    <t>Wharminda.</t>
  </si>
  <si>
    <t>Wharminda Collection</t>
  </si>
  <si>
    <t>b20457649</t>
  </si>
  <si>
    <t>Football Club Building</t>
  </si>
  <si>
    <t>Football Club Building at Wharminda.</t>
  </si>
  <si>
    <t>b20458459</t>
  </si>
  <si>
    <t>Anti-aircraft defences, Whyalla</t>
  </si>
  <si>
    <t>Whyalla from Hummock Hill, showing concrete remains of anti aircraft defences built by the army in 1943.</t>
  </si>
  <si>
    <t>b20458629</t>
  </si>
  <si>
    <t>Oil Storage Tank, Whyalla</t>
  </si>
  <si>
    <t>Photograph (b&amp;w print)  6.2 cm x 6.6 cm;C1</t>
  </si>
  <si>
    <t>Oil Storage tank under construction at Whyalla.</t>
  </si>
  <si>
    <t>Tanks -- South Australia -- Whyalla</t>
  </si>
  <si>
    <t>Whyalla Collection;Praite Collection</t>
  </si>
  <si>
    <t>b20458630</t>
  </si>
  <si>
    <t>Iron Ore, Whyalla</t>
  </si>
  <si>
    <t>Photograph (b&amp;w print)  6.3 cm x 8.6 cm;C1</t>
  </si>
  <si>
    <t>Unloading iron ore at Whyalla.</t>
  </si>
  <si>
    <t>b20462190</t>
  </si>
  <si>
    <t>Tasker, A. G., photographer</t>
  </si>
  <si>
    <t>Dining Room, Bonds Hostel</t>
  </si>
  <si>
    <t>Dining room at Bonds Hostel, Wilpena Pound.</t>
  </si>
  <si>
    <t>Interior architecture -- South Australia -- Wilpena Pound;Dining rooms -- South Australia -- Wilpena Pound</t>
  </si>
  <si>
    <t>b20463844</t>
  </si>
  <si>
    <t>Phillips, Keith P. (Keith Planta), 1898-1973, photographer</t>
  </si>
  <si>
    <t>S.A. Farmers Union</t>
  </si>
  <si>
    <t>S.A. Farmers Cooperative Union LTD, Woodside.</t>
  </si>
  <si>
    <t>South Australian Farmers' Co-operative Union;Agriculture -- South Australia -- Woodside</t>
  </si>
  <si>
    <t>b20464319</t>
  </si>
  <si>
    <t>Train Accident, Woodville</t>
  </si>
  <si>
    <t>Photograph  20.7 cm x 12.2 cm</t>
  </si>
  <si>
    <t>Accident between a train and truck on the Grange Line, Woodville.</t>
  </si>
  <si>
    <t>Railroad accidents -- South Australia -- Woodville;Traffic accidents -- South Australia -- Woodville</t>
  </si>
  <si>
    <t>Woodville Collection</t>
  </si>
  <si>
    <t>b20464320</t>
  </si>
  <si>
    <t>Accident between a train and a truck on the Grange Line, Woodville.</t>
  </si>
  <si>
    <t>Railroad accidents -- South Australia -- Woodville;Truck accidents -- South Australia -- Woodville</t>
  </si>
  <si>
    <t>b20464733</t>
  </si>
  <si>
    <t>Mitchell's Garage, Woodville</t>
  </si>
  <si>
    <t>Mitchell's Garage, Port Road, Woodville.</t>
  </si>
  <si>
    <t>Mitchell's Garage (Woodville, S.A.);Service stations -- South Australia -- Woodville</t>
  </si>
  <si>
    <t>b20464745</t>
  </si>
  <si>
    <t>b20464757</t>
  </si>
  <si>
    <t>b20466894</t>
  </si>
  <si>
    <t>Captain Field's House</t>
  </si>
  <si>
    <t xml:space="preserve">Photograph </t>
  </si>
  <si>
    <t>House built by Captain George Field near Yankalilla in the eighteen forties. Captain William George Field came to South Australia as first mate on the "Rapid" with Colonel Light. He later succeeded Colonel Light as Master of the "Rapid". He died at Yankalilla in 1850.</t>
  </si>
  <si>
    <t>Field, William George -- Homes and haunts;Architecture, Domestic -- South Australia -- Yankalilla</t>
  </si>
  <si>
    <t>Yankalilla Collection</t>
  </si>
  <si>
    <t>b20469263</t>
  </si>
  <si>
    <t>Charles Lempriere Abbott</t>
  </si>
  <si>
    <t>Photograph  20.7 cm x 15.6 cm</t>
  </si>
  <si>
    <t>Charles Lempriere Abbott, Attorney General.</t>
  </si>
  <si>
    <t>Abbott, Charles Lempriere, 1889-1960;Judges</t>
  </si>
  <si>
    <t>b20470228</t>
  </si>
  <si>
    <t>C.G.S. Bagot</t>
  </si>
  <si>
    <t>Photograph  8.5 cm x 7.5 cm</t>
  </si>
  <si>
    <t>Mr and Mrs C. G. S. Bagot.</t>
  </si>
  <si>
    <t>Bagot, Christopher George Seymour, 1880-1975;Bagot, Christopher George Seymour, Mrs</t>
  </si>
  <si>
    <t>b20473631</t>
  </si>
  <si>
    <t>Reverend Colin Chittleborough</t>
  </si>
  <si>
    <t>C1;Photograph (b&amp;w print)  21.5 cm x 16.5 cm</t>
  </si>
  <si>
    <t>Reverend Colin Chittleborough of St. Paul's Church, Port Adelaide.</t>
  </si>
  <si>
    <t>Chittleborough, Colin Carew, 1901-2001</t>
  </si>
  <si>
    <t>b20475524</t>
  </si>
  <si>
    <t>Peter Dawson</t>
  </si>
  <si>
    <t>Photograph (b&amp;w print)  13.9 cm x 9 cm;C1</t>
  </si>
  <si>
    <t>Peter Dawson.</t>
  </si>
  <si>
    <t>Dawson, Peter, 1882-1961</t>
  </si>
  <si>
    <t>b20475998</t>
  </si>
  <si>
    <t>Steve Mullawalla Dodd</t>
  </si>
  <si>
    <t>Photograph (b&amp;w print)  16 cm x 11.3 cm;RESERVE 1</t>
  </si>
  <si>
    <t>Arrernte man, resident of Colebrook Home, actor and Korean War veteran, Steve Mullawalla Dodd. Service number 41018, Dodd served in the 1st Battalion, Royal Australian Regiment.</t>
  </si>
  <si>
    <t>Dodd, Steve Mullawalla, 1928-2014;Aboriginal Australians;Aboriginal Australian soldiers -- South Australia;Actors -- Australia;Aranda (Australian people);Korean War, 1950-1953 -- Veterans -- Australia</t>
  </si>
  <si>
    <t>b20478720</t>
  </si>
  <si>
    <t>Mrs Kyle Gault</t>
  </si>
  <si>
    <t>Photograph  20.8 cm x 12.9 cm</t>
  </si>
  <si>
    <t>Mrs Kyle Gault, writer and artist.</t>
  </si>
  <si>
    <t>Gault, Kyle</t>
  </si>
  <si>
    <t>b20480362</t>
  </si>
  <si>
    <t>Herbert Mathew Hale</t>
  </si>
  <si>
    <t>Photograph (b&amp;w print)   16.1 cm x 11.6 cm;RESERVE 1</t>
  </si>
  <si>
    <t>Herbert Mathew Hale, director of South Australian Museum.</t>
  </si>
  <si>
    <t>Hale, Herbert M. (Herbert Mathew), 1895-1963</t>
  </si>
  <si>
    <t>b20487678</t>
  </si>
  <si>
    <t>Rose Stereograph Co., photographer</t>
  </si>
  <si>
    <t>Sir Douglas Mawson</t>
  </si>
  <si>
    <t>Photograph (b&amp;w print)  14.2 cm x 9.1 cm;C1</t>
  </si>
  <si>
    <t>Sir Douglas Mawson.</t>
  </si>
  <si>
    <t>Mawson, Douglas, Sir, 1882-1958;Explorers -- Australia</t>
  </si>
  <si>
    <t>b20516551</t>
  </si>
  <si>
    <t>Dairy</t>
  </si>
  <si>
    <t>Photograph ;RESERVE 1 b</t>
  </si>
  <si>
    <t>Interior of a Dairy.</t>
  </si>
  <si>
    <t>b20517348</t>
  </si>
  <si>
    <t>Military Badges</t>
  </si>
  <si>
    <t>Photograph  20.5 cm x 11.5 cm</t>
  </si>
  <si>
    <t>Military badges.</t>
  </si>
  <si>
    <t>Australia. Army -- Insignia;Badges -- Australia</t>
  </si>
  <si>
    <t>b20519552</t>
  </si>
  <si>
    <t>Servicemen Photographs</t>
  </si>
  <si>
    <t>Photograph  20.9 cm x 12.2 cm</t>
  </si>
  <si>
    <t>Mrs Gunn's Gallery of Servicemen photograph.</t>
  </si>
  <si>
    <t>Gunn, Aeneas, Mrs., 1870-1961</t>
  </si>
  <si>
    <t>b20524651</t>
  </si>
  <si>
    <t>Bristol Helicopter</t>
  </si>
  <si>
    <t>Photograph  21.1 cm x 12.9 cm</t>
  </si>
  <si>
    <t>Bristol Helicopter.</t>
  </si>
  <si>
    <t>Helicopters -- South Australia</t>
  </si>
  <si>
    <t>b20527664</t>
  </si>
  <si>
    <t>Redex Trial Cars</t>
  </si>
  <si>
    <t>Cars passing through Adelaide during one of the Redex Trials.</t>
  </si>
  <si>
    <t>Automobiles</t>
  </si>
  <si>
    <t>b20527676</t>
  </si>
  <si>
    <t>b20527688</t>
  </si>
  <si>
    <t>b20527731</t>
  </si>
  <si>
    <t>Train controller</t>
  </si>
  <si>
    <t>Photograph of train controller at work. A Trans-Australian Railway Postcard.</t>
  </si>
  <si>
    <t>Trans-Australian Railway;Railroads -- Australia -- Employees</t>
  </si>
  <si>
    <t>b20527743</t>
  </si>
  <si>
    <t>Train Journey Social Evening</t>
  </si>
  <si>
    <t>Social evening on the Trans Australian Railway train, the passengers enjoy a "sing-song' in the Lounge Car around the piano.</t>
  </si>
  <si>
    <t>Trans-Australian Railway</t>
  </si>
  <si>
    <t>b20527792</t>
  </si>
  <si>
    <t>Radio 5 DN's "Radio Canteen" Show</t>
  </si>
  <si>
    <t>Radio 5 DN's "Radio Canteen" Show with Bob Francis, Les Dayman and Margaret Faulds.</t>
  </si>
  <si>
    <t>Faulds, Margaret;Francis, Bob, 1939-2016;Dayman, Les;5DN (Radio station : Adelaide, S.A.);Radio broadcasting -- South Australia;Radio programs -- South Australia;Actors -- South Australia -- Adelaide</t>
  </si>
  <si>
    <t>b20533287</t>
  </si>
  <si>
    <t>"Sunbeam" Trolley Bus</t>
  </si>
  <si>
    <t>Photograph (b&amp;w print)  19.5 cm x 24.1 cm;C1</t>
  </si>
  <si>
    <t>"Sunbeam" Trolley bus No 506, with B.T.H. electrical equipment. Length 35 feet 8 in., width 8 feet. Motor 105 h.p. at 550 volts. All metal body by J.A.Lawton &amp; Sons Ltd. Seated 40, standing: 33.</t>
  </si>
  <si>
    <t>J. A. Lawton &amp; Sons Ltd;Trolley buses -- South Australia</t>
  </si>
  <si>
    <t>b20538613</t>
  </si>
  <si>
    <t>Inland Nurses and Radio</t>
  </si>
  <si>
    <t>Two inland nurses receiving instructions from the Flying Doctor using a "Traeger" transistor radio.</t>
  </si>
  <si>
    <t>Nurses;Radio</t>
  </si>
  <si>
    <t>b20556858</t>
  </si>
  <si>
    <t>Colonial Mutual Life Building</t>
  </si>
  <si>
    <t>Photograph (b&amp;w print)  21.5 cm x 16.4 cm</t>
  </si>
  <si>
    <t>Colonial Mutual Life Building, King William Street.</t>
  </si>
  <si>
    <t>Acre 47 Collection</t>
  </si>
  <si>
    <t>b20562895</t>
  </si>
  <si>
    <t>King William Street</t>
  </si>
  <si>
    <t>Postcard  13.8 cm x 9 cm</t>
  </si>
  <si>
    <t>View of King William Street with cars and people going about their business. The car in the middle is a Holden model 48-215, also known as the 'FX', which was built in 1948-1953.</t>
  </si>
  <si>
    <t>Holden FX automobile.</t>
  </si>
  <si>
    <t>Acre 79 Collection</t>
  </si>
  <si>
    <t>b20565999</t>
  </si>
  <si>
    <t>Rundle Street</t>
  </si>
  <si>
    <t>Photograph  21.3 cm x 16 cm</t>
  </si>
  <si>
    <t>Rundle Street, south side. This scene shows a busy rundle Street complete with trolley buses heading west and east. These were first introduced permanently to Adelaide in 1937-63. The trolley buses were replaced by motor buses in 1963. Some of the signs along the south side of the street advertise the Regent Theatre, Harris Scarfe, Oriental Hotel</t>
  </si>
  <si>
    <t>Acre 84 Collection</t>
  </si>
  <si>
    <t>b20574265</t>
  </si>
  <si>
    <t>Negative, glass (full plate)  6.5" x 8.5";RESERVE 4</t>
  </si>
  <si>
    <t>Jackman and Treloar office, King William Street.</t>
  </si>
  <si>
    <t>Acre 140 Collection</t>
  </si>
  <si>
    <t>b20575336</t>
  </si>
  <si>
    <t>Currie Street</t>
  </si>
  <si>
    <t>Photograph (b&amp;w print)  16 cm x 21.1 cm</t>
  </si>
  <si>
    <t>Currie Street, southern side.</t>
  </si>
  <si>
    <t>Acre 138 Collection</t>
  </si>
  <si>
    <t>b20575890</t>
  </si>
  <si>
    <t>Grenfell Street</t>
  </si>
  <si>
    <t>Photograph  21.4 cm x 15.4 cm</t>
  </si>
  <si>
    <t>Grenfell Street, south side showing a view looking east towards the Adelaide foothills. A bus destined for Findon and Kirkcaldy/Queenstown is heading west along Grenfell Street.</t>
  </si>
  <si>
    <t>Acre 141 Collection</t>
  </si>
  <si>
    <t>b20580290</t>
  </si>
  <si>
    <t>Pirie Street</t>
  </si>
  <si>
    <t>Photograph  13.5 cm x 8 cm</t>
  </si>
  <si>
    <t>Commercial Union Building, Pirie Street, north side.</t>
  </si>
  <si>
    <t>Acre 169 Collection</t>
  </si>
  <si>
    <t>b20581051</t>
  </si>
  <si>
    <t>Photograph (b&amp;w print)  23.1 cm x 17.6 cm</t>
  </si>
  <si>
    <t>East side of King William Street.</t>
  </si>
  <si>
    <t>Acre 170 Collection</t>
  </si>
  <si>
    <t>b20581579</t>
  </si>
  <si>
    <t>King William street</t>
  </si>
  <si>
    <t>Photograph (b&amp;w print)  16.4 cm x 21.8 cm</t>
  </si>
  <si>
    <t>King William Street.</t>
  </si>
  <si>
    <t>Acre 171 Collection</t>
  </si>
  <si>
    <t>b20586280</t>
  </si>
  <si>
    <t>Staircase, Adelaide Town Hall foyer</t>
  </si>
  <si>
    <t>Staircase in the Adelaide Town Hall foyer.</t>
  </si>
  <si>
    <t>Acre 203 Collection</t>
  </si>
  <si>
    <t>b20606461</t>
  </si>
  <si>
    <t>Joyner, Richard E., photographer</t>
  </si>
  <si>
    <t>Wakefield Street Fire Station</t>
  </si>
  <si>
    <t>Jumping practice from tower of Wakefield Street Fire Station.</t>
  </si>
  <si>
    <t>Fire fighters -- South Australia -- Adelaide;Fire stations -- South Australia -- Adelaide</t>
  </si>
  <si>
    <t>Acre 342 Collection</t>
  </si>
  <si>
    <t>b20606473</t>
  </si>
  <si>
    <t>Fire Brigade Headquarters</t>
  </si>
  <si>
    <t>Watch room at fire brigade headquarters.</t>
  </si>
  <si>
    <t>Fire stations -- South Australia -- Adelaide</t>
  </si>
  <si>
    <t>b20606485</t>
  </si>
  <si>
    <t>Wakefield Street fire station, Diamond T combination appliance.</t>
  </si>
  <si>
    <t>Fire engines -- South Australia -- Adelaide;Fire stations -- South Australia -- Adelaide</t>
  </si>
  <si>
    <t>b20607052</t>
  </si>
  <si>
    <t>Hanson Street</t>
  </si>
  <si>
    <t>Hanson Street, west side, frontage of building is 9.5 yards. For location see B 12463. For a view of this shop after alterations made in 1950 see B 12463. The photograph shows the premises of AC Schrader general grocery shop</t>
  </si>
  <si>
    <t>Acre 344 Collection</t>
  </si>
  <si>
    <t>b20626277</t>
  </si>
  <si>
    <t>State Library of South Australia, photographer</t>
  </si>
  <si>
    <t>Photograph  13.6 cm x 8.3 cm</t>
  </si>
  <si>
    <t>King William Street, west side. Domes building on extreme left is Brecknock Hotel which stands on the corner of King William Street and south side of Gilbert Street. This distinctive building built in 1922 replaced an earlier one on this site. A plaque on the hotel states "Brecknock Hotel - A hotel with the name of the Brecknock has been located on this site since 1851, excepting a short period when it was the Brecon Arms. From 1866 till early in the 21st century two families have owned the hotel, the Bray and Moore families. During Frank Moore's ownership, the old hotel was demolished and the present structure, designed by architect Kenneth Edward Joseph Bardolph, was built in 1922"</t>
  </si>
  <si>
    <t>Acre 607 Collection</t>
  </si>
  <si>
    <t>b20653268</t>
  </si>
  <si>
    <t>Adelaide Oval Cricket</t>
  </si>
  <si>
    <t>Photograph (b&amp;w print)  19.9 cm x 24.7 cm;C1</t>
  </si>
  <si>
    <t>Adelaide Oval cricket.</t>
  </si>
  <si>
    <t>Adelaide Oval;Cricket -- South Australia -- Adelaide</t>
  </si>
  <si>
    <t>Adelaide Views Collection;Adelaide Oval Collection</t>
  </si>
  <si>
    <t>b2065571x</t>
  </si>
  <si>
    <t>Botanical Gardens</t>
  </si>
  <si>
    <t>Photograph  21.1 cm x 16.2 cm</t>
  </si>
  <si>
    <t>Botanical Gardens showing a mother and child on the lawns next to the lake feeding the ducks.</t>
  </si>
  <si>
    <t>Adelaide Views Collection;Botanic Gardens Collection</t>
  </si>
  <si>
    <t>b20655721</t>
  </si>
  <si>
    <t>Botanic Gardens</t>
  </si>
  <si>
    <t>Photograph  11.8 cm x 9.1 cm</t>
  </si>
  <si>
    <t>Botanic Gardens.</t>
  </si>
  <si>
    <t>b20658783</t>
  </si>
  <si>
    <t>Destitute Asylum</t>
  </si>
  <si>
    <t>Old Destitute Asylum buildings.</t>
  </si>
  <si>
    <t>Destitute Asylum (Adelaide, S.A.);Historic buildings -- South Australia -- Adelaide</t>
  </si>
  <si>
    <t>Adelaide Views Collection;Destitute Asylum Collection</t>
  </si>
  <si>
    <t>b20670175</t>
  </si>
  <si>
    <t>Photograph (b&amp;w print)  8 cm x 11.7 cm;C1</t>
  </si>
  <si>
    <t>b20670424</t>
  </si>
  <si>
    <t>Observatory</t>
  </si>
  <si>
    <t>Observatory, West Terrace was built for Sir Charles Todd, the pioneer of a network of telegraph lines to connect the colony of South Australia to the world. The complex included the Todd family residence. The earliest verandah covered section of the main building was completed in 1860. The tower and transit room and domed equatorial room was completed by 1876. The Observatory became the hub for meteorological observation stations that reported daily using the telegraph system. Regular forecasted and maps were published using this data. The complex was demolished shortly after this photograph was taken</t>
  </si>
  <si>
    <t>Adelaide Views Collection;Observatory Collection</t>
  </si>
  <si>
    <t>b20672093</t>
  </si>
  <si>
    <t>Public Library</t>
  </si>
  <si>
    <t>Photograph  10 cm x 66 cm (image)  32 cm x 67 cm (mount);OUTSIZE 5 c</t>
  </si>
  <si>
    <t>Section of the Bindery at the Public Library. A note on the photograph says " extension of the Bindery in the room which formerly housed the newspaper files in the Public Library crypt"</t>
  </si>
  <si>
    <t>Public Library of South Australia</t>
  </si>
  <si>
    <t>Adelaide Views Collection;Public Library Collection</t>
  </si>
  <si>
    <t>b20676311</t>
  </si>
  <si>
    <t>Railway Station, North Terrace, Adelaide</t>
  </si>
  <si>
    <t>Buses wait for people crossing North Terrace on their way to the railway station which was built in 1926-28. It was designed by Garlick and Jackman, who won an architectural competition held in 1924 whilst W.A. Webb was Railways Commissioner. A billboard in front of the railway station advertises the Rex Theatre's screening of the 1947 film 'Life with Father' starring William Powell and Irene Dunne.</t>
  </si>
  <si>
    <t>Adelaide Railway Station;Railroad stations -- South Australia -- Adelaide</t>
  </si>
  <si>
    <t>Adelaide Views Collection;Railway Station Collection</t>
  </si>
  <si>
    <t>b20681276</t>
  </si>
  <si>
    <t>Torrens Lake</t>
  </si>
  <si>
    <t>Photograph (b&amp;w print)  21.2 cm x 15.8 cm;C1</t>
  </si>
  <si>
    <t>Torrens Lake, showing "Pop-Eye" on a trip.</t>
  </si>
  <si>
    <t>Adelaide Views Collection;Torrens Lake Collection</t>
  </si>
  <si>
    <t>b20681410</t>
  </si>
  <si>
    <t>Torrens Lake and the City Bridge.</t>
  </si>
  <si>
    <t>b20682918</t>
  </si>
  <si>
    <t>University of Adelaide</t>
  </si>
  <si>
    <t>Photograph  20.5 cm x 15.2 cm</t>
  </si>
  <si>
    <t>University of Adelaide, group of students.</t>
  </si>
  <si>
    <t>Adelaide Views Collection;University of Adelaide Collection</t>
  </si>
  <si>
    <t>b2068969x</t>
  </si>
  <si>
    <t>"Miss Adelaide"Racing Launch</t>
  </si>
  <si>
    <t>Photograph  22 cm x 16 cm</t>
  </si>
  <si>
    <t>"Miss Adelaide", racing launch.</t>
  </si>
  <si>
    <t>b20689706</t>
  </si>
  <si>
    <t>b20689718</t>
  </si>
  <si>
    <t>"Miss Adelaide", construction of a racing launch.</t>
  </si>
  <si>
    <t>b2068972x</t>
  </si>
  <si>
    <t>b20689731</t>
  </si>
  <si>
    <t>b20689743</t>
  </si>
  <si>
    <t>Ketch, the "Nyroka"</t>
  </si>
  <si>
    <t>Ketch, the "Nyroka".</t>
  </si>
  <si>
    <t>Nyroka (Ship)</t>
  </si>
  <si>
    <t>b20689755</t>
  </si>
  <si>
    <t>b20689767</t>
  </si>
  <si>
    <t>b20690034</t>
  </si>
  <si>
    <t>The "S.S. Karatta" before refitting, which was captained by Captain Pearson.</t>
  </si>
  <si>
    <t>b20690769</t>
  </si>
  <si>
    <t>The "Grelka"</t>
  </si>
  <si>
    <t>The "Grelka" was wrecked at Cape St Albans.</t>
  </si>
  <si>
    <t>Grelka (Ship)</t>
  </si>
  <si>
    <t>b20690770</t>
  </si>
  <si>
    <t>The "Grelka".</t>
  </si>
  <si>
    <t>b20690812</t>
  </si>
  <si>
    <t>The "May"</t>
  </si>
  <si>
    <t>The "May".</t>
  </si>
  <si>
    <t>May (Ship)</t>
  </si>
  <si>
    <t>b20690824</t>
  </si>
  <si>
    <t>The "Mary"</t>
  </si>
  <si>
    <t>The "Mary" was built in Port Adelaide.</t>
  </si>
  <si>
    <t>Mary (Ship)</t>
  </si>
  <si>
    <t>ship collection</t>
  </si>
  <si>
    <t>b20726119</t>
  </si>
  <si>
    <t>Locomotive at station</t>
  </si>
  <si>
    <t>S.A.R. train in Grange Station. Loco Class "F" up from Henley Beach.</t>
  </si>
  <si>
    <t>Railroads -- South Australia -- Trains;Locomotives -- South Australia -- Grange</t>
  </si>
  <si>
    <t>b20726120</t>
  </si>
  <si>
    <t>No. 718. First large power on Port line at Commercial Road Station, on Port Adelaide viaduct.</t>
  </si>
  <si>
    <t>Locomotives -- South Australia -- Outer Harbor</t>
  </si>
  <si>
    <t>b20726132</t>
  </si>
  <si>
    <t>S.A.R. Clare Show "Special".</t>
  </si>
  <si>
    <t>b20726144</t>
  </si>
  <si>
    <t>"Trotting Special" crossing Anzac Highway above Keswick Station  Semaphore to Wayville Showground.</t>
  </si>
  <si>
    <t>Locomotives -- South Australia -- Adelaide</t>
  </si>
  <si>
    <t>b20726156</t>
  </si>
  <si>
    <t>Crane Locomotive</t>
  </si>
  <si>
    <t>C.R. Crane Loco, Port Augusta.</t>
  </si>
  <si>
    <t>Locomotives -- South Australia -- Port Augusta</t>
  </si>
  <si>
    <t>b20726168</t>
  </si>
  <si>
    <t>S.A.R. Class 300 ASG NO. 301, Islington.</t>
  </si>
  <si>
    <t>b2072617x</t>
  </si>
  <si>
    <t>S.A.R. Class 400 No. 407, Peterborough.</t>
  </si>
  <si>
    <t>Locomotives -- South Australia -- Peterborough</t>
  </si>
  <si>
    <t>b20726181</t>
  </si>
  <si>
    <t>Mundoora to Port Broughton railway line</t>
  </si>
  <si>
    <t>S.A.R. Mundoora - Port Broughton railway line.</t>
  </si>
  <si>
    <t>b20726466</t>
  </si>
  <si>
    <t>Skewes, R. E., photographer</t>
  </si>
  <si>
    <t>Goods Train</t>
  </si>
  <si>
    <t>Photograph (b&amp;w print)  10.2 cm x 10.5 cm;RESERVE 1 album</t>
  </si>
  <si>
    <t>Goods train on the Sedan Line.</t>
  </si>
  <si>
    <t>b20726478</t>
  </si>
  <si>
    <t>Outer Harbor Train</t>
  </si>
  <si>
    <t>Photograph (b&amp;w print)  10.5 cm x 10.9 cm;RESERVE 1 album</t>
  </si>
  <si>
    <t>Outer Harbor train on the left and the Semaphore train on the right leaving Glanville together.</t>
  </si>
  <si>
    <t>b20726491</t>
  </si>
  <si>
    <t>Rx Locomotive</t>
  </si>
  <si>
    <t>Photograph (b&amp;w print)  10.4 cm x 14.6 cm;RESERVE 1 album</t>
  </si>
  <si>
    <t>Rx locomotive and train at Adelaide Railway Station. [Identified on the image as an RK locomotive, but there was no class RK on the South Australian Railways, and the locomotive depicted in the photograph is a South Australian Railways Rx class locomotive.]</t>
  </si>
  <si>
    <t>Railroads -- South Australia -- Trains;Locomotives -- South Australia</t>
  </si>
  <si>
    <t>b20726508</t>
  </si>
  <si>
    <t>Adelaide Railway Station Yard</t>
  </si>
  <si>
    <t>Photograph (b&amp;w print)  10.2 cm x 10.3 cm;RESERVE 1 album</t>
  </si>
  <si>
    <t>Adelaide Railway Station yard.</t>
  </si>
  <si>
    <t>b2072651x</t>
  </si>
  <si>
    <t>Photograph (b&amp;w print)  10.2 cm x 10.4 cm;RESERVE 1 album</t>
  </si>
  <si>
    <t>b20726521</t>
  </si>
  <si>
    <t>Photograph (b&amp;w print)  10.1 cm x 10.3 cm;RESERVE 1 album</t>
  </si>
  <si>
    <t>b20726533</t>
  </si>
  <si>
    <t>b20726545</t>
  </si>
  <si>
    <t>Black Forest Tram Station</t>
  </si>
  <si>
    <t>Photograph (b&amp;w print)  10.5 cm x 10.4 cm;RESERVE 1 album</t>
  </si>
  <si>
    <t>Black Forest tram station on the Glenelg tram line at South Road.</t>
  </si>
  <si>
    <t>Street-railroads -- South Australia -- Black Forest</t>
  </si>
  <si>
    <t>b20726557</t>
  </si>
  <si>
    <t>S.A. Gas Company Truck</t>
  </si>
  <si>
    <t>Photograph (b&amp;w print)  9.5 cm x 10.5 cm;RESERVE 1 album</t>
  </si>
  <si>
    <t>S.A. Gas Company truck, which was a South Australian Railways coal truck, at Bowden.</t>
  </si>
  <si>
    <t>b20726569</t>
  </si>
  <si>
    <t>b20726570</t>
  </si>
  <si>
    <t>Railway cabin</t>
  </si>
  <si>
    <t>Railway cabin at Old Cheltenham Racecourse platform.</t>
  </si>
  <si>
    <t>Railroads -- South Australia -- Cheltenham</t>
  </si>
  <si>
    <t>b20726582</t>
  </si>
  <si>
    <t>Photograph (b&amp;w print)  10.5 cm x 10.7 cm;RESERVE 1 album</t>
  </si>
  <si>
    <t>Locomotive Class P, no.75 at Finsbury.</t>
  </si>
  <si>
    <t>Locomotives -- South Australia -- Finsbury</t>
  </si>
  <si>
    <t>b20726594</t>
  </si>
  <si>
    <t>Glanville Railway Station</t>
  </si>
  <si>
    <t>Photograph (b&amp;w print)  10.5 cm x 10.8 cm;RESERVE 1 album</t>
  </si>
  <si>
    <t>Glanville Railway Station.</t>
  </si>
  <si>
    <t>Railroads -- South Australia -- Glanville</t>
  </si>
  <si>
    <t>b20726612</t>
  </si>
  <si>
    <t>"P" Class Locomotives</t>
  </si>
  <si>
    <t>Photograph (b&amp;w print)  10.3 cm x 10. 7 cm;RESERVE 1 album</t>
  </si>
  <si>
    <t>"P" Class locomotives awaiting scrapping at Islington.</t>
  </si>
  <si>
    <t>b20726624</t>
  </si>
  <si>
    <t>Last Train to Milang</t>
  </si>
  <si>
    <t>Last train to Milang. An Australian Railway Historical Society (SA Division) tour to Milang on 30 May 1964. The locomotives are Rx class, numbers 195 and 233. [Information provided by A. Presgrave.]</t>
  </si>
  <si>
    <t>b20726636</t>
  </si>
  <si>
    <t>Railcar 54 at Milang</t>
  </si>
  <si>
    <t>Photograph (b&amp;w print)  10.5 cm x 10.8 cm;RESERVE 1 album;RESERVE 1 album</t>
  </si>
  <si>
    <t>Railcar 54 at Milang. Driver: A.Creeper.</t>
  </si>
  <si>
    <t>b20726648</t>
  </si>
  <si>
    <t>Milang Railway Station</t>
  </si>
  <si>
    <t>Photograph (b&amp;w print)  10.3 cm x 10.4 cm;RESERVE 1 album</t>
  </si>
  <si>
    <t>Milang Railway Station.</t>
  </si>
  <si>
    <t>Railroads -- South Australia -- Milang</t>
  </si>
  <si>
    <t>b2072665x</t>
  </si>
  <si>
    <t>S. A. R. sleeping car</t>
  </si>
  <si>
    <t>Photograph (b&amp;w print)  10.4 cm x 10.3 cm;RESERVE 1 album</t>
  </si>
  <si>
    <t>South Australian Railways sleeping car.</t>
  </si>
  <si>
    <t>b20726661</t>
  </si>
  <si>
    <t>Oakbank Special</t>
  </si>
  <si>
    <t>Photograph (b&amp;w print)  10..5 cm x 10.8 cm;RESERVE 1 album</t>
  </si>
  <si>
    <t>Oakbank Special at Sleeps Hill.</t>
  </si>
  <si>
    <t>b20726685</t>
  </si>
  <si>
    <t>Locomotive Class 620</t>
  </si>
  <si>
    <t>Locomotive Class 620 at Port Pirie.</t>
  </si>
  <si>
    <t>Locomotives -- South Australia -- Port Pirie</t>
  </si>
  <si>
    <t>b20726697</t>
  </si>
  <si>
    <t>Semaphore Railway Station</t>
  </si>
  <si>
    <t>Semaphore Railway Station: the east end.</t>
  </si>
  <si>
    <t>Railroads -- South Australia -- Semaphore</t>
  </si>
  <si>
    <t>b20726703</t>
  </si>
  <si>
    <t>"P" Class Locomotive</t>
  </si>
  <si>
    <t>Photograph (b&amp;w print)  10.8 cm x 10.3 cm;RESERVE 1 album</t>
  </si>
  <si>
    <t>Motion of the "P" Class Locomotive.</t>
  </si>
  <si>
    <t>b20726715</t>
  </si>
  <si>
    <t>b20727112</t>
  </si>
  <si>
    <t>Horse trams</t>
  </si>
  <si>
    <t>Photograph (b&amp;w print)  10.4 cm x 10.8 cm;RESERVE 1 album</t>
  </si>
  <si>
    <t>Horse trams, Victor Harbor.</t>
  </si>
  <si>
    <t>Trams -- South Australia -- Victor Harbor</t>
  </si>
  <si>
    <t>b20727124</t>
  </si>
  <si>
    <t>Plympton Railway Station</t>
  </si>
  <si>
    <t>Photograph (b&amp;w print)  10.4 cm x 10.9 cm;RESERVE 1 album</t>
  </si>
  <si>
    <t>Plympton Railway Station, North Terrace to Glenelg Line. Note rails across Marion Road.</t>
  </si>
  <si>
    <t>Railroads -- South Australia -- Plympton</t>
  </si>
  <si>
    <t>b20727136</t>
  </si>
  <si>
    <t>Photograph (b&amp;w print)  10.5 cm x 11 cm;RESERVE 1 album</t>
  </si>
  <si>
    <t>Plympton Railway Station, North Terrace to Glenelg Line.</t>
  </si>
  <si>
    <t>b20727215</t>
  </si>
  <si>
    <t>Locomotive Class "F" 167</t>
  </si>
  <si>
    <t>Photograph (b&amp;w print)  10 cm x 10 cm;RESERVE 1 album</t>
  </si>
  <si>
    <t>Locomotive Class "F" 167 with extended smoke box, Adelaide Railway Station.</t>
  </si>
  <si>
    <t>Adelaide Railway Station;Locomotives -- South Australia -- Adelaide</t>
  </si>
  <si>
    <t>b20727227</t>
  </si>
  <si>
    <t>Carriages from Victoria</t>
  </si>
  <si>
    <t>Photograph (b7w print)  10 cm x 10 cm;RESERVE 1 album</t>
  </si>
  <si>
    <t>Carriages from Victoria in Adelaide for use on suburban services.</t>
  </si>
  <si>
    <t>b20727239</t>
  </si>
  <si>
    <t>Locomotive Class "A"</t>
  </si>
  <si>
    <t>Locomotive Class "A", Silverton Tramways, Broken Hill.</t>
  </si>
  <si>
    <t>Locomotives -- New South Wales -- Broken Hill;Locomotives -- South Australia</t>
  </si>
  <si>
    <t>b20727240</t>
  </si>
  <si>
    <t>Locomotive Class "W"</t>
  </si>
  <si>
    <t>Locomotive Class "W", Silverton Tramways, Broken Hill.</t>
  </si>
  <si>
    <t>b20727252</t>
  </si>
  <si>
    <t>WAGR 'S' Locomotive</t>
  </si>
  <si>
    <t>WAGR 'S' Class locomotive.</t>
  </si>
  <si>
    <t>b20727264</t>
  </si>
  <si>
    <t>Locomotive Class "Y"</t>
  </si>
  <si>
    <t>Locomotive Class "Y", Silverton Tramways, Broken Hill.</t>
  </si>
  <si>
    <t>b20727306</t>
  </si>
  <si>
    <t>Locomotive at Milang</t>
  </si>
  <si>
    <t>Locomotive at Milang.</t>
  </si>
  <si>
    <t>Locomotives -- South Australia -- Milang</t>
  </si>
  <si>
    <t>b20727343</t>
  </si>
  <si>
    <t>Sturt River Bridge</t>
  </si>
  <si>
    <t>Sturt River Bridge, Glenelg Tramway.</t>
  </si>
  <si>
    <t>b20727355</t>
  </si>
  <si>
    <t>Signal Mast</t>
  </si>
  <si>
    <t>Signal mast at a railway siding for the Old Cheltenham Racecourse.</t>
  </si>
  <si>
    <t>b20727367</t>
  </si>
  <si>
    <t>Railway Platform, Cheltenham</t>
  </si>
  <si>
    <t>Railway platform area for the Old Cheltenham Racecourse.</t>
  </si>
  <si>
    <t>b20727379</t>
  </si>
  <si>
    <t>Locomotive Class "Y", Silverton Tramway, Peterborough.</t>
  </si>
  <si>
    <t>b20727409</t>
  </si>
  <si>
    <t>Train in Semaphore Station</t>
  </si>
  <si>
    <t>Train in Semaphore Station.</t>
  </si>
  <si>
    <t>b20727410</t>
  </si>
  <si>
    <t>Turnout from Glanville Station</t>
  </si>
  <si>
    <t>Turnout from Glanville Station into Semaphore Road.</t>
  </si>
  <si>
    <t>b20727422</t>
  </si>
  <si>
    <t>Locomotive 703</t>
  </si>
  <si>
    <t>Locomotive 703 at Tailem Bend.</t>
  </si>
  <si>
    <t>Locomotives -- South Australia -- Tailem Bend</t>
  </si>
  <si>
    <t>b20727434</t>
  </si>
  <si>
    <t>A.R.H.S. F 240</t>
  </si>
  <si>
    <t>A.R..H.S. F 240, first steam train to Tonsley.</t>
  </si>
  <si>
    <t>b20727458</t>
  </si>
  <si>
    <t>Standard Gauge Locomotive</t>
  </si>
  <si>
    <t>A standard gauge locomotive shunting, Whyalla.</t>
  </si>
  <si>
    <t>Locomotives -- South Australia -- Whyalla</t>
  </si>
  <si>
    <t>b2072746x</t>
  </si>
  <si>
    <t>Locomotive No.10</t>
  </si>
  <si>
    <t>Locomotive no.10, B.H.P., Whyalla.</t>
  </si>
  <si>
    <t>b20727471</t>
  </si>
  <si>
    <t>A.R.H.S. Passenger Train</t>
  </si>
  <si>
    <t>Photograph (b&amp;w print)  10.5 cm x 10.5 cm;RESERVE 1 album</t>
  </si>
  <si>
    <t>A.R.H.S.special passenger train, Whyalla to Iron Knob, B .H.P.</t>
  </si>
  <si>
    <t>b20727483</t>
  </si>
  <si>
    <t>Standard gauge locomotive</t>
  </si>
  <si>
    <t>Standard gauge locomotive, B.H.P., Whyalla.</t>
  </si>
  <si>
    <t>b20727495</t>
  </si>
  <si>
    <t>Double rail</t>
  </si>
  <si>
    <t>Double rail and cast iron chains, Northfield to Yatala Jail.</t>
  </si>
  <si>
    <t>b20727501</t>
  </si>
  <si>
    <t>b20727513</t>
  </si>
  <si>
    <t>b20727525</t>
  </si>
  <si>
    <t>Suburban railway carriage</t>
  </si>
  <si>
    <t>Interior of a South Australian Railways suburban train carriage.</t>
  </si>
  <si>
    <t>b20735972</t>
  </si>
  <si>
    <t>King William Street, Adelaide</t>
  </si>
  <si>
    <t>Photograph (b&amp;w print)  8.5 cm x 13.4 cm;RESERVE 1</t>
  </si>
  <si>
    <t>ACRE 17: King William Street, Adelaide, photographed from the North Terrace intersection, including the South African War memorial statue.</t>
  </si>
  <si>
    <t>Soldiers' monuments -- South Australia -- Adelaide;South African War Memorial (Adelaide, S.A.);South African War,1899-1902 -- Monuments -- South Australia -- Adelaide;Architecture -- South Australia -- Adelaide;King William Street (Adelaide, S.A.);Adelaide (S.A.) -- Buildings, structures, etc.</t>
  </si>
  <si>
    <t>Acre 17 Collection</t>
  </si>
  <si>
    <t>b20735984</t>
  </si>
  <si>
    <t>Colonel Light statue, Montefiore Hill</t>
  </si>
  <si>
    <t>Photograph (b&amp;w print)  8.7 cm x 14 cm;RESERVE 1</t>
  </si>
  <si>
    <t>MONTEFIORE HILL: Panoramic view of the city of Adelaide as seen from Montefiore Hill lookout near the Colonel Light statue.</t>
  </si>
  <si>
    <t>Light, William, 1786-1839 -- Monuments;Statues -- South Australia -- Adelaide;Adelaide (S.A.) -- Buildings, structures, etc.</t>
  </si>
  <si>
    <t>Montefiore Hill Collection;Adelaide Views Collection</t>
  </si>
  <si>
    <t>b20735996</t>
  </si>
  <si>
    <t>Photograph (b&amp;w print)  8.6 cm x 13.9 cm;RESERVE 1</t>
  </si>
  <si>
    <t>Adelaide City Bridge, part of Lake Torrens, and the surrounding parklands.</t>
  </si>
  <si>
    <t>Bridges -- South Australia -- Adelaide;City Bridge (Adelaide, S.A.);Torrens, Lake (Adelaide, S.A.);Adelaide (S.A.) -- Buildings, structures, etc.</t>
  </si>
  <si>
    <t>Adelaide Bridge Collection;Adelaide Views Collection</t>
  </si>
  <si>
    <t>b20736009</t>
  </si>
  <si>
    <t>Railway station, Adelaide</t>
  </si>
  <si>
    <t>Photograph (b&amp;w print), 8.6 cm x 13.4 cm;RESERVE 1</t>
  </si>
  <si>
    <t>ADELAIDE RAILWAY STATION: Premises of the railway station, Adelaide, a view taken from an overlooking high point showing the Torrens River and parklands beyond.</t>
  </si>
  <si>
    <t>Adelaide Railway Station;Railroad stations -- South Australia -- Adelaide;Torrens, River (S.A.)</t>
  </si>
  <si>
    <t>Railway Station Collection;Adelaide Views Collection</t>
  </si>
  <si>
    <t>b20736010</t>
  </si>
  <si>
    <t>Victoria Square, Adelaide</t>
  </si>
  <si>
    <t>VICTORIA SQUARE: Victoria Square, Adelaide, showing shaped lawns and flower beds where pedestrians walk near the traffic of trams and motor cars.</t>
  </si>
  <si>
    <t>Victoria Square (Adelaide, S.A.)</t>
  </si>
  <si>
    <t>Victoria Square Collection;Adelaide Views Collection</t>
  </si>
  <si>
    <t>b20736022</t>
  </si>
  <si>
    <t>Photograph (b&amp;w print)  8.5 cm x 13.8 cm;RESERVE 1</t>
  </si>
  <si>
    <t>ACRE 17: Panoramic view of the City of Adelaide showing King William Street in the foreground.</t>
  </si>
  <si>
    <t>Architecture -- South Australia -- Adelaide;King William Street (Adelaide, S.A.);Adelaide (S.A.) -- Buildings, structures, etc.</t>
  </si>
  <si>
    <t>b20736034</t>
  </si>
  <si>
    <t>South Australian National War Memorial</t>
  </si>
  <si>
    <t>WAR MEMORIAL: The war memorial monument on North Terrace, Adelaide, South Australia.</t>
  </si>
  <si>
    <t>World War, 1939-1945 -- Monuments -- South Australia -- Adelaide;National War Memorial (Adelaide, S.A.);War memorials -- South Australia -- Adelaide;World War, 1914-1918 -- Monuments -- South Australia -- Adelaide</t>
  </si>
  <si>
    <t>War Memorial Collection;Adelaide Views Collection</t>
  </si>
  <si>
    <t>b20736046</t>
  </si>
  <si>
    <t>North Terrace, Adelaide</t>
  </si>
  <si>
    <t>Photograph (b&amp;w print)  8.5 cm x 13.9 cm;RESERVE 1</t>
  </si>
  <si>
    <t>NORTH TERRACE: Avenue of trees growing along the side of the cultural precinct, North Terrace, Adelaide.</t>
  </si>
  <si>
    <t>Trees -- South Australia -- Adelaide;North Terrace (Adelaide, S.A.);Adelaide (S.A.) -- Buildings, structures, etc.</t>
  </si>
  <si>
    <t>North Terrace Collection;Adelaide Views Collection</t>
  </si>
  <si>
    <t>b2073606x</t>
  </si>
  <si>
    <t>University footbridge, Adelaide</t>
  </si>
  <si>
    <t>UNIVERSITY FOOTBRIDGE: Distant view of the University footbridge leading from parklands over the Torrens River, Adelaide, South Australia.</t>
  </si>
  <si>
    <t>Bridges -- South Australia -- Adelaide;Parks -- South Australia -- Adelaide;University Footbridge (Adelaide, S.A.)</t>
  </si>
  <si>
    <t>Adelaide Views Collection;University Footbridge Collection</t>
  </si>
  <si>
    <t>b20736071</t>
  </si>
  <si>
    <t>Town Hall, Adelaide</t>
  </si>
  <si>
    <t>Photograph (b&amp;w print)  13.5 cm x 8.5 cm;RESERVE 1</t>
  </si>
  <si>
    <t>ACRE 203: Premises of the Town Hall, King William Street, Adelaide.</t>
  </si>
  <si>
    <t>Adelaide Town Hall;Municipal buildings -- South Australia -- Adelaide;Architecture -- South Australia -- Adelaide;Public buildings -- South Australia -- Adelaide</t>
  </si>
  <si>
    <t>b20736083</t>
  </si>
  <si>
    <t>Photograph (b&amp;w print)  13.7 cm x 8.5 cm;RESERVE 1</t>
  </si>
  <si>
    <t>NORTH TERRACE: North Terrace, Adelaide, looking west.</t>
  </si>
  <si>
    <t>Architecture -- South Australia -- Adelaide;North Terrace (Adelaide, S.A.);Adelaide (S.A.) -- Buildings, structures, etc.</t>
  </si>
  <si>
    <t>b20736095</t>
  </si>
  <si>
    <t>Corner of King William St. and North Terrace</t>
  </si>
  <si>
    <t>Photograph (b&amp;w print)  8.8 cm x 14 cm;RESERVE 1</t>
  </si>
  <si>
    <t>ACRE 17: City of Adelaide scene showing the corner of King William Street and North Terrace.</t>
  </si>
  <si>
    <t>North Terrace (Adelaide, S.A.);King William Street (Adelaide, S.A.);Adelaide (S.A.) -- Buildings, structures, etc.</t>
  </si>
  <si>
    <t>b20736101</t>
  </si>
  <si>
    <t>NORTH TERRACE: Part of North Terrace, Adelaide  a view taken from the corner of Kintore Avenue, looking west.</t>
  </si>
  <si>
    <t>b20736113</t>
  </si>
  <si>
    <t>Photograph (b&amp;w print)  8.4 cm x 13.7 cm;RESERVE 1</t>
  </si>
  <si>
    <t>ACRE 703: St. Peter's Cathedral, North Adelaide, South Australia.</t>
  </si>
  <si>
    <t>St. Peter's Cathedral (Adelaide, S.A.);Cathedrals -- South Australia -- Adelaide;Church architecture -- South Australia -- Adelaide</t>
  </si>
  <si>
    <t>Acre 703 Collection</t>
  </si>
  <si>
    <t>b20736125</t>
  </si>
  <si>
    <t>Torrens River, Adelaide</t>
  </si>
  <si>
    <t>TORRENS RIVER: Part of the Torrens River in Adelaide, a view showing the premises of the Railway Station in the background.</t>
  </si>
  <si>
    <t>Adelaide Railway Station;Rivers -- South Australia -- Adelaide;Railroad stations -- South Australia -- Adelaide;Torrens, River (S.A.)</t>
  </si>
  <si>
    <t>Torrens River Collection</t>
  </si>
  <si>
    <t>b20736137</t>
  </si>
  <si>
    <t>Photograph (b&amp;w print)  8.8 cm x 13.5 cm;RESERVE 1</t>
  </si>
  <si>
    <t>ACRE 47: King William Street in the centre of Adelaide, looking north.</t>
  </si>
  <si>
    <t>Stores, Retail -- South Australia -- Adelaide;Architecture -- South Australia -- Adelaide;King William Street (Adelaide, S.A.);Adelaide (S.A.) -- Buildings, structures, etc.</t>
  </si>
  <si>
    <t>b20736149</t>
  </si>
  <si>
    <t>Photograph (b&amp;w print)  8.5 cm x 13.5 cm;RESERVE 1</t>
  </si>
  <si>
    <t>The Adelaide General Post Office on the corner of Franklin Street and King William Street, looking north along King William Street with the Town Hall clock tower on the right.</t>
  </si>
  <si>
    <t>Post office buildings -- South Australia -- Adelaide;General Post Office (Adelaide, S.A.);King William Street (Adelaide, S.A.);Adelaide (S.A.) -- Buildings, structures, etc.</t>
  </si>
  <si>
    <t>Acre 237 Collection</t>
  </si>
  <si>
    <t>b20736150</t>
  </si>
  <si>
    <t>WAR MEMORIAL: Overhead view of the national war memorial sited on the corner of Kintore Avenue and North Terrace, Adelaide, the premises of Government House and its grounds can be seen in the background.</t>
  </si>
  <si>
    <t>Government House (Adelaide, S.A.);War memorials -- South Australia -- Adelaide</t>
  </si>
  <si>
    <t>b20736162</t>
  </si>
  <si>
    <t>Botanic Gardens, Adelaide</t>
  </si>
  <si>
    <t>Photograph (b&amp;w print)  8.8 cm x 13.8 cm;RESERVE 1</t>
  </si>
  <si>
    <t>BOTANIC GARDENS: Part of the landscaping and walkways at the Botanic Gardens, Adelaide, South Australia.</t>
  </si>
  <si>
    <t>Adelaide Botanic Garden;Botanical gardens -- South Australia -- Adelaide;Gardens -- South Australia -- Adelaide</t>
  </si>
  <si>
    <t>b20736174</t>
  </si>
  <si>
    <t>Waterfall Gully, Adelaide</t>
  </si>
  <si>
    <t>Photograph (b&amp;w print)  8.6 cm x 13.5 cm;RESERVE 1</t>
  </si>
  <si>
    <t>WATERFALL GULLY: Part of the walk and facilities at Waterfall Gully beauty spot in the foothills of the Adelaide plains, South Australia.</t>
  </si>
  <si>
    <t>National parks and reserves -- South Australia -- Adelaide Region;Waterfall Gully (S.A.)</t>
  </si>
  <si>
    <t>Waterfall Gully Collection</t>
  </si>
  <si>
    <t>b20736186</t>
  </si>
  <si>
    <t>Soldiers' Memorial Hall, Renmark</t>
  </si>
  <si>
    <t>Photograph (b&amp;w print)  9 cm x 13.9 cm;RESERVE 1</t>
  </si>
  <si>
    <t>RENMARK: Premises of the Soldiers' Memorial Hall, Renmark, South Australia situated behind the war memorial stone cross.</t>
  </si>
  <si>
    <t>Soldiers' Memorial Hall (Renmark, S.A.);Halls -- South Australia -- Renmark;War memorials -- South Australia -- Renmark</t>
  </si>
  <si>
    <t>b20736198</t>
  </si>
  <si>
    <t>Post office at Renmark</t>
  </si>
  <si>
    <t>Photograph (b&amp;w print)  8.9 cm x 13.5 cm;RESERVE 1</t>
  </si>
  <si>
    <t>RENMARK: Premises of the post office at Renmark, South Australia with a stone memorial erected at a road intersection in the foreground.</t>
  </si>
  <si>
    <t>Post office buildings -- South Australia -- Renmark;Memorials -- South Australia -- Renmark</t>
  </si>
  <si>
    <t>b20736204</t>
  </si>
  <si>
    <t>Renmark Avenue, Renmark</t>
  </si>
  <si>
    <t>Photograph (b&amp;w print)  9 cm x 13.5 cm;RESERVE 1</t>
  </si>
  <si>
    <t>RENMARK: Part of Renmark Avenue, Renkmark, South Australia.</t>
  </si>
  <si>
    <t>Streets -- South Australia -- Renmark;Renmark Avenue (Renmark, S.A.);Renmark (S.A.) -- Buildings, structures, etc.</t>
  </si>
  <si>
    <t>b20736216</t>
  </si>
  <si>
    <t>Ral Ral Avenue, Renmark</t>
  </si>
  <si>
    <t>Photograph (b&amp;w print)  9 cm x 13.7 cm;RESERVE 1</t>
  </si>
  <si>
    <t>RENMARK: Part of Ral Ral Avenue, Renmark, South Australia.</t>
  </si>
  <si>
    <t>Streets -- South Australia -- Renmark;Ral Ral Avenue (Renmark, S.A.);Renmark (S.A.) -- Buildings, structures, etc.</t>
  </si>
  <si>
    <t>b20736228</t>
  </si>
  <si>
    <t>Band rotunda and gardens, Renmark</t>
  </si>
  <si>
    <t>Photograph (b&amp;w print)  9 cm x 14 cm;RESERVE 1</t>
  </si>
  <si>
    <t>RENMARK: The band rotunda and gardens at Renmark, South Australia.</t>
  </si>
  <si>
    <t>Rotundas -- South Australia -- Renmark;Gardens -- South Australia -- Renmark</t>
  </si>
  <si>
    <t>b2073623x</t>
  </si>
  <si>
    <t>Paringa Bridge, Renmark</t>
  </si>
  <si>
    <t>RENMARK: Paringa bridge, built over the Murray River at Renmark, South Australia.</t>
  </si>
  <si>
    <t>Paringa Bridge (Renmark, S.A.);Murray River (N.S.W.- S.A.);Bridges -- South Australia -- Renmark</t>
  </si>
  <si>
    <t>b20736241</t>
  </si>
  <si>
    <t>Weir and lock at Renmark</t>
  </si>
  <si>
    <t>Photograph (b&amp;w print)  8.8 cm x 13.6 cm;RESERVE 1</t>
  </si>
  <si>
    <t>RENMARK: The weir and lock on the Murray River at Renmark, South Australia.</t>
  </si>
  <si>
    <t>Weirs -- South Australia -- Renmark;Locks (Hydraulic engineering -- South Australia -- Renmark;Murray River (N.S.W.- S.A.)</t>
  </si>
  <si>
    <t>b20736253</t>
  </si>
  <si>
    <t>Murray River at Renmark</t>
  </si>
  <si>
    <t>RESERVE 1;Photograph (b&amp;w print)  9 cm x 14 cm</t>
  </si>
  <si>
    <t>RENMARK: Part of the Murray River photographed at Renmark, South Australia.</t>
  </si>
  <si>
    <t>Rivers -- South Australia -- Renmark;Murray River (N.S.W.- S.A.)</t>
  </si>
  <si>
    <t>b20736265</t>
  </si>
  <si>
    <t>PS 'Marion' at Bookpurnong</t>
  </si>
  <si>
    <t>Paddle steamer 'Marion' at Bookpurnong on the Murray River, between Berri and Loxton, South Australia.</t>
  </si>
  <si>
    <t>Marion (Paddle steamer);Paddle steamers -- South Australia -- Bookpurnong;Murray River (N.S.W.- S.A.)</t>
  </si>
  <si>
    <t>Loxton Collection</t>
  </si>
  <si>
    <t>b20736277</t>
  </si>
  <si>
    <t>Pelicans at Lake Bonney</t>
  </si>
  <si>
    <t>LAKE BONNEY: Pelicans on Lake Bonney, South Australia.</t>
  </si>
  <si>
    <t>Pelicans -- South Australia -- Bonney, Lake, Riverland (S.A.);Lakes -- South Australia -- Bonney, Lake, Riverland (S.A.)</t>
  </si>
  <si>
    <t>Lake Bonney Collection</t>
  </si>
  <si>
    <t>b20736289</t>
  </si>
  <si>
    <t>The causeway, Victor Harbor</t>
  </si>
  <si>
    <t>Photograph (b&amp;w print)  13.8 cm x 8.5 cm;RESERVE 1</t>
  </si>
  <si>
    <t>VICTOR HARBOR: The causeway connecting Victor Harbor with Granite Island  a view taken from the Island.</t>
  </si>
  <si>
    <t>Bridges -- South Australia -- Victor Harbor</t>
  </si>
  <si>
    <t>b20736290</t>
  </si>
  <si>
    <t>Victor Harbor, South Australia</t>
  </si>
  <si>
    <t>Photograph (b&amp;w print)  8.9 cm x 14 cm;RESERVE 1</t>
  </si>
  <si>
    <t>VICTOR HARBOR: Panoramic view of Victor Harbor, Encounter Bay and the Bluff in the distance.</t>
  </si>
  <si>
    <t>Coasts -- South Australia -- Victor Harbor;Victor Harbor (S.A.)</t>
  </si>
  <si>
    <t>b20736307</t>
  </si>
  <si>
    <t>Victor Harbor from Granite Island</t>
  </si>
  <si>
    <t>Photograph (b&amp;w print)  8.9 cm x 14.2 cm;RESERVE 1</t>
  </si>
  <si>
    <t>VICTOR HARBOR: Distant view of Victor Harbor and its causeway to Granite Island, taken from a high point on the island.</t>
  </si>
  <si>
    <t>Bridges -- South Australia -- Victor Harbor;Victor Harbor (S.A.)</t>
  </si>
  <si>
    <t>b20736319</t>
  </si>
  <si>
    <t>Horse tram, Granite Island</t>
  </si>
  <si>
    <t>GRANITE ISLAND: A horse driven tram taking on passsengers from Granite Island to return across the causeway to Victor Harbor, South Australia.</t>
  </si>
  <si>
    <t>Horse-drawn vehicles -- South Australia -- Victor Harbor;Horse tramways -- South Australia -- Victor Harbor;Trams -- South Australia -- Victor Harbor</t>
  </si>
  <si>
    <t>Granite Island Collection</t>
  </si>
  <si>
    <t>b20736320</t>
  </si>
  <si>
    <t>Victor Harbor</t>
  </si>
  <si>
    <t>Photograph (b&amp;w print)  8.6 cm x 14 cm;RESERVE 1</t>
  </si>
  <si>
    <t>VICTOR HARBOR: Victor Harbor and Granite Island, a close view taken from a high point.</t>
  </si>
  <si>
    <t>Islands -- South Australia -- Granite Island;Granite Island (S.A.);Victor Harbor (S.A.) -- Buildings, structures, etc.</t>
  </si>
  <si>
    <t>b20739916</t>
  </si>
  <si>
    <t>Brownrigg, Marcus B., photographer</t>
  </si>
  <si>
    <t>W. Dunne &amp; Sons, Highbury</t>
  </si>
  <si>
    <t>photograph  15 x 21.5 cm</t>
  </si>
  <si>
    <t>HIGHBURY: Partial view of the workings at the stone quarry at Highbury owned by W. Dunne &amp; Sons, an area now used as Tea Tree Gully rubbish tip.</t>
  </si>
  <si>
    <t>W. Dunne &amp; Sons;Quarries and quarrying -- South Australia -- Highbury</t>
  </si>
  <si>
    <t>Highbury Collection</t>
  </si>
  <si>
    <t>b20739928</t>
  </si>
  <si>
    <t>photograph  21 x 16.5 cm</t>
  </si>
  <si>
    <t>HIGHBURY: Partial view of the workings at the stone quarry, Highbury owned by W. Dunne &amp; Sons, an area now used as Tea Tree Gully rubbish tip.</t>
  </si>
  <si>
    <t>b2073993x</t>
  </si>
  <si>
    <t>photograph  21.5 x 16.5 cm</t>
  </si>
  <si>
    <t>b20739941</t>
  </si>
  <si>
    <t>photograph  21.5 x 17 cm</t>
  </si>
  <si>
    <t>b2074044x</t>
  </si>
  <si>
    <t>Australian Rules football team</t>
  </si>
  <si>
    <t>Photograph (b&amp;w print)  6.6 cm x 12.7 cm;RESERVE 1</t>
  </si>
  <si>
    <t>GENERAL: Members of an Australian Rules football team in South Australia  names not known.</t>
  </si>
  <si>
    <t>Australian football players -- South Australia</t>
  </si>
  <si>
    <t>b20749934</t>
  </si>
  <si>
    <t>Black Forest Presbyterian Church Hall</t>
  </si>
  <si>
    <t>Photograph (b&amp;w print)  6.2 cm x 8.7 cm</t>
  </si>
  <si>
    <t>BLACK FOREST: Black Forest Presbyterian Church Hall.</t>
  </si>
  <si>
    <t>Presbyterian Church -- South Australia -- Black Forest</t>
  </si>
  <si>
    <t>Black Forest Collection</t>
  </si>
  <si>
    <t>b20750572</t>
  </si>
  <si>
    <t>Mervyn F. Culliford</t>
  </si>
  <si>
    <t>Photograph (tinted print)  20.2 cm x 15.1 cm</t>
  </si>
  <si>
    <t>PORTRAIT: Mervyn F. Culliford who was session clerk at the Goodwood Presbyterian Church.</t>
  </si>
  <si>
    <t>Culliford, Mervyn F.;Presbyterian Church of Australia -- South Australia -- Goodwood</t>
  </si>
  <si>
    <t>b20751588</t>
  </si>
  <si>
    <t>Hartley Leonard Darby</t>
  </si>
  <si>
    <t>PORTRAIT: Hartley Leonard Darby, a South Australian sculptor and monumental mason.</t>
  </si>
  <si>
    <t>Darby, Hartley Leonard, 1889-1969;Sculptors -- South Australia -- Adelaide</t>
  </si>
  <si>
    <t>b20752982</t>
  </si>
  <si>
    <t>Arnold Studios, photographer</t>
  </si>
  <si>
    <t>Tractor pulling a harvester</t>
  </si>
  <si>
    <t>Photograph (b&amp;w print)  20.2 cm x 25.5 cm;RESERVE 1</t>
  </si>
  <si>
    <t>GENERAL: A tractor pulling a harvester built by David Shearer Limited of Mannum.</t>
  </si>
  <si>
    <t>David Shearer Limited;Agricultural machinery -- Harvesters -- South Australia;Tractors</t>
  </si>
  <si>
    <t>b20752994</t>
  </si>
  <si>
    <t>Van Elsen Photographics, photographer</t>
  </si>
  <si>
    <t>Photograph (b&amp;w print)  20.3 cm x 25.8 cm;RESERVE 1</t>
  </si>
  <si>
    <t>GENERAL: A tractor pulling a harvester, built by David Shearer Limited of Mannum, through a field of grain.</t>
  </si>
  <si>
    <t>b20753317</t>
  </si>
  <si>
    <t>Construction of a Housing Trust home</t>
  </si>
  <si>
    <t>GENERAL: Builders constructing a Housing Trust home.</t>
  </si>
  <si>
    <t>South Australia. Housing Trust;Building sites -- South Australia;Housing -- South Australia</t>
  </si>
  <si>
    <t>b20753329</t>
  </si>
  <si>
    <t>GENERAL: Builders putting the roof on a Housing Trust home.</t>
  </si>
  <si>
    <t>b20753330</t>
  </si>
  <si>
    <t>GENERAL: Construction of a Housing Trust home.</t>
  </si>
  <si>
    <t>b20753342</t>
  </si>
  <si>
    <t>GENERAL: Builders working on the roof of a Housing Trust home.</t>
  </si>
  <si>
    <t>South Australia. Housing Trust;Construction workers -- South Australia;Building -- South Australia</t>
  </si>
  <si>
    <t>b20753408</t>
  </si>
  <si>
    <t>Frank Boase, photographer</t>
  </si>
  <si>
    <t>Interior of a Housing Trust home</t>
  </si>
  <si>
    <t>GENERAL: Interior view of the kitchen and dining area of a Housing Trust home.</t>
  </si>
  <si>
    <t>South Australia. Housing Trust;Kitchens -- South Australia;Housing -- South Australia</t>
  </si>
  <si>
    <t>b2075341x</t>
  </si>
  <si>
    <t>b20755016</t>
  </si>
  <si>
    <t>'Saltram' a residence at Glenelg</t>
  </si>
  <si>
    <t>GLENELG: A large residence known as 'Saltram' built on the esplanade at Glenelg, South Australia.</t>
  </si>
  <si>
    <t>Architecture, Domestic -- South Australia -- Glenelg</t>
  </si>
  <si>
    <t>b20755648</t>
  </si>
  <si>
    <t>Bus outside the Meningie Hotel</t>
  </si>
  <si>
    <t>MENINGIE: An articulated bus waiting outside the Meningie Hotel.</t>
  </si>
  <si>
    <t>Meningie Hotel;Hotels -- South Australia -- Meningie;Buses -- South Australia</t>
  </si>
  <si>
    <t>Meningie Collection</t>
  </si>
  <si>
    <t>b2075596x</t>
  </si>
  <si>
    <t>Jolly, Lew, photographer</t>
  </si>
  <si>
    <t>Cricket club picnic</t>
  </si>
  <si>
    <t>Photograph (b&amp;w print)  18.2 cm x 29.7 cm;RESERVE 1</t>
  </si>
  <si>
    <t>GENERAL: A group of happy men photographed after a cricket match in South Australia  names not known.</t>
  </si>
  <si>
    <t>b20759204</t>
  </si>
  <si>
    <t>Residence at Port Elliot</t>
  </si>
  <si>
    <t>Photograph  15.5 cm x 10 cm</t>
  </si>
  <si>
    <t>PORT ELLIOT:  A house built in about 1900, by this time the verandah had been removed  now demolished.</t>
  </si>
  <si>
    <t>Cottages -- South Australia -- Port Elliot</t>
  </si>
  <si>
    <t>b20772154</t>
  </si>
  <si>
    <t>Sir Robert Helpmann and Margot Fonteyn</t>
  </si>
  <si>
    <t>Photograph (b&amp;w print)  16.4 cm x 21.7 cm;RESERVE 1</t>
  </si>
  <si>
    <t>GENERAL:  Sir Robert Helpmann and Margot Fonteyn performing lead roles in The Sleeping Beauty, location unknown.</t>
  </si>
  <si>
    <t>Fonteyn, Margot, 1919-1991;Helpmann, Robert, Sir, 1909-1986;Ballet dancers -- Australia</t>
  </si>
  <si>
    <t>b20773523</t>
  </si>
  <si>
    <t>The weir at Clarendon</t>
  </si>
  <si>
    <t>CLARENDON: A view of the weir at Clarendon.</t>
  </si>
  <si>
    <t>Weirs -- South Australia -- Clarendon</t>
  </si>
  <si>
    <t>b20779525</t>
  </si>
  <si>
    <t>Carrisbrook Park at Salisbury</t>
  </si>
  <si>
    <t>Photograph (b&amp;w print)  8.7 cm x 12.7 cm;RESERVE 1</t>
  </si>
  <si>
    <t>SALISBURY:  A view of Carrisbrook Park at Salisbury.</t>
  </si>
  <si>
    <t>b20779537</t>
  </si>
  <si>
    <t>Interior of a machine shop</t>
  </si>
  <si>
    <t>Photograph (b&amp;w print)  25.2 cm x 20.2 cm;RESERVE 1</t>
  </si>
  <si>
    <t>GAWLER:  A view taken inside a machine shop, possibly at James Martin's.</t>
  </si>
  <si>
    <t>Factories -- South Australia -- Gawler</t>
  </si>
  <si>
    <t>b20779951</t>
  </si>
  <si>
    <t>Thomas, B., photographer</t>
  </si>
  <si>
    <t>A judge in full court dress</t>
  </si>
  <si>
    <t>Photograph (b&amp;w print)  25.5 cm x 19 cm (image)   38 cm x 30.3 cm (mount);RESERVE 1 b</t>
  </si>
  <si>
    <t>COSTUME:  A judge in full court dress.</t>
  </si>
  <si>
    <t>Clothing and dress;Judges</t>
  </si>
  <si>
    <t>Costume Collection</t>
  </si>
  <si>
    <t>b20784508</t>
  </si>
  <si>
    <t>Group of people embarking on a journey to Leigh Creek</t>
  </si>
  <si>
    <t>RESERVE 1;Photograph (b&amp;w print)  10 cm x 15.3 cm (image)   12.6 cm x 17.6 cm (mount)</t>
  </si>
  <si>
    <t>GENERAL: A group of people embarking on a journey to Leigh Creek coal field. Sir Thomas Playford is 5th from the right.</t>
  </si>
  <si>
    <t>Politicians -- South Australia;Air Hostesses -- South Australia</t>
  </si>
  <si>
    <t>b20789452</t>
  </si>
  <si>
    <t>Elena Rubeo</t>
  </si>
  <si>
    <t>Photograph (b&amp;w print)  8.8 cm x 6.5 cm;RESERVE 1</t>
  </si>
  <si>
    <t>PORTRAIT: Elena Rubeo who helped migrants in many ways, including establishing clubs.</t>
  </si>
  <si>
    <t>Rubeo, Elena;Emigration and immigration -- South Australia</t>
  </si>
  <si>
    <t>b20789464</t>
  </si>
  <si>
    <t>Marjory Mead</t>
  </si>
  <si>
    <t>Photograph (b&amp;w print)  16 cm x 13.2 cm;RESERVE 1</t>
  </si>
  <si>
    <t>PORTRAIT: Marjory Mead, active in education in South Australia.</t>
  </si>
  <si>
    <t>Mead, Marjory, 1903-1973;Educators -- South Australia;Women -- South Australia</t>
  </si>
  <si>
    <t>b20789476</t>
  </si>
  <si>
    <t>Dorothy Hughes</t>
  </si>
  <si>
    <t>Photograph (b&amp;w print)  12 cm x 9 cm (image)   18 cm x 13.8 cm (mount);RESERVE 1</t>
  </si>
  <si>
    <t>PORTRAIT: Dorothy Hughes, active in education in South Australia.</t>
  </si>
  <si>
    <t>Hughes, Dorothy;Educators -- South Australia;Women -- South Australia</t>
  </si>
  <si>
    <t>b20795762</t>
  </si>
  <si>
    <t>Residence on Railway Terrace, Morphettville Park</t>
  </si>
  <si>
    <t>Photograph (b&amp;w print)  6.5 cm x 11 cm;RESERVE 1</t>
  </si>
  <si>
    <t>MORPHETTVILLE PARK: Home called 'Rosstan', Railway Terrace, Morphettville Park.</t>
  </si>
  <si>
    <t>Architecture, Domestic -- South Australia -- Morphettville Park</t>
  </si>
  <si>
    <t>Morphettville Park Collection</t>
  </si>
  <si>
    <t>b20796353</t>
  </si>
  <si>
    <t>Members of the Henley and Grange Band</t>
  </si>
  <si>
    <t>Photograph (b&amp;w print)  8.8 cm x 13.9 cm;RESERVE 1</t>
  </si>
  <si>
    <t>HENLEY BEACH: Members of the Henley and Grange Band, taken at Henley Beach.  Seventh from the left: A.J. Roberts  tenth from the left: L.J. Roberts.</t>
  </si>
  <si>
    <t>Bandsmen -- South Australia -- Henley Beach</t>
  </si>
  <si>
    <t>b20799007</t>
  </si>
  <si>
    <t>Agnes Poole standing with her washing basket</t>
  </si>
  <si>
    <t>MINLATON: Agnes Poole (nee Brown) standing with her washing basket by a large water tank, on a property at Minlaton.  An old fashion mangle stands on the verandah.</t>
  </si>
  <si>
    <t>Women -- South Australia -- Minlaton</t>
  </si>
  <si>
    <t>Minlaton Collection</t>
  </si>
  <si>
    <t>b20799196</t>
  </si>
  <si>
    <t>Women resting at the Chaffey Memorial, Mildura</t>
  </si>
  <si>
    <t>COSTUME: Three women resting during a Pioneer Coach tour at the Chaffey Memorial, Mildura.  Marion Beth Murdoch nee Poole is on the left.</t>
  </si>
  <si>
    <t>Clothing and dress;Monuments -- Victoria -- Mildura</t>
  </si>
  <si>
    <t>b20799202</t>
  </si>
  <si>
    <t>Picnic at Carribie</t>
  </si>
  <si>
    <t>CARRIBIE: A Picnic Day gathering in the sandhills at Carribie.</t>
  </si>
  <si>
    <t>Picnics -- South Australia -- Carribie</t>
  </si>
  <si>
    <t>Carribie Collection</t>
  </si>
  <si>
    <t>b2079969x</t>
  </si>
  <si>
    <t>Young man with his motorbike in Gawler</t>
  </si>
  <si>
    <t>GAWLER: Young man sitting astride a motorbike in the main street.</t>
  </si>
  <si>
    <t>Motorcycles -- South Australia -- Gawler</t>
  </si>
  <si>
    <t>b20799718</t>
  </si>
  <si>
    <t>Man and a woman sitting on a motorbike</t>
  </si>
  <si>
    <t>GENERAL: Man and a woman sitting on a motorbike.</t>
  </si>
  <si>
    <t>Motorcycles</t>
  </si>
  <si>
    <t>b20800174</t>
  </si>
  <si>
    <t>Young children at the Goodwood Orphanage</t>
  </si>
  <si>
    <t>GOODWOOD: Three young children sitting on a swing at the Goodwood Orphanage.  Note the aprons worn by the girls as they were part of the orphanage uniform and the visitors shelter in the background.  Left-right: Carmel Howlett  Bernadette Howlett and their visiting brother Paul.</t>
  </si>
  <si>
    <t>Children -- South Australia -- Goodwood;Clothing and dress -- South Australia -- Goodwood</t>
  </si>
  <si>
    <t>Goodwood Collection</t>
  </si>
  <si>
    <t>b20800873</t>
  </si>
  <si>
    <t>Motor bike scramble at Woodside</t>
  </si>
  <si>
    <t>WOODSIDE: Motor bike taking part in a scramble on Donoghue's, a property at Woodside.</t>
  </si>
  <si>
    <t>b20800885</t>
  </si>
  <si>
    <t>WOODSIDE: Motor bike taking part in a scramble on Donoghue's property at Woodside.</t>
  </si>
  <si>
    <t>b20800915</t>
  </si>
  <si>
    <t>WOODSIDE: A tow truck towing away a racing car during street racing in Woodside.</t>
  </si>
  <si>
    <t>Automobiles -- South Australia -- Woodside -- Accidents;Automobiles -- Racing</t>
  </si>
  <si>
    <t>b20800964</t>
  </si>
  <si>
    <t>R.W. Bennett's Garage at Woodside</t>
  </si>
  <si>
    <t>WOODSIDE: Woodside Hotel stables which were converted to a garage for R.W. Bennett.</t>
  </si>
  <si>
    <t>Garages -- South Australia -- Woodside</t>
  </si>
  <si>
    <t>b20800988</t>
  </si>
  <si>
    <t>Woodside Post Office</t>
  </si>
  <si>
    <t>WOODSIDE: View of the newly built Post Office in Woodside.</t>
  </si>
  <si>
    <t>Postal Service -- South Australia -- Woodside</t>
  </si>
  <si>
    <t>b20801117</t>
  </si>
  <si>
    <t>Woodside Boys Scouts</t>
  </si>
  <si>
    <t>WOODSIDE: Group of Boy Scouts from the Woodside area.</t>
  </si>
  <si>
    <t>Boy Scouts -- South Australia -- Woodside</t>
  </si>
  <si>
    <t>b20801129</t>
  </si>
  <si>
    <t>Woodside Boy Scouts</t>
  </si>
  <si>
    <t>WOODSIDE: Group of Boy Scouts from the Woodside area standing eating apples.</t>
  </si>
  <si>
    <t>b20801257</t>
  </si>
  <si>
    <t>Woodside telephone exchange</t>
  </si>
  <si>
    <t>WOODSIDE: Building used as the telephone exchange, at Woodside, while the new post office was being built.</t>
  </si>
  <si>
    <t>Postal service -- South Australia -- Woodside</t>
  </si>
  <si>
    <t>b20801373</t>
  </si>
  <si>
    <t>Main Street of Woodside</t>
  </si>
  <si>
    <t>WOODSIDE: View of the main street.</t>
  </si>
  <si>
    <t>Stores, Retail -- South Australia -- Woodside</t>
  </si>
  <si>
    <t>b20801415</t>
  </si>
  <si>
    <t>View of the main street in Woodside</t>
  </si>
  <si>
    <t>WOODSIDE: View of the main street in Woodside.</t>
  </si>
  <si>
    <t>b20801452</t>
  </si>
  <si>
    <t>Residence in Woodside</t>
  </si>
  <si>
    <t>Photograph  10 cm x 15.5 cm</t>
  </si>
  <si>
    <t>WOODSIDE: House owned by Mrs. Kleinschmidt in Woodside.</t>
  </si>
  <si>
    <t>Cottages -- South Australia -- Woodside</t>
  </si>
  <si>
    <t>b20801531</t>
  </si>
  <si>
    <t>Young residents of Woodside</t>
  </si>
  <si>
    <t>WOODSIDE: Large group of young residents from the Woodside area, possibly at a cricket match.</t>
  </si>
  <si>
    <t>Children -- South Australia -- Woodside</t>
  </si>
  <si>
    <t>b20802262</t>
  </si>
  <si>
    <t>Penfolds Winery at Magill</t>
  </si>
  <si>
    <t>MAGILL: Composite of three views depicting Penfolds Wines.  They show members of the staff, a building and the yard.</t>
  </si>
  <si>
    <t>Wine and Wine Making -- South Australia -- Magill</t>
  </si>
  <si>
    <t>Magill Collection</t>
  </si>
  <si>
    <t>b20802274</t>
  </si>
  <si>
    <t>MAGILL: Young woman standing by truck loaded with grapes and a horse drawn wagon, outside Penfolds Wines.</t>
  </si>
  <si>
    <t>b20805366</t>
  </si>
  <si>
    <t>Mrs Ene-Mai Reinpuu with her bicycle</t>
  </si>
  <si>
    <t>GENERAL: Mrs Ene-Mai Reinpuu with her bicycle, her only means of transport after her arrival in Australia from Estonia.</t>
  </si>
  <si>
    <t>Emigration and Immigration</t>
  </si>
  <si>
    <t>b20805706</t>
  </si>
  <si>
    <t>South Australian tennis player, Adrian Quist</t>
  </si>
  <si>
    <t>Photograph (b&amp;w print)  14 cm x 8.8 cm;RESERVE 1</t>
  </si>
  <si>
    <t>GENERAL: South Australian tennis player, Adrian Quist.</t>
  </si>
  <si>
    <t>Tennis -- South Australia</t>
  </si>
  <si>
    <t>b20805718</t>
  </si>
  <si>
    <t>South Australian tennis player, Don Candy</t>
  </si>
  <si>
    <t>Photograph (b&amp;w print)  12.5 cm x 8.8 cm;RESERVE 1</t>
  </si>
  <si>
    <t>GENERAL: South Australian interstate tennis player, Don Candy.</t>
  </si>
  <si>
    <t>b2080572x</t>
  </si>
  <si>
    <t>South Australian tennis players, Don Candy and Ken McGregor</t>
  </si>
  <si>
    <t>Photograph (b&amp;w print)  13.8 cm x 9 cm;RESERVE 1</t>
  </si>
  <si>
    <t>GENERAL: South Australian tennis players, Don Candy and Ken McGregor.</t>
  </si>
  <si>
    <t>b20805731</t>
  </si>
  <si>
    <t>South Australian tennis player Ken McGregor</t>
  </si>
  <si>
    <t>Photograph (b&amp;w print)  12.6 cm x 8.4 cm;RESERVE 1</t>
  </si>
  <si>
    <t>GENERAL: South Australian tennis player Ken McGregor.</t>
  </si>
  <si>
    <t>b20805767</t>
  </si>
  <si>
    <t>A worker on Nullabah Station holding a sheep</t>
  </si>
  <si>
    <t>GENERAL: A worker on Nullabah Station holding a sheep.</t>
  </si>
  <si>
    <t>Agricultural laborers;Sheep</t>
  </si>
  <si>
    <t>b20807806</t>
  </si>
  <si>
    <t>Church picnic at National Park, Belair</t>
  </si>
  <si>
    <t>NATIONAL PARK, BELAIR: Members of the congregation from St. Cuthbert's Church, Prospect enjoying a picnic at National Park.  Ellen (Nell) Sharp is centre front with Mrs Haskard on her right wearing a white coat.</t>
  </si>
  <si>
    <t>Picnics -- South Australia -- Belair;Women -- South Australia</t>
  </si>
  <si>
    <t>National Park, Belair Collection</t>
  </si>
  <si>
    <t>b2081205x</t>
  </si>
  <si>
    <t>Yumali School</t>
  </si>
  <si>
    <t>YUMALI: School buildings used to house the Yumali School.</t>
  </si>
  <si>
    <t>Schools -- South Australia -- Yumali</t>
  </si>
  <si>
    <t>Yumali Collection</t>
  </si>
  <si>
    <t>b20815414</t>
  </si>
  <si>
    <t>A male voice choir</t>
  </si>
  <si>
    <t>Photograph (b&amp;w print)  8.9 cm x 14.1 cm;RESERVE 1</t>
  </si>
  <si>
    <t>GENERAL: A male voice choir  member Gerhard Graue is 6th from the right.</t>
  </si>
  <si>
    <t>Choirs (Music) -- South Australia</t>
  </si>
  <si>
    <t>b20815426</t>
  </si>
  <si>
    <t>Adelaide photographer Gerhard Graue</t>
  </si>
  <si>
    <t>Photograph (b&amp;w print)  8.7 cm x 13.6 cm;RESERVE 1</t>
  </si>
  <si>
    <t>PORTRAIT: Adelaide photographer Gerhard Graue (left) enjoying a social function.</t>
  </si>
  <si>
    <t>Graue, Gerhard;Photographers -- South Australia -- Adelaide</t>
  </si>
  <si>
    <t>b20815645</t>
  </si>
  <si>
    <t>Mr Murphy a member of the Cyclists' Rifle Club</t>
  </si>
  <si>
    <t>GENERAL: Mr Murphy of the Cyclists' Rifle Club setting his sights.</t>
  </si>
  <si>
    <t>Shooting -- South Australia</t>
  </si>
  <si>
    <t>b20816510</t>
  </si>
  <si>
    <t>Arthur J. (Bert) Bertram on stage with Fay Bainter</t>
  </si>
  <si>
    <t>GENERAL: Arthur J. (Bert) Bertram appearing on stage with Fay Bainter.</t>
  </si>
  <si>
    <t>Actors -- South Australia</t>
  </si>
  <si>
    <t>b20816522</t>
  </si>
  <si>
    <t>Arthur J. Bert Bertram on stage with Fay Bainter</t>
  </si>
  <si>
    <t>GENERAL: Arthur J. (Bert) Bertram appearing on stage with Fay Bainter (in the wheelchair).</t>
  </si>
  <si>
    <t>b20816534</t>
  </si>
  <si>
    <t>Arthur J. (Bert) Bertram (sitting) appearing on stage</t>
  </si>
  <si>
    <t>GENERAL: Arthur J. (Bert) Bertram (sitting) appearing on stage in 'Magnificent Yankee'.</t>
  </si>
  <si>
    <t>Actors -- South Australia -- Peterborough</t>
  </si>
  <si>
    <t>b20816546</t>
  </si>
  <si>
    <t>A scene from 'Ten Little Indians'</t>
  </si>
  <si>
    <t>GENERAL: A scene from 'Ten Little Indians'  l-r: John Fredericks  Helen Warren  Bert Bertram  Frank Wilcox  Ralph Meeker.</t>
  </si>
  <si>
    <t>b20816595</t>
  </si>
  <si>
    <t>Port Pirie Church of Christ</t>
  </si>
  <si>
    <t>Photograph (colour print)  8.8 cm x 8.5 cm;RESERVE 1</t>
  </si>
  <si>
    <t>PORT PIRIE: Church of Christ.</t>
  </si>
  <si>
    <t>Church architecture -- South Australia -- Port Pirie</t>
  </si>
  <si>
    <t>b20827015</t>
  </si>
  <si>
    <t>Premises of the Continental Delicatessen and Bakery, Adelaide</t>
  </si>
  <si>
    <t>ACRE 47: Premises of the Continental Delicatessen and Bakery, King William Street.</t>
  </si>
  <si>
    <t>Bakeries -- South Australia -- Adelaide</t>
  </si>
  <si>
    <t>b20827027</t>
  </si>
  <si>
    <t>Premises of the Don Tailors in Rundle Street, Adelaide</t>
  </si>
  <si>
    <t>Premises of the Don Tailors in the Truscott building, 7 Rundle Street.</t>
  </si>
  <si>
    <t>Tailors -- South Australia -- Adelaide;Stores, Retail -- South Australia -- Adelaide</t>
  </si>
  <si>
    <t>b20827039</t>
  </si>
  <si>
    <t>Premises of Thomas H. Webb Limited in Adelaide</t>
  </si>
  <si>
    <t>ACRE 172: Premises of Thomas H. Webb Limited, 30 Waymouth Street.</t>
  </si>
  <si>
    <t>Architecture -- South Australia -- Adelaide</t>
  </si>
  <si>
    <t>Acre 172 Collection</t>
  </si>
  <si>
    <t>b20827040</t>
  </si>
  <si>
    <t>Premises of Mases Meat Store in Adelaide</t>
  </si>
  <si>
    <t>ACRE 46: Premises of Mases Meat Store, 6 Rundle Street.</t>
  </si>
  <si>
    <t>Butchers -- South Australia -- Adelaide</t>
  </si>
  <si>
    <t>Acre 46 Collection</t>
  </si>
  <si>
    <t>b20827052</t>
  </si>
  <si>
    <t>Premises of Patches in Adelaide</t>
  </si>
  <si>
    <t>ACRE 46: Premises of Patches, women's clothing store, Rundle Street.</t>
  </si>
  <si>
    <t>Clothing and dress -- South Australia -- Adelaide;Stores, Retail -- South Australia -- Adelaide</t>
  </si>
  <si>
    <t>b20827064</t>
  </si>
  <si>
    <t>Myer department store in Adelaide</t>
  </si>
  <si>
    <t>ACRE 45: Entrance to the Myer department store, 22-24 Rundle Street.</t>
  </si>
  <si>
    <t>Stores, Retail -- South Australia -- Adelaide;Show Windows -- South Australia -- Adelaide</t>
  </si>
  <si>
    <t>Acre 45 Collection</t>
  </si>
  <si>
    <t>b20827076</t>
  </si>
  <si>
    <t>The bar in the Pier Hotel, Glenelg</t>
  </si>
  <si>
    <t>GLENELG: The bar in the Pier Hotel.</t>
  </si>
  <si>
    <t>Pier Hotel (Glenelg, S.A.);Bars (Drinking establishments) -- South Australia -- Glenelg;Hotels -- South Australia -- Glenelg</t>
  </si>
  <si>
    <t>b20827088</t>
  </si>
  <si>
    <t>Rainbow window design of a group of shops in Magill</t>
  </si>
  <si>
    <t>Rainbow window design of a group of shops in Magill. A researcher believes this to be at 381 Magill Rd, St Morris, as they understand that Gogler's Shoes used to be in one or two of these shops.</t>
  </si>
  <si>
    <t>Architecture -- South Australia -- Magill;Stores, Retail -- South Australia -- Magill;Stores, Retail -- South Australia -- St Morris</t>
  </si>
  <si>
    <t>Magill Collection;St Morris Collection</t>
  </si>
  <si>
    <t>b2082709x</t>
  </si>
  <si>
    <t>Front entrance to the Grosvenor Hotel, North Terrace</t>
  </si>
  <si>
    <t>ACRE 13: Front entrance to the Grosvenor Hotel, North Terrace.</t>
  </si>
  <si>
    <t>Grosvenor Hotel (Adelaide, S.A.);Hotels -- South Australia -- Adelaide</t>
  </si>
  <si>
    <t>Acre 13 Collection</t>
  </si>
  <si>
    <t>b20827106</t>
  </si>
  <si>
    <t>Premises of Barlows Shoe Store in Adelaide</t>
  </si>
  <si>
    <t>ACRE 82: Premises of Barlows Shoe Store, 67 Rundle Street.</t>
  </si>
  <si>
    <t>Stores, Retail -- South Australia -- Adelaide;Footwear -- South Australia -- Adelaide</t>
  </si>
  <si>
    <t>Acre 82 Collection</t>
  </si>
  <si>
    <t>b20827118</t>
  </si>
  <si>
    <t>Devon Milk Bar</t>
  </si>
  <si>
    <t>ACRE 43: Interior view of the Devon Milk Bar, 50A King William Street.</t>
  </si>
  <si>
    <t>Restaurants -- South Australia -- Adelaide;Interior architecture -- South Australia -- Adelaide</t>
  </si>
  <si>
    <t>Acre 43 Collection</t>
  </si>
  <si>
    <t>b2082712x</t>
  </si>
  <si>
    <t>Maple Leaf Cafe</t>
  </si>
  <si>
    <t>ACRE 80: Premises of the Maple Leaf Cafe, 21 Rundle Street.</t>
  </si>
  <si>
    <t>Restaurants -- South Australia -- Adelaide</t>
  </si>
  <si>
    <t>Acre 80 Collection</t>
  </si>
  <si>
    <t>b20827131</t>
  </si>
  <si>
    <t>Premises of Woolworths in Adelaide</t>
  </si>
  <si>
    <t>ACRE 42: Premises of Woolworths, 76-88 Rundle Street.</t>
  </si>
  <si>
    <t>Acre 42 Collection</t>
  </si>
  <si>
    <t>b20827271</t>
  </si>
  <si>
    <t>Premises of Coles Chemist Shop at Prospect</t>
  </si>
  <si>
    <t>PROSPECT: The premises of A.E. Coles Chemist Shop, situated at 140 North Road (now Main North Road).</t>
  </si>
  <si>
    <t>Chemists -- South Australia -- Prospect</t>
  </si>
  <si>
    <t>b20827283</t>
  </si>
  <si>
    <t>Renovations to the bathroom of a North Adelaide residence</t>
  </si>
  <si>
    <t>ACRE 826: View of renovations to the bathroom of a residence at 40 LeFevre Terrace North Adelaide.</t>
  </si>
  <si>
    <t>Interior architecture -- South Australia -- Adelaide</t>
  </si>
  <si>
    <t>Acre 826 Collection</t>
  </si>
  <si>
    <t>b20827295</t>
  </si>
  <si>
    <t>Premises of Charlick's in Adelaide</t>
  </si>
  <si>
    <t>ACRE 45: Premises of Charlick's, tea and coffee specialists, 15 Rundle Street.</t>
  </si>
  <si>
    <t>Stores, Retail -- South Australia -- Adelaide;Show windows -- South Australia -- Adelaide</t>
  </si>
  <si>
    <t>b20827301</t>
  </si>
  <si>
    <t>Premises of Rose Dixon in Adelaide</t>
  </si>
  <si>
    <t>ACRE 84: Premises of Rose Dixon, gown shop, 99 Rundle Street.</t>
  </si>
  <si>
    <t>Stores, Retail -- South Australia -- Adelaide;Show Windows -- South Australia -- Adelaide;Clothing and dress -- South Australia -- Adelaide</t>
  </si>
  <si>
    <t>b20829516</t>
  </si>
  <si>
    <t>The hulk of 'Old Jeny' at Port Augusta</t>
  </si>
  <si>
    <t>Photograph (b&amp;w print)  5 cm x 6.2 cm;RESERVE 1</t>
  </si>
  <si>
    <t>PORT AUGUSTA: The hulk of 'Old Jeny' which carried the traffic until the bridge, which can be seen in the background, was built in 1927. View 1. A researcher has suggested that this barge was used to carry the pile driver which drove the wooden posts into the seabed for the old bridge, and was not a transport barge.</t>
  </si>
  <si>
    <t>Port Augusta (S.A.)</t>
  </si>
  <si>
    <t>b20829528</t>
  </si>
  <si>
    <t>PORT AUGUSTA: The hulk of 'Old Jeny' which carried the traffic until the bridge, which can be seen in the background, was built in 1927. View 2.</t>
  </si>
  <si>
    <t>b2082953x</t>
  </si>
  <si>
    <t>PORT AUGUSTA: The hulk of 'Old Jeny' with the Whyalla pipeline in the foreground.</t>
  </si>
  <si>
    <t>b20834299</t>
  </si>
  <si>
    <t>Buildings on North Terrace</t>
  </si>
  <si>
    <t>Photograph (b&amp;w print)  13.7 cm x 8.6 cm;RESERVE 1</t>
  </si>
  <si>
    <t>ACRE 18: Buildings on North Terrace.</t>
  </si>
  <si>
    <t>Acre 18 Collection</t>
  </si>
  <si>
    <t>b20835498</t>
  </si>
  <si>
    <t>Church officials at Hindmarsh</t>
  </si>
  <si>
    <t>Photograph (b&amp;w print)  11 cm x 15.5 cm (image)   19 cm x 24 cm (mount);RESERVE 1</t>
  </si>
  <si>
    <t>HINDMARSH: Church officials standing outside All Saints Church at Hindmarsh. Left to right: Rev. R.O. Heide  Rev. H.H. Hopton  Ven. T.T. Reed  Rev. R. Nicholls  R. Cummings  Rt. Rev  B.P. Robin  John Bradbrook  Rev. Canon H.P. Finnis  Very Rev. D. Jose  Rev. W.C. Carey(?).</t>
  </si>
  <si>
    <t>Clergy -- South Australia -- Hindmarsh</t>
  </si>
  <si>
    <t>b2083679x</t>
  </si>
  <si>
    <t>Lydia Longmore</t>
  </si>
  <si>
    <t>Photograph (b&amp;w panel)  24.5 cm x 18.4 cm (image)  32.3 cm x 25.2 cm (mount);RESERVE 1 b</t>
  </si>
  <si>
    <t>PORTRAIT: Lydia Longmore the first woman Inspector of South Australian schools between 1922 and 1934  she formed the Infant Mistresses Club and was influential in the teaching of young children before retiring in 1934.</t>
  </si>
  <si>
    <t>Longmore, Lydia, 1874-1967;Early childhood educators -- South Australia;Educators -- South Australia;Women -- South Australia</t>
  </si>
  <si>
    <t>b20839674</t>
  </si>
  <si>
    <t>Distant view of Port Augusta</t>
  </si>
  <si>
    <t>Photograph  16.5 x 21 cm</t>
  </si>
  <si>
    <t>PORT AUGUSTA: Distant view of Port Augusta, South Australia.</t>
  </si>
  <si>
    <t>b20840251</t>
  </si>
  <si>
    <t>A small locomotive</t>
  </si>
  <si>
    <t>Photograph (b&amp;w print)  8 cm x 10.5 cm;RESERVE 1</t>
  </si>
  <si>
    <t>GENERAL: A two foot gauge, eight ton locomotive at Waratah Gypsum, Stenhouse Bay. According to a researcher, it was built in 1926 by Vulcan Iron Works, Wilkes-Barr, Pennyslvania, for Victo Electric Plaster Co. It was originally fitted with a diesel engine but was converted to diesel.</t>
  </si>
  <si>
    <t>b20869265</t>
  </si>
  <si>
    <t>Tallala House</t>
  </si>
  <si>
    <t>View of house on the Tallala pastoral run located on the Eyre Peninsula between Tumby Bay and Port Lincoln.</t>
  </si>
  <si>
    <t>Tumby Bay Collection</t>
  </si>
  <si>
    <t>b20869277</t>
  </si>
  <si>
    <t>Wewanda House</t>
  </si>
  <si>
    <t>View of 'Wewanda House'.</t>
  </si>
  <si>
    <t>b20876944</t>
  </si>
  <si>
    <t>Lady Constance Bonython</t>
  </si>
  <si>
    <t>Photograph  16 cm x 19.5 cm</t>
  </si>
  <si>
    <t>Acquired as part of the South Australian Women Writers website.</t>
  </si>
  <si>
    <t>Bonython, Constance Jean, Lady, 1891-1977</t>
  </si>
  <si>
    <t>b20896232</t>
  </si>
  <si>
    <t>Aerial view of Port Adelaide</t>
  </si>
  <si>
    <t>Photograph  15.2 cm x 10.5 cm;RESERVE 1 A</t>
  </si>
  <si>
    <t>According to a researcher, this image was taken well before 1950. The Birkenhead bridge hadn't been built so the photo must be dated before 1940 or so when the bridge was completed. [from information supplied].</t>
  </si>
  <si>
    <t>Port Adelaide (S.A.)</t>
  </si>
  <si>
    <t>b20896323</t>
  </si>
  <si>
    <t>Sheep being off-loaded from a truck</t>
  </si>
  <si>
    <t>Sheep being off-loaded from a truck prior to being off-loaded onto a plane.</t>
  </si>
  <si>
    <t>Sheep -- Transportation -- South Australia</t>
  </si>
  <si>
    <t>b20896335</t>
  </si>
  <si>
    <t>Sheep being loaded onto a plane</t>
  </si>
  <si>
    <t>Sheep being loaded onto a Australian National Airways plane.</t>
  </si>
  <si>
    <t>b20896347</t>
  </si>
  <si>
    <t>b20896359</t>
  </si>
  <si>
    <t>Sheep in pens on a plane</t>
  </si>
  <si>
    <t>Sheep in pens on an Australian National Airways plane, being viewed by an official party.</t>
  </si>
  <si>
    <t>b20902694</t>
  </si>
  <si>
    <t>Photograph (b&amp;w print)  17.8 cm x 14.5 cm;RESERVE 1 album</t>
  </si>
  <si>
    <t>Close-up of front of engine No.621.</t>
  </si>
  <si>
    <t>b2090535x</t>
  </si>
  <si>
    <t>Photograph (b&amp;w print)  20.5 cm x 15.2 cm;RESERVE 1 album</t>
  </si>
  <si>
    <t>Passenger train exiting the south portal of the Sleeps Hill tunnel.</t>
  </si>
  <si>
    <t>Railroads -- South Australia -- Trains;Railroads -- South Australia -- Sleeps Hill</t>
  </si>
  <si>
    <t>b20907242</t>
  </si>
  <si>
    <t>Photograph (b&amp;w print)  13 cm x 19.2 cm;RESERVE 1 album</t>
  </si>
  <si>
    <t>Overland train between Blackwood and Belair (SAR official photograph).</t>
  </si>
  <si>
    <t>b20907394</t>
  </si>
  <si>
    <t>Photograph (b&amp;w print)  8 cm x 12.8 cm;RESERVE 1 album</t>
  </si>
  <si>
    <t>Overland train at Mile End.</t>
  </si>
  <si>
    <t>Railroads -- South Australia -- Trains;Railroads -- South Australia -- Mile End</t>
  </si>
  <si>
    <t>b20919967</t>
  </si>
  <si>
    <t>Flinders Ranges</t>
  </si>
  <si>
    <t>Photograph (b&amp;w print)  20.2 cm x 14.4 cm;RESERVE 1 album;The seventeenth of 183 photographs in an album.</t>
  </si>
  <si>
    <t>No. 867. Flinders Range. Mora Water.</t>
  </si>
  <si>
    <t>Flinders Ranges (S.A.)</t>
  </si>
  <si>
    <t>b20919979</t>
  </si>
  <si>
    <t>Photograph (b&amp;w print)  14.4 cm x 20.2 cm;RESERVE 1 album</t>
  </si>
  <si>
    <t>No. 1708. Flinders Range. Wilpena Pound showing buildings.</t>
  </si>
  <si>
    <t>Wilpena Pound (S.A.)</t>
  </si>
  <si>
    <t>b20919980</t>
  </si>
  <si>
    <t>No. 1710. Flinders Range. Gums at Wilpena Pound.</t>
  </si>
  <si>
    <t>b20919992</t>
  </si>
  <si>
    <t>Naracoorte Caves</t>
  </si>
  <si>
    <t>No. 315. Naracoorte Caves.</t>
  </si>
  <si>
    <t>Caves -- South Australia -- Naracoorte</t>
  </si>
  <si>
    <t>b20920003</t>
  </si>
  <si>
    <t>Moorak</t>
  </si>
  <si>
    <t>No. 1658. Overlooking Moorak from Bank of Blue Lake (Mt Gambier).</t>
  </si>
  <si>
    <t>Moorak (S.A.)</t>
  </si>
  <si>
    <t>b20920015</t>
  </si>
  <si>
    <t>Gorge Road</t>
  </si>
  <si>
    <t>No. 1048. Gorge Road.</t>
  </si>
  <si>
    <t>Roads -- South Australia -- Torrens Gorge</t>
  </si>
  <si>
    <t>b20920039</t>
  </si>
  <si>
    <t>Brougham Place</t>
  </si>
  <si>
    <t>Photograph (b&amp;w print)  14.5 cm x 20 cm;RESERVE 1 album</t>
  </si>
  <si>
    <t>No. 1256. Brougham Place, North Adelaide.</t>
  </si>
  <si>
    <t>Brougham Place (North Adelaide, S.A.)</t>
  </si>
  <si>
    <t>b20920040</t>
  </si>
  <si>
    <t>No. 1259. Brougham Place, North Adelaide.</t>
  </si>
  <si>
    <t>b20920052</t>
  </si>
  <si>
    <t>Dairy herd at Mount Barker</t>
  </si>
  <si>
    <t>No. 1208. Dairy Herd (Cowan's) near Mt Barker.</t>
  </si>
  <si>
    <t>Cows -- South Australia -- Mount Barker;Dairy farming -- South Australia -- Mount Barker</t>
  </si>
  <si>
    <t>b20920064</t>
  </si>
  <si>
    <t>Dairy herd at Roseworthy</t>
  </si>
  <si>
    <t>No. 86. Dairy Herd at Roseworthy.</t>
  </si>
  <si>
    <t>Cows -- South Australia -- Roseworthy;Dairy farming -- South Australia -- Roseworthy</t>
  </si>
  <si>
    <t>b20920076</t>
  </si>
  <si>
    <t>Wool Store Port Adelaide</t>
  </si>
  <si>
    <t>No. 601. Wool store at Port Adelaide showing men baling wool.</t>
  </si>
  <si>
    <t>Wool -- South Australia -- Port Adelaide</t>
  </si>
  <si>
    <t>b2092009x</t>
  </si>
  <si>
    <t>Wheat farming</t>
  </si>
  <si>
    <t>No. 1368. A horse drawn binder sheaving hay near Mount Barker.</t>
  </si>
  <si>
    <t>Harvesting machinery -- South Australia -- Mount Barker;Wheat -- South Australia -- Mount Barker</t>
  </si>
  <si>
    <t>b20920106</t>
  </si>
  <si>
    <t>No. 1369. A horse drawn binder sheaving hay near Mount Barker.</t>
  </si>
  <si>
    <t>b20920118</t>
  </si>
  <si>
    <t>No. 83. A horse drawn harvester cutting wheat at Roseworthy.</t>
  </si>
  <si>
    <t>Harvesting machinery -- South Australia -- Roseworthy;Wheat -- South Australia -- Roseworthy</t>
  </si>
  <si>
    <t>b2092012x</t>
  </si>
  <si>
    <t>No. 1497. A horse drawn harvester cutting wheat near Willunga.</t>
  </si>
  <si>
    <t>Harvesting machinery -- South Australia -- Willunga;Wheat -- South Australia -- Willunga</t>
  </si>
  <si>
    <t>b20920131</t>
  </si>
  <si>
    <t>Farm near Smithfield</t>
  </si>
  <si>
    <t>No. 90. a farm scene near Smithfield showing work horses and hay stacks.</t>
  </si>
  <si>
    <t>Wheat -- South Australia -- Smithfield</t>
  </si>
  <si>
    <t>b20920143</t>
  </si>
  <si>
    <t>Stacking lucerne at Cobdogla</t>
  </si>
  <si>
    <t>No. 101. Stacking Lucerne at Cobdogla, River Murray showing men pitching sheaves of lucerne onto stacks.</t>
  </si>
  <si>
    <t>Wheat -- South Australia -- Cobdogla</t>
  </si>
  <si>
    <t>b20920155</t>
  </si>
  <si>
    <t>Haymaking near Willunga</t>
  </si>
  <si>
    <t>No. 1496. Haymaking near Willunga showing men pitching and stacking sheaves of hay onto horse drawn wagon.</t>
  </si>
  <si>
    <t>Wheat -- South Australia -- Willunga</t>
  </si>
  <si>
    <t>b20920167</t>
  </si>
  <si>
    <t>Stacking hay</t>
  </si>
  <si>
    <t>No. 89. Stacking hay by elevator at Salisbury. Shows a man on a horse drawn wagon pitching hay onto elevator.</t>
  </si>
  <si>
    <t>Wheat -- South Australia -- Salisbury</t>
  </si>
  <si>
    <t>b20920179</t>
  </si>
  <si>
    <t>Grape picking Auldana</t>
  </si>
  <si>
    <t>No. 1. Grape picking at Auldana.</t>
  </si>
  <si>
    <t>Viticulture -- South Australia -- Auldana</t>
  </si>
  <si>
    <t>b20920180</t>
  </si>
  <si>
    <t>Grape crop Renmark</t>
  </si>
  <si>
    <t>No. 31. Grape crop at Renmark, River Murray.</t>
  </si>
  <si>
    <t>Viticulture -- South Australia -- Renmark</t>
  </si>
  <si>
    <t>b20920192</t>
  </si>
  <si>
    <t>Drying fruit at Berri</t>
  </si>
  <si>
    <t>No. 14. Dipping and drying fruit at Berri, River Murray.</t>
  </si>
  <si>
    <t>Fruit -- South Australia -- Berri -- Drying</t>
  </si>
  <si>
    <t>b20920209</t>
  </si>
  <si>
    <t>Orchards at Berri</t>
  </si>
  <si>
    <t>No. 6. Orchards Berri Irrigation Area, River Murray.</t>
  </si>
  <si>
    <t>Orchards -- South Australia -- Berri</t>
  </si>
  <si>
    <t>b20920210</t>
  </si>
  <si>
    <t>Melrose gums</t>
  </si>
  <si>
    <t>No. 1203. Melrose gums.</t>
  </si>
  <si>
    <t>b20920222</t>
  </si>
  <si>
    <t>Hazelwood Park</t>
  </si>
  <si>
    <t>No. 260. Hazelwood Park.</t>
  </si>
  <si>
    <t>Hazelwood Park (Burnside, S.A.)</t>
  </si>
  <si>
    <t>b20920234</t>
  </si>
  <si>
    <t>Dairy herd</t>
  </si>
  <si>
    <t>No. 1813. Dairy herd near Mount Pleasant.</t>
  </si>
  <si>
    <t>Dairy farming -- South Australia -- Mount Pleasant;Cows -- South Australia -- Mount Pleasant</t>
  </si>
  <si>
    <t>b20920246</t>
  </si>
  <si>
    <t>No. 1768. Avenue, Botanic Garden.</t>
  </si>
  <si>
    <t>b20920258</t>
  </si>
  <si>
    <t>Mount Barker Springs</t>
  </si>
  <si>
    <t>No. 1802. Mount Barker Springs.</t>
  </si>
  <si>
    <t>Mount Barker Springs (S.A.)</t>
  </si>
  <si>
    <t>b2092026x</t>
  </si>
  <si>
    <t>No. 1800. Mount Barker Springs.</t>
  </si>
  <si>
    <t>b20920271</t>
  </si>
  <si>
    <t>No. 1801. Mount Barker Springs.</t>
  </si>
  <si>
    <t>b20920283</t>
  </si>
  <si>
    <t>Sheep near Kuitpo</t>
  </si>
  <si>
    <t>No. 1792. Sheep near Kuitpo.</t>
  </si>
  <si>
    <t>Sheep -- South Australia -- Kuitpo</t>
  </si>
  <si>
    <t>b20920295</t>
  </si>
  <si>
    <t>West side City Bridge</t>
  </si>
  <si>
    <t>Photograph (b&amp;w print)  13.2 cm x 20.8 cm;RESERVE 1 album</t>
  </si>
  <si>
    <t>No. 1613. West side City Bridge, Torrens Lake.</t>
  </si>
  <si>
    <t>Bridges -- South Australia -- Torrens, River</t>
  </si>
  <si>
    <t>b20920301</t>
  </si>
  <si>
    <t>No. 1769. Avenue, Botanic Garden.</t>
  </si>
  <si>
    <t>b20920313</t>
  </si>
  <si>
    <t>Rawnsley's Bluff</t>
  </si>
  <si>
    <t>Photograph (b&amp;w print)  14.2 cm x 20.5 cm;RESERVE 1 album</t>
  </si>
  <si>
    <t>No. 1715. Rawnsley's Bluff, Wilpena.</t>
  </si>
  <si>
    <t>b20920325</t>
  </si>
  <si>
    <t>Cape Northumberland</t>
  </si>
  <si>
    <t>No. 1619. Cape Northumberland, South East South Australia.</t>
  </si>
  <si>
    <t>Northumberland, Cape (S.A.)</t>
  </si>
  <si>
    <t>b20920337</t>
  </si>
  <si>
    <t>Onkaparinga River</t>
  </si>
  <si>
    <t>No. 167. Onkaparinga River at Noarlunga.</t>
  </si>
  <si>
    <t>Rivers -- South Australia -- Noarlunga;Onkaparinga River (S.A.)</t>
  </si>
  <si>
    <t>b20920349</t>
  </si>
  <si>
    <t>Photograph (b&amp;w print)  14 cm x 21 cm;RESERVE 1 album</t>
  </si>
  <si>
    <t>No. 165. Onkaparinga River at Noarlunga.</t>
  </si>
  <si>
    <t>b20920350</t>
  </si>
  <si>
    <t>Angaston</t>
  </si>
  <si>
    <t>Photograph (b&amp;w print)  14.5 cm x 20.2 cm;RESERVE 1 album</t>
  </si>
  <si>
    <t>No. 414. Angaston.</t>
  </si>
  <si>
    <t>Angaston (S.A.)</t>
  </si>
  <si>
    <t>b20920362</t>
  </si>
  <si>
    <t>Tanunda District from Chateau</t>
  </si>
  <si>
    <t>No. 420. Tanunda District from Chateau.</t>
  </si>
  <si>
    <t>Tanunda(S.A.)</t>
  </si>
  <si>
    <t>b20920374</t>
  </si>
  <si>
    <t>Lenswood</t>
  </si>
  <si>
    <t>Photograph (b&amp;w print)  14.5 cm x 20.5 cm;RESERVE 1 album</t>
  </si>
  <si>
    <t>No. Box 108A. Lenswood showing a car on the road.</t>
  </si>
  <si>
    <t>Lenswood(S.A.)</t>
  </si>
  <si>
    <t>b20920386</t>
  </si>
  <si>
    <t>Mt. Barker Road</t>
  </si>
  <si>
    <t>No. 331. Mount Barker Road showing a horse and buggy on the road.</t>
  </si>
  <si>
    <t>Roads -- South Australia -- Mount Barker</t>
  </si>
  <si>
    <t>b20920398</t>
  </si>
  <si>
    <t>Autumn Bloom</t>
  </si>
  <si>
    <t>No. 1420. Autumn Bloom. Shows the Cross of Sacrifice and St Peter's Cathedral in the background.</t>
  </si>
  <si>
    <t>St. Peter's Cathedral (Adelaide, S.A.);Cross of Sacrifice (Adelaide, S.A.);War memorials -- South Australia -- Adelaide</t>
  </si>
  <si>
    <t>b20920404</t>
  </si>
  <si>
    <t>Angas Memorial</t>
  </si>
  <si>
    <t>No. 1529. The Angas Memorial near City Bridge, Adelaide.</t>
  </si>
  <si>
    <t>Angas Memorial (Adelaide, S.A.);Memorials -- South Australia -- Adelaide</t>
  </si>
  <si>
    <t>b20920416</t>
  </si>
  <si>
    <t>Morialta Gorge</t>
  </si>
  <si>
    <t>Photograph (b&amp;w print)  20.5 cm  x 14.5 cm;RESERVE 1 album</t>
  </si>
  <si>
    <t>No. 235. Morialta Gorge.</t>
  </si>
  <si>
    <t>Morialta (Adelaide, S.A.)</t>
  </si>
  <si>
    <t>b2092043x</t>
  </si>
  <si>
    <t>Blue Lake</t>
  </si>
  <si>
    <t>Photograph (b&amp;w print)  20.3 cm x 14.5 cm;RESERVE 1 album</t>
  </si>
  <si>
    <t>No. 1641. Blue Lake, Mount Gambier.</t>
  </si>
  <si>
    <t>Blue Lake (S.A.)</t>
  </si>
  <si>
    <t>b20920441</t>
  </si>
  <si>
    <t>Mount Barker</t>
  </si>
  <si>
    <t>No. 1336. A view over the township of Mount Barker.</t>
  </si>
  <si>
    <t>Mount Barker (S.A.)</t>
  </si>
  <si>
    <t>b20920465</t>
  </si>
  <si>
    <t>Near Melrose</t>
  </si>
  <si>
    <t>Photograph (b&amp;w print)  14.5 cm x 20.7 cm;RESERVE 1 album</t>
  </si>
  <si>
    <t>No. 1211. A view over farmland near Melrose. [Additional information from S.Girdham:] This view is overlooking what is now known as the Lello property. The house was built by William Girdham.</t>
  </si>
  <si>
    <t>Melrose (S.A.)</t>
  </si>
  <si>
    <t>b20920477</t>
  </si>
  <si>
    <t>Photograph (b&amp;w print)  15.7 cm x 20.7 cm;RESERVE 1 album</t>
  </si>
  <si>
    <t>Dept. of Lands photo - ref Box 320A. Neg 52. a view of birds on Kangaroo Island.</t>
  </si>
  <si>
    <t>Birds -- South Australia -- Kangaroo Island</t>
  </si>
  <si>
    <t>b20920490</t>
  </si>
  <si>
    <t>Sheep at Woodside</t>
  </si>
  <si>
    <t>Photograph (b&amp;w print)  16 cm x 21 cm;RESERVE 1 album</t>
  </si>
  <si>
    <t>Department of Lands photo - ref Box 319A. Neg 32. a view of sheep near Woodside. According to a researcher, this photo is from the property of "Clover Ridge" Woodside (Day's Rd Woodside - near Murdoch Hill). If it was taken in 1950 it would have been in the ownership of Lionel Melville Murray Day. As of 2016, it is owned by his son Bevin Graham Day (born 1 Dec 1942). The tree is still standing today. It is so distinguishable because of being burnt out at some stage by a fire.</t>
  </si>
  <si>
    <t>Sheep -- South Australia -- Woodside</t>
  </si>
  <si>
    <t>b20920507</t>
  </si>
  <si>
    <t>Sheep at Myponga</t>
  </si>
  <si>
    <t>Photograph (b&amp;w print)  16.1 cm x 21.2 cm;RESERVE 1 album</t>
  </si>
  <si>
    <t>Dept. of Lands photo - ref Box 313A. Neg 6. a view of sheep near Myponga. A man on a horse watches them.</t>
  </si>
  <si>
    <t>Sheep -- South Australia -- Myponga</t>
  </si>
  <si>
    <t>b20920519</t>
  </si>
  <si>
    <t>Collingrove</t>
  </si>
  <si>
    <t>No. 1817. Collingrove, Angaston with cows in the foreground.</t>
  </si>
  <si>
    <t>Cows -- South Australia -- Angaston;Farm buildings -- South Australia -- Angaston Region</t>
  </si>
  <si>
    <t>b20920544</t>
  </si>
  <si>
    <t>Mount Crawford</t>
  </si>
  <si>
    <t>No. 1818. View of Mount Crawford with sheep in the foreground.</t>
  </si>
  <si>
    <t>Sheep -- South Australia -- Mount Crawford;Trees -- South Australia -- Mount Crawford</t>
  </si>
  <si>
    <t>b20920556</t>
  </si>
  <si>
    <t>Adelaide from City Bridge</t>
  </si>
  <si>
    <t>No. 1809. Adelaide from City Bridge. Includes part of the bridge.</t>
  </si>
  <si>
    <t>Bridges -- South Australia -- Adelaide;City Bridge (Adelaide, S.A.)</t>
  </si>
  <si>
    <t>b2092057x</t>
  </si>
  <si>
    <t>No. 1810. Adelaide from City Bridge. Includes part of the bridge.</t>
  </si>
  <si>
    <t>b20920581</t>
  </si>
  <si>
    <t>Newman's Landing</t>
  </si>
  <si>
    <t>No. 1523. Newman's Landing, River Murray.</t>
  </si>
  <si>
    <t>Murray River (N.S.W.-S.A.)</t>
  </si>
  <si>
    <t>b20920593</t>
  </si>
  <si>
    <t>Waikerie</t>
  </si>
  <si>
    <t>No. 15. Waikerie, River Murray.</t>
  </si>
  <si>
    <t>Murray River (N.S.W.-S.A.);Waikerie (S.A.)</t>
  </si>
  <si>
    <t>b20920623</t>
  </si>
  <si>
    <t>Harvester Aldinga</t>
  </si>
  <si>
    <t>No. 1497. Harvester harvesting wheat at Aldinga.</t>
  </si>
  <si>
    <t>Agricultural machinery -- Harvesters -- South Australia -- Aldinga;Wheat -- Harvesting -- South Australia -- Aldinga;Aldinga(S.A.)</t>
  </si>
  <si>
    <t>b20920635</t>
  </si>
  <si>
    <t>Binder at Aldinga</t>
  </si>
  <si>
    <t>No. 1494. Binder at work at Aldinga.</t>
  </si>
  <si>
    <t>Agricultural machinery -- Binders -- South Australia -- Aldinga;Wheat -- Harvesting -- South Australia -- Aldinga;Aldinga(S.A.)</t>
  </si>
  <si>
    <t>b20920647</t>
  </si>
  <si>
    <t>Photograph (b&amp;w print)  14.7 cm x 20.5 cm;RESERVE 1 album</t>
  </si>
  <si>
    <t>No. 1206. Dairy Herd (Cowan's) near Mount Barker.</t>
  </si>
  <si>
    <t>Cows -- South Australia -- Mount Barker;Dairy farming -- South Australia -- Mount Barker;Mount Barker (S.A.)</t>
  </si>
  <si>
    <t>b20920659</t>
  </si>
  <si>
    <t>Sheep shearing at Mount Beevor</t>
  </si>
  <si>
    <t>No. 1819. Sheep shearing at Mt Beevor near Nairne.</t>
  </si>
  <si>
    <t>Sheep shearing -- South Australia -- Nairne</t>
  </si>
  <si>
    <t>b20920660</t>
  </si>
  <si>
    <t>Sheep at Bungaree</t>
  </si>
  <si>
    <t>No. 1814. Sheep at Bungaree.</t>
  </si>
  <si>
    <t>Sheep -- South Australia -- Bungaree</t>
  </si>
  <si>
    <t>b20920672</t>
  </si>
  <si>
    <t>Shearing sheds at Bungaree</t>
  </si>
  <si>
    <t>No. 1820. Shearing sheds at Bungaree.</t>
  </si>
  <si>
    <t>Sheep shearing -- South Australia -- Bungaree;Shearing sheds -- South Australia -- Bungaree</t>
  </si>
  <si>
    <t>b20920684</t>
  </si>
  <si>
    <t>City Bridge</t>
  </si>
  <si>
    <t>Photograph (b&amp;w print)  15.2 cm x 20.8 cm;RESERVE 1 album</t>
  </si>
  <si>
    <t>No. 1762. City Bridge.</t>
  </si>
  <si>
    <t>b20920696</t>
  </si>
  <si>
    <t>Photograph (b&amp;w print)  15 cm x 20.8 cm;RESERVE 1 album</t>
  </si>
  <si>
    <t>No. 1761. City Bridge.</t>
  </si>
  <si>
    <t>b20920702</t>
  </si>
  <si>
    <t>Photograph (b&amp;w print)  14.7 cm x 21 cm;RESERVE 1 album</t>
  </si>
  <si>
    <t>No. 1764. City Bridge, Elder Park.</t>
  </si>
  <si>
    <t>b20920714</t>
  </si>
  <si>
    <t>Photograph (b&amp;w print)  15 cm x 20.5 cm;RESERVE 1 album</t>
  </si>
  <si>
    <t>No. 1723. Victoria Square.</t>
  </si>
  <si>
    <t>b20920726</t>
  </si>
  <si>
    <t>Botanic Garden</t>
  </si>
  <si>
    <t>RESERVE 1 album;Photograph (b&amp;w print)  15.2 cm x 21 cm</t>
  </si>
  <si>
    <t>No. 1769. Botanic Garden.</t>
  </si>
  <si>
    <t>Adelaide Botanic Garden;Botanical gardens -- South Australia -- Adelaide</t>
  </si>
  <si>
    <t>b20920738</t>
  </si>
  <si>
    <t>Photograph (b&amp;w print)  15.2 cm x 20.5 cm;RESERVE 1 album</t>
  </si>
  <si>
    <t>No. 1768. Botanic Garden.</t>
  </si>
  <si>
    <t>b2092074x</t>
  </si>
  <si>
    <t>Photograph (b&amp;w print)  15.3 cm x 20.5 cm;RESERVE 1 album</t>
  </si>
  <si>
    <t>No. 1773. Brougham Place, North Adelaide looking east.</t>
  </si>
  <si>
    <t>b20920751</t>
  </si>
  <si>
    <t>Photograph (b&amp;w print)  20 x 15.5 cm;RESERVE 1 album</t>
  </si>
  <si>
    <t>No. 1724. Victoria Square.</t>
  </si>
  <si>
    <t>b20920763</t>
  </si>
  <si>
    <t>No. 1770. Botanic Garden.</t>
  </si>
  <si>
    <t>b20920775</t>
  </si>
  <si>
    <t>Moonta Power House</t>
  </si>
  <si>
    <t>No. 1748. Moonta Power House in distance.</t>
  </si>
  <si>
    <t>Moonta (S.A.)</t>
  </si>
  <si>
    <t>b20920787</t>
  </si>
  <si>
    <t>Gums at Wilpena Station</t>
  </si>
  <si>
    <t>Photograph (b&amp;w print)  14.6 cm x 20.5 cm;RESERVE 1 album</t>
  </si>
  <si>
    <t>No. 1709. Gums at Wilpena Station, Flinders Range.</t>
  </si>
  <si>
    <t>Wilpena Station (S.A.)</t>
  </si>
  <si>
    <t>b20920799</t>
  </si>
  <si>
    <t>Photograph (b&amp;w print)  14.2 cm x 20.2 cm;RESERVE 1 album</t>
  </si>
  <si>
    <t>No. 1716. Flinders Range - eastern boundary of Wilpena Pound showing St. Marys Peak.</t>
  </si>
  <si>
    <t>b20920805</t>
  </si>
  <si>
    <t>Port Germein Gorge</t>
  </si>
  <si>
    <t>No. 1688. Flinders Range. Port Germein Gorge.</t>
  </si>
  <si>
    <t>Port Germein (S.A.)</t>
  </si>
  <si>
    <t>b20920817</t>
  </si>
  <si>
    <t>Adelaide Railway Station</t>
  </si>
  <si>
    <t>Photograph (b&amp;w print)  14.8 cm x 20.5 cm;RESERVE 1 album</t>
  </si>
  <si>
    <t>No. 1410. Adelaide Railway Station.</t>
  </si>
  <si>
    <t>b20920830</t>
  </si>
  <si>
    <t>Orchard at Berri</t>
  </si>
  <si>
    <t>No. 4. Orchard at Berri, River Murray.</t>
  </si>
  <si>
    <t>b20920842</t>
  </si>
  <si>
    <t>Orchards Renmark</t>
  </si>
  <si>
    <t>No. 32. Orchards, Renmark in distance.</t>
  </si>
  <si>
    <t>Orchards -- South Australia -- Renmark</t>
  </si>
  <si>
    <t>b20920854</t>
  </si>
  <si>
    <t>Salt elevator Lochiel</t>
  </si>
  <si>
    <t>Photograph (b&amp;w print)  14.7 cm x 20.8 cm;RESERVE 1 album</t>
  </si>
  <si>
    <t>No. 1727. Salt elevator, Lochiel.</t>
  </si>
  <si>
    <t>b20920866</t>
  </si>
  <si>
    <t>Salt slack Lochiel</t>
  </si>
  <si>
    <t>Photograph (b&amp;w print)  15.7 cm x 20.6 cm;RESERVE 1 album</t>
  </si>
  <si>
    <t>No. 1729. Salt slack, Lochiel. Man standing on top of pile.</t>
  </si>
  <si>
    <t>b20920878</t>
  </si>
  <si>
    <t>Photograph (b&amp;w print)  13.8 cm x 20.5 cm;RESERVE 1 album</t>
  </si>
  <si>
    <t>No. 1787. King William Street looking north from Post Office Tower.</t>
  </si>
  <si>
    <t>Architecture -- South Australia -- Adelaide;King William Street (Adelaide, S.A.);Adelaide (S.A.) -- buildings, structures, etc.</t>
  </si>
  <si>
    <t>b20920891</t>
  </si>
  <si>
    <t>Soldiers Memorial Moonta</t>
  </si>
  <si>
    <t>Photograph (b&amp;w print)  14.5 cm x 21 cm;RESERVE 1 album</t>
  </si>
  <si>
    <t>No. 1751. Soldiers Memorial, Moonta.</t>
  </si>
  <si>
    <t>Soldiers' monuments -- South Australia -- Moonta;Moonta (Adelaide, S.A.)</t>
  </si>
  <si>
    <t>b20920908</t>
  </si>
  <si>
    <t>George Street Moonta</t>
  </si>
  <si>
    <t>No. 1745. George Street Moonta.</t>
  </si>
  <si>
    <t>Moonta (Adelaide, S.A.)</t>
  </si>
  <si>
    <t>b2092091x</t>
  </si>
  <si>
    <t>Trucking sheep, Clare</t>
  </si>
  <si>
    <t>No. 92. Trucking sheep, Clare.</t>
  </si>
  <si>
    <t>Sheep -- Transportation -- South Australia -- Clare</t>
  </si>
  <si>
    <t>b20920921</t>
  </si>
  <si>
    <t>Photograph (b&amp;w print)  13.5 cm x 20 cm;RESERVE 1 album</t>
  </si>
  <si>
    <t>No. 93. Sheep at Bungaree.</t>
  </si>
  <si>
    <t>b20920933</t>
  </si>
  <si>
    <t>Pichi Richi Pass</t>
  </si>
  <si>
    <t>Photograph (b&amp;w print)  14.2 cm x 20 cm;RESERVE 1 album</t>
  </si>
  <si>
    <t>No. 1700. Pichi Richi Pass, Flinders Range (Railway Bridge and Devils Peak).</t>
  </si>
  <si>
    <t>Railroad bridges -- South Australia -- Pichi Richi Pass</t>
  </si>
  <si>
    <t>b20920945</t>
  </si>
  <si>
    <t>No. 1701. Pichi Richi Pass, Flinders Range (Devils Peak).</t>
  </si>
  <si>
    <t>Pichi Richi Pass (S.A.)</t>
  </si>
  <si>
    <t>b20920957</t>
  </si>
  <si>
    <t>Sheep country</t>
  </si>
  <si>
    <t>Photograph (b&amp;w print)  15 cm x 20.6 cm;RESERVE 1 album</t>
  </si>
  <si>
    <t>No. 1777. Sheep country, Coromandel Valley.</t>
  </si>
  <si>
    <t>Coromandel Valley (S.A.)</t>
  </si>
  <si>
    <t>b20920969</t>
  </si>
  <si>
    <t>Photograph (b&amp;w print)  12.5 cm x 20 cm;RESERVE 1 album</t>
  </si>
  <si>
    <t>No. Box 134. Sheep at Bungaree.</t>
  </si>
  <si>
    <t>b20920970</t>
  </si>
  <si>
    <t>No. 94. Sheep at Bungaree.</t>
  </si>
  <si>
    <t>b20920982</t>
  </si>
  <si>
    <t>Bagging wheat</t>
  </si>
  <si>
    <t>Photograph (b&amp;w print)  14 cm x 20 cm;RESERVE 1 album</t>
  </si>
  <si>
    <t>No. 82. Bagging wheat at Roseworthy with horse drawn bagging machine.</t>
  </si>
  <si>
    <t>Wheat -- Harvesting -- South Australia -- Roseworthy</t>
  </si>
  <si>
    <t>b20920994</t>
  </si>
  <si>
    <t>Wool carting Martindale</t>
  </si>
  <si>
    <t>No. 1815. Wool carting at Martindale. Horse drawn dray in picture.</t>
  </si>
  <si>
    <t>Wool -- Transportation</t>
  </si>
  <si>
    <t>b20921007</t>
  </si>
  <si>
    <t>Bulls crossing creek at Allendale</t>
  </si>
  <si>
    <t>No. 1821. Bulls crossing creek at Allendale near Oodnadatta. Man on horseback with them.</t>
  </si>
  <si>
    <t>Cattle -- South Australia -- Oodnadatta Region;Allendale Station (S.A.)</t>
  </si>
  <si>
    <t>b20921019</t>
  </si>
  <si>
    <t>Cattle on Todmorden Station</t>
  </si>
  <si>
    <t>No. 1816. Cattle on the Todmorden Station.</t>
  </si>
  <si>
    <t>Cattle -- South Australia -- Todmorden, Mount;Ranches -- South Australia -- Todmorden, Mount</t>
  </si>
  <si>
    <t>b20921020</t>
  </si>
  <si>
    <t>b20921032</t>
  </si>
  <si>
    <t>Woodcarting Mt Barker</t>
  </si>
  <si>
    <t>No. 1275. Woodcarting Mount Barker. A horse drawn cart on the road.</t>
  </si>
  <si>
    <t>Log transportation -- South Australia -- Mount Barker;Carriages and carts -- South Australia -- Mount Barker</t>
  </si>
  <si>
    <t>b20921044</t>
  </si>
  <si>
    <t>Sheep at Coromandel Valley</t>
  </si>
  <si>
    <t>No. 1777. Sheep at Coromandel Valley.</t>
  </si>
  <si>
    <t>Sheep -- South Australia -- Coromandel Valley</t>
  </si>
  <si>
    <t>b20921056</t>
  </si>
  <si>
    <t>Auldana Vineyards</t>
  </si>
  <si>
    <t>No. 155. Auldana Vineyards.</t>
  </si>
  <si>
    <t>Auldana Vineyards (Magill, S.A.);Vineyards -- South Australia -- Auldana</t>
  </si>
  <si>
    <t>b20921068</t>
  </si>
  <si>
    <t>Mount Barker Road</t>
  </si>
  <si>
    <t>Photograph (b&amp;w print)  14.5 cm x 20.3 cm;RESERVE 1 album</t>
  </si>
  <si>
    <t>No. 1279. Mount Barker Road.</t>
  </si>
  <si>
    <t>b2092124x</t>
  </si>
  <si>
    <t>Overlooking Adelaide from 'Carclew'</t>
  </si>
  <si>
    <t>No. 1413. Overlooking Adelaide from 'Carclew'.</t>
  </si>
  <si>
    <t>b20921251</t>
  </si>
  <si>
    <t>Looking east from 'Carclew'</t>
  </si>
  <si>
    <t>No. 1788. View looking east from 'Carclew'. St. Peter's Cathedral in the background.</t>
  </si>
  <si>
    <t>b20921263</t>
  </si>
  <si>
    <t>Photograph (b&amp;w print)  20.5 cm x 15 cm;RESERVE 1 album</t>
  </si>
  <si>
    <t>No. 1531. St. Peter's Cathedral.</t>
  </si>
  <si>
    <t>b20921275</t>
  </si>
  <si>
    <t>Government House</t>
  </si>
  <si>
    <t>Photograph (b&amp;w print)  14.3 cm x 20.5 cm;RESERVE 1 album</t>
  </si>
  <si>
    <t>No. 1378. Government House from the top of the Liberal Club.</t>
  </si>
  <si>
    <t>Government house (Adelaide, S.A.);Historic buildings -- South Australia -- Adelaide;Architecture -- South Australia -- Adelaide</t>
  </si>
  <si>
    <t>b20921287</t>
  </si>
  <si>
    <t>No. 1534. Brougham Place.</t>
  </si>
  <si>
    <t>Architecture -- South Australia -- North Adelaide;Historic buildings -- South Australia -- North Adelaide;Brougham Place (North Adelaide, S.A.)</t>
  </si>
  <si>
    <t>b20921299</t>
  </si>
  <si>
    <t>No. 1344. Botanic Garden.</t>
  </si>
  <si>
    <t>b20921305</t>
  </si>
  <si>
    <t>No. 1409. Adelaide Railway Station. Torrens Lake.</t>
  </si>
  <si>
    <t>b20921317</t>
  </si>
  <si>
    <t>Cross of Sacrifice</t>
  </si>
  <si>
    <t>No. 67. Cross of Sacrifice. St. Peter's Cathedral behind.</t>
  </si>
  <si>
    <t>St. Peter's Cathedral (Adelaide, S.A.);War memorials -- South Australia -- Adelaide;Cross of Sacrifice (Adelaide, S.A.);Pennington Gardens (Adelaide, S.A.)</t>
  </si>
  <si>
    <t>b20921329</t>
  </si>
  <si>
    <t>Photograph (b&amp;w print)  14.8 cm x 20 cm;RESERVE 1 album</t>
  </si>
  <si>
    <t>b20921330</t>
  </si>
  <si>
    <t>Elder Park</t>
  </si>
  <si>
    <t>Photograph (b&amp;w print)  14.5 cm x 20.8 cm;RESERVE 1 album</t>
  </si>
  <si>
    <t>No. 222. Elder Park.</t>
  </si>
  <si>
    <t>Parks -- South Australia -- Adelaide;Recreation areas -- South Australia -- Adelaide;Elder Park (S.A.)</t>
  </si>
  <si>
    <t>b20921342</t>
  </si>
  <si>
    <t>No. 1611. City Bridge.</t>
  </si>
  <si>
    <t>b20921354</t>
  </si>
  <si>
    <t>No. 1611. City Bridge looking west.</t>
  </si>
  <si>
    <t>b20921366</t>
  </si>
  <si>
    <t>b20921378</t>
  </si>
  <si>
    <t>Botanic Park</t>
  </si>
  <si>
    <t>No. 1344. Drive through Botanic Park.</t>
  </si>
  <si>
    <t>Botanic Park (Adelaide, S.A.);Trees -- South Australia -- Adelaide</t>
  </si>
  <si>
    <t>b2092138x</t>
  </si>
  <si>
    <t>Pumping station Blue Lake</t>
  </si>
  <si>
    <t>Photograph (b&amp;w print)  14.5 cm x 20.6 cm;RESERVE 1 album</t>
  </si>
  <si>
    <t>No. 1655. The pumping station at Blue Lake and the Memorial Drive.</t>
  </si>
  <si>
    <t>Pumping stations -- South Australia -- Mount Gambier</t>
  </si>
  <si>
    <t>b20921391</t>
  </si>
  <si>
    <t>Photograph (b&amp;w print)  14 cm x 20.5 cm;RESERVE 1 album</t>
  </si>
  <si>
    <t>No. 1644. Blue lake, Mount Gambier.</t>
  </si>
  <si>
    <t>b20921408</t>
  </si>
  <si>
    <t>Glenelg River</t>
  </si>
  <si>
    <t>Photograph (b&amp;w print)  14.8 cm x 21 cm;RESERVE 1 album</t>
  </si>
  <si>
    <t>No. 1624. Sandy waterhole on the Glenelg River in the South East of South Australia.</t>
  </si>
  <si>
    <t>Glenelg River (S.A.)</t>
  </si>
  <si>
    <t>b2092141x</t>
  </si>
  <si>
    <t>On way to Glenelg River</t>
  </si>
  <si>
    <t>No. 1678. Bush Road on way to Sandy Waterhole on Glenelg River in the South East of South Australia.</t>
  </si>
  <si>
    <t>b20921421</t>
  </si>
  <si>
    <t>Clarendon</t>
  </si>
  <si>
    <t>No. 218. Clarendon.</t>
  </si>
  <si>
    <t>Clarendon (S.A.)</t>
  </si>
  <si>
    <t>b20921433</t>
  </si>
  <si>
    <t>Tweedvale Woollen Mills</t>
  </si>
  <si>
    <t>Photograph (b&amp;w print)  14.5 cm x 20.4 cm;RESERVE 1 album</t>
  </si>
  <si>
    <t>No. 1399. Tweedvale Woollen Mills.</t>
  </si>
  <si>
    <t>b20921445</t>
  </si>
  <si>
    <t>Piccadilly</t>
  </si>
  <si>
    <t>No. 185. Piccadilly.</t>
  </si>
  <si>
    <t>b20921457</t>
  </si>
  <si>
    <t>No. 1366. Mount Barker.</t>
  </si>
  <si>
    <t>b20921469</t>
  </si>
  <si>
    <t>Cherryville</t>
  </si>
  <si>
    <t>No. 1455. Cherryville.</t>
  </si>
  <si>
    <t>Cherryville(S.A.)</t>
  </si>
  <si>
    <t>b20921470</t>
  </si>
  <si>
    <t>Ambleside dairy cattle</t>
  </si>
  <si>
    <t>Photograph (b&amp;w print)  14.7 cm x 20.2 cm;RESERVE 1 album</t>
  </si>
  <si>
    <t>No. 1566. Ambleside dairy cattle.</t>
  </si>
  <si>
    <t>Hahndorf Region (S.A.)</t>
  </si>
  <si>
    <t>b20921482</t>
  </si>
  <si>
    <t>Orchards in bloom</t>
  </si>
  <si>
    <t>No. 1457. Orchards in bloom, Mount Lofty Ranges.</t>
  </si>
  <si>
    <t>Orchards -- South Australia -- Mount Lofty Ranges;Lofty, Mount, Ranges (S.A.)</t>
  </si>
  <si>
    <t>b20921494</t>
  </si>
  <si>
    <t>Market garden</t>
  </si>
  <si>
    <t>No. 1452. Market garden in Mount Lofty Ranges.</t>
  </si>
  <si>
    <t>Truck farming -- South Australia -- Lofty, Mount, Ranges;Lofty, Mount, Ranges (S.A.)</t>
  </si>
  <si>
    <t>b20921500</t>
  </si>
  <si>
    <t>Orchard blossom Cudlee Creek</t>
  </si>
  <si>
    <t>No. 1462. Orchard blossom at Cudlee Creek, Mount Lofty Ranges.</t>
  </si>
  <si>
    <t>Orchards -- South Australia -- Cudlee Creek</t>
  </si>
  <si>
    <t>b20921512</t>
  </si>
  <si>
    <t>Orchard Mount Lofty Ranges</t>
  </si>
  <si>
    <t>No. 1458. Hills orchard Mount Lofty Ranges.</t>
  </si>
  <si>
    <t>Orchards -- South Australia -- Mount Lofty Ranges</t>
  </si>
  <si>
    <t>b20921524</t>
  </si>
  <si>
    <t>Near Clare</t>
  </si>
  <si>
    <t>Photograph (b&amp;w print)  13.5 cm x 20.5 cm;RESERVE 1 album</t>
  </si>
  <si>
    <t>No. 328. Near Clare.</t>
  </si>
  <si>
    <t>Clare (S.A.)</t>
  </si>
  <si>
    <t>b20921536</t>
  </si>
  <si>
    <t>Near Sandy Creek</t>
  </si>
  <si>
    <t>No. 1448. Near Sandy Creek (Angaston Line).</t>
  </si>
  <si>
    <t>Sandy Creek (S.A.)</t>
  </si>
  <si>
    <t>b20921548</t>
  </si>
  <si>
    <t>Watervale</t>
  </si>
  <si>
    <t>No. 329. Springvale, Watervale.</t>
  </si>
  <si>
    <t>Springvale (S.A.);Watervale (S.A.)</t>
  </si>
  <si>
    <t>b2092155x</t>
  </si>
  <si>
    <t>Clare</t>
  </si>
  <si>
    <t>No. 391. Clare showing bridge over creek.</t>
  </si>
  <si>
    <t>b20921561</t>
  </si>
  <si>
    <t>Vineyards at Tanunda</t>
  </si>
  <si>
    <t>No. 415. Vineyards at Tanunda from Chateau.</t>
  </si>
  <si>
    <t>Vineyards -- South Australia -- Tanunda;Tanunda (S.A.)</t>
  </si>
  <si>
    <t>b20921585</t>
  </si>
  <si>
    <t>Near Mount Barker</t>
  </si>
  <si>
    <t>No. 1371. Near Mount Barker with cows in paddock.</t>
  </si>
  <si>
    <t>b20921603</t>
  </si>
  <si>
    <t>Forest Range, Mount Lofty Range</t>
  </si>
  <si>
    <t>No. 1450. Forest Range, Mt Lofty Range.</t>
  </si>
  <si>
    <t>Forest Range (S.A.)</t>
  </si>
  <si>
    <t>b20921664</t>
  </si>
  <si>
    <t>Warren Reservoir</t>
  </si>
  <si>
    <t>No. 1481. Warren Reservoir showing car on the road.</t>
  </si>
  <si>
    <t>Reservoirs -- South Australia -- Williamstown;Mount Crawford State Forest (S.A.)</t>
  </si>
  <si>
    <t>b20921688</t>
  </si>
  <si>
    <t>Near Williamstown</t>
  </si>
  <si>
    <t>No. 1469. Near Williamstown, Mt Lofty Ranges showing a car on the road.</t>
  </si>
  <si>
    <t>Williamstown (S.A.)</t>
  </si>
  <si>
    <t>b20921743</t>
  </si>
  <si>
    <t>Cattle at Dry Creek</t>
  </si>
  <si>
    <t>Photograph (b&amp;w print)  14.2 cm x 21 cm;RESERVE 1 album</t>
  </si>
  <si>
    <t>No. 1429. Cattle from far north arrived at Dry Creek. Cattle train in background.</t>
  </si>
  <si>
    <t>Cattle -- Transportation -- South Australia;Stock-yards -- South Australia -- Dry Creek</t>
  </si>
  <si>
    <t>b20921780</t>
  </si>
  <si>
    <t>Kookaburras</t>
  </si>
  <si>
    <t>Photograph (b&amp;w print)  13 cm x 20 cm;RESERVE 1 album</t>
  </si>
  <si>
    <t>No. 1381. Two Kookaburras [Dacelo novaeguineae].</t>
  </si>
  <si>
    <t>Birds -- Australia</t>
  </si>
  <si>
    <t>b2092186x</t>
  </si>
  <si>
    <t>'Carminow', Mount Lofty</t>
  </si>
  <si>
    <t>No. 1358. 'Carminow', Mount Lofty.</t>
  </si>
  <si>
    <t>Carminow (House, Mt. Lofty, S.A.);Architecture, Domestic -- South Australia -- Lofty, Mount</t>
  </si>
  <si>
    <t>b20921883</t>
  </si>
  <si>
    <t>Bridge near Blackwood</t>
  </si>
  <si>
    <t>No. 1324. Bridge over River Sturt near Blackwood.</t>
  </si>
  <si>
    <t>Blackwood (S.A.)</t>
  </si>
  <si>
    <t>b20921901</t>
  </si>
  <si>
    <t>Doorway Rock, Robe</t>
  </si>
  <si>
    <t>No. 1287. Doorway Rock, Robe.</t>
  </si>
  <si>
    <t>Islands -- South Australia -- Robe;Rocks -- South Australia -- Robe;Robe (S.A.)</t>
  </si>
  <si>
    <t>b20921925</t>
  </si>
  <si>
    <t>No. 1616. Cape Northumberland.</t>
  </si>
  <si>
    <t>b20921950</t>
  </si>
  <si>
    <t>Donovan's Landing, Glenelg River</t>
  </si>
  <si>
    <t>No. 1620. Donovan's Landing, Glenelg River.</t>
  </si>
  <si>
    <t>Donovan's Landing (S.A.);Glenelg River (S.A.)</t>
  </si>
  <si>
    <t>b20921974</t>
  </si>
  <si>
    <t>No. 1617. Cape Northumberland, MacDonnell Bay.</t>
  </si>
  <si>
    <t>Northumberland, Cape (S.A.);MacDonnell Bay (S.A.)</t>
  </si>
  <si>
    <t>b20922000</t>
  </si>
  <si>
    <t>Fruit drying, Renmark</t>
  </si>
  <si>
    <t>No. 22. Fruit drying, Renmark, River Murray.</t>
  </si>
  <si>
    <t>Fruit -- Drying -- South Australia -- Renmark;Renmark (S.A.)</t>
  </si>
  <si>
    <t>b20922036</t>
  </si>
  <si>
    <t>Orchards, irrigation channel, Berri</t>
  </si>
  <si>
    <t>No. 7. Irrigation Channel, orchards, Berri, River Murray.</t>
  </si>
  <si>
    <t>Orchards -- South Australia -- Berri;Irrigation -- South Australia -- Berri;Renmark (S.A.)</t>
  </si>
  <si>
    <t>b20922073</t>
  </si>
  <si>
    <t>River Murray at Kingston</t>
  </si>
  <si>
    <t>No. 265. River Murray at Kingston with Paddlesteamer Marion.</t>
  </si>
  <si>
    <t>Marion (Paddle steamer);Paddle steamers -- Murray River (N.S.W.-S.A.);Paddle steamers -- South Australia -- Kingston-on-Murray;Murray River (N.S.W.-S.A.);Kingston-on-Murray (S.A.)</t>
  </si>
  <si>
    <t>b20922085</t>
  </si>
  <si>
    <t>Near Swan Reach</t>
  </si>
  <si>
    <t>No. 301. Near Swan Reach with Paddlesteamer Marion.</t>
  </si>
  <si>
    <t>Marion (Paddle steamer);Paddle steamers -- Murray River (N.S.W.-S.A.);Paddle steamers -- South Australia -- Swan Reach;Murray River (N.S.W.-S.A.);Swan Reach (S.A.)</t>
  </si>
  <si>
    <t>b20922097</t>
  </si>
  <si>
    <t>River Murray Trading Boats</t>
  </si>
  <si>
    <t>No. 674. River Murray Trading Boats. Paddlesteamer Queen and barge Bourke.</t>
  </si>
  <si>
    <t>Bourke (Barge);Queen (Paddle steamer);Paddle steamers -- Murray River (N.S.W.-S.A.);River steamers -- Murray River (N.S.W.-S.A.);Murray River (N.S.W.-S.A.)</t>
  </si>
  <si>
    <t>b20922103</t>
  </si>
  <si>
    <t>No. 1523. Newman's Landing near Murray Bridge.</t>
  </si>
  <si>
    <t>b20922127</t>
  </si>
  <si>
    <t>Penola Pine Forest</t>
  </si>
  <si>
    <t>No. 1671. The edge of the Penola Pine Forest (Pinus radiata).</t>
  </si>
  <si>
    <t>Pine -- South Australia;Forest and forestry -- South Australia -- Penola;Tree farms -- South Australia -- Penola;Penola (S.A.)</t>
  </si>
  <si>
    <t>b20922140</t>
  </si>
  <si>
    <t>Pine Forest Mount Burr</t>
  </si>
  <si>
    <t>No. 1674. Pinus radiata at Mount Burr Forest near Millicent.</t>
  </si>
  <si>
    <t>Pine -- South Australia;Forest and forestry -- south Australia -- Mount Burr;Tree farms -- South Australia -- Mount Burr;Mount Burr (S.A.)</t>
  </si>
  <si>
    <t>b20922152</t>
  </si>
  <si>
    <t>Photograph (b&amp;w print)  20.8 cm;RESERVE 1 album</t>
  </si>
  <si>
    <t>No. 1665. Penola Forest (Pinus radiata).</t>
  </si>
  <si>
    <t>b20922176</t>
  </si>
  <si>
    <t>Logs on skids Mount Burr</t>
  </si>
  <si>
    <t>Photograph (b&amp;w print)  14.8 cm x 21.4 cm;RESERVE 1 album</t>
  </si>
  <si>
    <t>No. 1674. Logs on skids at Mount Burr Forest Government Mill.</t>
  </si>
  <si>
    <t>Mount Burr Government Mill;Logging -- South Australia;Mount Burr(S.A.)</t>
  </si>
  <si>
    <t>b20922188</t>
  </si>
  <si>
    <t>Photograph (b&amp;w print)  14.5 cm x 18.5 cm;RESERVE 1 album</t>
  </si>
  <si>
    <t>No. 1632. Looking west from Mt Burr Mill. Logs ready for milling on skids and conveyer.</t>
  </si>
  <si>
    <t>b20922218</t>
  </si>
  <si>
    <t>Mount Burr Forest</t>
  </si>
  <si>
    <t>No. 1673. Mount Burr Forest (Pinus Radiata).</t>
  </si>
  <si>
    <t>Mount Burr Government Mill;Logging -- South Australia;Forest and forestry -- South Australia -- Mount Burr;Tree farms -- South Australia -- Mount Burr;Mount Burr(S.A.)</t>
  </si>
  <si>
    <t>b2092222x</t>
  </si>
  <si>
    <t>Willochra Creek at Melrose</t>
  </si>
  <si>
    <t>Photograph (b&amp;w print)  20.3 cm x 15.2 cm;RESERVE 1 album</t>
  </si>
  <si>
    <t>No. 1210. Willochra Creek at Melrose.</t>
  </si>
  <si>
    <t>Willochra Creek(S.A.);Melrose (S.A.)</t>
  </si>
  <si>
    <t>b20922231</t>
  </si>
  <si>
    <t>Gums at Williamstown</t>
  </si>
  <si>
    <t>Photograph (b&amp;w print)  20.2 cm x 15.2 cm;RESERVE 1 album</t>
  </si>
  <si>
    <t>No. 1466. Gums at Williamstown.</t>
  </si>
  <si>
    <t>Williamstown(S.A.)</t>
  </si>
  <si>
    <t>b20922267</t>
  </si>
  <si>
    <t>Near Italowie</t>
  </si>
  <si>
    <t>No. 803. Flinders Range - near Italowie.</t>
  </si>
  <si>
    <t>Italowie(S.A.)</t>
  </si>
  <si>
    <t>b20922309</t>
  </si>
  <si>
    <t>Photograph (b&amp;w print)  20.5 cm x 15.4 cm;RESERVE 1 album</t>
  </si>
  <si>
    <t>No. 1772. Brougham Place, North Adelaide looking north.</t>
  </si>
  <si>
    <t>b20970365</t>
  </si>
  <si>
    <t>Murray River Shipping Co. premises</t>
  </si>
  <si>
    <t>Photograph  15 cm x 10 cm</t>
  </si>
  <si>
    <t>View of the River Murray Shipping Co. premises, overlooking the Murray, at Murray Bridge.</t>
  </si>
  <si>
    <t>River Murray Shipping Co. (Murray Bridge, S.A.)</t>
  </si>
  <si>
    <t>b20970377</t>
  </si>
  <si>
    <t>Children at Olary</t>
  </si>
  <si>
    <t>Photograph  8 cm x 5 cm</t>
  </si>
  <si>
    <t>Children with the camels owned by Les Brooks and used for tank sinking around Olary. From left: Glenys Brooks, Janet Brown, Brian Brown, ? Brooks, Rita Davidson, Gloria Brown, Murray Davidson. In front: ? Brown.</t>
  </si>
  <si>
    <t>Brooks, Glenys;Brown, Janet;Brown, Brian;Davidson, Rita;Brown, Gloria;Davidson, Murray;River Murray Shipping Co. (Murray Bridge, S.A.);Camels -- South Australia -- Olary</t>
  </si>
  <si>
    <t>Olary Collection</t>
  </si>
  <si>
    <t>b20976938</t>
  </si>
  <si>
    <t>'Married in London'</t>
  </si>
  <si>
    <t>C1;C1;Newspaper cutting  20.5 cm x 8.5 cm</t>
  </si>
  <si>
    <t>Newspaper article and photograph about the marriage of Captain Michael Trasenter, former ADC to Sir Willoughby Norrie and Miss Fay Darley (a niece of the Governor).</t>
  </si>
  <si>
    <t>Darley, Fay;Trasenter, Michael</t>
  </si>
  <si>
    <t>b2097694x</t>
  </si>
  <si>
    <t>[Engagement announced]</t>
  </si>
  <si>
    <t>Newspaper cutting  11 cm x 10 cm;C1</t>
  </si>
  <si>
    <t>b20976951</t>
  </si>
  <si>
    <t>[Visit of Lady Spencer]</t>
  </si>
  <si>
    <t>Newspaper cutting  10.2 cm x 10 cm;C1</t>
  </si>
  <si>
    <t>Newspaper photograph and caption of Countess Spencer visiting with Lady Norrie (also pictured with Viscount Althorp).</t>
  </si>
  <si>
    <t>b2102392x</t>
  </si>
  <si>
    <t>Vine Inn, Nuriootpa</t>
  </si>
  <si>
    <t>Photograph  13.4 x 8.2 cm</t>
  </si>
  <si>
    <t>View of 'Vine Inn' Community Hotel at Nuriootpa showing the vines out the front.</t>
  </si>
  <si>
    <t>Vine Inn (Nuriootpa, S.A.);Hotels -- South Australia -- Nuriootpa</t>
  </si>
  <si>
    <t>b21057825</t>
  </si>
  <si>
    <t>'Claire Crouch' moored at Port Adelaide</t>
  </si>
  <si>
    <t>Photograph  25.5 cm x 20.4 cm</t>
  </si>
  <si>
    <t>Sailing ketch 'Claire Crouch' moored at Port Adelaide. [Photo by Harbors Board of South Australia.]</t>
  </si>
  <si>
    <t>Claire Crouch (Ship);Sailing ships -- South Australia -- Port Adelaide</t>
  </si>
  <si>
    <t>b21060484</t>
  </si>
  <si>
    <t>Photograph  8.3 cm x 6.3 cm</t>
  </si>
  <si>
    <t>Vine Inn (Nuriootpa, S.A.);Hotels -- South Australia -- Nuriootpa;Architecture -- South Australia -- Nuriootpa;Buildings -- South Australia -- Nuriootpa</t>
  </si>
  <si>
    <t>b21060496</t>
  </si>
  <si>
    <t>Community Child Centre, Nuriootpa</t>
  </si>
  <si>
    <t>Photograph  8.2 cm x 6.2 cm</t>
  </si>
  <si>
    <t>The Nuriootpa Community Child Centre, featuring a brick and render building viewed across a dirt area, with children seated at tables on the verandah.</t>
  </si>
  <si>
    <t>Community Child Centre (Nuriootpa, S.A.);Child care -- South Australia -- Nuriootpa;Architecture -- South Australia -- Nuriootpa;Buildings -- South Australia -- Nuriootpa</t>
  </si>
  <si>
    <t>b21060502</t>
  </si>
  <si>
    <t>Murray Street, Nuriootpa</t>
  </si>
  <si>
    <t>Photograph  8.2 cm x 6.3 cm</t>
  </si>
  <si>
    <t>View along Murray Street, Nuriootpa, with A.E.Cartright's paint and hardware store on the left, and Mattie's on the right.</t>
  </si>
  <si>
    <t>Murray Street (Nuriootpa, S.A.)</t>
  </si>
  <si>
    <t>b21060514</t>
  </si>
  <si>
    <t>Grape picking at Nuriootpa</t>
  </si>
  <si>
    <t>View of grape pickers at work in a vineyard, with the grapes being placed in buckets and then carried to a waiting truck.</t>
  </si>
  <si>
    <t>Grapes -- Harvesting;Vineyards -- South Australia -- Nuriootpa</t>
  </si>
  <si>
    <t>b21060526</t>
  </si>
  <si>
    <t>Centennial Park, Nuriootpa</t>
  </si>
  <si>
    <t>View of Centennial Park at Nuriootpa, featuring some stonework and structures.</t>
  </si>
  <si>
    <t>Centennial Park (Nuriootpa, S.A.)</t>
  </si>
  <si>
    <t>b21060538</t>
  </si>
  <si>
    <t>War Memorial Olympic Pool, Nuriootpa</t>
  </si>
  <si>
    <t>View of the diving tower and swimming pool at Nuriootpa.</t>
  </si>
  <si>
    <t>Swimming pools -- South Australia -- Nuriootpa</t>
  </si>
  <si>
    <t>b2106054x</t>
  </si>
  <si>
    <t>District High School, Nuriootpa</t>
  </si>
  <si>
    <t>View of the stone building of the District High School at Nuriootpa.</t>
  </si>
  <si>
    <t>District High School (Nuriootpa, S.A.);Buildings -- South Australia -- Nuriootpa;Architecture -- South Australia -- Nuriootpa;High schools -- South Australia -- Nuriootpa</t>
  </si>
  <si>
    <t>b21064842</t>
  </si>
  <si>
    <t>David Dridan</t>
  </si>
  <si>
    <t>Photograph  7.7 cm x 12.8 cm</t>
  </si>
  <si>
    <t>Portrait of David Dridan in his Navy uniform, wearing a cap from 'H.M.A.S Cerberus'.</t>
  </si>
  <si>
    <t>Dridan, David, 1932-</t>
  </si>
  <si>
    <t>b21067168</t>
  </si>
  <si>
    <t>Godfrey, Cyril Henry, 1912-1996</t>
  </si>
  <si>
    <t>West Beach</t>
  </si>
  <si>
    <t>Photograph  10.5 cm x 6 cm</t>
  </si>
  <si>
    <t>View across the sand dunes at West Beach, just prior to development.</t>
  </si>
  <si>
    <t>Sand dunes -- South Australia -- West Beach</t>
  </si>
  <si>
    <t>West Beach Collection</t>
  </si>
  <si>
    <t>b2106717x</t>
  </si>
  <si>
    <t>Starting work on the West Beach development</t>
  </si>
  <si>
    <t>A grader at work in the sand dunes at West Beach at the beginning of the development. Note the Hills and Lodges houses in the distance.</t>
  </si>
  <si>
    <t>Sand dunes -- South Australia -- West Beach;Land use -- South Australia -- West Beach</t>
  </si>
  <si>
    <t>b21067181</t>
  </si>
  <si>
    <t>Looking south from Henley Sailing Club</t>
  </si>
  <si>
    <t>View of road and surrounding land at West Beach, looking south from Henley Sailing Club.</t>
  </si>
  <si>
    <t>West Beach (S.A.)</t>
  </si>
  <si>
    <t>b21067193</t>
  </si>
  <si>
    <t>View of West Beach south of Burbridge Road, looking north. A road junction dominates the view.</t>
  </si>
  <si>
    <t>b2106720x</t>
  </si>
  <si>
    <t>Tug-of-war at Belair National Park</t>
  </si>
  <si>
    <t>Photograph  16.3 cm x 11.6 cm</t>
  </si>
  <si>
    <t>A tug-of-war competition between Henley Beach council employees during a picnic at Belair National Park.</t>
  </si>
  <si>
    <t>Sports -- South Australia;Games -- South Australia;Belair National Park (S.A.)</t>
  </si>
  <si>
    <t>Belair Collection</t>
  </si>
  <si>
    <t>b21067211</t>
  </si>
  <si>
    <t>Competition at Belair National Park</t>
  </si>
  <si>
    <t>A throwing competition (for women only?) at a Henley Beach council employees' picnic at Belair National Park.</t>
  </si>
  <si>
    <t>b21079791</t>
  </si>
  <si>
    <t>Foy's window display of fabrics</t>
  </si>
  <si>
    <t>Photograph  20.3 cm x 15.3 cm</t>
  </si>
  <si>
    <t>One of Foys's windows featuring a 'special showing of famous British Caesar fabrics'.</t>
  </si>
  <si>
    <t>Foy &amp; Gibson Limited;Show windows;Selling -- Drapery</t>
  </si>
  <si>
    <t>b21079808</t>
  </si>
  <si>
    <t>John Martin's window display of Faulding's products</t>
  </si>
  <si>
    <t>Photograph  19.8 cm x 15.2 cm</t>
  </si>
  <si>
    <t>One of John Martin's Rundle Street windows featuring 'Faulding lavender' in perfumes, soaps and creams.</t>
  </si>
  <si>
    <t>John Martin &amp; Co;Show windows</t>
  </si>
  <si>
    <t>b2107981x</t>
  </si>
  <si>
    <t>John Martin's window display of Imperial foods</t>
  </si>
  <si>
    <t>Photograph  24.3 cm x 18.7 cm</t>
  </si>
  <si>
    <t>One of John Martin's Rundle Street windows featuring Imperial foods (tins, packets and smallgoods) and promoting demonstrations inside the store.</t>
  </si>
  <si>
    <t>b21079821</t>
  </si>
  <si>
    <t>John Martin's window display of women's shoes</t>
  </si>
  <si>
    <t>Photograph  20.2 cm x 15.2 cm</t>
  </si>
  <si>
    <t>One of John Martin's Rundle Street windows featuring women's shoes.</t>
  </si>
  <si>
    <t>John Martin &amp; Co;Show windows;Shoes;Fashion -- History -- 20th century</t>
  </si>
  <si>
    <t>b21079833</t>
  </si>
  <si>
    <t>John Martin's window display for Mother's Day</t>
  </si>
  <si>
    <t>Photograph  20.4 cm x 15.3 cm;RESERVE 1</t>
  </si>
  <si>
    <t>One of John Martin's Rundle Street windows featuring a Mother's Day display of 'Kayser' garments.</t>
  </si>
  <si>
    <t>John Martin &amp; Co;Show windows;Fashion -- History -- 20th century</t>
  </si>
  <si>
    <t>b21079845</t>
  </si>
  <si>
    <t>John Martin's window display for girls</t>
  </si>
  <si>
    <t>Photograph  20.1 cm x 15.2 cm</t>
  </si>
  <si>
    <t>One of John Martin's Rundle Street windows featuring the 'Maids Department' (ie girls) with a display of girls' fashions.</t>
  </si>
  <si>
    <t>John Martin &amp; Co;Show windows;Fashion -- History -- 20th century;Children's clothing</t>
  </si>
  <si>
    <t>b21079857</t>
  </si>
  <si>
    <t>John Martin's window display for dressmaking fabrics</t>
  </si>
  <si>
    <t>Photograph  20.4 cm x 13.9 cm</t>
  </si>
  <si>
    <t>One of John Martin's Rundle Street windows featuring dressmaking materials.</t>
  </si>
  <si>
    <t>b21087246</t>
  </si>
  <si>
    <t>W.H. Holden &amp; Co., photographer</t>
  </si>
  <si>
    <t>Hotel Renmark</t>
  </si>
  <si>
    <t>Photograph  8.1 cm x 5.7 cm</t>
  </si>
  <si>
    <t>View of Hotel Renmark and the gardens in front.</t>
  </si>
  <si>
    <t>Hotels -- South Australia -- Renmark</t>
  </si>
  <si>
    <t>b2108726x</t>
  </si>
  <si>
    <t>Murray River from the Renmark rotunda</t>
  </si>
  <si>
    <t>A glimpse of the Murray River from the Rotunda, Renmark.</t>
  </si>
  <si>
    <t>b21087271</t>
  </si>
  <si>
    <t>The public reserve at renmark</t>
  </si>
  <si>
    <t>View of the public reserve and rotunda at Renmark.</t>
  </si>
  <si>
    <t>Rotundas -- South Australia -- Renmark;Parks -- South Australia -- Renmark</t>
  </si>
  <si>
    <t>b21087283</t>
  </si>
  <si>
    <t>The Murray river and hotel grounds</t>
  </si>
  <si>
    <t>View across the Renmark Hotel gardens towards the Murray River.</t>
  </si>
  <si>
    <t>Gardens -- South Australia -- Renmark</t>
  </si>
  <si>
    <t>b21087295</t>
  </si>
  <si>
    <t>Paringa Railway Bridge, Renmark</t>
  </si>
  <si>
    <t>Photograph  5.7 cm x 8.1 cm</t>
  </si>
  <si>
    <t>View of the Paringa Railway Bridge across the Murray River at Renmark.</t>
  </si>
  <si>
    <t>Bridges -- South Australia -- Renmark;Bridges -- Murray River (N.S.W.-S.A.);Iron and steel bridges</t>
  </si>
  <si>
    <t>b21087301</t>
  </si>
  <si>
    <t>Lock 5 on the Murray River</t>
  </si>
  <si>
    <t>View from the downstream side of Lock 5 on the Murray River near Renmark.</t>
  </si>
  <si>
    <t>Locks (Hydraulic engineering) -- Murray River (N.S.W.-S.A.);Weirs -- Murray River (N.S.W.-S.A.)</t>
  </si>
  <si>
    <t>b21087441</t>
  </si>
  <si>
    <t>House boats on the Murray River</t>
  </si>
  <si>
    <t>Photograph  5.5 cm x 8 cm</t>
  </si>
  <si>
    <t>Houseboats moored on the bank of the Murray River near an unidentified settlement. Suggested by G. McKay that 'this could easily be at Murray Bridge, taken from the bridge looking east past the steamship company towards what is now known as Hume Reserve (formerly the Adelaide ski club) and the river flats beyond. Houses top right could be the historic railway cottages. Refer image B 70395 taken from a different angle'.</t>
  </si>
  <si>
    <t>Houseboats -- Murray River (N.S.W.-S.A.);Murray River (N.S.W.-S.A.)</t>
  </si>
  <si>
    <t>b21088858</t>
  </si>
  <si>
    <t>Tram travelling to city</t>
  </si>
  <si>
    <t>Photograph  11.5 cm x 8 cm</t>
  </si>
  <si>
    <t>Drop centre tram (showing route 212) travelling along MArion Road, Richmond, to Adelaide.</t>
  </si>
  <si>
    <t>Trams -- South Australia -- Adelaide</t>
  </si>
  <si>
    <t>b2108886x</t>
  </si>
  <si>
    <t>Glenelg Tram crossing King William Street</t>
  </si>
  <si>
    <t>Photograph  11.4 cm x 8 cm</t>
  </si>
  <si>
    <t>The Glenelg tram crosses King William Street at Gouger Street while travelling to the tram barn in Angas Street.</t>
  </si>
  <si>
    <t>Victoria Square Collection</t>
  </si>
  <si>
    <t>b21088871</t>
  </si>
  <si>
    <t>Glenelg tram at Wayville</t>
  </si>
  <si>
    <t>H class tram No. 359 stops on the Glenelg line adjacent to King William Road at Wayville.</t>
  </si>
  <si>
    <t>King William Road Collection</t>
  </si>
  <si>
    <t>b21088883</t>
  </si>
  <si>
    <t>Tram at suburban terminus</t>
  </si>
  <si>
    <t>Photograph  11.5 cm x 7.8 cm</t>
  </si>
  <si>
    <t>Drop centre tram No. 242 at a suburban terminus (as it is on a single track) about the depart for the city.</t>
  </si>
  <si>
    <t>b21088895</t>
  </si>
  <si>
    <t>Tram on the Henley Beach viaduct</t>
  </si>
  <si>
    <t>An 'F' class drop centre tram on the Henley beach viaduct at Henley Beach South (now HMAS Australia Road).</t>
  </si>
  <si>
    <t>b21088901</t>
  </si>
  <si>
    <t>Tram at Glenelg East</t>
  </si>
  <si>
    <t>Photograph  13 cm x 8.8 cm</t>
  </si>
  <si>
    <t>H class tram No. 379 on the Glenelg line, about to cross Brighton Road at Glenelg East after travelling from Adelaide.</t>
  </si>
  <si>
    <t>b21088913</t>
  </si>
  <si>
    <t>Glenelg tram at a level crossing</t>
  </si>
  <si>
    <t>An 'H' class tram passes through a level crossing, possibly that at Park Terrace (now Greenhill Road) Wayville.</t>
  </si>
  <si>
    <t>b21088925</t>
  </si>
  <si>
    <t>Tram at Springfield terminus</t>
  </si>
  <si>
    <t>Photograph  13 cm x 8.7 cm</t>
  </si>
  <si>
    <t>'F' class drop centre tram No. 244 about to leave the Fullarton Road / Hill Street, Springfield terminus (where Mercedes College stood from the mid 1950s) on its way to Paradise via the City.</t>
  </si>
  <si>
    <t>b21088937</t>
  </si>
  <si>
    <t>Tram on reserved track at Wayville</t>
  </si>
  <si>
    <t>'F' class drop centre tram en route to Colonel Light Gardens passing along the 4 track section of tramline through Wayville where the Glenelg and Colonel Light Gardens trams ran in parallel.</t>
  </si>
  <si>
    <t>b21088949</t>
  </si>
  <si>
    <t>Glenelg tram at South Terrace</t>
  </si>
  <si>
    <t>A coupled set of H class trams from Glenelg emerging from the reserved track at the corner of South Terrace and Peacock Road.</t>
  </si>
  <si>
    <t>b21088950</t>
  </si>
  <si>
    <t>Tram at Henley Extension terminus</t>
  </si>
  <si>
    <t>F1 class drop centre tram No. 279 at the Henley Extension Terminus at Seaview Road / Marlborough Street, Henley North, about to depart for the City  the tram conductor stands beside it.</t>
  </si>
  <si>
    <t>Trams -- South Australia -- Henley Beach</t>
  </si>
  <si>
    <t>b21088962</t>
  </si>
  <si>
    <t>Tram at tram stop</t>
  </si>
  <si>
    <t>1 photograph : black and white   11.5 x 8 cm;still image sti rdacontent;unmediated n rdamedia;sheet nb rdacarrier</t>
  </si>
  <si>
    <t>F class drop centre tram No. 245, probably at the Enfield terminus on Main North Road just south of Rakes Road (now Regency Road) about to depart for Colonel Light Gardens. A conductor stands beside a tram at a tram stop  an AMSCOL sign is on top of the tram.</t>
  </si>
  <si>
    <t>Trams -- South Australia -- Adelaide.</t>
  </si>
  <si>
    <t>b21088974</t>
  </si>
  <si>
    <t>Tram stopped in the parklands</t>
  </si>
  <si>
    <t>A tram stops for passengers in the parklands.</t>
  </si>
  <si>
    <t>b21088986</t>
  </si>
  <si>
    <t>Passengers boarding tram</t>
  </si>
  <si>
    <t>Passengers boarding 'F' class drop centre tram No. 222 (probably at the Hyde Park tram terminus at the corner of Avenure Road (now Whistler Avenure) and Cross Road at Unley Park (then the Hyde Park Terminus) en route to Walkervill North.. Trams operated from Hyde Park to Walkerville North.</t>
  </si>
  <si>
    <t>b21088998</t>
  </si>
  <si>
    <t>Drop centre tram in Wakefield Street / Victoria Square, Adelaide</t>
  </si>
  <si>
    <t>Photograph  12.9 cm x 8.7 cm</t>
  </si>
  <si>
    <t>Two men stand beside an 'F' type tram with Victoria Square Tramway Offices in the background.</t>
  </si>
  <si>
    <t>b21089000</t>
  </si>
  <si>
    <t>Tram at Morialta terminus</t>
  </si>
  <si>
    <t>F class drop centre tram No. 242 waiting to depart from the terminus at Morialta Falls Road, some distance east of Stradbroke Road.</t>
  </si>
  <si>
    <t>b21089012</t>
  </si>
  <si>
    <t>Tram on the Goodwood Tram Bridge</t>
  </si>
  <si>
    <t>A coupled set of Glenelg trams proceeding onto the tramway bridge over the railway at Goodwood Station.</t>
  </si>
  <si>
    <t>Trams -- South Australia -- Edwardstown;Railroad bridges -- South Australia</t>
  </si>
  <si>
    <t>b21089024</t>
  </si>
  <si>
    <t>Tram at New St</t>
  </si>
  <si>
    <t>A tram stopped at the New St. station in Plympton South.</t>
  </si>
  <si>
    <t>Trams -- South Australia -- Plympton South</t>
  </si>
  <si>
    <t>Plympton South Collection</t>
  </si>
  <si>
    <t>b21089036</t>
  </si>
  <si>
    <t>Henley North tram, No. 265</t>
  </si>
  <si>
    <t>Henley North tram, No. 265, at the western end of the Henley Beach viaduct.</t>
  </si>
  <si>
    <t>b21089048</t>
  </si>
  <si>
    <t>Tram No. 369</t>
  </si>
  <si>
    <t>Tram No. 369, in Victoria Square.</t>
  </si>
  <si>
    <t>b2108905x</t>
  </si>
  <si>
    <t>Coupled tram in Victoria Square</t>
  </si>
  <si>
    <t>Coupled Glenelg tram on Victoria Square turning from King William Street into Gouger Street, after delivering passengers from Glenelg in the middle of the Square, and before heading to the down terminus in front of Moore's Department store.</t>
  </si>
  <si>
    <t>b21089061</t>
  </si>
  <si>
    <t>Tram at intersection of King William Street and North Terrace</t>
  </si>
  <si>
    <t>'F' class drop centre tram no. 258 proceeding south outside Government House with the Bank of NSW (later Westpac) Building behind it.</t>
  </si>
  <si>
    <t>b21089073</t>
  </si>
  <si>
    <t>Trams at King William Street, Wayville</t>
  </si>
  <si>
    <t>Two trams at King William Road, Wayville  two drop centre trams on the Hyde Park line adjacent to the Glenelg Line, where there are four tram tracks in parallel.</t>
  </si>
  <si>
    <t>b21093441</t>
  </si>
  <si>
    <t>Butchers' picnic</t>
  </si>
  <si>
    <t>Photograph  24.1 cm x 19.5 cm</t>
  </si>
  <si>
    <t>Participants at a picnic, believed to be that of a butchers' association, with wives and children also present. John Henry White, a butcher at Thebarton, is standing in the back row, wearing a white hat  his wife Betty (nee Elizabeth Ellen Levy) is second from left in the third row (seated on bench)  and Elias John Levy is fourth row, seventh from left (laughing, white shirt).</t>
  </si>
  <si>
    <t>White, Elizabeth Ellen, 1919-1976;Levy, Elia John, -1973;White, John Henry, 1914-2005;Picnics</t>
  </si>
  <si>
    <t>b21096442</t>
  </si>
  <si>
    <t>Alma Cricket Team</t>
  </si>
  <si>
    <t>Photograph  15.2 cm x 22.2 cm</t>
  </si>
  <si>
    <t>The Alma Cricket team. Back row (from left): Don Dow, Alan Wall, Rob Day, ? Reid, Allan Harkness, Percy Smith. Front row (from left): Jim Connell, Bob Clarke, John Harkness, Roger Smyth, George Uphill. Taken in March, possibly 1950.</t>
  </si>
  <si>
    <t>Alma Collection</t>
  </si>
  <si>
    <t>b21125806</t>
  </si>
  <si>
    <t>Somerville family</t>
  </si>
  <si>
    <t>Photograph  9.7 cm x 13.6 cm</t>
  </si>
  <si>
    <t>The Somerville family pictured at their Kings Park home. From left: Mabel, with her parents James Dugald Somerville (1868-1960), and Edith nee Tapley (1869-1971).</t>
  </si>
  <si>
    <t>Somerville, Mabel, 1897-1981;Somerville, Edith, 1868-1960;Somerville, J. D. (James Dugald), 1868-1960</t>
  </si>
  <si>
    <t>b21135058</t>
  </si>
  <si>
    <t>Congo Steamer at Edithburgh Jetty</t>
  </si>
  <si>
    <t>Photoprint  5.8 cm x 8.5 cm</t>
  </si>
  <si>
    <t>View of a Congo Steamer docked at Edithburgh Jetty, with a crane in the foreground.</t>
  </si>
  <si>
    <t>Jetties -- South Australia -- Edithburgh;Steamboats -- South Australia -- Edithburgh</t>
  </si>
  <si>
    <t>Edithburgh Collection</t>
  </si>
  <si>
    <t>b21181421</t>
  </si>
  <si>
    <t>Miss Port Adelaide</t>
  </si>
  <si>
    <t>A young woman dressed in a long gown wearing sashes as 'Miss Largs Bay' and 'Miss Port Adelaide'.</t>
  </si>
  <si>
    <t>Beauty contests -- South Australia -- Port Adelaide</t>
  </si>
  <si>
    <t>b21181433</t>
  </si>
  <si>
    <t>Miss Port Adelaide and attendants</t>
  </si>
  <si>
    <t>A young woman dressed in a long gown wearing sashes as 'Miss Largs Bay' and 'Miss Port Adelaide', with two women attendants.</t>
  </si>
  <si>
    <t>b21181445</t>
  </si>
  <si>
    <t>Women at grave</t>
  </si>
  <si>
    <t>Photograph  8 cm x 5.5 cm</t>
  </si>
  <si>
    <t>Three women beside the headstone for Mrs Mary Forsyth at Centennial Park cemetery. She died on 24 July 1950 aged 88, wife of Arthur Forsyth of Peterhead.</t>
  </si>
  <si>
    <t>Forsyth, Mary, -1950;Centennial Park Cemetery (Adelaide, S.A.);Cemeteries -- South Australia -- Pasadena</t>
  </si>
  <si>
    <t>Pasadena Collection</t>
  </si>
  <si>
    <t>b21182772</t>
  </si>
  <si>
    <t>Sheep dip, Booleroo Centre</t>
  </si>
  <si>
    <t>A group of men building a spray sheep dip  in Booleroo Centre. Its walls are made of galvanised iron. Houses in a street can be seen behind.</t>
  </si>
  <si>
    <t>Sheep-dip;Booleroo Centre (S.A.)</t>
  </si>
  <si>
    <t>Booleroo Centre Collection</t>
  </si>
  <si>
    <t>b2121346x</t>
  </si>
  <si>
    <t>Line of Amcsol ice cream vans</t>
  </si>
  <si>
    <t>Photograph (copy print)  23.4 cm x 20.5 cm;RESERVE 1 a</t>
  </si>
  <si>
    <t>A line of Amscol ice cream vans parked in a line on the Torrens Parade Ground, with their drivers standing nearby.</t>
  </si>
  <si>
    <t>Trucks -- South Australia</t>
  </si>
  <si>
    <t>b21248576</t>
  </si>
  <si>
    <t>Group of young women</t>
  </si>
  <si>
    <t>Negative (glass plate)  11 cm x 17 cm</t>
  </si>
  <si>
    <t>A large group of young women, possibly members of a sporting club or team as all are wearing shorts.</t>
  </si>
  <si>
    <t>Album Collection;Packer Family Collection</t>
  </si>
  <si>
    <t>b21248588</t>
  </si>
  <si>
    <t>Toddler beside a post</t>
  </si>
  <si>
    <t>Negative (glass plate)  12 cm x 12 cm</t>
  </si>
  <si>
    <t>A young toddler, dressed in a jumper and overalls, standing beside a verandah post. See also B 69727/318.</t>
  </si>
  <si>
    <t>b2124859x</t>
  </si>
  <si>
    <t>A young toddler, dressed in a jumper and overalls, standing beside a verandah post. See also B 69727/317.</t>
  </si>
  <si>
    <t>b21248606</t>
  </si>
  <si>
    <t>Toddler on a stump</t>
  </si>
  <si>
    <t>Negative (glass plate)  14.5 cm x 11 cm</t>
  </si>
  <si>
    <t>A young toddler, dressed in sunsuit and hat, perched on an old stump.</t>
  </si>
  <si>
    <t>b21248631</t>
  </si>
  <si>
    <t>Bridal couple</t>
  </si>
  <si>
    <t>Negative (glass plate)  11 cm x 11 cm</t>
  </si>
  <si>
    <t>A bride and groom on their wedding day.</t>
  </si>
  <si>
    <t>Brides -- South Australia</t>
  </si>
  <si>
    <t>b21248643</t>
  </si>
  <si>
    <t>Woman with baby</t>
  </si>
  <si>
    <t>Negative (glass plate)  11.5 cm x 16.5 cm</t>
  </si>
  <si>
    <t>An older woman holding a baby (possibly a grandmother with a grandchild.).</t>
  </si>
  <si>
    <t>b21258260</t>
  </si>
  <si>
    <t>Land clearing team at Keppock</t>
  </si>
  <si>
    <t>1 photograph : black and white   5.6 x 8 cm;still image sti rdacontent;unmediated n rdamedia;sheet nb rdacarrier</t>
  </si>
  <si>
    <t>A land clearing team, pictured with Colin White's truck at Keppock, ca.1950-1951. Members of the team have been identified by a researcher: far left on the back of the truck is Leslie William ('Slim') Anderson  next to him is Timothy (Tim) Hughes, MM  on the back of the truck, second from right, is Laurence Clive ('Wampy') Peake  and next to him at the far right on the back of the truck is Colin Henry Campbell ('Killer') Cordwell. Colin Faulkner ('Knocker') White is leaning against the driver's door.</t>
  </si>
  <si>
    <t>Workers -- South Australia.</t>
  </si>
  <si>
    <t>b21258272</t>
  </si>
  <si>
    <t>Scrub clearing at Keppock</t>
  </si>
  <si>
    <t>Photograph (print)  5.6 cm x 8 cm</t>
  </si>
  <si>
    <t>'Scrub clearing for soldier settlers at Keppock, 1950'. It features a caterpillar tractor in the foreground, with a bulldozer behind it.</t>
  </si>
  <si>
    <t>Clearing of land</t>
  </si>
  <si>
    <t>b21258284</t>
  </si>
  <si>
    <t>'Bulldozers heaping timber for burning at Keepock 1950'.</t>
  </si>
  <si>
    <t>b21258296</t>
  </si>
  <si>
    <t>Clearing at Keppock</t>
  </si>
  <si>
    <t>Three men standing in front of felled timber at Keppock, 1950.</t>
  </si>
  <si>
    <t>b21258302</t>
  </si>
  <si>
    <t>New D7 dozer</t>
  </si>
  <si>
    <t>A new D7 bulldozer at Keppock, 1950. The driver is Tim Hughes.</t>
  </si>
  <si>
    <t>Clearing of land.;Bulldozers -- South Australia.</t>
  </si>
  <si>
    <t>b21258314</t>
  </si>
  <si>
    <t>Blue gum forest at Keppock</t>
  </si>
  <si>
    <t>View of the blue gum forest at Keppock, partially cleared.</t>
  </si>
  <si>
    <t>b21258405</t>
  </si>
  <si>
    <t>Timber clearing at Keppock</t>
  </si>
  <si>
    <t>'Timber clearing at Keppock 1950' with two men running away from a tree which is being pulled over by a bulldozer.</t>
  </si>
  <si>
    <t>b21258417</t>
  </si>
  <si>
    <t>The fall of a blue gum</t>
  </si>
  <si>
    <t>'The fall of a blue gum' catching the moment as a large tree starts to fall.</t>
  </si>
  <si>
    <t>b21270399</t>
  </si>
  <si>
    <t>Hotel Adelaide</t>
  </si>
  <si>
    <t>Photograph (B&amp;W print)  5.3 cm x 7.9 cm</t>
  </si>
  <si>
    <t>View of the Hotel Adelaide, situated at 44 Pirie Street, Adelaide. It operated between 1936 and 1970.</t>
  </si>
  <si>
    <t>Hotel Adelaide (Pirie Street, Adelaide, S.A.);Hotels -- South Australia -- Adelaide -- Pirie Street</t>
  </si>
  <si>
    <t>Acre 167 Collection</t>
  </si>
  <si>
    <t>b21270612</t>
  </si>
  <si>
    <t>Christies Beach Flats</t>
  </si>
  <si>
    <t>Negative (120mm), photograph (B&amp;W print)  5.6 cm x 7.9 cm</t>
  </si>
  <si>
    <t>View of the front of a block of flats identified as 'Christies Beach Flats'.</t>
  </si>
  <si>
    <t>Architecture -- 20th century -- South Australia -- Christies Beach;Apartments -- South Australia -- Christies Beach</t>
  </si>
  <si>
    <t>Christies Beach Collection</t>
  </si>
  <si>
    <t>b21270624</t>
  </si>
  <si>
    <t>View of the side of a block of flats identified as 'Christies Beach Flats'. A Holden FJ special sedan car is parked besides the flat, with a 1946-1948 Ford A53A Prefect sedan partially in view.</t>
  </si>
  <si>
    <t>b21270636</t>
  </si>
  <si>
    <t>Vicki Hughes and Priscilla Bennett standing beside their car (a 1946-1948 Ford A53A Prefect sedan) outside the Christies Beach Flats'.</t>
  </si>
  <si>
    <t>b2310580x</t>
  </si>
  <si>
    <t>Port Augusta railway station</t>
  </si>
  <si>
    <t>Photograph (B&amp;W print)  4.2 cm x 5.4 cm;RESERVE 1</t>
  </si>
  <si>
    <t>View along the platform of the Port Augusta railway station.</t>
  </si>
  <si>
    <t>Port Augusta Railway Station (Port Augusta, S.A.)</t>
  </si>
  <si>
    <t>b23105811</t>
  </si>
  <si>
    <t>Port Augusta from a distance</t>
  </si>
  <si>
    <t>View of Port Augusta 'looking more towards town from front steps of 5AU'.</t>
  </si>
  <si>
    <t>b23105823</t>
  </si>
  <si>
    <t>Spencer Gulf near Port Augusta</t>
  </si>
  <si>
    <t>View of Spencer Gulf - 'drive in to 5AU, and view from front of house. Rex's head in foreground. Spencer Gulf and hills in this view'.</t>
  </si>
  <si>
    <t>Spencer Gulf (S.A.)</t>
  </si>
  <si>
    <t>b23105835</t>
  </si>
  <si>
    <t>Main street of Port Augusta</t>
  </si>
  <si>
    <t>View along the Main street of Port Augusta.</t>
  </si>
  <si>
    <t>b23105859</t>
  </si>
  <si>
    <t>Looking towards Port Augusta Hospital</t>
  </si>
  <si>
    <t>'Looking towards Port Augusta Hospital hiding among those trees. The foreground constitutes the front "garden" wouldn't it rock you!'.</t>
  </si>
  <si>
    <t>b23105884</t>
  </si>
  <si>
    <t>5AU studio</t>
  </si>
  <si>
    <t>'5AU looking at the side of the house - the wires coming out the window are feeding the wireless mast.'</t>
  </si>
  <si>
    <t>b23105896</t>
  </si>
  <si>
    <t>5AU mast</t>
  </si>
  <si>
    <t>'5AU mast with Ray Ford in the foreground.'</t>
  </si>
  <si>
    <t>b23106438</t>
  </si>
  <si>
    <t>Housing Trust homes, Port Augusta</t>
  </si>
  <si>
    <t>'View looking to south east of station - Housing Trust homes and Flinders Ranges.'</t>
  </si>
  <si>
    <t>b23106451</t>
  </si>
  <si>
    <t>'More of beautiful scenery!!! looking at Housing Trust homes.'</t>
  </si>
  <si>
    <t>b23797927</t>
  </si>
  <si>
    <t>Symons, Clifford T, photographer</t>
  </si>
  <si>
    <t>51 Angas Street Adelaide</t>
  </si>
  <si>
    <t>The Methodist Young Peoples' Department, 51 Angas Street Adelaide, near the Arts Theatre.</t>
  </si>
  <si>
    <t>Methodist Young Peoples' Department</t>
  </si>
  <si>
    <t>Acre 412 Collection</t>
  </si>
  <si>
    <t>b25083557</t>
  </si>
  <si>
    <t>Cabin of a 620 class engine</t>
  </si>
  <si>
    <t>Photograph (B&amp;W print)  29.1 cm x 23 cm;RESERVE 1 b</t>
  </si>
  <si>
    <t>The cabin of a 620 class engine at the South Australian Railways, Islington workshop.</t>
  </si>
  <si>
    <t>Railroads -- South Australia -- Repair shops;Railroads -- South Australia -- Passenger-cars</t>
  </si>
  <si>
    <t>b25083582</t>
  </si>
  <si>
    <t>Feed water pump</t>
  </si>
  <si>
    <t>Photograph (B&amp;W print)  4 cm x 28.7 cm;RESERVE 1 b</t>
  </si>
  <si>
    <t>A feed water pump which was undergoing trials on a 710 class engine at the South Australia Railways, Islington workshop.</t>
  </si>
  <si>
    <t>Railroads -- Equipment and supplies</t>
  </si>
  <si>
    <t>b2759502x</t>
  </si>
  <si>
    <t>Granite Island view to Victor Harbor</t>
  </si>
  <si>
    <t>Photograph (B&amp;W)  6 cm x 10.3 cm;RESERVE 1 a</t>
  </si>
  <si>
    <t>View of horse and cows on Granite Island, looking back to causeway and Victor Harbor. The horse may have belonged to the Harbour Master, who lived on the island.</t>
  </si>
  <si>
    <t>Granite Island (S.A.)</t>
  </si>
  <si>
    <t>b27606661</t>
  </si>
  <si>
    <t>Tree trunk</t>
  </si>
  <si>
    <t>Photograph (B&amp;W)  9 cm x 14 cm;RESERVE 1 a</t>
  </si>
  <si>
    <t>Tree at Gawler which fell off its stump and stood upright for several days.</t>
  </si>
  <si>
    <t>Trees -- South Australia -- Gawler</t>
  </si>
  <si>
    <t>b29123124</t>
  </si>
  <si>
    <t>Greengrocer's vehicle in Kilburn, South Australia</t>
  </si>
  <si>
    <t>Photograph (B&amp;W print)  15.2 cm x 20.5 cm</t>
  </si>
  <si>
    <t>A small greengrocer's truck driving along a wet and muddy road. Handwritten photographer's caption sheet on the back reads "Maud St. Kilburn presented a problem for tradesmen on their rounds to Housing Trust Homes this morning after heavy rains. Picture shows greengrocer ploughing through mud and water."</t>
  </si>
  <si>
    <t>Public housing -- South Australia -- Kilburn;Vans -- South Australia -- Kilburn;Trucks -- South Australia -- Kilburn;Kilburn (S.A.)</t>
  </si>
  <si>
    <t>b29377821</t>
  </si>
  <si>
    <t>South Australian Government Tourist Bureau, photographer</t>
  </si>
  <si>
    <t>Loading coal at Leigh Creek</t>
  </si>
  <si>
    <t>1 photograph : black and white   40.7 x 72.3 cm;OUTSIZE 5 c;still image sti rdacontent;unmediated n rdamedia;sheet nb rdacarrier</t>
  </si>
  <si>
    <t>View across the railway lines where a truck is tipping a load onto a conveyor belt which is feeding into rail trucks. Believed to be at Leigh Creek.</t>
  </si>
  <si>
    <t>Coal -- South Australia -- Leigh Creek;Railroads -- South Australia -- Leigh Creek;Coal-handling machinery -- South Australia -- Leigh Creek</t>
  </si>
  <si>
    <t>b30136581</t>
  </si>
  <si>
    <t>Kindergarten art class</t>
  </si>
  <si>
    <t>1 photograph : black and white   5.7 x 8.3 cm;still image sti rdacontent;unmediated n rdamedia;sheet nb rdacarrier</t>
  </si>
  <si>
    <t>A group of kindergarten children working on artworks on easels in the playground. [This image was copied from a Lines and McBryde Families photo album.]</t>
  </si>
  <si>
    <t>Children -- South Australia</t>
  </si>
  <si>
    <t>b3029826x</t>
  </si>
  <si>
    <t>Transcontinental Hotel, Oodnadatta</t>
  </si>
  <si>
    <t>1 photograph : black and white   7 x 16.5 cm, on mount 41.8 x 70 cm;OUTSIZE 5c;still image sti rdacontent;unmediated n rdamedia;sheet nb rdacarrier</t>
  </si>
  <si>
    <t>Transcontinental Hotel, located in Oodnadatta, South Australia, with two men standing at the entrance, and a windmill in the background.</t>
  </si>
  <si>
    <t>Transcontinental Hotel (Oodnadatta, S.A.);Hotels -- South Australia -- Oodnadatta</t>
  </si>
  <si>
    <t>b31302142</t>
  </si>
  <si>
    <t>F Class tram</t>
  </si>
  <si>
    <t>1 photograph : black and white   8.7 x 13.0 cm;RESERVE 1 a;still image sti rdacontent;unmediated n rdamedia;sheet nb rdacarrier</t>
  </si>
  <si>
    <t>View of an F Class tram at a station.</t>
  </si>
  <si>
    <t>b31302154</t>
  </si>
  <si>
    <t>View of an F Class tram, numbered 256, moving along a track.</t>
  </si>
  <si>
    <t>b3130543x</t>
  </si>
  <si>
    <t>Hedley Cullen</t>
  </si>
  <si>
    <t>1 photograph : black and white   15.5 x 10.8 cm;RESERVE 1 a;still image sti rdacontent;unmediated n rdamedia;sheet nb rdacarrier</t>
  </si>
  <si>
    <t>A man, Hedley Cullen with the alias 'Deadly Ernest', reading a book in front of a window.</t>
  </si>
  <si>
    <t>Cullen, Hedley, 1915-1994</t>
  </si>
  <si>
    <t>b31329287</t>
  </si>
  <si>
    <t>Kent Town Malt house</t>
  </si>
  <si>
    <t>1 photograph : black and white   8.0 x 16.1 cm;RESERVE 1 a;still image sti rdacontent;unmediated n rdamedia;sheet nb rdacarrier</t>
  </si>
  <si>
    <t>View of Rundle Street East and the Kent Town Malt house at the end of the road. Two double decker elctric trolley buses can be seen parked on one side. Photograph was donated by the estate of Basil Creswell Newland.</t>
  </si>
  <si>
    <t>Kent Town Brewery (S.A.);Breweries -- South Australia -- Kent Town.;Rundle Street (Adelaide, S.A.)</t>
  </si>
  <si>
    <t>Kent Town Collection</t>
  </si>
  <si>
    <t>b20316987</t>
  </si>
  <si>
    <t>Governor's visit, Mount Gambier.</t>
  </si>
  <si>
    <t>[approximately 1950].</t>
  </si>
  <si>
    <t>Negative &amp; photograph  20.6 x 16.1 cm.</t>
  </si>
  <si>
    <t>Sir Edric Bastyan inspecting 'A' Company Royal S.A. Regiment at Mount Gambier.</t>
  </si>
  <si>
    <t>Bastyan, Edric Montague, Sir, 1903-1980.;Australia. Army. Royal South Australia Regiment. Company, A.;Soldiers -- South Australia -- Mount Gambier.;Governors -- South Australia.</t>
  </si>
  <si>
    <t>b2092060x</t>
  </si>
  <si>
    <t>'Burbrook' near Kuitpo.</t>
  </si>
  <si>
    <t>Photograph (b&amp;w print)  14.7 cm x 20.5 cm.;RESERVE 1 album</t>
  </si>
  <si>
    <t>No. 1793. 'Burbrook' near Kuitpo.</t>
  </si>
  <si>
    <t>Kuitpo (S.A.).</t>
  </si>
  <si>
    <t>b20920611</t>
  </si>
  <si>
    <t>1 photograph (black &amp; white print)   14.5 cm x 21 cm.;RESERVE 1 album</t>
  </si>
  <si>
    <t>No. 1794. 'Burbrook' near Kuitpo.</t>
  </si>
  <si>
    <t>Kuitpo (S.A.)</t>
  </si>
  <si>
    <t>b22214513</t>
  </si>
  <si>
    <t>Members of the National Parks Commission</t>
  </si>
  <si>
    <t>Photograph (B&amp;W print)  15 cm x 20.6 cm;RESERVE 1</t>
  </si>
  <si>
    <t>Thirteen men identified only at 'Nat. Parks Comm.'</t>
  </si>
  <si>
    <t>b22904906</t>
  </si>
  <si>
    <t>Aerial view of Gorge Mill, Normanville</t>
  </si>
  <si>
    <t>Photograph (digital print)  19 cm x 24.3 cm</t>
  </si>
  <si>
    <t>Aerial view of Gorge Mill, Normanville, also showing the church on the other side of the road and nearby residence. See also B 71170.</t>
  </si>
  <si>
    <t>Normanville Collection</t>
  </si>
  <si>
    <t>b22904918</t>
  </si>
  <si>
    <t>Aerial view of Gorge Mill, Normanville, also showing the church on the other side of the road and nearby residence. See also B 71169.</t>
  </si>
  <si>
    <t>b23137034</t>
  </si>
  <si>
    <t>Glasgow, Bruce, -1985, photographer</t>
  </si>
  <si>
    <t>Mining at Leigh Creek</t>
  </si>
  <si>
    <t>Photograph (B&amp;W print)  5.6 cm x 8.4 cm</t>
  </si>
  <si>
    <t>View of mining operations at Leigh Creek, with trucks and other equipment visible.</t>
  </si>
  <si>
    <t>Mines and mineral resources -- South Australia -- Leigh Creek;Leigh Creek (S.A.)</t>
  </si>
  <si>
    <t>b2508351x</t>
  </si>
  <si>
    <t>Rear view of an SAR wagon</t>
  </si>
  <si>
    <t>Photograph (B&amp;W print)  22 cm x 28 cm;RESERVE 1 b</t>
  </si>
  <si>
    <t>Rear view of a steel ore wagon, constructed at the South Australian Railways, Islington workshop.</t>
  </si>
  <si>
    <t>b25083661</t>
  </si>
  <si>
    <t>View looking along Pulteney Street</t>
  </si>
  <si>
    <t>Photograph (B&amp;W print)  27.5 cm x 23.4 cm;RESERVE 1 b</t>
  </si>
  <si>
    <t>View looking along Pulteney Street from the corner of North Terrace, with Scots Church in the forground.</t>
  </si>
  <si>
    <t>Pulteney Street (Adelaide, S.A.)</t>
  </si>
  <si>
    <t>Acre 24 Collection</t>
  </si>
  <si>
    <t>b25083673</t>
  </si>
  <si>
    <t>Horseman with a flock of sheep</t>
  </si>
  <si>
    <t>Photograph (B&amp;W print)  22.2 cm x 28.7 cm;RESERVE 1 b</t>
  </si>
  <si>
    <t>Horseman with a flock of sheep at Yudnapinna.</t>
  </si>
  <si>
    <t>b25083740</t>
  </si>
  <si>
    <t>K. P. Phillips, photographer</t>
  </si>
  <si>
    <t>Night time view of Bonython Hall</t>
  </si>
  <si>
    <t>Photograph (B&amp;W print)  27.9 cm x 22.7 cm;RESERVE 1 b</t>
  </si>
  <si>
    <t>View of a flood-lit Bonython Hall, North Terrace, Adelaide.</t>
  </si>
  <si>
    <t>Bonython Hall (Adelaide, S.A.);University of Adelaide -- Buildings;Halls -- South Australia -- Adelaide</t>
  </si>
  <si>
    <t>b25083764</t>
  </si>
  <si>
    <t>Night time view of Mitchell Building</t>
  </si>
  <si>
    <t>Photograph (B&amp;W print)  27.4 cm x 22.9 cm;RESERVE 1 b</t>
  </si>
  <si>
    <t>View of a flood-lit Mitchell Building, North Terrace, Adelaide.</t>
  </si>
  <si>
    <t>Mitchell Building (University of Adelaide);Halls -- South Australia -- Adelaide</t>
  </si>
  <si>
    <t>b25083776</t>
  </si>
  <si>
    <t>Phelps, H. V., photographer</t>
  </si>
  <si>
    <t>Truck being loaded</t>
  </si>
  <si>
    <t>Photograph (B&amp;W print)  14.4 cm x 20.2 cm (image), 22.7 cm x 28.5 cm (mount);RESERVE 1 b</t>
  </si>
  <si>
    <t>A Highways Department truck being loaded with sand or gravel.</t>
  </si>
  <si>
    <t>South Australia. Highways Department</t>
  </si>
  <si>
    <t>b28933631</t>
  </si>
  <si>
    <t>Sir Charles McCann</t>
  </si>
  <si>
    <t>Photograph (sepia print)  24 cm x 18.2 cm (image), 32.9 cm x 25.5 cm (mount);RESERVE 1 b</t>
  </si>
  <si>
    <t>Portrait of Sir Charles McCann, South Australia's Trade Commissioner and Agent General in London, from 1911-1919, and again from 1931-1951.</t>
  </si>
  <si>
    <t>McCann, Charles F. G., Sir, 1880-1951</t>
  </si>
  <si>
    <t>b28938100</t>
  </si>
  <si>
    <t>Paddle steamer 'Wanera'</t>
  </si>
  <si>
    <t>Photograph (colour reproduction print)  16.5 cm x 17.9 cm;B 63241/47 RESERVE 1 album</t>
  </si>
  <si>
    <t>The paddle steamer 'Wanera' moored on the river bank. This photo is part of the Sheahan Collection which consists of 114 views depicting river craft and two steam boat captains, bridges, and locks on the Murray River in South Australia.</t>
  </si>
  <si>
    <t>Wanera (Paddle steamer);Paddle steamers -- Murray River (N.S.W.- S.A.)</t>
  </si>
  <si>
    <t>b28938161</t>
  </si>
  <si>
    <t>Paddle steamer Murrundi moored</t>
  </si>
  <si>
    <t>Photograph (B&amp;W copy print)  20.2 cm x 25.3 cm;B 63241/49 RESERVE 1 album</t>
  </si>
  <si>
    <t>The PS Murrundi moored adjacent to a rail siding with a Noske Bros. tower in the background. This photo is part of the Sheahan Collection which consists of 114 views depicting river craft and two steam boat captains, bridges, and locks on the Murray River in South Australia.</t>
  </si>
  <si>
    <t>Murrundi (Paddle steamer);Paddle steamers -- South Australia</t>
  </si>
  <si>
    <t>b28938185</t>
  </si>
  <si>
    <t>'Roy' being used as a land dwelling</t>
  </si>
  <si>
    <t>Photograph (B&amp;W copy print)  8 cm x 8 cm;B 63241/50 RESERVE 1 album</t>
  </si>
  <si>
    <t>The 'Roy' (small boat) being used as a land dwelling. This photo is part of the Sheahan Collection which consists of 114 views depicting river craft and two steam boat captains, bridges, and locks on the Murray River in South Australia.</t>
  </si>
  <si>
    <t>Housing -- South Australia</t>
  </si>
  <si>
    <t>b2893989x</t>
  </si>
  <si>
    <t>The 70 foot dismantled at Berri</t>
  </si>
  <si>
    <t>Photograph (B&amp;W print)  12.9 cm x 8 cm;B 63241/67 RESERVE 1 album</t>
  </si>
  <si>
    <t>Remains of 'the 70 foot dismantled at Berri'. This photo is part of the Sheahan Collection which consists of 114 views depicting river craft and two steam boat captains, bridges, and locks on the Murray River in South Australia.</t>
  </si>
  <si>
    <t>b28941135</t>
  </si>
  <si>
    <t>Houseboat moored at the river bank</t>
  </si>
  <si>
    <t>Negative (B&amp;W, copy)  35 mm;B 63241/107 RESERVE 1 negatives</t>
  </si>
  <si>
    <t>Houseboat moored at the river bank, with a dinghy beside it. This photo is part of the Sheahan Collection which consists of 114 views depicting river craft and two steam boat captains, bridges, and locks on the Murray River in South Australia.</t>
  </si>
  <si>
    <t>Houseboats -- Murray River (N.S.W.-S.A.)</t>
  </si>
  <si>
    <t>b28941172</t>
  </si>
  <si>
    <t>Negative (colour, copy)  35 mm;B 63241/111 RESERVE 1 negatives</t>
  </si>
  <si>
    <t>Small paddle steamer under way. This photo is part of the Sheahan Collection which consists of 114 views depicting river craft and two steam boat captains, bridges, and locks on the Murray River in South Australia. According to a researcher, this is the PS Etona in Echuca, possibly in the race for the William Randell Trophy in 1974.</t>
  </si>
  <si>
    <t>b29112606</t>
  </si>
  <si>
    <t>"Halsbury Flats" at Christies Beach</t>
  </si>
  <si>
    <t>Photograph (B&amp;W print)  7.5 cm x 10.5 cm</t>
  </si>
  <si>
    <t>Photograph of a large house behind a brush fence, with another house behind it. The photo is labelled on the back as "Halsbury Flats, Christies Beach".</t>
  </si>
  <si>
    <t>Apartments -- South Australia -- Christies Beach;Architecture -- 20th century -- South Australia -- Christies Beach;Christies Beach (S.A.)</t>
  </si>
  <si>
    <t>b30172238</t>
  </si>
  <si>
    <t>Saunders, Arthur, photographer</t>
  </si>
  <si>
    <t>One Sunday afternoon at the Gorge picnic grounds</t>
  </si>
  <si>
    <t>approximately [1950]</t>
  </si>
  <si>
    <t>1 photograph : black and white  9.0 x 9.0 cm;RESERVE 1 a;still image sti rdacontent;unmediated n rdamedia;sheet nb rdacarrier</t>
  </si>
  <si>
    <t>Ellen Saunders "enjoying the news of the world one Sunday afternoon at the Gorge picnic grounds" in her new Ford station wagon.</t>
  </si>
  <si>
    <t>Saunders, Ellen Emily;Saunders, Arthur;Ford automobile</t>
  </si>
  <si>
    <t>b30172263</t>
  </si>
  <si>
    <t>Cooking dinner in style on the banks of the Murray</t>
  </si>
  <si>
    <t>Ellen Saunders preparing a picnic near her Ford station wagon, on the Murray River. "Cooking dinner in style on the banks of the Murray, we pack everything but the kitchen sink into the car."</t>
  </si>
  <si>
    <t>Saunders, Ellen Emily;Saunders, Arthur;Ford automobile;Murray River (N.S.W.-S.A.)</t>
  </si>
  <si>
    <t>b30172299</t>
  </si>
  <si>
    <t>Stumpy tail lizard 'Charlie Boy'</t>
  </si>
  <si>
    <t>Stumpy tail lizard in the domestic garden of Ellen Saunders at Hampstead Gardens. "We found this Charlie Boy in the garden one day, I don't have to tell you he didn't stay long."</t>
  </si>
  <si>
    <t>Saunders, Ellen Emily;Saunders, Arthur</t>
  </si>
  <si>
    <t>b30114561</t>
  </si>
  <si>
    <t>Lookout at Port Adelaide</t>
  </si>
  <si>
    <t>1 photograph : acetate, negative, black and white   9.1 x 14.6 cm;RESERVE 1 a;still image sti rdacontent;unmediated n rdamedia;sheet nb rdacarrier</t>
  </si>
  <si>
    <t>Black and white photograph of a lookout, believed to be at Port Adelaide.</t>
  </si>
  <si>
    <t>Lookouts -- South Australia -- Port Adelaide</t>
  </si>
  <si>
    <t>Port Adelaide Collection.</t>
  </si>
  <si>
    <t>b30115747</t>
  </si>
  <si>
    <t>Rooftop view of Port Adelaide docks</t>
  </si>
  <si>
    <t>1 photograph : acetate, negative, black and white   9.1 x 14.7 cm;RESERVE 1 a;still image sti rdacontent;unmediated n rdamedia;sheet nb rdacarrier</t>
  </si>
  <si>
    <t>Black and white photograph taking in a view from a rooftop of wharves at Port Adelaide, with sheds and buildings in view.</t>
  </si>
  <si>
    <t>Wharves -- South Australia -- Port Adelaide;Buildings -- South Australia -- Port Adelaide</t>
  </si>
  <si>
    <t>b20186046</t>
  </si>
  <si>
    <t>Jubilee Celebrations</t>
  </si>
  <si>
    <t>Jubilee celebrations. Overland Telegraph Group followed by a "pioneer" item going through the streets of Alice Springs in May 1951.</t>
  </si>
  <si>
    <t>Commonwealth of Australia Jubilee (1951);Parades -- Northern Territory -- Alice Springs</t>
  </si>
  <si>
    <t>b20186058</t>
  </si>
  <si>
    <t>Jubilee celebrations. Police group with Inspector McKinnon going through the streets of Alice Springs, May 1951.</t>
  </si>
  <si>
    <t>Police -- Northern Territory -- Alice Springs;Camels -- Northern Territory -- Alice Springs;Parades -- Northern Territory -- Alice Springs</t>
  </si>
  <si>
    <t>b20188043</t>
  </si>
  <si>
    <t>War Memorial</t>
  </si>
  <si>
    <t>War Memorial in the Children's Reserve at Angaston.</t>
  </si>
  <si>
    <t>Gardens -- South Australia -- Angaston;War memorials -- South Australia -- Angaston</t>
  </si>
  <si>
    <t>Angaston Collection</t>
  </si>
  <si>
    <t>b20188067</t>
  </si>
  <si>
    <t>Angas Recreation Park</t>
  </si>
  <si>
    <t>Angas Recreation Park at Angaston: the entrance gates.</t>
  </si>
  <si>
    <t>Recreation areas -- South Australia -- Angaston;Gates -- South Australia -- Angaston</t>
  </si>
  <si>
    <t>b20188079</t>
  </si>
  <si>
    <t>Angas Recreation Park. Opening</t>
  </si>
  <si>
    <t>Angas Recreation Park. Opening a portion of the park.</t>
  </si>
  <si>
    <t>Recreation areas -- South Australia -- Angaston</t>
  </si>
  <si>
    <t>b20193580</t>
  </si>
  <si>
    <t>Rifle Range, Auburn</t>
  </si>
  <si>
    <t>F. Burfield at the opening of the Auburn Rifle Range on 13 October 1951.</t>
  </si>
  <si>
    <t>Rifle-Ranges</t>
  </si>
  <si>
    <t>b20193592</t>
  </si>
  <si>
    <t>First shot fired by B.C.Freeman at the opening of the Auburn Rifle Range, 13 October 1951.</t>
  </si>
  <si>
    <t>b2019481x</t>
  </si>
  <si>
    <t>Harvesting, Balaklava</t>
  </si>
  <si>
    <t>Photograph (b&amp;w print)  15.3 cm x 21.2 cm;C1</t>
  </si>
  <si>
    <t>Reaping the paddocks at harvesting time, Balaklava.</t>
  </si>
  <si>
    <t>Agricultural machinery -- South Australia -- Balaklava;Harvesting machinery -- South Australia -- Balaklava</t>
  </si>
  <si>
    <t>Balaklava Collection</t>
  </si>
  <si>
    <t>b20198395</t>
  </si>
  <si>
    <t>Winery, Berri</t>
  </si>
  <si>
    <t>Photograph (b&amp;w print)   6.6 cm x 10.9 cm;RESERVE 1</t>
  </si>
  <si>
    <t>Trucks of grapes waiting for Baume testing and weighing prior to crushing. Karoom railway station, Gennings house in top right hand corner. Main road to Adelaide and Glossop in the distance.</t>
  </si>
  <si>
    <t>Viticulture -- South Australia -- Berri</t>
  </si>
  <si>
    <t>b20198401</t>
  </si>
  <si>
    <t>Photograph (b&amp;w print)   6.4 cm x 9.7 cm;RESERVE 1</t>
  </si>
  <si>
    <t>Wine barrels at the centre Winery waiting for despatch overseas and interstate.</t>
  </si>
  <si>
    <t>b20198413</t>
  </si>
  <si>
    <t>Photograph (b&amp;w print)   6.5 cm x 9.8 cm;RESERVE 1</t>
  </si>
  <si>
    <t>b20198425</t>
  </si>
  <si>
    <t>Photograph (b&amp;w print)   6.5 cm x 11 cm;RESERVE 1</t>
  </si>
  <si>
    <t>Ferment cellar. Juice and sludge is now hosed from the tanks and washed down the centre channels. Conveyor belts now gone.</t>
  </si>
  <si>
    <t>b20198437</t>
  </si>
  <si>
    <t>Photograph (b&amp;w print)   6.6 cm x 11 cm;RESERVE 1</t>
  </si>
  <si>
    <t>Looking towards Berri from water tower. Distillation house on the right.</t>
  </si>
  <si>
    <t>b20198449</t>
  </si>
  <si>
    <t>Photograph (b&amp;w print)   6.7 cm x 10.7 cm;RESERVE 1</t>
  </si>
  <si>
    <t>Looking towards Glossop from water tower - staff houses showing over the tops of the trees.</t>
  </si>
  <si>
    <t>b20198450</t>
  </si>
  <si>
    <t>Free store at the winery.</t>
  </si>
  <si>
    <t>b20210863</t>
  </si>
  <si>
    <t>Cape Cassini</t>
  </si>
  <si>
    <t>Smith's Bay, Emu Bay Reef and Cape Cassini.</t>
  </si>
  <si>
    <t>Cassini Collection</t>
  </si>
  <si>
    <t>b20215125</t>
  </si>
  <si>
    <t>Methodist Church  Clarendon</t>
  </si>
  <si>
    <t>Photograph  14.5 cm x 8.2 cm</t>
  </si>
  <si>
    <t>Clarendon Methodist Church (S.A.) -- Centennial celebrations, etc.;Church architecture -- South Australia -- Clarendon;Methodist Church -- South Australia -- Clarendon;Automobiles -- South Australia -- Clarendon</t>
  </si>
  <si>
    <t>b20215150</t>
  </si>
  <si>
    <t>Clarendon Methodist Church</t>
  </si>
  <si>
    <t>Trustees of Clarendon Methodist Church : Standing l-r C.B. Powell, C.G. Easton, R.G. Potter, Rev. S.B. Trigg, M.R. Harper, R.W. Easton, L.C. Spencer (Sec.). Sitting: A.R. Hilton, S.L. Giles, B.J. Potter, T.H. Shipway.</t>
  </si>
  <si>
    <t>b20234399</t>
  </si>
  <si>
    <t>Freeling</t>
  </si>
  <si>
    <t>Photograph (b&amp;w print)  19 cm x 24.6 cm (image)   27.3 cm x 32.5 cm (mount);RESERVE 1</t>
  </si>
  <si>
    <t>Members of the District Council, Jubilee Year 1951. Back Row l-r F.C. Best, H.E. Mattschoss (Overseer)  V.H. Hese (Clerk), F.W. Kernich. Sitting l-r: F.W. Nietschke  T. Shanahan (Chairman)  H.B. Braunack  E.A. Lienart.</t>
  </si>
  <si>
    <t>Freeling (S.A. : District). Council</t>
  </si>
  <si>
    <t>Freeling Collection</t>
  </si>
  <si>
    <t>b20244435</t>
  </si>
  <si>
    <t>Toll Bar House.</t>
  </si>
  <si>
    <t>Glen Osmond Collection;Praite Collection</t>
  </si>
  <si>
    <t>b20244447</t>
  </si>
  <si>
    <t>b20244459</t>
  </si>
  <si>
    <t>Toll Bar House plaque on the building.</t>
  </si>
  <si>
    <t>b20244460</t>
  </si>
  <si>
    <t>b20248155</t>
  </si>
  <si>
    <t>Re-enactment, Goolwa</t>
  </si>
  <si>
    <t>Re-enactment of Captain Sturt's River Murray Expedition arriving at Goolwa. [Duplicated at B 55866].</t>
  </si>
  <si>
    <t>b20248581</t>
  </si>
  <si>
    <t>P.S. "Captain Sturt", Goolwa</t>
  </si>
  <si>
    <t>Photograph (b&amp;w print)  6.4 cm x 8.8 cm;C1</t>
  </si>
  <si>
    <t>Goolwa Collection;Praite Collection</t>
  </si>
  <si>
    <t>b20264616</t>
  </si>
  <si>
    <t>Air Cargo, Kangaroo Island</t>
  </si>
  <si>
    <t>Air lift of sheep from Kangaroo Island by Bristol Freighter.</t>
  </si>
  <si>
    <t>b20264720</t>
  </si>
  <si>
    <t>Shipwreck, Kangaroo Island</t>
  </si>
  <si>
    <t>"Mary" - built at Port Adelaide 1876, wrecked Antechamber Bay, 1 August 1951.</t>
  </si>
  <si>
    <t>Mary (Ship);Shipwrecks -- South Australia -- Kangaroo Island;Antechamber Bay (S.A.)</t>
  </si>
  <si>
    <t>b20279188</t>
  </si>
  <si>
    <t>Photograph  21.6 cm x 16.1 cm</t>
  </si>
  <si>
    <t>Leigh Creek coal field, 16 September 1951.</t>
  </si>
  <si>
    <t>Mines and mineral resources -- South Australia -- Leigh Creek;Coal -- South Australia -- Leigh Creek</t>
  </si>
  <si>
    <t>b20297336</t>
  </si>
  <si>
    <t>Mitcham City Band</t>
  </si>
  <si>
    <t>Mitcham City Band.</t>
  </si>
  <si>
    <t>Mitcham City Band (Mitcham, S.A.);Brass bands -- South Australia -- Mitcham</t>
  </si>
  <si>
    <t>b20299503</t>
  </si>
  <si>
    <t>Bradtke homestead</t>
  </si>
  <si>
    <t>Photograph (b&amp;w print)  15 cm x 18 cm;C1</t>
  </si>
  <si>
    <t>Home renovated in 1951.</t>
  </si>
  <si>
    <t>Farmhouses -- South Australia -- Moculta</t>
  </si>
  <si>
    <t>b20299837</t>
  </si>
  <si>
    <t>Picnic-cycle race, Moculta</t>
  </si>
  <si>
    <t>Picnic-cycle race won by Allan Krieger, Dennis Schilling second.</t>
  </si>
  <si>
    <t>Schilling, Dennis;Krieger, Allan;Picnics -- South Australia -- Moculta;Bicycle racing -- South Australia -- Moculta</t>
  </si>
  <si>
    <t>b20320590</t>
  </si>
  <si>
    <t>Worsted Mills, Mount Gambier</t>
  </si>
  <si>
    <t>Photograph (b&amp;w print)  15.2 cm x 21.6 cm;C1</t>
  </si>
  <si>
    <t>Staff of the Worsted Mills.</t>
  </si>
  <si>
    <t>b20339665</t>
  </si>
  <si>
    <t>Wilson, B., photographer</t>
  </si>
  <si>
    <t>Funeral of John Flynn</t>
  </si>
  <si>
    <t>Photograph (b&amp;w print)  16.4 cm x 21.5 cm;C1</t>
  </si>
  <si>
    <t>Funeral ceremony for John Flynn, burying his ashes at Mount Gillen.</t>
  </si>
  <si>
    <t>Flynn, John, 1880-1951;Funeral rites and ceremonies -- Northern Territory</t>
  </si>
  <si>
    <t>Northern Territory Collection</t>
  </si>
  <si>
    <t>b20339677</t>
  </si>
  <si>
    <t>Funeral ceremony for John Flynn at Mount Gillen.</t>
  </si>
  <si>
    <t>b20339689</t>
  </si>
  <si>
    <t>Funeral of John Flynn at Mount Gillen: burying the ashes. Between the police at left, Rev. Frank Hanlin, then Rev. Ken Beckett and Rev. J. Stewart Lang. On the platform are Rev. A.S. houston and Rev. J. Gray Robertson. Bending over in front is Rev. K.F. Partridge.</t>
  </si>
  <si>
    <t>b20339690</t>
  </si>
  <si>
    <t>Funeral of John Flynn at Mount Gillen. Extreme left: Mrs Gertrude Partridge, Mrs Robertson, Sister Nance Inglis.</t>
  </si>
  <si>
    <t>b20339707</t>
  </si>
  <si>
    <t>Wireless Equipment</t>
  </si>
  <si>
    <t>Wireless equipment which relayed details of the funeral of John Flynn to Australia. Seated at the wireless set is Mr. Graham Pitts, Base Director, Royal Flying Doctor Service, Alice Springs. Beside him is an unidentified A.B.C. reporter. 23 May 1951.</t>
  </si>
  <si>
    <t>Flynn, John, 1880-1951;Radio -- Northern Territory</t>
  </si>
  <si>
    <t>b20357382</t>
  </si>
  <si>
    <t>Show Day, Pinnaroo</t>
  </si>
  <si>
    <t>Photograph  14 cm x 8 cm</t>
  </si>
  <si>
    <t>Show Day at Pinnaroo in October 1951.</t>
  </si>
  <si>
    <t>b20357394</t>
  </si>
  <si>
    <t>b20364155</t>
  </si>
  <si>
    <t>North Parade, Port Adelaide</t>
  </si>
  <si>
    <t>North Parade, Port Adelaide in March 1951 showing the buildings to be demolished to make way for cargo sheds.</t>
  </si>
  <si>
    <t>b20377940</t>
  </si>
  <si>
    <t>Floods at Port Noarlunga</t>
  </si>
  <si>
    <t>Photograph  21.7 cm x 14.1 cm</t>
  </si>
  <si>
    <t>Floods at Port Noarlunga.</t>
  </si>
  <si>
    <t>Floods -- South Australia -- Port Noarlunga</t>
  </si>
  <si>
    <t>Port Noarlunga Collection</t>
  </si>
  <si>
    <t>b20410050</t>
  </si>
  <si>
    <t>Council float in procession</t>
  </si>
  <si>
    <t>Photograph  21.5 cm x 14.4 cm</t>
  </si>
  <si>
    <t>Council float in procession on Semaphore jetty.</t>
  </si>
  <si>
    <t>Port Adelaide (S.A.). Council;Parade floats -- South Australia -- Semaphore;Jetties -- South Australia -- Semaphore</t>
  </si>
  <si>
    <t>b20421321</t>
  </si>
  <si>
    <t>Sturt's Expedition</t>
  </si>
  <si>
    <t>Celebration of Sturt's Expedition.</t>
  </si>
  <si>
    <t>b20427888</t>
  </si>
  <si>
    <t>Primary school band</t>
  </si>
  <si>
    <t>The Thebarton Primary School Band. [A researcher believes the photograph to be taken in 1951].</t>
  </si>
  <si>
    <t>Thebarton Primary School (S.A.);Children -- South Australia -- Thebarton;Bands (Music) -- South Australia -- Thebarton</t>
  </si>
  <si>
    <t>Thebarton Collection</t>
  </si>
  <si>
    <t>b20427918</t>
  </si>
  <si>
    <t>The Thebarton Primary School Band.</t>
  </si>
  <si>
    <t>b2042792x</t>
  </si>
  <si>
    <t>The Thebarton Primary school band.</t>
  </si>
  <si>
    <t>b20427931</t>
  </si>
  <si>
    <t>The baton twirlers in Thebarton Primary school band.</t>
  </si>
  <si>
    <t>Thebarton Primary School (S.A.);Bands (Music) -- South Australia -- Thebarton</t>
  </si>
  <si>
    <t>b20427943</t>
  </si>
  <si>
    <t>The bugle corps of the Thebarton Primary School Band. Berkley John Roberts is in the back row on the right hand side.</t>
  </si>
  <si>
    <t>b20427955</t>
  </si>
  <si>
    <t>b20442014</t>
  </si>
  <si>
    <t>Photograph (b&amp;w print)   11.5 cm x 6.8 cm;RESERVE 1</t>
  </si>
  <si>
    <t>Victor Harbor.</t>
  </si>
  <si>
    <t>b20445131</t>
  </si>
  <si>
    <t>McCoy Street, Waikerie</t>
  </si>
  <si>
    <t>Photograph (b&amp;w print)  9.8 cm x 15.2 cm</t>
  </si>
  <si>
    <t>McCoy Street with the hotel on the right which was nicknamed the "Snake Pit". Photograph of a postcard. [Murray views, no. 10].</t>
  </si>
  <si>
    <t>Waikerie Collection</t>
  </si>
  <si>
    <t>b20457674</t>
  </si>
  <si>
    <t>School Children, Wharminda</t>
  </si>
  <si>
    <t>School children at Wharminda.</t>
  </si>
  <si>
    <t>Children -- South Australia -- Wharminda;School children -- South Australia -- Wharminda</t>
  </si>
  <si>
    <t>b20488567</t>
  </si>
  <si>
    <t>George Cummins Morphett</t>
  </si>
  <si>
    <t>Mr and Mrs G.C. Morphett, their son, Hurtle Cummins Morphett and 8 year old grandson John Cummins Morphett. Note on the back of the mounting says "Photograph taken [at Cummins] on occasion of golden wedding of Mr and Mrs GC Morphett, 12 June, 1951. Left to right = George Cummins Morphett, Violet Alice Morphett (nee Sanderson), Hurtle Cummins Morphett (son) and John Cummins Morphett, 8 years old, (grandson). A newspaper clipping is also attached. "Third Golden Wedding in old historic home. The golden anniversary of the wedding of Mr and Mrs George Morphett at Cummins, Morphettville, on Tuesday June 12, will be the third golden wedding celebrated in this historic home. Invitations to the celebration have been sent out. The three generations are, Sir John and Lady Morphett (nee Elizabeth Fisher) 1838-1888  John Cummins and Mary Frances Morphett (nee Sanders) 1875-1925  and George Cummins and Violet Alice Morphett (nee Anderson) 1901-1951. John Morphett, son of Nathaniel Morphett, solicitor of Chancery Lane, arrived from England in the "Cygnet" on September 6, 1836, and his wife, Elizabeth Fisher, eldest daughter of James Hurtle Fisher, arrived in the "Buffalo" on December 28, 1836. Cummins (section 152 Morphettville) was acquired by John Morphett by virtue of Land Oder No. 266 on May 15, 1838, and the homestead, built in 1842, is one of the oldest in the State."</t>
  </si>
  <si>
    <t>Morphett, Violet Alice, 1872-1967;Morphett, Hurtle Cummins;Morphett, George C. (George Cummins), 1876-1963;Morphett, John Cummins, 1844-1936</t>
  </si>
  <si>
    <t>b20507586</t>
  </si>
  <si>
    <t>Sunday Mail photographer</t>
  </si>
  <si>
    <t>750 Class Locomotive</t>
  </si>
  <si>
    <t>Photograph  21.0 cm x 15.9 cm</t>
  </si>
  <si>
    <t>750 Class Locomotive first used by the South Australian Railways in January 1951. With an acute shortage of motive power following World War II, the South Australian Railways were able to purchase 10 Victorian Railways N Class locomotives in 1951 which had only been in service for a few months. The 750 Class was a class of 2-8-2 steam locomotives. The registration number of the engine in the photograph is N465</t>
  </si>
  <si>
    <t>b2051461x</t>
  </si>
  <si>
    <t>Photograph  24.6 cm x 18.9 cm</t>
  </si>
  <si>
    <t>Commonwealth Jubilee Celebrations, S.A. Police Lancers, Ex-Navalmen's Band and Naval contingent.</t>
  </si>
  <si>
    <t>Commonwealth of Australia Jubilee (1951);South Australia. Police Department;Parades -- South Australia -- Adelaide;Parade floats -- South Australia -- Adelaide;Bands (Music) -- South Australia -- Adelaide</t>
  </si>
  <si>
    <t>b20514621</t>
  </si>
  <si>
    <t>Commonwealth Jubilee Celebrations, Naval Contingent.</t>
  </si>
  <si>
    <t>Australia. Royal Australian Navy;Commonwealth of Australia Jubilee (1951);Parades -- South Australia -- Adelaide</t>
  </si>
  <si>
    <t>b20514633</t>
  </si>
  <si>
    <t>Commonwealth Jubilee Celebrations, Army Contingent.</t>
  </si>
  <si>
    <t>Australia. Army;Commonwealth of Australia Jubilee (1951);Parades -- South Australia -- Adelaide</t>
  </si>
  <si>
    <t>b20514645</t>
  </si>
  <si>
    <t>Commonwealth Jubilee Celebrations, City of Adelaide float.</t>
  </si>
  <si>
    <t>Adelaide (S.A.). Corporation;Commonwealth of Australia Jubilee (1951);Parade floats -- South Australia -- Adelaide;Parades -- South Australia -- Adelaide</t>
  </si>
  <si>
    <t>b20514657</t>
  </si>
  <si>
    <t>b20514669</t>
  </si>
  <si>
    <t>Commonwealth Jubilee Celebrations, Municipal Tramways Trust.</t>
  </si>
  <si>
    <t>Municipal Tramways Trust (Adelaide, S.A.);Commonwealth of Australia Jubilee (1951);Parade floats -- South Australia -- Adelaide;Parades -- South Australia -- Adelaide</t>
  </si>
  <si>
    <t>b20514670</t>
  </si>
  <si>
    <t>Commonwealth Jubilee Celebrations, S.A. Railways Exhibit.</t>
  </si>
  <si>
    <t>Commonwealth of Australia Jubilee (1951);South Australian Railways;Parade floats -- South Australia -- Adelaide;Parades -- South Australia -- Adelaide</t>
  </si>
  <si>
    <t>b20514682</t>
  </si>
  <si>
    <t>South Australian Railways;Commonwealth of Australia Jubilee (1951);Parade floats -- South Australia -- Adelaide;Parades -- South Australia -- Adelaide</t>
  </si>
  <si>
    <t>b20514694</t>
  </si>
  <si>
    <t>Commonwealth Jubilee Celebrations, Engineering and Water Supply department.</t>
  </si>
  <si>
    <t>Commonwealth of Australia Jubilee (1951);South Australia. Engineering and Water Supply Department;Parade floats -- South Australia -- Adelaide;Parades -- South Australia -- Adelaide</t>
  </si>
  <si>
    <t>b20514700</t>
  </si>
  <si>
    <t>Commonwealth Jubilee Celebrations.</t>
  </si>
  <si>
    <t>Commonwealth of Australia Jubilee (1951);Parade floats -- South Australia -- Adelaide;Parades -- South Australia -- Adelaide</t>
  </si>
  <si>
    <t>b20514712</t>
  </si>
  <si>
    <t>Commonwealth Jubilee Celebrations, City of Port Adelaide.</t>
  </si>
  <si>
    <t>Commonwealth of Australia Jubilee (1951);Port Adelaide (S.A.). Council;Parade floats -- South Australia -- Adelaide;Parades -- South Australia -- Adelaide</t>
  </si>
  <si>
    <t>b20514724</t>
  </si>
  <si>
    <t>Commonwealth Jubilee Celebrations, Commonwealth Bank.</t>
  </si>
  <si>
    <t>Commonwealth of Australia Jubilee (1951);Commonwealth Bank of Australia;Parade floats -- South Australia -- Adelaide;Parades -- South Australia -- Adelaide</t>
  </si>
  <si>
    <t>b20514736</t>
  </si>
  <si>
    <t>Commonwealth Jubilee Celebrations, Returned sailors, soldiers and airmen's imperial league.</t>
  </si>
  <si>
    <t>Commonwealth of Australia Jubilee (1951);Returned Sailors', Soldiers' and Airmen's Imperial League of Australia. S.A. Branch;Parade floats -- South Australia -- Adelaide;Parades -- South Australia -- Adelaide</t>
  </si>
  <si>
    <t>b20514748</t>
  </si>
  <si>
    <t>Returned Sailors', Soldiers' and Airmen's Imperial League of Australia. S.A. Branch;Commonwealth of Australia Jubilee (1951);Parade floats -- South Australia -- Adelaide;Parades -- South Australia -- Adelaide</t>
  </si>
  <si>
    <t>b2051475x</t>
  </si>
  <si>
    <t>Photograph  24.6 cm x 18.9 cm24.6 cm x 18.9 cm</t>
  </si>
  <si>
    <t>Commonwealth Jubilee Celebrations, Savings Bank of South Australia.</t>
  </si>
  <si>
    <t>Commonwealth of Australia Jubilee (1951);Savings Bank of South Australia;Parade floats -- South Australia -- Adelaide;Parades -- South Australia -- Adelaide</t>
  </si>
  <si>
    <t>b20514761</t>
  </si>
  <si>
    <t>b20514773</t>
  </si>
  <si>
    <t>Commonwealth Jubilee Celebrations, Junior Red Cross float.</t>
  </si>
  <si>
    <t>Australian Junior Red Cross;Commonwealth of Australia Jubilee (1951);Parade floats -- South Australia -- Adelaide;Parades -- South Australia -- Adelaide</t>
  </si>
  <si>
    <t>b20514785</t>
  </si>
  <si>
    <t>Commonwealth Jubilee Celebrations, City of Unley.</t>
  </si>
  <si>
    <t>Commonwealth of Australia Jubilee (1951);Unley (S.A.). Corporation;Parade floats -- South Australia -- Adelaide;Parades -- South Australia -- Adelaide</t>
  </si>
  <si>
    <t>b20514797</t>
  </si>
  <si>
    <t>b20514803</t>
  </si>
  <si>
    <t>Commonwealth Jubilee Celebrations, The Advertiser float.</t>
  </si>
  <si>
    <t>Commonwealth of Australia Jubilee (1951);Advertiser Newspapers Ltd;Parades -- South Australia -- Adelaide;Parade floats -- South Australia -- Adelaide</t>
  </si>
  <si>
    <t>b20514815</t>
  </si>
  <si>
    <t>Commonwealth Jubilee Celebrations, S.A. United Ancient Order of Druids float.</t>
  </si>
  <si>
    <t>South Australian United Ancient Order of Druids Friendly Society;Commonwealth of Australia Jubilee (1951);Parade floats -- South Australia -- Adelaide;Parades -- South Australia -- Adelaide</t>
  </si>
  <si>
    <t>b20514827</t>
  </si>
  <si>
    <t>Commonwealth Jubilee Celebrations, Municipality of Brighton float.</t>
  </si>
  <si>
    <t>Commonwealth of Australia Jubilee (1951);Brighton (S.A.) Corporation;Parade floats -- South Australia -- Adelaide;Parades -- South Australia -- Adelaide</t>
  </si>
  <si>
    <t>b20514839</t>
  </si>
  <si>
    <t>Commonwealth Jubilee Celebrations, Norwood and Kensington Corporation.</t>
  </si>
  <si>
    <t>Commonwealth of Australia Jubilee (1951);Kensington and Norwood (S.A.). Council;Parade floats -- South Australia -- Adelaide;Parades -- South Australia -- Adelaide</t>
  </si>
  <si>
    <t>b20514840</t>
  </si>
  <si>
    <t>Commonwealth Jubilee Celebrations, City of West Torrens float.</t>
  </si>
  <si>
    <t>b20514852</t>
  </si>
  <si>
    <t>Commonwealth Jubilee Celebrations, S.A. Wheat and Wool Growers Association.</t>
  </si>
  <si>
    <t>Commonwealth of Australia Jubilee (1951);South Australian Wheat and Wool Growers' Association;Parade floats -- South Australia -- Adelaide;Parades -- South Australia -- Adelaide</t>
  </si>
  <si>
    <t>b20514864</t>
  </si>
  <si>
    <t>Commonwealth Jubilee Celebrations, S.A. Fruit Growers and Market Gardeners Association float.</t>
  </si>
  <si>
    <t>Commonwealth of Australia Jubilee (1951);South Australian Fruit Growers' and Market Gardeners' Association;Parade floats -- South Australia -- Adelaide;Parades -- South Australia -- Adelaide</t>
  </si>
  <si>
    <t>b20514876</t>
  </si>
  <si>
    <t>Commonwealth Jubilee Celebrations, Murray Citrus Growers Co-op Association float.</t>
  </si>
  <si>
    <t>Commonwealth of Australia Jubilee (1951);Murray Citrus Growers' Co-operative Association;Parade floats -- South Australia -- Adelaide;Parades -- South Australia -- Adelaide</t>
  </si>
  <si>
    <t>b20514888</t>
  </si>
  <si>
    <t>Teenagers in Polish national costume taking part in the Commonwealth Jubilee Celebrations as 'New Australians' in a parade down King William Street.</t>
  </si>
  <si>
    <t>Commonwealth of Australia Jubilee (1951);Costume -- Poland;Parades -- South Australia -- Adelaide;Polish people -- South Australia</t>
  </si>
  <si>
    <t>b2051489x</t>
  </si>
  <si>
    <t>Commonwealth Jubilee Celebrations, S.A. Cricket Association float.</t>
  </si>
  <si>
    <t>Commonwealth of Australia Jubilee (1951);South Australian Cricket Association;Parade floats -- South Australia -- Adelaide;Parades -- South Australia -- Adelaide</t>
  </si>
  <si>
    <t>b20514906</t>
  </si>
  <si>
    <t>Commonwealth Jubilee Celebrations. S.A. National Football League teams march along King William Street in Adelaide.</t>
  </si>
  <si>
    <t>Commonwealth of Australia Jubilee (1951);South Australian National Football League;Parade floats -- South Australia -- Adelaide;Parades -- South Australia -- Adelaide</t>
  </si>
  <si>
    <t>b20514918</t>
  </si>
  <si>
    <t>Commonwealth Jubilee Celebrations, S.A. National Football league.</t>
  </si>
  <si>
    <t>b2051492x</t>
  </si>
  <si>
    <t>Commonwealth Jubilee Celebration, Tennis Players.</t>
  </si>
  <si>
    <t>Commonwealth of Australia Jubilee (1951);Parade floats -- South Australia -- Adelaide;Parades -- South Australia -- Adelaide;Tennis -- South Australia</t>
  </si>
  <si>
    <t>b20514931</t>
  </si>
  <si>
    <t>Commonwealth Jubilee Celebrations, S.A. baseball league.</t>
  </si>
  <si>
    <t>Commonwealth of Australia Jubilee (1951);South Australian Baseball League;Parade floats -- South Australia -- Adelaide;Parades -- South Australia -- Adelaide</t>
  </si>
  <si>
    <t>b20514943</t>
  </si>
  <si>
    <t>Commonwealth Jubilee Celebrations, City of Burnside.</t>
  </si>
  <si>
    <t>Commonwealth of Australia Jubilee (1951);Burnside (S.A.). Council;Parade floats -- South Australia -- Adelaide;Parades -- South Australia -- Adelaide</t>
  </si>
  <si>
    <t>b20514955</t>
  </si>
  <si>
    <t>Commonwealth Jubilee Celebrations, Penfolds Wines Pty Ltd float.</t>
  </si>
  <si>
    <t>Penfolds Wines Pty Ltd;Commonwealth of Australia Jubilee (1951);Parade floats -- South Australia -- Adelaide;Parades -- South Australia -- Adelaide</t>
  </si>
  <si>
    <t>b20514967</t>
  </si>
  <si>
    <t>Commonwealth Jubilee Celebrations, Australian Glass Manufacturers LTD float.</t>
  </si>
  <si>
    <t>Australian Glass Manufacturers Company;Commonwealth of Australia Jubilee (1951);Parade floats -- South Australia -- Adelaide;Parades -- South Australia -- Adelaide</t>
  </si>
  <si>
    <t>b20514979</t>
  </si>
  <si>
    <t>Commonwealth Jubilee Celebrations, S.A. Oil Companies.</t>
  </si>
  <si>
    <t>Commonwealth of Australia Jubilee (1951);Parade floats -- South Australia -- Adelaide;Parades -- South Australia -- Adelaide;Petroleum industry and trade -- South Australia</t>
  </si>
  <si>
    <t>b20514980</t>
  </si>
  <si>
    <t>Commonwealth Jubilee Celebrations, Pope Products LTD float.</t>
  </si>
  <si>
    <t>Commonwealth of Australia Jubilee (1951);Pope Products Limited;Parade floats -- South Australia -- Adelaide;Parades -- South Australia -- Adelaide</t>
  </si>
  <si>
    <t>b20514992</t>
  </si>
  <si>
    <t>Commonwealth Jubilee Celebrations, Adelaide College of Music.</t>
  </si>
  <si>
    <t>Adelaide College of Music;Commonwealth of Australia Jubilee (1951);Parade floats -- South Australia -- Adelaide;Parades -- South Australia -- Adelaide</t>
  </si>
  <si>
    <t>b20515005</t>
  </si>
  <si>
    <t>Commonwealth Jubilee Celebrations, Retail Traders Association of SA float.</t>
  </si>
  <si>
    <t>Commonwealth of Australia Jubilee (1951);Retail Traders' Association of South Australia;Parade floats -- South Australia -- Adelaide;Parades -- South Australia -- Adelaide</t>
  </si>
  <si>
    <t>b20515017</t>
  </si>
  <si>
    <t>b20515029</t>
  </si>
  <si>
    <t>Commonwealth Jubilee Celebrations, "Jubilee Train", Locomotive.</t>
  </si>
  <si>
    <t>Australia. Constitution -- Anniversaries, etc.;Australia. Parliament -- Anniversaries, etc.;Commonwealth of Australia Jubilee (1951);Locomotives -- South Australia;Administrative agencies -- South Australia;Railroads -- South Australia -- Trains</t>
  </si>
  <si>
    <t>b20515030</t>
  </si>
  <si>
    <t>Commonwealth Jubilee Celebrations, "Jubilee Train", Naval display.</t>
  </si>
  <si>
    <t>Australia. Constitution -- Anniversaries, etc.;Australia. Parliament -- Anniversaries, etc.;Australia. Royal Australian Navy;Commonwealth of Australia Jubilee (1951);Exhibitions -- South Australia;Railroads -- South Australia -- Trains;Administrative agencies -- South Australia</t>
  </si>
  <si>
    <t>b20515042</t>
  </si>
  <si>
    <t>Commonwealth Jubilee Celebrations, "Jubilee Train", Army display.</t>
  </si>
  <si>
    <t>Australia. Army;Australia. Constitution -- Anniversaries, etc.;Australia. Parliament -- Anniversaries, etc.;Commonwealth of Australia Jubilee (1951);Administrative agencies -- South Australia;Railroads -- South Australia -- Trains;Exhibitions -- South Australia</t>
  </si>
  <si>
    <t>b20515054</t>
  </si>
  <si>
    <t>Australia. Army;Australia. Constitution -- Anniversaries, etc.;Australia. Parliament -- Anniversaries, etc.;Commonwealth of Australia Jubilee (1951);Administrative agencies -- South Australia;Exhibitions -- South Australia;Railroads -- South Australia -- Trains</t>
  </si>
  <si>
    <t>b20515066</t>
  </si>
  <si>
    <t>b20515078</t>
  </si>
  <si>
    <t>Commonwealth Jubilee Celebrations, "Jubilee Train", R.A.A.F. display.</t>
  </si>
  <si>
    <t>Australia. Royal Australian Air Force;Australia. Constitution -- Anniversaries, etc.;Australia. Parliament -- Anniversaries, etc.;Commonwealth of Australia Jubilee (1951);Administrative agencies -- South Australia;Exhibitions -- South Australia;Railroads -- South Australia -- Trains</t>
  </si>
  <si>
    <t>b2051508x</t>
  </si>
  <si>
    <t>Commonwealth Jubilee Celebrations, "Jubilee Train", Department of Supply.</t>
  </si>
  <si>
    <t>South Australia. State Supply Department;Australia. Constitution -- Anniversaries, etc.;Australia. Parliament -- Anniversaries, etc.;Commonwealth of Australia Jubilee (1951);Administrative agencies -- South Australia;Exhibitions -- South Australia;Railroads -- South Australia -- Trains</t>
  </si>
  <si>
    <t>b20515091</t>
  </si>
  <si>
    <t>Commonwealth Jubilee Celebrations, "Jubilee Train", P.M.G. Dept.</t>
  </si>
  <si>
    <t>Australia. Postmaster-General's Department. South Australian Branch;Australia. Constitution -- Anniversaries, etc.;Australia. Parliament -- Anniversaries, etc.;Commonwealth of Australia Jubilee (1951);Administrative agencies -- South Australia;Exhibitions -- South Australia;Railroads -- South Australia -- Trains</t>
  </si>
  <si>
    <t>b20515108</t>
  </si>
  <si>
    <t>Australia. Constitution -- Anniversaries, etc.;Australia. Parliament -- Anniversaries, etc.;Australia. Postmaster-General's Department. South Australian Branch;Commonwealth of Australia Jubilee (1951);Administrative agencies -- South Australia;Exhibitions -- South Australia;Railroads -- South Australia -- Trains</t>
  </si>
  <si>
    <t>b2051511x</t>
  </si>
  <si>
    <t>Australia. Constitution -- Anniversaries, etc.;Australia. Parliament -- Anniversaries, etc.;Australia. Postmaster-General's Department. South Australian Branch;Commonwealth of Australia Jubilee (1951);Railroads -- South Australia -- Trains;Exhibitions -- South Australia;Administrative agencies -- South Australia</t>
  </si>
  <si>
    <t>b20515121</t>
  </si>
  <si>
    <t>Commonwealth Jubilee Celebrations, "Jubilee Train", Department of Immigration.</t>
  </si>
  <si>
    <t>Australia. Department of Immigration;Australia. Constitution -- Anniversaries, etc.;Australia. Parliament -- Anniversaries, etc.;Commonwealth of Australia Jubilee (1951);Administrative agencies -- South Australia;Exhibitions -- South Australia;Railroads -- South Australia -- Trains</t>
  </si>
  <si>
    <t>b20515133</t>
  </si>
  <si>
    <t>b20515145</t>
  </si>
  <si>
    <t>Commonwealth Jubilee Celebrations, "Jubilee Train", Art Gallery display.</t>
  </si>
  <si>
    <t>Australia. Constitution -- Anniversaries, etc.;Australia. Parliament -- Anniversaries, etc.;Art Gallery of South Australia;Commonwealth of Australia Jubilee (1951);Administrative agencies -- South Australia;Exhibitions -- South Australia;Railroads -- South Australia -- Trains</t>
  </si>
  <si>
    <t>b20515157</t>
  </si>
  <si>
    <t>Commonwealth Jubilee Celebrations, "Jubilee Train", Public Library of S. A. Archives Department.</t>
  </si>
  <si>
    <t>Public Library of South Australia. Archives Department;Australia. Constitution -- Anniversaries, etc.;Australia. Parliament -- Anniversaries, etc.;Commonwealth of Australia Jubilee (1951);Administrative agencies -- South Australia;Exhibitions -- South Australia;Railroads -- South Australia -- Trains</t>
  </si>
  <si>
    <t>b20515169</t>
  </si>
  <si>
    <t>Commonwealth Jubilee Celebrations, "Jubilee Train", Department of Public Health.</t>
  </si>
  <si>
    <t>South Australia. Department of Public Health;Australia. Constitution -- Anniversaries, etc.;Australia. Parliament -- Anniversaries, etc.;Commonwealth of Australia Jubilee (1951);Administrative agencies -- South Australia;Exhibitions -- South Australia;Railroads -- South Australia -- Trains</t>
  </si>
  <si>
    <t>b20515170</t>
  </si>
  <si>
    <t>Commonwealth Jubilee Celebrations, "Jubilee Train", Department of Marine &amp; Harbors.</t>
  </si>
  <si>
    <t>South Australia. Department of Marine and Harbors;Australia. Constitution -- Anniversaries, etc.;Australia. Parliament -- Anniversaries, etc.;Commonwealth of Australia Jubilee (1951);Administrative agencies -- South Australia;Exhibitions -- South Australia;Railroads -- South Australia -- Trains</t>
  </si>
  <si>
    <t>b20515182</t>
  </si>
  <si>
    <t>Commonwealth Jubilee Celebrations, "Jubilee Train", S.A. Police.</t>
  </si>
  <si>
    <t>South Australia. Police Department;Australia. Constitution -- Anniversaries, etc.;Australia. Parliament -- Anniversaries, etc.;Commonwealth of Australia Jubilee (1951);Administrative agencies -- South Australia;Exhibitions -- South Australia;Railroads -- South Australia -- Trains</t>
  </si>
  <si>
    <t>b20515194</t>
  </si>
  <si>
    <t>Commonwealth Jubilee Celebrations, "Jubilee Train", Architect - Chiefs Department.</t>
  </si>
  <si>
    <t>South Australia. Architect-in-Chief's Department;Australia. Constitution -- Anniversaries, etc.;Australia. Parliament -- Anniversaries, etc.;Commonwealth of Australia Jubilee (1951);Administrative agencies -- South Australia;Exhibitions -- South Australia;Railroads -- South Australia -- Trains</t>
  </si>
  <si>
    <t>b20515200</t>
  </si>
  <si>
    <t>Commonwealth Jubilee Celebrations, "Jubilee Train", S.A. Railways.</t>
  </si>
  <si>
    <t>South Australian Railways;Australia. Constitution -- Anniversaries, etc.;Australia. Parliament -- Anniversaries, etc.;Commonwealth of Australia Jubilee (1951);Administrative agencies -- South Australia;Exhibitions -- South Australia;Railroads -- South Australia -- Trains</t>
  </si>
  <si>
    <t>b20515212</t>
  </si>
  <si>
    <t>b20515224</t>
  </si>
  <si>
    <t>b20515236</t>
  </si>
  <si>
    <t>South Australian Railways;Australia. Constitution -- Anniversaries, etc.;Australia. Parliament -- Anniversaries, etc.;Commonwealth of Australia Jubilee (1951);Administrative agencies -- South Australia;Exhibitions -- South Australia;Railroads -- South Australia -- Trains;Australia -- Centennial celebrations, etc.</t>
  </si>
  <si>
    <t>b20515248</t>
  </si>
  <si>
    <t>b2051525x</t>
  </si>
  <si>
    <t>Commonwealth Jubilee Celebrations, "Jubilee Train", Department of Lands.</t>
  </si>
  <si>
    <t>South Australia. Department of Lands;Australia. Constitution -- Anniversaries, etc.;Australia. Parliament -- Anniversaries, etc.;Commonwealth of Australia Jubilee (1951);Administrative agencies -- South Australia;Exhibitions -- South Australia;Railroads -- South Australia -- Trains</t>
  </si>
  <si>
    <t>b20515261</t>
  </si>
  <si>
    <t>b20515273</t>
  </si>
  <si>
    <t>b20515285</t>
  </si>
  <si>
    <t>Commonwealth Jubilee Celebrations, "Jubilee Train", Department of Lands display.</t>
  </si>
  <si>
    <t>b20515297</t>
  </si>
  <si>
    <t>b20515303</t>
  </si>
  <si>
    <t>b20515315</t>
  </si>
  <si>
    <t>b20515327</t>
  </si>
  <si>
    <t>b20515339</t>
  </si>
  <si>
    <t>b20515340</t>
  </si>
  <si>
    <t>b20515352</t>
  </si>
  <si>
    <t>South Australia. Department of Lands;Australia. Constitution -- Anniversaries, etc.;Australia. Parliament -- Anniversaries, etc.;Commonwealth of Australia Jubilee (1951);Administrative agencies -- South Australia;Exhibitions -- South Australia;Railroads -- South Australia -- Trains;Australia -- Centennial celebrations, etc.</t>
  </si>
  <si>
    <t>b20515364</t>
  </si>
  <si>
    <t>b20515376</t>
  </si>
  <si>
    <t>Commonwealth Jubilee Celebrations, "Jubilee Train", Woods &amp; Forests Department display.</t>
  </si>
  <si>
    <t>South Australia. Woods and Forests Department;Australia. Constitution -- Anniversaries, etc.;Australia. Parliament -- Anniversaries, etc.;Commonwealth of Australia Jubilee (1951);Administrative agencies -- South Australia;Exhibitions -- South Australia;Railroads -- South Australia -- Trains</t>
  </si>
  <si>
    <t>b20515388</t>
  </si>
  <si>
    <t>b2051539x</t>
  </si>
  <si>
    <t>Commonwealth Jubilee Celebrations, "Jubilee Train", Department of Agriculture display.</t>
  </si>
  <si>
    <t>South Australia. Department of Agriculture;Australia. Constitution -- Anniversaries, etc.;Australia. Parliament -- Anniversaries, etc.;Commonwealth of Australia Jubilee (1951);Administrative agencies -- South Australia;Exhibitions -- South Australia;Railroads -- South Australia -- Trains</t>
  </si>
  <si>
    <t>b20515406</t>
  </si>
  <si>
    <t>b20515418</t>
  </si>
  <si>
    <t>Commonwealth Jubilee Celebrations, "Jubilee Train", Engineering and Water supply display.</t>
  </si>
  <si>
    <t>South Australia. Engineering and Water Supply Department;Australia. Constitution -- Anniversaries, etc.;Australia. Parliament -- Anniversaries, etc.;Commonwealth of Australia Jubilee (1951);Administrative agencies -- South Australia;Exhibitions -- South Australia;Railroads -- South Australia -- Trains</t>
  </si>
  <si>
    <t>b2051542x</t>
  </si>
  <si>
    <t>Commonwealth Jubilee Celebrations, "Jubilee Train", Electricity Trust of S.A. display.</t>
  </si>
  <si>
    <t>Electricity Trust of South Australia;Australia. Constitution -- Anniversaries, etc.;Australia. Parliament -- Anniversaries, etc.;Commonwealth of Australia Jubilee (1951);Administrative agencies -- South Australia;Exhibitions -- South Australia;Railroads -- South Australia -- Trains</t>
  </si>
  <si>
    <t>b20515431</t>
  </si>
  <si>
    <t>Australia. Constitution -- Anniversaries, etc.;Australia. Parliament -- Anniversaries, etc.;Electricity Trust of South Australia;Commonwealth of Australia Jubilee (1951);Administrative agencies -- South Australia;Exhibitions -- South Australia;Railroads -- South Australia -- Trains</t>
  </si>
  <si>
    <t>b20515443</t>
  </si>
  <si>
    <t>Commonwealth Jubilee Celebrations, "Jubilee Train", Highways Department display.</t>
  </si>
  <si>
    <t>South Australia. Highways Department;Australia. Constitution -- Anniversaries, etc.;Australia. Parliament -- Anniversaries, etc.;Commonwealth of Australia Jubilee (1951);Administrative agencies -- South Australia;Exhibitions -- South Australia;Railroads -- South Australia -- Trains</t>
  </si>
  <si>
    <t>b20515455</t>
  </si>
  <si>
    <t>Australia. Constitution -- Anniversaries, etc.;Australia. Parliament -- Anniversaries, etc.;South Australia. Highways Department;Commonwealth of Australia Jubilee (1951);Administrative agencies -- South Australia;Exhibitions -- South Australia;Railroads -- South Australia -- Trains</t>
  </si>
  <si>
    <t>b20515467</t>
  </si>
  <si>
    <t>Commonwealth Jubilee Celebrations, "Jubilee Train", Department of Mines.</t>
  </si>
  <si>
    <t>South Australia. Department of Mines;Australia. Constitution -- Anniversaries, etc.;Australia. Parliament -- Anniversaries, etc.;Commonwealth of Australia Jubilee (1951);Administrative agencies -- South Australia;Exhibitions -- South Australia;Railroads -- South Australia -- Trains</t>
  </si>
  <si>
    <t>b20515479</t>
  </si>
  <si>
    <t>b20515480</t>
  </si>
  <si>
    <t>Commonwealth Jubilee Celebrations, "Jubilee Train", Fisheries &amp; Game Department display.</t>
  </si>
  <si>
    <t>South Australia. Fisheries and Game Department;Australia. Constitution -- Anniversaries, etc.;Australia. Parliament -- Anniversaries, etc.;Commonwealth of Australia Jubilee (1951);Administrative agencies -- South Australia;Exhibitions -- South Australia;Railroads -- South Australia -- Trains</t>
  </si>
  <si>
    <t>b20516502</t>
  </si>
  <si>
    <t>Ambulance Competitions</t>
  </si>
  <si>
    <t>Photograph  20.3 cm x 15.4 cm;RESERVE 1 b</t>
  </si>
  <si>
    <t>Australian Railways Ambulance Competitions.</t>
  </si>
  <si>
    <t>b20531977</t>
  </si>
  <si>
    <t>Adelaide Jubilee Cavalcade</t>
  </si>
  <si>
    <t>Photograph (b&amp;w print)  9 cm x 13.8 cm;C1</t>
  </si>
  <si>
    <t>Adelaide Jubilee Cavalcade - The States first Railway coach.</t>
  </si>
  <si>
    <t>b20531989</t>
  </si>
  <si>
    <t>Photograph (b&amp;w print)  8.9 cm x 13.9 cm;C1</t>
  </si>
  <si>
    <t>Adelaide Jubilee Cavalcade - 'Birth of a Nation' - Float by Traders Association.</t>
  </si>
  <si>
    <t>b20531990</t>
  </si>
  <si>
    <t>Adelaide Jubilee Cavalcade - 'Riverland Oranges' Float.</t>
  </si>
  <si>
    <t>b20532003</t>
  </si>
  <si>
    <t>Adelaide Jubilee Cavalcade -  'Modern Implements of Produce' Float produced by S.A. market gardeners.</t>
  </si>
  <si>
    <t>b20532015</t>
  </si>
  <si>
    <t>Adelaide Jubilee Cavalcade 'Brighton For Fun' float.</t>
  </si>
  <si>
    <t>Commonwealth of Australia Jubilee (1951);Parades -- South Australia -- Adelaide;Parade floats -- South Australia -- Adelaide</t>
  </si>
  <si>
    <t>b20542446</t>
  </si>
  <si>
    <t>Pamela Jeanne Vick celebrates</t>
  </si>
  <si>
    <t>Photograph (b&amp;w print)  10.3 cm x 14.3 cm;C1</t>
  </si>
  <si>
    <t>Pamela Jeanne Vick celebrates her first birthday with her grandmother.</t>
  </si>
  <si>
    <t>Vick, Pamela Jeanne;Birthdays -- South Australia;Children -- South Australia</t>
  </si>
  <si>
    <t>b20543347</t>
  </si>
  <si>
    <t>Photograph (b&amp;w print)  15.7 cm x 21 cm;C1</t>
  </si>
  <si>
    <t>Ordination of Deacons at St. Peter's Cathedral with the Lord Bishop of Adelaide, Bishop Robin.</t>
  </si>
  <si>
    <t>Robin, B. P. (Bryan Percival), 1887-1969;Ordination -- South Australia -- Adelaide;Clergy -- South Australia;Deacons -- South Australia</t>
  </si>
  <si>
    <t>b20685452</t>
  </si>
  <si>
    <t>Burial of W. T. Lawrie, Headmaster</t>
  </si>
  <si>
    <t>Burial of W. T. Lawrie, Headmaster of Point McLeay School, 1914-1951. W.T. Lawrie was buried with his wife Edith, and infant daughter Rae, at Payneham Cemetery.</t>
  </si>
  <si>
    <t>Lawrie, W. T. (Wilfred Theodore);Payneham Cemetery (S.A.);Funeral rites and ceremonies -- South Australia -- Adelaide;School principals -- South Australia -- Point McLeay</t>
  </si>
  <si>
    <t>Adelaide Views Collection;West Terrace Cemetery Collection</t>
  </si>
  <si>
    <t>b20694027</t>
  </si>
  <si>
    <t>Wedding group</t>
  </si>
  <si>
    <t>Bride and Groom and Flowergirl leaving the Church.</t>
  </si>
  <si>
    <t>Wedding costume</t>
  </si>
  <si>
    <t>b2072648x</t>
  </si>
  <si>
    <t>Kilkenny Crossing</t>
  </si>
  <si>
    <t>Photograph (b&amp;w print)  10.3 cm x 10.8 cm;RESERVE 1 album</t>
  </si>
  <si>
    <t>Kilkenny Crossing.</t>
  </si>
  <si>
    <t>Railroads -- South Australia -- Trains;Railroads -- South Australia -- Kilkenny</t>
  </si>
  <si>
    <t>b20727148</t>
  </si>
  <si>
    <t>Melbourne - Adelaide Express</t>
  </si>
  <si>
    <t>Photograph (b&amp;w print)  10.4 cm x 11 cm;RESERVE 1 album</t>
  </si>
  <si>
    <t>Melbourne - Adelaide Express, Sleep's Hill.</t>
  </si>
  <si>
    <t>b2072715x</t>
  </si>
  <si>
    <t>Locomotive 754</t>
  </si>
  <si>
    <t>Locomotive 754 on Service train for the Jubilee train at Victor Harbor.</t>
  </si>
  <si>
    <t>Commonwealth of Australia Jubilee (1951);Railroads -- South Australia -- Victor Harbor -- Trains;Locomotives -- South Australia -- Victor Harbor</t>
  </si>
  <si>
    <t>b20727161</t>
  </si>
  <si>
    <t>Locomotive Class "K"</t>
  </si>
  <si>
    <t>Locomotive Class "K" no.58, Islington.</t>
  </si>
  <si>
    <t>b20753238</t>
  </si>
  <si>
    <t>Housing Trust emergency housing</t>
  </si>
  <si>
    <t>GENERAL: Prefabricated emergency housing supplied by the Housing Trust.</t>
  </si>
  <si>
    <t>b20779434</t>
  </si>
  <si>
    <t>Goolwa Centennial Celebrations</t>
  </si>
  <si>
    <t>GOOLWA:  Centenary re-enactment in 1951. [Duplicate of B 21731.]</t>
  </si>
  <si>
    <t>Goolwa -- Centennial Celebrations, etc.</t>
  </si>
  <si>
    <t>b20780199</t>
  </si>
  <si>
    <t>Photograph (b&amp;w print)  20 cm x 25 cm (image)   27.7 cm x 33 cm (mount);RESERVE 1 b</t>
  </si>
  <si>
    <t>PORT ADELAIDE:  Port Adelaide Football Club, Jubilee Premiers, season 1951.</t>
  </si>
  <si>
    <t>b20780977</t>
  </si>
  <si>
    <t>Snow on Mount Lofty</t>
  </si>
  <si>
    <t>MOUNT LOFTY: The road to Mount Lofty summit after fall of snow, July 1951.</t>
  </si>
  <si>
    <t>Snow -- South Australia -- Lofty, Mount</t>
  </si>
  <si>
    <t>b20780990</t>
  </si>
  <si>
    <t>Snow at Crafers</t>
  </si>
  <si>
    <t>CRAFERS: Garden covered in snow, July 1951.</t>
  </si>
  <si>
    <t>Snow -- South Australia -- Crafers</t>
  </si>
  <si>
    <t>Crafers Collection</t>
  </si>
  <si>
    <t>b20781878</t>
  </si>
  <si>
    <t>Granite Island lighthouse</t>
  </si>
  <si>
    <t>GRANITE ISLAND: The old lighthouse, Doug Cox and W. Bruce stand next to it.</t>
  </si>
  <si>
    <t>Lighthouses -- South Australia -- Granite Island</t>
  </si>
  <si>
    <t>b20786207</t>
  </si>
  <si>
    <t>Service station at Magill</t>
  </si>
  <si>
    <t>Photograph (b&amp;w print)  6.5 cm x 9 cm;RESERVE 1</t>
  </si>
  <si>
    <t>MAGILL: Service Station on the south west corner of Magill Road and Brand Street.</t>
  </si>
  <si>
    <t>Garages -- South Australia -- Magill</t>
  </si>
  <si>
    <t>b20798970</t>
  </si>
  <si>
    <t>Wedding guests at St Cuthberts Church, Prospect</t>
  </si>
  <si>
    <t>COSTUME: Three women attending the wedding of Gwenda Murdoch to John (Jack) Lewis St Cuthberts Church, Prospect, 4 April 1951.  Left to right: Betty Madeline Murdoch nee Slade, May Eichner nee Ramsay and Marion Beth Murdoch nee Poole.</t>
  </si>
  <si>
    <t>Clothing and dress -- South Australia -- Prospect;Women -- South Australia -- Prospect</t>
  </si>
  <si>
    <t>b20798994</t>
  </si>
  <si>
    <t>Wedding party at St Cuthberts' Church, Prospect</t>
  </si>
  <si>
    <t>COSTUME: Wedding party at marriage of John William (Jack) Lewis and Gwendoline May Murdoch at St Cuthberts' Church Prospect, 4 April 1951.  The bridesmaids are Daphne Murdoch (left) and Joy Murdoch the groomsman on the right is David Mayfield.</t>
  </si>
  <si>
    <t>Clothing and dress -- South Australia -- Prospect;Wedding costume -- South Australia -- Prospect</t>
  </si>
  <si>
    <t>b20801099</t>
  </si>
  <si>
    <t>Soap Box Derby held at Lobethal</t>
  </si>
  <si>
    <t>LOBETHAL: Entry in the Commonwealth Jubilee Australia wide Soap Box Derby, held at Lobethal.  It was entered by R.W. Bennett, of Woodside, and driven by Denis Bartsch, June 30th, 1951.</t>
  </si>
  <si>
    <t>Children -- South Australia -- Lobethal</t>
  </si>
  <si>
    <t>Lobethal Collection</t>
  </si>
  <si>
    <t>b20802559</t>
  </si>
  <si>
    <t>Photograph (b&amp;w print)  20 cm x 29.7 cm (image)   32 cm x 39.3 cm (mount);RESERVE 1 b</t>
  </si>
  <si>
    <t>NORWOOD: Members of Norwood Football Club, season 1951.</t>
  </si>
  <si>
    <t>b20811743</t>
  </si>
  <si>
    <t>Diana Brooks and a companion working on their car 'Jake'</t>
  </si>
  <si>
    <t>GENERAL: Diana Brooks and a companion working on their car 'Jake', used during their trip to the U.K., April 21st 1951.</t>
  </si>
  <si>
    <t>Women -- South Australia;Automobiles</t>
  </si>
  <si>
    <t>b20811755</t>
  </si>
  <si>
    <t>Diana Brooks and a companion working on their car called 'Jake'</t>
  </si>
  <si>
    <t>GENERAL: Diana Brooks and a companion working on their car they called 'Jake' during the big trip to U.K., April 21st 1951.</t>
  </si>
  <si>
    <t>b20811767</t>
  </si>
  <si>
    <t>Western Mail and Echo Ltd., photographer</t>
  </si>
  <si>
    <t>Diana Brooks at the wheel of 'Jake' with two travelling companions</t>
  </si>
  <si>
    <t>GENERAL: Diana Brooks at the wheel of 'Jake' with two of her travelling companions during their trip to U.K. in Cardiff, May 23rd 1951.</t>
  </si>
  <si>
    <t>b20811779</t>
  </si>
  <si>
    <t>Diana Brooks and her travelling companions in their car called 'Jake'</t>
  </si>
  <si>
    <t>GENERAL: Diana Brooks and her two travelling companions and their car 'Jake' in Cardiff during their trip to U.K., May 23rd 1951.</t>
  </si>
  <si>
    <t>b20816650</t>
  </si>
  <si>
    <t>Premises of Saltmarsh's South Gawler Bakery</t>
  </si>
  <si>
    <t>GAWLER: Saltmarsh's South Gawler Bakery with delivery vans, ranging from horse-drawn to motorised, parked outside.  Standing by are Mr &amp; Mrs Saltmarsh, Trevor Saltmarsh, Bert Sharp, Bill Holness, George McDonald, Shirley Saltmarsh and Laurie Dieckman. Mr &amp; Mrs Saltmarsh have been identified by a researcher, as Aristides Bevis Colin Rutherford Saltmarsh (generally known as Colin Rutherford Saltmarsh) and Ivy Priscilla Carrie (nee Ellis) Saltmarsh.</t>
  </si>
  <si>
    <t>Bakeries -- South Australia -- Gawler</t>
  </si>
  <si>
    <t>b20824506</t>
  </si>
  <si>
    <t>Members of the Lawn Tennis Association</t>
  </si>
  <si>
    <t>Photograph (b&amp;w print)  6.4 cm x 6.4 cm;RESERVE 1</t>
  </si>
  <si>
    <t>ACRE 171: Members of the Lawn Tennis Association representing tennis in a jubilee procession along King William Street.</t>
  </si>
  <si>
    <t>b20835504</t>
  </si>
  <si>
    <t>Finishing department at Fauldings</t>
  </si>
  <si>
    <t>Photograph (b&amp;w print)  15.1 cm x 20.3 cm;RESERVE 1</t>
  </si>
  <si>
    <t>GENERAL: Women working at tables in the Finishing department of Fauldings  the four women together at one table are Lorraine Lindblom, Laurel Walton, Thelma James and Bailana Luff, Barbara Cooper is working at the table in front of them and Shirley Burgess is at the first table. The sign hanging by the number 21 has the company motto on 'If its Fauldings its pure, quality before quantity'.</t>
  </si>
  <si>
    <t>F. H. Faulding &amp; Co;Factories -- South Australia</t>
  </si>
  <si>
    <t>b20901690</t>
  </si>
  <si>
    <t>Photograph (b&amp;w print)  9.5 cm x 15 cm;RESERVE 1 album</t>
  </si>
  <si>
    <t>View of the Barmera, Renmark &amp; Pinaroo train (500 class engine No. 509) at Bridgewater, 26 March 1951.</t>
  </si>
  <si>
    <t>b20901720</t>
  </si>
  <si>
    <t>Photograph (b&amp;w print)  4.7 cm x 15 cm;RESERVE 1 album</t>
  </si>
  <si>
    <t>500 class engine at Adelaide.</t>
  </si>
  <si>
    <t>Railroads -- South Australia -- Trains;Railroads -- South Australia -- Adelaide</t>
  </si>
  <si>
    <t>b20901756</t>
  </si>
  <si>
    <t>Photograph (b&amp;w print)  9 cm x 15 cm;RESERVE 1 album</t>
  </si>
  <si>
    <t>500 class engine No.508 and carriages at Belair, 16 March 1951.</t>
  </si>
  <si>
    <t>b20901768</t>
  </si>
  <si>
    <t>Photograph (b&amp;w print)  9.8 cm x 13.5 cm;RESERVE 1 album</t>
  </si>
  <si>
    <t>500 class engine and carriages at Belair, 16 March 1951.</t>
  </si>
  <si>
    <t>b20901781</t>
  </si>
  <si>
    <t>Photograph (b&amp;w print)  9.5 cm x 14.7 cm;RESERVE 1 album</t>
  </si>
  <si>
    <t>500 class engine No.502 and carriages at Eden Hills.</t>
  </si>
  <si>
    <t>b2090180x</t>
  </si>
  <si>
    <t>Photograph (b&amp;w print)  12.2 cm x 10 cm;RESERVE 1 album</t>
  </si>
  <si>
    <t>500 class engine and carriages at Eden Hills.</t>
  </si>
  <si>
    <t>b20901811</t>
  </si>
  <si>
    <t>Photograph (b&amp;w print)  14.8 cm x 14.8 cm;RESERVE 1 album</t>
  </si>
  <si>
    <t>500 class engine No. 508 and carriages at Sleeps Hill.</t>
  </si>
  <si>
    <t>b20901823</t>
  </si>
  <si>
    <t>Photograph (b&amp;w print)  8.8 cm x 14.8 cm;RESERVE 1 album</t>
  </si>
  <si>
    <t>500 class engine No. 502 and carriages at Belair.</t>
  </si>
  <si>
    <t>b20901847</t>
  </si>
  <si>
    <t>500 class engine No. 508 and carriages at Belair.</t>
  </si>
  <si>
    <t>b20901859</t>
  </si>
  <si>
    <t>Photograph (b&amp;w print)  9.4 cm x 14.8 cm;RESERVE 1 album</t>
  </si>
  <si>
    <t>Train at Belair Station, 11 August 1951.</t>
  </si>
  <si>
    <t>b20901860</t>
  </si>
  <si>
    <t>Photograph (b&amp;w print)  9.6 cm x 15.5 cm;RESERVE 1 album</t>
  </si>
  <si>
    <t>500 class engine No.505 and carriages at Eden Hills, 8 October 1951.</t>
  </si>
  <si>
    <t>b20901872</t>
  </si>
  <si>
    <t>Photograph (b&amp;w print)  15.2 cm x 20.4 cm;RESERVE 1 album</t>
  </si>
  <si>
    <t>500 class engine No.502 and carriages at Eden Hills, 8 October 1951.</t>
  </si>
  <si>
    <t>b20901884</t>
  </si>
  <si>
    <t>Photograph (b&amp;w print)  15 cm x 17.5 cm;RESERVE 1 album</t>
  </si>
  <si>
    <t>500 class engine No.506 and carriages at Sleeps Hill, 15 December 1951.</t>
  </si>
  <si>
    <t>b20901914</t>
  </si>
  <si>
    <t>Photograph (b&amp;w print)  10.7 cm x 15.3 cm;RESERVE 1 album</t>
  </si>
  <si>
    <t>500 class engine No.506 and carriages at Eden Hills, 25 December 1951.</t>
  </si>
  <si>
    <t>b20902037</t>
  </si>
  <si>
    <t>Photograph (b&amp;w print)  10.7 cm x 15.2 cm;RESERVE 1 album</t>
  </si>
  <si>
    <t>Two trains, one 500 class engine No.501, at Mount Lofty.</t>
  </si>
  <si>
    <t>b20902049</t>
  </si>
  <si>
    <t>Photograph (b&amp;w print)  10.2 cm x 14.8 cm;RESERVE 1 album</t>
  </si>
  <si>
    <t>500 class engine No.509 at Eden Hills.</t>
  </si>
  <si>
    <t>b20902050</t>
  </si>
  <si>
    <t>Photograph (b&amp;w print)  9.7 cm x 15.2 cm;RESERVE 1 album</t>
  </si>
  <si>
    <t>500 class engine No.501 at Eden Hills.</t>
  </si>
  <si>
    <t>b20902281</t>
  </si>
  <si>
    <t>Photograph (b&amp;w print)  10.5 cm x 15.7 cm;RESERVE 1 album</t>
  </si>
  <si>
    <t>Broken Hill Express at North Adelaide, December 1951.</t>
  </si>
  <si>
    <t>b20902293</t>
  </si>
  <si>
    <t>Photograph (b&amp;w print)  8.5 cm x 15 cm;RESERVE 1 album</t>
  </si>
  <si>
    <t>Dry Creek - Gawler Race Special at unidentified location.</t>
  </si>
  <si>
    <t>b2090230x</t>
  </si>
  <si>
    <t>Photograph (b&amp;w print)  9.5 cm x 15.2 cm;RESERVE 1 album</t>
  </si>
  <si>
    <t>South Coast Limited train at Adelaide Station.</t>
  </si>
  <si>
    <t>b20902335</t>
  </si>
  <si>
    <t>Photograph (b&amp;w print)  9.6 cm x 15.2 cm;RESERVE 1 album</t>
  </si>
  <si>
    <t>Gawler Race Special at Islington, 3 November 1951.</t>
  </si>
  <si>
    <t>Railroads -- South Australia -- Trains;Railroads -- South Australia -- Islington</t>
  </si>
  <si>
    <t>b20902347</t>
  </si>
  <si>
    <t>Photograph (b&amp;w print)  10.5 cm x 20.2 cm;RESERVE 1 album</t>
  </si>
  <si>
    <t>b20902487</t>
  </si>
  <si>
    <t>Photograph (b&amp;w print)  9.6 cm x 15.3 cm;RESERVE 1 album</t>
  </si>
  <si>
    <t>South Coast Limited at Belair, 25 December 1951.</t>
  </si>
  <si>
    <t>b20902608</t>
  </si>
  <si>
    <t>Railway transport: 600 class</t>
  </si>
  <si>
    <t>Photograph (b&amp;w print)  9.9 cm x 14.6 cm;RESERVE 1 album</t>
  </si>
  <si>
    <t>Goods train No.604 at Tailem Bend, 8 March 1951.</t>
  </si>
  <si>
    <t>Railroads -- South Australia -- Trains;Railroads -- South Australia -- Tailem Bend</t>
  </si>
  <si>
    <t>b20902724</t>
  </si>
  <si>
    <t>Engine No.624 with passenger train at North Adelaide.</t>
  </si>
  <si>
    <t>b20902736</t>
  </si>
  <si>
    <t>Photograph (b&amp;w print)  7.1 cm x 15 cm;RESERVE 1 album</t>
  </si>
  <si>
    <t>Engine No.627 with passenger and goods carriages at Dry Creek.</t>
  </si>
  <si>
    <t>Railroads -- South Australia -- Trains;Railroads -- South Australia -- Dry Creek</t>
  </si>
  <si>
    <t>b2090275x</t>
  </si>
  <si>
    <t>Photograph (b&amp;w print)  9.4 cm x 15.2 cm;RESERVE 1 album</t>
  </si>
  <si>
    <t>Pinnaroo Express at Mile End, 5 August 1951.</t>
  </si>
  <si>
    <t>b20902761</t>
  </si>
  <si>
    <t>Photograph (b&amp;w print)  11.2 cm x 13.8 cm;RESERVE 1 album</t>
  </si>
  <si>
    <t>Passenger train at Eden Hills, 22 December 1951.</t>
  </si>
  <si>
    <t>b20902931</t>
  </si>
  <si>
    <t>Photograph (b&amp;w print)  7.9 cm x 19.4 cm;RESERVE 1 album</t>
  </si>
  <si>
    <t>Engine No.607 and tender at Tailem Bend.</t>
  </si>
  <si>
    <t>b20903005</t>
  </si>
  <si>
    <t>Railway transport: 700 class</t>
  </si>
  <si>
    <t>Photograph (b&amp;w print)  9.5 cm x 14.6 cm;RESERVE 1 album</t>
  </si>
  <si>
    <t>Goods train at Belair, 16 March 1951.</t>
  </si>
  <si>
    <t>b20903017</t>
  </si>
  <si>
    <t>Photograph (b&amp;w print)  9.2 cm x 15 cm;RESERVE 1 album</t>
  </si>
  <si>
    <t>Goods train at Eden Hills, 9 May 1951.</t>
  </si>
  <si>
    <t>b20903029</t>
  </si>
  <si>
    <t>Pinnaroo Express at Eden Hills, 8 September 1951.</t>
  </si>
  <si>
    <t>b20903078</t>
  </si>
  <si>
    <t>Photograph (b&amp;w print)  9.7 cm x 12.5 cm;RESERVE 1 album</t>
  </si>
  <si>
    <t>Christmas decorations on engine No.701 at Bridgewater, 28 December 1951.</t>
  </si>
  <si>
    <t>b20903108</t>
  </si>
  <si>
    <t>Photograph (b&amp;w print)  10.2 cm x 15.4 cm;RESERVE 1 album</t>
  </si>
  <si>
    <t>Goods train at Eden Hills.</t>
  </si>
  <si>
    <t>b20903121</t>
  </si>
  <si>
    <t>Photograph (b&amp;w print)  10.5 cm x 15 cm;RESERVE 1 album</t>
  </si>
  <si>
    <t>Goods train at Clapham.</t>
  </si>
  <si>
    <t>b20903169</t>
  </si>
  <si>
    <t>Photograph (b&amp;w print)  10.8 cm x 15.2 cm;RESERVE 1 album</t>
  </si>
  <si>
    <t>Goods train at Mount Lofty.</t>
  </si>
  <si>
    <t>b20903200</t>
  </si>
  <si>
    <t>Photograph (b&amp;w print)  8.5 cm x 14.5 cm;RESERVE 1 album</t>
  </si>
  <si>
    <t>Goods train, which a researcher believes could be at North Adelaide.</t>
  </si>
  <si>
    <t>b20903224</t>
  </si>
  <si>
    <t>Railway transport: 710 class</t>
  </si>
  <si>
    <t>Photograph (b&amp;w print)  9.5 cm x 9.7 cm;RESERVE 1 album</t>
  </si>
  <si>
    <t>Passenger train at Eden Hills, 9 May 1951.</t>
  </si>
  <si>
    <t>b20903236</t>
  </si>
  <si>
    <t>Photograph (b&amp;w print)  10.1 cm x 10.1 cm;RESERVE 1 album</t>
  </si>
  <si>
    <t>b20903248</t>
  </si>
  <si>
    <t>Photograph (b&amp;w print)  6.6 cm x 15.1 cm;RESERVE 1 album</t>
  </si>
  <si>
    <t>Goods train at North Adelaide.</t>
  </si>
  <si>
    <t>b2090325x</t>
  </si>
  <si>
    <t>Photograph (b&amp;w print)  9 cm x 13 cm;RESERVE 1 album</t>
  </si>
  <si>
    <t>b20903273</t>
  </si>
  <si>
    <t>Goods train No.712 at Eden Hills.</t>
  </si>
  <si>
    <t>b20903297</t>
  </si>
  <si>
    <t>Photograph (b&amp;w print)  8.6 cm x 15 cm;RESERVE 1 album</t>
  </si>
  <si>
    <t>b20903510</t>
  </si>
  <si>
    <t>Photograph (b&amp;w print)  10.3 cm x 14.7 cm;RESERVE 1 album</t>
  </si>
  <si>
    <t>Passenger train at Dry Creek, 10 February 1951.</t>
  </si>
  <si>
    <t>b20903522</t>
  </si>
  <si>
    <t>Photograph (b&amp;w print)  11 cm x 14.6 cm;RESERVE 1 album</t>
  </si>
  <si>
    <t>Passenger train (engine no.722) at Dry Creek, 10 February 1951.</t>
  </si>
  <si>
    <t>b20903534</t>
  </si>
  <si>
    <t>Passenger train (engine no.730) at Clapham, 17 February 1951.</t>
  </si>
  <si>
    <t>b20903546</t>
  </si>
  <si>
    <t>Photograph (b&amp;w print)  8.9 cm x 15 cm;RESERVE 1 album</t>
  </si>
  <si>
    <t>The Oakbank RT at Bridgewater, 26 March 1951, however a researcher believes this to be at Yantaringa.</t>
  </si>
  <si>
    <t>Railroads -- South Australia -- Trains;Railroads -- South Australia -- Bridgewater;Railroads -- South Australia -- Yantaringa</t>
  </si>
  <si>
    <t>b20903558</t>
  </si>
  <si>
    <t>Photograph (b&amp;w print)  6.5 cm x 15.1 cm;RESERVE 1 album</t>
  </si>
  <si>
    <t>Engine No.734 at Tailem Bend, 8 March 1951.</t>
  </si>
  <si>
    <t>Railroads -- South Australia -- Trains;Railroads -- South Australia -- Tailem bend</t>
  </si>
  <si>
    <t>b20903583</t>
  </si>
  <si>
    <t>Photograph (b&amp;w print)  9.3 cm x 14.5 cm;RESERVE 1 album</t>
  </si>
  <si>
    <t>Oakbank Race train (engine No.729) at Bridgewater, 26 March 1951.</t>
  </si>
  <si>
    <t>b20903595</t>
  </si>
  <si>
    <t>Oakbank Race train (engine No.728) at Bridgewater, 26 March 1951.</t>
  </si>
  <si>
    <t>b20903601</t>
  </si>
  <si>
    <t>Photograph (b&amp;w print)  8.8 cm x 14.4 cm;RESERVE 1 album</t>
  </si>
  <si>
    <t>Oakbank Race train (engine No.734) at Bridgewater, 26 March 1951.</t>
  </si>
  <si>
    <t>b20903613</t>
  </si>
  <si>
    <t>Photograph (b&amp;w print)  9 cm x 14.3 cm;RESERVE 1 album</t>
  </si>
  <si>
    <t>South East Express train at Bridgewater, 26 March 1951.</t>
  </si>
  <si>
    <t>b20903625</t>
  </si>
  <si>
    <t>Photograph (b&amp;w print)  9.3 cm x 14.8 cm;RESERVE 1 album</t>
  </si>
  <si>
    <t>Goods train (engine No.731) at Blackwood.</t>
  </si>
  <si>
    <t>Railroads -- South Australia -- Trains;Railroads -- South Australia -- Blackwood</t>
  </si>
  <si>
    <t>b20903637</t>
  </si>
  <si>
    <t>Goods train (engine No.734) at Eden Hills, 16 June 1951.</t>
  </si>
  <si>
    <t>b20903649</t>
  </si>
  <si>
    <t>Goods train (engine No.733) at Mount Lofty, June 1951.</t>
  </si>
  <si>
    <t>b20903650</t>
  </si>
  <si>
    <t>Photograph (b&amp;w print)  9.3 cm x 14.4 cm;RESERVE 1 album</t>
  </si>
  <si>
    <t>Goods train (engine No.725) at Mount Lofty, 21 July 1951.</t>
  </si>
  <si>
    <t>b20903662</t>
  </si>
  <si>
    <t>Photograph (b&amp;w print)  9.3 cm x 14.6 cm;RESERVE 1 album</t>
  </si>
  <si>
    <t>Goods train (engine No.732) at Mount Lofty Station, 21 July 1951.</t>
  </si>
  <si>
    <t>b20903674</t>
  </si>
  <si>
    <t>Photograph (b&amp;w print)  9.3 cm x 15 cm;RESERVE 1 album</t>
  </si>
  <si>
    <t>Goods train (engine No.721) at Belair, 11 August 1951.</t>
  </si>
  <si>
    <t>b20903686</t>
  </si>
  <si>
    <t>Photograph (b&amp;w print)  15 cm x 15.6 cm;RESERVE 1 album</t>
  </si>
  <si>
    <t>Goods train (engine No.733) at Eden Hills, 30 June 1951.</t>
  </si>
  <si>
    <t>b20903698</t>
  </si>
  <si>
    <t>Photograph (b&amp;w print)  9.3 cm x 15.3 cm;RESERVE 1 album</t>
  </si>
  <si>
    <t>Goods train at Eden Hills, 28 July 1951.</t>
  </si>
  <si>
    <t>b20903704</t>
  </si>
  <si>
    <t>Photograph (b&amp;w print)  11.4 cm x 15 cm;RESERVE 1 album</t>
  </si>
  <si>
    <t>Gawler Race train at Islington, 3 November 1951.</t>
  </si>
  <si>
    <t>b20903716</t>
  </si>
  <si>
    <t>Photograph (b&amp;w print)  15 cm x 16.3 cm;RESERVE 1 album</t>
  </si>
  <si>
    <t>Goods train (engine No.722) at Eden Hills, 20 October 1951.</t>
  </si>
  <si>
    <t>b20903728</t>
  </si>
  <si>
    <t>Photograph (b&amp;w print)  15.5 cm x 15.3 cm;RESERVE 1 album</t>
  </si>
  <si>
    <t>Two trains (nos. 507 &amp; 733) at Mount Lofty Station.</t>
  </si>
  <si>
    <t>b2090373x</t>
  </si>
  <si>
    <t>Photograph (b&amp;w print)  10.8 cm x 15 cm;RESERVE 1 album</t>
  </si>
  <si>
    <t>Passenger train at Bridgewater.</t>
  </si>
  <si>
    <t>b20903741</t>
  </si>
  <si>
    <t>Photograph (b&amp;w print)  8 cm x 8.6 cm;RESERVE 1 album</t>
  </si>
  <si>
    <t>Goods train at Clapham, 30 June 1951.</t>
  </si>
  <si>
    <t>b20904137</t>
  </si>
  <si>
    <t>Railway transport: 750 class</t>
  </si>
  <si>
    <t>Photograph (b&amp;w print)  10.1 cm x 14.5 cm;RESERVE 1 album</t>
  </si>
  <si>
    <t>b20904149</t>
  </si>
  <si>
    <t>Photograph (b&amp;w print)  10 cm x 14.8 cm;RESERVE 1 album</t>
  </si>
  <si>
    <t>b20904150</t>
  </si>
  <si>
    <t>Train at Islington, taken from inside another train.</t>
  </si>
  <si>
    <t>b20904241</t>
  </si>
  <si>
    <t>Jubilee train at Clarence Park, 29 August 1951.</t>
  </si>
  <si>
    <t>Railroads -- South Australia -- Trains;Railroads -- South Australia -- Clarence Park</t>
  </si>
  <si>
    <t>b20904253</t>
  </si>
  <si>
    <t>Photograph (b&amp;w print)  10.5 cm x 15.1 cm;RESERVE 1 album</t>
  </si>
  <si>
    <t>Jubilee train at Clarence Park, 29 August 1951. The front locomotive is a Victorian Railways N class  the back one could be a SAR 750 class. These 750 locomotives were ex-Victorian Railways N class locomotives that were bought by the SAR ca. 1951. [from information provided].</t>
  </si>
  <si>
    <t>b20904265</t>
  </si>
  <si>
    <t>Photograph (b&amp;w print)  11.2 cm x 19 cm;RESERVE 1 album</t>
  </si>
  <si>
    <t>Jubilee train on the turntable at Victor Harbor (Victorian Railways 'N430') [from information provided].</t>
  </si>
  <si>
    <t>b2090437x</t>
  </si>
  <si>
    <t>Railway transport: 900 class</t>
  </si>
  <si>
    <t>Photograph (b&amp;w print)  9.3 cm x 15.2 cm;RESERVE 1 album</t>
  </si>
  <si>
    <t>East West Express (first diesel hauled train) at Adelaide, 12 September 1951.</t>
  </si>
  <si>
    <t>b20904381</t>
  </si>
  <si>
    <t>Photograph (b&amp;w print)  12.7 cm x 15.1 cm;RESERVE 1 album</t>
  </si>
  <si>
    <t>Goods train at Eden Hills, 20 October 1951.</t>
  </si>
  <si>
    <t>b20904423</t>
  </si>
  <si>
    <t>Photograph (b&amp;w print)  10.6 cm x 15.5 cm;RESERVE 1 album</t>
  </si>
  <si>
    <t>Passenger train at Adelaide Station.</t>
  </si>
  <si>
    <t>b20904447</t>
  </si>
  <si>
    <t>Photograph (b&amp;w print)  10 cm x 15 cm;RESERVE 1 album</t>
  </si>
  <si>
    <t>Train at Islington with people queueing to get on.</t>
  </si>
  <si>
    <t>b20904575</t>
  </si>
  <si>
    <t>Railway transport: F class</t>
  </si>
  <si>
    <t>Photograph (b&amp;w print)  10.5 cm x 15.5 cm;RESERVE 1 album</t>
  </si>
  <si>
    <t>Passenger train at North Adelaide.</t>
  </si>
  <si>
    <t>b20904629</t>
  </si>
  <si>
    <t>Photograph (b&amp;w print)  15 cm x 19.5 cm;RESERVE 1 album</t>
  </si>
  <si>
    <t>Passenger train at Eden Hills, 8 October 1951.</t>
  </si>
  <si>
    <t>b20904897</t>
  </si>
  <si>
    <t>Railway transport: P class</t>
  </si>
  <si>
    <t>Photograph (b&amp;w print)  15.1 cm x 20.7 cm;RESERVE 1 album</t>
  </si>
  <si>
    <t>Goods train on rail bridge at Port Adelaide, 27 September 1951.</t>
  </si>
  <si>
    <t>Railroads -- South Australia -- Trains;Railroads -- South Australia -- Port Adelaide</t>
  </si>
  <si>
    <t>b20904976</t>
  </si>
  <si>
    <t>Photograph (b&amp;w print)  11.5 cm x 18.8 cm;RESERVE 1 album</t>
  </si>
  <si>
    <t>Engine at Port Adelaide.</t>
  </si>
  <si>
    <t>b20905075</t>
  </si>
  <si>
    <t>Photograph (b&amp;w print)  15.5 cm x 20.5 cm;RESERVE 1 album</t>
  </si>
  <si>
    <t>Rx 140 (rebuilt 1902) at Eden Hills, 16 June 1951.</t>
  </si>
  <si>
    <t>b20905087</t>
  </si>
  <si>
    <t>Photograph (b&amp;w print)  9.1 cm x 14.5 cm;RESERVE 1 album</t>
  </si>
  <si>
    <t>Nos. 502 and 230 passing at Mount Lofty, 21 July 1951.</t>
  </si>
  <si>
    <t>b20905099</t>
  </si>
  <si>
    <t>Photograph (b&amp;w print)  7.4 cm x 15.4 cm;RESERVE 1 album</t>
  </si>
  <si>
    <t>b20905105</t>
  </si>
  <si>
    <t>Photograph (b&amp;w print)  9.6 cm x 12.8 cm;RESERVE 1 album</t>
  </si>
  <si>
    <t>Two trains at Mile End.</t>
  </si>
  <si>
    <t>b20905117</t>
  </si>
  <si>
    <t>Photograph (b&amp;w print)  10.5 cm x 18.5 cm;RESERVE 1 album</t>
  </si>
  <si>
    <t>Passenger train at Mile End.</t>
  </si>
  <si>
    <t>b20905130</t>
  </si>
  <si>
    <t>Photograph (b&amp;w print)  7.3 cm x 14.7 cm;RESERVE 1 album</t>
  </si>
  <si>
    <t>b20905142</t>
  </si>
  <si>
    <t>Photograph (b&amp;w print)  10.5 cm x 14.7 cm;RESERVE 1 album</t>
  </si>
  <si>
    <t>b20905154</t>
  </si>
  <si>
    <t>Photograph (b&amp;w print)  9 cm x 14.8 cm;RESERVE 1 album</t>
  </si>
  <si>
    <t>Passenger train at Belair.</t>
  </si>
  <si>
    <t>b2090521x</t>
  </si>
  <si>
    <t>Photograph (b&amp;w print)  6.8 cm x 15 cm;RESERVE 1 album</t>
  </si>
  <si>
    <t>Engine at Dry Creek.</t>
  </si>
  <si>
    <t>b20905233</t>
  </si>
  <si>
    <t>b20905385</t>
  </si>
  <si>
    <t>b20905488</t>
  </si>
  <si>
    <t>Railway transport: S class</t>
  </si>
  <si>
    <t>Photograph (b&amp;w print)  8.3 cm x 15.2 cm;RESERVE 1 album</t>
  </si>
  <si>
    <t>Passenger train No. 131 at Murray Bridge, 5 March 1951.</t>
  </si>
  <si>
    <t>Railroads -- South Australia -- Trains;Railroads -- South Australia -- Murray Bridge</t>
  </si>
  <si>
    <t>b20905506</t>
  </si>
  <si>
    <t>1 photograph : black and white   8.3 x 15.2 cm;RESERVE 1 album;still image sti rdacontent;unmediated n rdamedia;sheet nb rdacarrier</t>
  </si>
  <si>
    <t>Passenger train No. 17 at Tailem Bend, 5 March 1951. A researcher has provided the following information: This engine type and carriage were used for the daily high school train between Tailem Bend and Murray Bridge leaving Tailem at around 7.30am and then making the return journey, departing Murray Bridge at around 4pm. The archway in the middle separated the boys and girls, and the guard took refuge in his own van. The afternoon train, after departing Murray Bridge, would wait at a siding at the top of the climb up from the river, and let the Tailem Adelaide express pass through.</t>
  </si>
  <si>
    <t>Railroad trains -- South Australia -- Tailem Bend;Railroads -- South Australia -- Trains;Railroads -- South Australia -- Tailem Bend</t>
  </si>
  <si>
    <t>b2090552x</t>
  </si>
  <si>
    <t>Photograph (b&amp;w print)  5.7 cm x 14.8 cm;RESERVE 1 album</t>
  </si>
  <si>
    <t>Engine No. 50 with carriage at Pt. Pirie, 7 March 1951.</t>
  </si>
  <si>
    <t>Railroads -- South Australia -- Trains;Railroads -- South Australia -- Port Pirie</t>
  </si>
  <si>
    <t>b20905932</t>
  </si>
  <si>
    <t>Railway transport: rolling stock 5'3"</t>
  </si>
  <si>
    <t>Photograph (b&amp;w print)  3.5 cm x 9.4 cm;RESERVE 1 album</t>
  </si>
  <si>
    <t>720 frames at Islington.</t>
  </si>
  <si>
    <t>b20905944</t>
  </si>
  <si>
    <t>South Australian Railways exhibit in the Jubilee procession.</t>
  </si>
  <si>
    <t>Jubilee Festival (1951 : Adelaide, S.A.);Railroads -- South Australia -- Trains</t>
  </si>
  <si>
    <t>b20905956</t>
  </si>
  <si>
    <t>Railcar depot at Adelaide.</t>
  </si>
  <si>
    <t>b20905968</t>
  </si>
  <si>
    <t>Photograph (b&amp;w print)  9.5 cm x 13.3 cm;RESERVE 1 album</t>
  </si>
  <si>
    <t>b20906924</t>
  </si>
  <si>
    <t>Railway transport: Locomotives and rolling stock 3'6"</t>
  </si>
  <si>
    <t>Photograph (b&amp;w print)  8 cm x 15.2 cm;RESERVE 1 album</t>
  </si>
  <si>
    <t>Engine No. 238 at Pt. Pirie, 15 March 1951.</t>
  </si>
  <si>
    <t>b20906948</t>
  </si>
  <si>
    <t>Photograph (b&amp;w print)  6.5 cm x 15 cm;RESERVE 1 album</t>
  </si>
  <si>
    <t>Passenger carriage (No. 104) at Pt. Pirie, 15 March 1951.</t>
  </si>
  <si>
    <t>b2090695x</t>
  </si>
  <si>
    <t>Photograph (b&amp;w print)  5.6 cm x 15 cm;RESERVE 1 album</t>
  </si>
  <si>
    <t>Y Class locomotive No. 97 at Pt. Pirie with other carriages in background, 15 March 1951.</t>
  </si>
  <si>
    <t>b20907266</t>
  </si>
  <si>
    <t>Photograph (b&amp;w print)  10.1 cm x 14.8 cm;RESERVE 1 album</t>
  </si>
  <si>
    <t>Overland train at Mile End, 29 November 1951.</t>
  </si>
  <si>
    <t>b20907291</t>
  </si>
  <si>
    <t>Overland train at Keswick, January 1951.</t>
  </si>
  <si>
    <t>b20907308</t>
  </si>
  <si>
    <t>Photograph (b&amp;w print)  7.7 cm x 13.7 cm;RESERVE 1 album</t>
  </si>
  <si>
    <t>Overland train at Mile End, January 1951.</t>
  </si>
  <si>
    <t>b20907321</t>
  </si>
  <si>
    <t>Photograph (b&amp;w print)  7.7 cm x 12.8 cm;RESERVE 1 album</t>
  </si>
  <si>
    <t>Overland train, second division at Mitcham, 22 December 1951.</t>
  </si>
  <si>
    <t>Railroads -- South Australia -- Trains;Railroads -- South Australia -- Mitcham</t>
  </si>
  <si>
    <t>b20907369</t>
  </si>
  <si>
    <t>Photograph (b&amp;w print)  14.6 cm x 19.6 cm;RESERVE 1 album</t>
  </si>
  <si>
    <t>Overland train at Eden Hills, 4.25pm, 8 September 1951. This was the second express to come through after the Serviceton smash on 7 September.</t>
  </si>
  <si>
    <t>b20907412</t>
  </si>
  <si>
    <t>Photograph (b&amp;w print)  10.2 cm x 15.5 cm;RESERVE 1 album</t>
  </si>
  <si>
    <t>Overland train at Adelaide, December 1951.</t>
  </si>
  <si>
    <t>b20907515</t>
  </si>
  <si>
    <t>Photograph (b&amp;w print)  11.1 cm x 18.8 cm;RESERVE 1 album</t>
  </si>
  <si>
    <t>b20907527</t>
  </si>
  <si>
    <t>Photograph (b&amp;w print)  8.8 cm x 15.2 cm;RESERVE 1 album</t>
  </si>
  <si>
    <t>Overland train at Eden Hills, 25 December 1951.</t>
  </si>
  <si>
    <t>b20907540</t>
  </si>
  <si>
    <t>Railway transport: Commonwealth Railways</t>
  </si>
  <si>
    <t>Photograph (b&amp;w print)  10.7 cm x 15 cm;RESERVE 1 album</t>
  </si>
  <si>
    <t>CN76 on Port Ausgusta mixed train at Port Pirie, 7 March 1951.</t>
  </si>
  <si>
    <t>b20907564</t>
  </si>
  <si>
    <t>Photograph (b&amp;w print)  7.5 cm x 20.2 cm;RESERVE 1 album</t>
  </si>
  <si>
    <t>CR composite coach at Port Pirie, 7 March 1951.</t>
  </si>
  <si>
    <t>b20907606</t>
  </si>
  <si>
    <t>Photograph (b&amp;w print)  9.5 cm x 15.3 cm;RESERVE 1 album</t>
  </si>
  <si>
    <t>CN 76 at Port Pirie, 7 March 1951.</t>
  </si>
  <si>
    <t>b20907618</t>
  </si>
  <si>
    <t>Photograph (b&amp;w print)  8.7 cm x 14 cm;RESERVE 1 album</t>
  </si>
  <si>
    <t>DE 91 at Port Pirie, 7 March 1951.</t>
  </si>
  <si>
    <t>b20909056</t>
  </si>
  <si>
    <t>Elder, Smith &amp; Co. Limited, Conference 1951</t>
  </si>
  <si>
    <t>Photograph  30 x 25 cm;RESERVE 1 b</t>
  </si>
  <si>
    <t>Elder, Smith &amp; Co., Limited Conference of Management held at Adelaide, May 1951. Present Messrs. K.M. Oliphant (London)  L Pearce (W.A.)  A.F. Dye (Sydney)  I.E. Thomas (S.A.)  Harold Anderson (Victoria)  R.G. Smith (Brisbane)  H.N. Giles (Assistant General Manager)  W.L. Sanderson (General Manager)  R.W. Seedsman (Secretary).</t>
  </si>
  <si>
    <t>Elder, Smith &amp; Co.</t>
  </si>
  <si>
    <t>b20921238</t>
  </si>
  <si>
    <t>John Martin's Christmas Pageant: Aladdin's cave</t>
  </si>
  <si>
    <t>The 'Aladdin's cave' float.</t>
  </si>
  <si>
    <t>b20921615</t>
  </si>
  <si>
    <t>John Martin's Christmas Pageant: Pluto</t>
  </si>
  <si>
    <t>The 'Pluto' float.</t>
  </si>
  <si>
    <t>b20921627</t>
  </si>
  <si>
    <t>John Martin's Christmas Pageant: Puss in boots</t>
  </si>
  <si>
    <t>The 'Puss in boots(?)' float.</t>
  </si>
  <si>
    <t>b20921639</t>
  </si>
  <si>
    <t>John Martin's Christmas Pageant: Clowns</t>
  </si>
  <si>
    <t>A group of clowns with large heads in the pageant.</t>
  </si>
  <si>
    <t>b20921640</t>
  </si>
  <si>
    <t>John Martin's Christmas Pageant: Three men in a tub</t>
  </si>
  <si>
    <t>The 'three men in a tub' float.</t>
  </si>
  <si>
    <t>b20921652</t>
  </si>
  <si>
    <t>John Martin's Christmas Pageant: Caterpillar</t>
  </si>
  <si>
    <t>The 'caterpillar' float.</t>
  </si>
  <si>
    <t>b20921676</t>
  </si>
  <si>
    <t>John Martin's Christmas Pageant: Jack and Jill</t>
  </si>
  <si>
    <t>The 'Jack and Jill' float.</t>
  </si>
  <si>
    <t>b2092169x</t>
  </si>
  <si>
    <t>John Martin's Christmas Pageant: Nellie</t>
  </si>
  <si>
    <t>Nellie the elephant with her 'trainer'.</t>
  </si>
  <si>
    <t>b20921706</t>
  </si>
  <si>
    <t>John Martin's Christmas Pageant: Pied Piper</t>
  </si>
  <si>
    <t>The 'Pied Piper of Hamelin' float.</t>
  </si>
  <si>
    <t>b20921718</t>
  </si>
  <si>
    <t>John Martin's Christmas Pageant: King and Queen of Hearts</t>
  </si>
  <si>
    <t>Detail of the 'King and Queen of Hearts' float.</t>
  </si>
  <si>
    <t>b2092172x</t>
  </si>
  <si>
    <t>Detail of the 'Christmas stocking' float.</t>
  </si>
  <si>
    <t>b20921731</t>
  </si>
  <si>
    <t>John Martin's Christmas Pageant: (?)Children</t>
  </si>
  <si>
    <t>Unidentified float with four 'children' in a rail carriage.</t>
  </si>
  <si>
    <t>b20921755</t>
  </si>
  <si>
    <t>b20921767</t>
  </si>
  <si>
    <t>John Martin's Christmas Pageant: Lion</t>
  </si>
  <si>
    <t>Unidentified float with a lion in a cage.</t>
  </si>
  <si>
    <t>b20921779</t>
  </si>
  <si>
    <t>John Martin's Christmas Pageant: Father Christmas</t>
  </si>
  <si>
    <t>Father Christmas in his sleigh.</t>
  </si>
  <si>
    <t>b20921792</t>
  </si>
  <si>
    <t>John Martin's Christmas Pageant: Swan</t>
  </si>
  <si>
    <t>Unidentified float with a woman riding on the back of a swan.</t>
  </si>
  <si>
    <t>b20921809</t>
  </si>
  <si>
    <t>b20921810</t>
  </si>
  <si>
    <t>John Martin's Christmas Pageant: Jack and the beanstalk</t>
  </si>
  <si>
    <t>The 'Jack and the beanstalk' float.</t>
  </si>
  <si>
    <t>b20921822</t>
  </si>
  <si>
    <t>John Martin's Christmas Pageant: Humpty Dumpty</t>
  </si>
  <si>
    <t>The 'Humpty Dumpty' float.</t>
  </si>
  <si>
    <t>b20921834</t>
  </si>
  <si>
    <t>John Martin's Christmas Pageant: Pageant Queen</t>
  </si>
  <si>
    <t>The pageant queen, with her young attendants, on a horse drawn float.</t>
  </si>
  <si>
    <t>b20921846</t>
  </si>
  <si>
    <t>John Martin's Christmas Pageant: Golliwogs</t>
  </si>
  <si>
    <t>A group of five 'golliwogs' walking in the pageant.</t>
  </si>
  <si>
    <t>b20930501</t>
  </si>
  <si>
    <t>Basketball players</t>
  </si>
  <si>
    <t>Photograph  15 cm x 20.5 cm</t>
  </si>
  <si>
    <t>Two girls playing basketball.</t>
  </si>
  <si>
    <t>Basketball -- South Australia</t>
  </si>
  <si>
    <t>b20930513</t>
  </si>
  <si>
    <t>Two basketball teams playing on an oval.</t>
  </si>
  <si>
    <t>b20930616</t>
  </si>
  <si>
    <t>Baseball players</t>
  </si>
  <si>
    <t>Photograph  18.5 cm x 17 cm</t>
  </si>
  <si>
    <t>A player slides into a plate while the fieldsman positions himself for the catch.</t>
  </si>
  <si>
    <t>Baseball -- South Australia</t>
  </si>
  <si>
    <t>b20931803</t>
  </si>
  <si>
    <t>Fireman at work</t>
  </si>
  <si>
    <t>Photograph  20.5 cm x 15.5 cm</t>
  </si>
  <si>
    <t>Firemen trying to get access to a building through a small door, hoses held at the ready.</t>
  </si>
  <si>
    <t>Fire fighters -- South Australia</t>
  </si>
  <si>
    <t>b20932005</t>
  </si>
  <si>
    <t>Football game between Sturt and Glenelg</t>
  </si>
  <si>
    <t>Photograph  17.5 cm x 17.5 cm</t>
  </si>
  <si>
    <t>Football players during a match between Sturt and Glenelg Football Clubs.</t>
  </si>
  <si>
    <t>b20932236</t>
  </si>
  <si>
    <t>A group of girl guides</t>
  </si>
  <si>
    <t>Four girl guides look at something being held by their leader.</t>
  </si>
  <si>
    <t>Girl guides</t>
  </si>
  <si>
    <t>b20932510</t>
  </si>
  <si>
    <t>View of a golf game</t>
  </si>
  <si>
    <t>Photograph  24 cm x 18.5 cm</t>
  </si>
  <si>
    <t>View of two golfers on a green watched by a small crowd.</t>
  </si>
  <si>
    <t>b2093290x</t>
  </si>
  <si>
    <t>A hockey match in progress</t>
  </si>
  <si>
    <t>Action photograph of a women's hockey match in progress.</t>
  </si>
  <si>
    <t>Hockey players -- South Australia</t>
  </si>
  <si>
    <t>b20932911</t>
  </si>
  <si>
    <t>Photograph  12.5 cm x 15.5 cm</t>
  </si>
  <si>
    <t>b20933010</t>
  </si>
  <si>
    <t>Horses and jockeys</t>
  </si>
  <si>
    <t>Two horses and jockeys riding past spectators.</t>
  </si>
  <si>
    <t>Jockeys -- South Australia;Horse racing -- South Australia</t>
  </si>
  <si>
    <t>b20933265</t>
  </si>
  <si>
    <t>Men's hurdle race</t>
  </si>
  <si>
    <t>Photograph  20.5 cm x 13.5 cm</t>
  </si>
  <si>
    <t>Men competing in a hurdle race.</t>
  </si>
  <si>
    <t>Track and field -- South Australia;Athletics -- South Australia</t>
  </si>
  <si>
    <t>b20967998</t>
  </si>
  <si>
    <t>Country Women's Association in Alice Springs</t>
  </si>
  <si>
    <t>Members of the Country Women's Association (CWA) in Alice Springs. From left: Mrs van Senden, Joan Oughtred, Peg Banks, Peg Nelson, Milicent Chalmers, Joan Higgins, Mrs George Martin, Mrs Snedden, Mrs Verna Abberton to the far right. Mrs Verna Abberton was the CWA president for some years.</t>
  </si>
  <si>
    <t>b21059159</t>
  </si>
  <si>
    <t>Floats at Commonwealth Jubilee Day</t>
  </si>
  <si>
    <t>Photograph  7.8 cm x 5.6 cm</t>
  </si>
  <si>
    <t>A crowd of people looking at the floats at the Torrens Parade Ground after the Commonwealth Jubilee Day procession, with an 'Advertiser' van in the background.</t>
  </si>
  <si>
    <t>Parade floats -- South Australia -- Adelaide</t>
  </si>
  <si>
    <t>b21059172</t>
  </si>
  <si>
    <t>Float at Commonwealth Jubilee Day</t>
  </si>
  <si>
    <t>Photograph  5.4 cm x 8.1 cm</t>
  </si>
  <si>
    <t>Float with plants and a teepee at the Torrens Parade Ground after the Commonwealth Jubilee Day procession.</t>
  </si>
  <si>
    <t>b21059184</t>
  </si>
  <si>
    <t>Photograph  8.7 cm x 5.4 cm</t>
  </si>
  <si>
    <t>A crowd of people looking at the floats at the Torrens Parade Ground after the Commonwealth Jubilee Day procession, with the Torrens Drill Hall in the background.</t>
  </si>
  <si>
    <t>b21059196</t>
  </si>
  <si>
    <t>'City of Prospect' float</t>
  </si>
  <si>
    <t>Photograph  7.6 cm x 5.5 cm</t>
  </si>
  <si>
    <t>City of Prospect float at the Torrens Parade Ground after the Commonwealth Jubilee Day procession.</t>
  </si>
  <si>
    <t>b21059202</t>
  </si>
  <si>
    <t>Two floats at the Torrens Parade Ground</t>
  </si>
  <si>
    <t>Photograph  7.7 cm x 5.5 cm</t>
  </si>
  <si>
    <t>A float with a large star and Union Jack flags in the foreground, and a float with a train in the background, on the Torrens Parade Ground after the Commonwealth Jubilee Day procession.</t>
  </si>
  <si>
    <t>b21059214</t>
  </si>
  <si>
    <t>'Petroleum Progress' float at the Torrens Parade Ground</t>
  </si>
  <si>
    <t>Petroleum Progess float at the Torrens Parade Ground after the Commonwealth Jubilee Day procession.</t>
  </si>
  <si>
    <t>b21059226</t>
  </si>
  <si>
    <t>Floats at the Torrens Parade Ground</t>
  </si>
  <si>
    <t>A crowd of people looking at the floats at the Torrens Parade Ground after the Commonwealth Jubilee Day procession.</t>
  </si>
  <si>
    <t>b21059238</t>
  </si>
  <si>
    <t>Photograph  7.2 cm x 5.4 cm</t>
  </si>
  <si>
    <t>War Memorial, North Terrace.</t>
  </si>
  <si>
    <t>War memorial -- South Australia -- Adelaide</t>
  </si>
  <si>
    <t>b2105924x</t>
  </si>
  <si>
    <t>'Skymaster' at Parafield Aerodrome</t>
  </si>
  <si>
    <t>Photograph  8.9 cm x 5.3 cm</t>
  </si>
  <si>
    <t>Technicians working on 'Skymaster' at Parafield aerodrome.</t>
  </si>
  <si>
    <t>Skymaster (Airplane)</t>
  </si>
  <si>
    <t>Parafield Collection</t>
  </si>
  <si>
    <t>b21059330</t>
  </si>
  <si>
    <t>Photograph  20.7 cm x 15.3 cm;RESERVE 1 b</t>
  </si>
  <si>
    <t>Team photograph of the Gilbert Association: Back row, left to right: D. Ross (former member of the Libraries Board)  L. George  D. Dow  P. Smith. Front row, left to right: M. McKenzie  G. Uppill  J. Gaertner  J. Harkness (Capt.)  M. Snook  K. Harkness  A. Harkness.</t>
  </si>
  <si>
    <t>b21061087</t>
  </si>
  <si>
    <t>John Martin's Christmas Pageant : Ali Baba</t>
  </si>
  <si>
    <t>photograph  12 cm x 8.3 cm</t>
  </si>
  <si>
    <t>Barb Tapscott dressed as a thief for the Ali Baba and the Forty Thieves float. Gentleman in hat is walking behind her in the left of the photograph. Two other 'thieves' are to the right in the photograph.</t>
  </si>
  <si>
    <t>John Martin &amp; Co;Pageants -- South Australia -- Adelaide;Costume -- South Australia -- Adelaide;Christmas -- South Australia -- Adelaide;Parades -- South Australia -- Adelaide;Parade floats -- South Australia -- Adelaide</t>
  </si>
  <si>
    <t>b21061117</t>
  </si>
  <si>
    <t>photograph  13.4 cm x 8.3 cm</t>
  </si>
  <si>
    <t>Gwen Tapscott dressed as one of three 'thieves' from the Ali Baba and the Forty Thieves Float.</t>
  </si>
  <si>
    <t>b21061129</t>
  </si>
  <si>
    <t>photograph  12.2 cm x 8 cm</t>
  </si>
  <si>
    <t>Barb Tapscott, dressed as one of the Forty Thieves. On her left in the photograph is a checkerboard girl and on her right is another 'thief'. The three girls are standing in front of a float with flags on it.</t>
  </si>
  <si>
    <t>b21061130</t>
  </si>
  <si>
    <t>photograph  7.5 cm x 12.6 cm</t>
  </si>
  <si>
    <t>Gwen Tapscott, dressed as one of the Forty Thieves from the Ali Baba and the Forty Thieves float. She is wearing a turban and is enclosed in a large 'pot'.</t>
  </si>
  <si>
    <t>b21066590</t>
  </si>
  <si>
    <t>Burnell Studio, photographer</t>
  </si>
  <si>
    <t>M.A. Paterson</t>
  </si>
  <si>
    <t>Photograph  19 cm x 24 cm;RESERVE 1 b</t>
  </si>
  <si>
    <t>Formal portrait of Maxwell Alan Paterson wearing the regalia of the Masonic Lodge. He was lodge master of the Parkside Lodge in 1951.</t>
  </si>
  <si>
    <t>Paterson, Maxwell Alan, 1909-1989;Freemasons -- South Australia -- Parkside</t>
  </si>
  <si>
    <t>b21088743</t>
  </si>
  <si>
    <t>Johns, Rosaline, photographer</t>
  </si>
  <si>
    <t>In the dandelions at Bute</t>
  </si>
  <si>
    <t>A relaxing day on the farm at Bute. Aunty (Ethel Woolcock from Kadina) and Des (Johns) sitting amongst the dandelions with pet birds and rabbit.</t>
  </si>
  <si>
    <t>Woolcock, Ethel;Johns, Des;Leisure -- South Australia -- Bute</t>
  </si>
  <si>
    <t>Bute Collection</t>
  </si>
  <si>
    <t>b21089097</t>
  </si>
  <si>
    <t>Metropolitan Male Choir</t>
  </si>
  <si>
    <t>Photograph  13.8 cm x 10 cm</t>
  </si>
  <si>
    <t>Members of the Metropolitan Male Choir pictured at the front of the Pirie Street Methodist Church.</t>
  </si>
  <si>
    <t>Metropolitan Male Choir of South Australia;Pirie Street Methodist Church (Adelaide, S.A.);Choirs (Music) -- South Australia -- Adelaide;Interior architecture -- South Australia -- Adelaide</t>
  </si>
  <si>
    <t>b21089309</t>
  </si>
  <si>
    <t>Ken, photographer</t>
  </si>
  <si>
    <t>MV Moonta at Port Pirie</t>
  </si>
  <si>
    <t>Photograph  7.9 cm x 5.5 cm</t>
  </si>
  <si>
    <t>Three friends (from left) Valda Johns, Ruth Schuller and Rosaline Johns pictured on the wharf at Port Pirie in front of the motor vessel 'Moonta'. The girls were taking part in a Gulf Trip and the snap taken by friend 'Ken'. The man on the left was a Port Pirie wharfie. 19 May 1951.</t>
  </si>
  <si>
    <t>Schuller, Ruth;Johns, Rosaline;Johns, Valda;Moonta (Ship);Wharves -- South Australia -- Port Pirie;Port Pirie (S.A.)</t>
  </si>
  <si>
    <t>b21089334</t>
  </si>
  <si>
    <t>Daniel, Graham, photographer</t>
  </si>
  <si>
    <t>Swaggie Herbie Okes receiving food parcel</t>
  </si>
  <si>
    <t>Photograph (print &amp; slide)  15.1 cm x 10 cm (print)  positive (slide, colour)  35 mm</t>
  </si>
  <si>
    <t>Photograph of Graham Daniel's neighbour Laurel Sawley giving food and billy tea to swagman Herbie Okes. Swagmen were still a relatively common sight in the 1950s, travelling from farm to farm looking for seasonal work.</t>
  </si>
  <si>
    <t>Okes, Herbie;Sawley, Laurel;Swagmen</t>
  </si>
  <si>
    <t>b21089449</t>
  </si>
  <si>
    <t>Ellen Street, Port Pirie</t>
  </si>
  <si>
    <t>View of Ellen Street in Port Pirie, with a train travelling down the centre of the street, and the Barrier Hotel beyond it.</t>
  </si>
  <si>
    <t>Barrier Hotel (Port Pirie, S.A.);Hotels -- South Australia -- Port Pirie;Railroads -- South Australia -- Port Pirie -- Trains;Ellen Street (Port Pirie, S.A.)</t>
  </si>
  <si>
    <t>b21089498</t>
  </si>
  <si>
    <t>Williams, Mary, photographer</t>
  </si>
  <si>
    <t>Williams family at Christies Beach</t>
  </si>
  <si>
    <t>Photograph  7.8 cm x 5.3 cm</t>
  </si>
  <si>
    <t>The Williams family pictured in front of their rented holiday shack at Christies Beach. At back (from left): Gloria Williams, Vin Williams (father), Josie Williams, Martha Minchin (grandmother)  at front (from left) Trevor Williams, Albert Minchin (grandfather) and Janet Arthur (cousin).</t>
  </si>
  <si>
    <t>Arthur, Janet;Minchin, Albert;Williams, Trevor;Minchin, Martha;Williams, Josie;Williams, Vin;Williams, Gloria;Vacation homes -- South Australia -- Christies Beach;Family recreation -- South Australia -- Christies Beach;Motorcycles</t>
  </si>
  <si>
    <t>b21089577</t>
  </si>
  <si>
    <t>McRae, Geoffrey, photographer</t>
  </si>
  <si>
    <t>Trans-Australia Express at Port Pirie</t>
  </si>
  <si>
    <t>Photograph  10.6 cm x 10.6 cm</t>
  </si>
  <si>
    <t>A family inspects the Trans-Australia Express train during a stop at the Port Pirie railway station. The diesal locomotive GM9 entered service on the Trans-Australia railway on 19 April 1952, running between Port Pirie and Kalgoorlie.</t>
  </si>
  <si>
    <t>b21089607</t>
  </si>
  <si>
    <t>Finniss, Joan, photographer</t>
  </si>
  <si>
    <t>The milk vendor</t>
  </si>
  <si>
    <t>Photograph  20.1 cm x 15.1 cm</t>
  </si>
  <si>
    <t>Bill Flett and Ruby delivering milk to Mount Gambier residents. The Flett brothers, Bill, Ross and Ralph, delivered milk with Ruby during the 1940s and 1950s. The milk was scooped from the large milk cans into billies left out the front of the house. Ruby knew the delivery route and when to stop.</t>
  </si>
  <si>
    <t>Flett, Bill;Milk trade -- South Australia -- Mount Gambier;Horse-drawn vehicles -- South Australia -- Mount Gambier</t>
  </si>
  <si>
    <t>b21090816</t>
  </si>
  <si>
    <t>Commonwealth Jubilee celebrations at Goolwa</t>
  </si>
  <si>
    <t>Photograph  24.3 cm x 19.1 cm</t>
  </si>
  <si>
    <t>The 1951 Commonwealth Jubilee re-enactment of Sturt's landing in Goolwa, with men in period costume bringing an open boat into shore.</t>
  </si>
  <si>
    <t>b21239563</t>
  </si>
  <si>
    <t>Holden float in parade</t>
  </si>
  <si>
    <t>Photograph (print)  7.6 x 12.6</t>
  </si>
  <si>
    <t>A 48-215 Holden sedan on a float prepared by General Motors Holdens for the 1951 'celebration of federation' parade.</t>
  </si>
  <si>
    <t>b21239575</t>
  </si>
  <si>
    <t>Float in federation parade</t>
  </si>
  <si>
    <t>A float taking part in the 50th anniversary of federation parade. It features a scroll with writing (unreadable) surrounded by figures in various costumes. In the background the awnings for the businesses of Frederic hairdressers, Frederick Walsh &amp; Son, tailors, and the Exchange Bottle Dept can be seen, as can an advertisement for Amgoorie tea.</t>
  </si>
  <si>
    <t>b21239587</t>
  </si>
  <si>
    <t>City of Burnside float</t>
  </si>
  <si>
    <t>A float prepared by the City of Burnside taking part in the 50th anniversary of federation parade. It features steps leading up to a pavilion with a woman in historical costume standing in the doorway.</t>
  </si>
  <si>
    <t>b21239599</t>
  </si>
  <si>
    <t>Savings Bank of SA float</t>
  </si>
  <si>
    <t>A float prepared by the Savings Bank of South Australia taking part in the 50th anniversary of federation parade. It consisted of two parts - the front with a woman in classical attire standing on a pedestal, followed by another on which a line of citizens was moving through the bank 'building'. The caption reads 'The Savings Bank of South Australia - your bank'. The float was photographed at the CML Corner.</t>
  </si>
  <si>
    <t>b21239605</t>
  </si>
  <si>
    <t>'Implements of produce 1901' float</t>
  </si>
  <si>
    <t>An 'Impliments [sic] of produce 1901' float taking part in the 50th anniversary of federation parade along King William Street. It consisted of an old wagon drawn by two horses, with two people and smaller tools in the wagon.</t>
  </si>
  <si>
    <t>b21239617</t>
  </si>
  <si>
    <t>Crowds in King William Street</t>
  </si>
  <si>
    <t>A large crowd completely filling King William Street following the parade celebrating 50 years of federation.</t>
  </si>
  <si>
    <t>Crowds -- South Australia -- Adelaide</t>
  </si>
  <si>
    <t>b21239630</t>
  </si>
  <si>
    <t>Brass band in parade</t>
  </si>
  <si>
    <t>A brass band taking part in the 50th anniversary parade of federation. The band is surrounded by a large crowd.</t>
  </si>
  <si>
    <t>Bands (Music) -- South Australia</t>
  </si>
  <si>
    <t>b21239642</t>
  </si>
  <si>
    <t>SA Railways float</t>
  </si>
  <si>
    <t>A float, prepared by the South Australian Railways, taking part in the 50th anniversay parade of federation. This float featured 'the state's first railway coach'.</t>
  </si>
  <si>
    <t>Railroad motor-cars -- South Australia -- History</t>
  </si>
  <si>
    <t>b21239654</t>
  </si>
  <si>
    <t>A float, prepared by the South Australian Railways, taking part in the 50th anniversay parade of federation. This float featured a 'half size model of the new diesel electric locomotives now being built at the S.A. Railway's workshops, Islington'.</t>
  </si>
  <si>
    <t>Locomotives -- South Australia -- History</t>
  </si>
  <si>
    <t>b21239666</t>
  </si>
  <si>
    <t>Returned Services League float</t>
  </si>
  <si>
    <t>A float, prepared by the Returned Services League, taking part in the 50th anniversary of federation parade. The float comprised a box trailer with three men, representing the three services, standing within the badge, with a flag draped over the linkage to the small tractor pulling the trailer.</t>
  </si>
  <si>
    <t>b21239678</t>
  </si>
  <si>
    <t>Parade down King William Street</t>
  </si>
  <si>
    <t>Long view of the parade down King William Street, organised to celebrate the 50th anniversary of federation. Passing between the large crowd are four Police greys, followed by a Navy band and contingent.</t>
  </si>
  <si>
    <t>Parades -- South Australia -- Adelaide</t>
  </si>
  <si>
    <t>b21263681</t>
  </si>
  <si>
    <t>Harris, Kevin, photographer</t>
  </si>
  <si>
    <t>Esme with Brian Burrows at Alice Springs</t>
  </si>
  <si>
    <t>Photograph (B&amp;W print)</t>
  </si>
  <si>
    <t>Two of Bond's employees, Esme ____ and Brian Burrows, pose for the camera in the grounds of the Alice Springs Chalet, with Esme seated in the laundry basket and holding some folded washing.</t>
  </si>
  <si>
    <t>b21263693</t>
  </si>
  <si>
    <t>Bond's Chalet at Alice Springs</t>
  </si>
  <si>
    <t>View of some of the buildings and grounds at the Alice Springs Chalet. Hazel Harris on the bike.</t>
  </si>
  <si>
    <t>b21264405</t>
  </si>
  <si>
    <t>Sunset over Alice Springs</t>
  </si>
  <si>
    <t>Positive (35mm colour slide)</t>
  </si>
  <si>
    <t>View of the sunset from Bond's Chalet, Alice Springs.</t>
  </si>
  <si>
    <t>b21264417</t>
  </si>
  <si>
    <t>A sunset over Alice Springs, as viewed from Bond's Chalet.</t>
  </si>
  <si>
    <t>b21264429</t>
  </si>
  <si>
    <t>Sunset at Alice Springs</t>
  </si>
  <si>
    <t>View of the sun setting at Alice Springs, viewed from Bond's Chalet.</t>
  </si>
  <si>
    <t>b21264442</t>
  </si>
  <si>
    <t>View of the sun setting over Alice Springs, as viewed from Bond's Chalet.</t>
  </si>
  <si>
    <t>b21264454</t>
  </si>
  <si>
    <t>Marree, South Australia</t>
  </si>
  <si>
    <t>View of some of the township of Marree in northern South Australia, showing the galvanised iron roofs of buildings and two windmills, used for charging the batteries for the telegraph station (information supplied by a researcher).</t>
  </si>
  <si>
    <t>b21264570</t>
  </si>
  <si>
    <t>Sunrise on Mount Gillen</t>
  </si>
  <si>
    <t>Sunrise on Mount Gillen, with Bond's camp visible centre right.</t>
  </si>
  <si>
    <t>b21264909</t>
  </si>
  <si>
    <t>Finke River near Hermannsburg</t>
  </si>
  <si>
    <t>One of Bond's buses overlooking the Finke River near Hermannsburg.</t>
  </si>
  <si>
    <t>b21264995</t>
  </si>
  <si>
    <t>Bond's bus near Hermannsburg</t>
  </si>
  <si>
    <t>A Bond's bus parked overlooking Hermannsburg.</t>
  </si>
  <si>
    <t>b2126501x</t>
  </si>
  <si>
    <t>Honeymoon Gap west of Alice Springs</t>
  </si>
  <si>
    <t>View of the land formation known as Honeymoon Gap, west of Alice Springs. The front of a Bond's bus can be seen on the right.</t>
  </si>
  <si>
    <t>b21265045</t>
  </si>
  <si>
    <t>Bond's semitrailer bus at the Chalet, Alice Springs</t>
  </si>
  <si>
    <t>Bond's semitrailer bus on the driveway at the Chalet in Alice Springs.</t>
  </si>
  <si>
    <t>b31305428</t>
  </si>
  <si>
    <t>Tudor style house</t>
  </si>
  <si>
    <t>1 photograph : black and white   6.4 x 10.4 cm;RESERVE 1 a;still image sti rdacontent;unmediated n rdamedia;sheet nb rdacarrier</t>
  </si>
  <si>
    <t>A group of people and their car parked on the street in front of a Tudor style house.</t>
  </si>
  <si>
    <t>Architecture, Domestic -- South Australia.;Automobiles -- South Australia.</t>
  </si>
  <si>
    <t>b20907114</t>
  </si>
  <si>
    <t>Narrow gauge 3'6" T class 204 arriving at Port Pirie with ore train from Broken Hill.</t>
  </si>
  <si>
    <t>Railroads -- South Australia -- Port Pirie -- Trains;Railroads -- South Australia -- Port Pirie;Ores -- Transportation -- South Australia -- Mid-North Region</t>
  </si>
  <si>
    <t>b20188055</t>
  </si>
  <si>
    <t>Children's Reserve with 1914-18 War Memorial, Angaston.</t>
  </si>
  <si>
    <t>b20202908</t>
  </si>
  <si>
    <t>Cape Borda Lighthouse</t>
  </si>
  <si>
    <t>Cape Borda Lighthouse.</t>
  </si>
  <si>
    <t>Lighthouses -- South Australia -- Borda, Cape</t>
  </si>
  <si>
    <t>Cape Borda Collection</t>
  </si>
  <si>
    <t>b20264537</t>
  </si>
  <si>
    <t>Flinders Chase</t>
  </si>
  <si>
    <t>Government Apiary at Flinder's Chase.</t>
  </si>
  <si>
    <t>Bee culture -- South Australia -- Kangaroo Island;Flinders Chase National Park (S.A.)</t>
  </si>
  <si>
    <t>b20290640</t>
  </si>
  <si>
    <t>Train derailment, Marree</t>
  </si>
  <si>
    <t>The 'Ghan' derailed near Lake Eyre, caused by heat affected rails.</t>
  </si>
  <si>
    <t>Ghan (Train);Railroads -- South Australia -- Marree Region -- Trains;Railroad accidents -- South Australia -- Marree Region</t>
  </si>
  <si>
    <t>MARREE Collection</t>
  </si>
  <si>
    <t>b20290664</t>
  </si>
  <si>
    <t>Photograph (b&amp;w print)  10.5 cm x 14.5 cm;C1</t>
  </si>
  <si>
    <t>The 'Ghan' derailed near Lake Eyre, caused by heat Affected rails.</t>
  </si>
  <si>
    <t>b20355725</t>
  </si>
  <si>
    <t>Snow at Peterborough</t>
  </si>
  <si>
    <t>Photograph (b&amp;w print)  15.3 cm x 10.1 cm;C1</t>
  </si>
  <si>
    <t>Mrs Pederson with her daughter Mary Fiona experiencing snow.</t>
  </si>
  <si>
    <t>Pederson, Mary Fiona;Pederson, Mrs;Snow -- South Australia -- Peterborough</t>
  </si>
  <si>
    <t>PETERBOROUGH Collection</t>
  </si>
  <si>
    <t>b20360976</t>
  </si>
  <si>
    <t>Ellis, J. M., photographer</t>
  </si>
  <si>
    <t>Church of Christ, Point Sturt</t>
  </si>
  <si>
    <t>Photograph  14.3 cm x 8.3 cm</t>
  </si>
  <si>
    <t>Church of Christ, Point Sturt. Point Sturt was formerly known as Sturt Peninsula and sits on the banks of Lake Alexandrina, located at the end of the Murray River just north of the Cooroong. The original inhabitants were the Ngarrindjeri, many of whom died from European diseases at first exposure in the early 1800s. Point Sturt Church has the honour of being the oldest rural congregation of Churches of Christ in Australia. A small building was erected at Point Sturt in 1861 and opened free of debt. Early evangelistic efforts saw 42 people added to the congregation in one year alone</t>
  </si>
  <si>
    <t>Point Sturt Church of Christ  (S.A.);Church architecture -- South Australia -- Point Sturt</t>
  </si>
  <si>
    <t>Point Sturt Collection</t>
  </si>
  <si>
    <t>b20427876</t>
  </si>
  <si>
    <t>Schoolchildren assembled in school yard</t>
  </si>
  <si>
    <t>Schoolchildren assembled in the Thebarton Primary School yard. The headmaster, Mr Bertram Hand, is standing at the front. The Thebarton Primary school band can be seen to the right of the photograph.</t>
  </si>
  <si>
    <t>b2042789x</t>
  </si>
  <si>
    <t>b20427906</t>
  </si>
  <si>
    <t>b20428790</t>
  </si>
  <si>
    <t>Pipe construction, Tod River</t>
  </si>
  <si>
    <t>Pipe construction, Tod River.</t>
  </si>
  <si>
    <t>Tod River Collection</t>
  </si>
  <si>
    <t>b20428807</t>
  </si>
  <si>
    <t>b20428819</t>
  </si>
  <si>
    <t>b20428820</t>
  </si>
  <si>
    <t>b20428832</t>
  </si>
  <si>
    <t>Pipe construction at Tod River.</t>
  </si>
  <si>
    <t>b20428844</t>
  </si>
  <si>
    <t>b20428856</t>
  </si>
  <si>
    <t>b20428868</t>
  </si>
  <si>
    <t>b2042887x</t>
  </si>
  <si>
    <t>b20428881</t>
  </si>
  <si>
    <t>b20442026</t>
  </si>
  <si>
    <t>Victor Harbor Tramway</t>
  </si>
  <si>
    <t>Postcard  8.9 cm x 14 cm;C1</t>
  </si>
  <si>
    <t>Victor Harbor Causeway to Granite Island showing the horse drawn tram crossing.</t>
  </si>
  <si>
    <t>b20444758</t>
  </si>
  <si>
    <t>Gliders at Waikerie</t>
  </si>
  <si>
    <t>Photograph  21.3 cm x 13 cm</t>
  </si>
  <si>
    <t>Waikerie Gliding Club members, Jock Barratt (left) and Crawford Heidrich, at the Waikerie aerodrome. The gliders (from left) are: an Olympia (known as 'Yellow Witch'), the Pelican 1 and Kite 2.</t>
  </si>
  <si>
    <t>Heidrich, Crawford;Barratt, Jock;Gliders (Aeronautics) -- South Australia -- Waikerie</t>
  </si>
  <si>
    <t>b20596595</t>
  </si>
  <si>
    <t>Franklin Street</t>
  </si>
  <si>
    <t>Franklin Street, south side. The left side of Walter and Morris's building abuts the west side of Trades Hall Lane. Frontage: 9 yards. For a view of Walter and Morris's building after alterations completed in 1952 see B 12959. The origins of the firm Walter and Morris (timber merchants), 1886-1979, lie in the establishment of the Sarnia Timber Yard at Port Adelaide by Captain Peter Le Messurier and Theophilus Robin in 1865. The subsequent company named Walter and Morris became defunct in 1979</t>
  </si>
  <si>
    <t>Acre 266 Collection</t>
  </si>
  <si>
    <t>b20600859</t>
  </si>
  <si>
    <t>Wakefield Street</t>
  </si>
  <si>
    <t>Photograph  14.0 cm x 9.4 cm</t>
  </si>
  <si>
    <t>Wakefield Street, north side, western corner of Gawler Place, 1951, building frontage is 7 1/4 yards to Wakefield Street. For a view of building after alterations made in 1950 see B 12396</t>
  </si>
  <si>
    <t>Acre 302 Collection</t>
  </si>
  <si>
    <t>b20748036</t>
  </si>
  <si>
    <t>Premises of J.O. Denton at Farrell Flat</t>
  </si>
  <si>
    <t>photograph  20 cm x 15.5 cm</t>
  </si>
  <si>
    <t>FARRELL FLAT: Premises of J.O. Denton, Commission Agent, in Farrell Flat, South Australia  an advertisement for Ford is displayed above the entrance door. Joseph Olley Denton was born 10 January 1903 in Waterloo, South Australia, to Joseph Denton (whose car is shown in B 64294) and Ruth Matilda Olley. He died 23 June 1985 in Clare.</t>
  </si>
  <si>
    <t>Denton, J. O., 1903-1985;Historic buildings -- South Australia -- Farrell Flat;Advertising -- South Australia -- Farrell Flat</t>
  </si>
  <si>
    <t>Farrell Flat Collection</t>
  </si>
  <si>
    <t>b20748061</t>
  </si>
  <si>
    <t>Tractors lined up in Farrell Flat</t>
  </si>
  <si>
    <t>FARRELL FLAT: Tractors lined up outside the premises of J.O. Denton Commission Agent in Farrell Flat, South Australia.</t>
  </si>
  <si>
    <t>Denton, J. O., 1903-1985;Farm equipment -- South Australia -- Farrell Flat;Agricultural machinery -- Tractors -- South Australia -- Farrell Flat;Historic buildings -- South Australia -- Farrell Flat</t>
  </si>
  <si>
    <t>b20771964</t>
  </si>
  <si>
    <t>Russell Bridge Hotel at Echunga</t>
  </si>
  <si>
    <t>Photograph (b&amp;w print)  9 cm x 12.5 cm;RESERVE 1</t>
  </si>
  <si>
    <t>ECHUNGA:  Russell Bridge Hotel at Echunga.</t>
  </si>
  <si>
    <t>Hotels -- South Australia -- Echunga</t>
  </si>
  <si>
    <t>Echunga Collection</t>
  </si>
  <si>
    <t>b20780989</t>
  </si>
  <si>
    <t>Piccadilly Valley from Mount Lofty after snow</t>
  </si>
  <si>
    <t>MOUNT LOFTY: A view of the Piccadilly Valley from Mount Lofty after snow.</t>
  </si>
  <si>
    <t>b20781015</t>
  </si>
  <si>
    <t>View of Adelaide road from Victor Harbor</t>
  </si>
  <si>
    <t>VICTOR HARBOR: The Adelaide road as viewed from "Seymour", Victor Harbor.</t>
  </si>
  <si>
    <t>b2079891x</t>
  </si>
  <si>
    <t>Group of people attending a wedding</t>
  </si>
  <si>
    <t>COSTUME: Group of people attending the wedding of Beryl Urlwin to Bob Johns at Salisbury. Left to right  Arthur Parsons   Daphne Murdoch, Marion Beth Murdoch, Gordon Murdoch. The boy in the front is Brian Prior son of Enid Prior nee Urlwin.</t>
  </si>
  <si>
    <t>Clothing and dress -- South Australia -- Salisbury</t>
  </si>
  <si>
    <t>b20799020</t>
  </si>
  <si>
    <t>Marion Beth Murdock and Gordon Collins Murdock at 'The Bluff'</t>
  </si>
  <si>
    <t>MILATON: Marion Beth Murdoch and Gordon Collins Murdoch standing in front of a Vauxhall motor car at 'The Bluff', west of Minlaton on Yorke Peninsula.</t>
  </si>
  <si>
    <t>Automobiles -- South Australia -- Minlaton</t>
  </si>
  <si>
    <t>b20800794</t>
  </si>
  <si>
    <t>Re-enactment float representing a bullock wagon at Woodside</t>
  </si>
  <si>
    <t>WOODSIDE: Re-enactment float representing a bullock wagon.</t>
  </si>
  <si>
    <t>Wagons -- South Australia -- Woodside;Oxen -- South Australia -- Woodside</t>
  </si>
  <si>
    <t>b2080586x</t>
  </si>
  <si>
    <t>A worker using a Clydesdale horse to pull along a tree trunk</t>
  </si>
  <si>
    <t>GENERAL: A worker using a Clydesdale horse to pull along a tree trunk, on Nullabah Station.</t>
  </si>
  <si>
    <t>Agricultural laborers;Horses;Country Life</t>
  </si>
  <si>
    <t>b20805871</t>
  </si>
  <si>
    <t>A man on horseback at Leonora Downs Station</t>
  </si>
  <si>
    <t>GENERAL: A man, possibly Jack Wakeman, on horseback at Leonora Downs Station.</t>
  </si>
  <si>
    <t>Agricultural laborers;Country Life</t>
  </si>
  <si>
    <t>b20805883</t>
  </si>
  <si>
    <t>Two workers, on Leonora Station</t>
  </si>
  <si>
    <t>GENERAL: Two workers, on Leonora Station, with their horses.  The man on the left is Jack Wakeman.</t>
  </si>
  <si>
    <t>Agricultural laborers</t>
  </si>
  <si>
    <t>b20901732</t>
  </si>
  <si>
    <t>Photograph (b&amp;w print)  15.4 cm x 19.8 cm;RESERVE 1 album</t>
  </si>
  <si>
    <t>500 class engine No.502 and carriages at unidentified location (Eden Hills?). According to a researcher this photo is at Belair (Fosters Corner), (same location as photo B 58892/11).</t>
  </si>
  <si>
    <t>b20901744</t>
  </si>
  <si>
    <t>Photograph (b&amp;w print)  6.5 cm x 15.7 cm;RESERVE 1 album</t>
  </si>
  <si>
    <t>500 class engine No. 506 at unidentified location.</t>
  </si>
  <si>
    <t>b2090177x</t>
  </si>
  <si>
    <t>Photograph (b&amp;w print)  14.6 cm x 13 cm;RESERVE 1 album</t>
  </si>
  <si>
    <t>500 class engine No.507 and carriages. A researcher believes this be a down train approaching Eden Hills.</t>
  </si>
  <si>
    <t>b20901793</t>
  </si>
  <si>
    <t>Photograph (b&amp;w print)  11 cm x 15 cm;RESERVE 1 album</t>
  </si>
  <si>
    <t>500 class engine No.504 and carriages at unidentified location.</t>
  </si>
  <si>
    <t>b20901835</t>
  </si>
  <si>
    <t>500 class engine No. 508 and carriages at Eden Hills.</t>
  </si>
  <si>
    <t>b20902062</t>
  </si>
  <si>
    <t>500 class engine No.502 at Eden Hills.</t>
  </si>
  <si>
    <t>b20902074</t>
  </si>
  <si>
    <t>500 class engine at Mount Lofty Station.</t>
  </si>
  <si>
    <t>b20902311</t>
  </si>
  <si>
    <t>Photograph (b&amp;w print)  9.3 cm x 13.3 cm;RESERVE 1 album</t>
  </si>
  <si>
    <t>520 class engine at Islington.</t>
  </si>
  <si>
    <t>b20902748</t>
  </si>
  <si>
    <t>Engine No.626 with passenger and goods carriages at North Adelaide.</t>
  </si>
  <si>
    <t>b20902943</t>
  </si>
  <si>
    <t>Photograph (b&amp;w print)  15.3 cm x 22 cm;RESERVE 1 album</t>
  </si>
  <si>
    <t>Goods train (engine No.609) at Tailem Bend.</t>
  </si>
  <si>
    <t>b20902955</t>
  </si>
  <si>
    <t>Passenger train (engine No.608) at unidentified location.</t>
  </si>
  <si>
    <t>b20902967</t>
  </si>
  <si>
    <t>Photograph (b&amp;w print)  13.7 cm x 20.4 cm;RESERVE 1 album</t>
  </si>
  <si>
    <t>Passenger train travelling towards Adelaide Station.</t>
  </si>
  <si>
    <t>b20902979</t>
  </si>
  <si>
    <t>Photograph (b&amp;w print)  11.5 cm x 19.2 cm;RESERVE 1 album</t>
  </si>
  <si>
    <t>Passenger train, thought to be at Tailem Bend. Location supplied by researcher.</t>
  </si>
  <si>
    <t>b20902980</t>
  </si>
  <si>
    <t>Photograph (b&amp;w print)  7.7 cm x 13 cm;RESERVE 1 album</t>
  </si>
  <si>
    <t>Passenger train at Murray Bridge station.</t>
  </si>
  <si>
    <t>b2090311x</t>
  </si>
  <si>
    <t>Photograph (b&amp;w print)  7 cm x 15 cm;RESERVE 1 album</t>
  </si>
  <si>
    <t>Goods train at Dry Creek.</t>
  </si>
  <si>
    <t>b20903170</t>
  </si>
  <si>
    <t>Photograph (b&amp;w print)  10.5 cm x 15.2 cm;RESERVE 1 album</t>
  </si>
  <si>
    <t>A passenger train, which a researcher believes to be the Eden Hills up train.</t>
  </si>
  <si>
    <t>Album Collection;Railway Transport Collection;Eden Hills Collection</t>
  </si>
  <si>
    <t>b20903182</t>
  </si>
  <si>
    <t>Photograph (b&amp;w print)  7.7 cm x 15.1 cm;RESERVE 1 album</t>
  </si>
  <si>
    <t>Passenger train at Mile. The bridge in background is the Henley Beach Road bridge at Mile End, so the train is heading towards Adelaide Railway Station.</t>
  </si>
  <si>
    <t>b20903194</t>
  </si>
  <si>
    <t>Photograph (b&amp;w print)  15.5 cm x 20.2 cm;RESERVE 1 album</t>
  </si>
  <si>
    <t>Goods train at Sleeps Hill.</t>
  </si>
  <si>
    <t>b20903212</t>
  </si>
  <si>
    <t>b20903285</t>
  </si>
  <si>
    <t>Photograph (b&amp;w print)  9.1 cm x 14.6 cm;RESERVE 1 album</t>
  </si>
  <si>
    <t>b20903303</t>
  </si>
  <si>
    <t>Photograph (b&amp;w print)  10.5 cm x 15.3 cm;RESERVE 1 album</t>
  </si>
  <si>
    <t>Two trains at Mount Lofty Railway Station, Stirling.</t>
  </si>
  <si>
    <t>b2090356x</t>
  </si>
  <si>
    <t>Photograph (b&amp;w print)  12.5 cm x 9.2 cm;RESERVE 1 album</t>
  </si>
  <si>
    <t>Engine no.731 exiting the Shepherds Hill tunnel.</t>
  </si>
  <si>
    <t>b20904162</t>
  </si>
  <si>
    <t>A train which a researcher believes to be at Eden Hills.</t>
  </si>
  <si>
    <t>b20904174</t>
  </si>
  <si>
    <t>Photograph (b&amp;w print)  10.8 cm x 15.3 cm;RESERVE 1 album</t>
  </si>
  <si>
    <t>A train which a researcher believes to be the Eden Hills up train.</t>
  </si>
  <si>
    <t>b20904186</t>
  </si>
  <si>
    <t>Photograph (b&amp;w print)  7.2 cm x 15.4 cm;RESERVE 1 album</t>
  </si>
  <si>
    <t>Train at unidentified location.</t>
  </si>
  <si>
    <t>b20904198</t>
  </si>
  <si>
    <t>Photograph (b&amp;w print)  8.7 cm x 14.6 cm;RESERVE 1 album</t>
  </si>
  <si>
    <t>b20904204</t>
  </si>
  <si>
    <t>Photograph (b&amp;w print)  15 cm x 9.5 cm;RESERVE 1 album</t>
  </si>
  <si>
    <t>A train which a researcher believes to be the Tailem Bend up train.</t>
  </si>
  <si>
    <t>b20904216</t>
  </si>
  <si>
    <t>Train about to arrive at Tailem Bend station.</t>
  </si>
  <si>
    <t>b20904228</t>
  </si>
  <si>
    <t>Photograph (b&amp;w print)  7.5 cm x 12.9 cm;RESERVE 1 album</t>
  </si>
  <si>
    <t>b2090423x</t>
  </si>
  <si>
    <t>Photograph (b&amp;w print)  15.8 cm x 18.9 cm;RESERVE 1 album</t>
  </si>
  <si>
    <t>Goods train at unidentified location.</t>
  </si>
  <si>
    <t>b20904277</t>
  </si>
  <si>
    <t>Photograph (b&amp;w print)  9.5 cm x 19 cm;RESERVE 1 album</t>
  </si>
  <si>
    <t>Passenger train, with two engines, on the track between Millswood and Goodwood stations. The front locomotive on this train is a SAR Rx class locomotive and the rear is a Victorian Railways N class steam locomotive. [from information provided].</t>
  </si>
  <si>
    <t>b20904289</t>
  </si>
  <si>
    <t>Photograph (b&amp;w print)  19.5 cm x 24 cm;RESERVE 1 album</t>
  </si>
  <si>
    <t>b20904290</t>
  </si>
  <si>
    <t>Photograph (b&amp;w print)  22.8 cm x 18 cm;RESERVE 1 album</t>
  </si>
  <si>
    <t>Adelaide bound freight train approaching Eden Hills tunnel.</t>
  </si>
  <si>
    <t>b20904319</t>
  </si>
  <si>
    <t>Railway transport: 350 class</t>
  </si>
  <si>
    <t>Photograph (b&amp;w print)  14.8 cm x 19 cm;RESERVE 1 album</t>
  </si>
  <si>
    <t>Train at Adelaide Station.</t>
  </si>
  <si>
    <t>b20904320</t>
  </si>
  <si>
    <t>b20904332</t>
  </si>
  <si>
    <t>Photograph (b&amp;w print)  9.4 cm x 15.1 cm;RESERVE 1 album</t>
  </si>
  <si>
    <t>b20904344</t>
  </si>
  <si>
    <t>b20904356</t>
  </si>
  <si>
    <t>Photograph (b&amp;w print)  8.5 cm x 15.3 cm;RESERVE 1 album</t>
  </si>
  <si>
    <t>b20904368</t>
  </si>
  <si>
    <t>Photograph (b&amp;w print)  9.1 cm x 15.2 cm;RESERVE 1 album</t>
  </si>
  <si>
    <t>b20904393</t>
  </si>
  <si>
    <t>Photograph (b&amp;w print)  8 cm x 12.7 cm;RESERVE 1 album</t>
  </si>
  <si>
    <t>Goods train at Mount Lofty railway station, Stirling.</t>
  </si>
  <si>
    <t>b20904435</t>
  </si>
  <si>
    <t>Photograph (b&amp;w print)  11 cm x 15.5 cm;RESERVE 1 album</t>
  </si>
  <si>
    <t>Passenger train at Adelaide.</t>
  </si>
  <si>
    <t>b20904587</t>
  </si>
  <si>
    <t>Photograph (b&amp;w print)  7.6 cm x 15.3 cm;RESERVE 1 album</t>
  </si>
  <si>
    <t>Passenger train at unidentified location, with elephants in the front carriage.</t>
  </si>
  <si>
    <t>b20904599</t>
  </si>
  <si>
    <t>Photograph (b&amp;w print)  6.2 cm x 15.2 cm;RESERVE 1 album</t>
  </si>
  <si>
    <t>Two engines at an unidentified location.</t>
  </si>
  <si>
    <t>b20904605</t>
  </si>
  <si>
    <t>A passenger train which a researcher believes to be in the West Parklands.</t>
  </si>
  <si>
    <t>b20904630</t>
  </si>
  <si>
    <t>Photograph (b&amp;w print)  10 cm x 15.2 cm;RESERVE 1 album</t>
  </si>
  <si>
    <t>b20904903</t>
  </si>
  <si>
    <t>Photograph (b&amp;w print)  8 cm x 15 cm;RESERVE 1 album</t>
  </si>
  <si>
    <t>Two engines at unidentified location.</t>
  </si>
  <si>
    <t>b20904988</t>
  </si>
  <si>
    <t>Engine at unidentified location.</t>
  </si>
  <si>
    <t>b2090499x</t>
  </si>
  <si>
    <t>Goods train on Commercial Road viaduct at Port Adelaide.</t>
  </si>
  <si>
    <t>b20905002</t>
  </si>
  <si>
    <t>Goods train at unidentified location. A researcher believes that this photo, judging by the buildings in the background, is taken from the city end of Dry Creek Yard probably from the Cormack Rd Railway crossing.</t>
  </si>
  <si>
    <t>b20905014</t>
  </si>
  <si>
    <t>Goods train at on Commercial Road viaduct at Port Adelaide.</t>
  </si>
  <si>
    <t>b20905026</t>
  </si>
  <si>
    <t>b20905038</t>
  </si>
  <si>
    <t>Photograph (b&amp;w print)  9.6 cm x 15 cm;RESERVE 1 album</t>
  </si>
  <si>
    <t>b2090504x</t>
  </si>
  <si>
    <t>b20905051</t>
  </si>
  <si>
    <t>Rx 231 at Port Adelaide on the Commercial Road viaduct.</t>
  </si>
  <si>
    <t>b20905063</t>
  </si>
  <si>
    <t>b20905166</t>
  </si>
  <si>
    <t>Photograph (b&amp;w print)  7.7 cm x 13.5 cm</t>
  </si>
  <si>
    <t>b2090597x</t>
  </si>
  <si>
    <t>Photograph (b&amp;w print)  7.5 cm x 12.6 cm;RESERVE 1 album</t>
  </si>
  <si>
    <t>Railcar named 'Willochra' at unidentified location.</t>
  </si>
  <si>
    <t>b20905981</t>
  </si>
  <si>
    <t>Photograph (b&amp;w print)  7 cm x 9.2 cm;RESERVE 1 album</t>
  </si>
  <si>
    <t>Sign on a rolling stock: 'This truck must not be detached from diesel locomotive during journey from Wodonga to Port Pirie junction.</t>
  </si>
  <si>
    <t>b20905993</t>
  </si>
  <si>
    <t>Photograph (b&amp;w print)  9.8 cm x 15.2 cm;RESERVE 1 album</t>
  </si>
  <si>
    <t>Commonwealth Railways locomotive at unidentified location.</t>
  </si>
  <si>
    <t>b20906006</t>
  </si>
  <si>
    <t>Photograph (b&amp;w print)  6.8 cm x 12.8 cm;RESERVE 1 album</t>
  </si>
  <si>
    <t>Railcars loaded with wheat bags.</t>
  </si>
  <si>
    <t>b20906018</t>
  </si>
  <si>
    <t>Photograph (b&amp;w print)  8 cm x 10.4 cm;RESERVE 1 album</t>
  </si>
  <si>
    <t>View of a damaged 620 Class Pacific Locomotive, No. 625, at an unidentified location.</t>
  </si>
  <si>
    <t>b2090602x</t>
  </si>
  <si>
    <t>Photograph (b&amp;w print)  7.6 cm x 12.5 cm;RESERVE 1 album</t>
  </si>
  <si>
    <t>Rolling stock parts stacked in a yard.</t>
  </si>
  <si>
    <t>b20906031</t>
  </si>
  <si>
    <t>Photograph (b&amp;w print)  5.4 cm x 14.5 cm;RESERVE 1 album</t>
  </si>
  <si>
    <t>Railcar at unidentified location.</t>
  </si>
  <si>
    <t>b20906043</t>
  </si>
  <si>
    <t>Photograph (b&amp;w print)  14.2 cm x 20.3 cm;RESERVE 1 album</t>
  </si>
  <si>
    <t>View of rail yards at Murray Bridge wharf.</t>
  </si>
  <si>
    <t>b20906055</t>
  </si>
  <si>
    <t>Photograph (b&amp;w print)  8.5 cm x 15.2 cm;RESERVE 1 album</t>
  </si>
  <si>
    <t>View of rail siding and wheat silo at unknown location.</t>
  </si>
  <si>
    <t>b20906067</t>
  </si>
  <si>
    <t>Photograph (b&amp;w print)  6 cm x 15 cm;RESERVE 1 album</t>
  </si>
  <si>
    <t>V &amp; SA sleeping car 'Barwon'.</t>
  </si>
  <si>
    <t>b20906079</t>
  </si>
  <si>
    <t>Photograph (b&amp;w print)  7 cm x 14.1 cm;RESERVE 1 album</t>
  </si>
  <si>
    <t>Fuel oil tank on rolling stock.</t>
  </si>
  <si>
    <t>b20906080</t>
  </si>
  <si>
    <t>Photograph (b&amp;w print)  15.3 cm x 10.7 cm;RESERVE 1 album</t>
  </si>
  <si>
    <t>Rail crane moving an object.</t>
  </si>
  <si>
    <t>b20906092</t>
  </si>
  <si>
    <t>Photograph (b&amp;w print)  11.3 cm x 10.8 cm;RESERVE 1 album</t>
  </si>
  <si>
    <t>Overhead view of a carriage transporting elephants from Wirth's Circus (at Adelaide).</t>
  </si>
  <si>
    <t>b20906109</t>
  </si>
  <si>
    <t>Photograph (b&amp;w print)  8.3 cm x 15.5 cm;RESERVE 1 album</t>
  </si>
  <si>
    <t>Wirth's Circus train at Adelaide Station.</t>
  </si>
  <si>
    <t>b20906110</t>
  </si>
  <si>
    <t>Photograph (b&amp;w print)  10 cm x 13.5 cm;RESERVE 1 album</t>
  </si>
  <si>
    <t>Mount Gambier-Naracoorte SAR passenger service bus.</t>
  </si>
  <si>
    <t>b20906122</t>
  </si>
  <si>
    <t>Goods railcar at unidentified location.</t>
  </si>
  <si>
    <t>b20906134</t>
  </si>
  <si>
    <t>Photograph (b&amp;w print)  8.3 cm x 14 cm;RESERVE 1 album</t>
  </si>
  <si>
    <t>RX class locomotive with accident crane at Mile End yards.</t>
  </si>
  <si>
    <t>b20906146</t>
  </si>
  <si>
    <t>Photograph (b&amp;w print)  7 cm x 15.2 cm;RESERVE 1 album</t>
  </si>
  <si>
    <t>View of an extremely large piece of equipment on a train at an unidentified location.</t>
  </si>
  <si>
    <t>b20906158</t>
  </si>
  <si>
    <t>Photograph (b&amp;w print)  7 cm x 12.8 cm;RESERVE 1 album</t>
  </si>
  <si>
    <t>V &amp; SA sleeping car from 'The Overland' train.</t>
  </si>
  <si>
    <t>b2090616x</t>
  </si>
  <si>
    <t>Photograph (b&amp;w print)  13.5 cm x 20.3 cm;RESERVE 1 album</t>
  </si>
  <si>
    <t>b20906171</t>
  </si>
  <si>
    <t>Photograph (b&amp;w print)  7.5 cm x 12.7 cm;RESERVE 1 album</t>
  </si>
  <si>
    <t>Grain-carrying railcar at unidentified location.</t>
  </si>
  <si>
    <t>b20906183</t>
  </si>
  <si>
    <t>b20906195</t>
  </si>
  <si>
    <t>Photograph (b&amp;w print)  10.6 cm x 15.3 cm;RESERVE 1 album</t>
  </si>
  <si>
    <t>Goods train at unidentified location, carrying car bodies.</t>
  </si>
  <si>
    <t>b20906201</t>
  </si>
  <si>
    <t>Adelaide station yard, just west of Morphett Street bridge.</t>
  </si>
  <si>
    <t>b20906213</t>
  </si>
  <si>
    <t>Photograph (b&amp;w print)  9.5 cm x 15.4 cm;RESERVE 1 album</t>
  </si>
  <si>
    <t>Adelaide carriage yards west of Morphett Street bridge.</t>
  </si>
  <si>
    <t>b20906225</t>
  </si>
  <si>
    <t>Photograph (b&amp;w print)  10.7 cm x 15.5 cm;RESERVE 1 album</t>
  </si>
  <si>
    <t>View of a T class narrow guage locomotive on a transporter known as 'Crocodile'.</t>
  </si>
  <si>
    <t>b20906237</t>
  </si>
  <si>
    <t>Photograph (b&amp;w print)  7.2 cm x 13 cm;RESERVE 1 album</t>
  </si>
  <si>
    <t>Equipment on a railcar.</t>
  </si>
  <si>
    <t>b20906249</t>
  </si>
  <si>
    <t>Old guard's carriage at unidentified location.</t>
  </si>
  <si>
    <t>b20906250</t>
  </si>
  <si>
    <t>Photograph (b&amp;w print)  10.4 cm x 14.7 cm;RESERVE 1 album</t>
  </si>
  <si>
    <t>Old passenger train at unidentified location, with the dining car closest to the camera.</t>
  </si>
  <si>
    <t>b20906262</t>
  </si>
  <si>
    <t>Photograph (b&amp;w print)  10.2 cm x 15 cm;RESERVE 1 album</t>
  </si>
  <si>
    <t>View of 300 Class garratts in a rail yard at unidentified location, possibly Peterborough.</t>
  </si>
  <si>
    <t>b20906274</t>
  </si>
  <si>
    <t>b20906286</t>
  </si>
  <si>
    <t>Photograph (b&amp;w print)  9.8 cm x 15 cm;RESERVE 1 album</t>
  </si>
  <si>
    <t>An assortment of rolling stock at  the southern end of Islington Workshops.</t>
  </si>
  <si>
    <t>b20906298</t>
  </si>
  <si>
    <t>Photograph (b&amp;w print)  7.7 cm x 15.4 cm;RESERVE 1 album</t>
  </si>
  <si>
    <t>An old tram carriage being towed by a car on rails. A researcher has identified this photograph as Victor Harbor horse tram number 5 or 6 being towed by a Motor Inspection Car.</t>
  </si>
  <si>
    <t>b20906304</t>
  </si>
  <si>
    <t>Photograph (b&amp;w print)  9.5 cm x 18.8 cm;RESERVE 1 album</t>
  </si>
  <si>
    <t>View of trains at an unidentified rail yard.</t>
  </si>
  <si>
    <t>b20906316</t>
  </si>
  <si>
    <t>Photograph (b&amp;w print)  7.6 cm x 12.8 cm;RESERVE 1 album</t>
  </si>
  <si>
    <t>Close-up of tender.</t>
  </si>
  <si>
    <t>b20906328</t>
  </si>
  <si>
    <t>Photograph (b&amp;w print)  7.8 cm x 10.1 cm;RESERVE 1 album</t>
  </si>
  <si>
    <t>View of train derailment.</t>
  </si>
  <si>
    <t>Railroads -- South Australia -- Trains;Railroad accidents -- South Australia</t>
  </si>
  <si>
    <t>b2090633x</t>
  </si>
  <si>
    <t>Photograph (b&amp;w print)  6.7 cm x 12.8 cm;RESERVE 1 album</t>
  </si>
  <si>
    <t>View of train derailment - railcar being winched up.</t>
  </si>
  <si>
    <t>b20906341</t>
  </si>
  <si>
    <t>Photograph (b&amp;w print)  6.5 cm x 12.5 cm;RESERVE 1 album</t>
  </si>
  <si>
    <t>b20906353</t>
  </si>
  <si>
    <t>Photograph (b&amp;w print)  8 cm x 12 cm;RESERVE 1 album</t>
  </si>
  <si>
    <t>b20906365</t>
  </si>
  <si>
    <t>b20906377</t>
  </si>
  <si>
    <t>b20906389</t>
  </si>
  <si>
    <t>Photograph (b&amp;w print)  7.7 cm x 12.7 cm;RESERVE 1 album</t>
  </si>
  <si>
    <t>View of salvage operations at a train derailment.</t>
  </si>
  <si>
    <t>b20906390</t>
  </si>
  <si>
    <t>Photograph (b&amp;w print)  7.8 cm x 12.7 cm;RESERVE 1 album</t>
  </si>
  <si>
    <t>A 2nd class, non-smoking passenger brake van.</t>
  </si>
  <si>
    <t>b20906912</t>
  </si>
  <si>
    <t>An assortment of rolling stock at an unidentified rail yard. [Identified as 'Early breakdown crane and ancillary wagons at Peterborough locomotive depot' by W. Hoskin.] According to another resercher, 'the crane was manufactured by Cowans, Sheldon of Carlisle in the 1880s or 1890s. The crane is chain roped, and fitted with derricking poles, typical for an early machine. Note the florid style of works plate typical for that firm.'</t>
  </si>
  <si>
    <t>b20906936</t>
  </si>
  <si>
    <t>Railway transport: Locomotives and rolling stock 5'3"</t>
  </si>
  <si>
    <t>Photograph (b&amp;w print)  8.1 cm x 15.3 cm;RESERVE 1 album</t>
  </si>
  <si>
    <t>View of 2 passenger carriages at an unidentified location.</t>
  </si>
  <si>
    <t>b20906961</t>
  </si>
  <si>
    <t>Railway transport: Locomotives and rolling stock 3'6" narrow gauge</t>
  </si>
  <si>
    <t>Photograph (b&amp;w print)  11 cm x 14.7 cm;RESERVE 1 album</t>
  </si>
  <si>
    <t>Narrow gauge Yx class engine at Islington workshop, with Australian Standard front water tank behind.</t>
  </si>
  <si>
    <t>b20906985</t>
  </si>
  <si>
    <t>An assortment of rolling stock at an unidentified rail yard. [Identified as 'Breakdown crane at Peterborough locomotive depot' by W. Hoskin.] According to another researcher, the crane was built by Industrial Works, Bay City, Michigan, in 1905. (Steel underframe, converted to broad gauge in 1923, with road number 3979, and reconverted to narrow gauge in 1928 and numbered 3321 again. Originally only handbraked, but later air braked as well. Also converted from link coupler and buffers to centre coupling at some stage. Withdrawal not known.)</t>
  </si>
  <si>
    <t>b20906997</t>
  </si>
  <si>
    <t>Photograph (b&amp;w print)  7.3 cm x 12.7 cm;RESERVE 1 album</t>
  </si>
  <si>
    <t>Narrow gauge engine. A view of the Baby Health Centre Car (No. 2) at an unidentified location. This car was known to be converted from the Long Tom passsenger car.</t>
  </si>
  <si>
    <t>b2090700x</t>
  </si>
  <si>
    <t>Photograph (b&amp;w print)  9.4 cm x 15 cm;RESERVE 1 album</t>
  </si>
  <si>
    <t>Narrow gauge engine "T class" No. 48 with another engine behind with goods carriages at an unidentified location. [Identified as 'Coal train from Leigh Creek departing Quorn bound for Peterborough' by W. Hoskin.]. A reseacher indicates that all coal mined at Leigh Creek was transported by rail to Port Augusta for electricity generation.</t>
  </si>
  <si>
    <t>Railroads -- South Australia -- Trains;Railroads -- South Australia -- Mid-North Region;Coal -- Transportation -- South Australia -- Mid-North Region</t>
  </si>
  <si>
    <t>b20907011</t>
  </si>
  <si>
    <t>Railway transport: Locomotives and rolling stock 3'6" narrrow gauge</t>
  </si>
  <si>
    <t>Narrow gauge engine No. 217 at an unidentified rail yard, there are other engines next to and behind it. [Identified as '"T" 217 and "NM" 17 at Quorn locomotive depot' by W. Hoskin'.]</t>
  </si>
  <si>
    <t>Railroads -- South Australia -- Quorn -- Trains;Railroad yards -- South Australia -- Quorn</t>
  </si>
  <si>
    <t>b20907023</t>
  </si>
  <si>
    <t>Photograph (b&amp;w print)  11 cm x 19.2 cm;RESERVE 1 album</t>
  </si>
  <si>
    <t>Narrow 3'6" gauge engine Nos 301 and 197 at an unidentified rail yard. [Identified as 'ASG Garratt 301 and "T" class 197 at Peterborough ' by W. Hoskin.]</t>
  </si>
  <si>
    <t>Railroads -- South Australia -- Trains;Railroads -- South Australia -- Peterborough;Railroad yards -- South Australia</t>
  </si>
  <si>
    <t>b20907035</t>
  </si>
  <si>
    <t>Photograph (b&amp;w print)  6.7 cm x 12.6 cm;RESERVE 1 album</t>
  </si>
  <si>
    <t>Narrow gauge locomotive esngines at an unidentified location. [Identified as 'Silverton Tramway "Y" class and SAR "V" class (roundhouse rat) at Peterborough loco depot' by W. Hoskin.]</t>
  </si>
  <si>
    <t>b20907047</t>
  </si>
  <si>
    <t>Photograph (b&amp;w print)  7.3 cm x 12.8 cm;RESERVE 1 album</t>
  </si>
  <si>
    <t>An assortment of rolling stock at an unidentified rail yard, including a Pre Mansard roof SAR narrow gauge short Tom passenger car, at Peterborough. This car used to form part of the narrow gauge breakdown train, stationed at Peterborough.</t>
  </si>
  <si>
    <t>b20907059</t>
  </si>
  <si>
    <t>Railway transport: Locomotives and rolling stock 3'6" varrow gauge</t>
  </si>
  <si>
    <t>Photograph (b&amp;w print)  7.5 cm x 12.8 cm;RESERVE 1 album</t>
  </si>
  <si>
    <t>An assortment of rolling stock at an unidentified rail yard. [Identified as '"V" class engine (roundhouse rat) in front of coal grab at Peterborough locomotive depot' by W. Hoskin.]</t>
  </si>
  <si>
    <t>b20907072</t>
  </si>
  <si>
    <t>Photograph (b&amp;w print)  7.3 cm x 12.6 cm;RESERVE 1 album</t>
  </si>
  <si>
    <t>SAR passenger car 487 and goods carriage at unidentified location. Narrow gauge Brill 75 class railcar 487 pulling a baggage van. This is likely to be the Eyre Peninsula system as it is known the baggage van was restricted to that system.</t>
  </si>
  <si>
    <t>b20907084</t>
  </si>
  <si>
    <t>Photograph (b&amp;w print)  8.7 cm x 15.2 cm;RESERVE 1 album</t>
  </si>
  <si>
    <t>Engine no.301 at unidentified location.</t>
  </si>
  <si>
    <t>b20907096</t>
  </si>
  <si>
    <t>Locomotives and rolling stock 3'6" narrow gauge. Two "T" class and "300" class engines and ASG Garratt at Peterborough.</t>
  </si>
  <si>
    <t>b20907102</t>
  </si>
  <si>
    <t>Photograph (b&amp;w print)  9.2 cm x 15.5 cm;RESERVE 1 album</t>
  </si>
  <si>
    <t>Passenger train at Port Pirie, seen from the foot bridge over the junction. [W. Hoskin believes it is a 'Narrow gauge Brill Railcar and 2 short tom carriages departing Solomontown Junction (Port Pirie), bound for Peterborough'.] It has also been described as a 'Narrow gauge Brill 75 class railcar no 104 hauling two short tom passenger cars out of Port Pirie.'</t>
  </si>
  <si>
    <t>b20907126</t>
  </si>
  <si>
    <t>Photograph (b&amp;w print)  9.4 cm x 15.5 cm;RESERVE 1 album</t>
  </si>
  <si>
    <t>A 3'6" T class locomotive arriving at Port Pirie Junction, named Solomontown railway station, with an ore train from Broken Hill. A 3'6" 75 class railcar and brakevan are in view in the distance.</t>
  </si>
  <si>
    <t>Railroads -- South Australia -- Solomontown -- Trains;Railroads -- South Australia -- Solomontown</t>
  </si>
  <si>
    <t>b20907138</t>
  </si>
  <si>
    <t>Railway transport: VR</t>
  </si>
  <si>
    <t>Goods wagon carrying a sign reading 'Fresh meat traffiq ... hooks'.</t>
  </si>
  <si>
    <t>b2090714x</t>
  </si>
  <si>
    <t>Photograph (b&amp;w print)  10.7 cm x 7.8 cm;RESERVE 1 album</t>
  </si>
  <si>
    <t>End of goods wagon, probably the same carriage featured in B 58892/500.</t>
  </si>
  <si>
    <t>b20907151</t>
  </si>
  <si>
    <t>Photograph (b&amp;w print)  8 cm x 13.2 cm;RESERVE 1 album</t>
  </si>
  <si>
    <t>Engine no.945 at unidentified location.</t>
  </si>
  <si>
    <t>b20907163</t>
  </si>
  <si>
    <t>Railway transport: Signals</t>
  </si>
  <si>
    <t>Photograph (b&amp;w print)  11.5 cm x 11.2 cm;RESERVE 1 album</t>
  </si>
  <si>
    <t>Triple signal in Port Adelaide locomotive depot area.</t>
  </si>
  <si>
    <t>Railroads -- South Australia -- Signals</t>
  </si>
  <si>
    <t>b20907175</t>
  </si>
  <si>
    <t>Photograph (b&amp;w print)  12 cm x 11.7 cm;RESERVE 1 album</t>
  </si>
  <si>
    <t>Triple signal and single signal in Port Adelaide locomotive depot.</t>
  </si>
  <si>
    <t>b20907187</t>
  </si>
  <si>
    <t>Photograph (b&amp;w print)  15.5 cm x 8.6 cm;RESERVE 1 album</t>
  </si>
  <si>
    <t>Single signal mounted on wooden post.</t>
  </si>
  <si>
    <t>b20907199</t>
  </si>
  <si>
    <t>Photograph (b&amp;w print)  11.6 cm x 11.4 cm;RESERVE 1 album</t>
  </si>
  <si>
    <t>Double signal in Port Adelaide locomotive depot.</t>
  </si>
  <si>
    <t>b20907205</t>
  </si>
  <si>
    <t>Photograph (b&amp;w print)  12 cm x 11.4 cm;RESERVE 1 album</t>
  </si>
  <si>
    <t>b20907552</t>
  </si>
  <si>
    <t>Photograph (b&amp;w print)  9 cm x 14.9 cm;RESERVE 1 album</t>
  </si>
  <si>
    <t>Narrow gauge Commonwealth Railways "NM 34" engine and crew at unidentified country location.</t>
  </si>
  <si>
    <t>b20907576</t>
  </si>
  <si>
    <t>Photograph (b&amp;w print)  7.7 cm x 12.5 cm;RESERVE 1 album</t>
  </si>
  <si>
    <t>DE 90 engine at unknown location.</t>
  </si>
  <si>
    <t>b20907588</t>
  </si>
  <si>
    <t>Photograph (b&amp;w print)  10.4 cm x 15.5 cm;RESERVE 1 album</t>
  </si>
  <si>
    <t>Engine at a workshop, which a researcher believes at the Quorn Loco depot.</t>
  </si>
  <si>
    <t>Railroads -- South Australia -- Trains;Railroads -- South Australia -- Quorn</t>
  </si>
  <si>
    <t>Album Collection;Railway Transport Collection;Quorn Collection</t>
  </si>
  <si>
    <t>b2090762x</t>
  </si>
  <si>
    <t>Photograph (b&amp;w print)  7.2 cm x 13.2 cm;RESERVE 1 album</t>
  </si>
  <si>
    <t>CN 77 at unknown location.</t>
  </si>
  <si>
    <t>b20907631</t>
  </si>
  <si>
    <t>Photograph (b&amp;w print)  6.2 cm x 13.2 cm;RESERVE 1 album</t>
  </si>
  <si>
    <t>Engine at unknown location.</t>
  </si>
  <si>
    <t>b20907643</t>
  </si>
  <si>
    <t>Photograph (b&amp;w print)  5.7 cm x 12.7 cm;RESERVE 1 album</t>
  </si>
  <si>
    <t>b20907655</t>
  </si>
  <si>
    <t>Photograph (b&amp;w print)  7.5 cm x 13 cm;RESERVE 1 album</t>
  </si>
  <si>
    <t>b20907667</t>
  </si>
  <si>
    <t>Photograph (b&amp;w print)  7.4 cm x 13 cm;RESERVE 1 album</t>
  </si>
  <si>
    <t>A researcher believes this to be at Port Pirie Junction with a West bound Trans Australian Express before the air conditioned trains arrived.</t>
  </si>
  <si>
    <t>Album Collection;Railway Transport Collection;Port Pirie Collection</t>
  </si>
  <si>
    <t>b20907679</t>
  </si>
  <si>
    <t>Photograph (b&amp;w print)  6 cm x 13 cm;RESERVE 1 album</t>
  </si>
  <si>
    <t>Narrow gauge Commonwealth Railways "NM" class engine, at unknown location.</t>
  </si>
  <si>
    <t>b20907680</t>
  </si>
  <si>
    <t>Railway transport: Commonwealth Railways GM2 diesel locomotive</t>
  </si>
  <si>
    <t>Photograph (b&amp;w print)  7.1 cm x 13.2 cm;RESERVE 1 album</t>
  </si>
  <si>
    <t>Engine believed to be parked at Port Pirie in the Commonwealth Railways car barn area,according to a researcher, 'as it is the only place you would find a South Australian Railways Steel Car and a GM would be in the same place within the time frame of 1951. Possibly GM2 is going to work its first train for the Commonwealth Railways out of Port Pirie'.</t>
  </si>
  <si>
    <t>b21198536</t>
  </si>
  <si>
    <t>Opening the new wing</t>
  </si>
  <si>
    <t>Photograph (copy print)  13.1 cm x 20.7 cm</t>
  </si>
  <si>
    <t>View of the newly completed Nurses' Quarters at the Adelaide Children's Hospital, with the cottage that had previously served that function beside it. Taken from Kermode Street.</t>
  </si>
  <si>
    <t>Adelaide Children's Hospital;Hospitals -- South Australia -- Adelaide</t>
  </si>
  <si>
    <t>b21214232</t>
  </si>
  <si>
    <t>Advertiser Newspapers, photographer</t>
  </si>
  <si>
    <t>Group of men examining Sturt's flag</t>
  </si>
  <si>
    <t>Photograph  15.5 cm x 20.5 cm</t>
  </si>
  <si>
    <t>Justice Abbott, C.M. Hambidge, Sir Howard Lloyd and Mr Parker looking at Charles Sturt's flag used when Sturt's expedition entered the River Murray. A fragment of Sturt's boat is lying across another flag in the photograph, possibly the one carried opn the Central Australia expedition. These items were brought back to Australia by Sturt's great-grandson Anthony Napier Sturt in 1951, the first time a Charles Sturt descendant had visited Australia since the family left for England in 1853. The flag was lent to the Art Gallery of South Australia. (See 'The Advertiser' 6 January 1951: 'Family Treasures Relics of Sturt's Historic Trip'.).</t>
  </si>
  <si>
    <t>Flags -- South Australia -- Adelaide</t>
  </si>
  <si>
    <t>Charles Sturt Memorial Museum Trust Collection</t>
  </si>
  <si>
    <t>b21214244</t>
  </si>
  <si>
    <t>Royal Geographical Society of Australasia. South Australian Branch, photographer</t>
  </si>
  <si>
    <t>Captain Charles Sturt's flag</t>
  </si>
  <si>
    <t>Photograph  17.5 cm x 14 cm</t>
  </si>
  <si>
    <t>Captain Charles Sturt's Union Jack which he unfurled when the Murrumbidgee River carried his boat into the river he named the Murray on 14 January 1830.</t>
  </si>
  <si>
    <t>Sturt, Charles, 1795-1869 -- Relics;Flags -- South Australia -- Adelaide</t>
  </si>
  <si>
    <t>b21258326</t>
  </si>
  <si>
    <t>Clearing heavy timber at Keppock</t>
  </si>
  <si>
    <t>'Start of a run through heavy timber at Keppock, 1951' showing some of the vegetation which has been flattened.</t>
  </si>
  <si>
    <t>b21258338</t>
  </si>
  <si>
    <t>'Bulldozing soldier settlement block at Keppock'</t>
  </si>
  <si>
    <t>A bulldozer at work clearing land for soldier settlement blocks at Keppock, 1951.</t>
  </si>
  <si>
    <t>b2125834x</t>
  </si>
  <si>
    <t>'D7s logging at Keppock'</t>
  </si>
  <si>
    <t>D7 bulldozers clearing land for soldier settlement blocks at Keppock'.</t>
  </si>
  <si>
    <t>b21258351</t>
  </si>
  <si>
    <t>Jeff Wright at Keppock</t>
  </si>
  <si>
    <t>Jeff Wright operating the D7 bulldozer at Keppock, 1951.</t>
  </si>
  <si>
    <t>b21258363</t>
  </si>
  <si>
    <t>R4 bulldozers</t>
  </si>
  <si>
    <t>Two R4 bulldozers working a partially cleared area of land at Keppock.</t>
  </si>
  <si>
    <t>b21258375</t>
  </si>
  <si>
    <t>D7 tractors pulling timber</t>
  </si>
  <si>
    <t>Two D7 tractors pulling timber at Keepock, 1951.</t>
  </si>
  <si>
    <t>b21258387</t>
  </si>
  <si>
    <t>'Scrub clearing at Keppock with Caterpillar D7 tractors, 1951'.</t>
  </si>
  <si>
    <t>b31224568</t>
  </si>
  <si>
    <t>Alkali products float</t>
  </si>
  <si>
    <t>1 photograph : black and white   20.2 x 25.4 cm;RESERVE 1 a;still image sti rdacontent;unmediated n rdamedia;sheet nb rdacarrier</t>
  </si>
  <si>
    <t>Imperial Chemical Industries Alkali Products float in Rundle Mall, with a large crowd looking on.</t>
  </si>
  <si>
    <t>Imperial Chemical Industries.;Pageants -- South Australia -- Adelaide.</t>
  </si>
  <si>
    <t>Osborne Collection</t>
  </si>
  <si>
    <t>b31381480</t>
  </si>
  <si>
    <t>City of Adelaide Municipal Band</t>
  </si>
  <si>
    <t>1951 February 12</t>
  </si>
  <si>
    <t>1 photograph : black and white   8.8 x 6.3 cm;RESERVE 1 a;still image sti rdacontent;unmediated n rdamedia;sheet nb rdacarrier</t>
  </si>
  <si>
    <t>The City of Adelaide Municipal Band leading the Sturt Murray River Exploration reenactment parade, Victoria Square, February 12, 1951. This photograph, and subsequent photographs, were taken from either the roof or a window of the Treasury Building (corner of King William Street and Flinders Street).</t>
  </si>
  <si>
    <t>Sturt, Charles, 1795-1869 -- Journeys -- Anniversaries, etc;Brass bands -- South Australia -- Adelaide;Historical reenactments -- South Australia -- Adelaide;Murray River (N.S.W.-S.A.) -- Discovery and exploration;Victoria Square (Adelaide, S.A.)</t>
  </si>
  <si>
    <t>b31388899</t>
  </si>
  <si>
    <t>Mounted police</t>
  </si>
  <si>
    <t>Heavily bearded mounted police, Sturt Murray River Exploration reenactment parade, Victoria Square, February 12, 1951.</t>
  </si>
  <si>
    <t>Sturt, Charles, 1795-1869 -- Journeys -- Anniversaries, etc;Historical reenactments -- South Australia -- Adelaide;Mounted police -- South Australia -- Adelaide;Murray River (N.S.W.-S.A.) -- Discovery and exploration;Victoria Square (Adelaide, S.A.)</t>
  </si>
  <si>
    <t>b31388978</t>
  </si>
  <si>
    <t>Whaleboat mounted on a wagon</t>
  </si>
  <si>
    <t>Two horses pulling a whaleboat on a waggon during the Sturt Murray River Exploration reenactment parade, Victoria Square, February 12, 1951.</t>
  </si>
  <si>
    <t>Sturt, Charles, 1795-1869 -- Journeys -- Anniversaries, etc;Historical reenactments -- South Australia -- Adelaide;Whaleboats;Murray River (N.S.W.-S.A.) -- Discovery and exploration;Victoria Square (Adelaide, S.A.)</t>
  </si>
  <si>
    <t>b31388991</t>
  </si>
  <si>
    <t>Whaleboat at Victoria Square</t>
  </si>
  <si>
    <t>Whaleboat on a waggon during the Sturt Murray River Exploration reenactment parade, Victoria Square, February 12, 1951. 'Adelaide Municipal Band and heavily bearded mounted police led the whaleboat mounted on a waggon through the city to the Sturt statue, where the members of the expedition were introduced to the official party. In brilliant colored shirts and military uniforms the bearded crew looked their parts.' [Source: 'Advertiser', 13 February 1951].</t>
  </si>
  <si>
    <t>b31389107</t>
  </si>
  <si>
    <t>Crowds watching reenactment</t>
  </si>
  <si>
    <t>Crowds in Victoria Square watching a horse drawn carriage parade past them. The occupants of the vehicle are dressed in period costume.</t>
  </si>
  <si>
    <t>Sturt, Charles, 1795-1869 -- Journeys -- Anniversaries, etc;Historical reenactments -- South Australia -- Adelaide;Murray River (N.S.W.-S.A.) -- Discovery and exploration;Victoria Square (Adelaide, S.A.)</t>
  </si>
  <si>
    <t>b31389338</t>
  </si>
  <si>
    <t>Cavalcade of carriages</t>
  </si>
  <si>
    <t>A line of horse drawn vehicles parade past crowds in Victoria Square. A tram is also travelling through the Square in the opposite direction.</t>
  </si>
  <si>
    <t>b3138934x</t>
  </si>
  <si>
    <t>Horse drawn carriages and trams</t>
  </si>
  <si>
    <t>Horse drawn vehicles, watched by crowds of people, file past trams in Victoria Square during the historical reenactment of Charles Sturt's expedition of exploration.</t>
  </si>
  <si>
    <t>b31389351</t>
  </si>
  <si>
    <t>Crowds in Victoria Square</t>
  </si>
  <si>
    <t>Crowds gather near the Charles Sturt statue in Victoria Square during the reenactment of Sturt's expedition of exploration.</t>
  </si>
  <si>
    <t>b20907060</t>
  </si>
  <si>
    <t>approximately 1951</t>
  </si>
  <si>
    <t>Fageol railcar 110 at the passenger platform at the Port Lincoln railway station. 'Minnipa' on the sign on side of railcar is its destination [Identified as a 'Fageol railcar on a Port Lincoln to Minnipa passenger service' by W. Hoskin &amp; Les Walter.]</t>
  </si>
  <si>
    <t>Album Collection;Port Lincoln Collection</t>
  </si>
  <si>
    <t>b20182946</t>
  </si>
  <si>
    <t>Alberga. Cattle Train</t>
  </si>
  <si>
    <t>Photograph (b&amp;w print)  9.5 cm x 15.3 cm;C1;302</t>
  </si>
  <si>
    <t>Cattle train stationary allowing cattle to jump out on to Macumber Station.</t>
  </si>
  <si>
    <t>Cattle -- South Australia -- Alberga;Railroads -- South Australia -- Alberga -- Trains</t>
  </si>
  <si>
    <t>Alberga Collection</t>
  </si>
  <si>
    <t>b20182958</t>
  </si>
  <si>
    <t>Photograph (b&amp;w print)  9.5 cm x 15.3 cm;C1</t>
  </si>
  <si>
    <t>Cattle for Macumber Station jumping out of their train.</t>
  </si>
  <si>
    <t>b2018296x</t>
  </si>
  <si>
    <t>b20182971</t>
  </si>
  <si>
    <t>Dead steer caused by jumping out of a cattle train amongst a delivery for Macumber Station.</t>
  </si>
  <si>
    <t>b20194791</t>
  </si>
  <si>
    <t>Photograph (b&amp;w print)  15.5 cm x 21.2 cm;C1</t>
  </si>
  <si>
    <t>An Imperial Header at work during the harvest at Balaklava.</t>
  </si>
  <si>
    <t>Agricultural machinery -- South Australia -- Balaklava;Harvesting -- South Australia -- Balaklava</t>
  </si>
  <si>
    <t>BALAKLAVA Collection</t>
  </si>
  <si>
    <t>b20194808</t>
  </si>
  <si>
    <t>Harvesting a 30 bushel crop, using an Imperial Header at Balaklava.</t>
  </si>
  <si>
    <t>b20196106</t>
  </si>
  <si>
    <t>Barossa Reservoir</t>
  </si>
  <si>
    <t>Photograph (b&amp;w print)  11.9 cm x 13 cm;C1</t>
  </si>
  <si>
    <t>Showing the Reservoir approx. 993 million galls of water ( completed in 1902).</t>
  </si>
  <si>
    <t>Reservoirs -- South Australia -- Barossa Valley</t>
  </si>
  <si>
    <t>Barossa Collection</t>
  </si>
  <si>
    <t>b20204565</t>
  </si>
  <si>
    <t>Sunbeam House, Brighton</t>
  </si>
  <si>
    <t>Photograph  10.5 cm x 8 cm</t>
  </si>
  <si>
    <t>Sunbeam House, belonging to Minda Home, Brighton.</t>
  </si>
  <si>
    <t>Minda Home (Brighton, S.A.) -- Buildings</t>
  </si>
  <si>
    <t>b20204577</t>
  </si>
  <si>
    <t>Photograph  13.6 cm x 9.4 cm</t>
  </si>
  <si>
    <t>b20221137</t>
  </si>
  <si>
    <t>Football premiers.</t>
  </si>
  <si>
    <t>b20227644</t>
  </si>
  <si>
    <t>Eagle on the Hill</t>
  </si>
  <si>
    <t>Photograph  21.4 cm x 16.1 cm</t>
  </si>
  <si>
    <t>Widening operations on the Mt. Barker road near Eagle on the Hill Hotel December 18, 1952. The hotel in the background was opened in 1853</t>
  </si>
  <si>
    <t>Roads -- South Australia -- Eagle on the Hill -- Design and construction</t>
  </si>
  <si>
    <t>Eagle on the Hill Collection</t>
  </si>
  <si>
    <t>b20227656</t>
  </si>
  <si>
    <t>Photograph 21.4 cm x 16.1 cm</t>
  </si>
  <si>
    <t>Widening operations on the Mt. Barker road near Eagle on the Hill Hotel  December 18, 1952. The hotel in the background was opened in 1853</t>
  </si>
  <si>
    <t>b20227668</t>
  </si>
  <si>
    <t>b2022767x</t>
  </si>
  <si>
    <t>Widening operations on the Mt. Barker road near Eagle on the Hill Hotel, December 18, 1952. A bus from the Mount Barker Passenger Bus Service is passing</t>
  </si>
  <si>
    <t>b20227681</t>
  </si>
  <si>
    <t>Widening operations on the Mt. Barker road near Eagle on the Hill Hotel, December 18, 1952</t>
  </si>
  <si>
    <t>b20227693</t>
  </si>
  <si>
    <t>Widening operations on the Mt. Barker road near Eagle on the Hill Hotel, December 18, 1952. The hotel in the background was opened in 1853</t>
  </si>
  <si>
    <t>b2022770x</t>
  </si>
  <si>
    <t>Pqotograph  21.4 cm x 16.1 cm</t>
  </si>
  <si>
    <t>Widening operations on the Mt. Barker road near Eagle on the Hill Hotel,  December 18, 1952. The hotel in the background was opened in 1853</t>
  </si>
  <si>
    <t>b20230011</t>
  </si>
  <si>
    <t>Photograph  24.5 cm x 18 cm</t>
  </si>
  <si>
    <t>St. Mary's Church interior.</t>
  </si>
  <si>
    <t>St. Mary's Church (Edwardstown, S.A.)</t>
  </si>
  <si>
    <t>b20250198</t>
  </si>
  <si>
    <t>Fire station, Jamestown</t>
  </si>
  <si>
    <t>Photograph  16 cm x 12 cm</t>
  </si>
  <si>
    <t>Fire station, appliance and crew at Jamestown.</t>
  </si>
  <si>
    <t>Fire fighters -- South Australia -- Jamestown;Fire engines -- South Australia -- Jamestown</t>
  </si>
  <si>
    <t>Jamestown Collection</t>
  </si>
  <si>
    <t>b20254313</t>
  </si>
  <si>
    <t>Public School, Hahndorf</t>
  </si>
  <si>
    <t>Public School at Hahndorf.</t>
  </si>
  <si>
    <t>Schools -- South Australia -- Hahndorf</t>
  </si>
  <si>
    <t>Hahndorf Collection</t>
  </si>
  <si>
    <t>b2025443x</t>
  </si>
  <si>
    <t>St. Michael's Lutheran School</t>
  </si>
  <si>
    <t>St. Michael's Lutheran School at Hahndorf.</t>
  </si>
  <si>
    <t>b20254465</t>
  </si>
  <si>
    <t>Hahndorf College</t>
  </si>
  <si>
    <t>Hahndorf College.</t>
  </si>
  <si>
    <t>b20254477</t>
  </si>
  <si>
    <t>Post Office, Hahndorf</t>
  </si>
  <si>
    <t>Hahndorf Post Office.</t>
  </si>
  <si>
    <t>b20254489</t>
  </si>
  <si>
    <t>Hahndorf Institute</t>
  </si>
  <si>
    <t>Hahndorf Institute.</t>
  </si>
  <si>
    <t>b20254556</t>
  </si>
  <si>
    <t>Chemist Shop, Hahndorf</t>
  </si>
  <si>
    <t>Hahndorf Chemist Shop.</t>
  </si>
  <si>
    <t>Chemists -- South Australia -- Hahndorf</t>
  </si>
  <si>
    <t>b20254611</t>
  </si>
  <si>
    <t>Bakery, Hahndorf</t>
  </si>
  <si>
    <t>Premises of E.G.D.Smith, Baker and Grocer at Hahndorf.</t>
  </si>
  <si>
    <t>Smith, E. G. D.;Bakeries -- South Australia -- Hahndorf</t>
  </si>
  <si>
    <t>b20254623</t>
  </si>
  <si>
    <t>Draper's Store, Hahndorf</t>
  </si>
  <si>
    <t>Premises of W.V.Zadow, Draper at Hahndorf.</t>
  </si>
  <si>
    <t>Stores, Retail -- South Australia -- Hahndorf</t>
  </si>
  <si>
    <t>b20254647</t>
  </si>
  <si>
    <t>Hotel Ambleside, Hahndorf</t>
  </si>
  <si>
    <t>Hotel Ambleside at Hahndorf.</t>
  </si>
  <si>
    <t>Hotels -- South Australia -- Hahndorf</t>
  </si>
  <si>
    <t>b20254659</t>
  </si>
  <si>
    <t>Union Hotel, Hahndorf</t>
  </si>
  <si>
    <t>Union Hotel at Hahndorf, now the "Hahndorf Inn".</t>
  </si>
  <si>
    <t>Union Hotel (Hahndorf, S.A.);Hotels -- South Australia -- Hahndorf</t>
  </si>
  <si>
    <t>b20258124</t>
  </si>
  <si>
    <t>Lockett, M., photographer</t>
  </si>
  <si>
    <t>Albert Namatjira</t>
  </si>
  <si>
    <t>Albert Namatjira painting at Hermannsburg Mission, April 1952.</t>
  </si>
  <si>
    <t>Namatjira, Albert, 1902-1959;Hermannsburg Mission;Artists, Australian -- Northern Territory -- Hermannsburg;Aboriginal Australians -- Northern Territory -- Hermannsburg;Painting, Australian -- Northern Territory -- Hermannsburg</t>
  </si>
  <si>
    <t>Hermannsburg Collection</t>
  </si>
  <si>
    <t>b20258136</t>
  </si>
  <si>
    <t>Artist, Hermannsburg</t>
  </si>
  <si>
    <t>Albert Namatjira and his wife, April 1952.</t>
  </si>
  <si>
    <t>Namatjira, Albert, Mrs;Namatjira, Albert, 1902-1959;Hermannsburg Mission;Artists, Australian -- Northern Territory -- Hermannsburg;Aboriginal Australians -- Northern Territory -- Hermannsburg</t>
  </si>
  <si>
    <t>b20258148</t>
  </si>
  <si>
    <t>Artists, Hermannsburg</t>
  </si>
  <si>
    <t>Albert Namatjira and sons working on the paintings, April 1952.</t>
  </si>
  <si>
    <t>Namatjira, Albert, 1902-1959;Hermannsburg Mission;Aboriginal Australians -- Northern Territory -- Hermannsburg;Artists, Australian -- Northern Territory -- Hermannsburg;Painting, Australian -- Northern Territory -- Hermannsburg</t>
  </si>
  <si>
    <t>b2025815x</t>
  </si>
  <si>
    <t>Albert Namatjira and his family</t>
  </si>
  <si>
    <t>Albert Namatjira and his family.</t>
  </si>
  <si>
    <t>Namatjira, Albert, 1902-1959;Hermannsburg Mission;Aboriginal Australians -- Northern Territory -- Hermannsburg;Artists, Australian -- Northern Territory -- Hermannsburg</t>
  </si>
  <si>
    <t>b2027239x</t>
  </si>
  <si>
    <t>Railway crossing, Kilkenny</t>
  </si>
  <si>
    <t>Railway crossing at Kilkenny.</t>
  </si>
  <si>
    <t>b20284536</t>
  </si>
  <si>
    <t>Railway accident, Beresford</t>
  </si>
  <si>
    <t>Photograph (b&amp;w print)  10.5 cm x 15 cm;C1</t>
  </si>
  <si>
    <t>Goods train derailment about 3 miles South of Beresford.</t>
  </si>
  <si>
    <t>Railroad accidents -- South Australia -- Beresford</t>
  </si>
  <si>
    <t>Beresford Collection</t>
  </si>
  <si>
    <t>b20284548</t>
  </si>
  <si>
    <t>b2028455x</t>
  </si>
  <si>
    <t>Goods train derailment.</t>
  </si>
  <si>
    <t>b20284561</t>
  </si>
  <si>
    <t>b20284573</t>
  </si>
  <si>
    <t>Goods train derailment about 3 miles South of Beresford: water gins replaced on the line.</t>
  </si>
  <si>
    <t>b20284585</t>
  </si>
  <si>
    <t>Goods train derailment about 3 miles South of Beresford: wreckage along the track.</t>
  </si>
  <si>
    <t>b20284597</t>
  </si>
  <si>
    <t>b20284603</t>
  </si>
  <si>
    <t>b20296873</t>
  </si>
  <si>
    <t>St. Michael's Church, Mitcham</t>
  </si>
  <si>
    <t>Interior view of St. Michael's Anglican Church at Mitcham taken on 28 September 1952 for 100th Patronal Festival.</t>
  </si>
  <si>
    <t>St. Michael's Church (Mitcham, S.A.);Flower arrangement in churches -- South Australia -- Mitcham;Interior architecture -- South Australia -- Mitcham</t>
  </si>
  <si>
    <t>b20309247</t>
  </si>
  <si>
    <t>Photograph (b&amp;w print)  12 cm x 13 cm;C1</t>
  </si>
  <si>
    <t>Showing the Reservoir approx. 6662 million galls of water (completed in 1938).</t>
  </si>
  <si>
    <t>Reservoirs -- South Australia -- Bold, Mount;Bold, Mount, Reservoir (S.A.) -- Aerial photographs</t>
  </si>
  <si>
    <t>b2031730x</t>
  </si>
  <si>
    <t>Procession, Mount Gambier</t>
  </si>
  <si>
    <t>Procession at Mount Gambier.</t>
  </si>
  <si>
    <t>Processions -- South Australia -- Mount Gambier</t>
  </si>
  <si>
    <t>b20317311</t>
  </si>
  <si>
    <t>Procession, Mt.Gambier</t>
  </si>
  <si>
    <t>b20317335</t>
  </si>
  <si>
    <t>Motorcycles on Show</t>
  </si>
  <si>
    <t>"Triumph" and "Matchless" motorcycles on display at a Mount Gambier Show.</t>
  </si>
  <si>
    <t>Triumph motorcycle;Matchless motorcycle;Motorcycles -- South Australia -- Mount Gambier</t>
  </si>
  <si>
    <t>b20317347</t>
  </si>
  <si>
    <t>Motorcycles -- South Australia -- Mount Gambier;Triumph motorcycle;Matchless motorcycle</t>
  </si>
  <si>
    <t>b20341714</t>
  </si>
  <si>
    <t>Baseball Scoreboard</t>
  </si>
  <si>
    <t xml:space="preserve">Photograph &amp; neg. </t>
  </si>
  <si>
    <t>[General description] A floodlight illuminates this view showing a man on the scoreboard platform changing the score. A large sign advertising Coca Cola is prominent. [On back of photograph] 'Baseball scoreboard at Norwood Oval during night baseball match / November 12th, 1952 (Opening night)'</t>
  </si>
  <si>
    <t>Baseball -- South Australia -- Norwood</t>
  </si>
  <si>
    <t>b20341726</t>
  </si>
  <si>
    <t>Night Baseball Match</t>
  </si>
  <si>
    <t>Photograph  16.1 cm x 11.5 cm</t>
  </si>
  <si>
    <t>[General description] A floodlit night scene at Norwood Oval showing spectators, seated on the grass and in the crowded grandstand watching the baseball. Part of the oval can be seen. [On back of photograph] 'Night baseball match at Norwood Oval / November 12, 1952 (opening night) / Night baseball was successfully inaugurated in South Australia during the 1952-53 season.'</t>
  </si>
  <si>
    <t>b20341738</t>
  </si>
  <si>
    <t>Norwood Oval</t>
  </si>
  <si>
    <t>[General description] Norwood Oval in October 1952 showing the installation of electricity for night baseball matches for the inaugural season, 1952-53. A crane is positioning one of the light towers next to the empty grandstand.</t>
  </si>
  <si>
    <t>b20341933</t>
  </si>
  <si>
    <t>Night Baseball, Norwood</t>
  </si>
  <si>
    <t>Photograph  20.3 cm x 14.8 cm</t>
  </si>
  <si>
    <t>[General description] Action shot of two players at a night baseball match at Norwood Oval, held on three nights, December 29th, 30th and 31st, South Australia versus Victoria.</t>
  </si>
  <si>
    <t>b20343991</t>
  </si>
  <si>
    <t>Christ Church, O'Halloran Hill</t>
  </si>
  <si>
    <t>Photograph  11 cm x 6.5 cm</t>
  </si>
  <si>
    <t>Christ Church at O'Halloran Hill.</t>
  </si>
  <si>
    <t>Christ Church (O'Halloran Hill, S.A.);Church architecture -- South Australia -- O'Halloran Hill</t>
  </si>
  <si>
    <t>O'Halloran Hill Collection</t>
  </si>
  <si>
    <t>b20344004</t>
  </si>
  <si>
    <t>Christ Church. O'Halloran Hill</t>
  </si>
  <si>
    <t>Photograph  10.5 cm x6.5 cm</t>
  </si>
  <si>
    <t>b20344016</t>
  </si>
  <si>
    <t>Interior of Christ Church at O'Halloran Hill.</t>
  </si>
  <si>
    <t>Christ Church (O'Halloran Hill, S.A.);Church architecture -- South Australia -- O'Halloran Hill;Interior architecture -- South Australia -- O'Halloran Hill</t>
  </si>
  <si>
    <t>b20371871</t>
  </si>
  <si>
    <t>Port Elliot</t>
  </si>
  <si>
    <t>Photograph (b&amp;w print)   11.4 cm x 7 cm;RESERVE 1</t>
  </si>
  <si>
    <t>Port Elliot.</t>
  </si>
  <si>
    <t>b20371883</t>
  </si>
  <si>
    <t>Breakwater, Port Elliot</t>
  </si>
  <si>
    <t>Photograph (b&amp;w print)   7 cm x 11.3 cm;RESERVE 1</t>
  </si>
  <si>
    <t>No. 12 Breakwater at Port Elliot.</t>
  </si>
  <si>
    <t>b20393271</t>
  </si>
  <si>
    <t>Photograph (b&amp;w)   9 cm x 13.8 cm;RESERVE 1</t>
  </si>
  <si>
    <t>View of Rapid Bay.</t>
  </si>
  <si>
    <t>b20393283</t>
  </si>
  <si>
    <t>Photograph (b&amp;w print)   8.7 cm x 6.2 cm;RESERVE 1</t>
  </si>
  <si>
    <t>b20404372</t>
  </si>
  <si>
    <t>Bowman's Bus Co</t>
  </si>
  <si>
    <t>Photograph (b&amp;w print)  16.3 cm x 21.5 cm;C1</t>
  </si>
  <si>
    <t>The Bowmans fleet of seven buses.</t>
  </si>
  <si>
    <t>Bowman's Bus Company;Buses -- South Australia -- St. Agnes;Bus lines -- South Australia -- St. Agnes</t>
  </si>
  <si>
    <t>St Agnes Collection</t>
  </si>
  <si>
    <t>b20413762</t>
  </si>
  <si>
    <t>Fire Station, Stansbury</t>
  </si>
  <si>
    <t>Photograph  19.5 cm x 16 cm</t>
  </si>
  <si>
    <t>E.F.S. station, appliance and crew at Stansbury  Mr. A. Farrow on the right, and Malcolm (Mac) Stanley Anderson on the left.</t>
  </si>
  <si>
    <t>Farrow, A.;Fire fighters -- South Australia -- Stansbury;Fire stations -- South Australia -- Stansbury</t>
  </si>
  <si>
    <t>Stansbury Collection</t>
  </si>
  <si>
    <t>b20428467</t>
  </si>
  <si>
    <t>Thorndon Park Reservoir</t>
  </si>
  <si>
    <t>Thorndon Park Reservoir, approximately 765 million gallons of water.</t>
  </si>
  <si>
    <t>Reservoirs -- South Australia -- Thorndon Park</t>
  </si>
  <si>
    <t>Thorndon Park Collection</t>
  </si>
  <si>
    <t>b20444540</t>
  </si>
  <si>
    <t>Roy H. Starr's shop, Waikerie</t>
  </si>
  <si>
    <t>Roy H. Starr's shop in Waikerie.</t>
  </si>
  <si>
    <t>b2044512x</t>
  </si>
  <si>
    <t>White Street, Waikerie</t>
  </si>
  <si>
    <t>Photograph (b&amp;w print)  9.7 cm x 15.3 cm;C1</t>
  </si>
  <si>
    <t>Beck's cafe on White Street, Waikerie.</t>
  </si>
  <si>
    <t>b20462530</t>
  </si>
  <si>
    <t>Wirrabara Forest</t>
  </si>
  <si>
    <t>Photograph  14.5 cm x 9.2 cm</t>
  </si>
  <si>
    <t>King Tree at Wirrabara Forest.</t>
  </si>
  <si>
    <t>Wirrabara Collection</t>
  </si>
  <si>
    <t>b20462542</t>
  </si>
  <si>
    <t>Old settlers graves at Wirrabara Forest.</t>
  </si>
  <si>
    <t>b20462554</t>
  </si>
  <si>
    <t>b20507781</t>
  </si>
  <si>
    <t>Opening of State Parliament by</t>
  </si>
  <si>
    <t>Photograph  20.9 cm x 11.1 cm</t>
  </si>
  <si>
    <t>Opening of the South Australian State Parliament by  Lt. Gov. Sir Mellis Napier, 25 June 1952. Standing to attention during the national anthem</t>
  </si>
  <si>
    <t>Napier, Mellis, Sir, 1882-1976</t>
  </si>
  <si>
    <t>b20507793</t>
  </si>
  <si>
    <t>Opening of State Parliament by Sir Mellis Napier</t>
  </si>
  <si>
    <t>Photograph  13.2 cm x 12.4 cm</t>
  </si>
  <si>
    <t>Opening of State Parliament by the Lt. Gov. Sir Mellis Napier, 25 June 1952. Inspection of Army Guard. Sir Mellis Napier was Lieutenant-Governor of South Australia from 1942 - 1973</t>
  </si>
  <si>
    <t>b2050780x</t>
  </si>
  <si>
    <t>Photograph  16.6 cm x 16.2 cm</t>
  </si>
  <si>
    <t>Opening of State Parliament by the Lt. Gov. Sir Mellis Napier, 25 June 1952.</t>
  </si>
  <si>
    <t>b20507811</t>
  </si>
  <si>
    <t>Trolley bus in Adelaide</t>
  </si>
  <si>
    <t>Photograph  17.4 cm x 11.9 cm</t>
  </si>
  <si>
    <t>Trolley bus at intersection of Hindley and Morphett Streets, Adelaide. The vehicle is an AEC 661T with a 59 seat double-deck body built by Adelaide firm Lawton, one of 30 delivered to the Adelaide MTT in 1937-1939. The electric cables are being adjusted to the bus which is stationary outside the Star Grocery Shop</t>
  </si>
  <si>
    <t>Trolley buses -- South Australia -- Adelaide</t>
  </si>
  <si>
    <t>b20519540</t>
  </si>
  <si>
    <t>Jeannie Gunn</t>
  </si>
  <si>
    <t>Photograph  21 cm x 12 cm</t>
  </si>
  <si>
    <t>Jeannie Gunn aged 82.</t>
  </si>
  <si>
    <t>b20522770</t>
  </si>
  <si>
    <t>Slip-on Water Tank &amp; Pump</t>
  </si>
  <si>
    <t>Photograph  20.5 cm x 14.5 cm</t>
  </si>
  <si>
    <t>Slip-on water tank and pump for E.F.S.</t>
  </si>
  <si>
    <t>Water-supply -- South Australia.;Tanks -- South Australia.</t>
  </si>
  <si>
    <t>b20526799</t>
  </si>
  <si>
    <t>Engineering and Water Supply</t>
  </si>
  <si>
    <t>Engineering and Water supply display at the Royal Adelaide show.</t>
  </si>
  <si>
    <t>Wayville Showgrounds (Adelaide, S.A.)</t>
  </si>
  <si>
    <t>b20526805</t>
  </si>
  <si>
    <t>Engineering and Water supply display at the Royal Adelaide Show.</t>
  </si>
  <si>
    <t>b20527858</t>
  </si>
  <si>
    <t>Hawker's Van</t>
  </si>
  <si>
    <t>Licensed Hawker, Mr. M. De Laine of Norwood, with his vehicle.</t>
  </si>
  <si>
    <t>De Laine, M.;Peddlers -- South Australia -- Norwood</t>
  </si>
  <si>
    <t>b20541260</t>
  </si>
  <si>
    <t>Elephant firework display</t>
  </si>
  <si>
    <t>Photograph (b&amp;w print)  7 cm x 11.5 cm;RESERVE 1</t>
  </si>
  <si>
    <t>Framework of an elephant firework display erected for an Army tattoo.</t>
  </si>
  <si>
    <t>Fireworks -- South Australia</t>
  </si>
  <si>
    <t>b20541272</t>
  </si>
  <si>
    <t>Mickey Mouse Firework</t>
  </si>
  <si>
    <t>Photograph (b&amp;w print)  7 cm x 11.4 cm;RESERVE 1</t>
  </si>
  <si>
    <t>Framework of Mickey Mouse firework display for an Army tattoo.</t>
  </si>
  <si>
    <t>b20541284</t>
  </si>
  <si>
    <t>Mickey Mouse Fireworks</t>
  </si>
  <si>
    <t>Framework of a Mickey Mouse firework display.</t>
  </si>
  <si>
    <t>b20541296</t>
  </si>
  <si>
    <t>Army Tattoo firework display</t>
  </si>
  <si>
    <t>Army tattoo firework display.</t>
  </si>
  <si>
    <t>b20541302</t>
  </si>
  <si>
    <t>Army tattoo firework display</t>
  </si>
  <si>
    <t>Photograph (b&amp;w print)  6.5 cm x 8.8 cm;RESERVE 1</t>
  </si>
  <si>
    <t>Army Tattoo Firework display.</t>
  </si>
  <si>
    <t>b20544844</t>
  </si>
  <si>
    <t>North Terrace West, South side. 20 October 1952. Metal Manufacturers Ltd. building in centre erected in 1942, on a vacant site. Right side of building is 14 yards east of Grey St. Frontage: 141/2 yards.</t>
  </si>
  <si>
    <t>Acre 2 Collection</t>
  </si>
  <si>
    <t>b20547110</t>
  </si>
  <si>
    <t>Photograph  10.4 cm x 10.3 cm</t>
  </si>
  <si>
    <t>King William Street, east side, October 1952, frontage of building is 100 feet and North Terrace frontage is 70 feet. Bank of New South Wales. Completed December 1941. This building was erected in 1940-1. Compare with B 7121</t>
  </si>
  <si>
    <t>Bank of New South Wales -- Buildings;Architecture -- South Australia -- Adelaide;Banks and banking -- South Australia -- Adelaide;King William Street (Adelaide, S.A.)</t>
  </si>
  <si>
    <t>b20548795</t>
  </si>
  <si>
    <t>Photograph  12.1 cm x 11.9 cm</t>
  </si>
  <si>
    <t>North Terrace, east, October 1st 1952. John Martin's building was completed in December 1942. Left side of building is 24 yards west of Charles Street and frontage is 21.5 yards. For a view of the building previously occupying this site see B 4167</t>
  </si>
  <si>
    <t>Acre 21 Collection</t>
  </si>
  <si>
    <t>b20548904</t>
  </si>
  <si>
    <t>Charles Street</t>
  </si>
  <si>
    <t>Charles Street, west side, October 6th 1952. Small building (for meat storage) at the northern end of verandah was added in 1944. Verandah and plate glass show windows of the centre building were installed in 1941. The right side of building is 30 yards 2 feet south of North Terrace and frontage is 4 yards. For view of the building before alterations and additions see B 7038</t>
  </si>
  <si>
    <t>Acre 22 Collection</t>
  </si>
  <si>
    <t>b20549490</t>
  </si>
  <si>
    <t>North Terrace, South Side.</t>
  </si>
  <si>
    <t>b20551538</t>
  </si>
  <si>
    <t>Super Elliot Cycles, 200 Rundle Street</t>
  </si>
  <si>
    <t>Super Elliot Cycles, 200 Rundle Street, north side, 10 October 1952, left side of building is 12 yards east of Synagogue Place and frontage is 16 yards 2.5 feet. For building prior to its remodelling see B5239. Super Elliott Cycles was founded by Bertrand J Elliott and Laurie A Elliott in February 1902 and began as cycle builders at PaynehamSouth Australia. The new store was opened at 147 Rundle Street in 1933 and employed thirty workers across four outlets. The name was changed in 1935 from Elliott Brothers to Super Elliott</t>
  </si>
  <si>
    <t>Acre 37 Collection</t>
  </si>
  <si>
    <t>b20552440</t>
  </si>
  <si>
    <t>Photograph  14.6 cm x 8.3 cm</t>
  </si>
  <si>
    <t>Curzon Theatre Rundle Street, north side.  20 October, 1952. Left side of Cinema Curzon is 44 yards east of Charles Street. Frontage of centre building is 10.5 yards. Cinema Curzon (originally called The Liberty Theatre) was converted from Metters premises in 1942. Compare with B 5149, when premises occupied by Clarkson Limited. For a view of this building after conversion to shop in 1956 see B 13656</t>
  </si>
  <si>
    <t>Acre 40 Collection</t>
  </si>
  <si>
    <t>b20552890</t>
  </si>
  <si>
    <t>Coles building in Rundle Street, north side,October 20, 1952. Coles building was completed in December 1941. Left side of building abuts Charles Street.  Frontage is 31.5 yards and Charles Street frontage is 37.5 yards. Coles building was erected in 1940-41. For a view of buildings which previously occupied this site see B 5147</t>
  </si>
  <si>
    <t>Acre 41 Collection</t>
  </si>
  <si>
    <t>b20553407</t>
  </si>
  <si>
    <t>Rundle Street, north side. Building enlarged in 1941. Left side of Woolworths is 14.5 yards east of Francis Street and frontage is 24 yards. Compare with B 10414. A fruit stall is trading adjacent to the pavement outside the Woolworths store</t>
  </si>
  <si>
    <t>b20557991</t>
  </si>
  <si>
    <t>Hindley Street</t>
  </si>
  <si>
    <t>Hindley Street, north side, 31 December 1952. Right side of Howells is 21.5 yards and frontage is 6.5 yards, frontage of Cadman Brothers is 6.5 yards. For view of Cadman Brothers building in 1929 when occupied by S Rowe and Company and before alterations made in 1952 see B 5822. For view of Howell and Howell's building prior to alterations completed in 1952 see B 5822. for view of building in 1958 see B 14161</t>
  </si>
  <si>
    <t>Acre 51 Collection</t>
  </si>
  <si>
    <t>b20559914</t>
  </si>
  <si>
    <t>Star Grocery, Hindley Street</t>
  </si>
  <si>
    <t>Star Grocery, Hindley Street, south east corner of Morphett Street, 31st December 1952. Right side of the Cratsis building abuts east side of Morphett Street. Frontages are 15 yards on Hindley Street and 21 yards on Morphett Street to the end of the two storey portion. Garage not completely shown in this view but see B 4040. For a view of this building taken in 1926 see B 4040. Cratsis Building alterations were completed in 1952. See also B 7508. The Star Grocery was built on land owned by William Everard Lucy, a farmer from Modbury. It was acquired by Stavros Cratsis, a storekeeper in 1947</t>
  </si>
  <si>
    <t>Acre 71 Collection</t>
  </si>
  <si>
    <t>b20564326</t>
  </si>
  <si>
    <t>Gawler Place, Adelaide</t>
  </si>
  <si>
    <t>Gawler Place, west side, 29th October 1952. Fletcher Jones building was remodelled in 1949, right side of building abuts Featherstone Place  frontage: 9 yards. For a view of the Fletcher Jones building in 1924 see B 2204. Fletcher Jones, an Australian entrepreneur business from 1895-1977 was a clothing manufacturer and retailer</t>
  </si>
  <si>
    <t>Acre 81 Collection</t>
  </si>
  <si>
    <t>b20565926</t>
  </si>
  <si>
    <t>Rundle Street, south side, November 5th 1952. For site see B 6392. This building was remodelled in 1940. Compare with B 6392. The Rex Theatre was built in 1933 in a striking Art Deco style. It was demolished in 1961. It was the third theatre to operate on this site in Rundle Street</t>
  </si>
  <si>
    <t>Rex Theatre (Adelaide, S.A.);Theaters -- South Australia -- Adelaide</t>
  </si>
  <si>
    <t>b20568277</t>
  </si>
  <si>
    <t>Rundle Street, south side, 23rd October 1952, right side of Sunrise Press is 21 yards east of Union Street and frontage is 14 yards. Shooting gallery (now Rundle Street front of Sunrise Press) was erected in front of cottage in 1946. For a view of cottage behind Sunrise Press see B 6907. A street sweeper and three cars can be seen in the photograph</t>
  </si>
  <si>
    <t>Acre 91 Collection</t>
  </si>
  <si>
    <t>b20568782</t>
  </si>
  <si>
    <t>Grenfell Street, north side, December 31st 1952, Grenfell Street. The right side of the Crown and Anchor Hotel abuts the west side of Union Street. The frontage of Crown and Anchor Hotel is 20 yards and Union Street frontage is 20 yards. For a view of this hotel tkane in 1930 see B 5731. The Crown and Anchor Hotel existed from 1853. Henry Charles Bishop was the proprietor at the time of this photograph</t>
  </si>
  <si>
    <t>Acre 97 Collection</t>
  </si>
  <si>
    <t>b2056885x</t>
  </si>
  <si>
    <t>Bent Street</t>
  </si>
  <si>
    <t>Bent Street, east side, November 5th 1952, right side of central building is 62 yards north of Grenfell Street. Frontage is 9 yards. Centre building shown on Cadastral Plan. This cottage was demolished. For building erected on this site in 1953 see B 12850. These two premises at 20 and 22 Bent Street advertise a lawn mower repair business and Gebhardt Grinding and Saw Works. A motorbike with sidecar is parked in front of the building</t>
  </si>
  <si>
    <t>Acre 98 Collection</t>
  </si>
  <si>
    <t>b2056899x</t>
  </si>
  <si>
    <t>State Motors Ltd., Hindmarsh Square</t>
  </si>
  <si>
    <t>State Motors Ltd., Hindmarsh Square, east side, December 30th 1952. Frontage of State Motors is 30 yards. The right side of State Motors abuts the north side of Burmeister Place. For a view of buildings occupying this site in 1929 see B 5825. State Motors building was erected in 1946</t>
  </si>
  <si>
    <t>Acre 99 Collection</t>
  </si>
  <si>
    <t>b20570363</t>
  </si>
  <si>
    <t>Gawler Place</t>
  </si>
  <si>
    <t>Gawler Place, west side, 30th October 1952. The Churchill Building was remodelled in 1949. Near side is 49 yards north of Grenfell Street. Frontage: 26 1/2 yards. For view of the building before alterations see B4627. To the left of the Churchill Building stands Farren Price Watchmakers and Jewellers. North of this stands a mens shoe shop. On the northern side of the Churchill Building is AW Dobbie and Company and then comes Fletcher Jones clothing shop. Shoppers, bicycles and a car line the street</t>
  </si>
  <si>
    <t>Acre 106 Collection</t>
  </si>
  <si>
    <t>b20570375</t>
  </si>
  <si>
    <t>Grenfell Street, north side, 31st December 1952. Right side of Whillas and Ormiston's general printers shop is 13 1/2 yards west of Gawler Place  frontage: 6 1/2 yards. New shop front was built in 1952</t>
  </si>
  <si>
    <t>b20573224</t>
  </si>
  <si>
    <t>Currie Street, north side, October 31st 1952. Two storey building remodelled in 1949-50. Single storey building remodelled in 1951. Right side of two storey building is 2 yards west of Elizabeth Street. Frontage of building on the right is 15.5 yards. Frontage of single storey building is 11.5 yards. For view of portion of two storey building before remodelling see B 3591. Note: No earlier photographic record held of single storey building (formerly a shop) TC O'Connor sold steel  fabrications, pipe bindings and plumbing supplies at 174-180 Currie Street</t>
  </si>
  <si>
    <t>Acre 119 Collection</t>
  </si>
  <si>
    <t>b20574022</t>
  </si>
  <si>
    <t>Currie Street, south side, 20 October 1952. Adelaide Steamship Company building remodelled in 1939-40. Compare with B 5266.</t>
  </si>
  <si>
    <t>b20574034</t>
  </si>
  <si>
    <t>Currie Street, south side, October 23rd 1952. Additions to Bank of Adelaide were completed in December, 1941. Bank of Adelaide abuts King William Street. Currie Street frontage is 50 yards. For building which formerly occupied the 20 yards on the eastern side of the Adelaide Steamship Company's building see B 7182. A newspaper kiosk and bus shelter can be seen outside the Currie Street side of the Bank of Adelaide building</t>
  </si>
  <si>
    <t>b20574307</t>
  </si>
  <si>
    <t>Currie Street, south side, October 31st 1952. Right side of two storey house abuts King Street. Frontage of two storey house and adjoining house is 19 yards. Two storey house shown on Cadastral Plan. Both houses were altered in c.1940 - 1950</t>
  </si>
  <si>
    <t>Acre 126 Collection</t>
  </si>
  <si>
    <t>b20574733</t>
  </si>
  <si>
    <t>Currie Street, south side, October 31st 1952. Centre building erected in 1950. Site formerly occupied (in part) by wood and iron structure. Left side of centre building is 13.5 yards west of west side of Light Square. Frontage of building is 22 yards. For view of site in 1927 see B 3953. G&amp;R Wills and Company Limited occupy the centre building. Hotel Gambier stands to the left of the photograph</t>
  </si>
  <si>
    <t>Acre 131 Collection</t>
  </si>
  <si>
    <t>b20574861</t>
  </si>
  <si>
    <t>Currie Street, south side, October 31st 1952. Building or buildings formerly on site of centre lot were destroyed by fire in 1930. See B 2339. Right side of centre lot is 43.5 yards east of east side of Light Square and frontage is 17.5 yards.</t>
  </si>
  <si>
    <t>Acre 134 Collection</t>
  </si>
  <si>
    <t>b20578015</t>
  </si>
  <si>
    <t>Hindmarsh Square, east side, December 30th 1952, left side of Broadcast House is 37.5 yards south of Grenfell Street and frontage is 15.5 yards. For a view of the building which occupied this site in 1911 see B 2149</t>
  </si>
  <si>
    <t>Acre 150 Collection</t>
  </si>
  <si>
    <t>b20578738</t>
  </si>
  <si>
    <t>Pirie Street, north side, Number 226. photographed on 31 December 1952. The right side of Unbehaun and Johnstone Ltd.  building abuts the west side of Ackland Street. The frontage is 17.5 yards. This building was converted from Graves, Hill and Company Limited's stables. Alterations completed in October 1951. For view of building prior to alterations see B 1107</t>
  </si>
  <si>
    <t>Acre 160 Collection</t>
  </si>
  <si>
    <t>b20579093</t>
  </si>
  <si>
    <t>Hindmarsh Square, west side, 29th October 1952, left side of garage is 57.5 yards north of Pirie Street and frontage is 17 yards. Royal Automobile Association garage erected in 1941. This building was erected in 1941. For buildings which earlier occupied this site see B 2991. To the south of the RAA building stands Don Mellish Limited Furniture and Manchester business</t>
  </si>
  <si>
    <t>Acre 164 Collection</t>
  </si>
  <si>
    <t>b20579998</t>
  </si>
  <si>
    <t>Gawler Place, west side, October 29th 1952 south corner of McHenry Street, near Pirie Street. Transport and General Building remodelled in 1952. For site see B 3765. For a view of Transport and General Building in 1926 before remodelling see B 3765</t>
  </si>
  <si>
    <t>Acre 168 Collection</t>
  </si>
  <si>
    <t>b20580265</t>
  </si>
  <si>
    <t>Pirie Street, north side, 20th October 1952. Queensland Insurance Building, formerly Pirie Chambers. For site see B 10728. This building was remodelled in 1941-2. Compare with B 10728</t>
  </si>
  <si>
    <t>b20582961</t>
  </si>
  <si>
    <t>Smith, W. S., photographer.</t>
  </si>
  <si>
    <t>Waymouth Street</t>
  </si>
  <si>
    <t>Waymouth Street, north side, October 28th 1952, left side of building is 22 1/4 yards east of West Terrace and frontage is 15.5 yards. Castalloy Structure was eracted in front of an old building in 1952. Earlier structure shown on Cadastral Plan. For buildings at rear of Castalloy structure see B 12977</t>
  </si>
  <si>
    <t>Acre 186 Collection</t>
  </si>
  <si>
    <t>b20583084</t>
  </si>
  <si>
    <t>West Terrace</t>
  </si>
  <si>
    <t>Numbers 71 and 72 West Terrace, 31 December 1952. Right side of centre building is 59 1/4 yards north of Franklin Street and frontage of centre building is 20 yards.This building, erected on a vacant site, was completed in November 1949. For another view see B 13951</t>
  </si>
  <si>
    <t>Acre 187 Collection</t>
  </si>
  <si>
    <t>b20583096</t>
  </si>
  <si>
    <t>West Terrace Number 66, 31 December 1952, left side of centre cottage is 30 yards south of Waymouth Street and frontage is 9 3/4 yards. Centre cottage is an old structure modernised. For a view taken in 1958 see B 14076. The photograph shows a single storey cottage with a portico flanked by two storey houses on either side</t>
  </si>
  <si>
    <t>b20583412</t>
  </si>
  <si>
    <t>Waymouth Street, south side, October 28th 1952. Left side of cottage abuts Shannon Place. Cottage altered just prior to 1952. Frontage of cottage is 9 yards. The cottage has been designed in the Californian bungalow style with columns supporting the front verandah</t>
  </si>
  <si>
    <t>Acre 190 Collection</t>
  </si>
  <si>
    <t>b20583643</t>
  </si>
  <si>
    <t>Waymouth Street, south side, 20th October 1952, left side of centre building is 18 yards west of Mellor Street and frontage is 11 yards. Earlier front of centre building was demolished in 1945 before a photograph could be made. Compare with B 12978 taken in 1954. At the time of the photograph Federal Clothing Company occupied the building</t>
  </si>
  <si>
    <t>Acre 193 Collection</t>
  </si>
  <si>
    <t>b20584040</t>
  </si>
  <si>
    <t>Waymouth Street, south side, October 28th 1952, frontage of building is 16 3/4 yards.Left side of the building (Tallala House) abuts Tatham Street. For a view of building before alterations made in 1949 see B 12394.</t>
  </si>
  <si>
    <t>Acre 196 Collection</t>
  </si>
  <si>
    <t>b2058622x</t>
  </si>
  <si>
    <t>Adelaide Philharmonic Choir du</t>
  </si>
  <si>
    <t>Photograph  21.4 cm x 12.9 cm</t>
  </si>
  <si>
    <t>Adelaide Philharmonic Choir performing in the Adelaide Town Hall.</t>
  </si>
  <si>
    <t>b20587478</t>
  </si>
  <si>
    <t>Gawler Place, west side, October 30th 1952. Agriculture Building (formerly Simpsons) altered and completed in 1950. Left side of Agriculture Building is 43.25 yards south of Pirie Street. Frontage 22.25 yards. For views of Agriculture Building before alterations (and site of five storey portion of building when occupied by iron structure) see B 1862 and B 5378</t>
  </si>
  <si>
    <t>Acre 205 Collection</t>
  </si>
  <si>
    <t>b20588008</t>
  </si>
  <si>
    <t>Pirie street, south side, December 31st 1952, right side of City Motors allotment is 10 1/4 yards east of Hyde Street. City Motors allotment is 19.75 yards. This site (formerly vacant) was converted into a used car allotment in 1952</t>
  </si>
  <si>
    <t>Acre 209 Collection</t>
  </si>
  <si>
    <t>b20588239</t>
  </si>
  <si>
    <t>Pirie Street, south side, December 31st 1952. Right side of Victoria Car Interiors is 16.5 yards east of Pulteney Street. The frontage of Victoria Car Interiors is 6.5 yards. For a view of this building before modernisation made in 1952 see view of Gross butcher's shop in B6219</t>
  </si>
  <si>
    <t>Acre 211 Collection</t>
  </si>
  <si>
    <t>b2058863x</t>
  </si>
  <si>
    <t>Pirie Street, south side, December 31st 1952, left side of single storey building is 31 yards west of Devonshire Place and frontage is 18 yards.For a view of this building in c.1909 before certain alterations see B 3285</t>
  </si>
  <si>
    <t>Acre 215 Collection</t>
  </si>
  <si>
    <t>b20589013</t>
  </si>
  <si>
    <t>Flinders Street, north side, 28 October 1952, right side of building (corner behind the fire hydrant) is 6 yards west of Hutt Street and Flinders Street frontage is 29 yards and Hutt Street frontage is 18 yards. The building is on the Cadastral Plan and had been altered prior to this photograph taken in1952</t>
  </si>
  <si>
    <t>Acre 221 Collection</t>
  </si>
  <si>
    <t>b20589293</t>
  </si>
  <si>
    <t>Flinders Street, north side, December 30th 1952. Left side of Ellis and Clark's Electrical Engineers building abuts the east side of Ackland Street. The frontage of Ellis &amp; Clarke building is 16 1/4 yards (of sawtooth roofed section only).  For a view of this building before installation of show windows see B 6777</t>
  </si>
  <si>
    <t>Acre 225 Collection</t>
  </si>
  <si>
    <t>b20589505</t>
  </si>
  <si>
    <t>Flinders Street, north side, October 28th 1952. Left side of Detmold's building abuts Sudholz Place. Frontage is 9 yards. Detmold's building was remodelled in 1947. Compare with B 3772. Mr Colin Detmold founded  paper agency lines in Adelaide in 1948. In 1952 the company commenced producing wrapping paper and toilet rolls and a new larger factory was built in Brompton  in 1956</t>
  </si>
  <si>
    <t>Acre 227 Collection</t>
  </si>
  <si>
    <t>b20589736</t>
  </si>
  <si>
    <t>Pulteney Street</t>
  </si>
  <si>
    <t>Pulteney Street, east side, December 30th 1952, right side of Repatriation building is 36 yards north of Flinders Street and frontage is 27 1/4 yards. For a view of building prior to alterations completed in 1952 see B 7373. This building stands next to St Paul's Anglican Church which was built in 1863. The church was decommissioned in 1983</t>
  </si>
  <si>
    <t>Acre 228 Collection</t>
  </si>
  <si>
    <t>b20589748</t>
  </si>
  <si>
    <t>Pulteney Street, east side, December 30th 1952, right side of St. Paul's Church is 7 1/4 yards north of Flinders Street and frontage is 21.5 yards. For a view of St Paul's church showing trees in front of buiulding see B 4335. St Paul's Anglican Church was built in 1863 and decommissioned in 1983</t>
  </si>
  <si>
    <t>b20590842</t>
  </si>
  <si>
    <t>Flinders Street, north side, 28 October 1952, right side of Arro Motor Company is 34.5 yards west of Gawler Place and frontage is 24 yards. Arro Motor Company building was modernised in 1948. For view of building when it formed part of Motors Limited, see B 1755</t>
  </si>
  <si>
    <t>Acre 234 Collection</t>
  </si>
  <si>
    <t>b20590854</t>
  </si>
  <si>
    <t>Flinders Street, north side, 30 December 1952. Left side of Motors Limited building abuts the west side of Gawler Place. The frontage of Motors premises is 34.5 yards.For view of this building in 1923 when it formed the eastern half of Motors Limited premises see B 1755</t>
  </si>
  <si>
    <t>b20591214</t>
  </si>
  <si>
    <t>King William Street, east side, 26 December 1952, frontage of Treasury building is 67 yards. Right side of the Treasury Building abuts Flinders Street. The extreme left of the Treasury Building was formerly the Government Tourist Bureau and fitted with show windows. Building restored to its present appearance in 1950</t>
  </si>
  <si>
    <t>Acre 236 Collection</t>
  </si>
  <si>
    <t>b20597368</t>
  </si>
  <si>
    <t>Flinders Street, south side, 30th December 1952. The right side of the centre building (with three windows on street level) is 31 1/4 yards east of Molton Street, frontage: 6 1/2 yards. For view of this building before alterations were made at the end of 1952 see B 2814 (Day's premises) For a view of this building in 1957 see B 13965</t>
  </si>
  <si>
    <t>Acre 271 Collection</t>
  </si>
  <si>
    <t>b2059737x</t>
  </si>
  <si>
    <t>Gawler Place, west side 30th October 1952. Centre building altered and refaced in 1952  its right side abuts Bray Street, frontage: 12 yards. For a 1906 view see B2961 For a 1960 view see B14345.</t>
  </si>
  <si>
    <t>b20597605</t>
  </si>
  <si>
    <t>Flinders Street, south side, 28 October 1952. The centre building was erected in 1948-9 on a vacant site  its left side is 57 1/2 yards west of Divett Place. Frontage: 10 1/4 yards. For view of site before erection of centre building, and view of Radio Corporation building before erection of verandah see B 9555</t>
  </si>
  <si>
    <t>Acre 272 Collection</t>
  </si>
  <si>
    <t>b20597617</t>
  </si>
  <si>
    <t>Gawler Place, east side, 30th October 1952. The buildings (commencing a little north of fire hydrant) occupied by Paramount Pictures, Elliott Bros., and Yellow Cabs. Left sideof building is 35 yards south of Flinders Street. Frontage: 71 yards. For photograph of this section of Gawler Place in 1925, see B 2951</t>
  </si>
  <si>
    <t>b20598154</t>
  </si>
  <si>
    <t>Pulteney Street, east side, 30th December 1952. Left side of City Motors building is 35 1/4 yards south of Flinders Street, its frontage is 15 yards. For a view of City Motors building prior to alterations made in 1952 see B 2290. City Motors occupies a site formerly used by the Wallman's building</t>
  </si>
  <si>
    <t>Acre 277 Collection</t>
  </si>
  <si>
    <t>b20598166</t>
  </si>
  <si>
    <t>Flinders Street, south side, 30th December 1952 showing Orlando House. The right side is 27 1/4 yards east of Pulteney Street, frontage: 13 1/2 yards.For a view of this building before alterations made in 1940, see B 2692. For a view of portion of this building hidden by the tree see B 12934</t>
  </si>
  <si>
    <t>b20598865</t>
  </si>
  <si>
    <t>Flinders Street, south side, 28th October, 1952. Centre building was erected on a vacant site in 1952, its left side is 32 yards west of Hutt Street, frontage: 9 3/4 yards.The building in the centre of the photograph is Peter Small Furnisher's premises and also houses the Terrazo Cement Works offices</t>
  </si>
  <si>
    <t>Acre 284 Collection</t>
  </si>
  <si>
    <t>b20599353</t>
  </si>
  <si>
    <t>Ifould Street</t>
  </si>
  <si>
    <t>Ifould Street, south side, 31 December 1952, Centre brick structure is the laundry of Wakefield Street Private Hospital. The site was previously occupied by the walls of an old stable which is shown on the Cadastral Plan</t>
  </si>
  <si>
    <t>Acre 289 Collection</t>
  </si>
  <si>
    <t>b2059947x</t>
  </si>
  <si>
    <t>Daly Street</t>
  </si>
  <si>
    <t>Daly Street, east side, 31 December 1952. Left side of galvanised iron fence abuts south side of Ifould Street. The two houses and the new building adjoining them on the right comprise Abbotts, Daly Street frontage of 70 yards. Galvanised iron fence and shed in front of cottages were erected c. 1950. Compare with B 10929</t>
  </si>
  <si>
    <t>Acre 290 Collection</t>
  </si>
  <si>
    <t>b2059964x</t>
  </si>
  <si>
    <t>Ifould Street, south side, 31 December 1952. Left side of SA Tractor Company's building is 36.5 yards west of Daly Street. Frontage of building is 43.5 yards. Lighter coloured portion of SA Tractor Company's building on left was added in 1941. For view of building before addition see B 7381</t>
  </si>
  <si>
    <t>Acre 292 Collection</t>
  </si>
  <si>
    <t>b20600847</t>
  </si>
  <si>
    <t>Wakefield Street, north side, October 28th 1952, left side of Laycock's Monumental Works premises abuts Victoria Place, frontage approximately 12.5 yards. for a view of the site in 1904 see B 5376. The side of the Torrens Building stands on the left of the photograph</t>
  </si>
  <si>
    <t>b20600860</t>
  </si>
  <si>
    <t>Wakefield Street, north side, western corner of Gawler Place, October 28th 1952, right side of Peerless Dry Cleaners building abuts Gawler Place, frontage is 7 1/4 yard to Wakefield Street. For view of the building before alterations made in 1950 see B 12395.</t>
  </si>
  <si>
    <t>b20601207</t>
  </si>
  <si>
    <t>Grote Street</t>
  </si>
  <si>
    <t>Grote Street, north side, 30th December 1952. Right side of the Rechabite Hall abuts Morialta Street, frontage: 13 1/2 yards. For view of Rechabite Hall before alterations made in 1952 see B 6624. The South Australian District of the Independent Order of Rechabites was established in 1860. Prior to this the Southern Star Tent was instituted in Light Square in 1848. It was a temperance organisation that helped to reform those afflicted by alcohol abuse</t>
  </si>
  <si>
    <t>Acre 306 Collection</t>
  </si>
  <si>
    <t>b20601736</t>
  </si>
  <si>
    <t>Grote Street, north side, 26 December 1952. Right side of Lambert Motor Co. Ltd. is 20 yards west of Rowlands Place. Frontage of Lambert Motor Co. is 10 1/4 yards. Lambert Motor Co. is an addition made in 1952 to an existing cottage. For view of cottage before alterations see B1547  Note on the back of the photograph says "old cottage had also been altered before alterations were made in 1952"</t>
  </si>
  <si>
    <t>Acre 309 Collection</t>
  </si>
  <si>
    <t>b20602601</t>
  </si>
  <si>
    <t>Grote Street, north side, 26th December 1952. Right side of Cockings building, erected in 1949, abuts Morney Street. Frontage: 42 yards on Grote Street. For views of buildings previously occupying this site see B12528 and B12529. Cockings were general carriers.</t>
  </si>
  <si>
    <t>Acre 316 Collection</t>
  </si>
  <si>
    <t>b20603058</t>
  </si>
  <si>
    <t>Grote Street, south side, 30 December 1952. Left side of CR VersaceTailor's Shop abuts west of Storr Street. This is a recent addition in front of an old cottage</t>
  </si>
  <si>
    <t>Acre 327 Collection</t>
  </si>
  <si>
    <t>b20604506</t>
  </si>
  <si>
    <t>Rainsport, Keith, photographer</t>
  </si>
  <si>
    <t>Empire Theatre, Grote Street</t>
  </si>
  <si>
    <t>Photograph  25.5 cm x 19.3 cm</t>
  </si>
  <si>
    <t>The Empire Theatre, Grote Street, south side, 1952. Right side is 8.5 yards east of Moonta Street, frontage is 17 yards. For a view of this building after conversion to portion of the Peoplestores Ltd. building see B 12989. The alterations were made before 1954 (probably in 1953) The theatre was used between 1909 and 1952 and was designed to show moving pictures as well as theatrical performances.The theatre remained in operation until 1952. It was designed by architect A Barnham Black. On the opening night on April 10, 1909,  Vaudeville acts along with moving pictures were featured</t>
  </si>
  <si>
    <t>Acre 332 Collection</t>
  </si>
  <si>
    <t>b20604518</t>
  </si>
  <si>
    <t>Interior of Empire Theatre, Grote Street</t>
  </si>
  <si>
    <t>Interior view of Empire Theatre from the Dress Circle, Grote Street, south side, 1952. The theatre occupied a site 51 feet by 104 feet. For a view of this building after conversion to portion of the Peoplestores Ltd. building see B 12989. The alterations were made before 1954 (probably in 1953) The theatre was used between 1909 and 1952 and was designed to show moving pictures as well as theatrical performances.The theatre remained in operation until 1952. It was designed by architect A Barnham Black. On the opening night on April 10, 1909,  Vaudeville acts along with moving pictures were featured</t>
  </si>
  <si>
    <t>Empire Theatre (Adelaide, S.A.);Interior architecture -- South Australia -- Adelaide;Theaters -- South Australia -- Adelaide</t>
  </si>
  <si>
    <t>b20606060</t>
  </si>
  <si>
    <t>Wakefield Street, south side, October 28th 1952, left side of Brigade Motors building abuts Chancery Lane, frontage is 19 yards.</t>
  </si>
  <si>
    <t>Acre 341 Collection</t>
  </si>
  <si>
    <t>b20607040</t>
  </si>
  <si>
    <t>Hanson Street, west side, 30 December 1952, frontage of building is 9.5 yards. CA Darwent's Refrigeration suppliers building is 31 yards south of Wakefield Street. This building was modernised in 1950. For a view of the building before alterations, see B 12527</t>
  </si>
  <si>
    <t>b20607209</t>
  </si>
  <si>
    <t>Hanson Street, east side, 30 December 1952, from Century Motors to right side of Precision Engineers is 45.5 yards. For view of buildings from CJ Young Shoe Company to Precision Engineers existing in 1925, see B 2713. For view of Kallin Motor Company building in 1937 see B 6939. For view of Precision Engineers building in 1934 see B 6604. For Kallin Motor Company and shops in left in 1957 see B 13973</t>
  </si>
  <si>
    <t>Acre 345 Collection;Acre 368 Collection</t>
  </si>
  <si>
    <t>b20607210</t>
  </si>
  <si>
    <t>Gunson Street</t>
  </si>
  <si>
    <t>Gunson Street, (off 154 Angas Street), east side, 31 December 1952. Right side of HK Thomas's building is 70.75 yards north of Angas Strret. Frontage of HK Thomas building is 18.5 yards. Thomas's building was erected in 1950. Site was previously occupied by a cottage.</t>
  </si>
  <si>
    <t>Acre 345 Collection</t>
  </si>
  <si>
    <t>b20607982</t>
  </si>
  <si>
    <t>Wakefield Street, south side, 28 October 1952: Parkwynd private hospital. Left side of building is 83 1/2 yards east of East Terrace. Frontage: 24 1/2 yards. This photograph shows additional accommodation recently erected on the left. The hospital retained the name Parkwynd from the Victorian house which was formerly occupied by the Toms family</t>
  </si>
  <si>
    <t>Acre 355 Collection</t>
  </si>
  <si>
    <t>b20608135</t>
  </si>
  <si>
    <t>Angas Street</t>
  </si>
  <si>
    <t>Angas Street, north side, 2nd December 1952. Right side of residence is 41 yards west of James Street. Frontage: 15 yards. This building was on the Cadastral Plan and was modernised between 1940-1952. This rendered single storey house at 338 Angas Street has a square front porch around the front door</t>
  </si>
  <si>
    <t>Acre 359 Collection</t>
  </si>
  <si>
    <t>b20608159</t>
  </si>
  <si>
    <t>102 Hutt Street</t>
  </si>
  <si>
    <t>102 Hutt Street, east side, 31st December 1952. Left side of centre building is about 70 1/2 yards south of Wakefield Street  its frontage is 11 1/4 yards. A new front has been added to an older structure.</t>
  </si>
  <si>
    <t>Acre 360 Collection</t>
  </si>
  <si>
    <t>b20608469</t>
  </si>
  <si>
    <t>Angas Street, Adelaide, north side</t>
  </si>
  <si>
    <t>[General description] This is the premises of H.W. Burgess, Patternmaker with parked cars and street trees in front. On the extreme right is a petrol bowser with a handwritten sign 'Petrol sold here'. [On back of photograph] 'Acre 366 / Angas Street, north side / 2 December 1952 / Right side of Burgess's building is 6-1/2 yards west of Robert Street / Frontage of building is 30 yards / For view of this building after 1953 alteration see B12554.'</t>
  </si>
  <si>
    <t>Acre 366 Collection</t>
  </si>
  <si>
    <t>b20608664</t>
  </si>
  <si>
    <t>Hanson Street, east side</t>
  </si>
  <si>
    <t>30 December 1952. Right side of Murphy's building abuts north side of Angas Street. Frontage of Murphy's building is 10-1/4 yds on Hanson Street, and 13-1/4 yds on Angas Street (modernised sections only). Murphy's corner building is shown on the Cadastral plan., resurfaced in 1944. Car, Austin 7. Murphys Corner has a hairdresser and tobacconist</t>
  </si>
  <si>
    <t>Acre 368 Collection</t>
  </si>
  <si>
    <t>b20608676</t>
  </si>
  <si>
    <t>Gunson Street, west side</t>
  </si>
  <si>
    <t>Gunson Street, west side, 31 December 1952. Left side of new two storeyed building 22-3/4 yds north of Angas Street. Frontage of new building 36-1/2 yds. This is the Gunson Street frontage of Southern Motors completed late in 1951. Cadastral plan shows site vacant. For view of this structure from Pulteney Street see B 12822</t>
  </si>
  <si>
    <t>b20610397</t>
  </si>
  <si>
    <t>Gouger Street</t>
  </si>
  <si>
    <t>Gouger Street, north side, 2 December 1952, frontage of the building is 9.5 yards. The premises are 9.5 yards west of Oakley Street. the building is shown on the Cadastral Plan. It was modernised sometime before July 1951. At the time of the photograph it housed a corner shop run by V &amp; A Norsworthy</t>
  </si>
  <si>
    <t>Acre 386 Collection</t>
  </si>
  <si>
    <t>b20610798</t>
  </si>
  <si>
    <t>Gouger Street, north side, 2 December 1952, frontage of building is 16 3/4 yards. This building, erected in 1947, is the premises of the Red Comb Egg Co-operative Society Limited. It is 87 yards east of West Terrace. The site was vacant on the Cadastral Plan. For view of the rear of this building showing alterations made probably in 1953 see B 12970.</t>
  </si>
  <si>
    <t>Acre 391 Collection</t>
  </si>
  <si>
    <t>b20610816</t>
  </si>
  <si>
    <t>Gouger Street, Adelaide</t>
  </si>
  <si>
    <t>[General description] This is the premises of the Red Comb Eggs Co-operative Society, situated beween cottages on the right and industrial buildings on the left. [On back of photograph] 'Acre 391 / Gouger Street, north side / 2 December 1952 / Left side of Red Comb building is 87 yards east of West Terrace / Frontage is 16 3/4 yards / B 12431 is another view / For view of cottages on extreme right see B 13954'</t>
  </si>
  <si>
    <t>b20610841</t>
  </si>
  <si>
    <t>Gouger Street, north side, 2 December 1952, frontage of building is 35 yards. The Arnott Motteram's building is 35.25 yards east of West Terrace. This building was erected in 1952. The site was formerly occupied in part by one cottage. The Cadastral plan shows the site entirely occupied by cottages. Arnott Motteram and Menz, both South Australian companies were acquired by Arnotts biscuit manufacturer in 1950 and by July 1952 the company was known as Arnott Motteram Ltd.</t>
  </si>
  <si>
    <t>Acre 392 Collection</t>
  </si>
  <si>
    <t>b20610889</t>
  </si>
  <si>
    <t>South corner of Gouger Street and West Terrace, 2 December 1952, far end of the building is 29 yards east of West Terrace and the West Terrace frontage is 19 yards. For photograph of the site before this see B 8178. The two doorways on the Gouger Street frontage (left side) of the lubritorium were made during 1949-1951. Electric petrol pumps were installed in 1951.</t>
  </si>
  <si>
    <t>Acre 393 Collection</t>
  </si>
  <si>
    <t>b20611158</t>
  </si>
  <si>
    <t>Gouger Street, south side, 3 December 1952. Left side of centre house is 19 1/2 yards west of Lowe Street. Frontage of centre house is 10 yards. Building shown on Cadastral Plan. No other photographs available.</t>
  </si>
  <si>
    <t>Acre 396 Collection</t>
  </si>
  <si>
    <t>b20611316</t>
  </si>
  <si>
    <t>Gouger Street, south side, December 3rd 1952, left side of Grave's building is 36.5 yards west of Selby Street and frontage is 69 yards. No views of earlier structures available</t>
  </si>
  <si>
    <t>Acre 398 Collection</t>
  </si>
  <si>
    <t>b20611365</t>
  </si>
  <si>
    <t>Gouger Street, south side, December 3rd, 1952, right side of building is 19 3/4 yards east of Selby Street and frontage of building is 10 yards. No earlier photograph available. Cadastral Plan shows site occupied by a cottage set back from the street. Frontage shown in this photograph is probably an addition to the old cottage</t>
  </si>
  <si>
    <t>Acre 399 Collection</t>
  </si>
  <si>
    <t>b20611377</t>
  </si>
  <si>
    <t>Gouger Street, south side, December 3rd 1952, frontage of building is 21 3/4 yards and 40.5 yards to Selby Street. Lighter coloured brick portion of the building andall of roof line was erected in 1952 after a fire (see Advertiser February 4, 1952, 3c) For a view of building before alterations described above see B 4055. The name on the front of the building is JB Sellers Joinery Works</t>
  </si>
  <si>
    <t>b20611523</t>
  </si>
  <si>
    <t>Gouger Street, south side, December 3rd 1952, right side of the Used cars building is 29.5 yards east of Brown Street and frontage is 4 3/4 yards. The Capital Used Car premises were erected in 1950-51 on a site formerly occupied by a cottage which was demolished in 1950. See B 5104. The building is 29.5 yards east of Brown Street in Gouger Street</t>
  </si>
  <si>
    <t>Acre 401 Collection</t>
  </si>
  <si>
    <t>b20613313</t>
  </si>
  <si>
    <t>Angas Street, south side, October 23rd 1952, left side of centre building is 84.5 yards west of Moore Street and frontage is 9.5 yards. Centre building was modernised in approximately 1947. For a view of centre building before alterations made in 1947 see B 1161</t>
  </si>
  <si>
    <t>Acre 411 Collection</t>
  </si>
  <si>
    <t>b20613398</t>
  </si>
  <si>
    <t>Angas Street, south side, October 23rd 1952, left side of centre building is 39.5 yards west of Moore Street and frontage is 5.5 yards. Celulose building modernised c. 1946. For a view of a portion of Cellulose building before alterations, see extreme right of B 9554. Cellulose Australia Limited existed from 1940-1969 and was part of the paper and pulp industry. It became part of Australian Paper Manufacturers in 1969</t>
  </si>
  <si>
    <t>b20613519</t>
  </si>
  <si>
    <t>Angas Street, south side, 21st October 1952. Right side of the centre building is 29 yards east of Moore Street, frontage: 12 yards. For a view of a portion of the centre building before alterations made prior to 1952 see B 5700</t>
  </si>
  <si>
    <t>Acre 413 Collection</t>
  </si>
  <si>
    <t>b20613817</t>
  </si>
  <si>
    <t>Hanson Street, east side on December 30, 1952.  Left side of Regal Motors building is 19 3/4 yards south of Angas Street. Frontage of all white painted buildings between the tow two storey buildings is 19 1/4 yards. For a view of earlier buildings on this site in 1912-17 see B8245. Regal Motors and Auto Panel Repair Company altered probably before 1942</t>
  </si>
  <si>
    <t>Acre 417 Collection</t>
  </si>
  <si>
    <t>b2061391x</t>
  </si>
  <si>
    <t>Angas Street, south side, 2nd December 1982. Right side of house is 53 1/2 yards east of Bewes Street. Frontage: 10 3/4 yards. This photograph shows alterations made to the house during the 1940s. The verandah of the sandstone cottage has been bricked in and louvre windows added</t>
  </si>
  <si>
    <t>Acre 418 Collection</t>
  </si>
  <si>
    <t>b20613945</t>
  </si>
  <si>
    <t>Angas Street, south side, 21st October 1952. S.A.Brass Engineering Co. building erected in 1950 on a vacant site. Left side of building abuts Regent Street. Frontage: approx. 18 1/2 yards. For a view of site before erection of building see B7157.</t>
  </si>
  <si>
    <t>Acre 419 Collection</t>
  </si>
  <si>
    <t>b20613957</t>
  </si>
  <si>
    <t>Eden Street</t>
  </si>
  <si>
    <t>Eden Street, east side, 31st December 1952. Left side of cement building on right of galvanised iron building is 16 1/2 yards south of Angas Street. Frontage: 18 1/2 yards.The cement building on the right of galvanised iron building was erected c.1940-1942, according to a statement by spokesman of Houghton and Byrne, the occupants after 1952</t>
  </si>
  <si>
    <t>b20614111</t>
  </si>
  <si>
    <t>Angas Street, south side, 21st October 1952. Tandy's confectionery factory erected in 1948. Left side of building is 75 yards west of Cardwell Street. Frontage: approx. 53 yards. For buildings formerly on this site see B10911 and B10912. The Workers' Educational Association now occupies this building</t>
  </si>
  <si>
    <t>Acre 421 Collection</t>
  </si>
  <si>
    <t>b20614135</t>
  </si>
  <si>
    <t>Angas Street, south side, 31st December 1952. Left side of Suburban Taxis building is 16 1/4 yards west of Cardwell Street. Frontage: 13 3/4 yards. Premises erected in 1949 on a site formerly occupied as a wood-yard. Some kind of galvanised iron shed existed on the site. Note supplied by spokesman of Suburban Taxis in 1953</t>
  </si>
  <si>
    <t>Acre 422 Collection</t>
  </si>
  <si>
    <t>b20614147</t>
  </si>
  <si>
    <t>Angas Street, south side, 30th December 1952. Left side of the two centre houses is 31 3/4 yards west of Cardwell Street, their frontage is 14 1/2 yards. Two centre buildings have been altered in recent years. Photographed for record only</t>
  </si>
  <si>
    <t>b20614159</t>
  </si>
  <si>
    <t>Angas Street, south side, 31st December 1952. Left side of cottage is about 50 yards west of Cardwell Street. Frontage is about 6 3/4 yards. Note on the back of photograph says "Altered cottage. Photographed for record only"</t>
  </si>
  <si>
    <t>b20614895</t>
  </si>
  <si>
    <t>Carrington Street</t>
  </si>
  <si>
    <t>Carrington Street, north side, 30 December 1952. Left side of building is 30 yards east of Ehmcke's Lane  frontage: approx. 39 yards. Two windows on left end of building were installed in 1944. For view of building before alterations see B 10928. For view of building in 1958 see B 14034</t>
  </si>
  <si>
    <t>Acre 433 Collection</t>
  </si>
  <si>
    <t>b20614901</t>
  </si>
  <si>
    <t>Photograph  14.6 cm x 8.5 cm</t>
  </si>
  <si>
    <t>Carrington Street, north side, 30 December 1952. Left side of Gilbert Barker's premises is 103 1/4 yards east of Ehmcke's Lane. Frontage: 30 yards. See also B 12555</t>
  </si>
  <si>
    <t>b20614950</t>
  </si>
  <si>
    <t>Carrington Street, north side, 30 December 1952. Right side of Pike's building abuts west side of Ehmcke's Lane  frontage: 15 yards. These premises converted in about 1926 from an old two storey house and stables. Pike's building is set back from Carrington Street about 20 yards. Both sides of entrance driveway are occupied by sheds, fences and other buildings. Pike's building was converted and was repainted after 1952</t>
  </si>
  <si>
    <t>Acre 434 Collection</t>
  </si>
  <si>
    <t>b20615371</t>
  </si>
  <si>
    <t>Carrington Street, north side, 30th December 1952. Left side of Amscol building abuts east side of Bewes Street  frontage: 82 3/4 yards. First four sections from the left of this building (i.e. from a little in front of the horse's head to a little left of the first iron and concrete telegraph  or electric light pole) were completed in 1951 For a view of this site in 1923 see B12533. For views illustrating building progress on this site see B5159, B5934, B5230, B12530, B12532, and B12531. Amscol stood for Adelaide Milk Supply Co-operative Limited and was established by farmers in the 1920's to process milk supplies</t>
  </si>
  <si>
    <t>Acre 443 Collection</t>
  </si>
  <si>
    <t>b20615851</t>
  </si>
  <si>
    <t>Carrington Street, north side, December 30th 1952. Left side of the brush fence is 17 yards east of Nelson Street and frontage of brush fence is 14.5 yards. Centre timber framed structure erected on a vacant site about the end of 1949. Site was at one time occupied by a house. For view in 1958 see B 14062</t>
  </si>
  <si>
    <t>Acre 451 Collection</t>
  </si>
  <si>
    <t>b20615966</t>
  </si>
  <si>
    <t>King William Street, east side, December 12th 1952, right side of National Bank is 16.5 yards north of Carrington Street and frontage of bank is 13 yards, frontage of the California Cafe and Milk Bar is 7 yards and frontage of the Crown and Sceptre Hotel is 13 yards.Legacy House is on the corner of Carrinton Street. For a view of California Cafe before alterations and when it was called Cafe Francais, see B 5122. For view of the Crown and Sceptre Hotel before modernisation see B 1806. For view of California Cafe in 1958 see B 14065</t>
  </si>
  <si>
    <t>Acre 452 Collection</t>
  </si>
  <si>
    <t>b20615978</t>
  </si>
  <si>
    <t>King William Street, east side, December 12th 1952, frontage of building is 16.5 yards. Legacy House abuts northern corner of Carrington Street. F rontage of Legacy House is 16.5 yards on King William Street and c. 33 yards on Carrington Street. For a view of this building prior to alterations completed in 1952, see B5136</t>
  </si>
  <si>
    <t>b20616089</t>
  </si>
  <si>
    <t>King William Street, west side, December 12th 1952, frontage of Rasch Motors building is 13 1/4 yards and Wright Street frontage is 33 yards. Note on back of photograph states "no earlier photograph available. Cadastral Plan shows a building on this site. Verandah of Rasch Motors building removed in 1951 or 1952"</t>
  </si>
  <si>
    <t>Acre 453 Collection</t>
  </si>
  <si>
    <t>b20618098</t>
  </si>
  <si>
    <t>King William Street, west side, December 26th 1952, right side of Civic Motors is 35.5 yards south of Wright Street and the frontage is 16 3/4 yards. Civic Motors was established in 1951 on a vacant site.</t>
  </si>
  <si>
    <t>Acre 484 Collection</t>
  </si>
  <si>
    <t>b2061830x</t>
  </si>
  <si>
    <t>King William Street, east side, corner of Carrington Street, 12th December 1952. Left side of Trim's building abuts southern corner of Carrington Street. Frontage of Trim's Building 18 yards on King William Street and 33 yards on Carrington Street. No earlier photograph available. Cadastral plan shows site vacant. Modernisation of the building was completed in 1949. For view of rear of Trim's premises see B 13174. Trims traded on this site since 1937</t>
  </si>
  <si>
    <t>Acre 485 Collection</t>
  </si>
  <si>
    <t>b20618669</t>
  </si>
  <si>
    <t>Carrington Street, South Side</t>
  </si>
  <si>
    <t>Carrington Street, south side, 30 December 1952. Left side of lighter coloured part of the house is 5 1/2 yards west of the east side of Moore Street. Frontage of entire house: 12 1/2 yards. The white cement portion was probably added some time after 1940.</t>
  </si>
  <si>
    <t>Acre 488 Collection</t>
  </si>
  <si>
    <t>b20620305</t>
  </si>
  <si>
    <t>Halifax Street</t>
  </si>
  <si>
    <t>Halifax Street, north side, December 30th 1952, left side of white pillared cottage is 49 1/4 yards east of Hurtle Square East,  and the frontage is 6.9 yards. This is an old cottage altered in recent years</t>
  </si>
  <si>
    <t>Acre 519 Collection</t>
  </si>
  <si>
    <t>b20620445</t>
  </si>
  <si>
    <t>Hurtle Square</t>
  </si>
  <si>
    <t>Hurtle Square, west side, December 30th 1952. Left side of white cottage is 45 yards north of Halifax Street and frontage is 10 yards. This is an old cottage modernised prior to 1952</t>
  </si>
  <si>
    <t>Acre 522 Collection</t>
  </si>
  <si>
    <t>b20621061</t>
  </si>
  <si>
    <t>King William Street, east side,northern corner of King William Street and Halifax Street, December 12th 1952, frontage of building is 5.5 yards. The right side of the corner building abuts Halifax Street. No earlier photograph available. Corner building was modernised during 1952. The photograph shows Rainsford Portrait Studio and a dry cleaning business next to the corner building</t>
  </si>
  <si>
    <t>Acre 528 Collection</t>
  </si>
  <si>
    <t>b20621188</t>
  </si>
  <si>
    <t>King William Street, west side, December 12th 1952, left side of centre building is 28.5 yards north of Sturt Street and frontage is 19.5 yards. For a view of the portion of the building before alterations completed in 1949 see extreme right of B 10566</t>
  </si>
  <si>
    <t>Acre 529 Collection</t>
  </si>
  <si>
    <t>b20623197</t>
  </si>
  <si>
    <t>King William Street, west side, December 26th 1952, frontage of building is 20.5 yards. Right side of the Jacob's Building abuts Sturt Street and the frontage is 20.5 yards on King William Street and 31.75 yards on Sturt Street. For a view of this building before alterations were made in 1944 see B 4814. W Jacobs Limited were dairy produce merchants</t>
  </si>
  <si>
    <t>Acre 560 Collection</t>
  </si>
  <si>
    <t>b2062377x</t>
  </si>
  <si>
    <t>Halifax Street, south side, December 30th 1952, left side of the centre cottage is 20 yards west of Wakeham Street and frontage of the centre cottage is 10 yards. Centre cottage has been altered in recent years. Photographed for record only</t>
  </si>
  <si>
    <t>Acre 571 Collection</t>
  </si>
  <si>
    <t>b20625200</t>
  </si>
  <si>
    <t>Hutt Street</t>
  </si>
  <si>
    <t>North east corner of Hutt Street and Gilles Street, December 31st 1952. Claude Brown Service Station abuts Gilles Street. Frontage of service station is 16.75 yards on Hutt Street and 20 yards on Gilles Street. For a view of this service station taken in 1928 see B 4787</t>
  </si>
  <si>
    <t>Acre 590 Collection</t>
  </si>
  <si>
    <t>b20625297</t>
  </si>
  <si>
    <t>Gilles Street</t>
  </si>
  <si>
    <t>Gilles Street, north side, December 30th 1952, right side of the Wise Engine Service Limited building is 37.5 yards west of Hutt Street and frontage is 16.5 yards. This structure was partly converted from three shops. Alterations were completed in 1952</t>
  </si>
  <si>
    <t>Acre 591 Collection</t>
  </si>
  <si>
    <t>b20625534</t>
  </si>
  <si>
    <t>Gilles Street, north side, December 30th 1952. Left side of centre cottage is 33.5 yards east of Harriett Street and frontage is 11.5 yards.This is an old cottage modernised prior to 1952</t>
  </si>
  <si>
    <t>Acre 596 Collection</t>
  </si>
  <si>
    <t>b20625625</t>
  </si>
  <si>
    <t>Shell service station, Hanson Street</t>
  </si>
  <si>
    <t>Hanson Street, east side, November 11th 1952, frontage of service station building is 25 yards and Gilles Street frontage is 8 yards. According to a researcher, Colin Hubbard owned the business shown. It was established by his father Walter Henry Hubbard in 1925. Walter subleased it to his stepfather Alfred Lear. Alf Lear's son Edward John Norman Lear (Ted Lear) owned it and Colin worked there as a youngster then owned it and rebuilt it in 1952. This photo was taken before the rebuild for historical record. Colin died in 1960. Buildings were demolished in 1952. No earlier photograph available. Buildings apparently shown on Cadastral Plan. The Government of South Australia obtained this valuable property via the Torrens Title Land System from Mrs Lucy Hubbard</t>
  </si>
  <si>
    <t>Service stations -- South Australia -- Adelaide</t>
  </si>
  <si>
    <t>Acre 598 Collection</t>
  </si>
  <si>
    <t>b20625637</t>
  </si>
  <si>
    <t>Hanson Street, east side, November 11th 1952. View shows whole of Hanson Street frontage of Acre 598. This site, formerly bounded by a high galvanised iron fence, was occupied by some nondescript iron structures. Fence and sheds were demolished in 1952. Site vacant (except for one structure) on Cadastral Plan</t>
  </si>
  <si>
    <t>b20626162</t>
  </si>
  <si>
    <t>Gilbert Street</t>
  </si>
  <si>
    <t>Gilbert Street, north side, December 17th 1952, right side of centre building (ERG) is 28 yards west of King William Street, and frontage is 12 1/4 yards. ERG Building was erected in 1950. No earlier photograph available. According to a member of ERG sheet metal work's staff, the site was earlier occupied by a wood/iron shed set back from the road</t>
  </si>
  <si>
    <t>b20626228</t>
  </si>
  <si>
    <t>[General description] Buildings and parked cars on the southern end of  King William Street. [On back of photograph] 'Acre 607 / King William Street, west side / December 15th 1952 / Right side of centre building is 60 yards north of Gilbert Street / The two shops on the right have a frontage of 10 yards / Photographed for record'</t>
  </si>
  <si>
    <t>b20627385</t>
  </si>
  <si>
    <t>Gilbert Street, south side, December 26th 1952, right side of the white pillared two storey building is 3.5 yards east of O'Brien Street. Frontage of the white pillared two storey building was altered after 1952. Frontage of the building is 22.5 yards. The building contains three identical cottages. Iron laceworks adorns the upper balconies</t>
  </si>
  <si>
    <t>Acre 624 Collection</t>
  </si>
  <si>
    <t>b20627506</t>
  </si>
  <si>
    <t>Gilbert Street, south side, 17 December 1952, right side of the Kar-Fix Engineering Company Limited Building is 1 3/4 yards east of Vinrace Street and frontage is 11.5 yards. For view of Kar-Fix Building prior to alterations made in 1949 see B 4170</t>
  </si>
  <si>
    <t>Acre 626 Collection</t>
  </si>
  <si>
    <t>b20628201</t>
  </si>
  <si>
    <t>Gilbert Street, south side, 17th December, 1952. Left side of Newton McLaren's building is 27 1/2 yards west of O'Halloran Street  frontage: 41 1/2 yards. No photographs of earlier structures onthis site are available. Cadastral Plan shows house (?) occupying part of the western half of the site. Newton McLaren's building was erected in 1952. Newton McLaren Limited was an electrical engineers and suppliers business handling all classes of engineering activities from the smallest lighting job to the largest pumping plant, town lighting scheme, ventilation or refrigeration installation</t>
  </si>
  <si>
    <t>Acre 635 Collection</t>
  </si>
  <si>
    <t>b20628250</t>
  </si>
  <si>
    <t>Gilbert Street, south side, 17th December, 1952. Right side of Motors Ltd Building is 22 1/4 yards east of O'Halloran Street  frontage of Motors Limited Building is 24 1/4 yards. For view of this building in 1939, see B8171. For cottages formerly on this site, see B5157.</t>
  </si>
  <si>
    <t>Acre 636 Collection</t>
  </si>
  <si>
    <t>b20628328</t>
  </si>
  <si>
    <t>Gilbert Street, Adelaide</t>
  </si>
  <si>
    <t>Gilbert Street, south side. 17 December 1952. Right side of Waymouth Service building, 59-1/2 yards east of O'Halloran Street, frontage of Waymouth Service Building is 53-1/2 yards. For views taken in 1960 see B 14375-77</t>
  </si>
  <si>
    <t>Acre 637 Collection</t>
  </si>
  <si>
    <t>b20628444</t>
  </si>
  <si>
    <t>King William Street, west side, 13 December 1952. Les Casey's Cafe is 30 yards north of Lorne Street, frontage: 10 yards. No earlier photograph available. Apparently a new front on an existing structure. Building was modernised in 1951. For a view of alterations made to Les Casey's Cafe in 1953 see B 12686</t>
  </si>
  <si>
    <t>Acre 638 Collection</t>
  </si>
  <si>
    <t>b20628535</t>
  </si>
  <si>
    <t>King William Street, southern corner of Gilles Street, 13 December 1952. Left side of Service Station abuts the southern corner of Gilles Street  frontage: 34 3/4 yards to King William Street &amp; 32 1/2 yards to Gilles Street. See B5127 for a view before alterations were made in 1952</t>
  </si>
  <si>
    <t>Acre 639 Collection</t>
  </si>
  <si>
    <t>b20628547</t>
  </si>
  <si>
    <t>Gilles Street, South Side</t>
  </si>
  <si>
    <t>Gilles Street, south side, 30 December 1952. Right side of house 37 3/4 yards east of King William Street. Frontage of house is 11.5 yards. For view of this house taken in 1929 and before modernisation see extreme left of B 5127</t>
  </si>
  <si>
    <t>b20628626</t>
  </si>
  <si>
    <t>Gilles Street, south side, 30 December 1952. Cottage abuts west side of Symonds Place  frontage: 10 yards. For view of portion of this cottage taken in 1913 and before alterations see B 772</t>
  </si>
  <si>
    <t>Acre 640 Collection</t>
  </si>
  <si>
    <t>b20628948</t>
  </si>
  <si>
    <t>Hanson Street, West Side</t>
  </si>
  <si>
    <t>Hanson Street, west side, 30 December 1952. Right side of Tonkin Radiators building is 13 1/2 yards south of Gilles Street  frontage: 14 1/2 yards. For a view of Tonkin Radiators building before certain alterations made in 1952 see B 12515</t>
  </si>
  <si>
    <t>Acre 645 Collection</t>
  </si>
  <si>
    <t>b20629175</t>
  </si>
  <si>
    <t>Gilles Street, south side, 30 December 1952. Right side of building is 12 3/4 yards east of Louisa Street. Frontage: 24 /14 yards. This building was erected on a vacant site (according to spokesman of Southcotts who originally erected the first built portion). The 14.25 yards of frontage on the right side were erected about 1942, and the 10 yards on the left were erected in 1948</t>
  </si>
  <si>
    <t>Acre 652 Collection</t>
  </si>
  <si>
    <t>b20629266</t>
  </si>
  <si>
    <t>Gilles Street, south side, 30 December 1952. Right side of cottage with furled canvas blinds is 61 3/4 yards east of Hutt Street  frontage: 8 yards. This is an old cottage altered, probably some time after 1940</t>
  </si>
  <si>
    <t>Acre 655 Collection</t>
  </si>
  <si>
    <t>b20629345</t>
  </si>
  <si>
    <t>Gilles Street, south side, 30 December 1952. Left side of stone house is 50 yards west of Vincent Street. Frontage of the stone house 9 1/2 yards.This is a new house erected in recent years (site shown as partly occupied on Cadastral Plan)</t>
  </si>
  <si>
    <t>Acre 656 Collection</t>
  </si>
  <si>
    <t>b20629916</t>
  </si>
  <si>
    <t>264 Hutt Street</t>
  </si>
  <si>
    <t>264 Hutt Street, east side, 31 December 1952. Right side of house is 44 yards north of South Terrace. Frontage: 12 yards. Note on back of photograph says "Photographed for record only. Probably an old house modernised". The villa has been adorned by a flat sandstone facade complete with a porthole window</t>
  </si>
  <si>
    <t>Acre 668 Collection</t>
  </si>
  <si>
    <t>b20630062</t>
  </si>
  <si>
    <t>297-8 South Terrace</t>
  </si>
  <si>
    <t>297-8 South Terrace east, 31st December 1952. Left side of house abuts east side of Louisa Street. Frontage: 15 1/2 yards. This is an old cottage modernised</t>
  </si>
  <si>
    <t>Acre 671 Collection</t>
  </si>
  <si>
    <t>b20630128</t>
  </si>
  <si>
    <t>South Terrace</t>
  </si>
  <si>
    <t>Torrens House, South Terrace east, 31st December 1952. Left side of Torrens House, a training school for Infant Welfare and Mothercraft, is 51 1/2 yards east of Charlotte Street  frontage: 18 1/2 yards. Additions and alterations were completed on 6th October 1950. Torrens House was part of Mothers and Babies Health Association. There is accommodation for mothers and babies also. Torrens House was opened on August 29, 1938</t>
  </si>
  <si>
    <t>Acre 672 Collection</t>
  </si>
  <si>
    <t>b2063013x</t>
  </si>
  <si>
    <t>South Terrace east, Number 283, 21st December 1952. Left side of centre cottage is 40.25 yards east of Charlotte Street, its frontage is 9 3/4 yards. This was an old cottage that was modernised in c.1940</t>
  </si>
  <si>
    <t>b20630621</t>
  </si>
  <si>
    <t>South Terrace east, 21st October 1952. Viner Transport Company premises remodelled, 1941-2. Right side of its building is 30 1/2 yards west of Hanson Street. Frontage: 23 1/2 yards.For building before remodelling see B 10540. The building on the left has Green Dragon Depository written on the wall and building on the corner of South Terrace and Hanson Street (Pulteney Street) is Noonan Hotel which sells Orlando Wines</t>
  </si>
  <si>
    <t>Acre 677 Collection</t>
  </si>
  <si>
    <t>b20631042</t>
  </si>
  <si>
    <t>King William Street, east side, December 13 1952. Right side of Swain House is 39-1/2 yards north of South Terrace, frontage is 29-1/2 yards. Swain House erected in 1952 on a vacant site. For a view of the hoarding in front of the site in 1929 see B 5131</t>
  </si>
  <si>
    <t>Acre 684 Collection</t>
  </si>
  <si>
    <t>b20631169</t>
  </si>
  <si>
    <t>King William Street, west side, December 13th 1952, frontage of Future Motors is 18.5 yards to King William Street. Left side of Future Motor's allotment abuts Lorne Street. For a view of site in 1952 when surrounded by a hoarding see B 2652, The fence was removed about 1947. A service station on the site was used privately by a taxi company but in 1952 the service station was made a public one</t>
  </si>
  <si>
    <t>Acre 685 Collection</t>
  </si>
  <si>
    <t>b20631224</t>
  </si>
  <si>
    <t>South Terrace west, numbers 147 and 149, (148 is between these two houses but is not visible in this photograph) December 31st 1952, right side of centre building is 73 1/4 yards west of King William Street, frontage is 10 1/4 yards, frontage of the two storey building on the left is 8 yards and the frontage of the two storey building on the right is 10.1/4 yards. The building between the two two storey buildings is 6 yards. These were old structures which were modernised prior to 1952</t>
  </si>
  <si>
    <t>Acre 686 Collection</t>
  </si>
  <si>
    <t>b20631522</t>
  </si>
  <si>
    <t>South Terrace, west side, December 31st 1952, left side of centre cottage is 43 yards east of Brown Street and frontage is 12 yards. This is an old building modernised by adding a portico around the front door</t>
  </si>
  <si>
    <t>Acre 692 Collection</t>
  </si>
  <si>
    <t>b20631649</t>
  </si>
  <si>
    <t>Number 73 South Terrace, west side on 31 December 1952. Right side of centre cottage is 47 yards west of Brown Street and frontage is 10 yards. For a view of this cottage taken in 1928 see B 5829</t>
  </si>
  <si>
    <t>Acre 693 Collection</t>
  </si>
  <si>
    <t>b20632034</t>
  </si>
  <si>
    <t>West Terrace number 193, 31 December 1952. Right side of house is 44 yards north of South Terrace and frontage of the house with the gable verandah is 9 3/4 yards. For a view of this building in 1931, see B 5920</t>
  </si>
  <si>
    <t>Acre 700 Collection</t>
  </si>
  <si>
    <t>b20634791</t>
  </si>
  <si>
    <t>Brougham Place, south side, 10th October 1952, frontage of building is 28 yards on Brougham Place and 20.5 yards on King William Road, and is set back 12 feet from King William Road, and 2 feet from Brougham Place. This is the Mitchell Building at the Children's Hospital. The building was erected on a vacant site in 1944</t>
  </si>
  <si>
    <t>Acre 730 Collection</t>
  </si>
  <si>
    <t>b20635187</t>
  </si>
  <si>
    <t>Brougham Place, south side, 10th October 1952, left side of building is 7.5 yards west of Sir Edwin Smith Avenue and frontage is approximately 80 yards. Children's Hospital Nurses Quarters. The seven storey building was erected on a vacant site in 1949</t>
  </si>
  <si>
    <t>Acre 732 Collection</t>
  </si>
  <si>
    <t>b2064923x</t>
  </si>
  <si>
    <t>Adelaide</t>
  </si>
  <si>
    <t>Photograph  24.4 cm x 18.5 cm</t>
  </si>
  <si>
    <t>Aerial View of Adelaide.</t>
  </si>
  <si>
    <t>Adelaide (S.A.) -- Aerial photographs</t>
  </si>
  <si>
    <t>Adelaide Views Collection;A Collection</t>
  </si>
  <si>
    <t>b20652057</t>
  </si>
  <si>
    <t>Adelaide Boys High School</t>
  </si>
  <si>
    <t>Adelaide Boys High School, west side of West Terrace, 31st December 1952. For a view of the Observatory that formerly occupied this site see B9430. Adelaide High School came about due to the amalgamation of Advanced School for Girls and the Adelaide Continuation School in 1908. It was the first secondary school in the Commonwealth of Australia. The present site was erected on West Terrace between 1947-1951. This became the Adelaide Boys High School while the Adelaide Girls High School remained in Grote Street</t>
  </si>
  <si>
    <t>Adelaide Boys High School;West Terrace (Adelaide, S.A.);High school buildings -- South Australia -- Adelaide</t>
  </si>
  <si>
    <t>Adelaide Views Collection;Adelaide Boys High School Collection</t>
  </si>
  <si>
    <t>b2066171x</t>
  </si>
  <si>
    <t>Government House gateway</t>
  </si>
  <si>
    <t>Photograph  13.3 cm x 9.4 cm</t>
  </si>
  <si>
    <t>Funerary hatchment of King George VI at Gateway of Government House.</t>
  </si>
  <si>
    <t>Adelaide Views Collection;Government House Collection</t>
  </si>
  <si>
    <t>b20661721</t>
  </si>
  <si>
    <t>Funerary hatchment of King George VI</t>
  </si>
  <si>
    <t>b20671179</t>
  </si>
  <si>
    <t>Parliament</t>
  </si>
  <si>
    <t>Photograph  16.5 cm x 16.0 cm</t>
  </si>
  <si>
    <t>Opening of South Austrarlian State Parliament by the Lieutenant Governor Sir Mellis Napier on June, 25, 1952. The photograph shows the official party leaving Parliament House after hearing Sir Mellis Napier's address</t>
  </si>
  <si>
    <t>Adelaide Views Collection;Parliament Collection</t>
  </si>
  <si>
    <t>b2067126x</t>
  </si>
  <si>
    <t>Parliament House</t>
  </si>
  <si>
    <t>Photograph  16.3 cm x 11.8 cm</t>
  </si>
  <si>
    <t>Parliament House. Proclamation announcing Accession of H.M. Queen Elizabeth II.</t>
  </si>
  <si>
    <t>Elizabeth II, Queen of Great Britain, 1926-;Norrie, Willoughby, Sir, 1893-1977;Proclamations -- South Australia -- Adelaide</t>
  </si>
  <si>
    <t>b20736782</t>
  </si>
  <si>
    <t>Sinclair, Brian William, photographer</t>
  </si>
  <si>
    <t>Changing a tyre on a Hillman motor car</t>
  </si>
  <si>
    <t>photograph  15 x 21.5</t>
  </si>
  <si>
    <t>GENERAL: Trevor Colwell changing a tyre on the back wheel of his Hillman motor car during a trip in South Australia.</t>
  </si>
  <si>
    <t>Colwell, Trevor;Hillman automobile -- Maintenance and repair;Automobiles -- South Australia</t>
  </si>
  <si>
    <t>b20740347</t>
  </si>
  <si>
    <t>Mintaro Football Club</t>
  </si>
  <si>
    <t>Photograph (b&amp;w print)  16 cm x 21.2 cm (image)   19.5 cm x 22.3 cm (mount);RESERVE 1</t>
  </si>
  <si>
    <t>MINTARO: Members of the Mintaro Football Club, Premiers of the Mid-North Association B Grade, 1952. Back row: 1) Young  2) A. Hall  Middle row: 5) S. Davis  6) E. Mitchell. Front row: 3) Vin Jenner  4) Ivan Button 6) Dan Smith  other names not known.</t>
  </si>
  <si>
    <t>Australian football players -- South Australia -- Mintaro</t>
  </si>
  <si>
    <t>b20773481</t>
  </si>
  <si>
    <t>Saltbush near Berri</t>
  </si>
  <si>
    <t>BERRI: A view of saltbush near Berri in April 1952.</t>
  </si>
  <si>
    <t>b20773493</t>
  </si>
  <si>
    <t>Irrigation of citrus trees at Berri</t>
  </si>
  <si>
    <t>BERRI: A view showing the irrigation of citrus trees at Berri, in April 1952.</t>
  </si>
  <si>
    <t>b20773560</t>
  </si>
  <si>
    <t>The weir and lock at Renmark</t>
  </si>
  <si>
    <t>RENMARK: A view of the weir and lock.</t>
  </si>
  <si>
    <t>Weirs -- South Australia -- Renmark;Locks (Hydraulic Engineering) -- South Australia -- Renmark</t>
  </si>
  <si>
    <t>b20773572</t>
  </si>
  <si>
    <t>Blanchetown ferry</t>
  </si>
  <si>
    <t>BLANCHETOWN: The punt across the Murray.</t>
  </si>
  <si>
    <t>Ferries -- South Australia -- Blanchetown</t>
  </si>
  <si>
    <t>Blanchetown Collection</t>
  </si>
  <si>
    <t>b2078207x</t>
  </si>
  <si>
    <t>Willunga Recreation Ground Memorial Gates</t>
  </si>
  <si>
    <t>WILLUNGA: Willunga Recreation Ground Memorial Gates, officially opened by the Chairman of the District Council in September, 1952. The gates are a memorial to Rev. E.K. Miller and Mr. F.L. Aldam.</t>
  </si>
  <si>
    <t>Memorials -- South Australia -- Willunga;Recreation Areas -- South Australia -- Willunga</t>
  </si>
  <si>
    <t>b20798659</t>
  </si>
  <si>
    <t>Members of the Stirling Football Club</t>
  </si>
  <si>
    <t>Photograph (b&amp;w print)  16 cm x 20.7 cm;RESERVE 1</t>
  </si>
  <si>
    <t>STIRLING: Members of the Stirling Football Club, Premiers Hills Association, 1952.</t>
  </si>
  <si>
    <t>Australian football players -- South Australia -- Stirling</t>
  </si>
  <si>
    <t>b20808860</t>
  </si>
  <si>
    <t>York Studio, photographer</t>
  </si>
  <si>
    <t>Pupils of Two Wells Public School with their teachers</t>
  </si>
  <si>
    <t>Photograph (b&amp;w print)  12 cm x 16.4 cm (image)   14.5 cm x 18.3 cm (mount);RESERVE 1</t>
  </si>
  <si>
    <t>TWO WELLS: Pupils of Two Wells Public School with the head teacher, J.T. Brazil and his assistant, Miss V.C. Nixon.</t>
  </si>
  <si>
    <t>Brazil, Jack;Nixon, Valerie C.;Children -- South Australia -- Two Wells;Teachers -- South Australia -- Two Wells</t>
  </si>
  <si>
    <t>Two Wells Collection</t>
  </si>
  <si>
    <t>b20809165</t>
  </si>
  <si>
    <t>Kapunda Football Club</t>
  </si>
  <si>
    <t>KAPUNDA: Kapunda Football Club, Premiers, Barossa and Light Association, A Grade, season 1952.</t>
  </si>
  <si>
    <t>Kapunda Football Club;Australian football players -- South Australia -- Kapunda</t>
  </si>
  <si>
    <t>Kapunda Collection</t>
  </si>
  <si>
    <t>b20816443</t>
  </si>
  <si>
    <t>Arthur J. (Bert) Bertram</t>
  </si>
  <si>
    <t>PORTRAIT: Arthur J. (Bert) Bertram.</t>
  </si>
  <si>
    <t>b20824014</t>
  </si>
  <si>
    <t>Sybill Sheidow and Geraldine Brown</t>
  </si>
  <si>
    <t>Photograph (b&amp;w print)  13.9 cm x 8.8 cm;RESERVE 1</t>
  </si>
  <si>
    <t>PORTRAIT: Sybil Sheidow and Geraldine Brown, members of the Lawn Tennis Association, wearing the 'good old days' costume. Geraldine Brown, later Mrs Gerry Kaminski, worked in the area of Mycology at the Children's Hospital and was awarded the O.A.M. in 1985.</t>
  </si>
  <si>
    <t>Women -- South Australia;Tennis -- South Australia</t>
  </si>
  <si>
    <t>b20824026</t>
  </si>
  <si>
    <t>Members of the Lawn Tennis Association at Memorial Drive</t>
  </si>
  <si>
    <t>Photograph (b&amp;w print)  8.7 cm x 13.9 cm;RESERVE 1</t>
  </si>
  <si>
    <t>GENERAL: Members of the Lawn Tennis Association at Memorial Drive wearing 'old times' costume  Geraldine Brown second from the left.</t>
  </si>
  <si>
    <t>b20824750</t>
  </si>
  <si>
    <t>Members of the Red Cross</t>
  </si>
  <si>
    <t>Photograph (b&amp;w print)  8.5 cm x 13.6 cm;RESERVE 1</t>
  </si>
  <si>
    <t>GENERAL: Members of the Red Cross, Diana Brooks far left.</t>
  </si>
  <si>
    <t>Red Cross (S.A.);Women -- South Australia</t>
  </si>
  <si>
    <t>b20901896</t>
  </si>
  <si>
    <t>Photograph (b&amp;w print)  12.5 cm x 11 cm;RESERVE 1 album</t>
  </si>
  <si>
    <t>500 class engine No.502 and carriages at Sleeps Hill, 26 January 1952.</t>
  </si>
  <si>
    <t>b20901902</t>
  </si>
  <si>
    <t>Photograph (b&amp;w print)  15.5 cm x 10.7 cm;RESERVE 1 album</t>
  </si>
  <si>
    <t>500 class engine and carriages at Long Gully, 30 August 1952.</t>
  </si>
  <si>
    <t>Railroads -- South Australia -- Trains;Railroads -- South Australia -- Long Gully</t>
  </si>
  <si>
    <t>b20901926</t>
  </si>
  <si>
    <t>Photograph (b&amp;w print)  11.5 cm x 12.7 cm;RESERVE 1 album</t>
  </si>
  <si>
    <t>500 class engine No.506 and carriages at Long Gully, 23 February 1952.</t>
  </si>
  <si>
    <t>b20901938</t>
  </si>
  <si>
    <t>Photograph (b&amp;w print)  10.6 cm x 15 cm;RESERVE 1 album</t>
  </si>
  <si>
    <t>500 class engine No.508 and carriages at Clapham, 2 February 1952.</t>
  </si>
  <si>
    <t>b2090194x</t>
  </si>
  <si>
    <t>500 class engine No.502 and carriages at Blackwood Station, April 1952.</t>
  </si>
  <si>
    <t>b20901951</t>
  </si>
  <si>
    <t>500 class engine No.504 and carriages at Eden Hills.</t>
  </si>
  <si>
    <t>b20901963</t>
  </si>
  <si>
    <t>500 class engine No.502 and carriages at Clapham.</t>
  </si>
  <si>
    <t>b20901975</t>
  </si>
  <si>
    <t>Photograph (b&amp;w print)  15.2 cm x 10.5 cm;RESERVE 1 album</t>
  </si>
  <si>
    <t>500 class engine No.504 and carriages at Long Gully.</t>
  </si>
  <si>
    <t>b20901987</t>
  </si>
  <si>
    <t>Photograph (b&amp;w print)  15.4 cm x 10.8 cm;RESERVE 1 album</t>
  </si>
  <si>
    <t>500 class engine No.501 and carriages at Eden Hills.</t>
  </si>
  <si>
    <t>b20901999</t>
  </si>
  <si>
    <t>Photograph (b&amp;w print)  15.3 cm x 10.4 cm;RESERVE 1 album</t>
  </si>
  <si>
    <t>500 class engine No.507 and carriages at Eden Hills.</t>
  </si>
  <si>
    <t>b20902013</t>
  </si>
  <si>
    <t>Photograph (b&amp;w print)  11 cm x 15.3 cm;RESERVE 1 album</t>
  </si>
  <si>
    <t>500 class engine No.508 and carriages at Clapham.</t>
  </si>
  <si>
    <t>b20902025</t>
  </si>
  <si>
    <t>Two trains '735 and 509' at Belair.</t>
  </si>
  <si>
    <t>b20902359</t>
  </si>
  <si>
    <t>Photograph (b&amp;w print)  8.2 cm x 14.7 cm;RESERVE 1 album</t>
  </si>
  <si>
    <t>Train at Mount Lofty.</t>
  </si>
  <si>
    <t>b20902360</t>
  </si>
  <si>
    <t>Train from Tailem bend with coach off the 'Overland' (at head end) at Eden Hills.</t>
  </si>
  <si>
    <t>b20902396</t>
  </si>
  <si>
    <t>Photograph (b&amp;w print)  11.6 cm x 12.5 cm;RESERVE 1 album</t>
  </si>
  <si>
    <t>Special troop train to Calute at Long Gully.</t>
  </si>
  <si>
    <t>b20902426</t>
  </si>
  <si>
    <t>Photograph (b&amp;w print)  6.2 cm x 12.6 cm;RESERVE 1 album</t>
  </si>
  <si>
    <t>Train at Mile End.</t>
  </si>
  <si>
    <t>b20902438</t>
  </si>
  <si>
    <t>b20902505</t>
  </si>
  <si>
    <t>Broken Hill Express at North Adelaide, February 1952.</t>
  </si>
  <si>
    <t>b20902517</t>
  </si>
  <si>
    <t>Photograph (b&amp;w print)  7.2 cm x 20.5 cm;RESERVE 1 album</t>
  </si>
  <si>
    <t>b20902645</t>
  </si>
  <si>
    <t>Photograph (b&amp;w print)  10.8 cm x 14.8 cm;RESERVE 1 album</t>
  </si>
  <si>
    <t>East West Express No. 603 at North  Adelaide, November 1952.</t>
  </si>
  <si>
    <t>b20902669</t>
  </si>
  <si>
    <t>Photograph (b&amp;w print)  12 cm x 12.7 cm;RESERVE 1 album</t>
  </si>
  <si>
    <t>Train No. 607 at Tailem Bend, 28 January 1952.</t>
  </si>
  <si>
    <t>b20902670</t>
  </si>
  <si>
    <t>Passenger train No. 606 at Tailem Bend, 28 January 1952.</t>
  </si>
  <si>
    <t>b20902773</t>
  </si>
  <si>
    <t>Photograph (b&amp;w print)  9.7 cm x 15 cm;RESERVE 1 album</t>
  </si>
  <si>
    <t>Passenger train at Dry Creek.</t>
  </si>
  <si>
    <t>b20902797</t>
  </si>
  <si>
    <t>Photograph (b&amp;w print)  9.8 cm x 15.4 cm;RESERVE 1 album</t>
  </si>
  <si>
    <t>Passenger train passing the signal box at Adelaide, November 1952.</t>
  </si>
  <si>
    <t>b2090289x</t>
  </si>
  <si>
    <t>Engine No.607 at Tailem Bend, 28 January 1952.</t>
  </si>
  <si>
    <t>b20902906</t>
  </si>
  <si>
    <t>South East Express (engine No.601) at Tailem Bend, 28 January 1952.</t>
  </si>
  <si>
    <t>b20902918</t>
  </si>
  <si>
    <t>Goods train (engine No.607) at Tailem Bend, 28 January 1952.</t>
  </si>
  <si>
    <t>b20903030</t>
  </si>
  <si>
    <t>Oakbank Race train at Blackwood, 14 April 1952.</t>
  </si>
  <si>
    <t>b20903042</t>
  </si>
  <si>
    <t>Photograph (b&amp;w print)  9.2 cm x 20 cm;RESERVE 1 album</t>
  </si>
  <si>
    <t>Passenger train at Clapham, 26 January 1952.</t>
  </si>
  <si>
    <t>b20903054</t>
  </si>
  <si>
    <t>Photograph (b&amp;w print)  9.1 cm x 19.9 cm;RESERVE 1 album</t>
  </si>
  <si>
    <t>Engine No.709 and tender at Mile End.</t>
  </si>
  <si>
    <t>b2090308x</t>
  </si>
  <si>
    <t>Oakbank Race train at Belair.</t>
  </si>
  <si>
    <t>b20903091</t>
  </si>
  <si>
    <t>Pinnaroo Express at Upper Sturt, 30 August 1952.</t>
  </si>
  <si>
    <t>Railroads -- South Australia -- Trains;Railroads -- South Australia -- Upper Sturt</t>
  </si>
  <si>
    <t>b20903145</t>
  </si>
  <si>
    <t>Photograph (b&amp;w print)  14.5 cm x 10.7 cm;RESERVE 1 album</t>
  </si>
  <si>
    <t>Oakbank Race train at Pinera, 14 April 1952.</t>
  </si>
  <si>
    <t>Railroads -- South Australia -- Trains;Railroads -- South Australia -- Pinera</t>
  </si>
  <si>
    <t>b20903157</t>
  </si>
  <si>
    <t>North Adelaide - Dry Creek transfer.</t>
  </si>
  <si>
    <t>b20903261</t>
  </si>
  <si>
    <t>Photograph (b&amp;w print)  6.8 cm x 20.1 cm;RESERVE 1 album</t>
  </si>
  <si>
    <t>Engine No.711 and tender at Mile End.</t>
  </si>
  <si>
    <t>b20903315</t>
  </si>
  <si>
    <t>Photograph (b&amp;w print)  14.7 cm x 10.8 cm;RESERVE 1 album</t>
  </si>
  <si>
    <t>b20903571</t>
  </si>
  <si>
    <t>Photograph (b&amp;w print)  11 cm x 13 cm;RESERVE 1 album</t>
  </si>
  <si>
    <t>Goods train (engine No.724) at Sleeps Hill.</t>
  </si>
  <si>
    <t>b20903753</t>
  </si>
  <si>
    <t>Photograph (b&amp;w print)  10.6 cm x 12.7 cm;RESERVE 1 album</t>
  </si>
  <si>
    <t>Goods train at Mount Lofty, 29 March 1952.</t>
  </si>
  <si>
    <t>b20903765</t>
  </si>
  <si>
    <t>Photograph (b&amp;w print)  7.5 cm x 13 cm</t>
  </si>
  <si>
    <t>b20903777</t>
  </si>
  <si>
    <t>b20903789</t>
  </si>
  <si>
    <t>Photograph (b&amp;w print)  8 cm x 15.5 cm;RESERVE 1 album</t>
  </si>
  <si>
    <t>Gawler Race train at North Adelaide.</t>
  </si>
  <si>
    <t>b20903790</t>
  </si>
  <si>
    <t>Photograph (b&amp;w print)  10.7 cm x 15.4 cm;RESERVE 1 album</t>
  </si>
  <si>
    <t>b20903807</t>
  </si>
  <si>
    <t>Photograph (b&amp;w print)  10.6 cm x 15.1 cm;RESERVE 1 album</t>
  </si>
  <si>
    <t>b20903819</t>
  </si>
  <si>
    <t>Photograph (b&amp;w print)  9 cm x 14 cm;RESERVE 1 album</t>
  </si>
  <si>
    <t>Oakbank Race train at Belair, 14 April 1952.</t>
  </si>
  <si>
    <t>b20903820</t>
  </si>
  <si>
    <t>b20903832</t>
  </si>
  <si>
    <t>Photograph (b&amp;w print)  9 cm x 15.2 cm;RESERVE 1 album</t>
  </si>
  <si>
    <t>Sheep train at Mile End, en route to Dry Creek, 14 December 1952.</t>
  </si>
  <si>
    <t>b2090387x</t>
  </si>
  <si>
    <t>Photograph (b&amp;w print)  14.6 cm x 10.7 cm;RESERVE 1 album</t>
  </si>
  <si>
    <t>b20903996</t>
  </si>
  <si>
    <t>Railway transport: 740 class</t>
  </si>
  <si>
    <t>Engine No.740 at Mile End, 1 March 1952.</t>
  </si>
  <si>
    <t>b20904010</t>
  </si>
  <si>
    <t>Photograph (b&amp;w print)  8.4 cm x 15.5 cm;RESERVE 1 album</t>
  </si>
  <si>
    <t>Machinery at Islington, 23 February 1952. A researcher believes this to be a steam loco frame, and a frame on a flat wagon Loco tender on the next flat wagon.</t>
  </si>
  <si>
    <t>b20904034</t>
  </si>
  <si>
    <t>Photograph (b&amp;w print)  4.5 cm x 12.1 cm;RESERVE 1 album</t>
  </si>
  <si>
    <t>Rail machinery at Islington, 23 February 1952.</t>
  </si>
  <si>
    <t>b20904046</t>
  </si>
  <si>
    <t>Close-up of the end of a carriage at Mile End, 1 March 1952.</t>
  </si>
  <si>
    <t>b2090440x</t>
  </si>
  <si>
    <t>Goods train at Pinera, 29 March 1952.</t>
  </si>
  <si>
    <t>b20904459</t>
  </si>
  <si>
    <t>Photograph (b&amp;w print)  10.5 cm x 15.4 cm;RESERVE 1 album</t>
  </si>
  <si>
    <t>Train at Islington Station.</t>
  </si>
  <si>
    <t>b20904617</t>
  </si>
  <si>
    <t>Passenger train at Clapham, 28 January 1952.</t>
  </si>
  <si>
    <t>b20904642</t>
  </si>
  <si>
    <t>Passenger train at Eden Hills, 5 May 1952.</t>
  </si>
  <si>
    <t>b20904654</t>
  </si>
  <si>
    <t>Photograph (b&amp;w print)  15.5 cm x 22.3 cm;RESERVE 1 album</t>
  </si>
  <si>
    <t>Passenger train at Blackwood on Easter Monday.</t>
  </si>
  <si>
    <t>b20904691</t>
  </si>
  <si>
    <t>Photograph (b&amp;w print)  10.3 cm x 15.5 cm;RESERVE 1 album</t>
  </si>
  <si>
    <t>Passenger train at Eden Hills, May 1952.</t>
  </si>
  <si>
    <t>b20904708</t>
  </si>
  <si>
    <t>b20904915</t>
  </si>
  <si>
    <t>Photograph (b&amp;w print)  10.2 cm x 15.2 cm;RESERVE 1 album</t>
  </si>
  <si>
    <t>Engine at Mile End, 7 December 1952.</t>
  </si>
  <si>
    <t>b20905178</t>
  </si>
  <si>
    <t>Engine at Mile End (rebuilt 1902).</t>
  </si>
  <si>
    <t>b20905191</t>
  </si>
  <si>
    <t>Photograph (b&amp;w print)  8.5 cm x 12.7 cm;RESERVE 1 album</t>
  </si>
  <si>
    <t>Engine at North Adelaide (20 cars), 15 January 1952.</t>
  </si>
  <si>
    <t>b20905208</t>
  </si>
  <si>
    <t>Two engines at Tailem Bend, 28 January 1952.</t>
  </si>
  <si>
    <t>b20905221</t>
  </si>
  <si>
    <t>Photograph (b&amp;w print)  7 cm x 12.5 cm;RESERVE 1 album</t>
  </si>
  <si>
    <t>Passenger train at Eden Hills, 3 March 1952.</t>
  </si>
  <si>
    <t>b20905245</t>
  </si>
  <si>
    <t>Photograph (b&amp;w print)  9 cm x 15 cm</t>
  </si>
  <si>
    <t>b20905257</t>
  </si>
  <si>
    <t>Passenger train at North Adelaide, 4 February 1952.</t>
  </si>
  <si>
    <t>b20905269</t>
  </si>
  <si>
    <t>Photograph (b&amp;w print)  12.8 cm x 7.8 cm;RESERVE 1 album</t>
  </si>
  <si>
    <t>Train at Long Gully, 30 August 1952.</t>
  </si>
  <si>
    <t>b20905270</t>
  </si>
  <si>
    <t>Train at Mount Lofty, 29 March 1952.</t>
  </si>
  <si>
    <t>b20905282</t>
  </si>
  <si>
    <t>Train at North Adelaide, 5 April 1952.</t>
  </si>
  <si>
    <t>b20905294</t>
  </si>
  <si>
    <t>Photograph (b&amp;w print)  7 cm x 20.5 cm;RESERVE 1 album</t>
  </si>
  <si>
    <t>Sheep train at Mile End.</t>
  </si>
  <si>
    <t>b20905312</t>
  </si>
  <si>
    <t>Photograph (b&amp;w print)  10.5 cm x 12.8 cm;RESERVE 1 album</t>
  </si>
  <si>
    <t>Sedan freight train at Eden Hills, 5 May 1952.</t>
  </si>
  <si>
    <t>b20905324</t>
  </si>
  <si>
    <t>Photograph (b&amp;w print)  8.5 cm x 15.5 cm;RESERVE 1 album</t>
  </si>
  <si>
    <t>Coal train at Mile End.</t>
  </si>
  <si>
    <t>b20905361</t>
  </si>
  <si>
    <t>Photograph (b&amp;w print)  15.4 cm x 11 cm;RESERVE 1 album</t>
  </si>
  <si>
    <t>Passenger train at Sleeps Hill, 100 feet north of tunnel.</t>
  </si>
  <si>
    <t>b20905452</t>
  </si>
  <si>
    <t>Photograph (b&amp;w print)  13 cm x 20.5 cm;RESERVE 1 album</t>
  </si>
  <si>
    <t>View of a S class engine (No. 17) at Tailem Bend, 28 January 1952.</t>
  </si>
  <si>
    <t>b20905476</t>
  </si>
  <si>
    <t>Photograph (b&amp;w print)  7.6 cm x 12.7 cm;RESERVE 1 album</t>
  </si>
  <si>
    <t>Engine No. S17 at Tailem Bend with engines P123 and Q90 in the background, 28 January 1952.</t>
  </si>
  <si>
    <t>b2090549x</t>
  </si>
  <si>
    <t>Engine No. 14 with passenger and goods carriages at Tailem Bend, 28 January 1952.</t>
  </si>
  <si>
    <t>b20905579</t>
  </si>
  <si>
    <t>Photograph (b&amp;w print)  7.7 cm x 11 cm;RESERVE 1 album</t>
  </si>
  <si>
    <t>Hobby Shop Special at Mile End, 13 October 1952.</t>
  </si>
  <si>
    <t>b20905580</t>
  </si>
  <si>
    <t>Photograph (b&amp;w print)  7.8 cm x 12.8 cm;RESERVE 1 album</t>
  </si>
  <si>
    <t>Hobby Shop Special at Adelaide Station, 13 October 1952.</t>
  </si>
  <si>
    <t>b20905592</t>
  </si>
  <si>
    <t>Photograph (b&amp;w print)  6.8 cm x 12.6 cm;RESERVE 1 album</t>
  </si>
  <si>
    <t>Hobby Shop Special at Penfield No. 3, 13 October 1952.</t>
  </si>
  <si>
    <t>Railroads -- South Australia -- Trains;Railroads -- South Australia -- Penfield</t>
  </si>
  <si>
    <t>b20905609</t>
  </si>
  <si>
    <t>Photograph (b&amp;w print)  6.7 cm x 12.7 cm;RESERVE 1 album</t>
  </si>
  <si>
    <t>Hobby Shop Special at Port Dock, 13 October 1952.</t>
  </si>
  <si>
    <t>Railroads -- South Australia -- Trains;Railroads -- South Australia -- Port Dock</t>
  </si>
  <si>
    <t>b20905610</t>
  </si>
  <si>
    <t>Hobby Shop Special at Port Dock Station, 13 October 1952.</t>
  </si>
  <si>
    <t>b20905671</t>
  </si>
  <si>
    <t>Photograph (b&amp;w print)  10.6 cm x 19.2 cm;RESERVE 1 album</t>
  </si>
  <si>
    <t>Engine No. 131 at Tailem Bend, 1952.</t>
  </si>
  <si>
    <t>b20907278</t>
  </si>
  <si>
    <t>b2090728x</t>
  </si>
  <si>
    <t>The Overland comprising two trains at Adelaide Station: No.504 with 10 cars  and No.525 with sleeping cars 'Pekina' and 'Glenelg' and baggage car lightenend load to Aldgate. 6.33pm 19 January 1952.</t>
  </si>
  <si>
    <t>b2090731x</t>
  </si>
  <si>
    <t>Photograph (b&amp;w print)  9 cm x 12.7 cm;RESERVE 1 album</t>
  </si>
  <si>
    <t>Overland train at Mile End, March 1952.</t>
  </si>
  <si>
    <t>b20907333</t>
  </si>
  <si>
    <t>Overland train, second division at unidentified location, 25 December 1952.</t>
  </si>
  <si>
    <t>b20907345</t>
  </si>
  <si>
    <t>Photograph (b&amp;w print)  7.8 cm x 12.5 cm;RESERVE 1 album</t>
  </si>
  <si>
    <t>Overland train, second division at Adelaide, 28 December 1952.</t>
  </si>
  <si>
    <t>b20907357</t>
  </si>
  <si>
    <t>b20907370</t>
  </si>
  <si>
    <t>Overland train at Keswick, May 1952.</t>
  </si>
  <si>
    <t>b20907400</t>
  </si>
  <si>
    <t>Photograph (b&amp;w print)  8.3 cm x 15 cm;RESERVE 1 album</t>
  </si>
  <si>
    <t>Overland train at Millswood.</t>
  </si>
  <si>
    <t>Railroads -- South Australia -- Trains;Railroads -- South Australia -- Millswood</t>
  </si>
  <si>
    <t>b20907539</t>
  </si>
  <si>
    <t>Photograph (b&amp;w print)  9.5 cm x 15.5 cm;RESERVE 1 album</t>
  </si>
  <si>
    <t>Overland train at Eden Hills, 25 April 1952.</t>
  </si>
  <si>
    <t>b20930100</t>
  </si>
  <si>
    <t>St John's Ambulance Brigade attend a casualty</t>
  </si>
  <si>
    <t>Group of St John Ambulance Brigade personnel attending a casualty at the Oakbank race course.</t>
  </si>
  <si>
    <t>Ambulance service -- South Australia -- Oakbank</t>
  </si>
  <si>
    <t>b20930136</t>
  </si>
  <si>
    <t>St John's Ambulance Brigade personnel</t>
  </si>
  <si>
    <t>Photograph  16 cm x 11 cm</t>
  </si>
  <si>
    <t>Senior personnel in the St John's Ambulance Brigade leading a group of cadets in a parade.</t>
  </si>
  <si>
    <t>Ambulance service -- South Australia -- Adelaide</t>
  </si>
  <si>
    <t>b20930148</t>
  </si>
  <si>
    <t>Photograph  12 cm x 18 cm</t>
  </si>
  <si>
    <t>Senior members of the St John's Ambulance Brigade leaving a parade at unidentified location.</t>
  </si>
  <si>
    <t>b20930252</t>
  </si>
  <si>
    <t>Aquaplanning on the Port River</t>
  </si>
  <si>
    <t>Photograph  15.5 cm x 20 cm</t>
  </si>
  <si>
    <t>A man skiing on the Port River, with large ships in the background.</t>
  </si>
  <si>
    <t>Water skiing -- South Australia -- Port Adelaide</t>
  </si>
  <si>
    <t>b20930525</t>
  </si>
  <si>
    <t>Photograph  8 cm x 18 cm</t>
  </si>
  <si>
    <t>Two women jump for the ball in a basketball game.</t>
  </si>
  <si>
    <t>b20930537</t>
  </si>
  <si>
    <t>Photograph  12.5 cm x 11 cm</t>
  </si>
  <si>
    <t>Three girls go for the ball during a basketball game.</t>
  </si>
  <si>
    <t>b20930628</t>
  </si>
  <si>
    <t>Photograph  12 cm x 15.5 cm</t>
  </si>
  <si>
    <t>Two players tangle on-field.</t>
  </si>
  <si>
    <t>b2093063x</t>
  </si>
  <si>
    <t>Photograph  16 cm x 12.5 cm</t>
  </si>
  <si>
    <t>b20930665</t>
  </si>
  <si>
    <t>Bookmakers at Oakbank</t>
  </si>
  <si>
    <t>Betting ring on the flat at Oakbank racecourse.</t>
  </si>
  <si>
    <t>Book-making (Betting) -- South Australia -- Oakbank</t>
  </si>
  <si>
    <t>b20930756</t>
  </si>
  <si>
    <t>Single bowls championship</t>
  </si>
  <si>
    <t>Two men participating in the Single Bowls Championship of SA played at Sturt Rink.</t>
  </si>
  <si>
    <t>Lawn bowls -- South Australia</t>
  </si>
  <si>
    <t>b20930768</t>
  </si>
  <si>
    <t>Bowlers at South Park Green</t>
  </si>
  <si>
    <t>Players on the green at the South Park Green.</t>
  </si>
  <si>
    <t>b2093077x</t>
  </si>
  <si>
    <t>b20930884</t>
  </si>
  <si>
    <t>Broadjump competition</t>
  </si>
  <si>
    <t>Photograph  8 cm x 18.5 cm</t>
  </si>
  <si>
    <t>An athlete competes in a broad jump competition.</t>
  </si>
  <si>
    <t>Broad jump</t>
  </si>
  <si>
    <t>b20931037</t>
  </si>
  <si>
    <t>Picnic in Elder PArk</t>
  </si>
  <si>
    <t>A group of children, with three women, picnic in Elder Park, Adelaide.</t>
  </si>
  <si>
    <t>Children;Picnics;Elder Park (Adelaide, S.A.)</t>
  </si>
  <si>
    <t>b20931396</t>
  </si>
  <si>
    <t>Crowd at 'Music for the people'</t>
  </si>
  <si>
    <t>Photograph  24.5 cm x 18.5 cm</t>
  </si>
  <si>
    <t>View of the crowd waiting for 'Music for the people' concert at Colley Reserve, Glenelg.</t>
  </si>
  <si>
    <t>b20931402</t>
  </si>
  <si>
    <t>Photograph  23.5 cm x 18.5 cm</t>
  </si>
  <si>
    <t>View of the part of the orchestra and crowd at the 'Music for the people' concert at Colley Reserve, Glenelg. According to a researcher, this is the SA Symphony Orchestra with Henry Krips conducting. John Painter is on 1st cello.</t>
  </si>
  <si>
    <t>b20931414</t>
  </si>
  <si>
    <t>View of the crowd at the 'Music for the people' concert at Colley Reserve, Glenelg.</t>
  </si>
  <si>
    <t>b20931554</t>
  </si>
  <si>
    <t>Night time bicycle race</t>
  </si>
  <si>
    <t>Two cyclists on a sealed track at night. Ken Davies is the rider on the left in the white helmet, while the other rider is Ron Bobridge. 'Ken believes the photo was taken at the Goodwood track. Ken belonged to the Sturt club, he's not sure which club Ron belonged to. The Olympic jersey Ken is wearing belonged to Bert Schahinger (an uncle) who gave it to him after he retired from cycling.</t>
  </si>
  <si>
    <t>Davies, Ken;Bobridge, Ron;Bicycle racing -- South Australia -- Goodwood</t>
  </si>
  <si>
    <t>b20932017</t>
  </si>
  <si>
    <t>Ron Phillips of North Adelaide Football Club marks the ball</t>
  </si>
  <si>
    <t>Photograph  15.5 cm x 23 cm</t>
  </si>
  <si>
    <t>Ron Phillips of North Adelaide takes a strong mark in front of two Port Adelaide opponents.</t>
  </si>
  <si>
    <t>b20932029</t>
  </si>
  <si>
    <t>S.A. vs W.A. interstate football match</t>
  </si>
  <si>
    <t>Photograph  24.5 cm x 15 cm</t>
  </si>
  <si>
    <t>South Australia versus Western Australia football match at Adelaide Oval.</t>
  </si>
  <si>
    <t>b20932030</t>
  </si>
  <si>
    <t>Footballers Don Taylor and Darcy B. Cox in action</t>
  </si>
  <si>
    <t>Don Taylor of Glenelg and Darcy B. Cox of North Adelaide dive for the ball during a football match.</t>
  </si>
  <si>
    <t>b20932248</t>
  </si>
  <si>
    <t>Girl guides farewell march past</t>
  </si>
  <si>
    <t>Girl guides farewell march past the Governor, Sir William Norrie and Lady Norrie in the grounds of Government House, Adelaide.</t>
  </si>
  <si>
    <t>b20932352</t>
  </si>
  <si>
    <t>Girls at a Christmas party</t>
  </si>
  <si>
    <t>Four young girls pictured at a Christmas party.</t>
  </si>
  <si>
    <t>Children</t>
  </si>
  <si>
    <t>b20932509</t>
  </si>
  <si>
    <t>A golfer watches his putt go in</t>
  </si>
  <si>
    <t>Photograph  8 cm x 20 cm</t>
  </si>
  <si>
    <t>An unidentified golfer watches as his ball nears the whole on the green.</t>
  </si>
  <si>
    <t>b20932522</t>
  </si>
  <si>
    <t>Golfer hitting out of the bunker</t>
  </si>
  <si>
    <t>Photograph  12 cm x 19 cm</t>
  </si>
  <si>
    <t>An unidentified golfer prepares to his his ball out of a bunker.</t>
  </si>
  <si>
    <t>b20932534</t>
  </si>
  <si>
    <t>Golfer teeing off</t>
  </si>
  <si>
    <t>Photograph  15 cm x 20 cm</t>
  </si>
  <si>
    <t>An unidentified golfer tees off watched by his playing partner and a small crowd.</t>
  </si>
  <si>
    <t>b20932789</t>
  </si>
  <si>
    <t>E. Gooden going over the high jump</t>
  </si>
  <si>
    <t>Photograph  12 cm x 16 cm</t>
  </si>
  <si>
    <t>E. Gooden from Adelaide Boys High School winning the open high jump at 5'4 1/2".</t>
  </si>
  <si>
    <t>Jumping -- South Australia -- Adelaide</t>
  </si>
  <si>
    <t>b20933022</t>
  </si>
  <si>
    <t>Atkins, William G., photographer</t>
  </si>
  <si>
    <t>Two horses and jockeys taking a jump in a steeple chase.</t>
  </si>
  <si>
    <t>Jockeys -- South Australia;Horse racing -- South Australia;Steeplechasing -- South Australia</t>
  </si>
  <si>
    <t>b20933034</t>
  </si>
  <si>
    <t>Start of a horse race</t>
  </si>
  <si>
    <t>Photograph  20 cm x 14 cm</t>
  </si>
  <si>
    <t>Horses at the start of a race with stewards and crowds watching.</t>
  </si>
  <si>
    <t>Horse racing -- South Australia</t>
  </si>
  <si>
    <t>b20933046</t>
  </si>
  <si>
    <t>View of a steeplechase</t>
  </si>
  <si>
    <t>View of horses going over a jump during a steeplechase.</t>
  </si>
  <si>
    <t>Horse racing -- South Australia;Steeplechasing -- South Australia</t>
  </si>
  <si>
    <t>b20933277</t>
  </si>
  <si>
    <t>Photograph  16 cm x 13 cm</t>
  </si>
  <si>
    <t>b20933289</t>
  </si>
  <si>
    <t>Photograph  16 cm x 8 cm</t>
  </si>
  <si>
    <t>b20933290</t>
  </si>
  <si>
    <t>Photograph  16 cm x 9.5 cm</t>
  </si>
  <si>
    <t>b20933332</t>
  </si>
  <si>
    <t>Women's hurdle race</t>
  </si>
  <si>
    <t>Photograph  12 cm x 16.5 cm</t>
  </si>
  <si>
    <t>A woman completing in a hurdle race.</t>
  </si>
  <si>
    <t>b20933393</t>
  </si>
  <si>
    <t>Lacrosse players</t>
  </si>
  <si>
    <t>Photograph  12 cm x 11.5 cm</t>
  </si>
  <si>
    <t>Action shot of players during a lacrosse match.</t>
  </si>
  <si>
    <t>Lacrosse players -- South Australia</t>
  </si>
  <si>
    <t>b20933782</t>
  </si>
  <si>
    <t>Man on a motor cycle</t>
  </si>
  <si>
    <t>Photograph  8 cm x 15.5 cm</t>
  </si>
  <si>
    <t>A man poses on his motorcycle in a city street. The machine is a 1951 Triumph 'Speed Twin' motor cycle, 500ccs in size,  and fitted with the infamous 'sprung hub' rear suspension.</t>
  </si>
  <si>
    <t>b20947070</t>
  </si>
  <si>
    <t>Crowd at the Oakbank races</t>
  </si>
  <si>
    <t>The crowd in the grandstand at the Oakbank races.</t>
  </si>
  <si>
    <t>Oakbank Easter Racing Carnival</t>
  </si>
  <si>
    <t>b20947082</t>
  </si>
  <si>
    <t>Carpark at the Oakbank races</t>
  </si>
  <si>
    <t>Car park at the Oakbank races.</t>
  </si>
  <si>
    <t>b20947185</t>
  </si>
  <si>
    <t>Police parade</t>
  </si>
  <si>
    <t>Photograph  16.5 cm x 11.5 cm</t>
  </si>
  <si>
    <t>A group of police officers in a march past.</t>
  </si>
  <si>
    <t>Police -- South Australia</t>
  </si>
  <si>
    <t>b20947434</t>
  </si>
  <si>
    <t>Final of the Junior Fours on the River Torrens</t>
  </si>
  <si>
    <t>Two teams competing in the Junior Fours on the River Torrens.</t>
  </si>
  <si>
    <t>Rowing -- South Australia</t>
  </si>
  <si>
    <t>b20951243</t>
  </si>
  <si>
    <t>State Rugby team at training</t>
  </si>
  <si>
    <t>Photograph  16 cm x 10 cm</t>
  </si>
  <si>
    <t>A player being tackled during a training session for the State Rugby team.</t>
  </si>
  <si>
    <t>Rugby football -- South Australia</t>
  </si>
  <si>
    <t>b20952673</t>
  </si>
  <si>
    <t>Second heat of the 220 yards relay race</t>
  </si>
  <si>
    <t>Photograph  12 cm x 15 cm</t>
  </si>
  <si>
    <t>Second heat of the 220 yards foot race at the Schoolboys Championships, Wayville.</t>
  </si>
  <si>
    <t>Athletics -- South Australia</t>
  </si>
  <si>
    <t>b20952697</t>
  </si>
  <si>
    <t>Competitors in a race</t>
  </si>
  <si>
    <t>Photograph  12 cm x 19.5 cm</t>
  </si>
  <si>
    <t>Two competitors in a race.</t>
  </si>
  <si>
    <t>b20952703</t>
  </si>
  <si>
    <t>440 foot race competitor</t>
  </si>
  <si>
    <t>Photograph  11.5 cm x 24 cm</t>
  </si>
  <si>
    <t>A competitor in a 440 foot race run at Kilburn Oval.</t>
  </si>
  <si>
    <t>b20952922</t>
  </si>
  <si>
    <t>School girls finishing a race</t>
  </si>
  <si>
    <t>Photograph  8 cm x 15 cm</t>
  </si>
  <si>
    <t>Students finishing a race at St Peter's Collegiate Girls School sports carnival.</t>
  </si>
  <si>
    <t>b20953999</t>
  </si>
  <si>
    <t>Children at the beach</t>
  </si>
  <si>
    <t>A young boy and girl at the beach.</t>
  </si>
  <si>
    <t>b20954001</t>
  </si>
  <si>
    <t>Three men in the surf</t>
  </si>
  <si>
    <t>Three men coming out of the surf at night - possibly members of the 'Icebergs Club'.</t>
  </si>
  <si>
    <t>b20962721</t>
  </si>
  <si>
    <t>University commemoration</t>
  </si>
  <si>
    <t>The Vice-Chancellor, Professor A.P Rowe, and the Governor, Lieutenant General Sir C. Willoughby Norrie, at University commemoration.</t>
  </si>
  <si>
    <t>Rowe, Albert Percival;Norrie, Willoughby, Sir, 1893-1977</t>
  </si>
  <si>
    <t>b20963191</t>
  </si>
  <si>
    <t>Attendees at the Oakbank races</t>
  </si>
  <si>
    <t>Women attending the Oakbank races: (from left) Geraldine Guthrie, Mrs R. Webb, Mrs A.J. Guthrie and Mrs A. Guthrie.</t>
  </si>
  <si>
    <t>Webb, Mrs;Guthrie, Mrs;Guthrie, Geraldine;Fashion;Clothing and dress -- 20th century</t>
  </si>
  <si>
    <t>b20976902</t>
  </si>
  <si>
    <t>'Governor says farewell'</t>
  </si>
  <si>
    <t>C1;Newspaper cutting  36.5 cm x 28.5 cm</t>
  </si>
  <si>
    <t>Article from Wednesday 18 June, 1952, of the departure of the Governor, Sir Norrie Willougby, and Lady Norrie from South Australia.</t>
  </si>
  <si>
    <t>Norrie, Willoughby, Sir, 1893-1977</t>
  </si>
  <si>
    <t>b20976914</t>
  </si>
  <si>
    <t>Mitchell's corner cartoon</t>
  </si>
  <si>
    <t>C1;Newspaper cutting  15.4 cm x 13.5 cm</t>
  </si>
  <si>
    <t>Cartoon about the Governor's departure form South Australia.</t>
  </si>
  <si>
    <t>b20976999</t>
  </si>
  <si>
    <t>[Anecdote]</t>
  </si>
  <si>
    <t>C1;Newspaper cutting  9 cm x 4.2 cm</t>
  </si>
  <si>
    <t>Anecdote the Governor, Sir Willoughby Norrie, bidding farewell to an Adelaide identity.</t>
  </si>
  <si>
    <t>b20977001</t>
  </si>
  <si>
    <t>[Farewell notice from Johnnies]</t>
  </si>
  <si>
    <t>Newspaper cutting  13.5 cm x 8.2 cm;C1</t>
  </si>
  <si>
    <t>Photograph and message from the department store John Martins at the time of the departure from South Australia of the Governor Sir Willoughby Norrie and Lady Norrie.</t>
  </si>
  <si>
    <t>b21014334</t>
  </si>
  <si>
    <t>Photograph (b&amp;w print)  9 cm x 14 cm;C1</t>
  </si>
  <si>
    <t>Douglas DC-3 VH-AVM leased to Australian National Airways between 1950-53, built as a C-47A-30-DL (USAAF serial 42-23728) it was operated by the R.A.A.F. during WWII as A65-10 with the call sign VHCTK. After six years of service with Guinea Airways/ANA it was sold to Meteor Air Transport New Jersey as N1433V.</t>
  </si>
  <si>
    <t>b21059147</t>
  </si>
  <si>
    <t>John Martin's Christmas Pageant : Holly girl</t>
  </si>
  <si>
    <t>photograph  7.5 cm x 13.1 cm</t>
  </si>
  <si>
    <t>Barb Tapscott dressed as a Holly girl with basket of holly.</t>
  </si>
  <si>
    <t>b21059421</t>
  </si>
  <si>
    <t>John Martin's Christmas Pageant : Holly Girl</t>
  </si>
  <si>
    <t>Barb Tapscott, dressed as a Holly Girl. Behind her is a motorcycle with sidecar. Her costume appears to be made of cellophane. She is holding a basket with holly in it.</t>
  </si>
  <si>
    <t>b21060721</t>
  </si>
  <si>
    <t>Hanson CWA Committee</t>
  </si>
  <si>
    <t>Photograph  10.5 cm x 8.1 cm</t>
  </si>
  <si>
    <t>Women on the Hanson CWA Committee, taken at Alison Marchant's home on the occasion of her 60th birthday. Alison Marchant (sitting) was born Alison Patience Field on 5 December 1892 at Dashwood Gully, she married Malcolm John Marchant at Unley on 16 October 1915. Standing (from left) Enid Robinson, unknown, Mrs Robinson, unknown, Barbara Daw, Rob Daw standing in front of mother.</t>
  </si>
  <si>
    <t>Marchant, Alison, 1892-1971;Robinson, Enid;Daw, Barbara;Daw, Rob;South Australian Country Women's Association. Hanson Branch. Committee</t>
  </si>
  <si>
    <t>Hanson Collection</t>
  </si>
  <si>
    <t>b21061166</t>
  </si>
  <si>
    <t>photograph  8 cm x 13 cm</t>
  </si>
  <si>
    <t>Barb Tapscott dressed in Holly Girl outfit made of cellophane and carrying a basket of holly.</t>
  </si>
  <si>
    <t>b21061178</t>
  </si>
  <si>
    <t>John Martin's Christmas Pageant : Holly Girls</t>
  </si>
  <si>
    <t>photograph  13.1 cm x 8 cm</t>
  </si>
  <si>
    <t>Holly Girls walking along North Terrace during the John Martin's Christmas Pageant.</t>
  </si>
  <si>
    <t>b21066607</t>
  </si>
  <si>
    <t>Blodwen Thomas Studio, photographer</t>
  </si>
  <si>
    <t>Paterson siblings</t>
  </si>
  <si>
    <t>Photograph  21 cm x 16 cm;RESERVE 1 b</t>
  </si>
  <si>
    <t>Formal portrait of the Paterson siblings in their school uniforms from Walford House and Prince Alfred College  (from left) Elizabeth, Alan and Christine.</t>
  </si>
  <si>
    <t>Paterson, Christine Helen, 1942-;Paterson, Alan Douglas, 1938-;Paterson, Elizabeth Fay, 1939-;Uniforms;School children -- South Australia -- Clothing</t>
  </si>
  <si>
    <t>b21072607</t>
  </si>
  <si>
    <t>Paterson family</t>
  </si>
  <si>
    <t>Photograph  22.5 cm x 15.6 cm;RESERVE 1 b</t>
  </si>
  <si>
    <t>Formal portrait of the Paterson siblings with their mother, Dorothy Edna Paterson (nee Hogue).  The children are pictured in their school uniforms from Walford House and Prince Alfred College  (from left) Elizabeth, Christine, Dorothy and Alan.</t>
  </si>
  <si>
    <t>Paterson, Dorothy Edna, 1909-1984;Paterson, Christine Helen, 1942-;Paterson, Alan Douglas, 1938-;Paterson, Elizabeth Fay, 1939-;Uniforms;School children -- South Australia -- Clothing</t>
  </si>
  <si>
    <t>b21089085</t>
  </si>
  <si>
    <t>'Cream of the Uni'</t>
  </si>
  <si>
    <t>Photograph  15.3 cm x 10.9 cm</t>
  </si>
  <si>
    <t>Four Agricultural Science students from the University of Adelaide taking part in the annual 'Rag Day' procession.</t>
  </si>
  <si>
    <t>Processions -- South Australia -- Adelaide</t>
  </si>
  <si>
    <t>b21089358</t>
  </si>
  <si>
    <t>Middleton general store</t>
  </si>
  <si>
    <t>Photograph  9.9 cm x 7.2 cm</t>
  </si>
  <si>
    <t>View of D.W. Hughes' general store on Main Road at Middleton  the sign indicates that it was a 'baker, grocer &amp; draper' store, there is also a petrol bowser out the front. The paddock beside the store is now the Middleton Caravan Park.</t>
  </si>
  <si>
    <t>General stores -- South Australia -- Middleton</t>
  </si>
  <si>
    <t>b21089462</t>
  </si>
  <si>
    <t>Carter, Shirley, photographer</t>
  </si>
  <si>
    <t>Portable record player in the park</t>
  </si>
  <si>
    <t>Photograph  8 cm x 5.6 cm</t>
  </si>
  <si>
    <t>Lillian Clark (now Harding), her sister Betty (now Simmonds) and friend Joyce, in the South Terrace parklands with their portable record player.</t>
  </si>
  <si>
    <t>Clark, Betty;Clark, Lillian;Teenagers -- Australia -- Social life and customs</t>
  </si>
  <si>
    <t>b21094251</t>
  </si>
  <si>
    <t>South side of Gilles Street</t>
  </si>
  <si>
    <t>South side of Gilles Street, photographed 30 December, 1952. DeYoung's Gilles Arms Hotel is 27.5 yards west of Dumphries Place  the frontage of the hotel is 25.25 yards. A store for Miller and Anderson is adjacent. For a view of this hotel taken in 1922 and showing a different single storey section see B 832.</t>
  </si>
  <si>
    <t>Gilles Arms Hotel (Adelaide, S.A.);Hotels -- South Australia -- Adelaide</t>
  </si>
  <si>
    <t>Acre 642 Collection</t>
  </si>
  <si>
    <t>b2112260x</t>
  </si>
  <si>
    <t>National Service Training Battalion at Woodside</t>
  </si>
  <si>
    <t>Photograph  13 cm x 16.5 cm</t>
  </si>
  <si>
    <t>16th National Service Training Battalion, 'C' Company, 15th Platoon, 3rd intake at Woodside Army Camp. Names(back row): Ptes. Symonds, A.J., Venner, H.J., Slape, B.R., Pollard, R.D., Wiedenhofer, A,.M.  (fifth row): Ptes. Wiseman, J.W., Tonkin, K.H., Riggs, D.A., Verrall, T.C., Wray, G.A., Schultz, L.T., Powell, B.W., Phillips, J.L.  (fourth row): Ptes. Watts, M.R., Paterson, R.W., Whitehead, D.A., Roberts, B.T., Rehn, D.W., Schapel, C.S., Williams, M.C., Woodroofe, D.E., Rogers, O.S.  (third row): Ptes. Schultz, R.J., Treloar, B.S., Warner, D.W., Petersen, B.R., Watkins, C.L., Wurfel, I.J., Wiedenhofer, F.J., Thorley, G.  (second row): Ptes. Thomas, G.J., Peterson, B.F., Pollard, W.J., Wolter, T.C., Starick, J.R., Pfieffer, D.I., Roberts, P.F., Raymond, R., Olsen, D.J.  (front row): Cpl. Potts, D.N., Cpl. Wills, D.R., Sgt. Chalson, W/O1 Wigley, Sgt. Tredinnick, K.H., L/Cpl. Winen, V.A., L/Cpl. Osborne, R.H., Pte. Scott, R.W.</t>
  </si>
  <si>
    <t>National Service -- Australia</t>
  </si>
  <si>
    <t>b21122611</t>
  </si>
  <si>
    <t>National Servicemen marching through Adelaide</t>
  </si>
  <si>
    <t>Photograph  20 cm x 25.5 cm</t>
  </si>
  <si>
    <t>National Servicemen marching along King William Street, Adelaide. (Lawrence's Tobacco Store sign on verandah in background, is at 100 King William Street, between Currie and Grenfell Streets.).</t>
  </si>
  <si>
    <t>b21168325</t>
  </si>
  <si>
    <t>Sweeny, John, photographer</t>
  </si>
  <si>
    <t>P.C. Ramblers football team</t>
  </si>
  <si>
    <t>Photograph  18.4 cm x 23.7 cm;RESERVE 1 b</t>
  </si>
  <si>
    <t>Team photograph of the P.C. Ramblers football team, premiers in the Southern Ports Football Association competition, 1952. Back row (from left): A.Rasmus, K.Parsons, A.Cooper, O.Nash, R.Poole, R.Hosking, M.Woods. Third row (standing, from left): P.Walter (secretary), W.Pink, C.Starling, D.Edwards, R.Starling, A.Schultz, K.Nash, B.McKinnon, B.Cooper, F.Carrick (trainer). Second row (seated, from left): D.Rivett (life member), M.Carrick, D.Higgins (captain), R.Gibbs (president), P.Livingston (vice-captain), D.Paige, G.Jureidini (patron). Seated on ground (from left): B.Hamblyn, J.Higgins (mascot), P.Nash.</t>
  </si>
  <si>
    <t>P.C. Ramblers Football Team;Australian football teams -- South Australia -- South East Region;Australian football players -- South Australia -- South East Region</t>
  </si>
  <si>
    <t>b21174672</t>
  </si>
  <si>
    <t>Radium Hill drive-in</t>
  </si>
  <si>
    <t>Photograph (copy print)  13.5 cm 19.8 cm</t>
  </si>
  <si>
    <t>Old camp (industrial area) drive-in looking towards Olary Creek. 16mm films were projected at this open air picture theatre, with Lionel Hill, Les Lees, Jerry Manuel and Norm 'the Pommie' Pointer. O'Reilly's sometimes sold fresh milk at the drive-in from their 13 cow dairy herd. Note the screen, seating forms (with fire buckets in winter) and the loudspeaker platform on the side of the screen.</t>
  </si>
  <si>
    <t>Drive-in theaters -- South Australia -- Radium Hill</t>
  </si>
  <si>
    <t>Radium Hill Collection</t>
  </si>
  <si>
    <t>b21178574</t>
  </si>
  <si>
    <t>Kubasiewicz family with the Hogben sisters</t>
  </si>
  <si>
    <t>Photograph (digital copy)  (original) 5.5 cm x 8 cm</t>
  </si>
  <si>
    <t>The Kubasiewicz family with the Hogben sisters at their home in Unley.</t>
  </si>
  <si>
    <t>Kubasiewicz (Family)</t>
  </si>
  <si>
    <t>b21178653</t>
  </si>
  <si>
    <t>Migrants at Port Adelaide</t>
  </si>
  <si>
    <t>Photograph (digital copy)  (original) 8.4 cm x 13.2 cm</t>
  </si>
  <si>
    <t>A group of Polish, Russian and Ukranian migrants pictured outside the Rechabite Hall at 310 Port Road, Port Adelaide, on the corner of Gracechurch Street. The group met on Sunday afternoons for fellowship.</t>
  </si>
  <si>
    <t>Immigrants -- Pictorial works</t>
  </si>
  <si>
    <t>b21263292</t>
  </si>
  <si>
    <t>Bond's bus at the base of Ayers Rock</t>
  </si>
  <si>
    <t>One of Bond's buses parked at the base of Ayers Rock.</t>
  </si>
  <si>
    <t>b21263632</t>
  </si>
  <si>
    <t>Rail head at Alice Springs</t>
  </si>
  <si>
    <t>One of Bonds' buses on a flat top rail car at the rail head at Alice Springs. The vehicles were shipped by rail from here to Quorn.</t>
  </si>
  <si>
    <t>b21263644</t>
  </si>
  <si>
    <t>Buses at the Alice Springs Chalet</t>
  </si>
  <si>
    <t>Two of bond's buses parked in the grounds of the Bonds Tours Chalet at Alice Springs.</t>
  </si>
  <si>
    <t>b21263656</t>
  </si>
  <si>
    <t>Bond's buses at the Chalet</t>
  </si>
  <si>
    <t>Four of Bond's buses parked in the grounds of the company's Northern Territory headquarters at Alice Spring, known as the Chalet.</t>
  </si>
  <si>
    <t>b21263668</t>
  </si>
  <si>
    <t>Bond's buses at the Alice Springs Chalet</t>
  </si>
  <si>
    <t>One of the custom built buses built for Bond's Tours parked in the grounds of the Alice Springs Chalet.</t>
  </si>
  <si>
    <t>b2126367x</t>
  </si>
  <si>
    <t>Bond's bus at Alice Springs</t>
  </si>
  <si>
    <t>One of the Bond's buses in the grounds of the Alice Springs Chalet.</t>
  </si>
  <si>
    <t>b21264272</t>
  </si>
  <si>
    <t>Bond's bus and A. Tuit's 4x4</t>
  </si>
  <si>
    <t>One of the Bond's buses parked in the outback, with A. Tuit's 4x4 vehicle nearby.</t>
  </si>
  <si>
    <t>b21264284</t>
  </si>
  <si>
    <t>Ayers Rock camp site at Maggie Springs</t>
  </si>
  <si>
    <t>View of Bond's Tours tents at Maggie Springs, located at the base of Ayers Rock.</t>
  </si>
  <si>
    <t>b21264296</t>
  </si>
  <si>
    <t>Tourist tents at Ayers Rock</t>
  </si>
  <si>
    <t>Collection of Bond's Tours tents at the base of Ayers Rock.</t>
  </si>
  <si>
    <t>b21264302</t>
  </si>
  <si>
    <t>Tourist tents at Maggie Springs</t>
  </si>
  <si>
    <t>A group of two person tents at Maggie Springs camp.</t>
  </si>
  <si>
    <t>b21264314</t>
  </si>
  <si>
    <t>Connelon's aircraft at Ayers Rock</t>
  </si>
  <si>
    <t>One of Connelon's aircraft flying near Ayers Rock.</t>
  </si>
  <si>
    <t>b21264326</t>
  </si>
  <si>
    <t>Ayers Rock camp site</t>
  </si>
  <si>
    <t>Tents belonging to Bond's Tours, erected at the base of Ayers Rock at one of their camp sites. A Connellan aircraft can be seen flying over the camp.</t>
  </si>
  <si>
    <t>b21264338</t>
  </si>
  <si>
    <t>A Bond's Tours bus parked at the base of Ayers Rock and viewed from part way up the rock.</t>
  </si>
  <si>
    <t>b2126434x</t>
  </si>
  <si>
    <t>One of Bond's buses parked at the base of Ayers Rock, taken from near the top by a particioant in an 'Ayers rock climb'.</t>
  </si>
  <si>
    <t>b21264351</t>
  </si>
  <si>
    <t>At the top of Ayers Rock</t>
  </si>
  <si>
    <t>Kevin Ray and his assistants at the cairn on the top of Ayers Rock.</t>
  </si>
  <si>
    <t>b21264363</t>
  </si>
  <si>
    <t>Distant view of Bond's Chalet at Alice Springs, taken fron Billy Goat Hill.</t>
  </si>
  <si>
    <t>b21264375</t>
  </si>
  <si>
    <t>Harris residence at Bond's Chalet, Alice Springs</t>
  </si>
  <si>
    <t>The Harris family residence at the Bond's Chalet at Alice Springs.</t>
  </si>
  <si>
    <t>b21264387</t>
  </si>
  <si>
    <t>Fog at Mount Gillen</t>
  </si>
  <si>
    <t>Fog wreathed around Mount Gillen, as viewed from Bond's Chalet, Alice Springs.</t>
  </si>
  <si>
    <t>b21264399</t>
  </si>
  <si>
    <t>Sunset over the hills near Alice Springs, with part of the Bond's Chalet in the foreground.</t>
  </si>
  <si>
    <t>b21264466</t>
  </si>
  <si>
    <t>Bond's bus and two ANA DC-3 aircraft at Alice Springs</t>
  </si>
  <si>
    <t>Bond's Tours semi-trailer bus with two Australian National Airways DC-3 aircraft at the Alice Springs aerodrome. VH-ANH 'Tullana' (left) and VH-INI 'Pengana' (right).</t>
  </si>
  <si>
    <t>Douglas DC-3 (Transport plane)</t>
  </si>
  <si>
    <t>b21264478</t>
  </si>
  <si>
    <t>ANA planes at Alice Springs</t>
  </si>
  <si>
    <t>Two Australian National Airways DC-3 aircraft at the Alice Springs aerodrome. VH-ANH 'Tullana' (left) and VH-INI 'Pengana' (right).</t>
  </si>
  <si>
    <t>b21264491</t>
  </si>
  <si>
    <t>Bond's bus and ANA aircraft at Alice Springs</t>
  </si>
  <si>
    <t>Bond's Tours semi-trailer bus with Australian National Airways DC-3 aircraft VH-INI 'Pengana' at the Alice Springs aerodrome.</t>
  </si>
  <si>
    <t>b21264508</t>
  </si>
  <si>
    <t>Planes and bus at Alice Springs</t>
  </si>
  <si>
    <t>b2126451x</t>
  </si>
  <si>
    <t>Bond's Tours semi-trailer bus with Australian National Airways DC-3 VH-INI 'Pengana' aircraft at the Alice Springs aerodrome.</t>
  </si>
  <si>
    <t>b21264521</t>
  </si>
  <si>
    <t>Planes and bus at Alcie Springs</t>
  </si>
  <si>
    <t>Bond's Tours semi-trailer bus with two Australian National Airways DC-3 aircraft at the Alice Springs aerodrome. VH-ANH 'Tullana' (Right) and VH-INI 'Pengana' (Left).</t>
  </si>
  <si>
    <t>b21264533</t>
  </si>
  <si>
    <t>Two ANA planes at Alice Springs</t>
  </si>
  <si>
    <t>b21264545</t>
  </si>
  <si>
    <t>Bond's Camp at Palm Vally, Northern Territory</t>
  </si>
  <si>
    <t>View over Palm Valley, with Bond's camp visible in the centre of the image.</t>
  </si>
  <si>
    <t>b21264569</t>
  </si>
  <si>
    <t>The amphitheatre at Palm Valley</t>
  </si>
  <si>
    <t>Long view of the Palm Valley amphitheatre, with Bond's Tours camp visible in the middle distance.</t>
  </si>
  <si>
    <t>b21264582</t>
  </si>
  <si>
    <t>Bond's Tours camp at Palm Valley</t>
  </si>
  <si>
    <t>Long view of the Bond's Tours camp at Palm Valley, with the tents, permanent building, two buses and a truck all visible.</t>
  </si>
  <si>
    <t>b21264594</t>
  </si>
  <si>
    <t>Bond's camp at Palm Valley</t>
  </si>
  <si>
    <t>Distance view of the rows of tents that make up the Bond's Tours camp at Palm Valley. The bus, a larger tent, and a permanent structure can  be seen on the left.</t>
  </si>
  <si>
    <t>b21264600</t>
  </si>
  <si>
    <t>Bond's camp site at Palm Valley</t>
  </si>
  <si>
    <t>Three rows of tents at Bond's camp site at Palm Valley.</t>
  </si>
  <si>
    <t>b21264612</t>
  </si>
  <si>
    <t>Bond's Chalet, Alice Springs</t>
  </si>
  <si>
    <t>Part of the garden and grounds at Bond's Chalet at Alice Springs.</t>
  </si>
  <si>
    <t>b21264624</t>
  </si>
  <si>
    <t>View of the Bond's Tours camp at Palm Valley with an open sided tent to the left and two of the Bond's buses on the right.</t>
  </si>
  <si>
    <t>b21264636</t>
  </si>
  <si>
    <t>Bond's Palm Valley camp kitchen and dining building</t>
  </si>
  <si>
    <t>View of the tent which acted as the camp kitchen, beside the permanent structure use as the dining room.</t>
  </si>
  <si>
    <t>b21264648</t>
  </si>
  <si>
    <t>Amphitheatre scene at Palm Valley</t>
  </si>
  <si>
    <t>The amphitheatre at Palm Valley with Bond's bus No.38 in the middle distance.</t>
  </si>
  <si>
    <t>b2126465x</t>
  </si>
  <si>
    <t>Brian Burrow at camp site</t>
  </si>
  <si>
    <t>Brian Burrow, on of Bond's staff, photographed in front of the two person tents used by Bond's on their camping trips. (Burrow was Bond's gardener at Palm Valley.).</t>
  </si>
  <si>
    <t>b21264661</t>
  </si>
  <si>
    <t>View of part of the Bond's Tours Alice Springs Chalet complex. [The Chalet was originally an Army staging camp.]</t>
  </si>
  <si>
    <t>b2126482x</t>
  </si>
  <si>
    <t>A simple square building that formed the only permanent part of the Bond's Tours camp at Palm Valley. A small galvanised iron tank and two director's chairs can be seen in the foreground.</t>
  </si>
  <si>
    <t>b21264831</t>
  </si>
  <si>
    <t>View of Bond's Tours camp at Palm Valley, showing the one permanent structure on the left and the two person tents on the right.</t>
  </si>
  <si>
    <t>b21264843</t>
  </si>
  <si>
    <t>Bond's Palm Valley camp</t>
  </si>
  <si>
    <t>View from a nearby hilltop, looking down on the Bond's Tours camp at Palm Valley.</t>
  </si>
  <si>
    <t>b21264855</t>
  </si>
  <si>
    <t>Bond's No.38 bus at Palm Valley</t>
  </si>
  <si>
    <t>The 4WD Chevrolet bus, known as bus No.38, parked at Palm Valley.</t>
  </si>
  <si>
    <t>b21264867</t>
  </si>
  <si>
    <t>MLC students at Alice Springs aerodrome</t>
  </si>
  <si>
    <t>MLC students pictured in front of the ANA DC3 at the Alice Springs Aerodrome, at the start of the Bond's bus tour of the Northern Territory.</t>
  </si>
  <si>
    <t>b21264879</t>
  </si>
  <si>
    <t>Ray Hutt and MLC students near Palm Valley</t>
  </si>
  <si>
    <t>Ray Hutt (a Bond's employee), with a group of Methodist Ladies College students, points to Palm Valley.</t>
  </si>
  <si>
    <t>b21264880</t>
  </si>
  <si>
    <t>MLC students at Palm Valley</t>
  </si>
  <si>
    <t>Girls from Methodist Ladies College relaxing beside and in the water at Palm Valley. The College organised a special tour with Bond's Tours.</t>
  </si>
  <si>
    <t>b21264892</t>
  </si>
  <si>
    <t>Alice Springs road to the aerodrome</t>
  </si>
  <si>
    <t>One of Bond's buses on the Alice Springs road to the aerodrome, south of the GAp.</t>
  </si>
  <si>
    <t>b21264910</t>
  </si>
  <si>
    <t>View of the amphitheatre at Palm Valley with Bond's bus No.38 in the middle distance.</t>
  </si>
  <si>
    <t>b21264922</t>
  </si>
  <si>
    <t>Bond's semitrailer bus at Alice Springs</t>
  </si>
  <si>
    <t>Bond's semitrailer bus on the road at Alice Springs.</t>
  </si>
  <si>
    <t>b21264934</t>
  </si>
  <si>
    <t>Bond's buses at Chalet, Alice Springs</t>
  </si>
  <si>
    <t>Two of Bond's buses in the grounds of the Chalet at Alice Springs.</t>
  </si>
  <si>
    <t>b21264946</t>
  </si>
  <si>
    <t>Bond's 'Red Terror' semitrailer bus</t>
  </si>
  <si>
    <t>Bond's Tours 'Red Terror' semi trailer bus at Alice Springs, with a number of high school girls and their teacher in front of it. Identified by the photographer as students from MLC [Methodist Ladies College] it isn't MLC Adelaide (now Annersley College) but may be one of the interstate schools.</t>
  </si>
  <si>
    <t>b21264958</t>
  </si>
  <si>
    <t>A leased Bond's bus near Alice Springs</t>
  </si>
  <si>
    <t>The semi trailer bus owned by Bond's Tours and leased to Alice Springs - Darwin Motor Service, parked on the side of a sealed road near Alice Springs.</t>
  </si>
  <si>
    <t>b2126496x</t>
  </si>
  <si>
    <t>'Red Terror' gets an engine change at Alice Springs</t>
  </si>
  <si>
    <t>Bond's Tours' 'Red Terror' semi trailer bus gets an engine change on the road, with a tree providing the support for the pulley.</t>
  </si>
  <si>
    <t>b21264971</t>
  </si>
  <si>
    <t>Bond's bus No.57 at the Alice Springs Chalet</t>
  </si>
  <si>
    <t>Bond's blue and cream bus No.57 in the grounds of the Alice Springs Chalet.</t>
  </si>
  <si>
    <t>b21264983</t>
  </si>
  <si>
    <t>Alice Springs Post Office and a Bond's bus</t>
  </si>
  <si>
    <t>A Bond's bus parked in front of the Alice Springs Post Office.</t>
  </si>
  <si>
    <t>b21265008</t>
  </si>
  <si>
    <t>Bond's bus at the COR fuel depot, Alice Springs</t>
  </si>
  <si>
    <t>One of Bond's buses parked behind the sign into the Commonwealth Oil Refinery (COR) fuel depot at Alice Springs.</t>
  </si>
  <si>
    <t>b21265021</t>
  </si>
  <si>
    <t>'Baby' and 'No.38' at Palm Valley</t>
  </si>
  <si>
    <t>Two of Bond's buses, known as 'Baby' and 'No.38', pictured at Palm Valley.</t>
  </si>
  <si>
    <t>b21265057</t>
  </si>
  <si>
    <t>Holdens outside May &amp; Bond Garage, Mount Gambier</t>
  </si>
  <si>
    <t>Series 48 Holdens outside the May and Bond Garage, Mount Gambier.</t>
  </si>
  <si>
    <t>b21265069</t>
  </si>
  <si>
    <t>Series of 48 Holdens outside May and Bond Garage at Mount Gambier.</t>
  </si>
  <si>
    <t>b21265070</t>
  </si>
  <si>
    <t>Series 48 Holdens outside May and Bond Garage at Mount Gambier.</t>
  </si>
  <si>
    <t>b21265082</t>
  </si>
  <si>
    <t>A row of Holdens parked outside the May &amp; Bond Garage in Mount Gambier.</t>
  </si>
  <si>
    <t>b26166100</t>
  </si>
  <si>
    <t>Sladdin, R. S., photographer</t>
  </si>
  <si>
    <t>9th Infantry Brigade Camp</t>
  </si>
  <si>
    <t>Photograph (B&amp;W print)  14.7 cm x 20 cm on mount 24.7 cm x 30.2 cm</t>
  </si>
  <si>
    <t>Officers of the 27th Infantry Battalion at 9th Infantry Brigade Camp at Caloote, south-west of Mannum, in March 1952. Names under photograph on mount.</t>
  </si>
  <si>
    <t>27th Infantry Battalion (S.A. Scottish Regiment);Soldiers -- South Australia -- Caloote</t>
  </si>
  <si>
    <t>Caloote Collection;Evans Collection</t>
  </si>
  <si>
    <t>b29090246</t>
  </si>
  <si>
    <t>Davis Cup presentation in Adelaide</t>
  </si>
  <si>
    <t>Photograph (B&amp;W print)  5.5 cm x 8 cm</t>
  </si>
  <si>
    <t>Davis Cup presentation at Memorial Drive, Adelaide, December 31st, 1952. From the back of the photo: Australian team McGregor, Sedgman, Rose and Hoad with Hopman in front are on the left, followed by (L - R) officials Mr. Mann (U.S. manager), Ham Richardson, Straight Clark, Tony Trabert and Victor Sixious [Seixas] (Capt.).</t>
  </si>
  <si>
    <t>Memorial Drive Tennis Centre (Adelaide, S.A.);Davis Cup;Tennis -- Tournaments -- Australia</t>
  </si>
  <si>
    <t>b20200390</t>
  </si>
  <si>
    <t>Mitcham Hills Emergency Fire Service</t>
  </si>
  <si>
    <t>Photograph  16.5 cm x 12 cm</t>
  </si>
  <si>
    <t>Blackwood and Eden Hills Unit members and appliances of the Mitcham Hills Emergency Fire Service.</t>
  </si>
  <si>
    <t>Mitcham Hills Emergency Fire Service (Blackwood, S.A.);Fire engines -- South Australia -- Blackwood;Fire fighters -- South Australia -- Blackwood</t>
  </si>
  <si>
    <t>Blackwood Collection</t>
  </si>
  <si>
    <t>b20237571</t>
  </si>
  <si>
    <t>The Hutchinson Hospital</t>
  </si>
  <si>
    <t>RESERVE 1;Photograph (b&amp;w print)  18.3 cm x 30 cm</t>
  </si>
  <si>
    <t>The Hutchinson Hospital.</t>
  </si>
  <si>
    <t>Hutchinson Hospital;Hospitals -- South Australia -- Gawler</t>
  </si>
  <si>
    <t>b20393064</t>
  </si>
  <si>
    <t>A shunt engine, Quorn</t>
  </si>
  <si>
    <t>Photograph (b&amp;w print)  10.5 cm x 15.3 cm;C1</t>
  </si>
  <si>
    <t>A Shunt engine with railway staff.</t>
  </si>
  <si>
    <t>Railroads -- South Australia -- Quorn -- Trains</t>
  </si>
  <si>
    <t>b2041898x</t>
  </si>
  <si>
    <t>Murray River Floods</t>
  </si>
  <si>
    <t>Murray River floods at Swan Reach.</t>
  </si>
  <si>
    <t>Floods -- South Australia -- Swan Reach;Floods -- Murray River (N.S.W.- S.A.)</t>
  </si>
  <si>
    <t>b20418991</t>
  </si>
  <si>
    <t>Flooding at Swan Reach</t>
  </si>
  <si>
    <t>Photograph  22 cm x 17 cm</t>
  </si>
  <si>
    <t>Flooding at Swan Reach.</t>
  </si>
  <si>
    <t>Floods -- South Australia -- Swan Reach</t>
  </si>
  <si>
    <t>b20479906</t>
  </si>
  <si>
    <t>Ivor B. Green</t>
  </si>
  <si>
    <t>Ivor B. Green.</t>
  </si>
  <si>
    <t>Green, Ivor Bren, 1897-1957</t>
  </si>
  <si>
    <t>b20583904</t>
  </si>
  <si>
    <t>Waymouth Street, south side before 1952. For location see B 12519. For a view of William Adams' building after alterations and additions were made in 1952 see B 12519. William Adams and Company Limited were engineers and contractors</t>
  </si>
  <si>
    <t>Acre 195 Collection</t>
  </si>
  <si>
    <t>b20583916</t>
  </si>
  <si>
    <t>Morphett Street</t>
  </si>
  <si>
    <t>Morphett Street, east side before 1952. For location see B 12519. For view of William Adams' building after alterations and additions made in 1952, see B 12519.</t>
  </si>
  <si>
    <t>b2060631x</t>
  </si>
  <si>
    <t>Fire Brigade Station</t>
  </si>
  <si>
    <t>Photograph  16 cm x 10.9 cm</t>
  </si>
  <si>
    <t>Metropolitan Fire Brigade Station, Wakefield Street.</t>
  </si>
  <si>
    <t>b2060662x</t>
  </si>
  <si>
    <t>South Australian Fire Brigade headquarters, Wakefield Street.</t>
  </si>
  <si>
    <t>b2062895x</t>
  </si>
  <si>
    <t>Hanson Street, west side. The premises of Tonkin Radiators Limited before alteration.For a view of Tonkin Radiators building in 1922 and before alterations see B 5253.  See B12483 for later building.</t>
  </si>
  <si>
    <t>Acre 646 Collection</t>
  </si>
  <si>
    <t>b20725504</t>
  </si>
  <si>
    <t>Locomotive Class 780, no 740 at Islington. [Advice received from researcher: 'Not 780 class. The Locomotive is definitely of the "740" class. Date would be after 1/3/52, which is when locomotive class leader, no. 740, entered service with the South Australian Railways. Source. The "700" Series locomotives of the South Australian Railways. Colquhoun, Stewien, Thomas 1968"].</t>
  </si>
  <si>
    <t>b20752507</t>
  </si>
  <si>
    <t>Bank Street, Adelaide</t>
  </si>
  <si>
    <t>Photograph (b&amp;w print)  37.5 cm x 40.5 cm;RESERVE 1 b</t>
  </si>
  <si>
    <t>ACRE 49: A view of Bank Street taken from Hindley Street, the premises of W.T. Flint can be seen on the left  the business was closed on 30 June 1953 and the building demolished to allow the road to be widened.</t>
  </si>
  <si>
    <t>W.T. Flint and Son Ltd. (Adelaide, S.A.);Stores, Retail -- South Australia -- Adelaide</t>
  </si>
  <si>
    <t>Acre 49 Collection</t>
  </si>
  <si>
    <t>b20752519</t>
  </si>
  <si>
    <t>Bank Street from North Terrace</t>
  </si>
  <si>
    <t>Photograph  20 cm x 15.5 cm  original 37.5 cm x 28 cm;RESERVE 1 b</t>
  </si>
  <si>
    <t>ACRE 49: Bank Street, looking towards Hindley Street  a view taken before the road was widened.</t>
  </si>
  <si>
    <t>Roads -- South Australia -- Adelaide</t>
  </si>
  <si>
    <t>b20752520</t>
  </si>
  <si>
    <t>Premises of W. T. Flint and Son</t>
  </si>
  <si>
    <t>Photograph (b&amp;w print)  35.3 cm x 28 cm;RESERVE 1 b</t>
  </si>
  <si>
    <t>ACRE 49: Premises of W.T. Flint and Son, drapers and ironmongers at 48 and 50 Hindley Street  the business closed on 30 June 1953 and the building was demolished before the widening of Bank Street.</t>
  </si>
  <si>
    <t>W.T. Flint and Son Ltd. (Adelaide, S.A.);Stores, Retail -- South Australia -- Adelaide;Architecture -- South Australia -- Adelaide</t>
  </si>
  <si>
    <t>b20754905</t>
  </si>
  <si>
    <t>The Richmond Sisters</t>
  </si>
  <si>
    <t>PORTRAIT: The Richmond Sisters, Joan  Betty and Eunice, an Adelaide vocal trio, with Ken Chinner of radio station 5DN who did all their arrangements and piano accompaniment.</t>
  </si>
  <si>
    <t>Chinner, Ken;Richmond Sisters (Musical group);Entertainers -- South Australia -- Adelaide;Radio broadcasters -- South Australia -- Adelaide</t>
  </si>
  <si>
    <t>b20799159</t>
  </si>
  <si>
    <t>Marion Beth Murdoch learning to use a .22 rifle</t>
  </si>
  <si>
    <t>WAROOKA: Marion Beth Murdoch learning to use a .22 rifle while visiting Terry and Rene Penhale's property.</t>
  </si>
  <si>
    <t>Shooting -- South Australia -- Warooka;Women -- South Australia -- Warooka</t>
  </si>
  <si>
    <t>Warooka Collection</t>
  </si>
  <si>
    <t>b20812073</t>
  </si>
  <si>
    <t>Opening of the Coomandook School</t>
  </si>
  <si>
    <t>COOMANDOOK: Mr Gerlach, from the Education Department, opening the Coomandook School.  L-r Mrs Gerlach  Mr Gerlach  John Rogers  Ken Williams and the Headmaster Robert Nankerville.</t>
  </si>
  <si>
    <t>Teachers -- South Australia -- Coomandook;Schools -- South Australia -- Coomandook</t>
  </si>
  <si>
    <t>Coomandook Collection</t>
  </si>
  <si>
    <t>b20812085</t>
  </si>
  <si>
    <t>Opening of Coomandook School</t>
  </si>
  <si>
    <t>COOMANDOOK: People attending the official opening of the Coomandook Primary School.</t>
  </si>
  <si>
    <t>Schools -- South Australia -- Coomandook</t>
  </si>
  <si>
    <t>b20812097</t>
  </si>
  <si>
    <t>b20812103</t>
  </si>
  <si>
    <t>b20902372</t>
  </si>
  <si>
    <t>Photograph (b&amp;w print)  9.4 cm x 12.5 cm;RESERVE 1 album</t>
  </si>
  <si>
    <t>b20902384</t>
  </si>
  <si>
    <t>Photograph (b&amp;w print)  11 cm x 15.2 cm;RESERVE 1 album</t>
  </si>
  <si>
    <t>11.45am Bridgewater train at Pinera (on Saturday).</t>
  </si>
  <si>
    <t>b20902402</t>
  </si>
  <si>
    <t>Photograph (b&amp;w print)  9 cm x 15.5 cm;RESERVE 1 album</t>
  </si>
  <si>
    <t>Wirth's Circus arriving in Adelaide with animals and equipment.</t>
  </si>
  <si>
    <t>b20902414</t>
  </si>
  <si>
    <t>Photograph (b&amp;w print)  14 cm x 20.3 cm;RESERVE 1 album</t>
  </si>
  <si>
    <t>Trains at Adelaide Station.</t>
  </si>
  <si>
    <t>b2090244x</t>
  </si>
  <si>
    <t>Photograph (b&amp;w print)  11.5 cm x 10 cm;RESERVE 1 album</t>
  </si>
  <si>
    <t>Back end of tender 530.</t>
  </si>
  <si>
    <t>b20902451</t>
  </si>
  <si>
    <t>Photograph (b&amp;w print)  10.3 cm x 15.2 cm;RESERVE 1 album</t>
  </si>
  <si>
    <t>Engine 521 at Islington Workshops. Information supplied by a researcher.</t>
  </si>
  <si>
    <t>b20902529</t>
  </si>
  <si>
    <t>Photograph (b&amp;w print)  7 cm x 20.2 cm;RESERVE 1 album</t>
  </si>
  <si>
    <t>Passenger train crossing a railway bridge, thought to be over the River Torrens at North Adelaide.</t>
  </si>
  <si>
    <t>b20902530</t>
  </si>
  <si>
    <t>Photograph (b&amp;w print)  9.3 cm x 14.9 cm;RESERVE 1 album</t>
  </si>
  <si>
    <t>Passenger train at unidentified location, thought by a researcher to be North Adelaide parklands.</t>
  </si>
  <si>
    <t>b20902542</t>
  </si>
  <si>
    <t>Photograph (b&amp;w print)  9.2 cm x 15.2 cm;RESERVE 1 album</t>
  </si>
  <si>
    <t>Passenger train near Adelaide. Photograph taken in North Adelaide from a position just south-west of War Memorial Drive. The train is heading towards Adelaide and the locomotive is just about to cross the Torrens River bridge. The walls of the Adelaide Gaol can be seen through the bridge.</t>
  </si>
  <si>
    <t>b20902803</t>
  </si>
  <si>
    <t>b20902815</t>
  </si>
  <si>
    <t>Photograph (b&amp;w print)  8.6 cm x 15.3 cm;RESERVE 1 album</t>
  </si>
  <si>
    <t>Passenger train at location thought by a researcher to be North Adelaide parklands.</t>
  </si>
  <si>
    <t>b20902827</t>
  </si>
  <si>
    <t>b20902839</t>
  </si>
  <si>
    <t>Photograph (b&amp;w print)  8.3 cm x 14.7 cm;RESERVE 1 album</t>
  </si>
  <si>
    <t>b20902840</t>
  </si>
  <si>
    <t>Photograph (b&amp;w print)  9.4 cm x 15.4 cm;RESERVE 1 album</t>
  </si>
  <si>
    <t>Passenger train at location identified by researcher as Tailem Bend.</t>
  </si>
  <si>
    <t>b20902852</t>
  </si>
  <si>
    <t>Photograph (b&amp;w print)  10.3 cm x 15.4 cm;RESERVE 1 album</t>
  </si>
  <si>
    <t>Passenger train at location identified by researcher as approaching Mile End, South Australia.</t>
  </si>
  <si>
    <t>b20902864</t>
  </si>
  <si>
    <t>Photograph (b&amp;w print)  8.7 cm x 15.5 cm;RESERVE 1 album</t>
  </si>
  <si>
    <t>Combined goods and passenger train at location thought by a researcher to be North Adelaide parklands.</t>
  </si>
  <si>
    <t>b20902876</t>
  </si>
  <si>
    <t>Photograph (b&amp;w print)  9.8 cm x 15.3 cm;RESERVE 1 album</t>
  </si>
  <si>
    <t>Engine No.626 at unidentified location.</t>
  </si>
  <si>
    <t>b20902888</t>
  </si>
  <si>
    <t>Photograph (b&amp;w print)  11.3 cm x 19.3 cm;RESERVE 1 album</t>
  </si>
  <si>
    <t>Goods train (engine No.624) at Clapham, South Australia.</t>
  </si>
  <si>
    <t>b2090292x</t>
  </si>
  <si>
    <t>Driver's controls in a 600 class engine.</t>
  </si>
  <si>
    <t>b20903066</t>
  </si>
  <si>
    <t>Photograph (b&amp;w print)  12.2 cm x 12 cm;RESERVE 1 album</t>
  </si>
  <si>
    <t>Driver's controls of '700' class, No.700.</t>
  </si>
  <si>
    <t>b20903327</t>
  </si>
  <si>
    <t>Photograph (b&amp;w print)  13.7 cm x 9.8 cm</t>
  </si>
  <si>
    <t>Goods train at Sleeps Hill, about to enter tunnel.</t>
  </si>
  <si>
    <t>b20903844</t>
  </si>
  <si>
    <t>Saturday mixed train to Tailem Bend, photographed at Eden Hills.</t>
  </si>
  <si>
    <t>b20903856</t>
  </si>
  <si>
    <t>b20903868</t>
  </si>
  <si>
    <t>A goods train, which a researcher believes to be at Adelaide station yard, near WYE signal Box heading north.</t>
  </si>
  <si>
    <t>Album Collection;Railway Transport Collection;Adelaide Railway Station Collection</t>
  </si>
  <si>
    <t>b20904009</t>
  </si>
  <si>
    <t>Goods train going through the North Adelaide Railway Station.</t>
  </si>
  <si>
    <t>b20904022</t>
  </si>
  <si>
    <t>Photograph (b&amp;w print)  10 cm x 14.1 cm;RESERVE 1 album</t>
  </si>
  <si>
    <t>Rail machinery at unidentified location.</t>
  </si>
  <si>
    <t>b20904058</t>
  </si>
  <si>
    <t>Photograph (b&amp;w print)  11.7 cm x 11.7 cm;RESERVE 1 album</t>
  </si>
  <si>
    <t>Close-up of an engine.</t>
  </si>
  <si>
    <t>b2090406x</t>
  </si>
  <si>
    <t>b20904071</t>
  </si>
  <si>
    <t>Photograph (b&amp;w print)  11.7 cm x 19 cm;RESERVE 1 album</t>
  </si>
  <si>
    <t>b20904083</t>
  </si>
  <si>
    <t>Train at North Adelaide.</t>
  </si>
  <si>
    <t>b20904095</t>
  </si>
  <si>
    <t>Photograph (b&amp;w print)  8 cm x 13 cm;RESERVE 1 album</t>
  </si>
  <si>
    <t>Train at Adelaide Railway Station.</t>
  </si>
  <si>
    <t>b20904101</t>
  </si>
  <si>
    <t>b20904460</t>
  </si>
  <si>
    <t>Photograph (b&amp;w print)  10.8 cm x 15.4 cm;RESERVE 1 album</t>
  </si>
  <si>
    <t>Train at Mile End North Diesel Depot. Location supplied by a researcher.</t>
  </si>
  <si>
    <t>b20904666</t>
  </si>
  <si>
    <t>Photograph (b&amp;w print  7.8 cm x 12.6 cm;RESERVE 1 album</t>
  </si>
  <si>
    <t>b20904678</t>
  </si>
  <si>
    <t>Photograph (b&amp;w print)  12.2 cm x 7.8 cm;RESERVE 1 album</t>
  </si>
  <si>
    <t>Front view of engine at unidentified location.</t>
  </si>
  <si>
    <t>b2090468x</t>
  </si>
  <si>
    <t>Photograph (b&amp;w print)  7.4 cm x 15.2 cm;RESERVE 1 album</t>
  </si>
  <si>
    <t>b2090471x</t>
  </si>
  <si>
    <t>Railway transport: F class in Mile End</t>
  </si>
  <si>
    <t>Photograph (b&amp;w print)  10.8 cm x 15.5 cm;RESERVE 1 album</t>
  </si>
  <si>
    <t>Freight departing Mile End North, taken from the signal cabin under Bakewell bridge.</t>
  </si>
  <si>
    <t>b20904721</t>
  </si>
  <si>
    <t>Railway transport: F class at Port Adelaide</t>
  </si>
  <si>
    <t>Passenger train on the rail viaduct crossing Commercial Road, Port Adelaide.</t>
  </si>
  <si>
    <t>b20904733</t>
  </si>
  <si>
    <t>Goods train at Port Adelaide, on the rail viaduct crossing Commercial Road.  [Information provided by Paul Dallow].</t>
  </si>
  <si>
    <t>b20904745</t>
  </si>
  <si>
    <t>Goods train at at Mile End, with the Bakewell bridge in background.</t>
  </si>
  <si>
    <t>b20904757</t>
  </si>
  <si>
    <t>Photograph (b&amp;w print)  10.8 cm x 14.9 cm;RESERVE 1 album</t>
  </si>
  <si>
    <t>b20904769</t>
  </si>
  <si>
    <t>b20904770</t>
  </si>
  <si>
    <t>b20904782</t>
  </si>
  <si>
    <t>b20904794</t>
  </si>
  <si>
    <t>Passenger train at at Mile End heading for the Adelaide station.</t>
  </si>
  <si>
    <t>b20904800</t>
  </si>
  <si>
    <t>Passenger train between Adelaide and Mile End stations.</t>
  </si>
  <si>
    <t>b20904812</t>
  </si>
  <si>
    <t>b20904824</t>
  </si>
  <si>
    <t>Photograph (b&amp;w print)  9.5 cm x 18.7 cm;RESERVE 1 album</t>
  </si>
  <si>
    <t>Locomotive engine in the Adelaide rail yard, with the Fowler's "Lion" Factory and the Centralia Hotel in the background on North Terrace. Beyond the Centralia is the chimney of the West End brewery, located on Hindley Street until the early 1980s.</t>
  </si>
  <si>
    <t>b20904836</t>
  </si>
  <si>
    <t>Goods train with a cargo of car bodies at unidentified location. A researcher has suggested that the photograph was taken near Adelaide Gaol. 'In the distance is a signal box which still exists today and between the signal box and the car carrying train (which is most likely to have brought its cargo toward Adelaide from Holden's Woodville plant), is a wye in which the Adelaide Gaol garden used to exist.'</t>
  </si>
  <si>
    <t>b20904848</t>
  </si>
  <si>
    <t>b2090485x</t>
  </si>
  <si>
    <t>Photograph (b&amp;w print)  7.6 cm x 13 cm;RESERVE 1 album</t>
  </si>
  <si>
    <t>b20904861</t>
  </si>
  <si>
    <t>Passenger train at the Adelaide railway station yards.</t>
  </si>
  <si>
    <t>b20904873</t>
  </si>
  <si>
    <t>Railway transport: F class at Mile End</t>
  </si>
  <si>
    <t>Photograph (b&amp;w print)  9 cm x 15.4 cm;RESERVE 1 album</t>
  </si>
  <si>
    <t>Passenger train passing Mile End.</t>
  </si>
  <si>
    <t>b20904885</t>
  </si>
  <si>
    <t>b20904927</t>
  </si>
  <si>
    <t>b20904939</t>
  </si>
  <si>
    <t>Engines at Mile End.</t>
  </si>
  <si>
    <t>b20904940</t>
  </si>
  <si>
    <t>b20905300</t>
  </si>
  <si>
    <t>Wirth's Circus train - 525 took equipment to Adelaide  Rx 228 took coaches from North Adelaide where train was split.</t>
  </si>
  <si>
    <t>b20905336</t>
  </si>
  <si>
    <t>Photograph (b&amp;w print)  9.5 cm x 20.5 cm;RESERVE 1 album</t>
  </si>
  <si>
    <t>b20905373</t>
  </si>
  <si>
    <t>2 Rx class locomotives with a Pacific class locomotive</t>
  </si>
  <si>
    <t>2 Rx class locomotives on the left with Pacific class locomotive, SAR 607, on the right, at an unidentified location. A researcher says this is Tailem Bend.</t>
  </si>
  <si>
    <t>Railroads -- South Australia -- Trains;Railroads -- South Australia;Locomotives -- South Australia</t>
  </si>
  <si>
    <t>b20905464</t>
  </si>
  <si>
    <t>Photograph (b&amp;w print)  11.6 cm x 12.1 cm;RESERVE 1 album</t>
  </si>
  <si>
    <t>A view of the drivers controls, No. S17.</t>
  </si>
  <si>
    <t>b20976963</t>
  </si>
  <si>
    <t>'Governor says goodbye'</t>
  </si>
  <si>
    <t>C1;Newspaper cutting  17.5 cm x 8.5 cm</t>
  </si>
  <si>
    <t>Photographs of the Governor, Sir Willoughby Norrie, and his party, prior to their departure from South Australia.</t>
  </si>
  <si>
    <t>b20976975</t>
  </si>
  <si>
    <t>'More than his duty'</t>
  </si>
  <si>
    <t>C1;Newspaper cutting  20.3 cm x 5.2 cm</t>
  </si>
  <si>
    <t>Editorial about the departure of the Governor, Sir Willoughby Norrie, and his family on their departure from South Australia.</t>
  </si>
  <si>
    <t>b20976987</t>
  </si>
  <si>
    <t>Newspaper cutting  5.2 cm x 4.2 cm;C1</t>
  </si>
  <si>
    <t>Anecdote about a volunteer work farewelling Lady Norrie.</t>
  </si>
  <si>
    <t>b21088810</t>
  </si>
  <si>
    <t>Nellie the mechanical elephant in the Christmas pageant</t>
  </si>
  <si>
    <t>Photograph  12.1 cm x 9.6 cm</t>
  </si>
  <si>
    <t>Nellie the mechanical elephant in the John Martin's Christmas pageant, with a number of children 'riding' on her back, with a portion of the crowd watching.</t>
  </si>
  <si>
    <t>Christmas Pageant (Adelaide, S.A.);Children -- South Australia -- Adelaide;Pageants -- South Australia -- Adelaide</t>
  </si>
  <si>
    <t>b21124115</t>
  </si>
  <si>
    <t>Report on the Overland Telegraph</t>
  </si>
  <si>
    <t>Photograph (digital copy)</t>
  </si>
  <si>
    <t>Newspaper cutting featuring an article on Sir Charles Todd and his role in the construction of the Overland Telegraph in 1872  it also features the photograph at B 69996/65.</t>
  </si>
  <si>
    <t>Overland Telegraph Line (N.T. and S.A.) -- History</t>
  </si>
  <si>
    <t>b21126665</t>
  </si>
  <si>
    <t>North Terrace west, Adelaide, south side</t>
  </si>
  <si>
    <t>Photograph  8 cm x 14 cm</t>
  </si>
  <si>
    <t>North Terrace west, Adelaide, south side, taken on the 20th October, 1952. Metal Manufactures Ltd building in the centre was erected in 1942 on a vacant site. The right side of the building is 14 yards east of Gray Street. The  frontage is 14 1/2 yards.</t>
  </si>
  <si>
    <t>Architecture -- South Australia -- Adelaide;North Terrace (Adelaide, S.A.) -- Buildings, structures, etc.</t>
  </si>
  <si>
    <t>Acre 3 Collection</t>
  </si>
  <si>
    <t>b31302312</t>
  </si>
  <si>
    <t>Raymond Scott</t>
  </si>
  <si>
    <t>1952 April 5</t>
  </si>
  <si>
    <t>1 photograph : black and white   15.1 x 10.8 cm;RESERVE 1 a;still image sti rdacontent;unmediated n rdamedia;sheet nb rdacarrier</t>
  </si>
  <si>
    <t>Raymond Scott in the grounds of Willunga High School, aged 15 and a half. He was Willunga's representative in the Youth Travel programme, which ran 1951-1955 (excluding 1954), and sponsored by The Advertiser. Originated by the Herald Sun, Victoria, it was replicated in S.A. by The Advertiser's general manager Sir Lloyd Dumas. The youths, all male, were intended to be viewed as ambassadors for Australia, in Britain to attract migrants during the post-World War II period.</t>
  </si>
  <si>
    <t>Scott, Raymond.;Boys -- South Australia -- Willunga.</t>
  </si>
  <si>
    <t>b30114482</t>
  </si>
  <si>
    <t>Port Adelaide dock yards</t>
  </si>
  <si>
    <t>1952 August 15</t>
  </si>
  <si>
    <t>1 photograph : acetate, negative, black and white   10 x 12.5 cm;RESERVE 1 a;still image sti rdacontent;unmediated n rdamedia;sheet nb rdacarrier</t>
  </si>
  <si>
    <t>Black and white photograph of trucks and timber at the dockyards at Port Adelaide.</t>
  </si>
  <si>
    <t>Docks -- South Australia -- Port Adelaide</t>
  </si>
  <si>
    <t>b29582921</t>
  </si>
  <si>
    <t>Wedding party of Jim and Elizabeth Stanford</t>
  </si>
  <si>
    <t>1952 December 26</t>
  </si>
  <si>
    <t>1 photograph : black and white   12.2 x 20.9 cm;still image sti rdacontent;unmediated n rdamedia;sheet nb rdacarrier</t>
  </si>
  <si>
    <t>The wedding party of Jim Stanford and Elizabeth (nee Moore), pictured signing the register after the ceremony. In addition to the bride and groom, the party includes two bridesmaids and two groomsmen, and the Rev Frank Burnell [Berneil?]. The couple were married at Semaphore Baptist Church on 26 December 1952.</t>
  </si>
  <si>
    <t>Weddings -- South Australia -- Semaphore</t>
  </si>
  <si>
    <t>b20671350</t>
  </si>
  <si>
    <t>Notification of Allegiance to Queen Elizabeth II</t>
  </si>
  <si>
    <t>1952 February 8</t>
  </si>
  <si>
    <t>The Governor, Sir Willoughby Norrie, reads the Notification of Allegiance to Queen Elizabeth II on the steps Parliament House.</t>
  </si>
  <si>
    <t>Norrie, Willoughby, Sir, 1893-1977;Playford, Thomas, Sir, 1896-1981</t>
  </si>
  <si>
    <t>b31340076</t>
  </si>
  <si>
    <t>Moonta at Port Adelaide</t>
  </si>
  <si>
    <t>1952 January 18</t>
  </si>
  <si>
    <t>1 photograph : acetate, negative, black and white   16 x 11.5 cm;RESERVE 1 negatives;still image sti rdacontent;unmediated n rdamedia;sheet nb rdacarrier</t>
  </si>
  <si>
    <t>The 'M.V. Moonta' at No. 3 Berth, Port Adelaide. The 'Port Victor' is behind at No.2 Berth.</t>
  </si>
  <si>
    <t>Moonta (Ship);Port Victor (Ship);Shipping -- South Australia -- Port Adelaide</t>
  </si>
  <si>
    <t>b3011424x</t>
  </si>
  <si>
    <t>Car bodies at Port Adelaide docks</t>
  </si>
  <si>
    <t>1952 July 15</t>
  </si>
  <si>
    <t>1 photograph : acetate, negative, black and white   9.9 x 12.5 cm;RESERVE 1 a;still image sti rdacontent;unmediated n rdamedia;sheet nb rdacarrier</t>
  </si>
  <si>
    <t>Black and white photograph of car bodies within a fenced compound at Port Adelaide. Possibly Holden bodies awaiting export.</t>
  </si>
  <si>
    <t>Automobiles -- Bodies -- South Australia -- Port Adelaide</t>
  </si>
  <si>
    <t>b30115838</t>
  </si>
  <si>
    <t>Loading timber at Port Adelaide</t>
  </si>
  <si>
    <t>Black and white photograph of a ship moored dockside at Port Adelaide, with timber being loaded from one of the ship's derricks. Men with trolley tractors are in view on the wharf.</t>
  </si>
  <si>
    <t>Cranes, derricks, etc. -- South Australia -- Port Adelaide;Docks -- South Australia -- Port Adelaide;Wharves -- South Australia -- Port Adelaide;Loading and unloading -- South Australia -- Port Adelaide;Tractors -- Pictorial works</t>
  </si>
  <si>
    <t>b30115875</t>
  </si>
  <si>
    <t>Loading produce at Port Adelaide</t>
  </si>
  <si>
    <t>Black and white photograph of men loading, or unloading, bags of produce from a horse-drawn dray parked in a shed at Port Adelaide.</t>
  </si>
  <si>
    <t>Carriages and carts -- South Australia -- Port Adelaide;Horse-drawn vehicles -- South Australia -- Port Adelaide;Loading and unloading -- South Australia -- Port Adelaide;Produce trade -- South Australia</t>
  </si>
  <si>
    <t>b30115929</t>
  </si>
  <si>
    <t>Loading crates at Port Adelaide</t>
  </si>
  <si>
    <t>Black and white photograph of men loading, or unloading, small crates using a tractor crane from the rear tray of a truck parked in a shed at Port Adelaide.</t>
  </si>
  <si>
    <t>Loading and unloading -- South Australia -- Port Adelaide;Tractors -- South Australia -- Port Adelaide;Cranes, derricks, etc. -- South Australia -- Port Adelaide</t>
  </si>
  <si>
    <t>b31421581</t>
  </si>
  <si>
    <t>Port Adelaide Caledonian Society</t>
  </si>
  <si>
    <t>1952 October</t>
  </si>
  <si>
    <t>1 photograph : black and white   10.6 x 14.8 cm;RESERVE 1 a;still image sti rdacontent;unmediated n rdamedia;sheet nb rdacarrier</t>
  </si>
  <si>
    <t>Young members of the Port Adelaide Caledonian Society in new uniforms. L-R: Pipe Major Bobby Horne, Leading Drummer Billy Clelland, and Pipe Corporal Tommy Clelland.</t>
  </si>
  <si>
    <t>Clelland, William, 1935-.;Clelland, Thomas.;Horne, Archibald Robert, 1927-2000.;Port Adelaide Caledonian Society.;Pipe bands -- South Australia -- Port Adelaide.</t>
  </si>
  <si>
    <t>b30115486</t>
  </si>
  <si>
    <t>Floating crane at Port Adelaide</t>
  </si>
  <si>
    <t>1952 September 22</t>
  </si>
  <si>
    <t>Black and white photograph of a floating crane moored dockside at Port Adelaide.</t>
  </si>
  <si>
    <t>Cranes, derricks, etc. -- South Australia -- Port Adelaide;Docks -- South Australia -- Port Adelaide</t>
  </si>
  <si>
    <t>b30116260</t>
  </si>
  <si>
    <t>Digging at Port Adelaide docks</t>
  </si>
  <si>
    <t>1 photograph : acetate, negative, black and white   12.5 x 9.9 cm;RESERVE 1 a;still image sti rdacontent;unmediated n rdamedia;sheet nb rdacarrier</t>
  </si>
  <si>
    <t>Black and white photograph of a bucket crane moving soil on the bank of the Port River at Port Adelaide, with a dredger positioned in the water nearby. Wharves, buildings and a ship are in view behind.</t>
  </si>
  <si>
    <t>Wharves -- South Australia -- Port Adelaide;Construction equipment -- South Australia -- Port Adelaide;Dredges -- South Australia -- Port Adelaide;Port Adelaide River (S.A.)</t>
  </si>
  <si>
    <t>b30116375</t>
  </si>
  <si>
    <t>Construction of buildings at Port Adelaide docks</t>
  </si>
  <si>
    <t>Black and white photograph showing a rooftop view of buildings under construction at the Port Adelaide docks, with ships in view in the Port River.</t>
  </si>
  <si>
    <t>Ships -- South Australia -- Port Adelaide;Wharves -- South Australia -- Port Adelaide;Construction equipment -- South Australia -- Port Adelaide;Building -- South Australia -- Port Adelaide</t>
  </si>
  <si>
    <t>b30114962</t>
  </si>
  <si>
    <t>The Royal Emblem ship</t>
  </si>
  <si>
    <t>1952 September 29</t>
  </si>
  <si>
    <t>Black and white photograph of a ship called the 'Royal Emblem' docked at Port Adelaide, with building construction work being carried out on the wharf.</t>
  </si>
  <si>
    <t>Royal Emblem (Ship);Ships -- South Australia -- Port Adelaide;Wharves -- South Australia -- Port Adelaide;Building -- South Australia -- Port Adelaide</t>
  </si>
  <si>
    <t>b30115048</t>
  </si>
  <si>
    <t>Construction at Port Adelaide docks</t>
  </si>
  <si>
    <t>Black and white photograph of construction material, trucks and workmen on the docks at Port Adelaide, with a ship in the background.</t>
  </si>
  <si>
    <t>Ships -- South Australia -- Port Adelaide;Wharves -- South Australia -- Port Adelaide;Construction equipment -- South Australia -- Port Adelaide</t>
  </si>
  <si>
    <t>b22051922</t>
  </si>
  <si>
    <t>Francis, Donald Frank, photographer</t>
  </si>
  <si>
    <t>124 Barton Terrace, North Adelaide</t>
  </si>
  <si>
    <t>approximately 1952</t>
  </si>
  <si>
    <t>Photograph (B&amp;W print)  6.1 cm x 10.6 cm</t>
  </si>
  <si>
    <t>View of the Francis family home at 124 Barton Terrace, North Adelaide. The photograph was taken by Donald Francis on a Brownie box camera, shortly after the family moved in. Believed at one time to have been a boarding house for Queen's College (it had 20 rooms and an extension at the back) it was demolished ca.1971.</t>
  </si>
  <si>
    <t>Architecture, Domestic -- South Australia -- North Adelaide</t>
  </si>
  <si>
    <t>North Adelaide Collection</t>
  </si>
  <si>
    <t>b2221396x</t>
  </si>
  <si>
    <t>Bar at the Tavistock Hotel</t>
  </si>
  <si>
    <t>Photograph (B&amp;W print)  19.2 cm x 24.5 cm;RESERVE 1</t>
  </si>
  <si>
    <t>View of a bar in the Tavistock Hotel at 224 Rundle Street, Adelaide. It shows the bar with patrons' stool, and glasses, flowers and cash register on the fridges behind the bar.</t>
  </si>
  <si>
    <t>Tavistock Hotel (Adelaide, S.A.);Hotels -- South Australia -- Adelaide;Bars (Drinking establishments) -- South Australia -- Adelaide;Interior architecture -- South Australia -- Adelaide</t>
  </si>
  <si>
    <t>Acre 35 Collection</t>
  </si>
  <si>
    <t>b20192022</t>
  </si>
  <si>
    <t>Memorial, Auburn</t>
  </si>
  <si>
    <t>Unveiling of memorial drinking fountain to Clarence Michael James Dennis at Auburn, March 29th 1953. CJ Dennis was an Australian poet known for his humourous poems especially "The Sentimental Bloke". He was born at Auburn in 1876</t>
  </si>
  <si>
    <t>Dennis, C. J. (Clarence James), 1876-1938 -- Monuments;Memorials -- South Australia -- Auburn</t>
  </si>
  <si>
    <t>b20192034</t>
  </si>
  <si>
    <t>C.J. Dennis Memorial drinking fountain and bird bath, Auburn</t>
  </si>
  <si>
    <t>Unveiling of the C.J. Dennis memorial drinking fountain and birth bath at Auburn, March 29th 1953. CJ Dennis was an Australian poet known for his humourous poems especially "The Sentimental Bloke". He was born at Auburn in 1876</t>
  </si>
  <si>
    <t>b20194778</t>
  </si>
  <si>
    <t>Horseracing at Balaklava</t>
  </si>
  <si>
    <t>Photograph (B&amp;W print, hand-tinted)  28 cm x 38 cm (oval);RESERVE 1 (with albums)</t>
  </si>
  <si>
    <t>Racehorse "Runyon" winning Erith Novice Balaklava 11 Feb 1953, jockey G. Hope, Trainer R.A. Trewin.</t>
  </si>
  <si>
    <t>Trewin, R. A.;Hope, G.;Runyon (Race horse);Horse racing -- South Australia -- Balaklava;Race horses -- South Australia -- Balaklava</t>
  </si>
  <si>
    <t>b20195096</t>
  </si>
  <si>
    <t>Barmera</t>
  </si>
  <si>
    <t>Main Street of Barmera.</t>
  </si>
  <si>
    <t>Streets -- South Australia -- Barmera</t>
  </si>
  <si>
    <t>b20197706</t>
  </si>
  <si>
    <t>Retreat House, Belair</t>
  </si>
  <si>
    <t>Church of England, Retreat House at Belair.</t>
  </si>
  <si>
    <t>b20205570</t>
  </si>
  <si>
    <t>Swaggie's hut</t>
  </si>
  <si>
    <t>Photograph (b&amp;w print)  6.8 cm x 11 cm;RESERVE 1</t>
  </si>
  <si>
    <t>Swaggie's hut at Bungaree.</t>
  </si>
  <si>
    <t>Sheep ranches -- South Australia -- Clare;Huts -- South Australia -- Clare;Bungaree (S.A.)</t>
  </si>
  <si>
    <t>Bungaree Collection</t>
  </si>
  <si>
    <t>b20230035</t>
  </si>
  <si>
    <t>Photograph: 21.5 cm x 15.5 cm</t>
  </si>
  <si>
    <t>St. Mary's Church showing fire damage.</t>
  </si>
  <si>
    <t>St. Mary's Church (Edwardstown, S.A.);Fires -- South Australia -- Edwardstown</t>
  </si>
  <si>
    <t>b20241872</t>
  </si>
  <si>
    <t>Storm damage, Glenelg</t>
  </si>
  <si>
    <t>Photograph  10.7 cm x 6.3 cm</t>
  </si>
  <si>
    <t>Original jetty, storm damage after storm 18 May 1953.</t>
  </si>
  <si>
    <t>Jetties -- South Australia -- Glenelg</t>
  </si>
  <si>
    <t>b20241884</t>
  </si>
  <si>
    <t>Original jetty, storm damage - 18 May 1953.</t>
  </si>
  <si>
    <t>b20241896</t>
  </si>
  <si>
    <t>b20242554</t>
  </si>
  <si>
    <t>Photograph  12.1 cm x 7.7 cm</t>
  </si>
  <si>
    <t>The Municipal Tramways Trust's only H1 class tram, No. 381. There was only one 'H1' class car built - 40 were proposed, but the decision to destroy the tram system led to their cancellation.</t>
  </si>
  <si>
    <t>Trams -- South Australia -- Glenelg</t>
  </si>
  <si>
    <t>b20253412</t>
  </si>
  <si>
    <t>Mayfair Studio, photographer</t>
  </si>
  <si>
    <t>St. Peter's School, Hackney</t>
  </si>
  <si>
    <t>Photograph  21 cm x 15.1 cm;RESERVE 1 b</t>
  </si>
  <si>
    <t>Collegiate School of St. Peters Preparatory School -Ware House. Names can be supplied: Please apply to Library Staff.</t>
  </si>
  <si>
    <t>St. Peter's College (St. Peters, S.A.)</t>
  </si>
  <si>
    <t>Hackney Collection</t>
  </si>
  <si>
    <t>b20257570</t>
  </si>
  <si>
    <t>Storm damage, Henley beach</t>
  </si>
  <si>
    <t>Foreshore storm damage - 18th May 1953.</t>
  </si>
  <si>
    <t>Storms -- South Australia -- Henley Beach</t>
  </si>
  <si>
    <t>b20257582</t>
  </si>
  <si>
    <t>Storm damage, Henley Beach</t>
  </si>
  <si>
    <t>Foreshore storm damage, "Del Monte" in the background.</t>
  </si>
  <si>
    <t>b20257776</t>
  </si>
  <si>
    <t>Photograph (b&amp;w print)  8.4 cm x 6.1 cm;C1</t>
  </si>
  <si>
    <t>Damaged on the seafront by Storm in June 1953.</t>
  </si>
  <si>
    <t>Beach erosion -- South Australia -- Henley Beach;Storms -- South Australia -- Henley Beach</t>
  </si>
  <si>
    <t>Henley Beach Collection;Praite Collection</t>
  </si>
  <si>
    <t>b20257788</t>
  </si>
  <si>
    <t>Photograph (b&amp;w print)  6.2 cm x 8.5 cm;C1</t>
  </si>
  <si>
    <t>Damaged by storm along the foreshore at Henley.</t>
  </si>
  <si>
    <t>b2025779x</t>
  </si>
  <si>
    <t>Photograph (b&amp;w print)  6.1 cm x 8.4 cm;C1</t>
  </si>
  <si>
    <t>Kiosk after storm in June 1953.</t>
  </si>
  <si>
    <t>b20257806</t>
  </si>
  <si>
    <t>Photograph (b&amp;w print)  8.5 cm x 5.9 cm;C1</t>
  </si>
  <si>
    <t>Foreshore after storm, June 1953.</t>
  </si>
  <si>
    <t>b20273496</t>
  </si>
  <si>
    <t>Cooper, H. M., photographer</t>
  </si>
  <si>
    <t>Flinders Monument, Kingscote</t>
  </si>
  <si>
    <t>Photograph  16.2 cm x 10.5 cm</t>
  </si>
  <si>
    <t>[General description] Capt. Matthew Flinders monument at Kingscote, Kangaroo Island, photographed in 1953. The text on the monument reads: 'Erected to the memory of Captain Matthew Flinders who, sailing in H.M.S. Investigator landed upon and named Kangaroo Island on the 22nd March, 1802. Unveiled on the 22nd March 1902'</t>
  </si>
  <si>
    <t>Flinders, Matthew, 1774-1814 -- Monuments;Monuments -- South Australia -- Kingscote</t>
  </si>
  <si>
    <t>Kingscote Collection</t>
  </si>
  <si>
    <t>b20273502</t>
  </si>
  <si>
    <t>Flinders Monument Kingscote</t>
  </si>
  <si>
    <t>[General description] Close up view of Capt. Matthew Flinders monument at Kingscote, Kangaroo Island (showing inscription) which reads: 'Erected to the memory of Captain Matthew Flinders who, sailing in H.M.S. Investigator landed upon and named Kangaroo Island on the 22nd March, 1802. Unveiled on the 22nd March 1902'</t>
  </si>
  <si>
    <t>b20287811</t>
  </si>
  <si>
    <t>Mannum pipeline</t>
  </si>
  <si>
    <t>Photograph  20.1 cm x 15.5 cm;RESERVE 4 [glass plate negative]</t>
  </si>
  <si>
    <t>Mannum pipeline.</t>
  </si>
  <si>
    <t>Water-pipes -- South Australia -- Mannum</t>
  </si>
  <si>
    <t>Mannum Collection</t>
  </si>
  <si>
    <t>b2031114x</t>
  </si>
  <si>
    <t>Nyook Station Homestead</t>
  </si>
  <si>
    <t>Photograph  15.8 cm x 11.4 cm</t>
  </si>
  <si>
    <t>Original homestead of Nyook Station, near Mount Gambier. From 1844 a number of stations were taken up in the Mount Gambier district. After July 1851 the pastoral licenses issued were regulated by the classification of the land. Nyook is the Scottish pronounciation of the English word Nook as in inglenook or a triangular area of land which sticks out into the North Sea (East Neuk of Fife) The photograph shows a small stone building covered by creepers and trees. A small chicken coop stands near the door along with various tools</t>
  </si>
  <si>
    <t>Farmhouses -- South Australia -- Mount Gambier Region;Nyook Station (S.A.)</t>
  </si>
  <si>
    <t>b20315260</t>
  </si>
  <si>
    <t>Newsagency, Mt.Gambier</t>
  </si>
  <si>
    <t>Interior view of "Hills" Newsagency at Mount Gambier.</t>
  </si>
  <si>
    <t>Interior architecture -- South Australia -- Mount Gambier;Stores, Retail -- South Australia -- Mount Gambier;Clerks (Retail trade) -- South Australia -- Mount Gambier</t>
  </si>
  <si>
    <t>b20316586</t>
  </si>
  <si>
    <t>Rose gardens, Mount Gambier</t>
  </si>
  <si>
    <t>Rose gardens &amp; Jens Hotel, Mount Gambier.</t>
  </si>
  <si>
    <t>b20317293</t>
  </si>
  <si>
    <t>Showground Building</t>
  </si>
  <si>
    <t>Construction of a showground building at Mount Gambier.</t>
  </si>
  <si>
    <t>b20317712</t>
  </si>
  <si>
    <t>Group at "Dingley Dell"</t>
  </si>
  <si>
    <t>Group at "Dingley Dell ", near Mount Gambier.</t>
  </si>
  <si>
    <t>Gordon, Adam Lindsay, 1833-1870;Dingley Dell (House : Port Macdonnell, S.A.);Historic buildings -- South Australia -- Port Macdonnell;Cottages -- South Australia -- Port Macdonnell</t>
  </si>
  <si>
    <t>b20317864</t>
  </si>
  <si>
    <t>Mount Gambier Hotel</t>
  </si>
  <si>
    <t>Mount Gambier Hotel, also known as Jen's Hotel.</t>
  </si>
  <si>
    <t>Hotels -- South Australia -- Mount Gambier</t>
  </si>
  <si>
    <t>b20319472</t>
  </si>
  <si>
    <t>Mount Gambier Red Cross Group</t>
  </si>
  <si>
    <t>photograph &amp; neg</t>
  </si>
  <si>
    <t>Mount Gambier Group of Red Cross workers.</t>
  </si>
  <si>
    <t>b20326105</t>
  </si>
  <si>
    <t>Ruskin Studio, photographer</t>
  </si>
  <si>
    <t>Murray Bridge Fire Station</t>
  </si>
  <si>
    <t>Murray Bridge Fire Station   Officers and the Fire Engine out the front.</t>
  </si>
  <si>
    <t>Fire engines -- South Australia -- Murray Bridge;Fire fighters -- South Australia -- Murray Bridge;Fire stations -- South Australia -- Murray Bridge</t>
  </si>
  <si>
    <t>b20326117</t>
  </si>
  <si>
    <t>Soldier's Memorial Hospital</t>
  </si>
  <si>
    <t>Soldier's Memorial Hospital at Murray Bridge.</t>
  </si>
  <si>
    <t>Murray Bridge Soldiers' Memorial Hospital;Hospitals -- South Australia -- Murray Bridge</t>
  </si>
  <si>
    <t>b20326129</t>
  </si>
  <si>
    <t>Hospital Staff, Murray Bridge</t>
  </si>
  <si>
    <t>Soldier's Memorial Hospital staff.</t>
  </si>
  <si>
    <t>Murray Bridge Soldiers' Memorial Hospital;Nurses -- South Australia -- Murray Bridge</t>
  </si>
  <si>
    <t>b20326130</t>
  </si>
  <si>
    <t>Northern Gem Photo. Co., photographer</t>
  </si>
  <si>
    <t>District Nurse, Murray Bridge</t>
  </si>
  <si>
    <t>Geographic co-ordinates: 139.275462/-35.117574;Photograph  21 cm x 16 cm</t>
  </si>
  <si>
    <t>Murray Bridge District Bush Nurse with car used for travelling.</t>
  </si>
  <si>
    <t>Automobiles -- South Australia -- Murray Bridge;Nurses -- South Australia -- Murray Bridge</t>
  </si>
  <si>
    <t>b20326142</t>
  </si>
  <si>
    <t>Murray Bridge Primary School</t>
  </si>
  <si>
    <t>Murray Bridge Primary Schoolchildren in the School yard.</t>
  </si>
  <si>
    <t>Children -- South Australia -- Murray Bridge;School children -- South Australia -- Murray Bridge</t>
  </si>
  <si>
    <t>b20326154</t>
  </si>
  <si>
    <t>Murray Bridge Infant School</t>
  </si>
  <si>
    <t>Murray Bridge Infant School.</t>
  </si>
  <si>
    <t>Schools -- South Australia -- Murray Bridge</t>
  </si>
  <si>
    <t>b20326166</t>
  </si>
  <si>
    <t>b20326178</t>
  </si>
  <si>
    <t>Murray Bridge Pre-School</t>
  </si>
  <si>
    <t>Murray Bridge Pre-School.</t>
  </si>
  <si>
    <t>b2032618x</t>
  </si>
  <si>
    <t>Murray Bridge Technical School</t>
  </si>
  <si>
    <t>Murray Bridge Technical School.</t>
  </si>
  <si>
    <t>b20326191</t>
  </si>
  <si>
    <t>Washbourne Photo., photographer</t>
  </si>
  <si>
    <t>Murray Bridge Guide Hall</t>
  </si>
  <si>
    <t>Murray Bridge Guide Hall.</t>
  </si>
  <si>
    <t>b20326208</t>
  </si>
  <si>
    <t>Murray Bridge Croquet Club and Lawn Bowls Club</t>
  </si>
  <si>
    <t>Murray Bridge Croquet Club and Lawn Bowls Club.</t>
  </si>
  <si>
    <t>Bowls (Game) -- South Australia -- Murray Bridge;Croquet -- South Australia -- Murray Bridge</t>
  </si>
  <si>
    <t>b2032621x</t>
  </si>
  <si>
    <t>Murray Bridge Fire Brigade Vehicle</t>
  </si>
  <si>
    <t>Murray Bridge Fire Brigade Vehicle.</t>
  </si>
  <si>
    <t>Fire engines -- South Australia -- Murray Bridge</t>
  </si>
  <si>
    <t>b20326221</t>
  </si>
  <si>
    <t>Murray Bridge Post Office</t>
  </si>
  <si>
    <t>Murray Bridge Post Office.</t>
  </si>
  <si>
    <t>Post office buildings -- South Australia -- Murray Bridge</t>
  </si>
  <si>
    <t>b20326233</t>
  </si>
  <si>
    <t>Bridges at Murray Bridge</t>
  </si>
  <si>
    <t>Showing both bridges over the Murray River.</t>
  </si>
  <si>
    <t>Bridges -- South Australia -- Murray Bridge</t>
  </si>
  <si>
    <t>b20326245</t>
  </si>
  <si>
    <t>Murray Bridge Railway Station</t>
  </si>
  <si>
    <t>Murray Bridge Railway Station.</t>
  </si>
  <si>
    <t>b20326257</t>
  </si>
  <si>
    <t>Bridge Street, Murray Bridge</t>
  </si>
  <si>
    <t>Bridge Street.</t>
  </si>
  <si>
    <t>Streets -- South Australia -- Murray Bridge</t>
  </si>
  <si>
    <t>b20326269</t>
  </si>
  <si>
    <t>Bridge Street, showing Eudunda Farmers Co-operative Store.</t>
  </si>
  <si>
    <t>b20326270</t>
  </si>
  <si>
    <t>b20326282</t>
  </si>
  <si>
    <t>Murray Bridge Town Hall</t>
  </si>
  <si>
    <t>Murray Bridge Town Hall.</t>
  </si>
  <si>
    <t>City halls -- South Australia -- Murray Bridge;Municipal buildings -- South Australia -- Murray Bridge</t>
  </si>
  <si>
    <t>b20326294</t>
  </si>
  <si>
    <t>Aerial view of Murray Bridge</t>
  </si>
  <si>
    <t>Aerial view of Murray Bridge.</t>
  </si>
  <si>
    <t>Murray Bridge (S.A.) -- Aerial photographs</t>
  </si>
  <si>
    <t>b20326300</t>
  </si>
  <si>
    <t>Aerial view.</t>
  </si>
  <si>
    <t>b20326312</t>
  </si>
  <si>
    <t>Murray Bridge Town Hall Clock</t>
  </si>
  <si>
    <t>Murray Bridge Town Hall Clock.</t>
  </si>
  <si>
    <t>Clocks and watches -- South Australia -- Murray Bridge;City halls -- South Australia -- Murray Bridge;Municipal buildings -- South Australia -- Murray Bridge</t>
  </si>
  <si>
    <t>b20326324</t>
  </si>
  <si>
    <t>Sturt Reserve, Murray Bridge</t>
  </si>
  <si>
    <t>Sturt Reserve - crowd enjoying a summer's day.</t>
  </si>
  <si>
    <t>b20355166</t>
  </si>
  <si>
    <t>St. Joseph's Convent Pupils</t>
  </si>
  <si>
    <t>St. Joseph's Convent at Peterborough, classes 2 and 3.</t>
  </si>
  <si>
    <t>St. Joseph's Convent School (Peterborough, S.A.);Children -- South Australia -- Peterborough;Schools -- South Australia -- Peterborough</t>
  </si>
  <si>
    <t>Peterborough Collection</t>
  </si>
  <si>
    <t>b2035941x</t>
  </si>
  <si>
    <t>Veteran Car Rally</t>
  </si>
  <si>
    <t>Photograph  20.6 cm x 15.1 cm</t>
  </si>
  <si>
    <t>Veteran Car Rally, Anzac Highway, 9th May 1953. Left to right: J.A. Kaines, 1910 Hupmobile Roadster  K.T.L. Muldoon, 1910 Star tourer  R. Hill, 1910 Renault tourer.</t>
  </si>
  <si>
    <t>Automobiles, Racing -- South Australia -- Plympton;Star automobile;Renault automobile;Hupmobile automobile;Automobile rallies -- South Australia -- Plympton;Anzac Highway (S.A.)</t>
  </si>
  <si>
    <t>b20359421</t>
  </si>
  <si>
    <t>Veteran Car Rally, Anzac Highway. C.D. Carter and a 1902 Crestmobile roadster. 9 May 1953.</t>
  </si>
  <si>
    <t>Crestmobile automobile;Automobiles, Racing -- South Australia -- Adelaide;Automobile rallies -- South Australia -- Adelaide;Anzac Highway (Adelaide, S.A.)</t>
  </si>
  <si>
    <t>b20377484</t>
  </si>
  <si>
    <t>Moonta Bay, Port Moonta</t>
  </si>
  <si>
    <t>Photograph  20.6 cm x 15.3 cm</t>
  </si>
  <si>
    <t>Moonta Bay, Port Moonta.</t>
  </si>
  <si>
    <t>Port Moonta Collection</t>
  </si>
  <si>
    <t>b2040315x</t>
  </si>
  <si>
    <t>The Governor Sir Robert George planting a gum tree with Mr. Sadlier.</t>
  </si>
  <si>
    <t>George, Robert Allingham, Sir, 1896-1967;Governors -- South Australia;Tree planting -- South Australia -- Roxby Downs</t>
  </si>
  <si>
    <t>b20403161</t>
  </si>
  <si>
    <t>The Governor Sir Robert George after planting the gum tree.</t>
  </si>
  <si>
    <t>George, Robert Allingham, Sir, 1896-1967;Governors -- South Australia;Roxby Downs (S.A.)</t>
  </si>
  <si>
    <t>b20409552</t>
  </si>
  <si>
    <t>Semaphore jetty</t>
  </si>
  <si>
    <t>Two gaps in the Semaphore jetty.</t>
  </si>
  <si>
    <t>Jetties -- South Australia -- Semaphore</t>
  </si>
  <si>
    <t>b20507847</t>
  </si>
  <si>
    <t>Night Baseball League</t>
  </si>
  <si>
    <t>Photograph  25.2 cm x 19.8 cm;RESERVE 1 b</t>
  </si>
  <si>
    <t>South Australian team of Night Baseball League, inaugural season. Back row: W.K. (Tiger) Potts (Masseur)  H. Hunt  L. Bartle  C. Harvey  G. Gough  T. Puckett  P. Lee  C. Rowe (Umpires)  A. Rumbsy (Trainer). Second row: H. Creswell  D. Othams  B. Hill  I. Leahy  B. Harris  W. Fuller  R. Sands  M. White  B. Wiles. Third row: L. Favell  G. Fidock  W. Radbone (Captain-Coach)  S. Wedd (Manager)  R. Vaughton (Coach)  F. Catt  C. Watts  G. Fenwick. Front row: P. Box  G. Harrison  Russell Page (Batboy)  D. Martin  D. Roberts. Absent: P. Thomas  J. Green  R. O'Connell  P. Bodnall.</t>
  </si>
  <si>
    <t>Baseball teams -- South Australia</t>
  </si>
  <si>
    <t>b20515844</t>
  </si>
  <si>
    <t>H-I Electric Tram</t>
  </si>
  <si>
    <t>Photograph  21.5 cm x 15.2 cm</t>
  </si>
  <si>
    <t>Municipal Tramways Trust's new H-1 electric tram.</t>
  </si>
  <si>
    <t>Trams -- South Australia</t>
  </si>
  <si>
    <t>b20528504</t>
  </si>
  <si>
    <t>Figurehead of the "Coonatto"</t>
  </si>
  <si>
    <t>Figurehead of the Coonatto, in the garden of the Manor House, East Dean, near Seaford, Sussex, England. Later sold and sent to America.</t>
  </si>
  <si>
    <t>Coonatto (Ship);Figureheads of ships -- England -- Sussex</t>
  </si>
  <si>
    <t>b20542458</t>
  </si>
  <si>
    <t>Pamela Jeanne Vick</t>
  </si>
  <si>
    <t>Photograph (b&amp;w print)  10.5 cm x 14 cm;C1</t>
  </si>
  <si>
    <t>Pamela Vick feeding a lamb with her friend "Terre".</t>
  </si>
  <si>
    <t>Vick, Pamela Jeanne;Children -- South Australia</t>
  </si>
  <si>
    <t>b20543359</t>
  </si>
  <si>
    <t>Ordination of priests</t>
  </si>
  <si>
    <t>Photograph (b&amp;w print)  16 cm x 21.3 cm;C1</t>
  </si>
  <si>
    <t>Ordination of Priests and Deacons at St. Peter's Cathedral with the Lord Bishop of Adelaide, Bishop Robin.</t>
  </si>
  <si>
    <t>Robin, B. P. (Bryan Percival), 1887-1969;St. Peter's Cathedral (Adelaide, S.A.);Ordination -- South Australia -- Adelaide;Clergy -- South Australia;Deacons -- South Australia</t>
  </si>
  <si>
    <t>b20543360</t>
  </si>
  <si>
    <t>Photograph (b&amp;w print)  16 cm x 21.7 cm;C1</t>
  </si>
  <si>
    <t>Ordination of Priests: Dean Rowney, John Hopton, Bishop Robin, Gordon Morrison, Tom Draught and John Gilbert.</t>
  </si>
  <si>
    <t>Gilbert, John;Draught, Tom;Morrison, Gordon;Hopton, John;Rowney, Dean;Robin, B. P. (Bryan Percival), 1887-1969;St. Peter's Cathedral (Adelaide, S.A.);Clergy -- South Australia;Ordination -- South Australia -- Adelaide</t>
  </si>
  <si>
    <t>b20543372</t>
  </si>
  <si>
    <t>Photograph (b&amp;w print)  15 cm x 20 cm;C1</t>
  </si>
  <si>
    <t>Ordination of Deacons at St. Peter's Cathedral.  L. Willington, J. Gilbert, N. Kempson, S. Smith, D. Brown, J. Haynes and D. Hiscock.</t>
  </si>
  <si>
    <t>Hiscock, D.;Haynes, J.;Brown, D.;Smith, S.;Kempson, N.;Gilbert, John;Willington, L.;St. Peter's Cathedral (Adelaide, S.A.);Ordination -- South Australia -- Adelaide;Clergy -- South Australia;Deacons -- South Australia</t>
  </si>
  <si>
    <t>b20544777</t>
  </si>
  <si>
    <t>Photograph  14.5 cm x 8.5 cm</t>
  </si>
  <si>
    <t>North Terrace, south side, 31 December 1953. Right side of petrol station lot is 13 &amp; quarter yards east of Newmarket Street. Frontage of petrol station lot is 16 yards. Compare with extreme right of B 10553. The balcony of this building was removed in 1956</t>
  </si>
  <si>
    <t>b20544893</t>
  </si>
  <si>
    <t>Liverpool Street</t>
  </si>
  <si>
    <t>Liverpool Street, west side, 31 December 1953. Right left side of Brazzale's building is 37 &amp; half yards south of North Terrace. Frontage of building is 13 &amp; half yards. This is a new front on an old cottage, erected in about 1951. Brazzale Mica Pty. Limited. Belsamino Brazzale employed up to 50 people mainly Italian women in his mica factory in Liverpool Street, Adelaide, where he processed mica mined by Italians near Alice Springs in Central Australia</t>
  </si>
  <si>
    <t>Acre 4 Collection</t>
  </si>
  <si>
    <t>b20544996</t>
  </si>
  <si>
    <t>North Terrace, south side, 31 December 1953. Left side of McIlwraith's building abuts west side of George Street. Frontage is 30 yards. For a view of buildings previously on this site see B 12843. McIlwraith's building erected in 1952.</t>
  </si>
  <si>
    <t>Acre 5 Collection</t>
  </si>
  <si>
    <t>b20545563</t>
  </si>
  <si>
    <t>Morphett Street, east side, at the rear of Trinity Church photographed December 31 1953. This cottage which was erected in 1952. Left side of the new cottage is 54 and a half yards south of North Terrace. For building previously on this site see B75. The cottage has a cross indented into the brickwork above a front window suggesting it belongs to the adjacent Trinity Church</t>
  </si>
  <si>
    <t>Acre 9 Collection</t>
  </si>
  <si>
    <t>b2054912x</t>
  </si>
  <si>
    <t>Austin Street</t>
  </si>
  <si>
    <t>Austin Street, north side, 31 December 1953. Left side of white brick building is 10 yards east  of east side of Austin Street. Frontage of white brick building is 8 yards.This building was erected in 1948. The site was formerly vacant. A map has been drawn on the back of this photograph to show the location of this building</t>
  </si>
  <si>
    <t>Acre 23 Collection</t>
  </si>
  <si>
    <t>b20549404</t>
  </si>
  <si>
    <t>Photograph  14.7 cm x 8.4 cm</t>
  </si>
  <si>
    <t>North Terrace east, August 28th 1953, left side of car park is 54 yards west of Pulteney Street and frontage is 14 yards. For a view of cottages which were removed from this site in 1923 see B 1550</t>
  </si>
  <si>
    <t>b20549866</t>
  </si>
  <si>
    <t>North Terrace West, south side, 7th September 1953.Right side of Electricity Trust Car Park is 38.5 yards east of Pulteney Street. Frontage of Electricity Trust Car Park is 31.5 yards. For a view of galvanised iron sheds which at one time occupied the Electricity Trust Car Park site, see B 6064 and B 1171</t>
  </si>
  <si>
    <t>Acre 25 Collection</t>
  </si>
  <si>
    <t>b20550820</t>
  </si>
  <si>
    <t>Rundle Street, Adelaide</t>
  </si>
  <si>
    <t>[General description] Parked cars and shops at east end of Rundle Street. [On back of photograph] 'Acre 33 / Rundle Street, north side / December 31st 1953 / Right side of the Green Shop is 70 yards west of East Terrace / Frontage of Turner's, Bank of Adelaide, Birks Chemist and Green Shop is 23 yards / Bank of Adelaide has a modernised front in the Art Deco style'</t>
  </si>
  <si>
    <t>Acre 33 Collection</t>
  </si>
  <si>
    <t>b20557334</t>
  </si>
  <si>
    <t>Bank Street</t>
  </si>
  <si>
    <t>Bank Street west side, July 31 1953. Left side of Flint's building abuts Hindley Street, frontage on Bank Street is 70 yards. For a view of Flint's premises in 1892 see B 6374</t>
  </si>
  <si>
    <t>b20557346</t>
  </si>
  <si>
    <t>Hindley Street, north side, 31 July 1953. Right side of Flint's building abuts Bank Street, frontage on Hindley Street is 14 yards.For a view of Flint's premises in 1892 see B 6374</t>
  </si>
  <si>
    <t>b20557358</t>
  </si>
  <si>
    <t>Hindley Street North side, 31 December 1953. Right side of James Smith's building is 14 yards from Bank Street, frontage is 15-1/2 yards. For a view of the cantilever verandah and new show windows erected before April 12, 1954 see B 12975</t>
  </si>
  <si>
    <t>b2055865x</t>
  </si>
  <si>
    <t>O'Neill and Clayton, Builders, Register Place</t>
  </si>
  <si>
    <t>Register Place, west side, 31 December 1953, O'Neill and Claytons building is 34 3/4 yards off Hindley Street and frontage is 10 3/4 yards. For a view of this building before alterations made in 1948 see B 10915. For a view of this building taken in 1960 see B 14352. The name on the photograph says O'Neill and Clayton - Builders"</t>
  </si>
  <si>
    <t>Acre 56 Collection</t>
  </si>
  <si>
    <t>b20558983</t>
  </si>
  <si>
    <t>Rose Street</t>
  </si>
  <si>
    <t>Rose Street, south side, 31 December 1953, right side of white cement building is 20.5 yards of West Terrace and frontage is 15 yards. Building referred to above was erected c. 1950</t>
  </si>
  <si>
    <t>Acre 62 Collection</t>
  </si>
  <si>
    <t>b20559598</t>
  </si>
  <si>
    <t>Clarendon Street</t>
  </si>
  <si>
    <t>Clarendon Street, west side, September 30th 1953, right side of the brick building is 30 yards of Hindley Street and frontage is 36 yards. For a view of this building before making of windows and the nearer doorway see B 8195</t>
  </si>
  <si>
    <t>Acre 68 Collection</t>
  </si>
  <si>
    <t>b20559719</t>
  </si>
  <si>
    <t>Gordon Abbott Industries, 175 Hindley Street</t>
  </si>
  <si>
    <t>Gordon Abbott Industries Ltd., Hindley Street south side, 22 April 1953. Right side of Abbott's shop is 56 1/2 yards west of Morphett Street. Frontage of shop is 4.25 yards. This shop front was modernised after 1953</t>
  </si>
  <si>
    <t>Acre 70 Collection</t>
  </si>
  <si>
    <t>b20559720</t>
  </si>
  <si>
    <t>Hindley Street, south side, 31 December 1953. Left side of building abuts Morphett Street. Frontage of building is 70 yards. (For view and details of Morphett Street frontage of this building see B12838). For view of this building before alterations made in 1952-3 see B3726. For view of these buildings in 1958 see B14202.</t>
  </si>
  <si>
    <t>b20559732</t>
  </si>
  <si>
    <t>Corner of Morphett and Hindley Streets, 31 December 1953. Frontage of building on Morphett Street is 22 3/4 yards. (For view and details of complete Hindley Street frontage, see B12837). For view of this building prior to alterations made in 1952-3, see B3726. For view of Morphett Street frontage in 1956, see B13604. This building was occupied by Star Grocery storekeeper Stavros Cratsis from February 1947. Compare with B12838 and B 12837</t>
  </si>
  <si>
    <t>b20559926</t>
  </si>
  <si>
    <t>Morphett Street, east side, 31st December 1953. Left side of the building commencing at the end of the verandah on left is 14 1/2 yards south of Hindley Street. Frontage of building to the end of the verandah is 20 yards. Compare with B 4040. The sign on the building says "Star Grocery Bulk Store"</t>
  </si>
  <si>
    <t>b20560060</t>
  </si>
  <si>
    <t>Hindley Street, south side, 31 December 1953, right side of centre white building is 70 1/4 yards east of Morphett Street and frontage of centre white building is 44 yards.For a view of this building before alterations made in 1953 see B 2590</t>
  </si>
  <si>
    <t>Acre 72 Collection</t>
  </si>
  <si>
    <t>b20561763</t>
  </si>
  <si>
    <t>Myladys Rest Centre, Gilbert Place</t>
  </si>
  <si>
    <t>Gilbert Place, south side, September 15th 1953, frontage of the Mylady's Rest Centre/Mylady's Toilet Rooms is 8 yards. Right side of Rest Centre is on street edge ( a rough map is given on the back of the photograph) For a view of this site before alterations made in 1951 see B 7405</t>
  </si>
  <si>
    <t>Acre 78 Collection</t>
  </si>
  <si>
    <t>b20567765</t>
  </si>
  <si>
    <t>Rundle Street, south side, November 11th 1953, frontage of Flavels is 14.5 yards. For a view of this building taken in 1929 see B 5820. The building was altered in 1946. Flavel and sons Limited dealt with furnishings, china, glass and hardware. The Austral Hotel can be seen on the western side of Bent Street</t>
  </si>
  <si>
    <t>Acre 89 Collection</t>
  </si>
  <si>
    <t>b20567777</t>
  </si>
  <si>
    <t>Bent Street, east side, December 31st 1953. Left side of saw-tooth roofed brick building is 36.75 yards south of Rundle Street. Frontage of saw-tooth roofed brick building is 33 yards. The saw-tooth roofed brick building was erected in 1942. For galvanised iron building which formerly occupied this site see B 5537</t>
  </si>
  <si>
    <t>b20568289</t>
  </si>
  <si>
    <t>Rundle Street, south side, November 11th 1953.Right side of the centre structure is 10.25 yards east of Union Street. Frontage of centre structure is 8.25 yards. The shop in the centre of the photograph appears to sell a bric and brack of wooden and metal articles. The shop front looks in a state is disrepair</t>
  </si>
  <si>
    <t>b20568290</t>
  </si>
  <si>
    <t>Rundle Street, south side, November 11th 1953. Right side of centre building with rounded windows is 40 yards east of Union Street. The frontage of centre building is 26.5 yards. For a view of building after alteration see B 14185. At the time of this photograph the centre building housed a butchers, hairdressers, fishing tackle shop, cafe, and a dry cleaners. To the east stood Charlicks Store and to the west stood the building established by AA Brice 1887</t>
  </si>
  <si>
    <t>b20568381</t>
  </si>
  <si>
    <t>Rundle Street, south side, August 28th 1953, left side of centre brick two storey building is 63.5 yards west of East Terrace and frontage is 24 yards. For a view of this building in 1933 see B 6304</t>
  </si>
  <si>
    <t>Acre 92 Collection</t>
  </si>
  <si>
    <t>b20568526</t>
  </si>
  <si>
    <t>Rundle Street, south side, November 11th 1953, left side of Banana Agency is 50.5 yards west of East Terrace and frontage is 9 yards. For a view of this building in 1877-84 see B 10754.</t>
  </si>
  <si>
    <t>Acre 93 Collection</t>
  </si>
  <si>
    <t>b20568861</t>
  </si>
  <si>
    <t>Bent Street, east side, photographed December 31, 1953. Left side of St. George's Taxi Service building is 74.5 yards south of Rundle Street and frontage is 8.5 yards. This building was completed in 1953. For a view of the building previously on this site see B 12367</t>
  </si>
  <si>
    <t>b20571811</t>
  </si>
  <si>
    <t>Gilbert Place</t>
  </si>
  <si>
    <t>Gilbert Place, west side, September 15th 1953, left side of centre single storey building is 61 yards north of Currie Street and frontage of centre single storey building is 12.5 yards. For a view of site of rest centre before alterations made in 1951 see B 7403. A rough sketch on the back of the photograph shows the positioning of the buildings</t>
  </si>
  <si>
    <t>Acre 109 Collection</t>
  </si>
  <si>
    <t>b20574873</t>
  </si>
  <si>
    <t>Currie Street, south side, September 30th 1953, right side of centre single storey building is 23.5 yards east of Light Square and frontage of single storey building is 13.5 yards. Centre cement building was erected in 1952. For building which previously occupied this site see B 2329. The building is flanked by Bonnett's Saddlery, JJ Barrett Timber Merchants and Crapp Hardware</t>
  </si>
  <si>
    <t>b2057647x</t>
  </si>
  <si>
    <t xml:space="preserve">PhotograpH </t>
  </si>
  <si>
    <t>Grenfell Street, south side, September 3rd 1953, left side of Cavendish Chambers is 19 yards west of Commercial Place and frontage is 9.5 yards. For a view of the building taken in 1904 see B 5321</t>
  </si>
  <si>
    <t>Acre 142 Collection</t>
  </si>
  <si>
    <t>b20576985</t>
  </si>
  <si>
    <t>Gawler Place, east side, 14 September 1953. Left side of No. 88 is 23 yards south of Grenfell Street. Frontage of No. 88 (Hinton Jewellers premises only) is 13.5 yards. For a view of this building in 1922 see B 1073</t>
  </si>
  <si>
    <t>Acre 144 Collection</t>
  </si>
  <si>
    <t>b20577473</t>
  </si>
  <si>
    <t>Grenfell Street, south side, August 28th 1953, frontage of the Wilkinson's building is 29.5 yards. Left side of Wilkinson's Building abuts Wyatt Street</t>
  </si>
  <si>
    <t>Acre 146 Collection</t>
  </si>
  <si>
    <t>b2057857x</t>
  </si>
  <si>
    <t>Devonshire Place</t>
  </si>
  <si>
    <t>Devonshire Place, east side, 31 December 1953. Right side of white structure is 57 yards north of Pirie Street. Frontage of white structure is 13.5 yards. The two storey building was remodelled from an old building, and the single storey structure on  its left were both erected 1950. The single storey structure was erected on a vacant site. A sign on the white buildings says DI McDonough refrigeration, sales and service.</t>
  </si>
  <si>
    <t>Acre 157 Collection</t>
  </si>
  <si>
    <t>b20580666</t>
  </si>
  <si>
    <t>King William Street, east side, September 11th 1953. The boarded up section on street level of Majestic Hotel was formerly the Majestic Milk Bar. Photographed on September 11, 1953. Left side of Majestic Milk Bar is 23.5 yards south of Napoleon Place. Frontage of Majestic Milk Bar is 16.5 yards. Compare with B 2450</t>
  </si>
  <si>
    <t>b20581415</t>
  </si>
  <si>
    <t>Waymouth Street, north side, April 22nd 1953, right side of centre building is 5 1/4 yards west of Waymouth Place and frontage is 4 3/4 yards. On the back of this photograph a rough map has been drawn to show the position of the building (e.g. Sun Insurance building, this building, Matters and Company, Waymouth Place)</t>
  </si>
  <si>
    <t>b20582262</t>
  </si>
  <si>
    <t>Gilles Arcade</t>
  </si>
  <si>
    <t>Queen's Theatre, Gilles Arcade.</t>
  </si>
  <si>
    <t>Acre 176 Collection</t>
  </si>
  <si>
    <t>b20583266</t>
  </si>
  <si>
    <t>Waymouth Street, south side, January 20th 1953, left side of the white faced cottage is 19 3/4 yards west of Gray Street and frontage of the white faced cottage is 12 yards. Photographed for record only</t>
  </si>
  <si>
    <t>Acre 189 Collection</t>
  </si>
  <si>
    <t>b20583898</t>
  </si>
  <si>
    <t>Waymouth Street, south side, January 20th 1953. Right side of William Adams' building abuts the east side of Morphett Street. Frontage of William Adams' building is 16.75 yards on Waymouth Street and 34.25 yards on Morphett Street. Alterations to this building were completed in 1952. For a view of this building before alterations and additions see B 12525 and B 12526</t>
  </si>
  <si>
    <t>b20588343</t>
  </si>
  <si>
    <t>Ackland Street</t>
  </si>
  <si>
    <t>Ackland Street, west side, 14 September 1953, right side of centre one storey building is 48.5 yards south of Pirie Street and frontage of centre one storey building is 10 3/4 yards. A wooden covered trailer/vending trailer is parked outside the premises</t>
  </si>
  <si>
    <t>Acre 213 Collection</t>
  </si>
  <si>
    <t>b20588525</t>
  </si>
  <si>
    <t>Ackland Street, east side, 14 September 1953, left side of Zelemite building is 8 1/4 yards south of Worsnop Avenue and frontage is 9 1/4 yards.</t>
  </si>
  <si>
    <t>Acre 214 Collection</t>
  </si>
  <si>
    <t>b20589141</t>
  </si>
  <si>
    <t>Flinders Street, north side, December 31st 1953, right side of glass fronted building is 18 yards west of Tucker Street and frontage is 14.5 yards. This building was completed in 1954. For a view of the cottage which formerly occupied the site see extreme left of B 8165</t>
  </si>
  <si>
    <t>Acre 223 Collection</t>
  </si>
  <si>
    <t>b20589414</t>
  </si>
  <si>
    <t>Flinders Street, north side, September 14th 1953, left side of cottage is 33 yards east of Sudholz Place and frontage of the cottage is 15.5 yards. Several cars and a caravan are parked in front of the building</t>
  </si>
  <si>
    <t>Acre 226 Collection</t>
  </si>
  <si>
    <t>b20592711</t>
  </si>
  <si>
    <t>Bank Street, West Side</t>
  </si>
  <si>
    <t>Bank Street, west side. 31 December 1953. Right side of Centre White building 391/2 yards south of North Terrace. Frontage of Centre White building is 31/4 yards For a view of Smith's centre white building taken in 1889 see B 1566.</t>
  </si>
  <si>
    <t>Acre 14 Collection</t>
  </si>
  <si>
    <t>b20592930</t>
  </si>
  <si>
    <t>South Australian Hotel, West</t>
  </si>
  <si>
    <t>West side of lane on west side of South Australian Hotel. 31 December 1953. Right side of White painted shop in centre is 331/2 yards south of North Terrace. Frontage of white painted shop s 133/4 yds. White painted shop converted from G. Wood &amp; Sons warehouse, in 1953. TAA Air Freight depot is on the left of the photograph</t>
  </si>
  <si>
    <t>Acre 15 Collection</t>
  </si>
  <si>
    <t>b20594884</t>
  </si>
  <si>
    <t>Franklin Street, north side, 20 January 1953. Left side of the cottage is two yards east of Crowther Street, its frontage is 12 and a half yards. Photographed for record only. View shows recent alterations</t>
  </si>
  <si>
    <t>Acre 248 Collection</t>
  </si>
  <si>
    <t>b20595153</t>
  </si>
  <si>
    <t>West Terrace, between Franklin and Waymouth Streets, 18 August 1953. The right side of the demolished cottages is 39 and a half yards north of Franklin Street, frontage: 20 yards. For a view of portion of these cottages before demolition work commenced, see B 12490. For a view of building subsequently erected on this site see B 13692 and B 13950.</t>
  </si>
  <si>
    <t>Acre 252 Collection</t>
  </si>
  <si>
    <t>b20596133</t>
  </si>
  <si>
    <t>Franklin Street, South Side</t>
  </si>
  <si>
    <t>Acre 263 Franklin Street, South side. January 20, 1953. Left side of O'Donnell Bros. building is 37 3/4 yds east of Bowen Street. Frontage of O'Donnell's building is 30 1/2 yds. For a view of the left-handed portion of O"Donnell's building taken in 1926 see B 3438. O'Donnel's building alterations were completed in about 1950.</t>
  </si>
  <si>
    <t>Acre 263 Collection</t>
  </si>
  <si>
    <t>b20596388</t>
  </si>
  <si>
    <t>Franklin Street, south side, 3rd September 1953. Centre two storeyed building is 21 1/2 yards west of Pitt Street, its frontage is 7 1/4 yards. For a view of centre two storey building before alterations made in 1953 see B 9596 (the first two storey building on right of Maugham Church)</t>
  </si>
  <si>
    <t>Acre 265 Collection</t>
  </si>
  <si>
    <t>b20597769</t>
  </si>
  <si>
    <t>Flinders Street, south side, 26th October 1953: left side of the building is 43 1/4 yards west of Divett Place, its frontage is 14 1/2 yards. This building was subsequently remodelled see B 13576</t>
  </si>
  <si>
    <t>Acre 273 Collection</t>
  </si>
  <si>
    <t>b20598002</t>
  </si>
  <si>
    <t>Pulteney Street, west side. 1st November 1953. Right side of the centre structure is 57 yards south of Flinders Street, frontage, including the lane, is 9 yards. The building in the centre of the photograph houses a watchmaker business. Several motor bikes are parked in Pulteney Street</t>
  </si>
  <si>
    <t>Acre 276 Collection</t>
  </si>
  <si>
    <t>b20598361</t>
  </si>
  <si>
    <t>Flinders Street, South Side</t>
  </si>
  <si>
    <t>Flinders Street, south side. Oct. 26, 1953. Left side of William Hudd building is 12 3/4 yards of Sudholz Place. Frontage of William Hudd building is 19 3/4 yards. William Hudd building completed in Dec. 1952. For a view of buildings which previously occupied this site see B 3304</t>
  </si>
  <si>
    <t>Acre 278 Collection</t>
  </si>
  <si>
    <t>b20604981</t>
  </si>
  <si>
    <t>Victoria Square, west side, 15 September 1953, frontage of Bellchambers shop is 8 yards. Left side of Bellchambers building abuts Page Street. For a view of Bellchambers building before alterations made in 1953 see B 2655. Bellchambers sold radios, records and radiograms from new showrooms which were opened on 26 September 1953</t>
  </si>
  <si>
    <t>Acre 335 Collection</t>
  </si>
  <si>
    <t>b20605274</t>
  </si>
  <si>
    <t xml:space="preserve">PHotograp </t>
  </si>
  <si>
    <t>Corner of Victoria Square and south side of Wakefield Street, August 28th 1953, frontage of the corner building is 20 3/4 yards to Victoria Square and 27.5 yards to Wakefield Street. Left side of corner building abuts Wakefield Street. For a view of this building before removal of portion of balcony see B 1450</t>
  </si>
  <si>
    <t>Acre 338 Collection</t>
  </si>
  <si>
    <t>b20607775</t>
  </si>
  <si>
    <t>Photograp  14.7 cm x 8.4 cm</t>
  </si>
  <si>
    <t>Wakefield Street, south side, 18 August 1953. Left side of allotment is 30 1/2 yards west of Cardwell Street. Frontage: 16 1/2 yards.</t>
  </si>
  <si>
    <t>Acre 350 Collection</t>
  </si>
  <si>
    <t>b2060788x</t>
  </si>
  <si>
    <t>Wakefield Street, south side, 31st December 1953. Left side of house is 50 yards west of Hutt Street. Frontage of house: 14 yards. The car is an Austin Seven Special. See B 9302 for a slightly different view of the same house</t>
  </si>
  <si>
    <t>Acre 352 Collection</t>
  </si>
  <si>
    <t>b20608457</t>
  </si>
  <si>
    <t>Angas Street, north side</t>
  </si>
  <si>
    <t>Angus Street, north side photographed on 30 March 1953. Right side of Burgess's building is 6 1/2 yds west of Robert Street. Frontage of Burgess's building is 30 yards. Alterations and modernisation of this building completed in 1953. (For view before alterations, see B13137). Burgess Patternmaker Limited</t>
  </si>
  <si>
    <t>b20608688</t>
  </si>
  <si>
    <t>Hanson Street, east side 26 October 1953. Left side of building is 81-1/2 yds south of Wakefield Street. Frontage, 36-1/2 yds. A two storey front was added to this building in 1955. (See B13581). For view of galvanised iron structure which occupied part of this site in 1934 see B 6604. This structure was erected late in 1951 and early 1952. See B 12497 for rear view from Gunson Street.</t>
  </si>
  <si>
    <t>b20608809</t>
  </si>
  <si>
    <t>Hanson Street, west side, 26 October 1953, frontage of the centre two storey building is 14.5 yards. Left side of centre building is 39.5 yards north of Angas Street. For earlier view of this building see B 6772, before removal of balcony. For another view see B 13486. The building on extreme left is portion of 3 gable-fronted buildings. These structures were remodelled in 1955. Compare with B 13580 and B 13462</t>
  </si>
  <si>
    <t>Acre 369 Collection</t>
  </si>
  <si>
    <t>b20610622</t>
  </si>
  <si>
    <t>Gouger Street, north side, 23 April 1953. Left side of the light coloured building abuts Marlborough Street. Frontage of the light coloured centre building is 30 yards. Photograph does not show quite all of the building on the left-hand side. These cottages were modernised after 1953</t>
  </si>
  <si>
    <t>Acre 387 Collection;Acre 388 Collection</t>
  </si>
  <si>
    <t>b20610762</t>
  </si>
  <si>
    <t>Gouger Street, north side, 23 April 1953. Right side of Dependable Motors Lot is 54.25 yards west of Blenheim Street. Frontage of car yard is 34.5 yards.Three cottages formerly on this site were demolished in February 1952 (see Cadastral Plan)</t>
  </si>
  <si>
    <t>Acre 390 Collection</t>
  </si>
  <si>
    <t>b2061116x</t>
  </si>
  <si>
    <t>Gouger Street, south side, 28 January, 1953. Right side of Turner's building abuts east side of Lowe Street. Frontage of Turner's and Bacon Curer's Building is 30 yards. Bacon Curer's Building (in fact part of Turners) was built in c.1945. The site was previously occupied by a stable. For alterations made to Bacon Curers' Building in 1953 or 1954 see B 13082 .Cottage on extreme left (portion only shown) was demolished 1953/54. For building erected on this site see B 13082</t>
  </si>
  <si>
    <t>b2061178x</t>
  </si>
  <si>
    <t>Gouger Street, south side, January 20th 1953, right side of centre two storey building (including the Bank of Adelaide) is 9 yards east of Field Street. The Bank of Adelaide building was altered in c.1950. For a view of the building on right of the Bank of Adelaide taken in 1954, after some alterations, see B 12967. For a view of these buildings taken in 1960 see B 14289</t>
  </si>
  <si>
    <t>Acre 403 Collection</t>
  </si>
  <si>
    <t>b20612989</t>
  </si>
  <si>
    <t>Angas Street, south side, November 2nd 1953, right side of galvanised iron building is 56 yards east of King William Street and frontage is 14.5 yards. The corner of the Police Court and Police Commissioner's Office, built in 1933-34, can be seen behind the established tree growing outside.</t>
  </si>
  <si>
    <t>Acre 409 Collection</t>
  </si>
  <si>
    <t>b20613520</t>
  </si>
  <si>
    <t>Moore Street</t>
  </si>
  <si>
    <t>Moore Street, east side, 11th January 1954. Left side of Angas Engineering building is 45 1/2 yards south of Angas Street  frontage: 20 yards. For an earlier structure on this site see B2294. The facade of Angas Engineering building was erected in 1944. St Mary Magdalene's Mission church was established in Moore Street in 1886. It was called St John's Mission. It can be seen further along Moore Street</t>
  </si>
  <si>
    <t>b20613647</t>
  </si>
  <si>
    <t>Queen Street</t>
  </si>
  <si>
    <t>Queen Street, west side, 11th January 1954. Left side of the small centre structure is 53 1/2 yards south of Angas Street. Frontage of small centre structure is 4 1/4 yards.</t>
  </si>
  <si>
    <t>Acre 414 Collection</t>
  </si>
  <si>
    <t>b20613659</t>
  </si>
  <si>
    <t>Queen Street, east side, 11th January 1954. Left side of Keen and Peek's building, erected in 1948, is 34 3/4 yards south of Angas Street. Frontage: 17 1/2 yards. This building was erected in 1948 on a vacant site.  For a view of cottages which stood on this site until 1925 see B2300.</t>
  </si>
  <si>
    <t>b20614160</t>
  </si>
  <si>
    <t>Angas Street, south side, 11th September 1953. Left side of the one storey cottage is 47 1/2 yards west of Cardwell Street. Frontage of cottage: 11 1/2 yards. The cottage is in a state of disrepair</t>
  </si>
  <si>
    <t>b20614779</t>
  </si>
  <si>
    <t>Carrington Street, north side, 30th April 1953. Left side of Barker's premises is 103 1/4 yards east of Ehmcke's Lane. Frontage of Gilbert Barker's manufacturing  premises is 30 yards. It was not possible to show all of the brick building on the left in this view, but see B 12556. Photographed for record only</t>
  </si>
  <si>
    <t>Acre 432 Collection</t>
  </si>
  <si>
    <t>b20621401</t>
  </si>
  <si>
    <t>Sturt Street, north side, September 24th 1953, frontage of building is 10 yards. Right side of centre building abuts west side of Norman Street. A rough map on the back of the photograph shows the position of the Confectioner, building described and Norman Street</t>
  </si>
  <si>
    <t>Acre 532 Collection</t>
  </si>
  <si>
    <t>b20621619</t>
  </si>
  <si>
    <t>Sturt Street, north side, October 28th 1953, left side of centre cottage is 43 yards east of Whitmore Square and frontage is 9.5 yards.</t>
  </si>
  <si>
    <t>Acre 535 Collection</t>
  </si>
  <si>
    <t>b20621954</t>
  </si>
  <si>
    <t>Chatham Street</t>
  </si>
  <si>
    <t>Chatham Street, west side, 24th September 1953, left side of Hodge's building is 58 3/4 yards north of Sturt Street and frontage is 12 1/4 yards. This structure was erected in 1952. The site was formerly occupied by a cottage. JC Hodge was a general engineer and arc welder</t>
  </si>
  <si>
    <t>Acre 541 Collection</t>
  </si>
  <si>
    <t>b20622004</t>
  </si>
  <si>
    <t>Sturt Street, north side, September 28th 1953, frontage of building is 17.5 yards. Right side of building abuts west corner of Arthur Street. This building was completed in January 1954. The site was formerly occupied by a cottage which was demolished before a photograph could be taken</t>
  </si>
  <si>
    <t>Acre 542 Collection</t>
  </si>
  <si>
    <t>b2062203x</t>
  </si>
  <si>
    <t>Sturt Street, north side, 24th September 1953, frontage of building is 12 yards and Edward Street frontage is 21 yards. Right side of resurfaced portion of building abuts west side of Edward Street. Frontage of resurfaced portion of building is 12 yards to Sturt Street and 21 yards to Edward Street. Resurfacing of building was carried out in 1953. Notice the tram lines running along Sturt Street</t>
  </si>
  <si>
    <t>b20622405</t>
  </si>
  <si>
    <t>Sturt Street, south side, 24 September 1953. Right side of two storey building is 16 3/4 yards east of Little Gilbert Street. Frontage of two storey building is 11 1/2 yards. The balcony on the front of the two storey building shows a fine display of wrought iron lacework</t>
  </si>
  <si>
    <t>Acre 549 Collection</t>
  </si>
  <si>
    <t>b20622594</t>
  </si>
  <si>
    <t>Sturt Street, south side, 28 October 1953, right side of the centre light coloured cottage is 20 yards east of Logan Street and the frontage is 8 yards. The stone cottage has a brick verandah with spiral pillars</t>
  </si>
  <si>
    <t>Acre 550 Collection</t>
  </si>
  <si>
    <t>b20622910</t>
  </si>
  <si>
    <t>Sturt Street, south side, October 28th 1953, frontage of building is 59.5 yards. Left side of building abuts Norman Street and the right side abuts Russell Street. The white barred windows were put in c.1952-53.</t>
  </si>
  <si>
    <t>Acre 557 Collection;Acre 536 Collection</t>
  </si>
  <si>
    <t>b20622946</t>
  </si>
  <si>
    <t>Sturt Street, south side, September 28th 1953, right side of light coloured building with the high doorway is 31 1/4 yards east of Norman Street and the frontage is 12 yards. Light coloured building erected c.1951. The building immediately adjoining the right side of the building with tall doorway was remodelled and incorporated in new structure shown in B 12924. Buildings behind galvanised fence were demolished. For structure erected on site see also B 12924 and B 12923.  These alterations were made between September 1953 and January 1954. The signs on the partly demolished corner shop shows it was a milk depot and grocery store</t>
  </si>
  <si>
    <t>Acre 557 Collection;Acre 558 Collection</t>
  </si>
  <si>
    <t>b20623069</t>
  </si>
  <si>
    <t>Sturt Street, south side, October 28th 1953, right side of the centre building is 28.5 yards east of Myers Street and frontage of the centre brick building is 14 1/4 yards. The centre brick building was erected in 1944 on a vacant site. Fence previously (1939) in front of site is shown in extreme left of B 8239. The centre building, Number 27 Sturt Street, is occupied by H Jennings Coppersmith</t>
  </si>
  <si>
    <t>Acre 559 Collection</t>
  </si>
  <si>
    <t>b20623185</t>
  </si>
  <si>
    <t>Sturt Street, south side, 1953, left side of Wonderheat building is 51.5 yards west of King William Street and frontage is 6.5 yards. Wonderheat building street frontage is portion of former row of cottages - see B 2654. Vacant site on left was formerly occupied by remainder of row of cottages. An advertisement for Wonderheat from 1953 states that "Wonderheat gives all the real warmth and cheery atmosphere of a wood fire with none of the disadvantages and is also a home air conditioner"</t>
  </si>
  <si>
    <t>b20626174</t>
  </si>
  <si>
    <t>King William Street, west side, March 30th 1953, left side of the centre two storey building is 50 yards north of Gilbert Street and frontage of centre two storey building is 10 yards.</t>
  </si>
  <si>
    <t>b20626186</t>
  </si>
  <si>
    <t>King William Street, west side, March 30th 1953, left side of the building with the balcony is 30 yards north of Gilbert Street. Frontage of the building with the balcony is 20 yards.</t>
  </si>
  <si>
    <t>b20626198</t>
  </si>
  <si>
    <t>King William Street, west side, March 30th 1953, left side of the two storey building on the right is 30 yards north of Gilbert Street. Farmer's building on extreme left is on the corner of Gilbert Street and King William Street. A collection of cars and motor bikes is parked along the kerb</t>
  </si>
  <si>
    <t>b20628006</t>
  </si>
  <si>
    <t>Percy Court</t>
  </si>
  <si>
    <t>Percy Court, west side, November 2nd 1953, the right side of both cottages is 37 yards south of Gilbert Street and combined frontage is 13 yards.</t>
  </si>
  <si>
    <t>Acre 633 Collection</t>
  </si>
  <si>
    <t>b20628456</t>
  </si>
  <si>
    <t>King William Street, west side, 24 September 1953. Right side of Cafe is 20-1/4 yards south of Holland Street, frontage of Cafe is 10 yards. (See B12439 for view before alterations).</t>
  </si>
  <si>
    <t>b20628468</t>
  </si>
  <si>
    <t>King William Street, west side, 15 September 1953. Centre cottage is 9-3/4 yards south of Holland Street, frontage is 10-1/2 yards. This cottage was subsequently incorporated in a new Service Station and Show room in 1955. (See B13586).</t>
  </si>
  <si>
    <t>b20633750</t>
  </si>
  <si>
    <t>Lakeman Street</t>
  </si>
  <si>
    <t>Lakeman Street, east side, September 9th 1953, left side of the cottage is 66.5 yards north of Pennington Terrace (formerly Union Street) and frontage is 12 yards.</t>
  </si>
  <si>
    <t>Acre 710 Collection</t>
  </si>
  <si>
    <t>b20634468</t>
  </si>
  <si>
    <t>Brougham Place, south side, September 9th 1953, right side of house is 2.5 yards east of Palmer Place and frontage is 13 3/4 yards.</t>
  </si>
  <si>
    <t>Acre 725 Collection</t>
  </si>
  <si>
    <t>b20634602</t>
  </si>
  <si>
    <t>Brougham Place south side, August 19th 1953, left side of cottage is 6 yards east of Bagot Street and frontage is 19 3/4 yards.</t>
  </si>
  <si>
    <t>Acre 727 Collection</t>
  </si>
  <si>
    <t>b20635692</t>
  </si>
  <si>
    <t>Brougham Place, north side, January 14th 1953. Right side of the building is 49.75 yards west of Margaret Street. The frontage of the building is 19.75 yards. Photographed for record only</t>
  </si>
  <si>
    <t>Acre 736 Collection</t>
  </si>
  <si>
    <t>b20636519</t>
  </si>
  <si>
    <t>Brougham Place, north side, September 9th 1953, right side of centre building is 140 3/4 yards west of O'Connell Street and frontage is 16 3/4 yards.</t>
  </si>
  <si>
    <t>Acre 741 Collection</t>
  </si>
  <si>
    <t>b20636775</t>
  </si>
  <si>
    <t>Palmer Place</t>
  </si>
  <si>
    <t>Palmer Place, west side, September 9th 1953, right side of building is 110.5 yards south of north side of Palmer Place and frontage is 24 yards. The two storey red brick house has steep gables and has been built in Victorian Tudor style</t>
  </si>
  <si>
    <t>Acre 746 Collection</t>
  </si>
  <si>
    <t>b20679361</t>
  </si>
  <si>
    <t>Macerating House</t>
  </si>
  <si>
    <t>Photograph  14.3 cm x 8.5 cm</t>
  </si>
  <si>
    <t>Macerating House at the rear of the South Australian Institute building, North Terrace. It housed gas-making apparatus before becoming the Museum's macerating house and caretaker's outhouse, 24th September 1953. A map on the back of the photograph gives the buildings exact location. These include caretaker's house, SA Institute Building, whale skeletons, public library and macerating house</t>
  </si>
  <si>
    <t>Adelaide Views Collection;S.A. Institute Collection</t>
  </si>
  <si>
    <t>b20679373</t>
  </si>
  <si>
    <t>Macerating House at the rear of the South Australian Institute building, North Terrace. It housed gas-making apparatus before becoming the Museum's macerating house and a caretaker's outhouse, 24th September 1953. A map on the back of B 12873 gives the buildings exact location. These include caretaker's house, SA Institute Building, whale skeletons, public library and macerating house</t>
  </si>
  <si>
    <t>b20725474</t>
  </si>
  <si>
    <t>Locomotive F174 with the "ER" emblem for the Queens Coronation.</t>
  </si>
  <si>
    <t>Locomotives -- South Australia;Regalia (Insignia)</t>
  </si>
  <si>
    <t>b20740086</t>
  </si>
  <si>
    <t>Saddleworth Football Club</t>
  </si>
  <si>
    <t>Photograph (b&amp;w print)  12.5 cm x 14.6 cm;RESERVE 1</t>
  </si>
  <si>
    <t>SADDLEWORTH: Members of the Saddleworth Football Club who were Premiers of the Mid-North Football Association, 1953 season. Back row, left to right: M. Huppatz  R. Schirer  A. Vater  C. Vater  K. Schmaal  H. Bradtke  N. Schmidke. Third row: L. Twartz, J. Hodgens  M. Buttfield  B. King  E. Noack  H. Plueckhahn  L. Davis  B. Huppatz. Second ro: G. Stone  M. Vater (Trainer)  G. Laundy (Captain)  L. Hentschke (President)  L. Koster (Vice-President)  P. Marrett (Secretary-Coach)  B. Kahl. Front row: K. Hogben  V. Pfitzner  D. Buttfield  E. Densley.</t>
  </si>
  <si>
    <t>b20754887</t>
  </si>
  <si>
    <t>'General Motors Hour'</t>
  </si>
  <si>
    <t>GENERAL: Rehearsing sound effects before a performance of the 'General Motors Hour' at the 5DN Studio in Adelaide. Left to right: Harry Dearth, 'General Motors Hour' producer  Ken Chinner, 5DN producer who created the sound effects, and the balance control operator, name not known.</t>
  </si>
  <si>
    <t>Dearth, Harry;Chinner, Ken;Radio broadcasting -- Sound effects -- South Australia -- Adelaide</t>
  </si>
  <si>
    <t>b20754942</t>
  </si>
  <si>
    <t>Ken Chinner, 5DN radio producer</t>
  </si>
  <si>
    <t>PORTRAIT: Ken Chinner, a 5DN radio producer, creating sound effects for an Adelaide production of a 'General Motors Hour' radio play  he is creating the sound of a blow on the head with a solid stick and a hard cabbage for the play 'A Murderous Blow on the Head'.</t>
  </si>
  <si>
    <t>Chinner, Ken;Radio broadcasting -- Sound effects -- South Australia -- Adelaide</t>
  </si>
  <si>
    <t>b20754954</t>
  </si>
  <si>
    <t>Harry Dearth and Ken Chinner</t>
  </si>
  <si>
    <t>PORTRAIT: Harry Dearth, producer of the 'General Motors Hour' radio plays, directing Ken Chinner, producer with 5DN, who is creating sound effects for an Adelaide production of a 'General Motors Hour' play.</t>
  </si>
  <si>
    <t>b20766300</t>
  </si>
  <si>
    <t>Largs jetty during a storm</t>
  </si>
  <si>
    <t>Photograph (b&amp;w print)  19 cm x 24 cm (image)   25 cm x 31.4 cm (mount);RESERVE 1 b</t>
  </si>
  <si>
    <t>LARGS:  The Jetty during a storm on the 18th May, 1953.</t>
  </si>
  <si>
    <t>Jetties -- South Australia -- Largs Bay;Storms -- South Australia -- Largs Bay</t>
  </si>
  <si>
    <t>Largs Collection</t>
  </si>
  <si>
    <t>b20766312</t>
  </si>
  <si>
    <t>North of Grange jetty after a storm</t>
  </si>
  <si>
    <t>Photograph (b&amp;w print)  19 cm x 24 cm (image)   25 cm x 31 cm (mount);RESERVE 1 b</t>
  </si>
  <si>
    <t>GRANGE:  North of the jetty after a storm, 21st May, 1953.</t>
  </si>
  <si>
    <t>Grange Collection</t>
  </si>
  <si>
    <t>b20766324</t>
  </si>
  <si>
    <t>South of Grange jetty after a storm</t>
  </si>
  <si>
    <t>Photograph (b&amp;w print)  19 cm x 24 cm (image)   25 cm x 26.5 cm (mount);RESERVE 1 b</t>
  </si>
  <si>
    <t>GRANGE:  The beach south of the jetty after a storm on 21st May, 1953.</t>
  </si>
  <si>
    <t>b20766336</t>
  </si>
  <si>
    <t>Brighton jetty after a storm</t>
  </si>
  <si>
    <t>Photograph (b&amp;w print)  19 cm x 24.2 cm (image)   25 cm x 26.9 cm (mount);RESERVE 1 b</t>
  </si>
  <si>
    <t>BRIGHTON:  The Jetty, 21st May 1953, after a storm.</t>
  </si>
  <si>
    <t>Jetties -- South Australia -- Brighton;Storms -- South Australia -- Brighton</t>
  </si>
  <si>
    <t>b20766348</t>
  </si>
  <si>
    <t>Photograph  20 cm x 15.5 cm;RESERVE 1 b</t>
  </si>
  <si>
    <t>BRIGHTON:  The shore end of the jetty on 21st May, 1953 after a storm.</t>
  </si>
  <si>
    <t>Storms -- South Australia -- Brighton</t>
  </si>
  <si>
    <t>b2076635x</t>
  </si>
  <si>
    <t>North of Brighton jetty after a storm</t>
  </si>
  <si>
    <t>Photograph (b&amp;w print)  18.7 cm x 24.2 cm (image)   25.2 cm x 27 cm (mount);RESERVE 1 b</t>
  </si>
  <si>
    <t>BRIGHTON:  Just north of the jetty on 21st May 1953 after a storm.</t>
  </si>
  <si>
    <t>b20766385</t>
  </si>
  <si>
    <t>Brighton beach after a storm</t>
  </si>
  <si>
    <t>Photograph (b&amp;w print)  19 cm x 24.3 cm (image)   25.2 cm x 26.8 cm (mount);RESERVE 1 b</t>
  </si>
  <si>
    <t>BRIGHTON: The beach near Wattle Street, 40 chains north of the jetty on 21st May 1953 after a storm.</t>
  </si>
  <si>
    <t>b20766397</t>
  </si>
  <si>
    <t>Whyte Street Brighton, after a storm</t>
  </si>
  <si>
    <t>Photograph (b&amp;w print)  19 cm x 24.2 cm (image)   25 cm x 26.7 cm (mount);RESERVE 1 b</t>
  </si>
  <si>
    <t>BRIGHTON: The beach at the end of Whyte Street on 21st May 1953 after a storm.</t>
  </si>
  <si>
    <t>b20766403</t>
  </si>
  <si>
    <t>Brighton Beach after a storm</t>
  </si>
  <si>
    <t>Photograph (b&amp;w print)  19 cm x 20 cm (image)   25 cm x 27 cm (mount);RESERVE 1 b</t>
  </si>
  <si>
    <t>b20766415</t>
  </si>
  <si>
    <t>Photograph (b&amp;w print)  19 cm x 24.3 cm (image)   25 cm x 27 cm (mount);RESERVE 1 b</t>
  </si>
  <si>
    <t>b20766427</t>
  </si>
  <si>
    <t>Wreckage of a rotunda after a storm at Brighton</t>
  </si>
  <si>
    <t>Photograph (b&amp;w print)  19 cm x 24 cm;RESERVE 1 b</t>
  </si>
  <si>
    <t>BRIGHTON: Wreckage of a rotunda on 21st May 1953 after a storm.</t>
  </si>
  <si>
    <t>b20766439</t>
  </si>
  <si>
    <t>Photograph (b&amp;w print)  19 cm x 24 cm (image)   25.2 cm x 28.4 cm (mount);RESERVE 1 b</t>
  </si>
  <si>
    <t>b20766440</t>
  </si>
  <si>
    <t>Photograph (b&amp;w print)  19 cm x 24.2 cm (image)   25 cm x 28.5 cm (mount);RESERVE 1 b</t>
  </si>
  <si>
    <t>BRIGHTON: The beach 20 chains north of Seacliff rotunda on 21st May 1953 after a storm.</t>
  </si>
  <si>
    <t>b20766452</t>
  </si>
  <si>
    <t>Photograph (b&amp;w print)  19 cm x 24.1 cm (image)    25.3 cm x 28.5 cm (mount);RESERVE 1 b</t>
  </si>
  <si>
    <t>BRIGHTON: The beach and esplanade just north of Seacliff rotunda on 21st May 1953 after a storm.</t>
  </si>
  <si>
    <t>b20766464</t>
  </si>
  <si>
    <t>Photograph (b&amp;w print)  18.7 cm x 24.2 cm (image)   25.2 cm x 27.7 cm (mount);RESERVE 1 b</t>
  </si>
  <si>
    <t>b20766476</t>
  </si>
  <si>
    <t>Photograph (b&amp;w print)  19 cm x 24.2 cm (image)   25.2 cm x 27.7 cm (mount);RESERVE 1 b</t>
  </si>
  <si>
    <t>BRIGHTON: The beach near King Street, 20 chains north of the jetty on 21st May 1953 after a storm.</t>
  </si>
  <si>
    <t>b20766488</t>
  </si>
  <si>
    <t>Photograph (b&amp;w print)  19 cm x 24.2 cm (image)   25.2 cm x 30 cm (mount);RESERVE 1 b</t>
  </si>
  <si>
    <t>BRIGHTON: The beach near Young Street between Brighton and Seacliff on 21st May 1953 after a storm.</t>
  </si>
  <si>
    <t>b2076649x</t>
  </si>
  <si>
    <t>Remains of Brighton jetty after a storm</t>
  </si>
  <si>
    <t>BRIGHTON: Remains of the Jetty on 21st May 1953 after a storm.</t>
  </si>
  <si>
    <t>b20766506</t>
  </si>
  <si>
    <t>Photograph (b&amp;w print)  18.8 cm x 24.5 cm (image)   25.2 cm x 28.5 cm (mount);RESERVE 1 b</t>
  </si>
  <si>
    <t>BRIGHTON: Shore end of the jetty on 21st May 1953 after a storm.</t>
  </si>
  <si>
    <t>b20766518</t>
  </si>
  <si>
    <t>Photograph (b&amp;w print)  19 cm x 24.3 cm  (image)   25.3 cm x 28.5 cm (mount);RESERVE 1 b</t>
  </si>
  <si>
    <t>b2076652x</t>
  </si>
  <si>
    <t>Photograph (b&amp;w print)  19 cm x 24.2 cm (image)    25.2 cm x 26.8 cm (mount);RESERVE 1 b [stored out of sequence with B 54581]</t>
  </si>
  <si>
    <t>BRIGHTON: The beach just north of the jetty on 21st May 1953 after a storm.</t>
  </si>
  <si>
    <t>b20766531</t>
  </si>
  <si>
    <t>Henley Beach after a storm</t>
  </si>
  <si>
    <t>Photograph (b&amp;w print)  19 cm x 24 cm (image)   25 cm x 26.5 cm (mount);RESERVE 1 b [stored out of sequence with B54578]</t>
  </si>
  <si>
    <t>HENLEY BEACH: The beach near Kirkcaldy Road, 60 chains north of jetty on 21st May 1953 after a storm.</t>
  </si>
  <si>
    <t>b20766543</t>
  </si>
  <si>
    <t>Photograph (b&amp;w print)  19 cm x 24 cm (image)   25 cm x 26.7 cm (mount);RESERVE 1 b</t>
  </si>
  <si>
    <t>HENLEY BEACH: A view of the beach near Marlborough Street, 25 chains north of the jetty on 21st May 1953 after a storm.</t>
  </si>
  <si>
    <t>b20766555</t>
  </si>
  <si>
    <t>Photograph (b&amp;w print)  19 cm x 24.2 cm (image)   25 cm x 26.8 cm (mount);RESERVE 1 b</t>
  </si>
  <si>
    <t>HENLEY BEACH: The beach near North Street, 20 chains north of the jetty on 21st May 1953 after a storm.</t>
  </si>
  <si>
    <t>b20766567</t>
  </si>
  <si>
    <t>Henley Beach kiosk damaged in a storm</t>
  </si>
  <si>
    <t>Photograph (b&amp;w print)  18.8 cm x 24.2 cm (image)   25.2 cm x 26.8 cm (mount);RESERVE 1 b</t>
  </si>
  <si>
    <t>HENLEY BEACH: Damage at the jetty's kiosk on 21st May 1953 after a storm.</t>
  </si>
  <si>
    <t>b20766579</t>
  </si>
  <si>
    <t>Damage at a Henley Beach playground after a storm</t>
  </si>
  <si>
    <t>HENLEY BEACH: Damage at the children's playground just north of the jetty on 21st May 1953 after a storm.</t>
  </si>
  <si>
    <t>Storms -- South Australia -- Henley Beach;Playgrounds -- South Australia -- Henley Beach</t>
  </si>
  <si>
    <t>b20766580</t>
  </si>
  <si>
    <t>Photograph (b&amp;w print)  19 cm x 24 cm (image)   25.1 cm x 26.7 cm (mount);RESERVE 1 b</t>
  </si>
  <si>
    <t>HENLEY BEACH: Damage just north of the jetty on 21st May 1953 after a storm.</t>
  </si>
  <si>
    <t>b20766592</t>
  </si>
  <si>
    <t>Photograph (b&amp;w print)  18.8 cm x 24.2 cm;RESERVE 1 b</t>
  </si>
  <si>
    <t>HENLEY BEACH: Near Kirkcaldy Road, 60 chains north of the jetty on 21st May 1953 after a storm.</t>
  </si>
  <si>
    <t>b20766609</t>
  </si>
  <si>
    <t>HENLEY BEACH: Beach scene near Marlborough Street, 30 chains north of the jetty on 21st May 1953 after a storm.</t>
  </si>
  <si>
    <t>Jetties -- South Australia -- Henley Beach;Storms -- South Australia -- Henley Beach</t>
  </si>
  <si>
    <t>b20766610</t>
  </si>
  <si>
    <t>Photograph (b&amp;w print)  19.2 cm x 24 cm (image)   25 cm x 26.8 cm (mount);RESERVE 1 b [stored out of sequence with B 54602]</t>
  </si>
  <si>
    <t>HENLEY BEACH: Structural damage just north of the jetty on 21st May 1953 after a storm.</t>
  </si>
  <si>
    <t>Storms -- South Australia -- Henley Beach;Jetties -- South Australia -- Henley Beach</t>
  </si>
  <si>
    <t>b20766622</t>
  </si>
  <si>
    <t>Henley Beach swimming pool after a storm</t>
  </si>
  <si>
    <t>HENLEY BEACH:  The swimming pool on the 21st May 1953 after a storm.</t>
  </si>
  <si>
    <t>Swimming pools -- South Australia -- Henley Beach;Storms -- South Australia -- Henley Beach</t>
  </si>
  <si>
    <t>b20766634</t>
  </si>
  <si>
    <t>Henley Beach jetty after a storm</t>
  </si>
  <si>
    <t>Photograph (b&amp;w print)  19 cm x 24 cm (image)   25.2 cm x 26.7 cm (mount);RESERVE 1 b</t>
  </si>
  <si>
    <t>HENLEY BEACH: The sea end of the jetty during a storm on 18th May 1953.</t>
  </si>
  <si>
    <t>b20766646</t>
  </si>
  <si>
    <t>Photograph (b&amp;w print)  19 cm x 24 cm (image)   25 cm x 26.8 cm (mount);RESERVE 1 b</t>
  </si>
  <si>
    <t>HENLEY BEACH: The beach and foreshore near North Street, 15 chains north of the jetty on the 21st May 1953 after a storm.</t>
  </si>
  <si>
    <t>b20766658</t>
  </si>
  <si>
    <t>Photograph (b&amp;w print)  19 cm x 24 cm (image)   25.2 cm x 26.8 cm (mount);RESERVE 1 b</t>
  </si>
  <si>
    <t>b2076666x</t>
  </si>
  <si>
    <t>HENLEY BEACH: The beach and foreshore about 20 chains south of the jetty near South Street on 21st May 1953 after a storm.</t>
  </si>
  <si>
    <t>b20766671</t>
  </si>
  <si>
    <t>Photograph (b&amp;w print)  18.8 cm x 24 cm (image)   25.2 cm x 26.7 cm (mount);RESERVE 1 b</t>
  </si>
  <si>
    <t>HENLEY BEACH: Damage at the end of Henley Beach Road on the 21st May 1953 after a storm.</t>
  </si>
  <si>
    <t>b20766683</t>
  </si>
  <si>
    <t>Storm conditions at Henley Beach</t>
  </si>
  <si>
    <t>HENLEY BEACH: Storm conditions at the end of Henley Beach Road, 18th May 1953.</t>
  </si>
  <si>
    <t>b20766695</t>
  </si>
  <si>
    <t>High seas at Henley Beach</t>
  </si>
  <si>
    <t>Photograph (b&amp;w print)  19 cm x 24.1 cm (image)   25.1 cm x 26.7 cm (mount);RESERVE 1 b</t>
  </si>
  <si>
    <t>HENLEY BEACH: High seas at the end of Henley Beach Road during a storm on 18th May 1953.</t>
  </si>
  <si>
    <t>b20766701</t>
  </si>
  <si>
    <t>Protective construction at Henley Beach after a storm</t>
  </si>
  <si>
    <t>HENLEY BEACH: The beach and protective construction erected by the Highways Department in 1946 between the end of Henley Beach Road and Torrens Outlet on 21st May 1953 after a storm.</t>
  </si>
  <si>
    <t>b20766713</t>
  </si>
  <si>
    <t>Storm damage at Henley Beach</t>
  </si>
  <si>
    <t>Photograph (b&amp;w print)  19 cm x 24.1 cm (image)   25 cm x 26.8 cm (mount);RESERVE 1 b</t>
  </si>
  <si>
    <t>b20766725</t>
  </si>
  <si>
    <t>Photograph (b&amp;w print)  18.7 cm x 24.2 cm (image)   25 cm x 26.8 cm (mount);RESERVE 1 b</t>
  </si>
  <si>
    <t>HENLEY BEACH: Damage at the beach about 15 chains south of the jetty near South Street on 21st May 1953.</t>
  </si>
  <si>
    <t>b20766737</t>
  </si>
  <si>
    <t>Photograph (b&amp;w print)  19 cm x 24.2 cm (image)   25 cm x  26.8 cm (mount);RESERVE 1 b</t>
  </si>
  <si>
    <t>b20766749</t>
  </si>
  <si>
    <t>HENLEY BEACH: The beach about 10 chains south of the jetty on 21st May 1953 after a storm.</t>
  </si>
  <si>
    <t>b20766750</t>
  </si>
  <si>
    <t>Storm damage at Henley Beach swimming pool</t>
  </si>
  <si>
    <t>Photograph (b&amp;w print)  19 cm x 24.2 cm (image)   25.2 cm x 26.8 cm (mount);RESERVE 1 b</t>
  </si>
  <si>
    <t>HENLEY BEACH: Damage to the locker room at the swimming pool on 21st May 1953 after a storm.</t>
  </si>
  <si>
    <t>b20766762</t>
  </si>
  <si>
    <t>Rough seas at Henley Beach</t>
  </si>
  <si>
    <t>HENLEY BEACH: Rough seas near South Street, 15 chains south of the jetty on 18th May 1953 during a storm.</t>
  </si>
  <si>
    <t>b20766774</t>
  </si>
  <si>
    <t>Photograph (b&amp;w print)  22.2 cm x 19 cm (image)   26.8 cm x 25 cm (mount);RESERVE 1 b</t>
  </si>
  <si>
    <t>HENLEY BEACH: Damage caused by a storm near South Street, about 15 chains south of the jetty on 21st May 1953.</t>
  </si>
  <si>
    <t>b20778351</t>
  </si>
  <si>
    <t>Members of the District Council of Willunga</t>
  </si>
  <si>
    <t>WILLUNGA: Members of the District Council of Willunga in 1953, their Centenary Year: Back row, l-r: A.H. Johnston  M.A.J. Nolan  F. Croser  B.G. Dunstan (District Clerk)  C.K. Lovelock  Seated: T.M.A. Ryan  B.St.J. Proctor (Chairman)  W.R. Pengilly.</t>
  </si>
  <si>
    <t>b20780187</t>
  </si>
  <si>
    <t>Hewitt, R., photographer</t>
  </si>
  <si>
    <t>Photograph (b&amp;w print)  19.3 cm x 24.7 cm (image)   30.3 cm x 37.5 cm (mount);RESERVE 1 b</t>
  </si>
  <si>
    <t>PORT ADELAIDE:  Port Adelaide Football Club, season 1953.</t>
  </si>
  <si>
    <t>b20787704</t>
  </si>
  <si>
    <t>WILLUNGA: Members of the District Council of Willunga, 1953. Back Row, l-r: A.H. Johnston  M.A.J. Nolan  F. Croser  B.G. Dunstan (District Clerk)  C.K. Lovelock. Front Row, l-r: T.M.A. Ryan  B. St.J. Proctor (Chairman)  W.R. Pengilly.</t>
  </si>
  <si>
    <t>District Council of Willunga</t>
  </si>
  <si>
    <t>b20799111</t>
  </si>
  <si>
    <t>Marion Beth Murdoch with her daughter Lynne Meredith Murdoch</t>
  </si>
  <si>
    <t>WAROOKA: View of Marion Beth Murdoch holding her daughter Lynne Meredith while feeding a foal, on "West Cowie", a property at Warooka.</t>
  </si>
  <si>
    <t>Horses -- South Australia -- Warooka;Women -- South Australia -- Warooka</t>
  </si>
  <si>
    <t>b20802596</t>
  </si>
  <si>
    <t>Photograph (b&amp;w print)  20 cm x 29.6 cm (image)   30 cm x 38.5 cm (mount);RESERVE 1 b</t>
  </si>
  <si>
    <t>NORWOOD: Members of the Norwood Football Club, season 1953.</t>
  </si>
  <si>
    <t>b2081074x</t>
  </si>
  <si>
    <t>Stow Court, Kensington Gardens, looking east</t>
  </si>
  <si>
    <t>KENSINGTON GARDENS: Stow Court, looking east, May 1953.</t>
  </si>
  <si>
    <t>Kensington Gardens Collection</t>
  </si>
  <si>
    <t>b20810751</t>
  </si>
  <si>
    <t>b20902001</t>
  </si>
  <si>
    <t>Railway transport</t>
  </si>
  <si>
    <t>Photograph (b&amp;w print)  13.8 cm x 10.7 cm;RESERVE 1 album</t>
  </si>
  <si>
    <t>500 class engine No.502 and carriages at Eden Hills, August 1953.</t>
  </si>
  <si>
    <t>b20902116</t>
  </si>
  <si>
    <t>Photograph (b&amp;w print)  15.3 cm x 20.2 cm;RESERVE 1 album</t>
  </si>
  <si>
    <t>500 class engine No.502 at Mile End. A sign at the front of the engine reads '21st annual mystery hike'.</t>
  </si>
  <si>
    <t>b20902128</t>
  </si>
  <si>
    <t>Photograph (b&amp;w print)  19 cm x 24 cm;RESERVE 1 album</t>
  </si>
  <si>
    <t>500 class engine No.505 at Eden Hills.</t>
  </si>
  <si>
    <t>b20902475</t>
  </si>
  <si>
    <t>Photograph (b&amp;w print)  7.2 cm x 12.8 cm;RESERVE 1 album</t>
  </si>
  <si>
    <t>Adelaide bound East-West train at North Adelaide.</t>
  </si>
  <si>
    <t>b20902499</t>
  </si>
  <si>
    <t>b20902785</t>
  </si>
  <si>
    <t>b20903133</t>
  </si>
  <si>
    <t>Photograph (b&amp;w print)  9.7 cm x 14.4 cm;RESERVE 1 album</t>
  </si>
  <si>
    <t>Passenger train at Sleeps Hill, 28 December 1953.</t>
  </si>
  <si>
    <t>b20903340</t>
  </si>
  <si>
    <t>Oakbank Race train at Blackwood.</t>
  </si>
  <si>
    <t>b20903376</t>
  </si>
  <si>
    <t>5.15pm Tailem Bend train carrying the north line marker, at Mile End, 11 March 1953.</t>
  </si>
  <si>
    <t>b2090339x</t>
  </si>
  <si>
    <t>Photograph (b&amp;w print)  17.5 cm x 11.1 cm;RESERVE 1 album</t>
  </si>
  <si>
    <t>Goods train at Clapham, November 1953.</t>
  </si>
  <si>
    <t>b20903881</t>
  </si>
  <si>
    <t>b20903893</t>
  </si>
  <si>
    <t>Photograph (b&amp;w print)  10.6 cm x 15.4 cm;RESERVE 1 album</t>
  </si>
  <si>
    <t>Terowie fast freight train at Mile End, March 1953.</t>
  </si>
  <si>
    <t>b20904411</t>
  </si>
  <si>
    <t>A train operating as the Hobby Shop Special, which a researcher believes to be the down train approaching Keswick.</t>
  </si>
  <si>
    <t>b20904472</t>
  </si>
  <si>
    <t>Photograph (b&amp;w print)  11.5 cm x 19.3 cm;RESERVE 1 album</t>
  </si>
  <si>
    <t>b20904952</t>
  </si>
  <si>
    <t>Photograph (b&amp;w print)  10 cm x 15.5 cm;RESERVE 1 album</t>
  </si>
  <si>
    <t>Goods train at Port Adelaide, March 1953.</t>
  </si>
  <si>
    <t>b2090518x</t>
  </si>
  <si>
    <t>Engine at Port Adelaide, 27 October 1953.</t>
  </si>
  <si>
    <t>b20905397</t>
  </si>
  <si>
    <t>Goods train at Mile End, March 1953.</t>
  </si>
  <si>
    <t>b20905403</t>
  </si>
  <si>
    <t>b20905415</t>
  </si>
  <si>
    <t>b20905543</t>
  </si>
  <si>
    <t>Photograph (b&amp;w print)  6.6 cm x 12.3 cm;RESERVE 1 album</t>
  </si>
  <si>
    <t>Engine No. 14 at Mile End, March 1953.</t>
  </si>
  <si>
    <t>b20907424</t>
  </si>
  <si>
    <t>Overland train at Mount Lofty, March 1953.</t>
  </si>
  <si>
    <t>b20907436</t>
  </si>
  <si>
    <t>Photograph (b&amp;w print)  15.3 cm x 20.4 cm;RESERVE 1 album</t>
  </si>
  <si>
    <t>Overland train at Mile End, 19 November 1953. (11 cars, 536 tons tare.).</t>
  </si>
  <si>
    <t>b20907448</t>
  </si>
  <si>
    <t>Photograph (b&amp;w print)  13.8 cm x 20.2 cm;RESERVE 1 album</t>
  </si>
  <si>
    <t>Overland train at Mile End, 20 November 1953.</t>
  </si>
  <si>
    <t>b2090745x</t>
  </si>
  <si>
    <t>Overland train at Adelaide, March 1953.</t>
  </si>
  <si>
    <t>b20931049</t>
  </si>
  <si>
    <t>Children in Elder Park</t>
  </si>
  <si>
    <t>A group of children at Elder Park, Adelaide.</t>
  </si>
  <si>
    <t>Children;Elder Park (Adelaide, S.A.)</t>
  </si>
  <si>
    <t>b20931232</t>
  </si>
  <si>
    <t>Cricket player</t>
  </si>
  <si>
    <t>Photograph  11 cm x 20.5 cm</t>
  </si>
  <si>
    <t>An unidentified cricket player on an oval.</t>
  </si>
  <si>
    <t>b20947215</t>
  </si>
  <si>
    <t>Mounted policeman and child</t>
  </si>
  <si>
    <t>Photograph  19.5 cm x 24 cm</t>
  </si>
  <si>
    <t>A mounted police constable accepts a badge from a young boy in Greek national costume selling badges for the United Nations Appeal for Children.</t>
  </si>
  <si>
    <t>Police -- South Australia;Mounted Police -- South Australia</t>
  </si>
  <si>
    <t>b20954013</t>
  </si>
  <si>
    <t>Two women at the beach</t>
  </si>
  <si>
    <t>Photograph  10 cm x 20.5 cm</t>
  </si>
  <si>
    <t>Two women in bathing suits at the beach.</t>
  </si>
  <si>
    <t>Bathing suits -- South Australia</t>
  </si>
  <si>
    <t>b20954025</t>
  </si>
  <si>
    <t>A woman at the beach</t>
  </si>
  <si>
    <t>Photograph  17 cm x 24 cm</t>
  </si>
  <si>
    <t>A woman in a bathing suit at the beach.</t>
  </si>
  <si>
    <t>b20954037</t>
  </si>
  <si>
    <t>Three young women</t>
  </si>
  <si>
    <t>Three young women in bathing suits and hats at the beach.</t>
  </si>
  <si>
    <t>b20954165</t>
  </si>
  <si>
    <t>Lone spectators in a grandstand</t>
  </si>
  <si>
    <t>Three women huddle under an umbrella in the middle of an empty grandstand</t>
  </si>
  <si>
    <t>b20954554</t>
  </si>
  <si>
    <t>A woman tennis player</t>
  </si>
  <si>
    <t>A woman prepares to return the ball during a tennis match.</t>
  </si>
  <si>
    <t>b20962903</t>
  </si>
  <si>
    <t>Mine detecting at Caloote camp</t>
  </si>
  <si>
    <t>Photograph  15.5 cm x 21 cm</t>
  </si>
  <si>
    <t>Two member of the Adelaide University Regiment operating a mine detector at a camp at Caloote.</t>
  </si>
  <si>
    <t>Volunteer Military Forces (S.A.)</t>
  </si>
  <si>
    <t>b20963014</t>
  </si>
  <si>
    <t>Mortar crew at Caloote</t>
  </si>
  <si>
    <t>Photograph  15 cm x 21 cm</t>
  </si>
  <si>
    <t>The 3" mortar crew of the Adelaide University Regiment in camp at Caloote.</t>
  </si>
  <si>
    <t>Australia. Army. Adelaide University Regiment;Volunteer Military Forces (S.A.)</t>
  </si>
  <si>
    <t>b20963038</t>
  </si>
  <si>
    <t>Members of the 9th Infantry Brigade</t>
  </si>
  <si>
    <t>Members of the 9th Infantry Brigade at the Torrens Parade Ground.</t>
  </si>
  <si>
    <t>Australia. Army. Infantry Brigade, 9th;Volunteer Military Forces (S.A.)</t>
  </si>
  <si>
    <t>b20963051</t>
  </si>
  <si>
    <t>Photograph  20.5 cm x 12 cm</t>
  </si>
  <si>
    <t>A 17lb anti-tank gun being used in training by the 9th Infantry Brigade at the Torrens Parade Ground. [The Brigade comprises troops of 10th Battalion, 27th Battalion, 43/48 Battalion and Adelaide University Regiment.]</t>
  </si>
  <si>
    <t>b20963063</t>
  </si>
  <si>
    <t>b21059391</t>
  </si>
  <si>
    <t>John Martin's Christmas Pageant : Christmas Tree Girls</t>
  </si>
  <si>
    <t>photograph  12 cm x 8 cm</t>
  </si>
  <si>
    <t>Group of six girls in dresses with skirts made with layers of ruffles representing Christmas trees. All are wearing bonnets with white trim.</t>
  </si>
  <si>
    <t>b21061142</t>
  </si>
  <si>
    <t>John Martin's Christmas Pageant : Christmas Tree Girl</t>
  </si>
  <si>
    <t>photograph  8.3 cm x 13.2 cm</t>
  </si>
  <si>
    <t>Barb Tapscott dressed as a Christmas Tree Girl, and wearing a bonnet.</t>
  </si>
  <si>
    <t>John Martin &amp; Co;Costume -- South Australia -- Adelaide;Pageants -- South Australia -- Adelaide;Christmas -- South Australia -- Adelaide;Parades -- South Australia -- Adelaide;Parade floats -- South Australia -- Adelaide</t>
  </si>
  <si>
    <t>b21061208</t>
  </si>
  <si>
    <t>D'Lanor, photographer</t>
  </si>
  <si>
    <t>Girl dressed in a Christas Tree costume made of cellophane and wearing a bonnet.</t>
  </si>
  <si>
    <t>b21089279</t>
  </si>
  <si>
    <t>Ladd, Jeff, photographer</t>
  </si>
  <si>
    <t>Sturt Football Club team at Kangaroo Island</t>
  </si>
  <si>
    <t>Photograph  5.4 cm x 5.4 cm</t>
  </si>
  <si>
    <t>Members of the Sturt Football Club team photographed during a visit to Kangaroo Island in 1953 where they played a match against the locals and enjoyed some social activities. Jeff Ladd (the photographer) played centre half forward/half forward flank for the team. (From left and facing the camera) Bill Kutcher, Dennis Rattigan, Clayton 'Candles' Thompson and Don Harris  Brian Shanks is second from right.</t>
  </si>
  <si>
    <t>Shanks, Brian;Harris, Don;Thompson, Clayton;Rattigan, Dennis;Kutcher, Bill;Sturt Football Club</t>
  </si>
  <si>
    <t>b21089346</t>
  </si>
  <si>
    <t>Kelly, Janet, photographer</t>
  </si>
  <si>
    <t>Government House during the royal visit</t>
  </si>
  <si>
    <t>Photograph by Janet Kelly (nee Day) taken from the south west corner of North Terrace and King William Street, looking over Government House and grounds. The Queen's car has just passed through the gates and is moving past the waiting crowd.</t>
  </si>
  <si>
    <t>Government House (Adelaide, S.A.);Visits of state -- South Australia -- Adelaide</t>
  </si>
  <si>
    <t>b21089395</t>
  </si>
  <si>
    <t>Rasmus, Leslie Wilfred, 1893-1958, photographer</t>
  </si>
  <si>
    <t>Photograph  24 cm x 19.2 cm</t>
  </si>
  <si>
    <t>View looking south along King William Street at night from just north of the Waymouth/Pirie Street intersection.  The buildings and street are illuminated with decorations for the Queen's visit.</t>
  </si>
  <si>
    <t>Lighting -- South Australia -- Adelaide;Visits of state -- South Australia -- Adelaide;King William Street (Adelaide, S.A.)</t>
  </si>
  <si>
    <t>b21089425</t>
  </si>
  <si>
    <t>Gillett, Bill, 1935-2000, photographer</t>
  </si>
  <si>
    <t>John Finger standing on a sandbank levee</t>
  </si>
  <si>
    <t>Photograph  8.1 cm x 5.4 cm</t>
  </si>
  <si>
    <t>John Finger standing on a sandbank levee near Renmark during the 1953 flood. Finger, and the photographer Bill Gillett, were both members of the Eureka Youth League at the time, and, like many church and other community groups, volunteered to help by filling sandbags and building levees.</t>
  </si>
  <si>
    <t>Finger, John;Floods -- South Australia -- Renmark;Floods -- Murray River (N.S.W.-S.A.);Levees -- South Australia -- Renmark</t>
  </si>
  <si>
    <t>b21089437</t>
  </si>
  <si>
    <t>Accounts section at the Repatriation Department</t>
  </si>
  <si>
    <t>Photograph  20.5 cm x 14.9 cm</t>
  </si>
  <si>
    <t>View of part of the Accounts Section of the Repatriation Department at 186 Pulteney Street, Adelaide. Val Cusack is to the left of the front pillar, with Mr Brown to her right. Eileen is in front of her, Elizabeth Newman is on Eileen's left  Mr McCreidy is on Elizabeth's left. Mr Burns is sitting behind Elizabeth Newman  Mr Don Dunstan is behind him, with Mr Gilchrist at the back of that row. Mr Moore is seated behind Mr Burns  Glenys is behind the front pillar  and Mr Tomsett is second from the left in the back row.</t>
  </si>
  <si>
    <t>Offices -- South Australia -- Adelaide;Australia. Repatriation Department</t>
  </si>
  <si>
    <t>b21089565</t>
  </si>
  <si>
    <t>Bentley, Irene Muriel, photographer</t>
  </si>
  <si>
    <t>The Bentley children</t>
  </si>
  <si>
    <t>Photograph  5.4 cm x 7.9 cm</t>
  </si>
  <si>
    <t>Heather (9 months), Donald (3 years &amp; airman) and Christine (7 years &amp; pilot) press the family pram into active service as as aeroplane.</t>
  </si>
  <si>
    <t>Bentley, Heather;Bentley, Donald;Bentley, Christine;Play;Children</t>
  </si>
  <si>
    <t>Enfield Collection</t>
  </si>
  <si>
    <t>b21178598</t>
  </si>
  <si>
    <t>House building working bee</t>
  </si>
  <si>
    <t>A group of migrants at a working bee - 'friends came together to help when laying the foundations of each other's house'.</t>
  </si>
  <si>
    <t>b21180751</t>
  </si>
  <si>
    <t>Facade of Port Adelaide building, St Vincent Street</t>
  </si>
  <si>
    <t>1 photograph : black and white   19.5 x 24.5 cm;still image sti rdacontent;unmediated n rdamedia;sheet nb rdacarrier</t>
  </si>
  <si>
    <t>Exterior view of building at 226 St Vincent Street, Port Adelaide five years before its partial renovation. Wally Bridges' Seamen's Outfitter occupies the ground floor on the street corner. Painted advertising can be seen on the side wall of the building in Hart Street (renamed Kyle Place).</t>
  </si>
  <si>
    <t>Buildings -- South Australia -- Port Adelaide.;St. Vincent Street (Port Adelaide, S.A.);Port Adelaide (S.A.) -- Buildings, structures, etc.</t>
  </si>
  <si>
    <t>b21258466</t>
  </si>
  <si>
    <t>Baled hay at Konelgin</t>
  </si>
  <si>
    <t>Baled hay spread across the paddock at Konelgin, with a ute in the distance. ['Konelgin' was Martin Cameron's property between Kingston and Millicent.]</t>
  </si>
  <si>
    <t>b21258478</t>
  </si>
  <si>
    <t>Stan White at his work bench</t>
  </si>
  <si>
    <t>Stanley (Stan) Gordon Livingstone White, father of Colin White, at his workbench.</t>
  </si>
  <si>
    <t>b21264673</t>
  </si>
  <si>
    <t>Refuelling rally cars at Bond's Chalet</t>
  </si>
  <si>
    <t>Car 167 in the first Redex car rally, refuelling at Bond's Chalet in Alice Springs, from the Shell petrol bowsers. [At the bowser a Holden 48-215 sedan (entrant 167)  the green car (entrant 147?) behind the Holden is an Austin Atlantic saloon.]</t>
  </si>
  <si>
    <t>b21264685</t>
  </si>
  <si>
    <t>Two cars involved in the first Redex car rally refuelling at the Shell petrol bowsers at Bond's Chalet in Alice Springs. [The car on the left is an Austin A40 saloon (entrant 9?), with a Holden 48-215 sedan (entrant 41) on the right.]</t>
  </si>
  <si>
    <t>b21264697</t>
  </si>
  <si>
    <t>Two cars from the first Redex car rally refuelling from Shell petrol bowsers at Bond's Chalet, Alice Springs. [The car on the left is a Jaguar Mk7 saloon (entrant 159), with a Holden 48-215 sedan on the right.]</t>
  </si>
  <si>
    <t>b21264703</t>
  </si>
  <si>
    <t>Redex campers at Bond's Chalet</t>
  </si>
  <si>
    <t>View of campers, cars and a caravan in the grounds of Bond's Chalet in Alice Springs. Bond made his facilities available to participants in the first Redex car rally. [A Ford Customline sedan (entrant 107) is in the centre - this was driven by Jack Davey, a well known radio personality.]</t>
  </si>
  <si>
    <t>b21264715</t>
  </si>
  <si>
    <t>Redex rally car at Alice Springs</t>
  </si>
  <si>
    <t>Redex rally entrant no. 116, driven by R.Whyte and F.Allen, at Alice Springs. [The car is a Ford Customline sedan.]</t>
  </si>
  <si>
    <t>b21264739</t>
  </si>
  <si>
    <t>Refuelling rally car at Alice Springs</t>
  </si>
  <si>
    <t>One of the Redex rally cars refuelling at Bond's Chalet in Alice Springs, with the nose of one of Bond's buses visible on the left. [The car on the right hand side is a Holden 48-215 sedan (entrant 41).]</t>
  </si>
  <si>
    <t>b21264740</t>
  </si>
  <si>
    <t>One of the Redex car rally entrants refuelling at Bond's Chalet in Alice Springs, with washing visible in the background. [The car on the right hand side is a Holden 48-215 sedan (entrant 41).]</t>
  </si>
  <si>
    <t>b21264752</t>
  </si>
  <si>
    <t>Redex Rally cars at Bond's Chalet</t>
  </si>
  <si>
    <t>Cars participating in the first Redex Rally car trial in the grounds of Bond's Chalet at Alice Springs. [The car on the right hand side is a Holden 48-215 sedan (entrant 41).]</t>
  </si>
  <si>
    <t>b21264764</t>
  </si>
  <si>
    <t>Cars taking part in the first Redex Rally, parked in the grounds of Bond's Chalet, Alice Springs. Bond's provided refuelling facilities for the rally. [The entrants' cars includes Peugeot, Ford Customline, Holden 48-215 and Ford Zephr models.]</t>
  </si>
  <si>
    <t>b21264776</t>
  </si>
  <si>
    <t>Redex rally cars at Bond's Chalet</t>
  </si>
  <si>
    <t>Cars taking part in the first Redex rally, parked in the grounds of Bond's Chalet at Alice Springs. [The entrants' cars include Peugeot, Ford Customline, Holden 48-215 and Ford Zephr models.]</t>
  </si>
  <si>
    <t>b2126479x</t>
  </si>
  <si>
    <t>Cars participating in the first Redex rally, parked in the grounds of Bond's Chalet at Alice Springs. [The entrants' cars include Peugot, Ford Customline, Holden 48-215 and Ford Zephr models.]</t>
  </si>
  <si>
    <t>b21264818</t>
  </si>
  <si>
    <t>Rally car on road beside Bond's Chalet</t>
  </si>
  <si>
    <t>One of the Redex rally cars driving down the dirt road beside Bond's Chalet at Alice Springs. [The car in view is a Jaguar Mk7 saloon (possibly entrant 159).]</t>
  </si>
  <si>
    <t>b28426794</t>
  </si>
  <si>
    <t>North Adelaide Central Football Club</t>
  </si>
  <si>
    <t>Photograph (B&amp;W)  24.3 cm x 19.2 cm (image), 33.5 cm x 20.3 cm (mount);RESERVE 1 b</t>
  </si>
  <si>
    <t>Photograph of Noth Adelaide Central Football Club, Undefeated Premiers - Season 1953. Back row: F. Franklin, M. Ryan, R. Gatley, T. Willshire. Fourth fow: P. Hammerstein, C. Richardson, P. Grey, B. Loche, R. Charles. Third row  M. Paech, G. Gatley, K. Halliday, L. Nixon, J. Sargent, R. Starr. Second row: J. Douglas, B. White, D. Phillips, P. Otto, F. Otto, C. Decelis, G. Ellis. Front row: B. Major (Secretary), L. Smith, J. James (President), D. Datson (Captain), R. Doddridge (Vice-Captain), H. Neale (Chairman), G. Matthews, B. Wright (Assistant Secretary). In front  G. Datson (Mascot). Absent: L. O'Hara, J. Cooper.</t>
  </si>
  <si>
    <t>North Adelaide Central Football Club;Australian football -- South Australia -- North Adelaide</t>
  </si>
  <si>
    <t>b29212443</t>
  </si>
  <si>
    <t>Nurses Margaret Meertons &amp; Pat Mole</t>
  </si>
  <si>
    <t>Photograph (black and white print)  8.4 cm x 5.9 cm;RESERVE 1 a;still image sti rdacontent;unmediated n rdamedia;sheet nb rdacarrier</t>
  </si>
  <si>
    <t>Margaret Meertons and Pat Mole, nurses at Millicent Hospital, March 1953.</t>
  </si>
  <si>
    <t>Hospitals -- South Australia -- Millicent;Nurses -- South Australia -- Millicent;Millicent (S.A.)</t>
  </si>
  <si>
    <t>b29212480</t>
  </si>
  <si>
    <t>Nurse Helen Geyster</t>
  </si>
  <si>
    <t>Photograph (black and white print)  8.3 cm x 5.8 cm;RESERVE 1 a;still image sti rdacontent;unmediated n rdamedia;sheet nb rdacarrier</t>
  </si>
  <si>
    <t>Helen Geyster, nurse at Millicent Hospital, March 1953.</t>
  </si>
  <si>
    <t>b29212510</t>
  </si>
  <si>
    <t>Nurse Natalie Bowman</t>
  </si>
  <si>
    <t>Natalie Bowman (nee Wake), nurse at Millicent Hospital, March 1953.</t>
  </si>
  <si>
    <t>b29212558</t>
  </si>
  <si>
    <t>Nurse Joan Gard</t>
  </si>
  <si>
    <t>Photograph (black and white print)  8.3 cm x 5.3 cm;RESERVE 1 a;still image sti rdacontent;unmediated n rdamedia;sheet nb rdacarrier</t>
  </si>
  <si>
    <t>Joan Gard, nurse at Millicent Hospital, March 1953.</t>
  </si>
  <si>
    <t>b29212571</t>
  </si>
  <si>
    <t>Nurse Peggy Meertons</t>
  </si>
  <si>
    <t>Photograph (black and white print)  5.9 cm x 8.4 cm;RESERVE 1 a;still image sti rdacontent;unmediated n rdamedia;sheet nb rdacarrier</t>
  </si>
  <si>
    <t>Peggy Meertons, nurse at Millicent Hospital, March 1953.</t>
  </si>
  <si>
    <t>b29215328</t>
  </si>
  <si>
    <t>Photograph (black and white print)  16.4 cm x 21.6 cm (print), 25.0 cm x 29.0 cm (mount);RESERVE 1 b;still image sti rdacontent;unmediated n rdamedia;sheet nb rdacarrier</t>
  </si>
  <si>
    <t>1953 Millicent Football Club A Grade team photo. Standing in the back row is C. Sappiatzer (Sec.), D. Spehr, R. Clifford, R. Eddy, J. Mackie, R. Walker, R. Bowman, R. McFarlane, R. Heuzenroeder, T. Walker, &amp; G. Hutchesson. Seated in the middle row is W. Schuller, N. Atkinson, N. McDonald (Vice-Capt), F. Bolton (Capt.), C. Downs, C. Stevens, R. Bunsford, &amp; D. Stevens. Crouching in the front row is J. Myers (Asst. Sec.), G. Curyer, A. McIntyre, N. Waldron, &amp; M. Attiwell.</t>
  </si>
  <si>
    <t>b31421647</t>
  </si>
  <si>
    <t>1 photograph : black &amp; white;still image sti rdacontent;computer c rdamedia;online resource cr rdacarrier;image file JPEG 349KB 2403x1181 rda</t>
  </si>
  <si>
    <t>Port Adelaide Caledonian Society, possibly at Le Fevre High School. Band members include Pipe Major Bobby Horne, Piper Jimmy Bourne, Pipe Corporal Tommy Clelland, Piper Don Benger, Drummer Aileen Lockyer, Leading Drummer Billy Clelland, Bass Drummer Sam Kane, Drum Major Tom Poulton, Drummer John Hughes, Piper Arthur Adams, Piper John Duncanson, Drummer June Duncanson, Piper Jim Clinton (Jnr). The drums are symmetrically arranged in front of the band members.</t>
  </si>
  <si>
    <t>b20243157</t>
  </si>
  <si>
    <t>Storm, Glenelg</t>
  </si>
  <si>
    <t>Photograph (b&amp;w print)  7.1 cm x 11.3 cm;C1</t>
  </si>
  <si>
    <t>Shore damaged by storm.</t>
  </si>
  <si>
    <t>b20359408</t>
  </si>
  <si>
    <t>Veteran Car Rally  Anzac Highway, 9th May 1953. Left to right: T-model Ford  1911 Overland tourer (D.J. Morton) and 1911 Talbot tourer (H.S. Reid).</t>
  </si>
  <si>
    <t>Automobiles -- South Australia -- Plympton;Talbot automobile;Ford Model T automobile;Automobile rallies -- South Australia -- Plympton;Anzac Highway (Adelaide, S.A.)</t>
  </si>
  <si>
    <t>b20387179</t>
  </si>
  <si>
    <t>Roman Catholic Cathedral (Sutc</t>
  </si>
  <si>
    <t>Roman Catholic Cathedral at Port Pirie.</t>
  </si>
  <si>
    <t>Catholic Church -- South Australia -- Port Pirie;Church architecture -- South Australia -- Port Pirie</t>
  </si>
  <si>
    <t>b20390865</t>
  </si>
  <si>
    <t>Port Wakefield Circuit</t>
  </si>
  <si>
    <t>K. Rilstone's special at a race meeting on Port Wakefield circuit.</t>
  </si>
  <si>
    <t>Racetracks (Automobile racing) -- South Australia -- Port Wakefield;Automobile racing -- South Australia -- Port Wakefield</t>
  </si>
  <si>
    <t>Port Wakefield Collection</t>
  </si>
  <si>
    <t>b20402624</t>
  </si>
  <si>
    <t>Photograph  20.9 cm x 15.4 cm</t>
  </si>
  <si>
    <t>Saint Francis Xavier Seminary.</t>
  </si>
  <si>
    <t>St. Francis Xavier's Seminary (Rostrevor, S.A.);Theological seminaries -- South Australia -- Rostrevor</t>
  </si>
  <si>
    <t>b20518973</t>
  </si>
  <si>
    <t>M.T.T. Trolley Bus</t>
  </si>
  <si>
    <t>Photograph  24.4 cm x 17.8 cm</t>
  </si>
  <si>
    <t>M.T.T. Trolley Bus No.521. Buses of this type had a Sunbeam chassis and the bodywork was manufactured at J.A. Lawton and Sons motorbody plant, Port Road, Kilkenny. They operated from about 1953 to the early 1960s.</t>
  </si>
  <si>
    <t>b20527366</t>
  </si>
  <si>
    <t>A 1910 De Dion Bouton in the Adelaide Veteran Car Rally.</t>
  </si>
  <si>
    <t>Automobiles -- South Australia -- Adelaide;De Dion-Bouton automobile</t>
  </si>
  <si>
    <t>b20527378</t>
  </si>
  <si>
    <t>A 1912 Hupmobile in the Adelaide Veteran Car Rally.</t>
  </si>
  <si>
    <t>Automobiles -- South Australia -- Adelaide;Hupmobile automobile</t>
  </si>
  <si>
    <t>b20527470</t>
  </si>
  <si>
    <t>Oldsmobile Veteran Car</t>
  </si>
  <si>
    <t>An Oldsmobile in the Adelaide Veteran Car Rally.</t>
  </si>
  <si>
    <t>Automobiles -- South Australia -- Adelaide;Oldsmobile automobile</t>
  </si>
  <si>
    <t>b20580654</t>
  </si>
  <si>
    <t>North corner of King William Street and Pirie Street. Photographed on 28 January, 1953. For views of this site in c1917 and in 1924 see B 7 and B 2050. For a view of this site in 1957 see B 13962. The building on the corner was demolished in 1955</t>
  </si>
  <si>
    <t>b20750675</t>
  </si>
  <si>
    <t>Angas Plains Presbyterian Sunday School</t>
  </si>
  <si>
    <t>Photograph (b&amp;w print)  8.8 cm x 12.6 cm</t>
  </si>
  <si>
    <t>ANGAS PLAINS: Children from the Angas Plains Sunday School holding a Presbyterian Welfare of Youth Banner  names not known.</t>
  </si>
  <si>
    <t>Sunday schools -- South Australia -- Angas Plains;Children -- South Australia -- Angas Plains</t>
  </si>
  <si>
    <t>b20792281</t>
  </si>
  <si>
    <t>Grange residence</t>
  </si>
  <si>
    <t>GRANGE: Home on the corner of Esplanade and Beach Street. View taken before the Esplanade road was put through and when Beach Street was just a gravel road.</t>
  </si>
  <si>
    <t>Architecture, Domestic -- South Australia -- Grange</t>
  </si>
  <si>
    <t>b20810738</t>
  </si>
  <si>
    <t>Stow House at Kensington Gardens</t>
  </si>
  <si>
    <t>KENSINGTON GARDENS: View of Stow House, once the home of Stow Smith, May 1953, after it had been purchased by the Housing Trust.</t>
  </si>
  <si>
    <t>Architecture, Domestic -- South Australia -- Kensington Gardens</t>
  </si>
  <si>
    <t>b20812358</t>
  </si>
  <si>
    <t>Lady Mawson with her grandchildren</t>
  </si>
  <si>
    <t>Photograph (b&amp;w print)  14.7 cm x 9.6 cm</t>
  </si>
  <si>
    <t>Lady Mawson with her three eldest grandchildren - Gareth Thomas (son of her daughter Patricia Thomas) on her lap, and Andrew and Paquita McEwin, (children of her daughter Jessica McEwin) standing beside her.</t>
  </si>
  <si>
    <t>McEwin, Paquita;McEwin, Andrew;Mawson, Paquita, 1891-1974;Thomas, Gareth;Women -- South Australia</t>
  </si>
  <si>
    <t>b20831651</t>
  </si>
  <si>
    <t>PORTRAIT: Lady Mawson with her grandchildren Gareth Thomas (son of her daughter Patricia Thomas) on her lap, and Andrew and Paquita McEwin (children of her daughter Jessica McEwin) standing beside her.</t>
  </si>
  <si>
    <t>b20869290</t>
  </si>
  <si>
    <t>Susan Leighton White and Dorothy Mortlock</t>
  </si>
  <si>
    <t>Photograph  13.5 cm x 21 cm</t>
  </si>
  <si>
    <t>Susan Leighton-White and Dorothy Mortlock, her aunt.</t>
  </si>
  <si>
    <t>Mortlock, Dorothy Elizabeth, 1906-1979;Leighton White, Susan</t>
  </si>
  <si>
    <t>b20902086</t>
  </si>
  <si>
    <t>RESERVE 1 album;Photograph (b&amp;w print)  10.5 cm x 15.3 cm</t>
  </si>
  <si>
    <t>Pinnaroo Express at Eden Hills, August 1953.</t>
  </si>
  <si>
    <t>b20902098</t>
  </si>
  <si>
    <t>500 class engine No.508 at unidentified location with a load of car bodies.</t>
  </si>
  <si>
    <t>b20902104</t>
  </si>
  <si>
    <t>Photograph (b&amp;w print)  9.7 cm x 14.7 cm;RESERVE 1 album</t>
  </si>
  <si>
    <t>500 class engine No.504 at Sleeps Hill.</t>
  </si>
  <si>
    <t>b2090213x</t>
  </si>
  <si>
    <t>Photograph (b&amp;w print)  9.5 cm x 13 cm;RESERVE 1 album</t>
  </si>
  <si>
    <t>500 class engine No.509 at Eden Hills South Australia.</t>
  </si>
  <si>
    <t>b20902141</t>
  </si>
  <si>
    <t>500 class engine No.506 at unidentified location.</t>
  </si>
  <si>
    <t>b20902153</t>
  </si>
  <si>
    <t>Photograph (b&amp;w print)  6.8 cm x 20.5 cm;RESERVE 1 album</t>
  </si>
  <si>
    <t>500 class engine at unidentified location, thought to be Mile End, Adelaide.</t>
  </si>
  <si>
    <t>b20902165</t>
  </si>
  <si>
    <t>500 class engine No.507. Information from a researcher: 'This photograph was taken just south of Lynton Railway Station'.</t>
  </si>
  <si>
    <t>Railroads -- South Australia -- Trains;Railroads -- South Australia -- Lynton</t>
  </si>
  <si>
    <t>b20902177</t>
  </si>
  <si>
    <t>Photograph (b&amp;w print)  22.5 cm x 18.4 cm;RESERVE 1 album</t>
  </si>
  <si>
    <t>500 class engine No.502 at Sleeps Hill, South Australia.</t>
  </si>
  <si>
    <t>b20902189</t>
  </si>
  <si>
    <t>Photograph (b&amp;w print)  20.5 cm x 13 cm;RESERVE 1 album</t>
  </si>
  <si>
    <t>500 class engine No.507 at unidentified location.</t>
  </si>
  <si>
    <t>b20902190</t>
  </si>
  <si>
    <t>Photograph (b&amp;w print)  15.2 cm x 19.8 cm;RESERVE 1 album</t>
  </si>
  <si>
    <t>500 class engine No.508 at Eden Hills.</t>
  </si>
  <si>
    <t>b20902207</t>
  </si>
  <si>
    <t>Photograph (b&amp;w print)  11.7 cm x 14 cm;RESERVE 1 album</t>
  </si>
  <si>
    <t>b20902219</t>
  </si>
  <si>
    <t>1 photograph : black and white   8 x 13.2 cm;RESERVE 1 album;still image sti rdacontent;unmediated n rdamedia;sheet nb rdacarrier</t>
  </si>
  <si>
    <t>500 class engine No.509 and carriages at Murray Bridge. The building behind the train is the Murray Bridge railway station and the photograph was taken facing west, towards Adelaide.</t>
  </si>
  <si>
    <t>b20902220</t>
  </si>
  <si>
    <t>500 class engine No.506 and carriages approaching Mile End, South Australia.</t>
  </si>
  <si>
    <t>b20902232</t>
  </si>
  <si>
    <t>Photograph (b&amp;w print)  8.2 cm x 13.5 cm;RESERVE 1 album</t>
  </si>
  <si>
    <t>500 class engine No.506 and carriages at Adelaide Station.</t>
  </si>
  <si>
    <t>b20903339</t>
  </si>
  <si>
    <t>Goods train (engine No.715) at Eden Hills.</t>
  </si>
  <si>
    <t>b20903352</t>
  </si>
  <si>
    <t>b20903364</t>
  </si>
  <si>
    <t>Train exiting a tunnel at Sleeps Hill.</t>
  </si>
  <si>
    <t>b20903406</t>
  </si>
  <si>
    <t>Photograph (b&amp;w print)  5.7 cm x 13 cm;RESERVE 1 album</t>
  </si>
  <si>
    <t>b20903418</t>
  </si>
  <si>
    <t>Photograph (b&amp;w print)  11.5 cm x 19 cm;RESERVE 1 album</t>
  </si>
  <si>
    <t>Passenger train (engine No.716) at unidentified location.</t>
  </si>
  <si>
    <t>b2090342x</t>
  </si>
  <si>
    <t>Photograph (b&amp;w print)  8.2 cm x 15.5 cm;RESERVE 1 album</t>
  </si>
  <si>
    <t>Passenger train, which a researcher believes to be the Adelaide Station up train.</t>
  </si>
  <si>
    <t>b20903431</t>
  </si>
  <si>
    <t>Photograph (b&amp;w print)  15.8 cm x 19.8 cm;RESERVE 1 album</t>
  </si>
  <si>
    <t>A passenger train, which a researcher believes to be the Eden Hills down train.</t>
  </si>
  <si>
    <t>b20903443</t>
  </si>
  <si>
    <t>Photograph (b&amp;w print)  16 cm x 20.3 cm;RESERVE 1 album</t>
  </si>
  <si>
    <t>b2090390x</t>
  </si>
  <si>
    <t>Photograph (b&amp;w print)  9.8 cm x 14.8 cm;RESERVE 1 album</t>
  </si>
  <si>
    <t>A goods train, which a researcher believes to be at Clapham.</t>
  </si>
  <si>
    <t>Album Collection;Railway Transport Collection;Clapham Collection</t>
  </si>
  <si>
    <t>b20903911</t>
  </si>
  <si>
    <t>Photograph (b&amp;w print)  9.7 cm x 14.9 cm;RESERVE 1 album</t>
  </si>
  <si>
    <t>b20903923</t>
  </si>
  <si>
    <t>Photograph (b&amp;w print)  11.5 cm x 19.4 cm;RESERVE 1 album</t>
  </si>
  <si>
    <t>Passenger train at Glenalta level crossing.</t>
  </si>
  <si>
    <t>Railroads -- South Australia -- Trains;Railroads -- South Australia -- Glenalta</t>
  </si>
  <si>
    <t>b20903935</t>
  </si>
  <si>
    <t>b20903947</t>
  </si>
  <si>
    <t>Photograph (b&amp;w print)  11.2 cm x 19.3 cm;RESERVE 1 album</t>
  </si>
  <si>
    <t>b20903959</t>
  </si>
  <si>
    <t>Photograph (b&amp;w print)  15.7 cm x 20.2 cm;RESERVE 1 album</t>
  </si>
  <si>
    <t>'22nd Annual Mystery Hike' train at unidentified location.</t>
  </si>
  <si>
    <t>b20903960</t>
  </si>
  <si>
    <t>Photograph (b&amp;w print)  9.4 cm x 20.4 cm;RESERVE 1 album</t>
  </si>
  <si>
    <t>Two engines at a yard (Mile End?).</t>
  </si>
  <si>
    <t>b20903972</t>
  </si>
  <si>
    <t>Photograph (b&amp;w print)  11.5 cm x 19.5 cm;RESERVE 1 album</t>
  </si>
  <si>
    <t>A goods train, which a researcher believes to be the Clapham up train.</t>
  </si>
  <si>
    <t>b20903984</t>
  </si>
  <si>
    <t>Engine No.730 at unidentified location.</t>
  </si>
  <si>
    <t>b20904307</t>
  </si>
  <si>
    <t>Photograph (b&amp;w print)  15 cm x 20.1 cm;RESERVE 1 album</t>
  </si>
  <si>
    <t>Passenger trains at unidentified location (Mile End?).</t>
  </si>
  <si>
    <t>b20904484</t>
  </si>
  <si>
    <t>Photograph (b&amp;w print)  9.8 cm x 19.3 cm;RESERVE 1 album</t>
  </si>
  <si>
    <t>Trains at original Mile End diesel depot.</t>
  </si>
  <si>
    <t>b20904496</t>
  </si>
  <si>
    <t>A passenger train, which a researcher believes to be at Goolwa.</t>
  </si>
  <si>
    <t>Railroads -- South Australia -- Trains;Railroads -- South Australia -- Goolwa</t>
  </si>
  <si>
    <t>Album Collection;Railway Transport Collection;Goolwa Collection</t>
  </si>
  <si>
    <t>b20904502</t>
  </si>
  <si>
    <t>Photograph (b&amp;w print)  11 cm x 19.3 cm;RESERVE 1 album</t>
  </si>
  <si>
    <t>b20904514</t>
  </si>
  <si>
    <t>Photograph (b&amp;w print)  11.6 cm x 19.2 cm;RESERVE 1 album</t>
  </si>
  <si>
    <t>A goods train, which a researcher believes to be approaching Adare, near Victor Harbor.</t>
  </si>
  <si>
    <t>Album Collection;Railway Transport Collection;Victor Harbor Collection</t>
  </si>
  <si>
    <t>b20904526</t>
  </si>
  <si>
    <t>Photograph (b&amp;w print)  10 cm x 18.8 cm;RESERVE 1 album</t>
  </si>
  <si>
    <t>b20904538</t>
  </si>
  <si>
    <t>Photograph (b&amp;w print)  11.5 cm x 19.1 cm;RESERVE 1 album</t>
  </si>
  <si>
    <t>b2090454x</t>
  </si>
  <si>
    <t>Photograph (b&amp;w print)  11.7 cm x 19.2 cm;RESERVE 1 album</t>
  </si>
  <si>
    <t>Passenger train at unidentified location, with photograph taken from another train passing in the opposite direction.</t>
  </si>
  <si>
    <t>b20904551</t>
  </si>
  <si>
    <t>Photograph (b&amp;w print)  8.1 cm x 13.1 cm;RESERVE 1 album</t>
  </si>
  <si>
    <t>A passenger train, which a researcher believes to be at Keswick.</t>
  </si>
  <si>
    <t>Album Collection;Railway Transport Collection;Keswick Collection</t>
  </si>
  <si>
    <t>b20904563</t>
  </si>
  <si>
    <t>Photograph (b&amp;w print)  7.7 cm x 13.2 cm;RESERVE 1 album</t>
  </si>
  <si>
    <t>b20907461</t>
  </si>
  <si>
    <t>Overland train going through Mile Enr railway station approaching Adelaide Station.</t>
  </si>
  <si>
    <t>b20907473</t>
  </si>
  <si>
    <t>Photograph (b&amp;w print)  13.2 cm x 20.5 cm;RESERVE 1 album</t>
  </si>
  <si>
    <t>Overland train at Adelaide Station.</t>
  </si>
  <si>
    <t>b20907485</t>
  </si>
  <si>
    <t>Photograph (b&amp;w print)  8.5 cm x 14.6 cm;RESERVE 1 album</t>
  </si>
  <si>
    <t>Overland train at Adelaide rail yards.</t>
  </si>
  <si>
    <t>b20907497</t>
  </si>
  <si>
    <t>Adelaide bound Overland train just about to pass through Pinera Railway Station near Belair in the Adelaide hills.</t>
  </si>
  <si>
    <t>b20907503</t>
  </si>
  <si>
    <t>b20977025</t>
  </si>
  <si>
    <t>Land development in South Australia: South-East</t>
  </si>
  <si>
    <t>Photograph (b&amp;w print)  11.1 cm x 16.2 cm;C1</t>
  </si>
  <si>
    <t>South-east: ground debris which had to be cleared to make way for agricultural implements.</t>
  </si>
  <si>
    <t>Land use, Rural -- South Australia -- South East Region</t>
  </si>
  <si>
    <t>b20977037</t>
  </si>
  <si>
    <t>South-east: bulldozer pushing logs into heaps for burning.</t>
  </si>
  <si>
    <t>Land use, Rural -- South Australia -- South East Region;Agricultural machinery -- South Australia</t>
  </si>
  <si>
    <t>b20977049</t>
  </si>
  <si>
    <t>South-east: ploughing out sapling regrowth with Majestic ploughs.</t>
  </si>
  <si>
    <t>b20977050</t>
  </si>
  <si>
    <t>C1;Photograph (b&amp;w print)  11.1 cm x 16.2 cm</t>
  </si>
  <si>
    <t>South-east: red gum country cleared of undergrowth ready for seeding.</t>
  </si>
  <si>
    <t>Land use, Rural -- South Australia -- South East Region;Agriculture -- South Australia -- South East Region</t>
  </si>
  <si>
    <t>b20977062</t>
  </si>
  <si>
    <t>South-east: established pasture on land shown in previous photographs (B 50029/1 - B 50029/5). A man is standing beside a 1940 Ford 'sloper' sedan.</t>
  </si>
  <si>
    <t>Land use, Rural -- South Australia -- South East Region;Agriculture -- South Australia -- South East Region;Pastures -- South Australia -- South East Region</t>
  </si>
  <si>
    <t>b20977074</t>
  </si>
  <si>
    <t>South-east: a gang of combines commencing seeding operations.</t>
  </si>
  <si>
    <t>Land use, Rural -- South Australia -- South East Region;Agriculture -- South Australia -- South East Region;Agricultural machinery -- South Australia</t>
  </si>
  <si>
    <t>b20977670</t>
  </si>
  <si>
    <t>South-east: four year old strawberry clover, phalaris and rye grass pasture on black plain country, Hundred Killanoola - Settler, P.Jackman.</t>
  </si>
  <si>
    <t>Jackman, P.;Land use, Rural -- South Australia -- South East Region;Agriculture -- South Australia -- South East Region;Pastures -- South Australia -- South East Region</t>
  </si>
  <si>
    <t>b20977682</t>
  </si>
  <si>
    <t>South-east: same pasture (four year old strawberry clover, phalaris and rye grass pasture on black plain country, Hundred Killanoola) topped with mower to faciltate grazing. (See also B 50029/7.).</t>
  </si>
  <si>
    <t>b20977694</t>
  </si>
  <si>
    <t>South-east: Glen Roy Forest Area - typical timber country before being pulled by cable. (See also B 50029/10-11.).</t>
  </si>
  <si>
    <t>Land use, Rural -- South Australia -- South East Region;Agriculture -- South Australia -- South East Region;Glen Roy Forest (S.A.)</t>
  </si>
  <si>
    <t>b20977700</t>
  </si>
  <si>
    <t>South-east: Glen Roy Forest Area - cabled area after a running burn and before dozing for second burn. (See also B 50029/9 &amp; 11.).</t>
  </si>
  <si>
    <t>b20977712</t>
  </si>
  <si>
    <t>South-east: Glen Roy Forest Area - established pasture second year after seeding. (See also B 50029/9-10.).</t>
  </si>
  <si>
    <t>b20977992</t>
  </si>
  <si>
    <t>South-east: Stock on dairy farm at Mingbool after allotment.</t>
  </si>
  <si>
    <t>Land use, Rural -- South Australia -- South East Region;Agriculture -- South Australia -- South East Region;Dairy cattle -- South Australia -- South East Region</t>
  </si>
  <si>
    <t>b20978005</t>
  </si>
  <si>
    <t>Photograph (b&amp;w print)  11.2 cm x 16.1 cm;C1</t>
  </si>
  <si>
    <t>South-east: typical soldier settler's house in Hundred of Binnum. A 1940 Ford 'sloper' sedan is parked nearby.</t>
  </si>
  <si>
    <t>Land use, Rural -- South Australia -- South East Region;Agriculture -- South Australia -- South East Region;Architecture, Domestic -- 20th century</t>
  </si>
  <si>
    <t>b20978017</t>
  </si>
  <si>
    <t>C1;Photograph (b&amp;w print)  11 cm x 16.3 cm</t>
  </si>
  <si>
    <t>South-east: settler's holding showing dwelling and outbuilding in the Hundred of Binnum.</t>
  </si>
  <si>
    <t>b20978029</t>
  </si>
  <si>
    <t>Photograph (b&amp;w print)  11 cm x 16.2 cm;C1</t>
  </si>
  <si>
    <t>South-east: standard 'Armco' type steel framed dairy shed.</t>
  </si>
  <si>
    <t>Land use, Rural -- South Australia -- South East Region;Agriculture -- South Australia -- South East Region;Architecture, Domestic -- 20th century;Farm buildings -- South Australia -- Binnum, Hundred of</t>
  </si>
  <si>
    <t>b20978030</t>
  </si>
  <si>
    <t>Photograph (b&amp;w print)  11 cm x 15.7 cm;C1</t>
  </si>
  <si>
    <t>South-east: standard utility type steel-framed 'Armco' shed.</t>
  </si>
  <si>
    <t>Land use, Rural -- South Australia -- South East Region;Agriculture -- South Australia -- South East Region;Architecture, Domestic -- 20th century;Farm buildings -- South Australia</t>
  </si>
  <si>
    <t>b20978042</t>
  </si>
  <si>
    <t>South-east: Eight Mile Creek Area - heavy tea tree cover prior to rolling. [See also B 50029/18 - B 50029/33.]</t>
  </si>
  <si>
    <t>Land use, Rural -- South Australia -- South East Region;Agriculture -- South Australia -- South East Region;Eight Mile Creek Area (S.A.)</t>
  </si>
  <si>
    <t>b20978054</t>
  </si>
  <si>
    <t>Photograph (b&amp;w print)  11.2 cm x 16 cm;C1</t>
  </si>
  <si>
    <t>South-east: Eight Mile Creek Area - dense tea tree cover from 6 feet to 12 feet high, prior to rolling. [See also B 50029/17 - B 50029/33.]</t>
  </si>
  <si>
    <t>b20978066</t>
  </si>
  <si>
    <t>South-east: Eight Mile Creek Area - typical of many ponds scattered over swamp necessitating the provision of drains. [See also B 50029/17 - B 50029/33.]</t>
  </si>
  <si>
    <t>Land use, Rural -- South Australia -- South East Region;Agriculture -- South Australia -- South East Region;Drainage -- South Australia -- South East Region;Eight Mile Creek Area (S.A.)</t>
  </si>
  <si>
    <t>b20978078</t>
  </si>
  <si>
    <t>South-east: Eight Mile Creek Area - rolling tea tree scrub on the peat areas prior to burning. [See also B 50029/17 - B 50029/33.]</t>
  </si>
  <si>
    <t>b2097808x</t>
  </si>
  <si>
    <t>South-east: Eight Mile Creek Area - a drain constructed through peat after clearing operations. [See also B 50029/17 - B 50029/33.]</t>
  </si>
  <si>
    <t>b20978091</t>
  </si>
  <si>
    <t>South-east: Eight Mile Creek Area - a branch drain in the peat swamp area, constructed prior to clearing operations. [See also B 50029/17 - B 50029/33.]</t>
  </si>
  <si>
    <t>b20978108</t>
  </si>
  <si>
    <t>South-east: Eight Mile Creek Area - a small drain excavated through the peat swamp area before agricultural operations could commence. [See also B 50029/17 - B 50029/33.]</t>
  </si>
  <si>
    <t>b2097811x</t>
  </si>
  <si>
    <t>South-east: Eight Mile Creek Area - the main Eight Mile Creek drain is approximately 1.5 miles long. [See also B 50029/17 - B 50029/33.]</t>
  </si>
  <si>
    <t>b20978121</t>
  </si>
  <si>
    <t>South-east: Eight Mile Creek Area - main bridge over Eight Mile Creek drain on the coastal road. [See also B 50029/17 - B 50029/33.]</t>
  </si>
  <si>
    <t>Land use, Rural -- South Australia -- South East Region;Agriculture -- South Australia -- South East Region;Bridges -- South Australia -- South East Region;Eight Mile Creek Area (S.A.)</t>
  </si>
  <si>
    <t>b20978133</t>
  </si>
  <si>
    <t>South-east: Eight Mile Creek Area - tractor with wide swamp tracks used on peat area. An old vehicle, possibly a 1927 Chevrolet buckboard, is in the background. [See also B 50029/17 - B 50029/33.]</t>
  </si>
  <si>
    <t>Land use, Rural -- South Australia -- South East Region;Agricultural machinery -- South Australia -- South East Region;Tractors -- South Australia -- South East Region;Eight Mile Creek Area (S.A.)</t>
  </si>
  <si>
    <t>b20978145</t>
  </si>
  <si>
    <t>South-east: Eight Mile Creek Area - caterpillar track devised for Majestic ploughs in place of wheels, for use on swamp. [See also B 50029/17 - B 50029/33.]</t>
  </si>
  <si>
    <t>Land use, Rural -- South Australia -- South East Region;Agricultural machinery -- South Australia -- South East Region;Plows -- South Australia -- South East Region;Eight Mile Creek Area (S.A.)</t>
  </si>
  <si>
    <t>b20978170</t>
  </si>
  <si>
    <t>South-east: Eight Mile Creek Area - Majestic plough equipped with a caterpillar track as shown in previous photograph. [See also B 50029/17 - B 50029/33.]</t>
  </si>
  <si>
    <t>b20978182</t>
  </si>
  <si>
    <t>South-east: Eight Mile Creek Area - Majestic plough in operation on peat swamp. [See also B 50029/17 - B 50029/33.]</t>
  </si>
  <si>
    <t>b20978194</t>
  </si>
  <si>
    <t>South-east: Eight Mile Creek Area - mass of tea tree roots on peat land after ploughing. [See also B 50029/17 - B 50029/33.]</t>
  </si>
  <si>
    <t>Land use, Rural -- South Australia -- South East Region;Agricultural machinery -- South Australia -- South East Region;Eight Mile Creek Area (S.A.)</t>
  </si>
  <si>
    <t>b20978248</t>
  </si>
  <si>
    <t>South-east: Eight Mile Creek Area - seeding down pastures on the peat area with pneumatic-tyred combine. [See also B 50029/17 - B 50029/33.]</t>
  </si>
  <si>
    <t>b20978261</t>
  </si>
  <si>
    <t>South-east: Eight Mile Creek Area - strawberry clover, white clover, cocksfoot and rye grass pasture established on the peat area. [See also B 50029/17 - B 50029/33.]</t>
  </si>
  <si>
    <t>Land use, Rural -- South Australia -- South East Region;Agriculture -- South Australia -- South East Region;Pastures -- South Australia -- South East Region;Eight Mile Creek Area (S.A.)</t>
  </si>
  <si>
    <t>b20978297</t>
  </si>
  <si>
    <t>b20978339</t>
  </si>
  <si>
    <t>Land development in South Australia: Eyre Peninsula</t>
  </si>
  <si>
    <t>Eyre Peninsula: Wanilla Area - logging light yacka and scrub prior to burning.</t>
  </si>
  <si>
    <t>Land use, Rural -- South Australia -- Eyre Peninsula;Agriculture -- South Australia -- Eyre Peninsula;Wanilla Area (S.A.)</t>
  </si>
  <si>
    <t>b20978364</t>
  </si>
  <si>
    <t>Eyre Peninsula: Wanilla Area - ploughing burnt country with two 8-furrow Majestic ploughs hauled by 90 h.p. tractor. Note yacka stumps dealt with by ploughs.</t>
  </si>
  <si>
    <t>Land use, Rural -- South Australia -- Eyre Peninsula;Agriculture -- South Australia -- Eyre Peninsula;Tractors -- South Australia -- Eyre Peninsula;Plows -- South Australia -- Eyre Peninsula;Wanilla Area (S.A.)</t>
  </si>
  <si>
    <t>b20978388</t>
  </si>
  <si>
    <t>Eyre Peninsula: Wanilla Area - ploughed and unploughed land showing mass of yacka and other material buried by the Majestic plough.</t>
  </si>
  <si>
    <t>b20978406</t>
  </si>
  <si>
    <t>Eyre Peninsula: Wanilla Area - first year pasture of Bacchus Marsh subterranean clover, phalaris and Wimmera rye grass.</t>
  </si>
  <si>
    <t>Land use, Rural -- South Australia -- Eyre Peninsula;Agriculture -- South Australia -- Eyre Peninsula;Pastures -- South Australia -- Eyre Peninsula;Wanilla Area (S.A.)</t>
  </si>
  <si>
    <t>b20978431</t>
  </si>
  <si>
    <t>Eyre Peninsula: Wanilla Area - first year pasture of Bacchus Marsh subterranean clover, phalaris and Wimmera rye grass. Two men are standing beside a 1938 Plymouth sedan.</t>
  </si>
  <si>
    <t>b20978480</t>
  </si>
  <si>
    <t>Land development in South Australia: Kangaroo Island</t>
  </si>
  <si>
    <t>Kangaroo Island: light type of natural scrub.</t>
  </si>
  <si>
    <t>Land use, Rural -- South Australia -- Kangaroo Island</t>
  </si>
  <si>
    <t>b20978510</t>
  </si>
  <si>
    <t>Kangaroo Island: old method of scrub rolling.</t>
  </si>
  <si>
    <t>Land use, Rural -- South Australia -- Kangaroo Island;Agricultural machinery -- South Australia -- Kangaroo Island</t>
  </si>
  <si>
    <t>b20978546</t>
  </si>
  <si>
    <t>Kangaroo Island: logging scrub by the present day method.</t>
  </si>
  <si>
    <t>b20978558</t>
  </si>
  <si>
    <t>Kangaroo Island: burnt scrub after logging, prior to sweeping sticks and stumps into heaps.</t>
  </si>
  <si>
    <t>b2097856x</t>
  </si>
  <si>
    <t>Kangaroo Island: showing sweeping attachment for collecting the unburnt material shown in previous photograph.</t>
  </si>
  <si>
    <t>b20978571</t>
  </si>
  <si>
    <t>Kangaroo Island: double hitch Majestic ploughs carrying out initial ploughing operation.</t>
  </si>
  <si>
    <t>Land use, Rural -- South Australia -- Kangaroo Island;Agricultural machinery -- South Australia -- Kangaroo Island;Plows -- South Australia -- Kangaroo Island</t>
  </si>
  <si>
    <t>b20978583</t>
  </si>
  <si>
    <t>Kangaroo Island: twin-disc ploughs on second ploughing operation.</t>
  </si>
  <si>
    <t>b20978595</t>
  </si>
  <si>
    <t>Kangaroo Island: a light leveller used prior to seeding.</t>
  </si>
  <si>
    <t>b20978601</t>
  </si>
  <si>
    <t>Kangaroo Island: rear view of leveller and chain shown in previous photograph.</t>
  </si>
  <si>
    <t>b20978613</t>
  </si>
  <si>
    <t>Kangaroo Island: land treated by leveller after ploughing, ready for seeding.</t>
  </si>
  <si>
    <t>b20978625</t>
  </si>
  <si>
    <t>Kangaroo Island: filling combines with fertiliser and seed.</t>
  </si>
  <si>
    <t>Land use, Rural -- South Australia -- Kangaroo Island;Agricultural machinery -- South Australia -- Kangaroo Island;Combines (Agricultural machinery)</t>
  </si>
  <si>
    <t>b20978637</t>
  </si>
  <si>
    <t>Kangaroo Island: loading fertiliser into hopper for aerial top-dressing.</t>
  </si>
  <si>
    <t>b20978649</t>
  </si>
  <si>
    <t>Kangaroo Island: hopper conveying fertiliser to plane.</t>
  </si>
  <si>
    <t>b20978662</t>
  </si>
  <si>
    <t>Kangaroo Island: hopper in position to place fertiliser into the plane.</t>
  </si>
  <si>
    <t>Land use, Rural -- South Australia -- Kangaroo Island;Agricultural machinery -- South Australia -- Kangaroo Island;Aerial topdressing -- South Australia -- Kangaroo Island</t>
  </si>
  <si>
    <t>b20978674</t>
  </si>
  <si>
    <t>Kangaroo Island: aerial top-dressing in operation.</t>
  </si>
  <si>
    <t>b20978698</t>
  </si>
  <si>
    <t>Kangaroo Island: front view of combination [Fordson] tractor seeder.</t>
  </si>
  <si>
    <t>Land use, Rural -- South Australia -- Kangaroo Island;Agricultural machinery -- South Australia -- Kangaroo Island;Tractors -- South Australia -- Kangaroo Island</t>
  </si>
  <si>
    <t>b20978728</t>
  </si>
  <si>
    <t>Kangaroo Island: side view of tractor seeder showing sprocket drive.</t>
  </si>
  <si>
    <t>b20978741</t>
  </si>
  <si>
    <t>Kangaroo Island: rear view of tractor seeder showing chains for the covering of seed. A Chevrolet sedan (ca.1948) can be partially seen in the background.</t>
  </si>
  <si>
    <t>b20978753</t>
  </si>
  <si>
    <t>Kangaroo Island: established subterranean clover, rye grass and Yorkshire fog grass pasture.</t>
  </si>
  <si>
    <t>Land use, Rural -- South Australia -- Kangaroo Island;Pastures -- South Australia -- Kangaroo Island</t>
  </si>
  <si>
    <t>b20978790</t>
  </si>
  <si>
    <t>Kangaroo Island: the same mixture of pasture (subterranean clover, rye grass and Yorkshire fog grass) as in previous photograph, showing the contrast between pasture and virgin scrub.</t>
  </si>
  <si>
    <t>b20978819</t>
  </si>
  <si>
    <t>Kangaroo Island: carryall scoop of 11.5 cubic yards capacity, used for dam excavation.</t>
  </si>
  <si>
    <t>Land use, Rural -- South Australia -- Kangaroo Island;Agricultural machinery -- South Australia -- Kangaroo Island;Dams -- South Australia -- Design and construction</t>
  </si>
  <si>
    <t>b20978832</t>
  </si>
  <si>
    <t>Kangaroo Island: a completed dam of 1,500 cubic yards capacity.</t>
  </si>
  <si>
    <t>Land use, Rural -- South Australia -- Kangaroo Island;Dams -- South Australia -- Design and construction</t>
  </si>
  <si>
    <t>b2097890x</t>
  </si>
  <si>
    <t>Land development in South Australia: Campbell Park</t>
  </si>
  <si>
    <t>Campbell Park: a typical sand drift blow hole before treatment. [See also B 50029/61 - B 50092/66.]</t>
  </si>
  <si>
    <t>Land use, Rural -- South Australia -- Campbell Park;Soil erosion -- South Australia Campbell Park</t>
  </si>
  <si>
    <t>b20978959</t>
  </si>
  <si>
    <t>Campbell Park: filling blow hole with outside drift sand by means of a [Caterpillar crawler] dozer. [See also B 50029/61 - B 50092/66.]</t>
  </si>
  <si>
    <t>Land use, Rural -- South Australia -- Campbell Park;Agricultural machinery -- South Australia -- Campbell Park;Soil erosion -- Prevention and control -- South Australia -- Campbell Park</t>
  </si>
  <si>
    <t>b20979009</t>
  </si>
  <si>
    <t>Campbell Park: leveling drift area with railway iron after dozing [Caterpillar tractor], preparatory to seeding. [See also B 50029/61 - B 50092/66.]</t>
  </si>
  <si>
    <t>Land use, Rural -- South Australia -- Campbell Park;Agricultural machinery -- South Australia -- Campbell Park</t>
  </si>
  <si>
    <t>b20979022</t>
  </si>
  <si>
    <t>Campbell Park: cereal growth on land where drift has been arrested. [See also B 50029/61 - B 50092/66.]</t>
  </si>
  <si>
    <t>Land use, Rural -- South Australia -- Campbell Park;Pastures -- South Australia -- Campbell Park</t>
  </si>
  <si>
    <t>b20979058</t>
  </si>
  <si>
    <t>Campbell Park: seeding with triple hitched combine [using Caterpillar tractor]. [See also B 50029/61 - B 50092/66.]</t>
  </si>
  <si>
    <t>Land use, Rural -- South Australia -- Campbell Park;Agriculture -- South Australia -- Campbell Park;Pastures -- South Australia -- Campbell Park;Combines (Agricultural machinery)</t>
  </si>
  <si>
    <t>b20979083</t>
  </si>
  <si>
    <t>Campbell Park: cover crop of oats, stubble and pasture. [See also B 50029/61 - B 50092/66.]</t>
  </si>
  <si>
    <t>Land use, Rural -- South Australia -- Campbell Park;Agriculture -- South Australia -- Campbell Park;Pastures -- South Australia -- Campbell Park</t>
  </si>
  <si>
    <t>b2112663x</t>
  </si>
  <si>
    <t>North Terrace, south side</t>
  </si>
  <si>
    <t>View taken on December 31st, 1953, of the Mothers' and Babies' building on North Terrace, with cars of the era parked in front. The building has a frontage of 12 yards, and is situated 51 yards east of Gawler Place.</t>
  </si>
  <si>
    <t>North Terrace (Adelaide, S.A.) -- Buildings, structures, etc.</t>
  </si>
  <si>
    <t>Acre 20 Collection</t>
  </si>
  <si>
    <t>b29212534</t>
  </si>
  <si>
    <t>Nurses and men</t>
  </si>
  <si>
    <t>[approximately 1953-1954]</t>
  </si>
  <si>
    <t>Photograph (black and white print)  8.5 cm x 6.1 cm;RESERVE 1 a;still image sti rdacontent;unmediated n rdamedia;sheet nb rdacarrier</t>
  </si>
  <si>
    <t>Three nurses at Millicent Hospital and two men, standing on the steps to a building. Natalie Wake, later married to Robert Bowman, on left.</t>
  </si>
  <si>
    <t>Wake, Natalie;Hospitals -- South Australia -- Millicent;Nurses -- South Australia -- Millicent;Millicent (S.A.)</t>
  </si>
  <si>
    <t>b30115759</t>
  </si>
  <si>
    <t>R.S.Baker</t>
  </si>
  <si>
    <t>1953 January 15</t>
  </si>
  <si>
    <t>Black and white photograph of a boat named the 'R.S.Baker', motoring through the Port River at Port Adelaide.</t>
  </si>
  <si>
    <t>R.S.Baker (Ship);Boats and boating -- South Australia -- Port Adelaide River</t>
  </si>
  <si>
    <t>b30109565</t>
  </si>
  <si>
    <t>R.S.Baker and Birkenhead Bridge</t>
  </si>
  <si>
    <t>1953 January 28</t>
  </si>
  <si>
    <t>Black and white photograph of a boat named the 'R.S.Baker', in the Port River at Port Adelaide, with the Birkenhead Bridge and other ships in the background.</t>
  </si>
  <si>
    <t>R.S.Baker (Ship);Boats and boating -- South Australia -- Port Adelaide River;Ships -- South Australia -- Port Adelaide -- History;Birkenhead Bridge (Port Adelaide, S.A.)</t>
  </si>
  <si>
    <t>b31421660</t>
  </si>
  <si>
    <t>Port Adelaide Caledonian Society band marching along St Vincent Street</t>
  </si>
  <si>
    <t>1953 June</t>
  </si>
  <si>
    <t>1 photograph : black and white   20.6 x 14.8 cm;RESERVE 1 a;still image sti rdacontent;unmediated n rdamedia;sheet nb rdacarrier</t>
  </si>
  <si>
    <t>Port Adelaide Caledonian Society band marching along St Vincent Street in front of a procession of vehicles. A large crowd is watching on the day of the Queen's coronation. Members of the band include Leading Drummer Billy Clelland, Drummer Aileen Lockyer, Piper Ken McColl, Pipe Major Bobby Horne, Piper John Duncanson, Pipe Corporal Tommy Clelland, Drummer John Hughes, Piper Jimmy Bourne, Piper Don Benger, Drum Major Tom Poulton, and Piper Jim Clinton (Jnr).</t>
  </si>
  <si>
    <t>b31421763</t>
  </si>
  <si>
    <t>Port Adelaide Caledonian Society band marching along Semaphore Rpad</t>
  </si>
  <si>
    <t>1 photograph : black &amp; white;still image sti rdacontent;computer c rdamedia;online resource cr rdacarrier;image file JPEG 197KB 957x687 rda</t>
  </si>
  <si>
    <t>Port Adelaide Caledonian Society band marching along Semaphore Road in front of a procession of vehicles. A large crowd is watching on the day of the Queen's coronation. Members of the band include Leading Drummer Billy Clelland, Drummer Aileen Lockyer, Piper Ken McColl, Pipe Major Bobby Horne, Piper John Duncanson, Pipe Corporal Tommy Clelland, Drummer John Hughes, Piper Jimmy Bourne, Piper Don Benger, Drum Major Tom Poulton, and Piper Jim Clinton (Jnr).</t>
  </si>
  <si>
    <t>b29212613</t>
  </si>
  <si>
    <t>Three nurses</t>
  </si>
  <si>
    <t>approximately 1953-1954</t>
  </si>
  <si>
    <t>Photograph (black and white print)  6.0 cm x 8.6 cm;RESERVE 1 a;still image sti rdacontent;unmediated n rdamedia;sheet nb rdacarrier</t>
  </si>
  <si>
    <t>Three nurses at the Millicent Hospital. A sign on the wall reads, 'Thyne Memorial Hospital'.</t>
  </si>
  <si>
    <t>b29212662</t>
  </si>
  <si>
    <t>Nurse</t>
  </si>
  <si>
    <t>Photograph (black and white print)  8.6 cm x 6.0 cm;RESERVE 1 a;still image sti rdacontent;unmediated n rdamedia;sheet nb rdacarrier</t>
  </si>
  <si>
    <t>A nurse at Millicent Hospital, in a field.</t>
  </si>
  <si>
    <t>b29212686</t>
  </si>
  <si>
    <t>Two nurses</t>
  </si>
  <si>
    <t>Photograph (black and white print)  8.3 cm x 5.9 cm;RESERVE 1 a;still image sti rdacontent;unmediated n rdamedia;sheet nb rdacarrier</t>
  </si>
  <si>
    <t>Two nurses at Millicent Hospital, in a field.</t>
  </si>
  <si>
    <t>b29212728</t>
  </si>
  <si>
    <t>Nurses Margaret Gard, Sister Lyons, &amp; Maureen Cole</t>
  </si>
  <si>
    <t>Photograph (black and white print)  8.5 cm x 6.0 cm;RESERVE 1 a;still image sti rdacontent;unmediated n rdamedia;sheet nb rdacarrier</t>
  </si>
  <si>
    <t>Margaret Gard, Sister Lyons, &amp; Maureen Cole, nurses at Millicent Hospital.</t>
  </si>
  <si>
    <t>b20204954</t>
  </si>
  <si>
    <t>St Jude's Boys Society</t>
  </si>
  <si>
    <t>Group of members of Church of England Boy's Society at St. Jude's.</t>
  </si>
  <si>
    <t>St. Jude's Church (Brighton, S.A.);Church of England Boys' Society (Australia);Children -- South Australia -- Brighton;Boys -- Societies and clubs -- South Australia -- Brighton</t>
  </si>
  <si>
    <t>b20205156</t>
  </si>
  <si>
    <t>Brompton Primary School</t>
  </si>
  <si>
    <t>Photograph (b&amp;w print)  12 cm x 16.5 cm;RESERVE 1</t>
  </si>
  <si>
    <t>Pupils at Brompton Primary School  Maurice Nietschke holding the blackboard.</t>
  </si>
  <si>
    <t>Nietschke, Maurice;Children -- South Australia -- Brompton;School children -- South Australia -- Brompton</t>
  </si>
  <si>
    <t>Brompton Collection</t>
  </si>
  <si>
    <t>b20247709</t>
  </si>
  <si>
    <t>Star Theatre</t>
  </si>
  <si>
    <t>Photograph (b&amp;w print)  16.4 cm x 21.9 cm;C1</t>
  </si>
  <si>
    <t>Exterior of the Star Theatre, Goodwood.</t>
  </si>
  <si>
    <t>Star Theatre (Goodwood, S.A.);Motion picture theaters -- South Australia -- Goodwood</t>
  </si>
  <si>
    <t>b20247710</t>
  </si>
  <si>
    <t>Piccadilly Theatre, North Adelaide</t>
  </si>
  <si>
    <t>Photograph (b&amp;w print);Missing from folder in C1 7/2008</t>
  </si>
  <si>
    <t>Interior of the Piccadilly Theatre, O'Connell Street, North Adelaide. The theatre opened in 1940.</t>
  </si>
  <si>
    <t>Piccadilly Theatre (North Adelaide, S.A.);Motion picture theaters -- South Australia -- North Adelaide;Interior architecture -- South Australia -- North Adelaide</t>
  </si>
  <si>
    <t>Acre 944 Collection</t>
  </si>
  <si>
    <t>b20299680</t>
  </si>
  <si>
    <t>Hubbard's shop and petrol bowser.</t>
  </si>
  <si>
    <t>b20307792</t>
  </si>
  <si>
    <t>Royal Visit, Morphettville</t>
  </si>
  <si>
    <t>Photograph  20.6 cm x 15.4 cm</t>
  </si>
  <si>
    <t>Queen Elizabeth II and the Duke of Edinburgh during a Royal Visit being escorted down the straight of the Race Course by the Police Greys.</t>
  </si>
  <si>
    <t>Elizabeth II, Queen of Great Britain, 1926-;Philip, Prince, consort of Elizabeth II, Queen of Great Britain, 1921-;Mounted police -- South Australia -- Morphettville;Royal visitors -- South Australia -- Morphettville;Visits of state -- South Australia -- Morphettville</t>
  </si>
  <si>
    <t>Morphettville Collection</t>
  </si>
  <si>
    <t>b20315107</t>
  </si>
  <si>
    <t>Ansett Airway's Office</t>
  </si>
  <si>
    <t>Ansett Airway's Office at Mount Gambier.</t>
  </si>
  <si>
    <t>Ansett Airlines of Australia;Airlines -- South Australia -- Mount Gambier</t>
  </si>
  <si>
    <t>b20315119</t>
  </si>
  <si>
    <t>Fowler's Electrical Shop</t>
  </si>
  <si>
    <t>Fowler's Electrical Shop at Mount Gambier.</t>
  </si>
  <si>
    <t>b20315120</t>
  </si>
  <si>
    <t>Sunshine Motors. Mt.Gambier</t>
  </si>
  <si>
    <t>Sunshine Motors at Mount Gambier.</t>
  </si>
  <si>
    <t>Sunshine Motors (Firm);Service stations -- South Australia -- Mount Gambier</t>
  </si>
  <si>
    <t>b20315132</t>
  </si>
  <si>
    <t>Hopgood's Garage at Mount Gambier.</t>
  </si>
  <si>
    <t>Service stations -- South Australia -- Mount Gambier</t>
  </si>
  <si>
    <t>b20315144</t>
  </si>
  <si>
    <t>Jeffrey and Co., Mt.Gambier</t>
  </si>
  <si>
    <t>Jeffrey and Co. and the Trocadero cafe at Mount Gambier.</t>
  </si>
  <si>
    <t>Trocadero Cafe (Mount Gambier, S.A.);Stores, Retail -- South Australia -- Mount Gambier;Restaurants -- South Australia -- Mount Gambier</t>
  </si>
  <si>
    <t>b20315156</t>
  </si>
  <si>
    <t>Commercial Street East, Mount</t>
  </si>
  <si>
    <t>Commercial Street East, Mount Gambier.</t>
  </si>
  <si>
    <t>b20315168</t>
  </si>
  <si>
    <t>Commercial Street East</t>
  </si>
  <si>
    <t>Commercial Street East, Mount Gambier  shows decorations being put up for the Queen's visit.</t>
  </si>
  <si>
    <t>b2031517x</t>
  </si>
  <si>
    <t>b20315181</t>
  </si>
  <si>
    <t>Commercial Street East, Mount Gambier featuring "Sunshine Motors".</t>
  </si>
  <si>
    <t>b2031582x</t>
  </si>
  <si>
    <t>Foundation Stone Ceremony</t>
  </si>
  <si>
    <t>Laying of the foundation stone for Booandik Lodge, Mount Gambier. Mr. A.F. Sutton and Dr.H.R. Hawkins.</t>
  </si>
  <si>
    <t>Sutton, Anthony Francis, -1960;Booandik Lodge (Mount Gambier, S.A.);Cornerstone laying -- South Australia -- Mount Gambier</t>
  </si>
  <si>
    <t>b20317384</t>
  </si>
  <si>
    <t>Flag Decorations</t>
  </si>
  <si>
    <t>Building flag decorations for Queen Elizabeth's visit to Mount Gambier in 1954.</t>
  </si>
  <si>
    <t>b20317396</t>
  </si>
  <si>
    <t>South Australian Hotel</t>
  </si>
  <si>
    <t>South Australian Hotel decorations for Queen Elizabeth's visit to Mount Gambier in 1954.</t>
  </si>
  <si>
    <t>South Australian Hotel (Mount Gambier, S.A.);Visits of state -- South Australia -- Mount Gambier</t>
  </si>
  <si>
    <t>b20317621</t>
  </si>
  <si>
    <t>National Bank, Mount Gambier</t>
  </si>
  <si>
    <t>The National Bank decorated for the Queen's visit in 1954.</t>
  </si>
  <si>
    <t>National Bank of Australasia -- Buildings;Banks and banking -- South Australia -- Mount Gambier</t>
  </si>
  <si>
    <t>b20317876</t>
  </si>
  <si>
    <t>Mount Gambier Hotel decorated with bunting for the Queen's visit in 1954.</t>
  </si>
  <si>
    <t>b20317931</t>
  </si>
  <si>
    <t>Commercial Hotel</t>
  </si>
  <si>
    <t>Commercial Hotel, Mount Gambier decorated for the Queen's visit.</t>
  </si>
  <si>
    <t>Commercial Hotel (Mount Gambier, S.A.);Hotels -- South Australia -- Mount Gambier</t>
  </si>
  <si>
    <t>b20317992</t>
  </si>
  <si>
    <t>South Australian Hotel, during Queen's visit to Mount Gambier.</t>
  </si>
  <si>
    <t>b20320024</t>
  </si>
  <si>
    <t>Memorial plaque, Mount Gambier</t>
  </si>
  <si>
    <t>Memorial plaque at Mount Gambier where Queen Elizabeth II first stepped on South Australian soil.</t>
  </si>
  <si>
    <t>b20366292</t>
  </si>
  <si>
    <t>Opening of Meals on Wheels kitchen, Port Adelaide  those present include the Mayor and Don Dunstan.</t>
  </si>
  <si>
    <t>Dunstan, Don, 1926-1999;Meals on Wheels Inc. (S.A.);Meals on wheels programs -- South Australia -- Port Adelaide</t>
  </si>
  <si>
    <t>b2037138x</t>
  </si>
  <si>
    <t>First railway coach at Port Elliot</t>
  </si>
  <si>
    <t>The first railway coach at Port Elliot: Mr. Charles William Hussey Basham sitting on the front seat.</t>
  </si>
  <si>
    <t>Basham, Charles William Hussey;Railroads -- South Australia -- Port Elliot -- Passenger-cars -- Firsts</t>
  </si>
  <si>
    <t>b20409539</t>
  </si>
  <si>
    <t>Church of the Sacred Heart</t>
  </si>
  <si>
    <t>Church of the Sacred Heart on Military Road, Semaphore.</t>
  </si>
  <si>
    <t>Church of the Sacred Heart (Semaphore, S.A.);Church architecture -- South Australia -- Semaphore</t>
  </si>
  <si>
    <t>b20414055</t>
  </si>
  <si>
    <t>Gypsum train</t>
  </si>
  <si>
    <t>Photograph  20.9 cm x 14 cm</t>
  </si>
  <si>
    <t>Gypsum train.</t>
  </si>
  <si>
    <t>Stenhouse Bay Collection</t>
  </si>
  <si>
    <t>b20419144</t>
  </si>
  <si>
    <t>Swan Reach</t>
  </si>
  <si>
    <t>View of the Murray River from Swan Reach.</t>
  </si>
  <si>
    <t>b20419156</t>
  </si>
  <si>
    <t>Swan Reach.</t>
  </si>
  <si>
    <t>b20419168</t>
  </si>
  <si>
    <t>b2041917x</t>
  </si>
  <si>
    <t>b20419181</t>
  </si>
  <si>
    <t>b20419193</t>
  </si>
  <si>
    <t>b2041920x</t>
  </si>
  <si>
    <t>b20419284</t>
  </si>
  <si>
    <t>The country Women's Association Hall, Swan Reach.</t>
  </si>
  <si>
    <t>b20419296</t>
  </si>
  <si>
    <t>Prosser's serv-well store</t>
  </si>
  <si>
    <t>Prosser's serv-well store, Swan Reach.</t>
  </si>
  <si>
    <t>b20419314</t>
  </si>
  <si>
    <t>Swan Reach Area school</t>
  </si>
  <si>
    <t>Swan Reach Area school.</t>
  </si>
  <si>
    <t>Schools -- South Australia -- Swan Reach</t>
  </si>
  <si>
    <t>b20419326</t>
  </si>
  <si>
    <t>Swan Reach Area School</t>
  </si>
  <si>
    <t>The Swan Reach Area School.</t>
  </si>
  <si>
    <t>b20419338</t>
  </si>
  <si>
    <t>Swan Reach Area school pupils.</t>
  </si>
  <si>
    <t>Children -- South Australia -- Swan Reach;School children -- South Australia -- Swan Reach</t>
  </si>
  <si>
    <t>b2041934x</t>
  </si>
  <si>
    <t>School children -- South Australia -- Swan Reach;Children -- South Australia -- Swan Reach</t>
  </si>
  <si>
    <t>b20419351</t>
  </si>
  <si>
    <t>Swan Reach Area School pupils.</t>
  </si>
  <si>
    <t>b20427967</t>
  </si>
  <si>
    <t>Queen Elizabeth II</t>
  </si>
  <si>
    <t>Queen Elizabeth II and Sir Baden Pattinson reviewing members of the Thebarton Primary school band.</t>
  </si>
  <si>
    <t>Elizabeth II, Queen of Great Britain, 1926-;Pattinson, Baden, Sir, 1899-1978;Royal visitors -- South Australia -- Thebarton;Bands (Music) -- South Australia -- Thebarton;Visits of state -- South Australia -- Thebarton</t>
  </si>
  <si>
    <t>b20427979</t>
  </si>
  <si>
    <t>Queen Elizabeth II and the Hon. Baden Pattinson, Minister of Education, reviewing members of the Thebarton Primary school band.</t>
  </si>
  <si>
    <t>Elizabeth II, Queen of Great Britain, 1926-;Pattinson, Baden, Sir, 1899-1978;Bands (Music) -- South Australia -- Thebarton;Visits of state -- South Australia -- Thebarton</t>
  </si>
  <si>
    <t>b20456372</t>
  </si>
  <si>
    <t>The Weetulta Hall</t>
  </si>
  <si>
    <t>Photograph  21.6 cm x 12.9 cm</t>
  </si>
  <si>
    <t>The Weetulta Hall.</t>
  </si>
  <si>
    <t>Halls -- South Australia -- Weetulta;Weetulta (S.A.) -- Buildings, structures, etc.</t>
  </si>
  <si>
    <t>Weetulta Collection</t>
  </si>
  <si>
    <t>b20507823</t>
  </si>
  <si>
    <t>Book Stall and newspaper stand at the Adelaide Railway Station in 1954</t>
  </si>
  <si>
    <t>b20516575</t>
  </si>
  <si>
    <t>Queen Elizabeth II, during her visit to Adelaide.</t>
  </si>
  <si>
    <t>Elizabeth II, Queen of Great Britain, 1926-;Visits of state -- South Australia -- Adelaide</t>
  </si>
  <si>
    <t>b20525047</t>
  </si>
  <si>
    <t>Regiment Pipe Band</t>
  </si>
  <si>
    <t>Photograph  20.6 cm x 14.5 cm</t>
  </si>
  <si>
    <t>University of Adelaide Regiment Pipe Band.</t>
  </si>
  <si>
    <t>Australia. Army. Citizen Military Forces. Adelaide University Regiment;Pipe bands -- South Australia -- Adelaide</t>
  </si>
  <si>
    <t>b20526210</t>
  </si>
  <si>
    <t>Mount Compass Football Club</t>
  </si>
  <si>
    <t>Mount Compass football club.</t>
  </si>
  <si>
    <t>Australian football players -- South Australia -- Mount Compass</t>
  </si>
  <si>
    <t>b20533275</t>
  </si>
  <si>
    <t>Class 900 Locomotive</t>
  </si>
  <si>
    <t>Photograph (b&amp;w print)  15 cm x 19.8 cm;C1</t>
  </si>
  <si>
    <t>Class 900 diesel electric locomotive, S.A.R.</t>
  </si>
  <si>
    <t>b20544698</t>
  </si>
  <si>
    <t>Newmarket Hotel</t>
  </si>
  <si>
    <t>Newmarket Hotel, corner of North and West Terraces.</t>
  </si>
  <si>
    <t>Newmarket Hotel (Adelaide, S.A.);Hotels -- South Australia -- Adelaide</t>
  </si>
  <si>
    <t>Acre 1 Collection</t>
  </si>
  <si>
    <t>b20544704</t>
  </si>
  <si>
    <t>b20546129</t>
  </si>
  <si>
    <t>Newspaper House, North Terrace</t>
  </si>
  <si>
    <t>Newspaper House on the corner of North Tce and Victoria Street, 1 March 1954. Left side of white building abuts West side of Victoria St. Frontage of white building (including narrow unpainted section on right), is 33 1/2 yards. The top floor of Newspaper House was extended to the rear, c.1926/27 ground floor windows were altered in 1952. See B 2746, B 4890</t>
  </si>
  <si>
    <t>Acre 12 Collection</t>
  </si>
  <si>
    <t>b20549131</t>
  </si>
  <si>
    <t>Austin Street, south side, 22 February 1954. Right side of centre 3 storey building is 18 yards east  of east side of Austin Street. Frontage of centre 3 storey building  is 9 yards. Compare with view B 3961 taken in 1927. Joe Dixon clothing manufacturer is located on the 2nd floor of the Randalads building</t>
  </si>
  <si>
    <t>b20549143</t>
  </si>
  <si>
    <t>North Terrace east, 8 February 1954. Right side of Watson House is 10 yards east of Austin Street. Frontage of Watson House is 18 yards. This building was remodelled from an older structure in 1947. For views of building prior to alterations see B 1805 and B 4381</t>
  </si>
  <si>
    <t>b20549416</t>
  </si>
  <si>
    <t>Austin Street, south side, February 22nd 1954, frontage of building is 12 yards. Right side of centre brick building is 28 yards east of the eastern side of Austin Street. Centre. Brick building was erected during 1942-43. For views of portions of building which previously occupied this site see right side of B 6776 and left side of B 3961</t>
  </si>
  <si>
    <t>b2055011x</t>
  </si>
  <si>
    <t>[General description] Part of the foundations for the Reverend Paul Joseph's proposed City Temple, commenced in 1916, can be seen behind the tall fence surrounding the site. Due to failure of the project the site was left derelict for many years and was purchased by the Christian Scientists in 1939. It was not until 1954 that they were able to raise the funds to build a new, less expensive church on the site. [On back of photograph] 'Acre 27 / North Terrace east / on the west corner of Tavistock Street and North Terrace / December 16th, 1954 /  View shows site and portion of brickwork of a proposed church which was to be known as the City Temple / The building was commenced in 1916 but did not progress further than shown in this photograph / See Arch. Newspaper cuttings, Vol 2, p. 275 / The site has a frontage of 27 1/2 yards on North Terrace and 30 yards on Tavistock Street'</t>
  </si>
  <si>
    <t>Acre 27 Collection</t>
  </si>
  <si>
    <t>b20550467</t>
  </si>
  <si>
    <t>North Terrace east, formerly the home of Sir Henry Ayers. Photograph taken March 1, 1954. Flags are flying along North Terrace in honour of the Royal Visit. Sir Henry Ayres was the 8th Premier of South Australia serving a record time of five times between 1863 and 1873</t>
  </si>
  <si>
    <t>Acre 30 Collection</t>
  </si>
  <si>
    <t>b2055185x</t>
  </si>
  <si>
    <t>[General description] Cravens Department Store, one of Adelaide's many such stores at this time. It was demolished in the early 1970s to make way for  the Centrepoint shopping centre. The Rundle Street frontage is on the right. Note the tram wires overhead. See B 13085 for a different view [On back of photograph] 'Rundle Street, north side / October 18th, 1954 / Left side of Cravens abuts east side of Pulteney Street / Frontage of Cravens is 48 yards'</t>
  </si>
  <si>
    <t>Department stores -- South Australia -- Adelaide</t>
  </si>
  <si>
    <t>Acre 38 Collection</t>
  </si>
  <si>
    <t>b20551861</t>
  </si>
  <si>
    <t>Pulteney Street, Adelaide</t>
  </si>
  <si>
    <t>[General description] Cravens Department Store, Pulteney Street frontage with parked cars and tram pole and wires. See B 13084 for a different view. Cravens was established in 1886 on another site, this is their new building. It will be demolished in the early 1970s to make way for the Centrepoint shopping centre [On back of photograph] 'Acre 38 / Pulteney Street, east side / October 18th, 1954 / Frontage of building is 53 yards'</t>
  </si>
  <si>
    <t>b2055736x</t>
  </si>
  <si>
    <t>Hindley Street, north side, 12 April 1954. Right side of James Smith is 14-1/2 yards from Bank Street, frontage is 15-1/2 yards. Cantilever verandah and show windows were installed after January 1,1954. For a view of building after remodelling see B 14197</t>
  </si>
  <si>
    <t>b20558284</t>
  </si>
  <si>
    <t>Hindley Street, Adelaide</t>
  </si>
  <si>
    <t>[General description] Parked cars, John Lane's Hindley Street Motors and Wald's Overway Hotel on the corner of Morphett and Hindley Streets [On back of photograph] 'Acre 54 / Hindley Street, north side / 29 March, 1954 / Left side of Hindley Street Motors lot is 15 1/4 yards east of Morphett Street and frontage is 16 3/4 yards'</t>
  </si>
  <si>
    <t>Overway Hotel (Adelaide, S.A.)</t>
  </si>
  <si>
    <t>Acre 54 Collection</t>
  </si>
  <si>
    <t>b2055851x</t>
  </si>
  <si>
    <t>Castle Inn, Hindley Street</t>
  </si>
  <si>
    <t>Hindley Street, north side, 1 March 1954, frontage of the Castle Inn is 23 yards and Morphett Street frontage is 12 yards. The Castle Inn is situated on the north west corner of Hindley Street and Morphett Street. The Castle Inn was remodelled from an existing building. The alterations were completed in 1953. For a view of building prior to alterations see B 7385. The building to the north of Castle Inn holds the business of D &amp; J Fowler, grocers and later to become Fowlers' Lion Factory. The eastern portion of this building was demolished in 1966 during the widening of Morphett Street and the building of new twin bridges across North Terrace and the River Torrens</t>
  </si>
  <si>
    <t>Acre 55 Collection</t>
  </si>
  <si>
    <t>b20558752</t>
  </si>
  <si>
    <t>Hindley Street, north side, 12 April 1954, frontage of the building is 15 1/4 yards. Right side of building abuts west side of Fenn Place. For a view of this building prior to alterations completed in 1953 see B 10558</t>
  </si>
  <si>
    <t>Acre 57 Collection</t>
  </si>
  <si>
    <t>b2055946x</t>
  </si>
  <si>
    <t>[General description] The West End Brewery showing new white building in centre. Utility poles and wires line the street [On back of photograph] 'Acres 66 and 67 / Hindley Street, south side, March 8, 1954 / Right side of the white centre building is 77 1/2 yards east of Gray Street / Frontage of building is 45 yards / This building was largely completed in 1954'</t>
  </si>
  <si>
    <t>Acre 66 Collection</t>
  </si>
  <si>
    <t>b2056028x</t>
  </si>
  <si>
    <t>[General description] Buildings in Hindley Street, decorated with bunting for the Queen's visit on March 18th. Mac's Products and W.A. Flick, pest control specialists are businesses seen here [On back of photograph] 'Acre 74 / Hindley Street, south side / March 15th 1954 / Right side of centre building is 31.5 yards east of Rosina Street / Frontage is 5.5 yards / Compare with extreme right of B 9806 taken in 1940'</t>
  </si>
  <si>
    <t>Acre 74 Collection</t>
  </si>
  <si>
    <t>b20560485</t>
  </si>
  <si>
    <t>Hindley Street, south side, March 29th 1954, left side of Clutterbucks building is 29 3/4 yards west of Leigh Street and frontage is 14.5 yards. Clutterbuck Brothers machinery implements</t>
  </si>
  <si>
    <t>Acre 75 Collection</t>
  </si>
  <si>
    <t>b20560497</t>
  </si>
  <si>
    <t>Hindley Street, south side, July 26th 1954, right side of Newday Furniture Company building is 7 yards east of Club House Lane and frontage is 6 yards. Shop front and cantilever verandah were added in 1938. compare with B 2707. For a view in 1957 see B 13982</t>
  </si>
  <si>
    <t>b20565963</t>
  </si>
  <si>
    <t>Gay's Arcade</t>
  </si>
  <si>
    <t>Photograph  14.5 cm x 8.5 cm;RESERVE 4 [glass plate negative]</t>
  </si>
  <si>
    <t>Gay's Arcade, northern side October 19, 1954. Gay's Arcade opens off the east side of the Adelaide Arcade and continues through to Twin Street. The entrance to Gay's Arcade is 66 yards north of Grenfell Street. For a view of southern side of Gay's Arcade see B 13364</t>
  </si>
  <si>
    <t>b20567789</t>
  </si>
  <si>
    <t>Bent Street, east side, and corner of South side of Rundle Street January 25th 1954. Left side of Flavels building on Bent Street abuts Rundle Street. Frontage of 2 storey portion of Flavels is 33 yards. This Bent Street frontage was remodelled in 1946. For a view of building prior to remodelling see B 5537</t>
  </si>
  <si>
    <t>b20569403</t>
  </si>
  <si>
    <t>Interior of Gay's Arcade, south side: October 19, 1954. For a view of the northern side of Gay's Arcade with details of the site see B 13363</t>
  </si>
  <si>
    <t>Acre 103 Collection</t>
  </si>
  <si>
    <t>b20570648</t>
  </si>
  <si>
    <t>James Place</t>
  </si>
  <si>
    <t>James Place, east side, March 5, 1954. Left side of Rigby's building is 71 yards south of Rundle Street, frontage of Rigby's - 7-1/2 yards. Rigby's shop front was constructed in 1947. Formerly the building was a storehouse</t>
  </si>
  <si>
    <t>Acre 107 Collection</t>
  </si>
  <si>
    <t>b20571240</t>
  </si>
  <si>
    <t>King William Street, east side, March 29th 1954, right side of Central Provision Stores (last white post on right) is 21.5 yards north of Grenfell Street. Frontage of Central Provision Stores verandah is 8 yards. Frontage of Central Provision Stores shop front is 6.5 yards</t>
  </si>
  <si>
    <t>Acre 108 Collection</t>
  </si>
  <si>
    <t>b20571252</t>
  </si>
  <si>
    <t>King William Street, east side, 1st March 1954, right side of Commercial Banking Co's building is 41 yards north of Grenfell Street.  Frontage is 12.5 yards. This building was rebuilt out of the Covent Garden Cafe which was burnt out in 1948. The rebuilding was completed in 1954. Compare with B 6307</t>
  </si>
  <si>
    <t>b20572475</t>
  </si>
  <si>
    <t>Peel Street, Adelaide</t>
  </si>
  <si>
    <t>[General description] A row of city buildings in Peel Street. [On back of photograph] 'Acre 100 / Peel Street, east side / July 26th 1954 / Right side of building between crosses is 52 yards north of Currie Street / Frontage of building is 20 yards'</t>
  </si>
  <si>
    <t>Acre 110 Collection</t>
  </si>
  <si>
    <t>b20572487</t>
  </si>
  <si>
    <t>[General description] Demolition work under way in Peel Street. [On back of photograph] 'Acre 110 / Off the east side of Peel Street / 26th July 1954 / From corner of Currie Street to northern side of archway is 38 yards / Removal of structure is in progress.' There is a pencil drawing of the location included.</t>
  </si>
  <si>
    <t>b20572955</t>
  </si>
  <si>
    <t>Burnett Street</t>
  </si>
  <si>
    <t>Burnett Street, east side, April 12th 1954, frontage of building is 22.5 yards. Left corner of cement building abuts Solomon Street. For Solomon Street frontage see B 12982. No earlier view of this site is available. According to a spokesman for Power Plant Limited a galvanised iron structure occupied the site. this building was completed in 1952</t>
  </si>
  <si>
    <t>Acre 113 Collection</t>
  </si>
  <si>
    <t>b20572967</t>
  </si>
  <si>
    <t>Solomon Street</t>
  </si>
  <si>
    <t>Solomon Street, south side, April 12th 1954, frontage of building is 33.5 yards. Right corner of white building abuts east side of Burnett Street.  See B 12981</t>
  </si>
  <si>
    <t>b20574289</t>
  </si>
  <si>
    <t>Photograph (b&amp;w print)  28.3 cm x 34.8 cm;RESERVE 1 b</t>
  </si>
  <si>
    <t>Bank of Adelaide, King William Street.</t>
  </si>
  <si>
    <t>b20574393</t>
  </si>
  <si>
    <t>Gray Street, Adelaide</t>
  </si>
  <si>
    <t>[General description] This little old cottage has a well cared for garden behind its wrought iron fence. It is soon to be demolished and replaced with the building seen in B 13693. [On back of photograph] 'Acre 127 / Gray Street, west side / December 30th 1954 / Right side of cottage is 32 1/4 yards south of Currie Street and frontage is 5 yards'</t>
  </si>
  <si>
    <t>Acre 127 Collection</t>
  </si>
  <si>
    <t>b20574538</t>
  </si>
  <si>
    <t>Currie Street, south side, February 22nd 1954, frontage of lot is 35 yards. Left side of wire fenced lot is shown in B 12950 and is 64 yards west of Elizabeth Street. The area contains the Post Master General workshop. for a view of this site in 1942 see B 6773. For part 2 of this photograph see B 12950</t>
  </si>
  <si>
    <t>Acre 129 Collection</t>
  </si>
  <si>
    <t>b2057454x</t>
  </si>
  <si>
    <t>Currie Street, south side, February 22nd 1954, frontage of lot is 35 yards. The area contains the Post Master General workshop. for a view of this site in 1942 see B 6773. For part 2 of this photograph see B 12950.</t>
  </si>
  <si>
    <t>b20574599</t>
  </si>
  <si>
    <t>Currie Street, south side, 22 February 1954, frontage of building on the left is 10 1/4 yards. Left side of gabled stone building abuts Elizabeth Street, west side. This central structure was erected c.1953. A sign on the front of Number 177 Currie Street says " T O'Connor Limited - heating and ventilation engineers". The companys ute is parked outside</t>
  </si>
  <si>
    <t>Acre 130 Collection</t>
  </si>
  <si>
    <t>b20574605</t>
  </si>
  <si>
    <t>Elizabeth Street</t>
  </si>
  <si>
    <t>Elizabeth Street, west side, 8 March 1954, right side of Griffs Bulk Store and Dispatch building is 48 yards south of Currie Street and frontage is 9 yards.</t>
  </si>
  <si>
    <t>b20574617</t>
  </si>
  <si>
    <t>Elizabeth Street, west side, 8 March 1954, right side of Motor Engineers'  building is 59.5 yards south of Currie Street and frontage is 10.5 yards. Left side of Motor Engineers' building is on the southern boundary of Acre 130. This building was completed in November 1953. The site was formerly vacant although a building did stand there at one time</t>
  </si>
  <si>
    <t>b20574629</t>
  </si>
  <si>
    <t>Currie Street, south side, 8 February 1954, left side of Pelham House is 18 3/4 yards west of Elizabeth Street and frontage is 6.5 yards. Frontageof complete building is 18.5 yards. The section called "Pelham House" was completed by December 1952. See also B 13366 taken in 1954 and B 12948 taken in February 22, 1954. The front of this building was completely remodelled in 1955. See B 13591</t>
  </si>
  <si>
    <t>b20574630</t>
  </si>
  <si>
    <t>Currie Street, south side, 5 October 1954, left side of Pelham house is 18 3/4 yards and frontage is 18.5 yards. Verandah removed shortly before this photograph was taken (see B 13365) Modern front was added to remainder of building in 1955. Remodelling  was completed in 1955 See B 13591</t>
  </si>
  <si>
    <t>b20574745</t>
  </si>
  <si>
    <t>Currie Street, south side, January 18th 1954, left side of car lot is 52 3/4 yards west of Light Square and frontage is 29.5 yards. For a view of this structure on this site in 1927 see the extreme right of B 3953</t>
  </si>
  <si>
    <t>b20574885</t>
  </si>
  <si>
    <t>Light Square</t>
  </si>
  <si>
    <t>Light Square, east side, photographed January 18, 1954. Right side of Champions building abuts north of Gilles Arcade. Frontage of Champions building is 29 yards. For a view of this building after additions were made in 1954 see B 13058</t>
  </si>
  <si>
    <t>b20574897</t>
  </si>
  <si>
    <t>[General description] This is Champion's &amp; Light Motors Volkswagen Showroom, which was at 58 Light Square, Adelaide. Parked cars are seen at the kerb in front of the building [On back of photograph] 'Acre 54 / Light Square, east side / October 5th 1954 / Right side of Light Motor's showroom abuts north side of Gilles Arcade / Frontage of showrom is 12 yards / Portion of building on tight with striped awning was built in 1954 / Compare with B 12918'</t>
  </si>
  <si>
    <t>b20575051</t>
  </si>
  <si>
    <t>Currie Street, Adelaide</t>
  </si>
  <si>
    <t>[General description] City buildings, the central one is of three stories and has been the premises of Sellers Ltd. Cars are parked in front. [On back of photograph] 'Acre 136 / Currie Street, south side / December 16th 1954 / Right side of Sellers building is 25.5 yards east of Bloor Court and frontage is 8.5 yards'.</t>
  </si>
  <si>
    <t>Acre 136 Collection</t>
  </si>
  <si>
    <t>b20575233</t>
  </si>
  <si>
    <t>Currie Street, south side, February 22nd 1954, frontage of centre building is 30 yards. Right side of centre building (Currie Chambers) abuts east side of Topham Street. Compare with B 11106 taken in 1948</t>
  </si>
  <si>
    <t>b20575245</t>
  </si>
  <si>
    <t>Currie Street, south side, February 22nd 1954, frontage of Colton's building is 31 yards. Left side of Colton's building abuts west side of Topham Street. Sign on front of building says Colton, Palmer and Preston Limited and was a wholesale ironmonger and hardware business</t>
  </si>
  <si>
    <t>b20576675</t>
  </si>
  <si>
    <t>[General description] Astor Hotel at 95 Gawler Place, a two storey building with verandah and parked cars in front. From 1849 - 1913 it was known variously as the Young Queen Inn, Arms or Hotel. Renamed the Commercial in 1913, then the Astor from 1951 onwards. Licensees at time of photograph are Edgar WIlliam and Myra Eleanor Neil. [On back of photograph] 'Acre 143 / Gawler Place, west side / December 30th 1954 / Left side of Astor Hotel is 24 yards north of McHenry Street and frontage is 16.5 yards / Photographed for record only / Formerly the Commercial Hotel, Cadastral Plan shows it as the Young Queen'</t>
  </si>
  <si>
    <t>Astor Hotel (Adelaide, S.A.);Hotels -- South Australia -- Adelaide;Gawler Place (Adelaide, S.A.)</t>
  </si>
  <si>
    <t>Acre 143 Collection</t>
  </si>
  <si>
    <t>b20576997</t>
  </si>
  <si>
    <t>Grenfell Street, south side, 29 March 1954, left side of Sanders building is 24 yards west of Chesser Street and frontage is 8 yards. Frontage of Noble's building is 10 yards. Noble and Sons' building was demolished October, 1954. For a view of building subsequently on this site see B 14000</t>
  </si>
  <si>
    <t>b20578830</t>
  </si>
  <si>
    <t>Hindmarsh Square, east side, May 3rd 1954, right side of Truscotts building is 17 yards. Right side of Truscott's building is 53 yards north of Pirie Street. A little of the building occupying this site in 1911 can be seen in B 2149. Truscott Limited auto and industrial supplies and parts</t>
  </si>
  <si>
    <t>b2057924x</t>
  </si>
  <si>
    <t>Wyatt Street, Adelaide</t>
  </si>
  <si>
    <t>[General description] This is a new warehouse for the grocery firm Wilkinson &amp; Co. Ltd. [On back of photograph] 'Acre 165 / Wyatt Street, west side / March 15th 1954 / Left side of Wilkinson's building is 33 yards north of Pirie Street / Frontage 16 yards / Wilkinson's building was completed in 1952 / For view showing galvanised iron structure formerly on the site, see extreme right of B 85 / Note: This building continues through to Chesser Street (see B 13040)'</t>
  </si>
  <si>
    <t>Acre 165 Collection</t>
  </si>
  <si>
    <t>b20579354</t>
  </si>
  <si>
    <t>Chesser Street</t>
  </si>
  <si>
    <t>Chesser Street, east side, March 15th 1954. Right side of white cement building is 45 yards north of Pirie Street. Frontage of building is 12.75 yards. This building was completed in 1952. For view of galvanised iron building formerly on this site see B 5741. Note: this building continues through to Wyatt Street (see B 13094)</t>
  </si>
  <si>
    <t>Acre 166 Collection</t>
  </si>
  <si>
    <t>b20579652</t>
  </si>
  <si>
    <t>Gawler Place, east side, March 15th 1954, right side of centre dark building is 18.5 yards north of Pirie Street and frontage is 11.5 yards.</t>
  </si>
  <si>
    <t>b20580277</t>
  </si>
  <si>
    <t>Exchange Place, Adelaide</t>
  </si>
  <si>
    <t>[General description] The tower of the Stock Exchange building can be seen looking along Exchange Place. On the right is the Commercial Union Building with an office for Eagle Star Insurance on the corner ground floor [On back of photograph] 'Acre 169 / Exchange Place, east side / August 16th 1954 / This photograph shows Exchange Place frontage of the Commercial Union building, frontage is 43 yards / The Pirie Street frontage is shown in B'</t>
  </si>
  <si>
    <t>b20580289</t>
  </si>
  <si>
    <t>Pirie Street, Adelaide</t>
  </si>
  <si>
    <t>[General description] The Commercial Union Building, once the Stock Exchange, dominates this street view of city buildings and parked cars [On back of photograph] 'Acre 169 / Pirie Street, north side / August 16th 1954 / Left side of Commercial Union Building abuts east side of Exchange Place / Frontage of building is 33 yards'</t>
  </si>
  <si>
    <t>b20581427</t>
  </si>
  <si>
    <t>King William Street, west side, January 25th 1954, left side of Scrymgour's building is 17.5 yards north of Waymouth Street and frontage is 6.5 yards. Scrymgour's building (printers) was remodelled c.1953. Compare with B 3270, taken in 1926</t>
  </si>
  <si>
    <t>b20582201</t>
  </si>
  <si>
    <t>Waymouth Street, north side, April 12th 1954, frontage of building is 50 yards. Left side of white building show windows abuts Gilles Arcade, east side. A rough map showing the site of the building has been drawn on the back of the photograph. See also B 7041</t>
  </si>
  <si>
    <t>b2058233x</t>
  </si>
  <si>
    <t>Waymouth Street, north side, April 12th 1954, left side of McPhersons building is 31 yards east of Light Square and frontage is 16 yards. McPherson's building was given the facade shown in this photograph prior to 1939. For a view taken in 1926 see B 3425. McPherson's Iron and Machinery Merchants</t>
  </si>
  <si>
    <t>Acre 177 Collection</t>
  </si>
  <si>
    <t>b20582535</t>
  </si>
  <si>
    <t>Elizabeth Street, east side, March 8th 1954, left side of allotment is 43 yards south of Currie Street. Continuation of allotment on right (showing various structures) is shown in B 13024. Frontage of complete allotment is 57 yards. Cottages formerly on the site were demolished (some in 1952) before photograph could be obtained</t>
  </si>
  <si>
    <t>Acre 181 Collection</t>
  </si>
  <si>
    <t>b20582559</t>
  </si>
  <si>
    <t>Elizabeth Street, east side, March 8th 1954. Views  show continuation of Post Master General area shown in B 13023. For details of site and previous structures on this site see B 13023</t>
  </si>
  <si>
    <t>b2058278x</t>
  </si>
  <si>
    <t>Gray Street</t>
  </si>
  <si>
    <t>Gray Street, west side, January 18th 1954, frontage of two storey building is 36 3/4 yards. Left side of cement faced building (including two storey portion) abuts Albert Street. This building was erected in 1946. For a view of cottages formerly on this site see B 7062 and B 13673</t>
  </si>
  <si>
    <t>Acre 184 Collection</t>
  </si>
  <si>
    <t>b20582973</t>
  </si>
  <si>
    <t>Waymouth Street, north side, April 12th 1954. This photograph is to show the structures behind the modern front of the Castalloy building. For site see B 12347</t>
  </si>
  <si>
    <t>b20582985</t>
  </si>
  <si>
    <t>Northern corner of Waymouth Street and West Terrace, October 19th 1954, frontage of building is 13.5 yards.Photograph shows West Terrace frontage of Castalloy building, which is 28 yards. These iron sheds were subsequently demolished to make way for a "Used Car" lot. compare with B 13611</t>
  </si>
  <si>
    <t>b20583102</t>
  </si>
  <si>
    <t>Grattan Street</t>
  </si>
  <si>
    <t>Grattan Street, east side, 18 January 1954, left side of centre cement faced building is 21 3/4 yards south of Waymouth Street and frontage is 8 yards. For a view of structure formerly on this site in 1940 see B 9311</t>
  </si>
  <si>
    <t>b20583199</t>
  </si>
  <si>
    <t>Spencer Street</t>
  </si>
  <si>
    <t>Spencer Street, west side, 8 February 1954, right side of the cottage is 18 3/4 yards south of Waymouth Street and frontage is 13.5 yards.</t>
  </si>
  <si>
    <t>Acre 188 Collection</t>
  </si>
  <si>
    <t>b20583655</t>
  </si>
  <si>
    <t>Waymouth Street, south side, April 12th 1954, left side of Federal Clothing Company building is 18 yards west of Mellor Street and frontage is 11 yards. Compare with B 12330 taken in 1952</t>
  </si>
  <si>
    <t>b20583758</t>
  </si>
  <si>
    <t>Morphett Street, west side, 18 January 1954. Right side of centre cement-faced building is 23.25 yards south of Light Square. This building was remodelled out of the former Primitive Methodist Church in 1947. For part view of church prior to alterations see B 13022. For a better view of this building see B 13571. The building in this photograph does not match B 10908 or B 13022.  On B 910 the extreme corner of the church can be seen near the corner of Morphett Street and Waymouth Street</t>
  </si>
  <si>
    <t>Acre 194 Collection</t>
  </si>
  <si>
    <t>b2058376x</t>
  </si>
  <si>
    <t>Mellor Street</t>
  </si>
  <si>
    <t>Mellor Street, west side, 18 January 1954, right side of centre cement-faced building is 50.5 yards south of Waymouth street and frontage is 19.5 yards. This building was remodelled in 1953</t>
  </si>
  <si>
    <t>b20584428</t>
  </si>
  <si>
    <t>Waymouth Street, south side, April 12th 1954, frontage of building is 19 yards. Right side of Norwich Union building abuts Bentham Street. The top floor of this building was added in 1953-1954. It was completed in January 1954. For a view of the building prior to additions see B 5477</t>
  </si>
  <si>
    <t>Acre 200 Collection</t>
  </si>
  <si>
    <t>b2058443x</t>
  </si>
  <si>
    <t>Bentham Street</t>
  </si>
  <si>
    <t>Bentham Street, east side, April 12th 1954, frontage of building is 43 yards. Left corner of building abuts south side of Waymouth Street. See also B 12983</t>
  </si>
  <si>
    <t>b20585056</t>
  </si>
  <si>
    <t>Waymouth Street, south side, 18 January 1954, right side of Howard Smith building is 31 3/4 yards east of Marlborough Place and frontage of Howard Smith building is 8.5 yards. Captain William Howard Smith began transporting both people and supplies to the goldfields. His company was founded in 1854. The name became Howard Smith Limited in 1914.</t>
  </si>
  <si>
    <t>Acre 202 Collection</t>
  </si>
  <si>
    <t>b20588070</t>
  </si>
  <si>
    <t>Pulteney Street, west side, February 8th 1954. Right side of Maughan Thiem building is 37.25 yards south of Pirie Street. Frontage of Maughan Thiem motor service building is 16.75 yards. Compare with B 4772 taken in 1928 for alterations to front which were made in c.1953</t>
  </si>
  <si>
    <t>Acre 210 Collection</t>
  </si>
  <si>
    <t>b20588768</t>
  </si>
  <si>
    <t>Pirie Street, south side, 21 June 1954, left side of villa is 120.5 yards west of Hutt Street and frontage is 11 3/4 yards. For view of building subsequently on this site see B 13027. Villa at number 283 was demolished in 1954. For building subsequently built on this site see B 14007 (1958)</t>
  </si>
  <si>
    <t>Acre 217 Collection</t>
  </si>
  <si>
    <t>b20588835</t>
  </si>
  <si>
    <t>Hutt Street, Adelaide</t>
  </si>
  <si>
    <t>[General description] Stone villa style house with a utility truck parked in front of it. [On back of photograph] 'Acre 219 / Hutt Street, east side / February 15th 1954 / Left side of cottage is 55 yards south of Pirie Street / Frontage is 15 yards / Garage shown on right has been addeed in recent years.'</t>
  </si>
  <si>
    <t>Acre 219 Collection</t>
  </si>
  <si>
    <t>b20589025</t>
  </si>
  <si>
    <t>Tucker Street, Adelaide</t>
  </si>
  <si>
    <t>[General description] Looking east along Tucker Street towards Hutt Street. Two of the cottages are being either demolished or re-modelled [On back of photograph] 'Acres 222 and 221 / Tucker Street, south side / 16 August 1954 / Point marked by left cross is 68.5 yards west of Hutt Street / Frontage of two cottages between crosses is 16.5 yards'</t>
  </si>
  <si>
    <t>b20589037</t>
  </si>
  <si>
    <t>Flinders Street, Adelaide</t>
  </si>
  <si>
    <t>[General description] Stone cottages on Flinders Street with parked cars at the kerb [On back of photograph] 'Acre 221 / Flinders Street, north side / 16 August 1954 /  Right side of house is 40 yards west of Hutt Street / Frontage is 13 yards'</t>
  </si>
  <si>
    <t>Cottages -- South Australia -- Adelaide</t>
  </si>
  <si>
    <t>b20589426</t>
  </si>
  <si>
    <t>Flinders Street, north side, corner of Ackland Street, January 25th 1954, frontage of Lincoln House is 17 yards. Right side of Lincoln House abuts Ackland Street. Compare with B 5539 taken in 1929 (some alterations were made between the two storey building and the iron shed on Ackland Street frontage</t>
  </si>
  <si>
    <t>b20589517</t>
  </si>
  <si>
    <t>Flinders Street, north side, March 29th 1954, right side of demolished building is 24.5 yards west of Sudholz Place and frontage is 8.5 yards. Betta Tyre Service is shown in course of alteration. For earlier view of building see B 2284. For view of building subsequently on this site see B 13960</t>
  </si>
  <si>
    <t>b20590209</t>
  </si>
  <si>
    <t>[General description] The Somerset Hotel is a two storey building with wide verandahs and balconies. It was established in 1851 and demolished in September 1991. On the right is Maughan Thiem Motor Co., on the extreme left is City Motors, specialising in Holden. A large ornate tram pole with overhead wires stands in the middle of the intersection [On back of photograph] 'Acre 229 / North west corner of Pulteney Street and Flinders Street / 6 September 1954 / Somerset Hotel has frontage of 12 yards on Flinders Street and 20 yards on Pulteney Street. (See Cadastral plan)'</t>
  </si>
  <si>
    <t>Acre 229 Collection</t>
  </si>
  <si>
    <t>b20594458</t>
  </si>
  <si>
    <t>Morphett Street, east side, 18 January 1954. Right side of the two storey building is 50 and a half yards north of Franklin Street, its frontage is 21 yards.</t>
  </si>
  <si>
    <t>Acre 244 Collection</t>
  </si>
  <si>
    <t>b2059446x</t>
  </si>
  <si>
    <t>Morphett Street, east side, 18 January 1954 showing the former residence of Dr. George Mayo. The right side of the building is 25 and three quarter yards north of Franklin Street  frontage: 24 yards.See B 6333.  For a modern structure erected in front in 1954 see B13590. Dr George Mayo (1807-1894) was a medical practitioner in the colony of South Australia</t>
  </si>
  <si>
    <t>Architecture, Domestic -- South Australia -- Adelaide</t>
  </si>
  <si>
    <t>b20594793</t>
  </si>
  <si>
    <t>Franklin Street, north side, 8th March 1954 showing Haywire and Co. Ltd. frontage : 13 and a quarter yards. Left side of Haywire and Company Limited is 46.75 yards from Elizabeth Street. Haywire and Company Limited - concrete and reinforcing specialists and paint suppliers</t>
  </si>
  <si>
    <t>Acre 246 Collection</t>
  </si>
  <si>
    <t>b20594896</t>
  </si>
  <si>
    <t>Franklin Street, north side, 8 March 1954. Right side of Penno's building abuts the west side of Crowther Street. Frontage: 31 yards. The building has 1898-1926 near the roof. The two storey building is a sack manufacturing company</t>
  </si>
  <si>
    <t>b20594963</t>
  </si>
  <si>
    <t>Franklin Street, north side 25 January 1954. Right side of the white painted cottage is 39 and a half yards west of Crowther Street, its frontage is 9 yards. In about 1955 this building was converted into a shop. For photographs made after the conversion see B 13887, B 13888. See also B 13184</t>
  </si>
  <si>
    <t>Acre 249 Collection</t>
  </si>
  <si>
    <t>b20595074</t>
  </si>
  <si>
    <t>Franklin Street. north side 8th March 1954. Right side of the group of three cottages abuts the west side of Gray Street. Frontage of building is 27 yards.</t>
  </si>
  <si>
    <t>Acre 250 Collection</t>
  </si>
  <si>
    <t>b20595086</t>
  </si>
  <si>
    <t>Franklin Street, Adelaide</t>
  </si>
  <si>
    <t>[General description] A row of three stone Victorian terrace houses are the main focus of this view of houses on Franklin Street. The roofs of each have a central gable and two tall chimneys. [On back of photograph] 'Acre 251 / Franklin Street, north side / 8th March 1954 / Right side of the centre group of three cottages is 27 yards west of Gray Street  Frontage: 28 yards'</t>
  </si>
  <si>
    <t>Terrace houses -- South Australia -- Adelaide</t>
  </si>
  <si>
    <t>Acre 251 Collection</t>
  </si>
  <si>
    <t>b20595189</t>
  </si>
  <si>
    <t>Grattan Street, east side 8 March 1954. Right side of the nearest cottage is 42 and a half yards north of Franklin Street. Frontage of the three near cottages, including lanes, is 31 and a quarter yards.</t>
  </si>
  <si>
    <t>b20595414</t>
  </si>
  <si>
    <t>Gray Street, east side 18th January 1954. The left side of Hall's building is 35 and a half yards south of Franklin Street, its frontage is 13 and a quarter yards. This building was completed in 1952. The site was vacant, but apparently some structure had existed there at one time</t>
  </si>
  <si>
    <t>Acre 255 Collection</t>
  </si>
  <si>
    <t>b20595682</t>
  </si>
  <si>
    <t>Franklin Street, south side 1st March 1954. Left side of 2 storey building with verandah abuts west side of Morney Street.  Frontage of 2 storey vuilding with verandah is 25 and three quarter yards. This building was remodelled in 1952, for a view of a portion in 1942 see extreme left of B10896.</t>
  </si>
  <si>
    <t>Acre 257 Collection</t>
  </si>
  <si>
    <t>b20595694</t>
  </si>
  <si>
    <t>Morney Street</t>
  </si>
  <si>
    <t>Morney Street, west side, 1st March 1954. Right side of the centre white building is 24 yards south of Franklin Street, its frontage is 16 and three quarter yards. This building was erected in c.1953</t>
  </si>
  <si>
    <t>b20595700</t>
  </si>
  <si>
    <t>Franklin Street, south side 8th March 1954. Right side of De Rose and Co. building is 7 yards east of Morney Street. Frontage: 13 and a quarter yards, This building was remodelled from an existing structure and completed in 1954. For a view of the original building see B13130. Frank De Rose - machinery merchants and engineers supplies</t>
  </si>
  <si>
    <t>b20595712</t>
  </si>
  <si>
    <t>[General description] This small two storey corner building with an awning over its door is a shop. An advertisement for Amscol Icecream is in its window and a neon sign out front says 'Ham and Beef'. [On back of Photograph] 'Acre 257 / Franklin Street, south side / 28th September 1954 / South eastern corner of Morney and Franklin Streets / Building has frontage of 6 and a half yards on Franklin Street and 19 and a half yards on Morney Street'</t>
  </si>
  <si>
    <t>b20595803</t>
  </si>
  <si>
    <t>Premises of Commercial Motor Vehicles Ltd., Franklin Street, Adelaide</t>
  </si>
  <si>
    <t>Franklin Street, South side, 8 March 1954. Left side of Commercial Motor Vehicles Ltd is 88 and a quarter yards west of Morphett Street. Its frontage is 24 yards. This building was completed in 1953. It replaced a former iron building of which no picture appears to be held</t>
  </si>
  <si>
    <t>Acre 259 Collection</t>
  </si>
  <si>
    <t>b2059639x</t>
  </si>
  <si>
    <t>Pitt Street</t>
  </si>
  <si>
    <t>Pitt Street, east side, 31st May 1954 showing frontage of the Central Methodist Mission building which runs south from Franklin Street on which the left side abuts. The Mission was established at Maughan Church in 1901.  See B 2108</t>
  </si>
  <si>
    <t>b20596406</t>
  </si>
  <si>
    <t>[General description] S.O. Beilby's store is on the corner of Pitt and FranklinStreets. The shop to the right (just behind the cyclist) is Key's Bird and Dog Store. Further along is Eclipse Motors [On back of photograph] 'Acre 265 / Franklin Street, south side and Pitt Street, west side / 4th November 1954 / This block of shops has a frontage of 29 1/2 yards on Pitte Street and 22 yards on Franklin Street'</t>
  </si>
  <si>
    <t>b20596571</t>
  </si>
  <si>
    <t>Franklin Street, south side, 22nd February 1954, left side of Faraway House abuts the west side of Trades Hall Lane. Frontage: 9 yards. This building was remodelled from a former structure on the site and completed in 1952. For the building prior to alterations see B13021. In this photograph taken in 1954 Faraway House is festooned with Union Jack Flags possibly in preparation for the Royal Visit the following month</t>
  </si>
  <si>
    <t>b20596583</t>
  </si>
  <si>
    <t>Franklin Street, south side, 8th March 1954. Right side of the Monumental Mason's lot is 55 yards east of Pitt Street, its frontage is 11 1/2 yards.For view of portion of the building which occupied this site c.1918 see B 2145. For a view of building on this site in 1960 see B 14367</t>
  </si>
  <si>
    <t>b20596819</t>
  </si>
  <si>
    <t>Victoria Square, west side and south side of Franklin Street, showing the Windsor Castle Hotel, 25th January, 1954. Right side of the Hotel has a frontage of 31 1/4 yards on Franklin Street, left side frontage on Victoria Square: 15 1/4 yards.. This corner building was demolished in 1954. The proprietor at this time was HH Bishop</t>
  </si>
  <si>
    <t>Acre 267 Collection</t>
  </si>
  <si>
    <t>b20596820</t>
  </si>
  <si>
    <t>Victoria Square, west side, 26th July 1954. Right side of the three storey Robern Dried Fruit Co. is 38 yards south of Franklin Street, its frontage is 6 1/2 yards. Torrens Chambers is situated to the south of the Robern building.</t>
  </si>
  <si>
    <t>b20597113</t>
  </si>
  <si>
    <t>Bray Street</t>
  </si>
  <si>
    <t>Bray Street, north side, 21st June 1954. Right side of the white structure is 63 1/2 yards west of Gawler Place, its frontage is 6 1/2 yards. The site was formerly occupied by a bicycle shop. This building was erected in February 1954</t>
  </si>
  <si>
    <t>Acre 270 Collection</t>
  </si>
  <si>
    <t>b20597472</t>
  </si>
  <si>
    <t>Corner of Gawler Place</t>
  </si>
  <si>
    <t>Photograph (b&amp;w print)  15.3 cm x 15.6 cm;C1</t>
  </si>
  <si>
    <t>Corner of Gawler Place and Flinders Street during a Royal visit from Queen Elizabeth II in 1954.</t>
  </si>
  <si>
    <t>b20597484</t>
  </si>
  <si>
    <t>Photograph (b&amp;w print)  15 cm x 15.6 cm;C1</t>
  </si>
  <si>
    <t>Corner of Gawler Place during a Royal visit from Queen Elizabeth II in 1954.</t>
  </si>
  <si>
    <t>b20597496</t>
  </si>
  <si>
    <t>Photograph (b&amp;w print)  15 cm x 15.5 cm;C1</t>
  </si>
  <si>
    <t>b20597873</t>
  </si>
  <si>
    <t>Flinders Street and Roper Street, east corner, 25th January 1954. Right side of the Dunlop building has a frontage of 45 yards on Roper Street, left side 16 and 3/4 yards on Flinders Street. This shell of a building was incorporated into a new structure completed in 1955. See B13577.</t>
  </si>
  <si>
    <t>Acre 275 Collection</t>
  </si>
  <si>
    <t>b20598014</t>
  </si>
  <si>
    <t>Pulteney Street at the south western corner of Flinders Street, 3rd November 1954. Left side of Small's building has a frontage of 21 1/2 yards on Pulteney Street and right side on Flinders Street has 16 3/4 yards. Building demolished shortly after this photograph was taken.</t>
  </si>
  <si>
    <t>b20598026</t>
  </si>
  <si>
    <t>[General description] City buildings cars and a tram pole feature in this view of Small's Furniture and Piano store, a three storey stone building in early process of demolition. On the right is Lockwood Motors. [On back of photograph] Acre 276 / South western corner of  Flinders and Pulteney Street / 3rd November 1954. Small's building frontages: left side 21 1/2 yards on Pulteney Street, right side 16 3/4 yards on Flinders Street. Building was demolished shortly after this photograph was taken'</t>
  </si>
  <si>
    <t>b20598178</t>
  </si>
  <si>
    <t>Flinders Street, south side, 8th February 1954 showing right side of Orlando Wine Cellars, 17 1/2 yards east of Pulteney Street, its frontage is 10 1/4 yards. This view taken to show portion hidden by tree. See  B 12479</t>
  </si>
  <si>
    <t>b2059818x</t>
  </si>
  <si>
    <t>[General description] Parked cars and city buildings in Pulteney Street. Doug Miels' Goodyear Tyre Service in the centre of the view has a petrol bowser at the kerb. The tramline is in the foreground. [On back of photograph] 'Acre 277 / Pulteney Street, east side / 7th March 1955 / Left side of no.214 is 50 yards south of Flinders Street / Right side of the two storey house with verandah is 70 yards south of Flinders Street / The two buildings to the right of "doug Miels" building were demolished by August 1955 as part of a plan to continue Ifould Street through to Pulteney (see also B 13199) / For better view of dark two storied building see B 2290 / For better view of white building on the right see B 7367'</t>
  </si>
  <si>
    <t>b20598191</t>
  </si>
  <si>
    <t>Ifould Street, Adelaide</t>
  </si>
  <si>
    <t>[General description] Parked cars (second on right is a Standard Vanguard) and a truck with the name 'Rofe &amp; Co.' painted on its tray are in the foreground of this view of the rear of city buildings. See B 13175 which shows buildings later demolished in Pulteney Street'  [On back of photograph] 'Acres 277 and 296 / Ifould Street, western end, 30th December 1954 / This view was taken before the road was made through to Pulteney Street in July of 1955 / Brick building and fence at end of street are apparrently on the eastern end of acres 277 and 276.'</t>
  </si>
  <si>
    <t>b20598762</t>
  </si>
  <si>
    <t>Flinders Street, south side, June 7, 1954.  Left side of the cottage is 55 yards west of Daly Street. Frontage: 10 yards. The cottage was later demolished and the site incorporated into a used car lot. See B 13565</t>
  </si>
  <si>
    <t>Acre 282 Collection</t>
  </si>
  <si>
    <t>b20599018</t>
  </si>
  <si>
    <t>Flinders Street, south side, 29th March 1954. Right side of the white cement building is 40 yards east of Hutt Street. Frontage: 15 yards. According to a spokeman for Albert del Fabbro Limited this building has been constructed out of an older structure. Remodelling apparently completed by December 1953</t>
  </si>
  <si>
    <t>Acre 285 Collection</t>
  </si>
  <si>
    <t>b20601219</t>
  </si>
  <si>
    <t>Victoria Square, west side, 12 April 1954. Left side of the one storey structure erected in 1949-50 is 39 1/2 yards north of Grote Street  its frontage is 15 yards. This side previously occupied by a Monumental Mason's yard, see B6297.</t>
  </si>
  <si>
    <t>b20601980</t>
  </si>
  <si>
    <t>Grote Street, Adelaide</t>
  </si>
  <si>
    <t>[General description] The ES &amp;A Bank building is sandwiched between two taller buildings, the one on the right being the Hampshire Hotel. There are young plane trees in the street [On back of photograph] 'Acre 311 / Grote Street, north side / 22 February 1954 / Right side of the ES&amp;A Bank is 10 yards west of Bowen Street / Frontage: 10 yards / This building with only minor exterior alterations was converted from two shops to banking premises'</t>
  </si>
  <si>
    <t>English, Scottish and Australian Bank -- Buildings;Architecture -- South Australia -- Adelaide;Banks and banking -- South Australia -- Adelaide</t>
  </si>
  <si>
    <t>Acre 311 Collection</t>
  </si>
  <si>
    <t>b20602157</t>
  </si>
  <si>
    <t>Andrew Street, Adelaide</t>
  </si>
  <si>
    <t>[General description] This is the 'Miramar Service Station, J. Dunstall, Engineer', according to the sign on its door. There is a petrol bowser on the left. [On back of photograph] 'Acre 312 / Andrew Street, south side / 7 June 1954 / Right side of Miramar Service Station is 34 1/2 yards east of Morphett Street / Frontage: 5 1/2 yards'</t>
  </si>
  <si>
    <t>Service stations</t>
  </si>
  <si>
    <t>Acre 312 Collection</t>
  </si>
  <si>
    <t>b20602534</t>
  </si>
  <si>
    <t>[General descriptions] The premises of Foggitt Jones, Wholesale Produce Merchants is a plain brick corner building with a painted sign on its facade advertising specialties such as 'hams. bacon, small goods, butter, cheese and canned delicacies' [On back of photograph] 'Acre 315 / Grote Street, north side / 7 June 1954 / Right side of Foggitt Jones building abuts west side of Byron Place / Frontage of building is 31 yards'</t>
  </si>
  <si>
    <t>Acre 315 Collection</t>
  </si>
  <si>
    <t>b20602546</t>
  </si>
  <si>
    <t>Byron Place, Adelaide</t>
  </si>
  <si>
    <t>[General description] This is a row of stone cottages with concave verandahs. They look somewhat dilapidated and their roofs are in poor condition. B 5334 shows them in earlier days. [On back of photograph] 'Acre 315 / Byron Place, east side / 15 November 1954 / Right side of building is 40 yards north of Grote Street / Frontage of the building: 30 yards / B 13153 is a view of portion of this building looking north / See also B 5334 taken in 1898'</t>
  </si>
  <si>
    <t>b20602558</t>
  </si>
  <si>
    <t>[General description] Row of cottages looking north along Byron Place / Compare with B 5334 taken in 1898. [On back of photograph] 'Acre 315 / Byron Place, east side / 15 November 1954 / This is a view looking north of the building shown in B 13152, see for details of site etc / Depth of the building is 12 3/4 yards / Right side is 40 yards north of Grote Street. Frontage: 30 yards'</t>
  </si>
  <si>
    <t>b20602923</t>
  </si>
  <si>
    <t>[General description] Cars are parked in front of a two storey stone building with a balcony which probably was originally a private home. It is now the premises of the Hairdressers' Co-operative Society and its garden has been replaced by a car park [On back of photograph] 'Acre 324 / Grote Street, south side / 7 June 1954 / Left side of building is 12.5 yards west of Mercy Street / frontage of the building is 16 yards'</t>
  </si>
  <si>
    <t>Acre 324 Collection</t>
  </si>
  <si>
    <t>b20603174</t>
  </si>
  <si>
    <t>Grote Street, south side, 8 February 1954. Right side of building abuts east side of Storr Street. Frontage of building is 17 yards taken from right hand side of building to end of verandah on left at point over letter "A" in sign on iron fence. Some additions, probably centre cement portion were made in approximately 1953</t>
  </si>
  <si>
    <t>Acre 328 Collection</t>
  </si>
  <si>
    <t>b20603186</t>
  </si>
  <si>
    <t>Brown Street</t>
  </si>
  <si>
    <t>Brown Street, west side, 1 March 1954, frontage of Kingsway building is 36 3/4 yards. Right side of Kingsway building is 36.5 yards south of Grote Street. The small cottage (on the left of Kingsway building) is known as Luton cottage and has a frontage of 8 yards. For buildings previously on the site of Kingsway Ltd (completed in 1954) see B 3229. Luton cottage was subsequently demolished and site used as part of a used car lot. Compare with B 13108. For views of Kingsway (later Motors) in 1961 see B 14420-1</t>
  </si>
  <si>
    <t>Acre 328 Collection;Acre 385 Collection</t>
  </si>
  <si>
    <t>b20603198</t>
  </si>
  <si>
    <t>Brown Street, Adelaide</t>
  </si>
  <si>
    <t>[General description] Kelly's Shell Service Station on the intersection of Grote and Brown (now Morphett) Streets. The 263 Cheltenham tram is turning across the intersection. [On back of photograph] 'Acre 328 / South west corner of Brown and Grote Street / 22 November 1954 / Service station has frontage of 20 yards on Grote Street (right) and 21 yards on Brown Street (left) / This view does not show covered way which extends behind the white front / This is shown in B 3611 and B 3612 and it was removed during the first half of 1955 / For view of this service station after alterations made around 1955 see B 13601'</t>
  </si>
  <si>
    <t>b20604324</t>
  </si>
  <si>
    <t>Moonta Street</t>
  </si>
  <si>
    <t>Moonta Street, West side, 12 October 1954, right side of white painted building is 49 3/4 yards south of Grote Street, frontage of building is 16 1/4 yards. Building shown in course of demolition</t>
  </si>
  <si>
    <t>Acre 331 Collection</t>
  </si>
  <si>
    <t>b20604488</t>
  </si>
  <si>
    <t>Peoplestores, Grote Street</t>
  </si>
  <si>
    <t>Peoplestores (formerly Empire Theatre building 1909-1948) Grote Street, south side, 12 April 1954. Frontage of Peoplestores is 17 yards. Show windows of the Peoplestores building (formerly Empire theatre) were put in in 1953. Compare with B 13019</t>
  </si>
  <si>
    <t>b20605286</t>
  </si>
  <si>
    <t>Victoria Square, east side, May 31st 1954, frontage of the centre white building is 24 yards. Left side of centre white building is 46 yards south of Wakefield Street. For a view of the centre white building in 1927 see B 5815</t>
  </si>
  <si>
    <t>b20607519</t>
  </si>
  <si>
    <t>Wakefield Street, Adelaide</t>
  </si>
  <si>
    <t>[General description] Cars line the kerb in front of this long, single storey bluestone building which is about to be re-modelled. See B 14054 for a view of the building after alterations [On back of photograph] 'Acre 347 / Wakefield Street, south side / 26 July 1954 / Left side of centre building is 11 1/4 yards west of Robert Street, frontage of building is 19 yards'</t>
  </si>
  <si>
    <t>Acre 347 Collection</t>
  </si>
  <si>
    <t>b20607787</t>
  </si>
  <si>
    <t>Cardwell Street, Adelaide</t>
  </si>
  <si>
    <t>[General description] Looking south along a row of detached workman's bluestone cottages, all with verandahs and iron roofs [On back of photograph] 'Acre 350 / Cardwell Street, west side / 21 June 1954 /  Frontage of the nearer three cottages is 33 yards / Right side of the nearest cottage is 37 yards south of Wakefield Street / Note: For a view of these cottages from the south, see B 13067'</t>
  </si>
  <si>
    <t>b20607799</t>
  </si>
  <si>
    <t>[General description] Looking north along a row of detached workman's bluestone cottages, all with verandahs and iron roofs [On back of photograph] 'Acre 350 / Cardwell Street, west side / 21 June 1954 /  Frontage of the nearer three cottages is 33 yards / Right side of the furthest cottage is 37 yards south of Wakefield Street / Note: For a view of these cottages from the north, see B 13066'</t>
  </si>
  <si>
    <t>b20607805</t>
  </si>
  <si>
    <t>[General description] Bluestone cottages and parked cars in Wakefield Street, Adelaide. The cottages are in process of demolition. For a view of the building subsequently erected see B 13564. [On back of photograph] 'Acre 350 / Wakefield Street, south side / 21 June 1954 / Left side of the 3 cottages (adjoining cement building on extreme right) abuts west side of Cardwell Street / Frontage: 30 1/2 yards.'</t>
  </si>
  <si>
    <t>b20607866</t>
  </si>
  <si>
    <t>Wakefield Street, south side, 16 August 1954. Right side of the centre bluestone villa  is 35 1/3 yards east of Cardwell Street. Frontage of cottage: 12 yards.</t>
  </si>
  <si>
    <t>Acre 351 Collection</t>
  </si>
  <si>
    <t>b20608585</t>
  </si>
  <si>
    <t>Angas Street, north side 3 May 1954. Left side of single storey building (complete frontage not shown in this view, but see B13021-13033) is 10 yds east of Cypress Street. Complete frontage of structure is 7-1/2 yds. B 13032 is a better view and shows an earlier roof covered in this view by galvanised iron</t>
  </si>
  <si>
    <t>Acre 367 Collection</t>
  </si>
  <si>
    <t>b20608597</t>
  </si>
  <si>
    <t>Angas Street, north side 21 June 1954. Left side of white building is 10 yds east of Cypress Street. Frontage of building is 7-1/2 yds. The roof was formerly covered with galvanised iron, see B13031. (This view taken at time of demolition of building.).</t>
  </si>
  <si>
    <t>b20608603</t>
  </si>
  <si>
    <t>Angas Street, north side, 21 June 1954. Left side of white building is 10 yards east of Cypress Street. Frontage of building is 7-1/2 yds. The roof was formerly covered with galvanised iron, see B13031. (This view taken at time of demolition of building.).</t>
  </si>
  <si>
    <t>b2060869x</t>
  </si>
  <si>
    <t>[General description] A pair of stone terrace houses are in the centre of this view of city buildings and parked cars. On the left is a construction site, see B 13581 for the finished  building, the premises of Southern Motors Ltd. [On back of photograph] 'Acre 368 / Hanson Street, east side / 6 September 1954 / Right side of building (with verandah) is 10 yds north of Angas Street. Frontage: 13 yds'</t>
  </si>
  <si>
    <t>b20609450</t>
  </si>
  <si>
    <t>Victoria Square, west side, April 12th 1954, Moore's frontage to Victoria Square is 65 yards. Compare this view with B 5447 made in 1929. The building was burnt out in 1948 (excluding walls) and was later rebuilt. The building was the brainchild of Charles Moore, a successful businessman who arrived in the colony in 1881</t>
  </si>
  <si>
    <t>b20609875</t>
  </si>
  <si>
    <t>Gouger Street, north side, 15 March 1954, frontage is 10.5 yards. Right side of Gouger Cafe and Fish Shop is 14.25 yards west of Moonta Street. For a portion of this building prior to alterations see B 7387. The Royal visit occured in Adelaide at the time of this photograph - hence the Union Jacks and bunting fluttering in  the streets</t>
  </si>
  <si>
    <t>Acre 382 Collection</t>
  </si>
  <si>
    <t>b20609887</t>
  </si>
  <si>
    <t>Moonta Street, west side, 12 October 1954, left side of centre cottage is 51.5 yards north of Gouger Street. Frontage of centre cottage and cottage adjoining it on the right is 19 1/4 yards.</t>
  </si>
  <si>
    <t>b20609899</t>
  </si>
  <si>
    <t>Moonta Street, Adelaide</t>
  </si>
  <si>
    <t>[General description] The front of this cottage has been extended on one side and a new stone facade added. Pillars have replaced verandah posts [On back of photograph] 'Acre 382 / Moonta Street, west side / 25 January 1954 / Left side of the cottage is 30 yards north of Gouger Street / Frontage is 9 yards / This is an old cottage remodelled in recent years'</t>
  </si>
  <si>
    <t>b20609905</t>
  </si>
  <si>
    <t>[General description] This is the premisies of Motor Cycle Traders 'Used Motorcycles and Cars'. A utility is parked at the kerb, jacked up with a wheel missing. Further along the street are two storey stone buildings [On back of photograph] 'Acre 382 / Moonta Street, east side / 25 January 1954 / Right side of Motor Cycle Traders building is 26 yards north of Gouger Street / Frontage is 11 1/4 yards / This building was under construction in September 1952 / Apparently it incorporated the older structure'</t>
  </si>
  <si>
    <t>Motor industry -- South Australia -- Adelaide</t>
  </si>
  <si>
    <t>b20610038</t>
  </si>
  <si>
    <t>[General description] Shops, parked cars and a glimpse of the Talbot Hotel, R.S. Hall is licensee at this time. Gehlert's shop has been re-modelled  a sign in the window says 'Open here shortly' [On back of photograph] 'Acre 383 / Gouger Street, north side / June 21st 1954 / Right side of Gehlert's shop is 63.5 yards west of Moonta Street / Frontage of shop is 5.5 yards / The shop front has been recently installed'</t>
  </si>
  <si>
    <t>Acre 383 Collection</t>
  </si>
  <si>
    <t>b20610257</t>
  </si>
  <si>
    <t>Brown Street, west side, 1 March 1954, frontage of centre building including balconied portion is 8 3/4 yards. Left side of centre cement faced building is 27 yards north of Gouger Street. A fish and chip shop stands in the centre of the photograph and a van from the Keswick Bakery is double parked outside. Bunting flutters along the street in preparation for the Royal Visit which occurred later in March</t>
  </si>
  <si>
    <t>Acre 385 Collection</t>
  </si>
  <si>
    <t>b20610269</t>
  </si>
  <si>
    <t>Brown Street, west side, 1 March 1954, frontage of centre building is 8 3/4 yards. Left side of centre white building is 38.75 yards north of Gouger Street. This restaurant was converted from an older building in 1952. The centre building has a sign saying "Espana Restaurant and Cabaret"</t>
  </si>
  <si>
    <t>b20610270</t>
  </si>
  <si>
    <t>[General description] This dilapidated cottage with a rusty roof is soon to be re-modelled and the yard converted into a used car lot, completed in 1954 / See B 13570 for the completed makeover. [On back of photograph] 'Acre 385 / Brown Street, west side / 16 August 1954 / Right side of cottage is 80 yards south of Grote Street / Frontage of cottage is 13 yards / This cottage was set back 24 yards from Brown Street'</t>
  </si>
  <si>
    <t>b20610488</t>
  </si>
  <si>
    <t>Byron Place</t>
  </si>
  <si>
    <t>Byron Place, east side, March 15th 1954, right side of the cottage is 55 3/4 yards north of Gouger Street, frontage is 15 yards. This is apparently an older cottage in the midst of being modernised</t>
  </si>
  <si>
    <t>Acre 387 Collection</t>
  </si>
  <si>
    <t>b2061049x</t>
  </si>
  <si>
    <t>[General description] The premises of G.F. Cleland, Wine and Spirit Merchants is prominent in this view. On the right there is a sign for A.E. Robinson &amp; Sons. In the foreground is parked an early version of a 'utility' vehicle [On back of photograph] 'Acres 387 and 326 / Byron Place, west side, January 25th 1954 / Left side of Clelands building is 47.5 yards north of Gouger Street / Frontage is 30.5 yards / Front of Cleland's building was refaced c. 1948 / Compare with B 10543'</t>
  </si>
  <si>
    <t>b20610804</t>
  </si>
  <si>
    <t>Gouger Street, north side, 15 March 1954, frontage of building is 16 3/4 yards. Left side of the Red Comb building is 87 yards east of West Terrace. This photograph shows rear portion of building not visible in B 12431. The small elevated structures were probably erected in 1953. Red Comb Egg Co-operative Society Limited</t>
  </si>
  <si>
    <t>b20610932</t>
  </si>
  <si>
    <t>[General description] Workmen are removing iron roofing from this corner cottage which is being demolished [On back of photograph] 'Acre 394 / Gouger Street, south side / 21 June 1954 / Right side of cottage abuts east side of Murray's Lane / Frontage: 10 yards / Cottage shown in course of demolition'</t>
  </si>
  <si>
    <t>Acre 394 Collection</t>
  </si>
  <si>
    <t>b20611031</t>
  </si>
  <si>
    <t>[General description] This plain factory building is the premises of Borgia Brothers pasta manufacturers, founded by Francesco Borgia. He was an Italian immigrant who started his business in Ward street, North Adelaide in 1938 but he was interned two years later at the beginning of WW11. He re-started his business after the war. 'To set the record straight : the story of Francesco Borgia, pioneer pasta maker in South Australia' ISBN 9781740084932 (pbk.)/ÔÇï by Christina Borgia Griguol tells his story [On back of photograph] 'Acre 395 / Gouger Street, south side / 25 January 1954 / Left side of Borgia Brothers building abuts west side of Bailey Street / Frontage of building is 16 1/2 yards / This building was under construction in September 195 / For view showing position of cottage formerly on the site, see B4052 (extreme right)'</t>
  </si>
  <si>
    <t>Acre 395 Collection</t>
  </si>
  <si>
    <t>b20611171</t>
  </si>
  <si>
    <t>[General description] Street view showing parked cars and buildings, one of which is the premises for Tur\ner's Ltd Butchers [On back of photograph] 'Acre 396 / Gouger Street, south side / 13 September, 1954 / Right side of modern brick 2 storey building is 18 yards east of Lowe Street / Frontage of building is 21 yards / The modern additions on the left of Turners Ltd. were constructed in 1953/54 / For view of central portion (ie. with lower part painted white) prior to addition of upper floor, see B 12560 / For view showing part of cottage formerly occupied by further portion of building (ie. with three unglazed windows) see extreme left of B 12560'</t>
  </si>
  <si>
    <t>b20611791</t>
  </si>
  <si>
    <t>Gouger Street, south side, March 15th 1954, right side of white painted section of two storey building is 9 yards east of Field Street and frontage is 11.5 yards, frontage of whole building is 16.5 yards. For a view of this building taken in 1953 before alterations see B 12522</t>
  </si>
  <si>
    <t>b20611808</t>
  </si>
  <si>
    <t>Field Street, near Gouger Street, Adelaide</t>
  </si>
  <si>
    <t>[General description] In the foreground is the premises of R.B. Day and Sons upholsterers and bedding manufacturers, the firm being established in 1873. Wooden frames are propped against the front of the building. Next door is a row of attached cottages.  [On back of photograph] 'Acre 403 / Field Street, east side / January 25th 1954 / Left side of Day's building is 52 3/4 yards south of Gouger Street and frontage is 15 yards / For view of this building taken in 1929, see B 5121'</t>
  </si>
  <si>
    <t>b2061181x</t>
  </si>
  <si>
    <t>Field Street, Adelaide</t>
  </si>
  <si>
    <t>[General description] This small square building is the Office of Simmons Memorials, Dudley Park [On back of photograph] 'Acre 403 / Field Street, west side / January 25th 1954 / Right side of Simmons allotment is 53 yards south of Gouger Street / Frontage is 9 yards / This is apparently part of and old cottage which has been re-modelled'</t>
  </si>
  <si>
    <t>b2061200x</t>
  </si>
  <si>
    <t>Compton Street, Adelaide</t>
  </si>
  <si>
    <t>[General description] Two shops look as if they are about to be re-modelled or demolished. The small cottage on the right has iron lace on its verandah[On back of photograph] 'Acre 404/ Compton Street, west side, March 29th 1954 / Right side of shop is 84 yards south of Gouger Street and frontage is 7 yards / Frontage of adjoining shop on left is 5 yards'</t>
  </si>
  <si>
    <t>Acre 404 Collection</t>
  </si>
  <si>
    <t>b20612412</t>
  </si>
  <si>
    <t>Gouger Street, south side, March 29th 1954, frontage of Solomons building is 9 3/4 yards. Left side of Solomon's building abuts west side of Mill Street. For a view of this building after alterations completed in 1957 see B 13882. A new facade covered this handsome building which supplied furniture and suites to Adelaide. Flags still covered the building after the Royal Visit a week before</t>
  </si>
  <si>
    <t>Acre 407 Collection</t>
  </si>
  <si>
    <t>b20613532</t>
  </si>
  <si>
    <t>Moore Street, Adelaide</t>
  </si>
  <si>
    <t>[General description] Cottages on Moore Street are in a dilapidated state. According to a researcher, the caption on this photograph is incorrect as such a view would show the Royalty Theatre. The view, he says, is of the west side looking towards Carrington Street, the subject building being almost opposite St Mary Magdalene Church. [On back of photgraph] 'Acre 413 / Moore Street, east side / 29th March 1954 / Left side of centre building is 45 yards south of Angas Street. Frontage: 20 yards'</t>
  </si>
  <si>
    <t>b2061374x</t>
  </si>
  <si>
    <t>Hanson Street, west side, 8th February 1954. Right side of the shop between iron pillars is 43 yards south of Angas Street. Frontage of shop between iron pillars is 4 3/4 yards.</t>
  </si>
  <si>
    <t>Acre 416 Collection</t>
  </si>
  <si>
    <t>b20613969</t>
  </si>
  <si>
    <t>Angas Street, south side, 3rd May 1954. Right side of Houghton and Byrne's building abuts east side of Eden Street. Frontage: 13 1/4 yards. These premises demolished and a two storey structure erected by August 1955. Compare with B13385. For a view of building which occupied part of this site prior to c.1947 see B 7157</t>
  </si>
  <si>
    <t>b20614044</t>
  </si>
  <si>
    <t>Angas Street, south side, 12th April 1954. Right side of the pair of cottages is 39 1/4 yards east of Regent Street. Frontage of cottages is 8 1/2 yards.</t>
  </si>
  <si>
    <t>Acre 420 Collection</t>
  </si>
  <si>
    <t>b20614172</t>
  </si>
  <si>
    <t>Cardwell Street</t>
  </si>
  <si>
    <t>Cardwell Street, west side, 11th January 1954. Right side of centre cream building, which does not include the portion with the verandah, is 12 1/2 yards south of Angas Street. Frontage: 13 1/4 yards,. Part of this complex now houses the Bakehouse Theatre. The centre cream building was erected in 1952 and forms the front of a covered way between the loft on the left and the building with the verandah on the right. Prior to 1952 a galvanised iron covered way, only, existed between the two buildings</t>
  </si>
  <si>
    <t>b20614214</t>
  </si>
  <si>
    <t>Angas Street, south side, 11th January 1954. Left side of house is 53 1/2 yards west of Hutt Street. Frontage: 11 1/4 yards. This house was erected in approximately 1952</t>
  </si>
  <si>
    <t>Acre 424 Collection</t>
  </si>
  <si>
    <t>b20614962</t>
  </si>
  <si>
    <t>Carrington Street, north side, 11 January 1954. The double cottage on left, numbers 360 &amp; 362, has a frontage of 11 yards. Cottage, no. 364, with left side abutting Ehmcke's Lane has a frontage of 5 1/2 yards. The lane is 4 1/4 yards wide.</t>
  </si>
  <si>
    <t>b20615115</t>
  </si>
  <si>
    <t>Hutt Street, west side, 11 January 1954. Right side of the centre white building is 25 1/2 yards south of Hume Street. Frontage: 7 1/4 yards. Frontage of the used car lot (Dalgety's) is 23 1/4 yards.</t>
  </si>
  <si>
    <t>Acre 437 Collection</t>
  </si>
  <si>
    <t>b20615255</t>
  </si>
  <si>
    <t>Regent Street, West Side, Adelaide</t>
  </si>
  <si>
    <t>[General description] A truck from 'Adelaide Taxi Trucks' is parked at the kerb near a two storey shop which appears to be closed [On back of photograph] 'Acre 442 / Regent Street, west side / 6 September 1954 / Left side of the two storey shop is 43 yards north of Carrington Street  frontage: 9 1/2 yards'</t>
  </si>
  <si>
    <t>Acre 442 Collection</t>
  </si>
  <si>
    <t>b20615395</t>
  </si>
  <si>
    <t>Hanson Street, east side, 15th February 1954. Right side of Amscol building, completed in 1954, is 40 1/4 yards north of Carrington Street. Frontage: 10 1/4 yards.</t>
  </si>
  <si>
    <t>Acre 444 Collection</t>
  </si>
  <si>
    <t>b20615565</t>
  </si>
  <si>
    <t>Carrington Street, Adelaide</t>
  </si>
  <si>
    <t>[General description] The premises of Phil O'Neill Trucks and a small cottage next door are about to be demolished. See B 13464 for building erected on this site and fiished in 1955. [On back of photograph] 'Acre 447 / Carrington Street, north side /3rd May 1954 / Right side of small cottage is 12 1/2 yards west of Queen Street / Frontage of cottage and shop, including fence on left of shop, 16 3/4 yards / This building and adjoining cottage demolished in 1954.'</t>
  </si>
  <si>
    <t>Acre 447 Collection</t>
  </si>
  <si>
    <t>b20615814</t>
  </si>
  <si>
    <t>Penney Place</t>
  </si>
  <si>
    <t>Penney Place, east side, January 11th 1954, left side of the cement brick garage is 37 1/4 yards north of Carrington Street and frontage of all the cement brick garage to the end of the street on the east side is 31 3/4 yards. The centre plain brick building on right side with one window was erected in 1940 in front of a cottage. For view of this cottage see B 2326. The unfinished cement brick building was erected in c.1947</t>
  </si>
  <si>
    <t>Acre 450 Collection</t>
  </si>
  <si>
    <t>b2061598x</t>
  </si>
  <si>
    <t>Kent Street</t>
  </si>
  <si>
    <t>Kent Street, east side, January 11th 1954, right side of centre white garage is 17.5 yards north of Carrington Street and frontage is 9 yards.</t>
  </si>
  <si>
    <t>b20616090</t>
  </si>
  <si>
    <t>Pinkmore Place</t>
  </si>
  <si>
    <t>Pinkmore Place (dead end), March 1st 1954. The location of this building prevents a measurement being taken. The roadway is 10 yards wide. This structure was possibly erected in c.1951</t>
  </si>
  <si>
    <t>b20616107</t>
  </si>
  <si>
    <t>Wright Street, Adelaide</t>
  </si>
  <si>
    <t>[General description] This cottage is about to undergo alteration to be used as the premises for Rasch Motors. There are two FX Holdens parked in the street, the one on the right is a utility. [On back of photograph] 'Acre 453 / Wright Street, north side / November 15th 1954 / Right side of cottage abuts Pinkmore Place / Frontage of cottage is 8 yards / For view of cottage after alterations see B 14004'</t>
  </si>
  <si>
    <t>b20616235</t>
  </si>
  <si>
    <t>Mill Street</t>
  </si>
  <si>
    <t>Mill Street, east side, March 8th 1954. Right side of Jenkins building is 57 yards north of Wright Street and frontage is 13 3/4 yards. For buildings previously on this site (possibly partly incorporated) see extreme left of B 3371</t>
  </si>
  <si>
    <t>Acre 454 Collection</t>
  </si>
  <si>
    <t>b20616247</t>
  </si>
  <si>
    <t>Mill Street, Adelaide</t>
  </si>
  <si>
    <t>[General description] Attached cottages in Mill Street. See B 3371 for another view taken in 1926. [On back of photograph] 'Acre 454 / Mill Street, east side / December 16th 1954 / Right side of building is 35.5 yards north of Wright Street and frontage of 12 yards'</t>
  </si>
  <si>
    <t>b20616363</t>
  </si>
  <si>
    <t>[General description] This small cottage is partially obscured by cars parked on the street. Builders are at work on its re-modelling. [On back of photograph] 'Acre 455 / Wright Street, north side / 1954 / Right side of cottage is 21 3/4 yards west of Coglin Street / Frontage is 9 3/4 yards'</t>
  </si>
  <si>
    <t>Acre 455 Collection</t>
  </si>
  <si>
    <t>b20616399</t>
  </si>
  <si>
    <t>[General description] This small cottage is partially obscured by cars parked on the street. Corrugated iron hoarding has been installed whilst builders work on its re-modelling. [On back of photograph] 'Acre 455 / Wright Street, north side / 1954 / Right side of cottage is 21 3/4 yards west of Coglin Street / Frontage is 9 3/4 yards'</t>
  </si>
  <si>
    <t>b20616569</t>
  </si>
  <si>
    <t>Wright Street</t>
  </si>
  <si>
    <t>Wright Street, north side, March 1st 1954, frontage of building is 30.5 yards. Right side of building abuts west side of Compton Street. This building has incorporated previously existing cottages. The conversion was completed in 1952 (i.e. exterior)The sign on the front of the premises says "Norman, Turner and Nottage Ltd. Makers of fine furniture"</t>
  </si>
  <si>
    <t>Acre 457 Collection</t>
  </si>
  <si>
    <t>b20616570</t>
  </si>
  <si>
    <t>Compton Street</t>
  </si>
  <si>
    <t>Compton Street, east side, March 29th 1954, left side of cottage bounded by galvanised iron fences is 71 yards south of Gouger Street and frontage is approximately 5 yards.</t>
  </si>
  <si>
    <t>b20616594</t>
  </si>
  <si>
    <t>[General description] This small red brick cottage is next door to the Old Queen's Arms Hotel. [On back of photograph] 'Acre 457 / Wright Street, north side / December 22nd 1954 / Left side of cottage is 12 yards east of Compton Street and frontage of cottage is 7 1/4 yards.'</t>
  </si>
  <si>
    <t>b20616843</t>
  </si>
  <si>
    <t>[General description] The end cottage on this row (next to the two storey building which looks like a shop) has had a verandah added and a new fence [On back of photograph] 'Acre 459 / Wright Street, north side / February 22nd 1954 / Left side of single storey building abuts east side of Wright Court / Frontage of building is 19 yards / Frontage of portion with verandah, 6.5 yards'</t>
  </si>
  <si>
    <t>Cottages</t>
  </si>
  <si>
    <t>Acre 459 Collection</t>
  </si>
  <si>
    <t>b20616946</t>
  </si>
  <si>
    <t>Hotel Gothic, Morphett Street, Adelaide</t>
  </si>
  <si>
    <t>Hotel Gothic on the north west corner of Morphett (formerly Brown) Street and Wright Street, February 22nd 1954, Brown Street frontage is 20 yards and Wright Street frontage is 21 yards. The small dark brick section on left was added c.1951.</t>
  </si>
  <si>
    <t>Hotel Gothic (Morphett Street, Adelaide. S.A.);Hotels -- South Australia -- Adelaide -- Morphett Street</t>
  </si>
  <si>
    <t>Acre 461 Collection</t>
  </si>
  <si>
    <t>b20617240</t>
  </si>
  <si>
    <t>West Terrace, Adelaide</t>
  </si>
  <si>
    <t>[General description] West Terrace Motors New and Used Cars yard. This car dealership has replaced former cottages. [On back of photograph] 'Acre 468 / West Terrace, north corner of Alfred Street / March 1st 1954 / Right side of car allotment abuts north side of Albert Street / West Terrace frontage is 19 3/4 yards and Alfred Street frontage is 43 yards / Cottages on this site were demolished in 1952.'</t>
  </si>
  <si>
    <t>Automobile dealers -- South Australia -- Adelaide</t>
  </si>
  <si>
    <t>Acre 468 Collection</t>
  </si>
  <si>
    <t>b20617458</t>
  </si>
  <si>
    <t>Chatham Street, Adelaide</t>
  </si>
  <si>
    <t>[General description] This small cottage, set back off the street appears to be squeezed between brick walls on either side. There is a small garden containing a couple of old fruit trees and (possibly) some tomato plants. [On back of photograph] 'Acre 472 / Chatham Street, west side / February 15th 1954 / Brick wall on the left is 71 yards north of Sturt Street and frontage of the cottage is 7 yards / See Cadastral plan.'</t>
  </si>
  <si>
    <t>Acre 472 Collection</t>
  </si>
  <si>
    <t>b20617550</t>
  </si>
  <si>
    <t>Gray Court, Adelaide</t>
  </si>
  <si>
    <t>[General description] This slightly murky view shows part of a cottage with a picket fence on the right, sheds (and a fireplug) in the centre and more cottages in the distance  [On back of photograph] 'Acre 473 / Gray Court, east side / June 7th 1954 / Left side of galvanised iron sheds is 54.5 yards south of Wright Street / Frontage is 17 yards'</t>
  </si>
  <si>
    <t>Acre 473 Collection</t>
  </si>
  <si>
    <t>b20617604</t>
  </si>
  <si>
    <t>[General description] This building is the premises of the Adelaide Margarine Company, founded by Felice Maggi circa 1935. It appears to be constructed from Besser blocks and has a sawtooth roof. [On back of photograph] 'Acre 474 / Wright Street, south side / June 7th 1954 / Left side of building abuts west side of George Court / Frontage of building is 14.5 yards / This building was erected in 1946 on a vacant site / For view of cottages formerly on the site see B 2942 / For a view of this building taken in 1960 see B 14373'</t>
  </si>
  <si>
    <t>Acre 474 Collection</t>
  </si>
  <si>
    <t>b20617689</t>
  </si>
  <si>
    <t>Whitmore Square</t>
  </si>
  <si>
    <t>Whitmore Square, east side, March 15th 1954, left side of allotment is 35 yards south of Wright Street and frontage of allotment on which house stands is 35 yards.Building was demolished before it could be measured. The building which was demolished was a fine two storey bluestone house with filled in  upper balcony over the front door and surrounded by garden of mature trees</t>
  </si>
  <si>
    <t>Acre 478 Collection</t>
  </si>
  <si>
    <t>b20617975</t>
  </si>
  <si>
    <t>Frew Street</t>
  </si>
  <si>
    <t>Frew Street, east side, January 25th 1954, right side of building is 70.5 yards north of Sturt Street and frontage of the building is 9 3/4 yards.</t>
  </si>
  <si>
    <t>Acre 483 Collection</t>
  </si>
  <si>
    <t>b20617987</t>
  </si>
  <si>
    <t>Wright Street, south side, February 22nd 1954, left side of Hylands building is 12 yards west of Mill Street (opposite side of road) and frontage is 9 yards. Hylands and Sons building was completed in 1953. No earlier view is available. For another view of this building see B 14011. David Hyland and Sons Pty. Ltd. Fish Merchants</t>
  </si>
  <si>
    <t>b20618712</t>
  </si>
  <si>
    <t>Carrington Street, South Side, Adelaide</t>
  </si>
  <si>
    <t>[General description] This single storey symmetrical cottage appears to be in a dilapidated state and is probably about to be demolished [On back of photograph] 'Acre 489 / Carrington Street, south side / 26th July 1954 / Left side of house is 84 1/2 yards west of Queen Street  frontage: 16 yards'</t>
  </si>
  <si>
    <t>Acre 489 Collection</t>
  </si>
  <si>
    <t>b2061911x</t>
  </si>
  <si>
    <t>McLaren Street, North Side</t>
  </si>
  <si>
    <t>McLaren Street, north side, 11th January 1954. Right side of cottage behind the picket fence is 93 1/2 yards west of Cardwell Street. Its frontage is 7 yards. Cream brick additions were made to this cottage at the rear in approximately 1953</t>
  </si>
  <si>
    <t>Acre 497 Collection</t>
  </si>
  <si>
    <t>b20619868</t>
  </si>
  <si>
    <t>[General description] This row of shops in Hutt Street which includes the premises of F.J.C. Burton, Butcher is partially obscured by plane trees. A truck with a load of rubble is parked outside the shops and there is more rubble on the footpath. Perhaps there is demolition work going on? [On back of photograph] 'Acre 512 / Hutt Street, east side / December 16th 1954 / Right side of butchers premises is 42 yards north of Halifax Street and frontage is 9 yards.'</t>
  </si>
  <si>
    <t>Acre 512 Collection</t>
  </si>
  <si>
    <t>b20620585</t>
  </si>
  <si>
    <t>Queen Street, east side, January 11th 1954, right side of the Paramount building is 57 yards north of Halifax Street and frontage is 23 1/4 yards. Paramount building was erected in 1952. The site was apparently previously occupied by (in part) cottages. Paramount Electric Platers/Electric Industries</t>
  </si>
  <si>
    <t>Acre 523 Collection;Acre 490 Collection</t>
  </si>
  <si>
    <t>b2062072x</t>
  </si>
  <si>
    <t>Halifax Street, Adelaide</t>
  </si>
  <si>
    <t>[General description] Stone cottages in Halifax Street [On back of photograph] 'Acre 524 / Halifax Street, north side / February 22nd 1954 / Right side of centre cottage is 20 yards west of St. Helena Place and frontage is 10.5 yards'</t>
  </si>
  <si>
    <t>Acre 524 Collection</t>
  </si>
  <si>
    <t>b20620822</t>
  </si>
  <si>
    <t>[General description] This single storey stone corner building is the premises of the Avalon ClothingCompany [On back of photograph] 'Acre 525 / Halifax Street, north side / October 5th 1954 / Left side of cottage abuts east side of Sydney Place / Frontage of cottage is 10 yards / Slight alterations were subsequently made to this building / Compare with B 13839 taken in January 1957'</t>
  </si>
  <si>
    <t>Acre 525 Collection</t>
  </si>
  <si>
    <t>b20620913</t>
  </si>
  <si>
    <t>Halifax Street, north side, January 11th 1954, frontage of building on the left is 13.5 yards. Left side of Habico building abuts east side of Surflen Street. For a view of Habico building in 1925 see B 2658. Slatters Boot and Shoe Warehouse stands to the east of Habico and was established in 1874</t>
  </si>
  <si>
    <t>Acre 526 Collection</t>
  </si>
  <si>
    <t>b20621073</t>
  </si>
  <si>
    <t>[General description] Shops in King William Street in a two storey terrace. C&amp;B Urbon Grocers, a Fish Cafe, Bartley's Hairdresser and Tobacconist and Brown &amp; Son, Bakers are names of the shopkeepers. Tramlines are in the foregground. [On back of photograph] 'Acre 528 / King William Street, east side / October 5th 1954 / Right side of four centre shops is 29 yards north of Halifax Street / Frontage is 20 yards.</t>
  </si>
  <si>
    <t>b2062119x</t>
  </si>
  <si>
    <t>John Street</t>
  </si>
  <si>
    <t>John Street, east side, January 25th 1954, right side of centre cement faced building is 28 1/4 yards north of Sturt Street and frontage is 19 1/4 yards. This building was completed in 1952. The site previously formed a rear yard (possibly with structures) of a King William Street frontage</t>
  </si>
  <si>
    <t>b20621206</t>
  </si>
  <si>
    <t>John Street, west side, January 25th 1954, left side of Windsor Poultry Service building  is 28 3/4 yards north of Sturt Street and frontage is 19 3/4 yards. This building was erected in 1948. The site was then vacant</t>
  </si>
  <si>
    <t>b20621218</t>
  </si>
  <si>
    <t>[General description] This imposing two storey stone terrace house has an iron lace balcony and cement quoins. It is in run down condition and is about to be remodelled. See B 13587 for the new modern building.[On back of photograph] 'Acre 529 / King William Street, west side / December 22nd 1954 / Left side of building in the centre is 48 1/4 yards north of Sturt Street and frontage is 10 yards.'</t>
  </si>
  <si>
    <t>b20621334</t>
  </si>
  <si>
    <t>Sturt Street, north side, February 15th 1954, right side of the building is 17 yards west of Frew Street and the frontage is 7 yards. This building was remodelled late in 1952</t>
  </si>
  <si>
    <t>Acre 530 Collection</t>
  </si>
  <si>
    <t>b20621498</t>
  </si>
  <si>
    <t>Sturt Street, north side, February 15th 1954, right side of brick building is 20 yards west of Russell Street and frontage of brick building is 10 yards. Brick structure was completed in 1954. For view of portion of building previously on this site see extreme left of B 6222</t>
  </si>
  <si>
    <t>Acre 533 Collection</t>
  </si>
  <si>
    <t>b20621528</t>
  </si>
  <si>
    <t>Sturt Street, Adelaide</t>
  </si>
  <si>
    <t>[General description] These two cottages are soon to be replaced by a printing works. The corner one has a shingle roof [On back of photograph] 'Acre 534 / Sturt Street, north side / March 29th 1954 / Left side of white building abuts east side of Hobson's Place / Sturt Street frontage is 9 yards / Frontage of the cottage behind picket fence is approximately 7 yards / The white cottage and the adjoining cottage on right were later demolished / For building erected on site and completed in 1957,see B 13852'</t>
  </si>
  <si>
    <t>Acre 534 Collection</t>
  </si>
  <si>
    <t>b20621838</t>
  </si>
  <si>
    <t>[General description] Cottages, the centre one is an Adelaide villa with twin arched windows and iron lace verandah. There are parked cars at the kerb. [On back of photograph] 'Acre 539 / Sturt Street, north side / November 22nd 1954 / Left side of centre house is 38 yards east of Frederick Place and frontage is 10 3/4 yards.'</t>
  </si>
  <si>
    <t>Acre 539 Collection</t>
  </si>
  <si>
    <t>b20622089</t>
  </si>
  <si>
    <t>[General description] This symmetrical stone cottage has a concave verandah and is set behind a stone and wrought iron fence. It is about to be demolished. See B 13720 for building erected on this site in 1955 [On back of photograph] 'Acre 544 / West Terrace south / October 5th 1954 / Right side of house is 35 1/4 yards north of Sturt Street and frontage is 12 yards'</t>
  </si>
  <si>
    <t>Acre 544 Collection</t>
  </si>
  <si>
    <t>b20622090</t>
  </si>
  <si>
    <t>[General description] This image has been superimposed onto another fainter one so it is hard to make out. The building is the premises for Clem Smith Motors used car dealer. [On back of photograph] 'Acre 544 / West Terrace / November 15th 1954 / Right side of building is 55.5 yards north of Sturt Street and frontage is 11.5 yards / Note: The building had been altered before a better print could be made / For view of this building after alterations made after November 15, 1954 see B 13142.'</t>
  </si>
  <si>
    <t>b20622922</t>
  </si>
  <si>
    <t>Norman Street</t>
  </si>
  <si>
    <t>Norman Street, east side, January 25th 1954, frontage of building is 70 3/4 yards. Left corner of building abuts south side of Sturt Street. This structure was erected in 1953 September and 1954 January. For buildings which occupied near portion of this site see B 12825</t>
  </si>
  <si>
    <t>Acre 557 Collection</t>
  </si>
  <si>
    <t>b20622934</t>
  </si>
  <si>
    <t>Sturt Street, south side, January 25th 1954, frontage of building is 42.5 yards. This structure was erected in 1953 September and 1954 January. For buildings which occupied near portion of this site see B 12825. Right side of building abuts east side of Norman Street. For a view of this building in 1958 see B 14082</t>
  </si>
  <si>
    <t>b20623203</t>
  </si>
  <si>
    <t>Sturt Street, south side, February 22nd 1954. This photograph is almost the same as B 12695, but shows a little more of structures on left of Wonderheat building. For details of site etc. see B 12695</t>
  </si>
  <si>
    <t>b20623306</t>
  </si>
  <si>
    <t>Halifax Street, south side, January 11th 1954, right side Mayfield building is 36.5 yards east of King William Street and frontage is 12 yards. For a view of this building prior to alterations made in 1953 see B 3405. FR Mayfield Limited Electrical Engineers</t>
  </si>
  <si>
    <t>Acre 561 Collection</t>
  </si>
  <si>
    <t>b20623513</t>
  </si>
  <si>
    <t>Halifax Street, south side, May 31st 1954, right side of centre building is 15 yards east of Hallett Street and frontage is 14.5 yards. For view of building after rebuilding see B 14015</t>
  </si>
  <si>
    <t>Acre 565 Collection</t>
  </si>
  <si>
    <t>b20623616</t>
  </si>
  <si>
    <t>Hurtle Square, west side, January 11th 1954, right side of Bromley and Tregoning'sEngineering Works building is 31 yards south of Halifax Street and frontage of building and yard on left is 41 yards.</t>
  </si>
  <si>
    <t>Acre 567 Collection</t>
  </si>
  <si>
    <t>b20623628</t>
  </si>
  <si>
    <t>Hurtle Square, south of Halifax Street, west side, February 3rd 1954.  Right side of the house in course of demolition is 9.5 yards south of Halifax Street and frontageof house is 17.5 yards. A caravan can be seen parked in the street</t>
  </si>
  <si>
    <t>b2062363x</t>
  </si>
  <si>
    <t>Halifax Street, south side, June 7th 1954, frontage of building is 21 yards. Right side of brick building abuts side of Stephens Street. For a view of this building taken in 1957, see B 13841</t>
  </si>
  <si>
    <t>b20624207</t>
  </si>
  <si>
    <t>[General description] Houses in Hutt Street showing this symmetrical stone two storey cottage undergoing alterations. A balcony has been removed and part of the front is being extended [On back of photograph] 'Acre 577 / Hutt Street, east side / January 25th 1954 / Left side of building in course of re-construction is 14.5 yards south of Halifax Street and frontage is 12 yards / For photograph of building after completion of alterations see B 13933'</t>
  </si>
  <si>
    <t>Acre 577 Collection</t>
  </si>
  <si>
    <t>b20624219</t>
  </si>
  <si>
    <t>[General description] This row of terrace houses is undergoing alterations [On back of photograph] Acre 577 / Hutt Street, east side / 25th January 1954 / Left side of the building in course of re-construction is 39 yards south of Halifax Street / Frontage is approximately 31 yards'</t>
  </si>
  <si>
    <t>b20624694</t>
  </si>
  <si>
    <t>North Street, West Side</t>
  </si>
  <si>
    <t>North Street, west side, 18th January 1954. Right side of Beaurepaire Tyre Service is 36 yards south of Currie Street, frontage: 14 1/2 yards. This building was erected in 1952. For a view of structure on this site in 1914 see B 1816. For additions to Beaurepaire building made in 1955 see B 13846</t>
  </si>
  <si>
    <t>Acre 128 Collection</t>
  </si>
  <si>
    <t>b20624700</t>
  </si>
  <si>
    <t>Currie Street, South Side</t>
  </si>
  <si>
    <t>Currie Street, south side, 22 February 1954. Left side of building abuts west side of North Street where the frontage is 16 3/4 yards. Frontage on Currie Street: 14 1/2 yards. Remodelling of this building completed in March 1954. For a view of the building before remodelling see B 10914. Building on the extreme right and the dark cottage on the left were later demolished. The building on the extreme right of this view was later demolished. For building consequently erected on the site see B 13716 and B 13717</t>
  </si>
  <si>
    <t>b20625352</t>
  </si>
  <si>
    <t>Gilles Street, north side, June 21st 1954, right side of centre white cottage is 70 yards west of Hutt Street and frontage is 10 yards. For a view of house after alteration see B 14035</t>
  </si>
  <si>
    <t>Acre 592 Collection</t>
  </si>
  <si>
    <t>b20625480</t>
  </si>
  <si>
    <t>Cardwell Street, west side, January 11th 1954, right side of centre site is 70.5 yards south of Halifax Street and frontage is 6.5 yards. A note on the back of the photograph says "A cottage has apparently been demolished on this site, before a photograph could be taken. Town Hall information intimated conversion of dwelling to garage only"</t>
  </si>
  <si>
    <t>Acre 593 Collection</t>
  </si>
  <si>
    <t>b20625492</t>
  </si>
  <si>
    <t>Gilles Street, Adelaide</t>
  </si>
  <si>
    <t>[General description] A few cars are parked on the street which features a dense avenue of plane trees, obscuring buildings. [On back of photograph] 'Acre 593 / Gilles Street, north side / February 15th 1954 / Right side of brick building with large windows is 18 yards west of Cardwell Street and frontage is 45.5 yards'</t>
  </si>
  <si>
    <t>b20625649</t>
  </si>
  <si>
    <t>Gilles Street, north side, January 11th 1954, left side of  Watson Spring Works building is 21.5 yards east of Hanson Street and frontage of Watson Spring Works is 10 1/4 yards.</t>
  </si>
  <si>
    <t>b2062573x</t>
  </si>
  <si>
    <t>Hanson Street, west side and south side of Hurtle Square, January 11th 1954.  Right side of service station has frontage of 33 yards on Hurtle Square. Left side has frontage of 20 yards on Hanson Street. Some alterations were made to this service station in c.1953. See B 9565 taken in 1940</t>
  </si>
  <si>
    <t>Acre 599 Collection</t>
  </si>
  <si>
    <t>b20625947</t>
  </si>
  <si>
    <t>[General description] These two adjoining cottages are about to be re-modelled. [On back of photograph] 'Acre 602 / Gilles Street, north side / November 15th 1954 / Left side of building abuts east side of Hallett Street / Frontage of building is 14 yards / This building was subsequently altered and refaced / Compare with B 13599 taken on January 24th, 1956'</t>
  </si>
  <si>
    <t>Acre 602 Collection</t>
  </si>
  <si>
    <t>b20625996</t>
  </si>
  <si>
    <t>[General description] The premises of the Masco Metropolitan Automotive Service Co. with a car parked at the kerb [On back of photograph] 'Acre 604 / Gilles Street, north side / March 15th 1954 / Left side of Masco building is 30.5 yards east of Symonds Place and frontage is 23 yards'</t>
  </si>
  <si>
    <t>Acre 604 Collection</t>
  </si>
  <si>
    <t>b20626204</t>
  </si>
  <si>
    <t>Gilbert Street, north side, May 31st 1954, left side of the cottage is 10 yards east of Tapley Street and frontage is 10 yards.</t>
  </si>
  <si>
    <t>b20626216</t>
  </si>
  <si>
    <t>Tapley Street</t>
  </si>
  <si>
    <t>Tapley Street, east side, June 7th 1954, right side of the Avalon Shoes building is 33 yards north of Gilbert Street and frontage is 9.5 yards. This building was erected in 1950. The site was formerly occupied by a cottage which was demolished before a photograph could be obtained</t>
  </si>
  <si>
    <t>b20626423</t>
  </si>
  <si>
    <t>Norman Street, Adelaide</t>
  </si>
  <si>
    <t>[General description] This is an early Adelaide cottage with a slate roof  which appears to be in the early stages of demolition. On the right is part of the Wesleyan 'Draper Memorial Church', which by this time had become the 'Apolistic Church'. [On back of photograph] 'Acre 610 / Norman Street, east side / August 16th 1954 / Right side of cottage is 51 yards north of Gilbert Street and frontage is 9 yards.'</t>
  </si>
  <si>
    <t>Acre 610 Collection</t>
  </si>
  <si>
    <t>b20626599</t>
  </si>
  <si>
    <t>Gilbert Street, north side, 13 September 1954, left side of cottage is 108 yards east of Brown Street and frontage of cottage is approximately 9 yards. The cottage was demolished in October 1854. For view of building subsequently on this site see B 13957</t>
  </si>
  <si>
    <t>Acre 613 Collection</t>
  </si>
  <si>
    <t>b20626605</t>
  </si>
  <si>
    <t>Gilbert Street, north side, 13 September 1954, left side of sheds is 81.5 yards east of Brown Street and frontage of sheds is 20 yards. For a view of this site in 1957 see B 13957</t>
  </si>
  <si>
    <t>b20626617</t>
  </si>
  <si>
    <t>Gilbert Street, north side, 12 October 1954, left side of the cottage is 108 yards east of Brown Street and frontage is approximately 9 yards. Cottage is shown in the course of demolition</t>
  </si>
  <si>
    <t>b20627245</t>
  </si>
  <si>
    <t>[General description] Ron Niemann's new Service Station with its 'Golden Fleece Lubritorium' is next door to the Elephant and Castle Hotel. [On back of photograph] 'Acre 622 / West Terrace, March 1st 1954 / Right side of Niemann's building is 25 3/4 yards north of Gilbert Street / Frontage: 17.5 yards / This Service Station was completed in 1953 / Compare with B 4171.'</t>
  </si>
  <si>
    <t>Acre 622 Collection</t>
  </si>
  <si>
    <t>b20627336</t>
  </si>
  <si>
    <t>West Terrace south, February 3rd 1954, left side of the Hamra building is 36 yards south of Gilbert Street and frontage is 35 yards. The front of this building was subsequently demolished and a new front erected. The rear portion of building was left standing. Compare with B 13610. Hamra Brothers were wholesale furniture manufacturers.</t>
  </si>
  <si>
    <t>Acre 623 Collection</t>
  </si>
  <si>
    <t>b20627658</t>
  </si>
  <si>
    <t>Brown Street, west side, February 15th 1954, right side of centre cottage with the picket fence is 50 yards south of Gilbert Street and frontage is 10 yards. Note: This building actually contains 2 residences</t>
  </si>
  <si>
    <t>Acre 630 Collection</t>
  </si>
  <si>
    <t>b20627877</t>
  </si>
  <si>
    <t>[General description] Builders including a bricklayer are busy working on an extension to the facade of this cottage. It will now front directly onto the footpath. Note the scaffolding[On back of photograph] 'Acre 632 / Gilbert Street, south side / October 5th 1954 / Left side of building is 14.5 yards west of Herman Street / Frontage is 10 1/4 yards / Building shown in course of re-modelling / For view of the building after re-construction see B 14008'</t>
  </si>
  <si>
    <t>Acre 632 Collection</t>
  </si>
  <si>
    <t>b20628018</t>
  </si>
  <si>
    <t>[General description] Workmen are busy working on an extension to the facade of this cottage. It will now front directly onto the footpath [On back of photograph] 'Acre 633 / Gilbert Street, south side / October 5th 1954 / Right side of centre building is 10 yards east of Percy Court / Frontage is 10 yards / Building shown in course of re-modelling / For view of this building after completion see B 13569'</t>
  </si>
  <si>
    <t>b2062802x</t>
  </si>
  <si>
    <t>[General description] The centre cottage in this view is undergoing re-modelling. [On back of photograph] 'Gilbert Street, south side / August 16th 1954 / Right side of the cottage is 10 yards east of Percy Court and frontage is 10 yards / Shown in course of alteration / For view after see B 14012.'</t>
  </si>
  <si>
    <t>b20628213</t>
  </si>
  <si>
    <t>Gilbert Street, south side, 15th March, 1954. Left side of Newton McLaren building abuts west side of O'Halloran Street  frontage: 17 1/2 yards. Newton McLaren  Limited, 61-65 Gilbert Street</t>
  </si>
  <si>
    <t>b2062847x</t>
  </si>
  <si>
    <t>[General description] J.K. Stump Austin dealers and the cottage next door are about to be combined into the one premises. See B 13586 for the completed work. [On back of photograph] 'Acre 638 / King William Street, west side / 16 December 1954 / Right side of Stump's building abuts south side of Holland Place / Frontage of building is 10-1/2 yards / Stump's building and adjoining cottage were subsequently remodelled into a new Service Station and Show room in 1955.'</t>
  </si>
  <si>
    <t>b20628559</t>
  </si>
  <si>
    <t>[General description] A row of cars are parked in front of a pair of two storey terrace houses which are about to be remodelled [On back of photograph] 'Acre 639 / King William Street, east side / 16 August 195 / Left side of building is 50 yards south of Gilles Street / Frontage: 20 yards / This building was remodelled in 1955 / For view of building after alterations see B 13585'</t>
  </si>
  <si>
    <t>Cottages -- Remodeling</t>
  </si>
  <si>
    <t>b20629278</t>
  </si>
  <si>
    <t>Hutt Street, Adelaide, East Side</t>
  </si>
  <si>
    <t>[General description] Houses, parked cars and trees in Hutt Street. The small building on the left is being re-modelled. [On back of photograph] 'Acre 655 / Hutt Street, east side / 18 January 1954 / Left side of small gabled building in course of alteration is 41 1/2 yards south of Gilles Street / Frontage: 6 1/2 yards.'</t>
  </si>
  <si>
    <t>b20629412</t>
  </si>
  <si>
    <t>Gilles Street, south side: 15 February 1954. Right side of Higgins building is 23-1/2 yards east of Vincent Street. Frontage of Higgins building is 16-3/4 yards. For a view of this portion of building prior to alterations made in c.1953 see extreme right of B 4811</t>
  </si>
  <si>
    <t>Acre 657 Collection</t>
  </si>
  <si>
    <t>b20629424</t>
  </si>
  <si>
    <t>Vincent Street</t>
  </si>
  <si>
    <t>Vincent Street, east side  15 February 1954. Left side of cottage without verandah is 50 yards south of Gilles Street. Frontage of cottage without verandah is 11-1/4 yards. This cottage remodelled c. 1954.</t>
  </si>
  <si>
    <t>b20630177</t>
  </si>
  <si>
    <t>South Terrace east, 11th January 1954. Left side of the centre cement-faced building is 21 yards east of Charlotte Street. Frontage: 18 1/2 yards.</t>
  </si>
  <si>
    <t>Acre 673 Collection</t>
  </si>
  <si>
    <t>b20630633</t>
  </si>
  <si>
    <t>Hanson Street, west side, 11th January 1954. Left side of Service Station is 44 yards north of South Terrace. Frontage of Service Station is 20 yards. This service station was probably erected in approximately 1952. For a distant view of earlier service station takne in 1940 see B 9548. The building is called Green Dragon after the Green Dragon Hotel which existed on Acre 677 from 1858</t>
  </si>
  <si>
    <t>b2063075x</t>
  </si>
  <si>
    <t>South Terrace, Adelaide</t>
  </si>
  <si>
    <t>[General description] This recently built classroom is of bricks with an iron roof. It is in the centre of this view of the school grounds and buildings. [On back of photograph] 'Acre 680 / South Terrace east / 15th February 1954 / Pulteney Grammar School class room / Left side of building is 17.7 yards east of Symonds Place / Frontage: 13 yards / This building was erected in 1950.'</t>
  </si>
  <si>
    <t>Pulteney Grammar School (Adelaide, S.A.)</t>
  </si>
  <si>
    <t>Acre 680 Collection</t>
  </si>
  <si>
    <t>b20630761</t>
  </si>
  <si>
    <t>[General description] School buildings surrounded by trees at Pulteney grammar, with what appears to be a soccer goal frame in the foreground. See B 13116 for a  view of this building on its southern side. [On back of photograph] 'Acre 680 / South Terrace east / 15th February 1954 / The western front of a Pulteney Grammar School class room erected in 1950.'</t>
  </si>
  <si>
    <t>b20630815</t>
  </si>
  <si>
    <t>Pulteney Grammar School, Adelaide</t>
  </si>
  <si>
    <t>[General description] Modernist prefabricated classrooms,recently installed. There is a pile of eathenware drainage pipes in the foreground. [On back of photograph] 'Pulteney Grammar School class rooms / Note: School has whole of acre 681 / South Terrace east, 15th February 1954. These class rooms were erected over the period 1949-51. There is a small sketch showing the situation of the classrooms / They were erected over the period 1949-51'</t>
  </si>
  <si>
    <t>Acre 681 Collection</t>
  </si>
  <si>
    <t>b20631054</t>
  </si>
  <si>
    <t>King William Street, east side corner of South Terrace, January 25th 1954, right side of Antonas building on the right is 4 yards north of South Terrace and frontage is 13 yards.This building had been remodelled from an older structure in 1952. For a view of building prior to alterations see B 6800</t>
  </si>
  <si>
    <t>b20631650</t>
  </si>
  <si>
    <t>[General description] The gates of this narrow empty block (in the centre) are open, revealing a view of buildings in the distance. There are cottages on either side. [On back of photograph] 'Acre 693 / South Terrace west / 1 March 1954 / Right side of cottage on left is 38 yards west of Brown Street and frontage is 8.5 yards.'</t>
  </si>
  <si>
    <t>b20634286</t>
  </si>
  <si>
    <t>Kermode Street, North Adelaide</t>
  </si>
  <si>
    <t>[General description] This is the eastern end of a pair of attached two storey stone houses with decorative gables, iron lace balconies and bay windows. An Austin car is parked at the kerb. [On back of photograph] 'Acre 720 / Kermode Street, north side / December 30th 1954 / For the western portion of this building see B 13193 / Right side of building is 45.5 yards west of Poole Street / Frontage of building including portion shown in B 13193 is 16 yards'</t>
  </si>
  <si>
    <t>Acre 720 Collection</t>
  </si>
  <si>
    <t>b20634298</t>
  </si>
  <si>
    <t>[General description] This is the western end of a pair of attached two storey stone houses with decorative gables, iron lace balconies and bay windows. A Standard Vanguard car is parked at the kerb. [On back of photograph] 'Acre 720 / Kermode Street, north side / December 30th 1954 / For the eastern portion of this building see B 13192 / Right side of building is 45.5 yards west of Poole Street / Frontage of building including portion shown in B 13192 is 16 yards'</t>
  </si>
  <si>
    <t>b20634742</t>
  </si>
  <si>
    <t>Brougham Place, Adelaide</t>
  </si>
  <si>
    <t>[General description] The Royal Institution for the Blind. [On back of photograph] 'Acre 729 / Brougham Place / February 8th 1954 / These two buildings, together with gabled building (shown in B 13140) which adjoins on the left, have a frontage of 20 yards / For site see B 13140'</t>
  </si>
  <si>
    <t>Royal Institution for the Blind (North Adelaide, S.A.)</t>
  </si>
  <si>
    <t>Acre 729 Collection</t>
  </si>
  <si>
    <t>b20634754</t>
  </si>
  <si>
    <t>Brougham Place, North Adelaide</t>
  </si>
  <si>
    <t>[General description] Buildings occupied by the Royal Institution for the Blind. [On back of photograph] 'Acre 729 / Brougham Place, February 8th 1954 / Left side of building on the right is 44.5 yards west of King William Road / Frontage of gabled building together with two buildings shown in B 13139 is 20 yards.'</t>
  </si>
  <si>
    <t>b20635527</t>
  </si>
  <si>
    <t>[General description] These recently built two houses on the north-eastern corner of Brougham Place and Lefevre Terrace appear to built by the same contractor as both are similar in style with fancy stone walls and tiled roofs. For renovations to house on left see B 15096. [On back of photograph]  'Acre 733 / Brougham Place, north side / North Adelaide / February 8th, 1954 / Right side of nearer house is 13 1/4 yards west of LeFevre Terrace / Frontage 12 yards.'</t>
  </si>
  <si>
    <t>Acre 733 Collection</t>
  </si>
  <si>
    <t>b20636258</t>
  </si>
  <si>
    <t>O'Connell Street, North Adelaide</t>
  </si>
  <si>
    <t>[General description] This Ford dealer has a well stocked yard with a sign over its office advertising 'New and Used Vehicles, Cash or Terms' A Ford Anglia is parked in the street. [On back of photograph] 'Acre 739 / O'Connell Street, west side / February 8th 1954 / Right side of car lot is 15 yards south of Ward Street and frontage is 19 3/4 yards.'</t>
  </si>
  <si>
    <t>Automobile dealers -- South Australia -- North Adelaide</t>
  </si>
  <si>
    <t>Acre 739 Collection</t>
  </si>
  <si>
    <t>b2063657x</t>
  </si>
  <si>
    <t>Palmer Place, north side, 8 February 1954. Victorian Tudor style Bishop's Court was built for Bishop Short, the first Anglican Bishop of Adelaide. The building was habitable by 1857. The chapel and entrance porch were added in 1912</t>
  </si>
  <si>
    <t>Acre 743 Collection</t>
  </si>
  <si>
    <t>b2063738x</t>
  </si>
  <si>
    <t>Strangways Terrace, North Adelaide</t>
  </si>
  <si>
    <t>[General description] This red brick Federation cottage has a similar neighbour on the left. It is raised off street level with a basement and staircase leading to its front door. It has a half-timbered gable at front and a bullnose verandah with iron lace. A sign on the verandah reads 'Andrew Benko, Architect'. [On back of photograph] 'Acre 756 / Strangways Terrace, south side / 30th December 1954 / Left side of the centre cottage is 44 3/4 yards east of Strangways Terrace (see cadastral plan) / Frontage: 8 yards'</t>
  </si>
  <si>
    <t>Benko, Andrew;Cottages -- South Australia -- North Adelaide</t>
  </si>
  <si>
    <t>Acre 756 Collection</t>
  </si>
  <si>
    <t>b20638917</t>
  </si>
  <si>
    <t>Archer Street, North Adelaide</t>
  </si>
  <si>
    <t>[General description] This stone Adelaide Villa is partially obscured by a plane tree in the street. It has a small garage added on and an interesting wrought iron fence. A fine example of a Stobie utility pole is seen on the right. [On back of photograph' 'Acre 787 / Archer Street, south side / February 8th 1954 / Right side of cottage is 18.5 yards east of Gordon Road and frontage is 12 yards / A garage had been added in recent years'</t>
  </si>
  <si>
    <t>Archer Street (North Adelaide, S.A.)</t>
  </si>
  <si>
    <t>Acre 787 Collection</t>
  </si>
  <si>
    <t>b20639697</t>
  </si>
  <si>
    <t>Wellington Square, North Adelaide</t>
  </si>
  <si>
    <t>[General description] Parked cars and a plane tree are in the foreground of this view of the Wellington Hotel. It is a two storey stone building, dating from 1885 with a balcony which has been partially enclosed.  An earlier building was established as the Duke of Wellington in 1851 becoming the Wellington in 1875. The publican at the time this photograph was taken was William Gillingham Candy. [On back of photograph] 'Acre 816 / Wellington Square, east side / February 8th 1954 / Right side of Wellington Hotel is 49 3/4 yards north of Archer Street and frontage is 13 1/4 yards / Photographed for record only'.</t>
  </si>
  <si>
    <t>Wellington Hotel (North Adelaide, S.A.)</t>
  </si>
  <si>
    <t>Acre 816 Collection</t>
  </si>
  <si>
    <t>b20639764</t>
  </si>
  <si>
    <t>[General description] This is an Optician's shop in O'Connell Street, North Adelaide. Note the fire hydrant at the kerb. [On back of photograph] 'Acre 820 / O'Connell Street, west side / February 8th 1954 / Right side of shop is 21.5 yards south of Chapel Street and frontage is 7 1/4 yards / A new shopfront has been installed in recent years'</t>
  </si>
  <si>
    <t>Acre 820 Collection</t>
  </si>
  <si>
    <t>b20640237</t>
  </si>
  <si>
    <t>[General description] This view of a newly renovated corner shopfront is framed by a graceful Jacaranda street tree. This shop is attached to the dwelling on the left. On the right is a view of cottages along Margaret Street. [On back of photograph] 'Acre 824 / Archer Street, north side / February 8th 1954 / Right side of shop abuts west side of Margaret Street / Frontage of shop is 5.5 yards / A new shop front has recently been installed'</t>
  </si>
  <si>
    <t>Acre 824 Collection</t>
  </si>
  <si>
    <t>b20641667</t>
  </si>
  <si>
    <t>W.G. Kerr, Baker and Pastry Cook, O'Connell Street, North Adelaide</t>
  </si>
  <si>
    <t>[General description] Premises of W.G. Kerr, Baker and Pastry Cook in O'Connell Street, North Adelaide. A Ford Anglia Tourer (1949-1953) is parked outside. [On back of photograph] 'Acre 865 / O'Connell Street, east side / February 8th 1954 /  Right side of shop is 13 1/4 yards north of Tynte Street / Frontage is 10 1/4 yards / New shopfronts have been installed in recent years'</t>
  </si>
  <si>
    <t>Bakers and bakeries -- South Australia</t>
  </si>
  <si>
    <t>Acre 865 Collection</t>
  </si>
  <si>
    <t>b20644577</t>
  </si>
  <si>
    <t>Finniss Street, North Adelaide</t>
  </si>
  <si>
    <t>[General description] This is a different view of the same cottage as in B 13186 showing the galvanised iron fenced section of its garden. [On back of photograph] 'Acre 966 / Finniss Street, north side / February 8th 1954 / For details of site of cottage shown on left see B 13186 / For other details relating to this cottage see B 7123.'</t>
  </si>
  <si>
    <t>Cottages -- South Australia -- North Adelaide</t>
  </si>
  <si>
    <t>Acre 966 Collection</t>
  </si>
  <si>
    <t>b20644887</t>
  </si>
  <si>
    <t>Colley Street, North Adelaide</t>
  </si>
  <si>
    <t>[General description] The radio mast on the roof of the new RAA building. [On back of photograph] 'Acres 976 and 981 / RAA radio mast / February 8th, 1954 / For plan showing camera position and site of this building see B 13131 / For views showing other portions of RAA Building see B 13131, B 13132, B 13133 and B 13134'</t>
  </si>
  <si>
    <t>Acre 975 Collection</t>
  </si>
  <si>
    <t>b20644929</t>
  </si>
  <si>
    <t>MacKinnon Parade, North Adelaide</t>
  </si>
  <si>
    <t>[General description] The new RAA building is situated at the end of this corrugated iron fence. [On back of photograph] 'Acre 976 / Portion of Royal Automobile Assosiation premises at end of private right-of-way running off McKinnon Parade, a little east of Colley Street / For position of camera and site of building see B 13131 / The entire southern portion of RAA building (including portion on the left side not shown in this view) is approximately 65 1/2 yards / Photograph taken February 8th, 1954 / For views showing remainder of RAA building see  B 13131, B 13133, B 13134 and B 13135.'</t>
  </si>
  <si>
    <t>Acre 976 Collection</t>
  </si>
  <si>
    <t>b20644930</t>
  </si>
  <si>
    <t>[General description] Woodyard of John Gordon Pearson. Large piles of firewood in the foreground partially obscure this view of the new RAA building. [On back of photograph] 'Acres 976 and 981 / Rear portion of RAA buildings in Colley Street / February 8th, 1954 / For plan showing camera position and site of this building see B 13131 / For views showing other portions of RAA Building see B 13131, B 13132, B 13134 and B 13135'</t>
  </si>
  <si>
    <t>Fuelwood;North Adelaide (S.A.)</t>
  </si>
  <si>
    <t>b20645193</t>
  </si>
  <si>
    <t>[General description] This is one of four views of the new premises of the Royal Automobile Association at North Adelaide. (See B 13132, B 13133, B 13134 and B 13135) [On back of photograph] 'Acres 982 and 975 / Colley Street, east side / February 8th 1954 / Right side of brick building is 50.5 yards north of MacKinnon Parade and frontage is 44.5 yards / The greater portion of this building is on Acre 982 / The whole site was formerly vacant except for a brick stable and wood and iron shed / This view is one of five showing the premises of the Royal Automobile Association / There is a sketch showing the site of the building and the positions of the camera for the several photographs.'</t>
  </si>
  <si>
    <t>Acre 982 Collection</t>
  </si>
  <si>
    <t>b2064520x</t>
  </si>
  <si>
    <t>[General description] Brick walls and fence at the new RAA building. [On back of photograph] 'Acre 982 / R.A.A. Building / of Colley Street / February 8th 1954 / For camera position and site of this building, see plan on B 13131 / For other views showing portions of the RAA building see B 13131, B 13132, B 13133 and 13135'</t>
  </si>
  <si>
    <t>b20645995</t>
  </si>
  <si>
    <t>Melbourne Street, North Adelaide</t>
  </si>
  <si>
    <t>[General description] This is a red brick California bungalow style house popular in the 20s and 30s. Note the tram lines in Melbourne Street. [On back of photograph] 'Acre 994 / Melbourne Street, south side / December 30th 1954 / Right side of the house is 27.5 yards east of Brougham Place and frontage is 21.5 yards.'</t>
  </si>
  <si>
    <t>Acre 994 Collection</t>
  </si>
  <si>
    <t>b20664874</t>
  </si>
  <si>
    <t>Light Square, March 29th 1954. View showing south west portion of square looking south west, following alterations and replanting completed in 1952</t>
  </si>
  <si>
    <t>Adelaide Views Collection;Light Square Collection</t>
  </si>
  <si>
    <t>b20664886</t>
  </si>
  <si>
    <t>Light Square, March 29th 1954. View showing southern portion of square looking south-south west, following alterations and replanting completed in 1952</t>
  </si>
  <si>
    <t>b20664898</t>
  </si>
  <si>
    <t>Light Square, March 29th 1954. View shows northern portion of square, looking north west, following alterations and replanting completed in 1952</t>
  </si>
  <si>
    <t>b20665696</t>
  </si>
  <si>
    <t>Mounted Police Barracks at the rear of the SA Museum, 13th August 1954. This view was taken inside the quadrangle looking south-east, it shows a verandah subsequently removed  a new lean-to structure was erected by October 23rd,1954, for the S.A.Museum. The archway to the left was renovated between October and November 1968</t>
  </si>
  <si>
    <t>Adelaide Views Collection;Mounted Police Barracks Collection</t>
  </si>
  <si>
    <t>b20665702</t>
  </si>
  <si>
    <t>Mounted Police Barracks at the rear of the SA Museum, 13th August 1954. This view taken inside the quadrangle, looking south-west showing a verandah which was subsequently removed. A new lean-to structure was erected by 23rd October 1954 for the S.A.Museum.</t>
  </si>
  <si>
    <t>b20665714</t>
  </si>
  <si>
    <t>Mounted Police Barracks at the rear of the SA Museum, August 1954: detail of a wall after the removal of a verandah.</t>
  </si>
  <si>
    <t>b20665726</t>
  </si>
  <si>
    <t>Mounted Police Barracks at the rear of the SA Museum August 1954. Detail of wall after the removal of a verandah in August 1954. See B 12999</t>
  </si>
  <si>
    <t>b20665738</t>
  </si>
  <si>
    <t>Mounted Police Barracks at the rear of the SA Museum. Detail of a wall after the removal of a verandah in August 1954. See B 12999 and B 13000</t>
  </si>
  <si>
    <t>b2066574x</t>
  </si>
  <si>
    <t>b20725413</t>
  </si>
  <si>
    <t>Locomotive Class "S" no 131 fitted with "Cyclone" front end.</t>
  </si>
  <si>
    <t>b20734232</t>
  </si>
  <si>
    <t>Sir Robert and Lady George</t>
  </si>
  <si>
    <t>Photograph (b&amp;w print)  15.6 cm x 11.4 cm;RESERVE 1</t>
  </si>
  <si>
    <t>PORTRAIT: Sir Robert George, Governor of South Australia, 1953-1960 and Lady George attending a function in Adelaide.</t>
  </si>
  <si>
    <t>George, Sybil Elizabeth, Lady;George, Robert Allingham, Sir, 1896-1967;Governors -- South Australia;Women -- South Australia;Military uniforms</t>
  </si>
  <si>
    <t>b20760413</t>
  </si>
  <si>
    <t>Port Lincoln Dance Band</t>
  </si>
  <si>
    <t>1 photograph : black and white   20 x 15.5 cm;still image sti rdacontent;unmediated n rdamedia;sheet nb rdacarrier</t>
  </si>
  <si>
    <t>PORT LINCOLN:  Members of Port Lincoln Dance Band. Left to right:  Franz Binder on Bass  Ken Anderson (trumpet)  Jack Usher (drums)  Peter Gardiner on Saxaphone  Ray Shaw (piano). The following information on Ken Anderson was provided by a researcher: Ken Anderson was a career musician. He played with the Australian Army Band for 26 years followed by the Reserve Band, before retiring with his wife Marina at their home in McLaren Vale. Kevin played a range of instruments, wrote music scores for the Central Command Band at Keswick, and lived in Singapore and Malaysia for two years, while playing with the Australian Army Band. He passed away on 9 September 2018.</t>
  </si>
  <si>
    <t>Port Lincoln Dance Band (Port Lincoln, S.A.);Dance orchestras -- South Australia -- Port Lincoln</t>
  </si>
  <si>
    <t>b20766245</t>
  </si>
  <si>
    <t>Riding school party at West Beach</t>
  </si>
  <si>
    <t>WEST BEACH:  A riding school party on the beach.</t>
  </si>
  <si>
    <t>Horses -- South Australia -- West Beach</t>
  </si>
  <si>
    <t>b20770856</t>
  </si>
  <si>
    <t>Address of loyalty to Her Majesty the Queen</t>
  </si>
  <si>
    <t>GENERAL:  An assembly of 1100 women in the Bonython Hall attending the 'address of loyalty to Her Majesty the Queen' spoken by Miss Ruth Gibson, 25th March 1954.</t>
  </si>
  <si>
    <t>Women -- South Australia -- Adelaide</t>
  </si>
  <si>
    <t>b20779896</t>
  </si>
  <si>
    <t>Willunga CWA Choir</t>
  </si>
  <si>
    <t>WILLUNGA:  The Willunga CWA Choir, on the occasion of their singing to Her Majesty Queen Elizabeth II at Bonython Hall, on the 24th March 1954.</t>
  </si>
  <si>
    <t>Choirs (Music) -- South Australia -- Willunga</t>
  </si>
  <si>
    <t>b20788617</t>
  </si>
  <si>
    <t>South Australian visit of Queen Elizabeth II</t>
  </si>
  <si>
    <t>GENERAL: Queen Elizabeth II leaving Government House during her visit to South Australia in 1954.</t>
  </si>
  <si>
    <t>Visits of State -- South Australia -- Adelaide</t>
  </si>
  <si>
    <t>b20788629</t>
  </si>
  <si>
    <t>Wayville Showgrounds</t>
  </si>
  <si>
    <t>WAYVILLE: A scene at Wayville Showgrounds during the new Queen's State Visit in 1954.</t>
  </si>
  <si>
    <t>Visits of state -- South Australia -- Wayville</t>
  </si>
  <si>
    <t>b20788630</t>
  </si>
  <si>
    <t>Wayville Showground</t>
  </si>
  <si>
    <t>WAYVILLE: The scene at Wayville Showgrounds during Queen Elizabeth II State Visit in 1954.</t>
  </si>
  <si>
    <t>b20788642</t>
  </si>
  <si>
    <t>Display at Wayville Showgrounds</t>
  </si>
  <si>
    <t>WAYVILLE: A display at Wayville Showgrounds during Queen Elizabeth II State Visit in 1954.</t>
  </si>
  <si>
    <t>Visits of State -- South Australia</t>
  </si>
  <si>
    <t>b20788654</t>
  </si>
  <si>
    <t>Crowds waiting for the arrival of Queen Elizabeth II</t>
  </si>
  <si>
    <t>GENERAL: Crowds at Adelaide waiting for the arrival of Queen Elizabeth II during the State Visit in 1954.</t>
  </si>
  <si>
    <t>b20788666</t>
  </si>
  <si>
    <t>Crowds waiting for Queen Elizabeth II</t>
  </si>
  <si>
    <t>GENERAL: Waiting crowds watch a marching band in Adelaide during the State Visit of Queen Elizabeth II in 1954.</t>
  </si>
  <si>
    <t>b20788678</t>
  </si>
  <si>
    <t>North Terrace decorations for the visit of Queen Elizabeth II</t>
  </si>
  <si>
    <t>GENERAL: Bunting and decorations along North Terrace for the State Visit of Queen Elizabeth II in 1954.</t>
  </si>
  <si>
    <t>Visits of State -- South Australia -- Adelaide;Street Decoration -- South Australia -- Adelaide</t>
  </si>
  <si>
    <t>b2078868x</t>
  </si>
  <si>
    <t>Street mural depicting the first Royal visit to South Australia</t>
  </si>
  <si>
    <t>GENERAL: A street mural depicting the first Royal visit to South Australia in 1867 on display during the State Visit of Queen Elizabeth II in 1954.</t>
  </si>
  <si>
    <t>Street decoration -- South Australia;Visits of State -- South Australia</t>
  </si>
  <si>
    <t>b20788691</t>
  </si>
  <si>
    <t>Street mural depicting the head of Queen Elizabeth II</t>
  </si>
  <si>
    <t>GENERAL: A street mural depicting the crowned head of H.M. Queen Elizabeth II on display during her State Visit in 1954.</t>
  </si>
  <si>
    <t>b20795580</t>
  </si>
  <si>
    <t>Cricket match at Adelaide Oval</t>
  </si>
  <si>
    <t>Photograph (b&amp;w print)  6 cm x 8.5 cm;RESERVE 1</t>
  </si>
  <si>
    <t>ADELAIDE OVAL: Country versus city cricket match during the Queen's visit. The Henley &amp; Grange Band can be seen awaiting the Queen's arrival.</t>
  </si>
  <si>
    <t>Adelaide Oval Collection</t>
  </si>
  <si>
    <t>b20803886</t>
  </si>
  <si>
    <t>Monfries, Ian, photographer</t>
  </si>
  <si>
    <t>Women attending an Australian Federation of Women Voters conference</t>
  </si>
  <si>
    <t>Photograph (b&amp;w print)  20.6 cm x 25.3 cm;RESERVE 1</t>
  </si>
  <si>
    <t>GENERAL: Women attending an Australian Federation of Women Voters conference held at Parkin College, Adelaide, 1954.</t>
  </si>
  <si>
    <t>Women -- Suffrage -- Australia</t>
  </si>
  <si>
    <t>b2080538x</t>
  </si>
  <si>
    <t>Mrs Ene-Mai Reinpuu dancing with a Scotsman</t>
  </si>
  <si>
    <t>GENERAL: Mrs Ene-Mai Reinpuu dancing with a Scotsman at a ball, held at Wayville, during the Queen's visit.  Everyone attending wore their national costume.</t>
  </si>
  <si>
    <t>Emigration and Immigration;Clothing and dress</t>
  </si>
  <si>
    <t>b20812528</t>
  </si>
  <si>
    <t>Old tramway station at Port Elliot</t>
  </si>
  <si>
    <t>PORT ELLIOT: The old tramway station at Port Elliot.</t>
  </si>
  <si>
    <t>Trams -- South Australia -- Port Elliot</t>
  </si>
  <si>
    <t>b20812607</t>
  </si>
  <si>
    <t>Queen Elizabeth II visiting Adelaide</t>
  </si>
  <si>
    <t>Photograph (b&amp;w print)  16.6 cm x 21.5 cm;RESERVE 1</t>
  </si>
  <si>
    <t>GENERAL: The young Queen Elizabeth II being driven through an Adelaide street with waiting onlookers waving to her.</t>
  </si>
  <si>
    <t>b20824889</t>
  </si>
  <si>
    <t>Mrs. Aileen Barnes</t>
  </si>
  <si>
    <t>Photograph (b&amp;w print)  13.1 cm x 8.5 cm;RESERVE 1</t>
  </si>
  <si>
    <t>PORTRAIT: Mrs Aileen Barnes, concert singer, receiving gifts from Mr Keeveson at Daws Road hospital after her 1070th and final performance, 22nd June 1954.</t>
  </si>
  <si>
    <t>Women -- South Australia;Musicians -- South Australia</t>
  </si>
  <si>
    <t>b20824919</t>
  </si>
  <si>
    <t>Decorations in honour of the Royal Visit, of Queen Elizabeth II</t>
  </si>
  <si>
    <t>Photograph (b&amp;w print)  6.4 cm x 9 cm;RESERVE 1</t>
  </si>
  <si>
    <t>ACRE 49: Decorations in honour of the Royal Visit, of Queen Elizabeth II, in Hindley Street, looking east.</t>
  </si>
  <si>
    <t>Visits of State -- South Australia;Street decoration -- South Australia -- Adelaide</t>
  </si>
  <si>
    <t>b20824920</t>
  </si>
  <si>
    <t>Picture of Queen Elizabeth II displayed on the Myer facade</t>
  </si>
  <si>
    <t>ACRE 45: A picture of Queen Elizabeth II displayed on the Myer facade during the State Visit, 1954.</t>
  </si>
  <si>
    <t>Visits of State -- South Australia;Street Decoration -- South Australia -- Adelaide</t>
  </si>
  <si>
    <t>b20825468</t>
  </si>
  <si>
    <t>Street decorations for state visit of Queen Elizabeth II</t>
  </si>
  <si>
    <t>NORTH TERRACE: Street decorations in honour of Queen Elizabeth II State Visit on display in North Terrace.</t>
  </si>
  <si>
    <t>Street decoration -- South Australia -- Adelaide;Visits of State -- South Australia</t>
  </si>
  <si>
    <t>North Terrace Collection</t>
  </si>
  <si>
    <t>b2082547x</t>
  </si>
  <si>
    <t>The Gresham Hotel, decorated for the visit of Queen Elizabeth II</t>
  </si>
  <si>
    <t>ACRE 16: The Gresham Hotel, decorated for Queen Elizabeth II's visit to Adelaide.</t>
  </si>
  <si>
    <t>Acre 16 Collection</t>
  </si>
  <si>
    <t>b20825481</t>
  </si>
  <si>
    <t>Adelaide Bridge decorated for the visit of Queen Elizabeth II</t>
  </si>
  <si>
    <t>ADELAIDE BRIDGE: Street decoration on Adelaide Bridge in honour of the State Visit by Queen Elizabeth II in 1954.</t>
  </si>
  <si>
    <t>Street decoration -- South Australia -- Adelaide;Visits of State -- South Australia -- Adelaide</t>
  </si>
  <si>
    <t>Adelaide Bridge Collection</t>
  </si>
  <si>
    <t>b20825493</t>
  </si>
  <si>
    <t>Street decoration during the visit of Queen Elizabeth II</t>
  </si>
  <si>
    <t>ACRE 378: Street decoration along Gouger Street in honour of Queen Elizabeth II during her State Visit in 1954.</t>
  </si>
  <si>
    <t>b2082550x</t>
  </si>
  <si>
    <t>ACRE 45: Street decoration in Rundle Street in honour of Queen Elizabeth II during her State Visit in 1954: view 1.</t>
  </si>
  <si>
    <t>b20825511</t>
  </si>
  <si>
    <t>ACRE 45: Street decoration in Rundle Street in honour of Queen Elizabeth II during her State Visit in 1954: view 2.</t>
  </si>
  <si>
    <t>Street Decoration -- South Australia -- Adelaide;Visits of State -- South Australia</t>
  </si>
  <si>
    <t>b20831316</t>
  </si>
  <si>
    <t>Morgan Railway Station</t>
  </si>
  <si>
    <t>MORGAN: General view of the Morgan Railway Station, July 1954.</t>
  </si>
  <si>
    <t>Railroad stations -- South Australia -- Morgan;Morgan Railway Station</t>
  </si>
  <si>
    <t>b20831328</t>
  </si>
  <si>
    <t>Jamestown to Riverton, S.A.R. Passenger Service bus</t>
  </si>
  <si>
    <t>WATERVALE: The Jamestown to Riverton, S.A.R. Passenger Service bus outside D A Tavendar's General Store at Watervale, July 1954. The sign, partly obscured by the bus, reads "Grey's [tobacco] is great".</t>
  </si>
  <si>
    <t>Buses -- South Australia -- Watervale</t>
  </si>
  <si>
    <t>Watervale Collection</t>
  </si>
  <si>
    <t>b20832758</t>
  </si>
  <si>
    <t>Parade for Queen's visit</t>
  </si>
  <si>
    <t>Photograph (b&amp;w print)  6.3 cm x 6.4 cm;RESERVE 1</t>
  </si>
  <si>
    <t>GENERAL: Spectators watching a parade in honour of the Queen's visit to Adelaide, as it moves along King William Street.</t>
  </si>
  <si>
    <t>Visits of state -- South Australia -- Adelaide</t>
  </si>
  <si>
    <t>b2083276x</t>
  </si>
  <si>
    <t>The Queen's visit to Adelaide</t>
  </si>
  <si>
    <t>RESERVE 1;Photograph (b&amp;w print)  6.3 cm x 6.3 cm</t>
  </si>
  <si>
    <t>GENERAL: Spectators and officials waiting outside the Adelaide Town Hall in King William Street, for a parade in honour of the Queen's visit.</t>
  </si>
  <si>
    <t>b20832771</t>
  </si>
  <si>
    <t>The Queen at Adelaide Town Hall</t>
  </si>
  <si>
    <t>Photograph (b&amp;w print)  6.3 cm x 6.5 cm;RESERVE 1</t>
  </si>
  <si>
    <t>GENERAL: The Lord Mayor of Adelaide escorting the Queen to the official car outside the Adelaide Town Hall, during the Queen's official visit.</t>
  </si>
  <si>
    <t>b20832783</t>
  </si>
  <si>
    <t>GENERAL: The Queen standing with other dignitaries on a platform outside the Adelaide Town Hall during her official visit.</t>
  </si>
  <si>
    <t>b20832795</t>
  </si>
  <si>
    <t>RESERVE 1;Photograph (b&amp;w print)  6.4 cm x 6.4 cm</t>
  </si>
  <si>
    <t>GENERAL: The Queen addressing the crowd outside Adelaide Town Hall during her official visit.</t>
  </si>
  <si>
    <t>b20832801</t>
  </si>
  <si>
    <t>GENERAL: The Queen addressing the crowd outside Adelaide Town Hall during her official visit. View 2.</t>
  </si>
  <si>
    <t>b20832813</t>
  </si>
  <si>
    <t>Photograph (b&amp;w print)  6.4 cm x 6.5 cm;RESERVE 1</t>
  </si>
  <si>
    <t>GENERAL: The Queen and the Duke of Edinburgh arrive at the Adelaide Town Hall during the Queen's official visit.</t>
  </si>
  <si>
    <t>b20832825</t>
  </si>
  <si>
    <t>GENERAL: A Scottish pipe band marching past Adelaide Town Hall during a parade in honour of the Queen's visit.</t>
  </si>
  <si>
    <t>b20832837</t>
  </si>
  <si>
    <t>Photograph (b&amp;w print)  6.5 cm x 6.5 cm;RESERVE 1</t>
  </si>
  <si>
    <t>GENERAL: Spectators watching a parade, in honour of the Queen's visit to Adelaide, as it travels along King William Street.</t>
  </si>
  <si>
    <t>b20832849</t>
  </si>
  <si>
    <t>b20903388</t>
  </si>
  <si>
    <t>7.05 am Barmera &amp; Pinnaroo (diesel hauled) train meets the morning train from Tailem Bend at Balhannah, 1 February 1954.</t>
  </si>
  <si>
    <t>Railroads -- South Australia -- Trains;Railroads -- South Australia -- Balhannah</t>
  </si>
  <si>
    <t>b20904113</t>
  </si>
  <si>
    <t>Limited mixed train at Clapham.</t>
  </si>
  <si>
    <t>b20904964</t>
  </si>
  <si>
    <t>Goods train on rail bridge at Port Adelaide, May 1954.</t>
  </si>
  <si>
    <t>b20905427</t>
  </si>
  <si>
    <t>Photograph (b&amp;w print)  14 cm x 19.7 cm;RESERVE 1 album</t>
  </si>
  <si>
    <t>Barmera Mixed train at Tailem Bend.</t>
  </si>
  <si>
    <t>b20905567</t>
  </si>
  <si>
    <t>Photograph (b&amp;w print)  8.4 cm x 15.2 cm;RESERVE 1 album</t>
  </si>
  <si>
    <t>Engine No. 13 at Tailem Bend, 1954.</t>
  </si>
  <si>
    <t>b20905683</t>
  </si>
  <si>
    <t>Engine No. 131 at Parafield, 1 April 1954. A sign on the front of the engine is promoting the Goolwa-Port Elliot Railway Centenary, 1854-1954.</t>
  </si>
  <si>
    <t>Railroads -- South Australia -- Trains;Railroads -- South Australia -- Parafield</t>
  </si>
  <si>
    <t>b20905695</t>
  </si>
  <si>
    <t>Photograph (b&amp;w print)  7.8 cm x 12.6 cm;RESERVE 1 album</t>
  </si>
  <si>
    <t>Engine No. 131 at unidentified location. A sign on the front of the engine and a banner are promoting the Goolwa-Port Elliot Railway centenary, 1854-1954.</t>
  </si>
  <si>
    <t>b20905701</t>
  </si>
  <si>
    <t>Engine No. 131 at unidentified location. A banner is attached to engine promoting Goolwa-Port Elliot Railway Centenary 1854-1954 celebrations. There are other carriages in the background.</t>
  </si>
  <si>
    <t>b20905713</t>
  </si>
  <si>
    <t>Photograph (b&amp;w print)  7 cm x 13 cm;RESERVE 1 album</t>
  </si>
  <si>
    <t>Engine no. 131 at Victor Harbor end (south) of Goolwa Railway Station. A banner is attached to engine promoting the Goolwa-Pt. Elliot Railway Centenary 1854-1954 celebrations. There are other carriages in the background.</t>
  </si>
  <si>
    <t>b20905725</t>
  </si>
  <si>
    <t>Passenger train (Engine No. 131) at unidentified location. A sign on the front of the engine promoting the Goolwa-Pt. Elliot Railway Centenary 1854-1954.</t>
  </si>
  <si>
    <t>b20905737</t>
  </si>
  <si>
    <t>Passenger train (Engine No. 131) at unidentified location. Behind the engine is the first horse drawn railway carriage with passengers on board.</t>
  </si>
  <si>
    <t>b20905750</t>
  </si>
  <si>
    <t>Railway transport: train order</t>
  </si>
  <si>
    <t>Train order  14 cm x 21 cm;RESERVE 1 album</t>
  </si>
  <si>
    <t>South Australian Railways train order, dated 8/5/54, with instructions for train no.912 at Goolwa to proceed to Strathalbyn.</t>
  </si>
  <si>
    <t>b20905762</t>
  </si>
  <si>
    <t>South Australian Railways train order, dated 8/5/54, with instructions for train no.918 at Strathalbyn to proceed to Mount Barker.</t>
  </si>
  <si>
    <t>b21014024</t>
  </si>
  <si>
    <t>Coates, Edward, 1931-, photographer</t>
  </si>
  <si>
    <t>DH-89 Dragon Rapide aircraft</t>
  </si>
  <si>
    <t>A de Havilland DH-89 Dragon Rapide VH-UFF operated by Australian National Airways at Essendon.</t>
  </si>
  <si>
    <t>Australian National Airways;Airplanes -- Victoria -- Essendon</t>
  </si>
  <si>
    <t>b21059160</t>
  </si>
  <si>
    <t>John Martin's Christmas Pageant : Christmas pudding</t>
  </si>
  <si>
    <t>photograph  8.1 cm x 13.4 cm</t>
  </si>
  <si>
    <t>Barb Tapscott in her first pageant, dressed as a Christmas Pudding, 8th December 1947. The girl behind her is Elizabeth (Bessie) Brown, aged 18, who worked in the Mail Order Department. [Additional information provided by E. Foster].</t>
  </si>
  <si>
    <t>b21059275</t>
  </si>
  <si>
    <t>Candid Camera Service, photographer</t>
  </si>
  <si>
    <t>John Martin's Christmas Pageant : Christmas Bell</t>
  </si>
  <si>
    <t>photograph  7.2 cm x 11.2 cm</t>
  </si>
  <si>
    <t>Barb Tapscott dressed as a Christmas Bell in the John Martin's Christmas Pageant.</t>
  </si>
  <si>
    <t>John Martin &amp; Co;Pageants -- South Australia -- Adelaide;Costume -- South Australia -- Adelaide;Parade floats -- South Australia -- Adelaide;Christmas -- South Australia -- Adelaide;Parades -- South Australia -- Adelaide</t>
  </si>
  <si>
    <t>b21061154</t>
  </si>
  <si>
    <t>photograph  7.3 cm x 11.2 cm</t>
  </si>
  <si>
    <t>Barb Tapscott dressed as a Christmas Tree Bell with parkland setting behind her.</t>
  </si>
  <si>
    <t>b21089280</t>
  </si>
  <si>
    <t>Arthurson, Nancy, photographer</t>
  </si>
  <si>
    <t>Whyalla Caravan Park</t>
  </si>
  <si>
    <t>The Arthurson car (a 1934 Willys 77 tourer), with hired Furness caravan, parked beside one of two landmarks at the Whyalla Caravan Park (the other was the facilities block). The Arthursons stayed here during their honeymoon in the first week of November, 1954.</t>
  </si>
  <si>
    <t>Whyalla Caravan Park (S.A.);Antique and classic cars</t>
  </si>
  <si>
    <t>b21089553</t>
  </si>
  <si>
    <t>Hughes, Frank, photographer</t>
  </si>
  <si>
    <t>Angela making mud pies</t>
  </si>
  <si>
    <t>Photograph  10.4 cm x 12.2 cm</t>
  </si>
  <si>
    <t>Angela Hughes, aged two, is caught by her father's camera after sneaking away to make mud pies. The photograph was taken at Burke Street, West Croydon.</t>
  </si>
  <si>
    <t>Hughes, Angela;Play;Children</t>
  </si>
  <si>
    <t>b21178586</t>
  </si>
  <si>
    <t>Ruth and John Kubasiewicz outside their first home</t>
  </si>
  <si>
    <t>Photograph (digital copy)  (original) 8 cm x 11.7 cm</t>
  </si>
  <si>
    <t>Ruth and John Kubasiewicz outside the first home they owned at Albert Park - 'John's hard work, both day and night, provided this house for all of the family - the first home owned by us'. The couple are pictured standing on the footpath in front of the brick fence with the wrought iron gates  the brick and tiled house behind that.</t>
  </si>
  <si>
    <t>Kubasiewicz, Ruth;Kubasiewicz, John;Architecture, Domestic -- South Australia -- Albert Park</t>
  </si>
  <si>
    <t>b21178665</t>
  </si>
  <si>
    <t>John Kubasiewicz working on his house</t>
  </si>
  <si>
    <t>John Kubasiewicz working on his house at Albert Park. The foundations are visible, as are the first few brick courses.</t>
  </si>
  <si>
    <t>House construction -- South Australia</t>
  </si>
  <si>
    <t>b21258430</t>
  </si>
  <si>
    <t>Tractor and baler</t>
  </si>
  <si>
    <t>'Tom's brand new tractor and the Coming Baling Co. brand new B45 baler at Konelgin'. ['Konelgin' was Martin Cameron's property between Kingston and Millicent.]</t>
  </si>
  <si>
    <t>Farm tractors -- South Australia;Agricultural machinery -- South Australia</t>
  </si>
  <si>
    <t>b21258442</t>
  </si>
  <si>
    <t>Another view of 'Tom's brand new tractor and the Coming Baling Co. brand new B45 baler at Konelgin'. ['Konelgin' was Martin Cameron's property between Kingston and Millicent.]</t>
  </si>
  <si>
    <t>b21258454</t>
  </si>
  <si>
    <t>Hay baling at Konelgin</t>
  </si>
  <si>
    <t>'Hay baling at Konelgin 1954 with new Fordson Farmwright &amp; B45 Inter. baler'. ['Konelgin' was Martin Cameron's property between Kingston and Millicent.]</t>
  </si>
  <si>
    <t>b23116997</t>
  </si>
  <si>
    <t>'Candida'</t>
  </si>
  <si>
    <t>Photograph (B&amp;W print)  25.5 cm x 16.5 cm;RESERVE 1</t>
  </si>
  <si>
    <t>Hulk of the ship 'Candida' in the Port River.</t>
  </si>
  <si>
    <t>Candida (ship);Ships, Iron and steel;Shipping -- South Australia -- Port Adelaide</t>
  </si>
  <si>
    <t>b23117072</t>
  </si>
  <si>
    <t>Photograph (B&amp;W print)   25.5 cm x 16.5 cm;RESERVE 1</t>
  </si>
  <si>
    <t>The hulk of the ship 'Candida' tied up to the wharf in Port Adelaide in April 1954.</t>
  </si>
  <si>
    <t>b23117114</t>
  </si>
  <si>
    <t>'Sunbeam'</t>
  </si>
  <si>
    <t>Photograph (B&amp;W print)   25.5 cm x 16.5 cm</t>
  </si>
  <si>
    <t>Hulk of the ship 'Sunbeam' in the mangroves in the Port River.</t>
  </si>
  <si>
    <t>Sunbeam (ship);Ships, Iron and steel;Shipping -- South Australia -- Port Adelaide</t>
  </si>
  <si>
    <t>b2311714x</t>
  </si>
  <si>
    <t>Hulk of the 'Sunbeam' in the mangroves in the Port River.</t>
  </si>
  <si>
    <t>b23117175</t>
  </si>
  <si>
    <t>'Dorothy H. Stirling'</t>
  </si>
  <si>
    <t>'Skeleton' of the 'Dorothy H. Stirling' in the mangroves in the Port River.</t>
  </si>
  <si>
    <t>Dorothy H. Stirling (ship);Ships, Iron and steel;Shipping -- South Australia -- Port Adelaide</t>
  </si>
  <si>
    <t>b25094701</t>
  </si>
  <si>
    <t>Dinnigan, Clyde, photographer</t>
  </si>
  <si>
    <t>Broadview Football Club - Colts</t>
  </si>
  <si>
    <t>Photograph (B&amp;W print)  20 cm x 25.2 cm (image), 30 cm x 37.6 cm;RESERVE 1 b</t>
  </si>
  <si>
    <t>Team portrait of the Broadview Footbal Club premier team in the Colts division in 1954. Back row (from left)  R. Lillie, Neil Stallard, D. Lloyd, J. Lillie. Third row (from left): W. Morton (Colts Secretary), P. Bottroff, M. Norman, R. Davies, T. Holland, L. Moore (Manager). Second row (seated, from left): D. Dail, B. Callinan (Captain), A. Jacobs (Coach), B. Morton (Vice-Captain), B. Smith. Front row: J. Douglas, R. Geisler. Inset: G.B. Barlow. Absent: R. Murcott, L. Hayes, M. Knowles, P. Liascos, G. Gray, G. Reade, W.D. Hall.</t>
  </si>
  <si>
    <t>b27139694</t>
  </si>
  <si>
    <t>Notts. Amateur Cricket League v. South Australian Touring Team</t>
  </si>
  <si>
    <t>Photograph (B&amp;W print)  15.8 cm x 21.5 cm;RESERVE 1 b</t>
  </si>
  <si>
    <t>Photograph of the Notts. Amateur Cricket League v. South Australian Touring Team, taken at the City Police Ground, Nottingham, 24th May, 1954. A policeman in uniform can be seen to the left. Top row, left to right: A. Potter, J. Hankin, E. Berresford, A. Meakin, R. Cameron, J. Davies, G. Haywood, W. Charlesworth, R. Taylor, S. Castledine, L. Beaumont. Bottom row, left to right: G. Young, J. Honan, R. Miller, D. Fischer, T.Tiller, S.F. Hocking, C.E. Skitch, C.G. Sampson, L.D. Curtis, G. Tiller, H. Wheaton, P. Eaton.</t>
  </si>
  <si>
    <t>Cricket players -- Australia;Cricket players -- England;Test matches (Cricket);Cricket -- Tournaments -- England</t>
  </si>
  <si>
    <t>b27139748</t>
  </si>
  <si>
    <t>Ingerson, Milton, photographer</t>
  </si>
  <si>
    <t>S.A. Hockey Association, Colts, 1954</t>
  </si>
  <si>
    <t>Photograph (B&amp;W print)  19.3 cm x 24.5 cm;RESERVE 1 b</t>
  </si>
  <si>
    <t>Photograph of the S.A. Hockey Association Colts team, taken in 1954. Back row, left to right: A. Cock, D. Homes, D. Earl, F. Errington, E. Sherlock, D. Sheffield, Pathmalingham, J. Beasley. Middle row, left to right: J. Venn, G. Ballantyne (Coach), R. Clark (Captain), W. Letcher (Manager), Jagir Singh (Vice Captain), P. Heyen. Front row, left to right: G. Moss, R. Dunk, R. Bishop, J. Ransom.</t>
  </si>
  <si>
    <t>Hockey players -- South Australia;Hockey -- South Australia</t>
  </si>
  <si>
    <t>b31421787</t>
  </si>
  <si>
    <t>Port Adelaide Caledonian Society band on an oval</t>
  </si>
  <si>
    <t>1 photograph : black &amp; white;still image sti rdacontent;computer c rdamedia;online resource cr rdacarrier;image file JPEG 306KB 1908x1181 rda</t>
  </si>
  <si>
    <t>Port Adelaide Caledonian Society band on an oval, possibly John Hart Oval. Band members include Pipe Major Bobby Horne, Piper Jimmy Bourne, Drummer Aileen Lockyer, Bass Drummer Sam Kane, Leading Drummer Billy Clelland, Drummer John Hughes, Piper John Duncanson, Pipe Corporal Tommy Clelland, and Piper Don Benger.</t>
  </si>
  <si>
    <t>Clelland, William, 1935-.;Clelland, Thomas.;Horne, Archibald Robert, 1927-2000.;Port Adelaide Caledonian Society.;Pipe bands -- South Australia -- Ethelton.</t>
  </si>
  <si>
    <t>Ethelton Collection</t>
  </si>
  <si>
    <t>b31421805</t>
  </si>
  <si>
    <t>S.A. 27th Regiment CMF band</t>
  </si>
  <si>
    <t>1 photograph : black and white   19.0 x 23.0 cm;RESERVE 1 a;still image sti rdacontent;unmediated n rdamedia;sheet nb rdacarrier</t>
  </si>
  <si>
    <t>S.A. 27th Regiment CMF band at a Murray Bridge Camp. Band members back row L-R: Merv Jennings, John Davies, Reg Dowdell or Jimmy Bourne, Colin McCormick, Drummer Ron Hannaford, Jeff Robinson, Brian Chuck, Piper Tommy Clelland. Middle Row L-R: Piper Graham Robinson, Unknown, Unknown, Piper John Millar, Drum Major Don McKenzie, Unknown, Drummer Ivan McCormick, Piper Doug Brown, Piper Noel Lockwood. Front Row L-R: Drummer Trevor Kain, Drummer Ken McCormick, Unknown, Drummer Tony Sutton, Drummer Noel Seebohm, Drummer Pat Brennan, Drummer Geoff Kenny, Drummer David McKenzie, Drummer Stan Case.</t>
  </si>
  <si>
    <t>Clelland, Thomas.;Pipe bands -- South Australia -- Murray Bridge.</t>
  </si>
  <si>
    <t>b20393003</t>
  </si>
  <si>
    <t>Tanderra Girls' Home</t>
  </si>
  <si>
    <t>RESERVE 1;Photograph (b&amp;w print)  9 cm x 12.5 cm</t>
  </si>
  <si>
    <t>Tanderra Girls' Home was opened by the South Australian Council of the United Aborigines Mission at 4 Stamford Street, Parkside in 1952. It was established as accommodation for older Aboriginal girls who had left Colebrook Home. It accommodated up to ten girls. In later years Tanderra moved to these larger premises at 221 Henley Beach Road, Torrensville. The Home closed in 1973. This building was formerly the St Ives Private Hospital. This photo was formerly identified as the Colebrook Home at Eden Hills. Information from a former resident identifies it as Tanderra.</t>
  </si>
  <si>
    <t>Tanderra Girls' Home;Aboriginal Australians -- Missions -- South Australia</t>
  </si>
  <si>
    <t>b20290652</t>
  </si>
  <si>
    <t>A derailment for 'The Ghan' near Lake Eyre 52 miles North of Marree caused by heat affected rails. According to a researcher, this image must have been created after 1951, as NSU locomotives were not introduced to Central Australia Railway until 1954.</t>
  </si>
  <si>
    <t>Marree Collection</t>
  </si>
  <si>
    <t>b20376194</t>
  </si>
  <si>
    <t>Boat builders, Port Lincoln</t>
  </si>
  <si>
    <t>Photograph (b&amp;w print)  14.5 cm x 10.3 cm;C1</t>
  </si>
  <si>
    <t>Boat builders Axel Stenross (standing) and Frank Laakso at work at Port Lincoln.</t>
  </si>
  <si>
    <t>Laakso, Frank;Stenross, Axel Alfred, 1895-1980;Boatbuilding -- South Australia -- Port Lincoln</t>
  </si>
  <si>
    <t>b20385493</t>
  </si>
  <si>
    <t>Hele, Ivor, Sir, 1912-1993, artist</t>
  </si>
  <si>
    <t>Sir Henry Simpson Newland</t>
  </si>
  <si>
    <t>Artwork (charcoal, portrait)  56 cm x 37.5 cm;RARE BOOK ROOM C35 F1, Bay 1, Shelf 1 [oversize grey box]</t>
  </si>
  <si>
    <t>Drawing of Sir Simpson Newland by artist Ivor Hele. This was a preparatory sketch for an oil painting portrait, done at Aldinga, South Australia. (See B 70786A for a photograph of the finished portrait.) Pencil drawing on paper with charcoal and white conte highlights, stamped on the lower right 'Ivor Hele'. [The stamp was applied by Ivor Hele's heir as a way of authenticating the unsigned sketch.]</t>
  </si>
  <si>
    <t>Newland, Simpson, 1835-1925 -- Portraits</t>
  </si>
  <si>
    <t>b20385560</t>
  </si>
  <si>
    <t>Photograph (colour print)  14 cm x 11.4 cm</t>
  </si>
  <si>
    <t>Photograph of an oil portrait of Sir Simpson Newland by artist Ivor Hele. This image complements the preparatory sketch done by Hele (see B 70786).</t>
  </si>
  <si>
    <t>b20391808</t>
  </si>
  <si>
    <t>Housing Trust house</t>
  </si>
  <si>
    <t>Housing Trust house, Prospect.</t>
  </si>
  <si>
    <t>b2039181x</t>
  </si>
  <si>
    <t>b20391821</t>
  </si>
  <si>
    <t>b20391833</t>
  </si>
  <si>
    <t>Photograph (b&amp;w print)  6.2 cm x 9 cm;C1</t>
  </si>
  <si>
    <t>Housing Trust house - garden in fenced backyard, Prospect.</t>
  </si>
  <si>
    <t>b20391845</t>
  </si>
  <si>
    <t>b20464915</t>
  </si>
  <si>
    <t>GMH plant at Woodville</t>
  </si>
  <si>
    <t>Photograph (b&amp;w print)  20.3 cm x 25.8 cm;C1</t>
  </si>
  <si>
    <t>Aerial view of Woodville and the G.M.H. Stamping plant.</t>
  </si>
  <si>
    <t>GMH Woodville (Factory : Woodville, S.A.);Automobile industry and trade -- South Australia -- Woodville;Factories -- South Australia -- Woodville;Woodville (S.A.) -- Aerial photographs</t>
  </si>
  <si>
    <t>b20480015</t>
  </si>
  <si>
    <t>Tom Hadfield Grundy</t>
  </si>
  <si>
    <t>Photograph  13.6 cm x 8.1 cm</t>
  </si>
  <si>
    <t>Tom Hadfield Grundy.</t>
  </si>
  <si>
    <t>Grundy, Tom Hadfield, 1902-1966</t>
  </si>
  <si>
    <t>b20522782</t>
  </si>
  <si>
    <t>Blitz Fire Appliance</t>
  </si>
  <si>
    <t>Blitz fire appliance.</t>
  </si>
  <si>
    <t>Fire engines -- South Australia</t>
  </si>
  <si>
    <t>b20533810</t>
  </si>
  <si>
    <t>Children's fancy dress</t>
  </si>
  <si>
    <t>Photograph (b&amp;w print)  15.2 cm x 9.5 cm;C1</t>
  </si>
  <si>
    <t>Fancy dress of a clown and a pirate worn by C. Sheehan &amp; J. Edmonds.</t>
  </si>
  <si>
    <t>Edmonds, J.;Sheehan, C.;Costume -- South Australia</t>
  </si>
  <si>
    <t>b20595724</t>
  </si>
  <si>
    <t>Davis, H., photographer</t>
  </si>
  <si>
    <t>[General description]This small brick cottage with a hipped gable was altered in 1954 and became the premises for Frank De Rose and Co., machinery merchants and engineers supplies. [On back of photograph] 'Acre 257 / Franklin Street, south side / Before 1954 / For details of site see B 12965 / For view of this building after alterations completed in 1954 see B 12965.'</t>
  </si>
  <si>
    <t>b20727173</t>
  </si>
  <si>
    <t>Electric Railway, Rapid Bay</t>
  </si>
  <si>
    <t>Electric Railway at Rapid Bay, B.H.P.</t>
  </si>
  <si>
    <t>Railroads -- South Australia -- Rapid Bay</t>
  </si>
  <si>
    <t>b20727185</t>
  </si>
  <si>
    <t>b20727197</t>
  </si>
  <si>
    <t>Electric Railway at Rapid Bay. B.H.P.</t>
  </si>
  <si>
    <t>b20766142</t>
  </si>
  <si>
    <t>Members of the St. John Ambulance</t>
  </si>
  <si>
    <t>Photograph (b&amp;w print)  15.8 cm x 21 cm (image)   17.3 cm x 24.7 cm (mount);RESERVE 1</t>
  </si>
  <si>
    <t>GENERAL:  Members of the St. John Ambulance Brigade with the Governor of South Australia, Sir Robert George.</t>
  </si>
  <si>
    <t>George, Robert Allingham, Sir, 1896-1967;St. John Ambulance Brigade Overseas. South Australian District;Ambulance service -- South Australia</t>
  </si>
  <si>
    <t>b20771976</t>
  </si>
  <si>
    <t>Fisher's Olary Hotel</t>
  </si>
  <si>
    <t>Photograph (b&amp;w print) 6 cm x 6.3 cm;RESERVE 1</t>
  </si>
  <si>
    <t>OLARY:  Fisher's Olary Hotel.</t>
  </si>
  <si>
    <t>Hotels -- South Australia -- Olary</t>
  </si>
  <si>
    <t>b20792116</t>
  </si>
  <si>
    <t>Rowing a boat on Ceres property</t>
  </si>
  <si>
    <t>FURNER: Roger Andre, John Andre and Reg Wookey rowing, in a boat built by Reg Wookey, on Ceres property.</t>
  </si>
  <si>
    <t>Boats and boating -- South Australia -- Furner;Children -- South Australia -- Furner;Country life -- South Australia -- Furner</t>
  </si>
  <si>
    <t>Furner Collection</t>
  </si>
  <si>
    <t>b20802584</t>
  </si>
  <si>
    <t>Photograph (b&amp;w print)  18.4 cm x 29.5 cm (image)   30.2 cm x 36.7 cm (mount);RESERVE 1 b</t>
  </si>
  <si>
    <t>NORWOOD: Members of Norwood Football Club, season 1954.</t>
  </si>
  <si>
    <t>b20808872</t>
  </si>
  <si>
    <t>Pupils of Two Wells Public School with their teacher</t>
  </si>
  <si>
    <t>Photograph (b&amp;w print)  12.7 cm x 20.2 cm;RESERVE 1</t>
  </si>
  <si>
    <t>TWO WELLS: Teacher Miss Glover and pupils of Two Wells Public School.</t>
  </si>
  <si>
    <t>Teachers -- South Australia -- Two Wells;Children -- South Australia -- Two Wells</t>
  </si>
  <si>
    <t>b20811998</t>
  </si>
  <si>
    <t>Students and teachers from the Cooke Plains School</t>
  </si>
  <si>
    <t>COOKE PLAINS:  Students and teachers from the Cooke Plains School.</t>
  </si>
  <si>
    <t>Children -- South Australia -- Cooke Plains;Teachers -- South Australia -- Cooke Plains</t>
  </si>
  <si>
    <t>Cooke Plains Collection</t>
  </si>
  <si>
    <t>b20825456</t>
  </si>
  <si>
    <t>General view of Torrens Lake</t>
  </si>
  <si>
    <t>TORRENS LAKE: Swan on the lake and surrounding parklands.</t>
  </si>
  <si>
    <t>Recreation areas -- South Australia -- Adelaide</t>
  </si>
  <si>
    <t>Torrens Lake Collection</t>
  </si>
  <si>
    <t>b20830932</t>
  </si>
  <si>
    <t>Blue Lake Ladies Pipe Band</t>
  </si>
  <si>
    <t>Photograph (b&amp;w print)  11.4 cm x 15.8 cm;RESERVE 1</t>
  </si>
  <si>
    <t>MOUNT GAMBIER: The Blue Lake Ladies Pipe Band marching in a New Years Day parade.</t>
  </si>
  <si>
    <t>Pipe bands -- South Australia -- Mount Gambier;Blue Lake Ladies Pipe Band</t>
  </si>
  <si>
    <t>b20904125</t>
  </si>
  <si>
    <t>b20905439</t>
  </si>
  <si>
    <t>b20905440</t>
  </si>
  <si>
    <t>Photograph (b&amp;w print)  15.5 cm x 20 cm;RESERVE 1 album</t>
  </si>
  <si>
    <t>b20905518</t>
  </si>
  <si>
    <t>Engine No. 127 at unidentified location.</t>
  </si>
  <si>
    <t>b20905531</t>
  </si>
  <si>
    <t>Photograph (b&amp;w print)  5.7 cm x 15.2 cm;RESERVE 1 album</t>
  </si>
  <si>
    <t>Engine No. 11 at unidentified location.</t>
  </si>
  <si>
    <t>b20905555</t>
  </si>
  <si>
    <t>Photograph (b&amp;w print)  10.4 cm x 7.6 cm;RESERVE 1 album</t>
  </si>
  <si>
    <t>Engine No. 14 at unidentified location.</t>
  </si>
  <si>
    <t>b20905622</t>
  </si>
  <si>
    <t>Engine No. 26 at Murray Bridge.</t>
  </si>
  <si>
    <t>b20905634</t>
  </si>
  <si>
    <t>Engine No. 26 with carriages at Murray Bridge.</t>
  </si>
  <si>
    <t>b20905646</t>
  </si>
  <si>
    <t>Photograph (b&amp;w print)  14.9 cm x 20.4 cm;RESERVE 1 album</t>
  </si>
  <si>
    <t>Passenger train (Engine No. 13) at Tailem Bend.</t>
  </si>
  <si>
    <t>b20905658</t>
  </si>
  <si>
    <t>Photograph (b&amp;w print)  12.5 cm x 20.3 cm;RESERVE 1 album</t>
  </si>
  <si>
    <t>b2090566x</t>
  </si>
  <si>
    <t>Photograph (b&amp;w print)  6.4 cm x 15 cm;RESERVE 1 album</t>
  </si>
  <si>
    <t>Engine No. 131 at Tailem Bend.</t>
  </si>
  <si>
    <t>b20905749</t>
  </si>
  <si>
    <t>Photograph (b&amp;w print)  8.6 cm x 11.8 cm;RESERVE 1 album</t>
  </si>
  <si>
    <t>Engine No. 130 at unidentified location. A picture of the Piping Shrike is on the front.</t>
  </si>
  <si>
    <t>b20905774</t>
  </si>
  <si>
    <t>Refrigerator car at unidentified location.</t>
  </si>
  <si>
    <t>b20905786</t>
  </si>
  <si>
    <t>Photograph (b&amp;w print)  5 cm x 15.4 cm;RESERVE 1 album</t>
  </si>
  <si>
    <t>Brill '75' RC bogie.</t>
  </si>
  <si>
    <t>b20905798</t>
  </si>
  <si>
    <t>Photograph (b&amp;w print)  7.5 cm x 15.2 cm;RESERVE 1 album</t>
  </si>
  <si>
    <t>'Dynamometer car' and another carriage next to two water towers at unidentified location.</t>
  </si>
  <si>
    <t>b20905804</t>
  </si>
  <si>
    <t>Photograph (b&amp;w print)  5.6 cm x 12.8 cm;RESERVE 1 album</t>
  </si>
  <si>
    <t>'Fish traffic' car at unidentified location.</t>
  </si>
  <si>
    <t>b20905816</t>
  </si>
  <si>
    <t>Photograph (b&amp;w print)  6.3 cm x 9.3 cm;RESERVE 1 album</t>
  </si>
  <si>
    <t>Carriage in paddock at unidentified location.</t>
  </si>
  <si>
    <t>b20905828</t>
  </si>
  <si>
    <t>Photograph (b&amp;w print)  6.3 cm x 15.2 cm;RESERVE 1 album</t>
  </si>
  <si>
    <t>Wood-clad carriage at unidentified location.</t>
  </si>
  <si>
    <t>b2090583x</t>
  </si>
  <si>
    <t>Carriage at unidentified location.</t>
  </si>
  <si>
    <t>b20905841</t>
  </si>
  <si>
    <t>Photograph (b&amp;w print)  6.8 cm x 10.2 cm;RESERVE 1 album</t>
  </si>
  <si>
    <t>Embossed plaque: North British Locomotive Company Ltd Glasgow - 1913 Atlas Works No.20150.</t>
  </si>
  <si>
    <t>b20905853</t>
  </si>
  <si>
    <t>Photograph (b&amp;w print)  6.2 cm x 10.6 cm;RESERVE 1 album</t>
  </si>
  <si>
    <t>Embossed plaque: John Martin &amp; Co Ltd, Gawler SA 1894 - Phoenix Foundry.</t>
  </si>
  <si>
    <t>b20905865</t>
  </si>
  <si>
    <t>Photograph (b&amp;w print)  6.7 cm x 9.3 cm;RESERVE 1 album</t>
  </si>
  <si>
    <t>Embossed plaque: John Martin &amp; Co Ltd, Gawler SA 1895 - Phoenix Foundry.</t>
  </si>
  <si>
    <t>b20905877</t>
  </si>
  <si>
    <t>Photograph (b&amp;w print)  5 cm x 9.2 cm;RESERVE 1 album</t>
  </si>
  <si>
    <t>Embossed plaque: Commonwealth Delta trailer truck patented - Commonwealth Steel Co, Granite City Illinois.</t>
  </si>
  <si>
    <t>b20905889</t>
  </si>
  <si>
    <t>Photograph (b&amp;w print)  5 cm x 7 cm;RESERVE 1 album</t>
  </si>
  <si>
    <t>Embossed plaque: Australian Standard Garratt locomotive G-31 Commonwealth Land Transport Board.</t>
  </si>
  <si>
    <t>b20905890</t>
  </si>
  <si>
    <t>Embossed plaque: Cowans Sheldon &amp; Co. Limited, Engineers, No.852 Carlisle 1877.</t>
  </si>
  <si>
    <t>b20905907</t>
  </si>
  <si>
    <t>Close-up of an engine in a workshop.</t>
  </si>
  <si>
    <t>b20905919</t>
  </si>
  <si>
    <t>Photograph (b&amp;w print)  11.5 cm x 15 cm;RESERVE 1 album</t>
  </si>
  <si>
    <t>Two men inspecting an engine in a workshop.</t>
  </si>
  <si>
    <t>b20905920</t>
  </si>
  <si>
    <t>Photograph (b&amp;w print)  8.6 cm x 12.5 cm;RESERVE 1 album</t>
  </si>
  <si>
    <t>Engine components in a workshop.</t>
  </si>
  <si>
    <t>b21057837</t>
  </si>
  <si>
    <t>Iberia leaving Outer Harbor</t>
  </si>
  <si>
    <t>Photograph  23.8 cm x 18.7 cm</t>
  </si>
  <si>
    <t>Migrant ship 'Iberia' heading out to sea from Outer Harbor, with a tugboat nearby. [Photo by Harbors Board of South Australia.]</t>
  </si>
  <si>
    <t>Iberia (Ship)</t>
  </si>
  <si>
    <t>b21066553</t>
  </si>
  <si>
    <t>John Martin's Christmas Pageant</t>
  </si>
  <si>
    <t>photograph  8.3 cm x 12 cm</t>
  </si>
  <si>
    <t>Bess Tapscott in dress with ruffled sleeves and a hat with feathers. Two 'harem' girls are behind her.</t>
  </si>
  <si>
    <t>John Martin &amp; Co;Costume -- South Australia -- Adelaide;Christmas -- South Australia -- Adelaide;Parades -- South Australia -- Adelaide;Pageants -- South Australia -- Adelaide</t>
  </si>
  <si>
    <t>b21089516</t>
  </si>
  <si>
    <t>6 o'clock closing at Woodville Hotel</t>
  </si>
  <si>
    <t>Photograph  14.6 cm x 10 cm</t>
  </si>
  <si>
    <t>Alexander Murchie (far right) with Harry McPhie (second from right) and other friends at the Woodville Hotel. Given that the men are dressed more formally than their usual working attire, the Murchie family assumes that the men were on their way to a function.</t>
  </si>
  <si>
    <t>Murchie, Alexander;McPhie, Harry;Bars (Drinking establishments) -- South Australia -- Woodville</t>
  </si>
  <si>
    <t>b21126604</t>
  </si>
  <si>
    <t>North Terrace West, Adelaide</t>
  </si>
  <si>
    <t>Photograph  8 cm x 13.9 cm</t>
  </si>
  <si>
    <t>[General description] Premises of J.A.Lawton &amp; Sons, Adelaide, taken on February 8th, 1954. This building, Art Deco in style, was erected in 1936. Compare with B6826, B6827, and B6833. [On back of photograph] 'Acre 6 / North Terrace west / February 8, 1954 / Left side of Lawson's building abuts west side of Fenn Place / Frontage: 33 yards / Glass bricks were later let into western end of this building / Compare with B 6961'</t>
  </si>
  <si>
    <t>Acre 6 Collection</t>
  </si>
  <si>
    <t>b2121380x</t>
  </si>
  <si>
    <t>'The Grange'</t>
  </si>
  <si>
    <t>Photograph  9 cm x 14 cm</t>
  </si>
  <si>
    <t>The Grange, home of Captain Charles Sturt.</t>
  </si>
  <si>
    <t>Grange (House : Grange, S.A.)</t>
  </si>
  <si>
    <t>b21285640</t>
  </si>
  <si>
    <t>Elderly woman knitting</t>
  </si>
  <si>
    <t>Photograph (b &amp; w print)  11 cm x 15.5 cm</t>
  </si>
  <si>
    <t>An elderly woman in thoughtful pose surveying her knitting. A note on the verso has 'Mrs Susan McDonald / 3 Verran Ave / Hilton / age 92 years / Dec 8 1954'.</t>
  </si>
  <si>
    <t>McDonald, Susan;Knitting</t>
  </si>
  <si>
    <t>Barr Family Collection</t>
  </si>
  <si>
    <t>b21285652</t>
  </si>
  <si>
    <t>Group photograph of young men in white gym gear</t>
  </si>
  <si>
    <t>Photograph (b &amp; w print)  21.6 cm x  16.3 cm (image), 30.6 cm x  25 cm (mount);RESERVE 1 b</t>
  </si>
  <si>
    <t>A group of young men dressed for a day of athletics or sports, pictured at the grounds of the 13th Australian Field Artillery Batteries, area 48 headquarters. A handwritten note on the mount says 'G. G. Smith Ltd PO Staff'.</t>
  </si>
  <si>
    <t>b27587447</t>
  </si>
  <si>
    <t>H.L. Sheard, Port Elliot Railway centenary 1854-1954.</t>
  </si>
  <si>
    <t>Photograph (B&amp;W)  6.0 x 8.5 cm;RESERVE 1 album</t>
  </si>
  <si>
    <t>Portrait of Harold L. Sheard, attending the Port Elliot railway centenary celebrations, Saturday May 8th, 1954.</t>
  </si>
  <si>
    <t>Sheard, H. L.;Railroad stations -- South Australia -- Port Elliot</t>
  </si>
  <si>
    <t>b30107994</t>
  </si>
  <si>
    <t>The Iberia leaving Port Adelaide</t>
  </si>
  <si>
    <t>Black and white photograph of the SS Iberia being assisted out to sea by tug boat from the dock at Port Adelaide. Another version of the photograph (B 69065) states the location as Outer Harbor, and the ship as a migrant ship.</t>
  </si>
  <si>
    <t>Iberia (Ship);Passenger ships -- Great Britain -- History;Ocean liners -- Great Britain -- History;Passenger ships -- Australia -- History -- 20th century;Ocean Liners -- South Australia -- Port Adelaide</t>
  </si>
  <si>
    <t>b30108184</t>
  </si>
  <si>
    <t>The Iberia leaving Port Adelaide, with two tugboats</t>
  </si>
  <si>
    <t>Black and white photograph of the SS Iberia being assisted out to sea by two tug boats from the dock at Port Adelaide. Another version a similar image (B 69065) states the location as Outer Harbor, and the ship as a migrant ship.</t>
  </si>
  <si>
    <t>b20359391</t>
  </si>
  <si>
    <t>Halfway House Hotel, Plympton</t>
  </si>
  <si>
    <t>[General description] This quaint hotel is situated on the south west corner of Anzac Highway and Marion Road intersection. It started out as the Halfway (1839- 1875) and later the Halfway House (1882-6th June 1955). In 1956 when K.M. Carter was the licensee it was demolished and replaced as the Highway Inn which is still extant (2018). [On back of photograph] 'Halfway House Hotel / Plympton / The building was demolished in August, 1956.'</t>
  </si>
  <si>
    <t>Halfway House Hotel (Plympton, S.A.);Hotels -- South Australia -- Plympton</t>
  </si>
  <si>
    <t>b2054490x</t>
  </si>
  <si>
    <t>North Terrace east and west corner of Liverpool Street, 16 September 1955. The nondescript structures continuie for some distance on the right hand side. The buildings shown were demolished in 1955. For a view of building subsequently erected on this site see B 14195 and B 14196</t>
  </si>
  <si>
    <t>b20545083</t>
  </si>
  <si>
    <t>Fenn Place, Adelaide, East Side</t>
  </si>
  <si>
    <t>[General description] View looking south along Fenn Place with mostly light industrial buildings. The premises of Paper Products Pty. Ltd., paper and board converters are prominent. [On back of photograph] 'Acre 6 / Fenn Place, East side / 30 March 1955 / Left side of Paper Products building is 36 1/2 yards south of North Terrace / Frontage: 20 1/2 yards / For view of this building looking north, see B 3603.'</t>
  </si>
  <si>
    <t>b20548461</t>
  </si>
  <si>
    <t>[General description] This two storey townhouse has arched verandahs on both floors and tall dormers or attics in the roof. Banners attached to the building proclaim 'Down it comes! S.A. Salvage Building Wreckers are here' Part of Lister House can be seen on the right. [On back of photograph] 'Acre 20 / North Terrace, east / 12 January 1955 /  Right side of the building being demolished is 38 1/2 yards east of Gawler Place  its frontage is 12 1/2 yards / Building was demolished shortly after this photograph was taken / See B 13145 for another view'.</t>
  </si>
  <si>
    <t>b20548473</t>
  </si>
  <si>
    <t xml:space="preserve"> [General description] This two storey townhouse has arched verandahs on both floors and tall dormers or attics in the roof. Banners attached to the building proclaim 'Down it comes! S.A. Salvage Building Wreckers are here' Part of Lister House can be seen on the right. [On back of photograph] 'Acre 20 / North Terrace, east / 12 January 1955 /  Right side of the building being demolished is 38 1/2 yards east of Gawler Place  its frontage is 12 1/2 yards / Building was demolished shortly after this photograph was taken / See B 13144 for another view'.</t>
  </si>
  <si>
    <t>b20549878</t>
  </si>
  <si>
    <t>North Terrace, east, December 27th 1955. Left side of parking lot has a frontage of 38.5 yards on North Terrace, and on the right, 33.5 yards to Pulteney Street. For a view of this site when used as a "Miniature Golf Links" in 1931, see B 6064</t>
  </si>
  <si>
    <t>b20550121</t>
  </si>
  <si>
    <t>North Terrace, east, August 15th 1955, left side of building is 50.5 yards west of Tavistock Street and frontage is 10 1/4 yards. This small Victorian town house was built when North Terrace was a sought after residential street. It was built from 1881 - 1883 for Arthur Waterhouse to the design of William McMinn, architect. The roof, with its attic window is distinctly French and the mansard slate roof and parapet terminated by urns is a classic feature</t>
  </si>
  <si>
    <t>b20550133</t>
  </si>
  <si>
    <t>Tavistock Street</t>
  </si>
  <si>
    <t>Tavistock Street, west side, December 27th 1955, right side of building is 36 yards south of North Terrace and frontage is 13 3/4 yards. Frontage of the whole two storey building is 13.75 yards. For a view of this building taken in 1925, See B 2591. This building was altered and additions made in recent years, the work being completed by the end of 1954</t>
  </si>
  <si>
    <t>b20551253</t>
  </si>
  <si>
    <t>Dunlite Electrical, Tavistock Street</t>
  </si>
  <si>
    <t>Dunlite Electrical Co. Ltd., Tavistock Street, west side, August 15th 1955, left side of the building is 42.5 yards north of Rundle Street and frontage is 28 yards. This building was completed in 1952. For a view showing part of the cottages formerly occupying the site see extreme right of B 1462. An additional floor was erected in 1955. Dunlite "has been powering the Nation" since 1936. Dunlite Electrical Company Limited was owned by LB Dunn and opened for business in July 1936 at 22A Tavistock Street (now Frome Street). They specialised in electrical appliances, automotive repoairs and rewinding</t>
  </si>
  <si>
    <t>Acre 36 Collection</t>
  </si>
  <si>
    <t>b20555489</t>
  </si>
  <si>
    <t>Rundle Street, north side, left side of building is 19 yards east of King William Street and frontage is 11 yards. This three storey building is built in the Renaissance style. At the time of the photograph the ground floor shops house Mases, photographers and Barlows Shoes</t>
  </si>
  <si>
    <t>b2055638x</t>
  </si>
  <si>
    <t>[General description] Miller Anderson's department store, with origins dating back to Adelaide's early days until its closure in 1988. [On back of photograph] 'Acres 47 and 48 / Hindley Street, north side / May 9 1955 / Right side of Miller Anderson's premises abuts west side of Gresham Street / Complete frontage of premises at this date is 51 yards'</t>
  </si>
  <si>
    <t>Miller Anderson Ltd.;Department stores -- South Australia -- Adelaide</t>
  </si>
  <si>
    <t>b20556391</t>
  </si>
  <si>
    <t>Gresham Street, Adelaide</t>
  </si>
  <si>
    <t>[General description] Looking along Gresham Street from Hindley Street with Miller Anderson's on the left. An Austin A30 is in the centre of the view [On back of photograph] 'Acre 47 / Gresham Street, west side / May 9 1955 / Frontage of Miller Anderson's premises on Gresham Street / Left side abuts Hindley Street / Frontage: 30 yards'</t>
  </si>
  <si>
    <t>Miller Anderson Ltd.</t>
  </si>
  <si>
    <t>b20556950</t>
  </si>
  <si>
    <t>[General description] Looking east along Hindley street showing shops such as Morris Cafe, Stones Food Store, Freeman Chemists, the Theatre Royal and Miller Anderson's Deartment Store. Cars are parked at the kerb [On back of photograph] 'Acre 48 / Hindley Street, north side / 9th May 1955 / The nearest end of Miller Anderson's verandah is 50 yards west of the west side of Gresham Street / From the nearer end of Miller Anderson's verandah to the notice over the footpath reading 'Freeman Drug Stores-Chemists' is 27 yards'</t>
  </si>
  <si>
    <t>Acre 48 Collection</t>
  </si>
  <si>
    <t>b20558296</t>
  </si>
  <si>
    <t>Hindley Street, north side, 30 December 1955. Left side of Austral Elevator Company Limited building is 56 3/4 yards east of Morphett Street and frontage is 13 3/4 yards. This building was completed early in 1955. For an earlier view of this site see B 18182/1-2.</t>
  </si>
  <si>
    <t>b20558995</t>
  </si>
  <si>
    <t>[General description] This is a pair of attached stone cottages with decorative gables and a gabled front verandah [On back of photograph] 'Acre 62 / West Terrace, 23 May 1955 / Left side of building abuts south side of Rose Street / Frontage is 13 1/4 yards'</t>
  </si>
  <si>
    <t>b20560503</t>
  </si>
  <si>
    <t>[General description] The shops on the ground floor of these two buildings are empty. On back of photograph] 'Acre 75 / Hindley Street, south side, March 14th 1955 / Right side of shop abuts east side of Club House Lane / Frontage of the shop is 6.5 yards.'</t>
  </si>
  <si>
    <t>b20560898</t>
  </si>
  <si>
    <t>Leigh Street, Adelaide</t>
  </si>
  <si>
    <t>[General description] This is a three storey building known as Aston House, originally the site of the Black Horse Hotel. It has interesting arched windows surrounding four front entrances. It is probably about to undergo remodeling of its ground floor. See photograph taken in 2012 at B 73275/1. Businesses in this building include the South Australian Paper Bag Co., Newton McLaren Engineers,  [On back of photograph] 'Acre 76 / Leigh Street, west side / May 9th 1955 / Right side of centre building is 26.5 yards south of Hindley Street and frontage is 33.5 yards'</t>
  </si>
  <si>
    <t>Acre 76 Collection</t>
  </si>
  <si>
    <t>b20560904</t>
  </si>
  <si>
    <t>Hindley Street, south side, March 14th 1955, frontage of building is 7.5 yards between verandah posts.  Verandah post on the left is 14.5 yards west of Leigh Street</t>
  </si>
  <si>
    <t>b20563747</t>
  </si>
  <si>
    <t>Rundle Street, south side east corner of James Place, 25 October 1955. For a view of this building taken in 1925, see B2700.</t>
  </si>
  <si>
    <t>b20568617</t>
  </si>
  <si>
    <t>Grenfell Street, Adelaide</t>
  </si>
  <si>
    <t>[General description] Part of the East End Market buildings with plane tree and parked cars. [on back of photograph] 'Acre 95 / Grenfell Street, north side / March 14th 1955 / This view shows portion of East End Market building / Frontage of centre shops is 14.5 yards / Left side of shops is 71 1/4 yards east of Union Street.'</t>
  </si>
  <si>
    <t>Acre 95 Collection</t>
  </si>
  <si>
    <t>b20569415</t>
  </si>
  <si>
    <t>Arcade Lane</t>
  </si>
  <si>
    <t>Arcade Lane, west side, May 23, 1955. The buildings in B13369 to B13372 were remodelled in to the Plaza Theatre in 1955. (Compare B13583) The Plaza Theatre incorporated the Embassy Ballroom, parts of which are shown in these views (Embassy Hall). Compare with B 13583. A map has been included on the back of the photograph showing the positions of various views of Arcade Lane. Note says "Section out-lined in red represents buildings shown in B 13369 and B 13372. Camera viewpoint shown by arrows. Plan is approximate only"</t>
  </si>
  <si>
    <t>b20569427</t>
  </si>
  <si>
    <t>Arcade Lane, west side. May 23, 1955. For position of these buildings and viewpoints of camera, see sketch plan on back of B 13369</t>
  </si>
  <si>
    <t>b20569439</t>
  </si>
  <si>
    <t>South side of lane (at the rear of Regent Arcade) opening off west side of Arcade Lane: May 23, 1955. For position of these buildings and viewpoint of camera see sketch plan on B 13369</t>
  </si>
  <si>
    <t>b20569440</t>
  </si>
  <si>
    <t>Arcade Lane, west side. May 23, 1955. For position of these buildings and viewpoint of camera see sketch plan on B 13369</t>
  </si>
  <si>
    <t>b20569452</t>
  </si>
  <si>
    <t>Arcade Lane, west side, May 23, 1955. Sturt Arcade Hotel. For position of this building and viewpoint of camera see sketch plan on B 13369</t>
  </si>
  <si>
    <t>b20570004</t>
  </si>
  <si>
    <t>[General description] The facade of this two storey building is in the Art Deco style. It displays a sign reading 'Ingerson Salon'. It is soon to be demolished to make way for the DaCosta Building [On back of photograph] 'Acre 105 / Gawler Place, east side / 15th March 1954 / This is a portion of building shown in B 6763 (left side). See this image for details of site and demolition'</t>
  </si>
  <si>
    <t>Acre 105 Collection</t>
  </si>
  <si>
    <t>b20573236</t>
  </si>
  <si>
    <t>[General description] This small stone building in the centre is being demolished. Bennett &amp; Fisher is on the right, T. O'Connor &amp; Sons on the left. [On back of photograph] 'Acre 119 / Currie Street, north side / March 14th 1955 / Right side of McKenzie's is 105 yards west of Light Square and frontage is 8.5 yards / Building is shown in course of demolition / For an earlier view of this building see B 3591'</t>
  </si>
  <si>
    <t>b20574642</t>
  </si>
  <si>
    <t>Currie Street, south side, 22 November 1955, right side of demolished cottage is 12.5 yards east of Elizabeth Street and frontage is 7 1/4 yards.</t>
  </si>
  <si>
    <t>b2057826x</t>
  </si>
  <si>
    <t>[General description] Freeman Motors dominates this view of east end of Grenfell Street, occupying the two centre buildings. They specialised in Holden and Bedford vehicles. Mostly Holden cars are parked out front. Next door (right) is Harvey's, suppliers of milking machines and other agricultural implements. [On back of photograph] 'Acres 153, 154 / Grenfell Street, south side / March 14th 1955 / Right side of Freeman Motors is 40 yards east of Tam O'Shanter Place and frontage of the two Freeman Motors buildings is 40 yards.'</t>
  </si>
  <si>
    <t>Acre 153 Collection</t>
  </si>
  <si>
    <t>b20578489</t>
  </si>
  <si>
    <t>[General description] A car is parked outside of the premises of the Keen Preserving Company, manufacturers of 'Pickles, sauces, coffee essence, syrups etc' [On back of photograph] 'Acre 156 / Pirie Street, north side / May 9th 1955 / Right side of Keen's building is 53 yards west of East Terrace and frontage is 17 yards'</t>
  </si>
  <si>
    <t>Acre 156 Collection</t>
  </si>
  <si>
    <t>b20580678</t>
  </si>
  <si>
    <t>[General description] City buildings and cars in King William Street with a fruit barrow at the kerb. Businesses are: The Majestic Theatre  Mick McCoy Ltd, a leathergoods and saddlery shop and Travelware on the ground floor of Ware Chambers [On back of photograph] 'Acre 170 / King William Street, east side / 1954 / Right side of McCoy's building is 39 yards north of Pirie Street and frontage is 7 yards / This building was remodelled in 1955 / Compare with B 13606'</t>
  </si>
  <si>
    <t>b20582043</t>
  </si>
  <si>
    <t>Waymouth Street, Adelaide</t>
  </si>
  <si>
    <t>[General description] In between Bickford's building on the left and DHA Laboritories on the right is a large yard with a tall fence. Perhaps these premises are about to undergo re-modelling. [On back of photograph] 'Acre 175 / Waymouth Street, north side / March 14th 1955 / Left side of Bickfords building is 50 yards east of Gilles Arcade / Frontage of Bickford's building including fence and gateway is 21.5 yards.'</t>
  </si>
  <si>
    <t>Acre 175 Collection</t>
  </si>
  <si>
    <t>b20583424</t>
  </si>
  <si>
    <t>[General description] This dilapidated iron building is soon to be replaced by a smart new factory making built-in furniture for Gladiola. Gladiola Co. was a South Australian Company manufacturing radios, refrigerators, phonographs, sewing machines etc. [On back of photograph] 'Acres 190 and 191 / Waymouth Street, south side / May 2nd 1955 / Left side of Gladiola Factory is 24 yards west of Crowther Street / Frontage: 21 yards / These buildings were subsequently removed / For view showing new building completed in February 1956 see B 13900'</t>
  </si>
  <si>
    <t>Gladiola Company</t>
  </si>
  <si>
    <t>Acre 191 Collection</t>
  </si>
  <si>
    <t>b20583667</t>
  </si>
  <si>
    <t>Ranelagh Street, Adelaide</t>
  </si>
  <si>
    <t>[General description] Cars are parked in the street in front of a pair of run down cottages which are probably about to be demolished. The one on the far end abuts a factory wall. [On back of photograph] 'Acre 193 / Ranelagh Street, east side / January 12th 1955 / Left side of cottages is 56.5 yards south of Waymouth Street and frontage is 14 yards / These cottages are a portion of what was a longer row / See Cadastral plan'</t>
  </si>
  <si>
    <t>b20583783</t>
  </si>
  <si>
    <t>Morphett Street, west side, December 30th 1955, right side of light coloured cement faced building is 23.5 yards south of Waymouth Street and frontage is 28 3/4 yards.For another view see B 12909</t>
  </si>
  <si>
    <t>b20583795</t>
  </si>
  <si>
    <t>South west corner of Morphett Street and Waymouth Street, Sunbeam building has a frontage of 23.5 yards on left to Morphett Street. On the right the building extends along south side of Waymouth Street. December 30, 1955. For a view of this building taken in 1925 see B 2721</t>
  </si>
  <si>
    <t>b20584441</t>
  </si>
  <si>
    <t>[General description] The Thistle Hotel has been on this site since 1838, undergoing various changes as time passed until it was demolished in 1970. This view still retains changes made in 1937 (see B 7401). An earlier view of the hotel can be seen at B 5175. The licensee at the time this photograph was taken is Vincent Leahy [On back of photograph] 'Acres 200 and 199 / Waymouth Street, south side / May 9th 1955 / Left side of Thistle Hotel abuts west side of Bentham Street / Frontage of Thistle Hotel is 13.5 yards / Frontage of adjoining building is 20 yards / Note: Thistle Hotel incorporates adjoining building upper storey / For view of Bentham Street frontage of hotel at this date see B 13218'</t>
  </si>
  <si>
    <t>Hotels -- South Australia -- Adelaide -- Waymouth Street</t>
  </si>
  <si>
    <t>b20584453</t>
  </si>
  <si>
    <t>Bentham Street, Adelaide</t>
  </si>
  <si>
    <t>[General description] This view shows the Bentham Street frontage of the Thistle Hotel. See B 13217 for a view of Waymouth Street frontage and brief history of hotel  [On back of photograph] 'Acre 200 / Bentham Street, west side / May 9th 1955 / 'Right side of Thistle Hotel abuts south side of Hindley Street / Frontage of Hotel on Bentham Street is 30 yards / For view of Waymouth Street frontage see B 13217'</t>
  </si>
  <si>
    <t>b20588847</t>
  </si>
  <si>
    <t>East corner of Hutt Street and East Terrace, September 28th 1955, Hutt Street frontage is 17.5 yards and East Terrace frontage is 17.5 yards.</t>
  </si>
  <si>
    <t>b20592723</t>
  </si>
  <si>
    <t>Bank Street, East Side</t>
  </si>
  <si>
    <t>Bank Street, east side. 30 December 1955. This view shows the Bank Street frontage of the Commercial Travellers' Association building, the entrance of which is on North Terrace. The building extends 52 yards along Bank Street, and this view is looking south from North Tce. See also B 13575 looking north</t>
  </si>
  <si>
    <t>b20592735</t>
  </si>
  <si>
    <t>Bank St., east side. 30 December 1955. This view shows the Bank St. frontage of the Commercial Travellers' Association building, looking north. For a view of this building looking south and for details of the site see B 13574</t>
  </si>
  <si>
    <t>b20594197</t>
  </si>
  <si>
    <t>United Motors Limited</t>
  </si>
  <si>
    <t>Franklin Street, north side 26 August 1955. United Motors Limited. Left side of this building (centre white building in the picture carrying the words United Motors Limited) is 15 3/4 yards east of Young Street. Frontage: 151/2 yards.</t>
  </si>
  <si>
    <t>Acre 241 Collection</t>
  </si>
  <si>
    <t>b20594471</t>
  </si>
  <si>
    <t>[General description] Cars are parked at the kerb in front of this impressive two storey stone terrace with wide verandahs and balconies decorated with iron lace. Its end section (where the balcony has been removed) is about to undergo alterations. [On back of photograph] 'Acre 244 / Franklin Street, north side / 23 May 1955 / Right side of the building without verandah is 21 yards west of Tatham Street / Its frontage is 15 yards / Verandah shown on left formerly continued the whole length of this building / For view of this building after alterations made in 1955, see B 13589'</t>
  </si>
  <si>
    <t>b20594975</t>
  </si>
  <si>
    <t>[General description] This small white painted building is about to be converted into a 'Tuck shop', probably to provide lunches for the workers at nearby industries. Cars are parked in its yard and in the street. See B 13034 for another view pre-conversion. [On back of photograph] 'Acre 249 / Franklin Street, north side / 14 March 1955 / Right side of the building is 39 1/2 yards west of Crowther Street / Frontage: 9 yards / In about 1955 this building was converted into a shop / For views after conversion see B13887, B13888.'</t>
  </si>
  <si>
    <t>b20595098</t>
  </si>
  <si>
    <t>[General description] This bluestone terrace has been significantly altered to become a a motor garage. Some of the interior walls have been removed to make space for motor vehicles and there are petrol bowsers in front of the building. [On back of photograph] 'Acre 251 / Franklin Street, north side / May 2, 1955 / Formerly Rosetta Place / Left side of building is 29 yards east of Grattan Street / Frontage: 35 yards / For view of this building prior to alterations made around February 1955 see B 10918'</t>
  </si>
  <si>
    <t>b20595165</t>
  </si>
  <si>
    <t>[General description] The bluestone cottages, seen from the electric light pole on the left to the one on the extreme right are going to be demolished and replaced with a modernist building [On back of photograph] 'Acre 252 / North corner of Franklin Street and West Terrace / 23 May 1955 / Two storey building has frontage of 6 and a half yards on West Terrace and 25 yards on Franklin Street / Single storey cottages on left of two storey building have frontage of 23 yards on West Terrace (See also B 13230) / These buildings were demolished in 1956 / For view of building subsequently erected on this site see B 13949'</t>
  </si>
  <si>
    <t>b20595177</t>
  </si>
  <si>
    <t>[General description] This two storey stone house with attached outbuildings and wall is going to be demolished, along with the cottages on its other side whose chimneys can be seen in the centre right of the view. [On back of photograph] 'Acre 252 / Franklin Street, north side / 23 May 1955 / Left side of the building abuts West Terrace / Frontage (including wall): 25 yards, demolished in 1956 (See also B 13229) / This building was demolished in 1956 / For view of the building subsequently erected on this site see B 13949'</t>
  </si>
  <si>
    <t>b20595566</t>
  </si>
  <si>
    <t>Trenerry Court, Adelaide</t>
  </si>
  <si>
    <t>[General description] This cottage is being demolished. See B 14070 for the new building replacing it [On back of photograph] 'Acre 256 / Trenerry Court, south side / (See Cadastral plan for location) / 2nd May 1955 / Left side of the building abuts the west side of Trennery Court / Frontage: 13 yards / Building shown in course of demolition / For earlier view see B 6909'</t>
  </si>
  <si>
    <t>Acre 256 Collection</t>
  </si>
  <si>
    <t>b20595736</t>
  </si>
  <si>
    <t>Morney Street, Adelaide</t>
  </si>
  <si>
    <t>[General description] This view looking south along Morney Street shows the drive-in entrance to the building shown in B 13148. [On back of photograph] 'Acre 257 / Morney Street, east side / 17th January 1955 / Left side of building is 35 yards south of Franklin Street / Frontage: 35 yards / This view was taken looking south / For view looking north see B 13148 / For earlier view see B 10898 and B 12256'</t>
  </si>
  <si>
    <t>b20595748</t>
  </si>
  <si>
    <t>[General description] This view north along Morney Street shows the building depicted in B 13147. Its driveway exit has a sign 'Out only' on its galvanised iron gates. A flatbed truck is on the left. [On back of photograph] 'Acre 257 / Morney Street, east side / Looking north / 17th January 1955 / Left side of building is 35 yards south of Franklin Street / Frontage: 35 yards / See B 13147 for view looking south'</t>
  </si>
  <si>
    <t>b20595864</t>
  </si>
  <si>
    <t>Franklin Street, south side, 21 June 1955. Left side of building is 35 yards west of Morphett Street. Frontage: 18 yards. The photograph shows two semi detached two storey houses with iron panelling around the upper floor balcony. Each house has a bay window facing the street</t>
  </si>
  <si>
    <t>Acre 260 Collection</t>
  </si>
  <si>
    <t>b20595876</t>
  </si>
  <si>
    <t>Franklin Street, south side, 21 June 1955. Left side of building is 57 yards west of Morphett Street. Frontage: 13 yards. The photograph shows two semi detached two storey stone houses sharing a parapet</t>
  </si>
  <si>
    <t>b20597885</t>
  </si>
  <si>
    <t>Flinders Street, south side, 9th September 1955 showing the London Inn Hotel. Right side of the hotel is 16 1/3 yards east of Roper Street. Frontage: 11 yards. For a view of the building subsequently erected on this site see B 13966. The London Inn existed from 1849 - 1956. Claude Eric Rothenberg was the last proprietor, and at the time this photograph was taken</t>
  </si>
  <si>
    <t>London Inn Hotel (Adelaide, S.A.);Hotels -- South Australia -- Adelaide</t>
  </si>
  <si>
    <t>b20598579</t>
  </si>
  <si>
    <t>Flinders Street, south side, 22nd November 1955. Right side of Flinders Hall building is 49 1/2 yards east of Ackland Street. Frontage: 13 3/4 yards. Compare with B 12340. Flinders Hall building was originally built as school accommodation for St Paul's Church of England and catered mainly for the poorer people of the congregation. During the 1880s and early 1890s the building was altered and extended, including a grand staircase and the property and school remained in the hands of St Pauls until 1950</t>
  </si>
  <si>
    <t>Acre 280 Collection</t>
  </si>
  <si>
    <t>b20598580</t>
  </si>
  <si>
    <t>Ifould Street, north side, 6th December 1955. Left side of left-hand cottage is 48 hards east of Ackland Street. Frontage of right-hand cottage is 6 1/2 yards. Frontage of the left hand cottage is 6.5 yards. There is a lane 3 yards wide between the cottages.</t>
  </si>
  <si>
    <t>b20598774</t>
  </si>
  <si>
    <t>Flinders Street, south side, 29th December 1955. Left side of the used car lot is 33 1/2 yards west of Daly Street, frontage:30 3/4 yards. The central office building has a frontage of 13.75 yards, it's left side being 8 yards from the eastern boundary of the lot. This car lot was opened in 1954. For cottages which formerly occupied this site see B 3232 and B 13368</t>
  </si>
  <si>
    <t>b20599146</t>
  </si>
  <si>
    <t>East Terrace</t>
  </si>
  <si>
    <t>East Terrace, 14 November 1955.  Left side of the sandstone building is 40 1/4 yards west of East Terrace. Frontage is 12 1/2 yards. A rough sketch on the back of this photograph shows the location of the building near the corner of East Terrace and Flinders Street</t>
  </si>
  <si>
    <t>Acre 286 Collection</t>
  </si>
  <si>
    <t>b20599158</t>
  </si>
  <si>
    <t>East Terrace, 14 November 1955 Left side of building is 3 yards west of East Terrace. Frontage of building is 19 yards on right side. A rough sketch on the back of the photograph shows the location of the house on the corner of Flinders Street and East Terrace. The main eastern part of this house with its classic symmetry was built in 1857 for James Parsons  the bay windowed drawing room to the west was added about 1870. Dimora House at 120 East Terrace can be seen on the extreme left of the photograph</t>
  </si>
  <si>
    <t>b20600744</t>
  </si>
  <si>
    <t>Wakefield Street, north side, September 9th 1955, left side of Moulds and Ellis' building is 16 yards east of Gawler Place, frontage is 10 yards, old building to the right has frontage of 9 yards, extreme right is approximately 45 yards east of Gawler Place. The cottage adjoining Moulds and Ellis Motorcycle Shop on the right side, was demolished in 1955</t>
  </si>
  <si>
    <t>Acre 301 Collection</t>
  </si>
  <si>
    <t>b20600872</t>
  </si>
  <si>
    <t>[General description] Two storey bluestone cottages and parked cars in Gawler Place. The rear of the Education Building on Flinders Street is seen in the background [On back of photograph] 'Acre 302 / Gawler Place, West side / May 16th 1955 / Right side of two storey house on the right is 35.5 yards south of Bray Street / Frontage of house is 7 1/4 yards / Frontage of the house on left is 7 3/4 yards / A driveway of 4 1/4 yards separates the two houses'</t>
  </si>
  <si>
    <t>b20601499</t>
  </si>
  <si>
    <t>Grote Street, north side, 28 November 1955. Right centre of the centre building with the balcony abuts the west side of Trades Hall Lane. Frontage: 14 1/2 yards. Trades Hall, on the extreme right, was opened in 1896</t>
  </si>
  <si>
    <t>Acre 307 Collection</t>
  </si>
  <si>
    <t>b20602637</t>
  </si>
  <si>
    <t>[General description] Two workman's cottages in Morney Street. [On back of photograph] 'Acre 316/ Morney Street, east side / 17 January 1955 / Right side of cottages is 37 1/4 yards north of Grote Street /  Frontage of two cottages is 20 yards.'</t>
  </si>
  <si>
    <t>b20607520</t>
  </si>
  <si>
    <t>Robert Street, Adelaide</t>
  </si>
  <si>
    <t>[General description] This row of single storey stone cottages fronts directly onto the street. Parked at the kerb are a 'baby' Austin A30 and an FJ Holden Utility. [On back of photograph] 'Acre 347 / Robert Street, west side / 30 March 1955 / Right side of building is 38.5 yards south of Wakefield Street / Frontage is 20 yards.'</t>
  </si>
  <si>
    <t>b20607532</t>
  </si>
  <si>
    <t>[General description] This is an attached pair of stone cottages and a disused shop, all very small. See B 13183 for another view. [On back of photograph] 'Acre 347 / Robert Street, west side / 30 March 1955 / Right side of old shop on right is 58.5 yards south of Wakefield Street / Frontage of shop and two adjoining cottages is 11.5 yards.'</t>
  </si>
  <si>
    <t>b20607544</t>
  </si>
  <si>
    <t>[General description] This view shows the same cottages and shop shown in B 13182, this time looking south. [On back of photograph] 'Acre 347 / Robert Street, west side / 30 March 1955.'</t>
  </si>
  <si>
    <t>b20607817</t>
  </si>
  <si>
    <t>Wakefield Street, south side, 29 December 1955. Left side of McLeod's Tyres building abuts west side of Cardwell Street. Frontage: 30 1/2 yards. This building was erected in 1954-5 and completed in 1955. For the view of cottages formerly on this site see B13198.</t>
  </si>
  <si>
    <t>b20608305</t>
  </si>
  <si>
    <t>Angas Street, north side, 15 August, 1955. Left side of white building is 33 1/2 yards east of Little Elder Street. Frontage: 16 1/2 yards. This building was completed in 1954. The site was formerly occupied by two cottages which were demolished in 1954. Tilbrooks Brake Service occupied this building at the time of this photograph</t>
  </si>
  <si>
    <t>Acre 364 Collection</t>
  </si>
  <si>
    <t>b20608810</t>
  </si>
  <si>
    <t>Hanson Street, west side, 15 August 1955, right side of building is 39.5 yards north of Angas Street. Building stands on the north-west corner of Hanson and Angas Streets. For a view showing portion of this building before alterations were completed see extreme left of B 12821. For a view of the building after completion of alterations see B 13580</t>
  </si>
  <si>
    <t>b20608822</t>
  </si>
  <si>
    <t>Hanson Street, west side, 13 October 1955. For details of site see B 12821</t>
  </si>
  <si>
    <t>b20610282</t>
  </si>
  <si>
    <t>Brown Street, west side, 29 December 1955, frontage of car lot is approximately 20 yards. Right side of car lot is approximately 20 yards. This used car lot was completed in 1954. For view of site and cottage on right hand side of lot prior to alteration and demolition see B 12954 and B 13108</t>
  </si>
  <si>
    <t>b20610725</t>
  </si>
  <si>
    <t>Gouger Street, north side, 13 October 1955, Frontage is 17 yards. Right side of these cottages abuts west side of Blenheim Place. B 13647 shows these cottages in course of demolition</t>
  </si>
  <si>
    <t>Acre 389 Collection</t>
  </si>
  <si>
    <t>b20610774</t>
  </si>
  <si>
    <t>Gouger Street, north side, 21 June 1955, right side of building is 17 yards west of Blenheim Street, frontage is approximately 17 yards. The building was demolished by the end of October 1955. The single storey cottage had a balustraded parapet with a pediment across the western side of the building</t>
  </si>
  <si>
    <t>b20610786</t>
  </si>
  <si>
    <t>Gouger Street, north side, 13 October 1955. For details of site of this building see B 13376. Building shown in course of demolition</t>
  </si>
  <si>
    <t>b20610890</t>
  </si>
  <si>
    <t>West Terrace, 26 August 1955. Left side of building is 47 1/2 yars south of Gouger Street. Frontage of building: 5 yards. This building was demolished in 1956. For used car lot subsequently opened on this site see B13948.</t>
  </si>
  <si>
    <t>b20611389</t>
  </si>
  <si>
    <t>Gouger Street, south side, September 9th 1955, frontage of cottage is 10 yards and frontage of shop is 4.5 yards. Right side of cottage abuts east side of Selby Street. The cottage is numbered 167 while the adjacent shop is number 163 Gouger Street</t>
  </si>
  <si>
    <t>b20611456</t>
  </si>
  <si>
    <t>[General description] The corner premises of Coventry Motors which deals in Chrysler, Plymouth, Vanguard and Standard 8 cars and Fargo trucks and Utilities [On back of photograph] 'Acre 400 / South west corner of Brown Street and Gouger Streets / March 7th 1955 / Coventry Motors building has a frontage of 16 1/2 yards on Brown Street (On left) and 23 yards on Gouger Street / Right side of two storey building abuts east side of Bartels Street / For a view of this building taken in 1955, see B 6590.'</t>
  </si>
  <si>
    <t>Acre 400 Collection</t>
  </si>
  <si>
    <t>b20611468</t>
  </si>
  <si>
    <t>Bartels Street</t>
  </si>
  <si>
    <t>Bartels Street, west side, July 26th 1955, right side of building is 38 3/4 yards south of Gouger Street and frontage of the two cottages is 8 yards. See also B 13489</t>
  </si>
  <si>
    <t>b2061147x</t>
  </si>
  <si>
    <t>Bartels Street, west side, October 25th 1955, right side of building is 38 3/4 yards south of Gouger Street and frontage is 4 yards (of roofed section) See also B 13460</t>
  </si>
  <si>
    <t>b20611535</t>
  </si>
  <si>
    <t>Gouger Street, south side, November 14th 1955, right side of building is 61 1/4 yards east of Brown Street and frontage is 9 yards. For a view of this site in 1957 see B 13953</t>
  </si>
  <si>
    <t>b2061164x</t>
  </si>
  <si>
    <t>Gouger Street, south side, August 4th 1955, left side of building with verandah is 43 3/4 yards west of Field Street and frontage is 12 yards. The bluestone two storey cottage has two shop fronts under a wide verandah which reaches across the footpath. Both the shops and the cottage have parapets</t>
  </si>
  <si>
    <t>Acre 402 Collection</t>
  </si>
  <si>
    <t>b20612011</t>
  </si>
  <si>
    <t>Gouger Street, south side, October 25th 1955. Right side of two storey building abuts east side of Compton Street. Frontage of two storey building on Compton Street is 20 1/4 yards and Gouger Street frontage is 10 1/4 yards. Shops seen in photograph include Bowleys Furniture,  Mases Butchers and Myers</t>
  </si>
  <si>
    <t>b20613829</t>
  </si>
  <si>
    <t>Bewes Street</t>
  </si>
  <si>
    <t>Bewes Street, east side, 13th October 1955. Left side of cottage is 63 yards south of Angas Street  it was demolished in 1955. A motorbicycle and sidecar stand outside the cottage</t>
  </si>
  <si>
    <t>b20613830</t>
  </si>
  <si>
    <t>Hanson Street, east side, 27th December 1955. Left side of Civic Motors building is 39 1/2 yards south of Angas Street. Frontage of Civic Motors and Duffield Motors buildings is 30 1/2 yards. Compare with B 6215 taken in 1932</t>
  </si>
  <si>
    <t>b20613970</t>
  </si>
  <si>
    <t>Angas Street, south side, 15th August 1955. Right side of Houghton and Byrne's building abuts east side of Eden Street. Frontage: 13 3/4 yards. For a view of the galvanised iron structure formerly on this site see B12990 which was taken in May 1954. Houghton and Bryne Pest Control</t>
  </si>
  <si>
    <t>b20614615</t>
  </si>
  <si>
    <t>Angas Street, South Side</t>
  </si>
  <si>
    <t>[General description] This villa style house is partly obscured by its wrought iron and brush front fence and a garage on the street frontage. Parked cars and street trees are in the foreground. [On back of photograph] 'Acre 430 / Angas Street, south side / 17th January 1955 / Left side of centre cottage is 40 yards west of East Terrace / Approximate frontage of cottage is 14 1/2 yards.'</t>
  </si>
  <si>
    <t>Acre 430 Collection</t>
  </si>
  <si>
    <t>b20614780</t>
  </si>
  <si>
    <t>Carrington Street, north side, 28th November 1955 showing the rear of the Y.W.C.A. hostel. See B 13548</t>
  </si>
  <si>
    <t>b20614792</t>
  </si>
  <si>
    <t>Carrington Street, north side, 28th November 1955 showing the Y.W.C.A. Hostel. Right side of building is approximately 78 yards west of East Terrace. Frontage: approximately 24 3/4 yards. See also B 13547 and B 13549</t>
  </si>
  <si>
    <t>b20614809</t>
  </si>
  <si>
    <t>Carrington Street, north side, 28th November 1955 showing the Y.W.C.A. Hostel. Right side of building is approximately 78 yards west of East Terrace. Frontage: about 24 3/4 yards.</t>
  </si>
  <si>
    <t>b20615577</t>
  </si>
  <si>
    <t>Carrington Street, north side, 15th August 1955. Right side of brick building is 12 1/2 yards west of Queen Street. Frontage: 16 3/4 yards. This building was completed in 1955. For buildings formerly on this site see B 13197</t>
  </si>
  <si>
    <t>b20615589</t>
  </si>
  <si>
    <t>Queen Street, west side, 16th September 1955. Left side of cottage in course of demolition is 65 3/4 yards north of Carrington Street  frontage: 5 1/4 yards. The single fronted cottage being demolished was constructed from bluestone</t>
  </si>
  <si>
    <t>b2061567x</t>
  </si>
  <si>
    <t>Carrington Street, north side, July 18th 1955, left side of centre two shops is 29 yards east of Moore Street and frontage of shops is 10 yards. For views of this site in 1961 see B 14417 and B 14418</t>
  </si>
  <si>
    <t>Acre 448 Collection</t>
  </si>
  <si>
    <t>b20615772</t>
  </si>
  <si>
    <t>Seymour Place, Adelaide</t>
  </si>
  <si>
    <t>[General description] This row of attached cottages is in a dilapidated state, probably are soon to be demolished [On back of photograph] 'Acre 449 / Seymour Place, south side / June 9th 1955 / Left side of row of cottages is 29 yards west of Moore Street and frontage is 32 yards'</t>
  </si>
  <si>
    <t>Acre 449 Collection</t>
  </si>
  <si>
    <t>b20615991</t>
  </si>
  <si>
    <t>King William Street, east side, October 25th 1955, left side of centre group of shops is 72 yards south of Angas Street and frontage is 20 yards. Three shops in this row include Harry Lyons Signs Limited, Court Cafe Fish and Grills, and Jones Squash and Ice Cream Parlour</t>
  </si>
  <si>
    <t>b20616405</t>
  </si>
  <si>
    <t>[General description] This bluestone cottage looks bare without its verandah. It is in process of being remodelled to serve as a child care centre. See B 14112 for this building and its neighbour, Keys Bird and Dog Store taken in 1958 [On back of photograph] 'Acre 455 / Wright Street, north side / May 2nd 1955 / Right side of cottage is 11 3/4 yards west of Coglin Street / Frontage is 10 yards / Verandah had been removed before the photograph was taken / For view of building after alterations see B 14005'</t>
  </si>
  <si>
    <t>b20616600</t>
  </si>
  <si>
    <t>Wright Street, north side, June 21st 1955, left side of building is 22 3/4 yards east of Compton Street and frontage is 6 yards. A verandah was removed shortly before this photograph was taken in 1955. For a view of this building after alterations see B 14009</t>
  </si>
  <si>
    <t>b20616855</t>
  </si>
  <si>
    <t>[General description] This is a two storey stone building with iron lace balcony upstairs and a wide verandah at street level. The downstairs portion is a shop, partially obscured by a parked car at the kerb. The building was subsequently remodelled. (See B 13733 taken in September 1956). [On back of photograph] 'Acre 459 / Wright Street, north side / March 30th 1955 / Left side of two storey building is 39.5 yards east of Wright Court, frontage is 7 1/4 yards'</t>
  </si>
  <si>
    <t>b2061780x</t>
  </si>
  <si>
    <t>Wright Street, south side, September 16th 1955, left side of centre building is 21.5 yards west of Norman Street and frontage is 10 1/4 yards. For a view of this site in 1958 see B 14010</t>
  </si>
  <si>
    <t>Acre 481 Collection</t>
  </si>
  <si>
    <t>b20617811</t>
  </si>
  <si>
    <t>Wright Street, south side, September 16th 1955, left side of centre building (with white painted windows) is 12 yards west of Norman Street and frontage is 6 3/4 yards. For a view of this site in 1958 see B 14010</t>
  </si>
  <si>
    <t>b20618104</t>
  </si>
  <si>
    <t>[General description] This building is named Frankis Terrace and was formerly the location of the Rising Sun Hotel which was gazetted in 1848-58. A well respected doctor named Benjamin F. Frankis had a practice in this locality in the mid-late 1800s, perhaps he owned this property at the time. There are Adelaide City Council roadworks in progress in front of the building. [On back of photograph] 'Acre 484 / King William Street, west side / March 7th 1955 / Right side of building is 53 yards south of Wright Street and the frontage is 17 yards / See also B 10565'</t>
  </si>
  <si>
    <t>b20618311</t>
  </si>
  <si>
    <t>[General description] The rear yard of Trims premises has a high fence surrounding it. Trims is a long standing Adelaide Retail business, trading since 1937, with a wide variety of merchandise specialising in work clothing and boots. [On back of photograph] 'Acre 485 / Carrington Street, south side / 7th March 1955 / Showing the rear portion of Trim's premises / For details of Trim's site, see B 12435'</t>
  </si>
  <si>
    <t>b2061844x</t>
  </si>
  <si>
    <t>Carrington Street, south side, 26th July 1955. Left side of recessed portion is 31 3/4 yards west of Surflen Street. Frontage of recessed portion: 11 1/2 yards.</t>
  </si>
  <si>
    <t>Acre 486 Collection</t>
  </si>
  <si>
    <t>b20618724</t>
  </si>
  <si>
    <t>Carrington Street, Adelaide, South Side</t>
  </si>
  <si>
    <t>[General description] This pair of two storey houses with iron lace balconies appear to be somewhat run down. Cars, including a caravan are parked at at the kerb. They are part of a group of houses that are about to be demolished, see B 14039 and B 14040 [On back of photograph] 'Acre 489 / Carrington Street, south side / 16th May 1955 / These two houses are situated on either side of Hampstead Place / The nearest house has a frontage of 14 1/2 yards / Further house has a frontage of 15 1/2 yards'</t>
  </si>
  <si>
    <t>b20618736</t>
  </si>
  <si>
    <t>Hampstead Place, Adelaide</t>
  </si>
  <si>
    <t>[General description] This row of bluestone cottages are in run down condition. They are part of a group of houses that are about to be demolished. See B 14039 and B 14040 for the new building [On back of photograph] 'Acre 489 / Hampstead Place, south end / 16th May 1955 / These cottages occupy the whole length of the south end of Hampstead Place / Frontage: 35 yards / For a view of their eastern half see B13224 / See Cadastral plan, sheet 23'</t>
  </si>
  <si>
    <t>b20618748</t>
  </si>
  <si>
    <t>[General description] These cottages are part of a group of houses about to be demolished. See B 14039 and B 14040 for the new building [On back of photograph] 'Acre 489 / Hampstead Place, south end / 16th May 1955 / This view shows the eastern half of cottages at the south end of Hampstead Place / For a view of their western half see B13223 / See Cadastral plan, sheet 23'</t>
  </si>
  <si>
    <t>b2061875x</t>
  </si>
  <si>
    <t>[General description] This is the rear view of cottages that are part of a group of houses about to be demolished. The wood paling fence was very popular in Adelaide at the time. See B 14039 and B 14040 for the new building [On back of photograph] 'Acre 489 / Hampstead Place, west side / 16th May 1955 / This view shows the rear of the house shown in B13222 on the right side / See Cadastral plan, sheet 23'</t>
  </si>
  <si>
    <t>b20618761</t>
  </si>
  <si>
    <t>[General description] These cottages are part of a group of houses about to be demolished. See B 14039 and B 14040 for the new building [On back of photograph] 'Acre 489 / Hampstead Place, east side / 16th May 1955 / This view shows the rear of the house shown in B13222 on left side / See Cadastral plan, sheet 23'</t>
  </si>
  <si>
    <t>b20618992</t>
  </si>
  <si>
    <t>Carrington Street, south west corner on Hurtle Square, 15th August 1955. Building has frontage of 11 1/4 yards on right to Carrington Street and 8 1/2 yards on left to Hurtle Square. For a view of this building after alteration see B14064.</t>
  </si>
  <si>
    <t>Acre 491 Collection</t>
  </si>
  <si>
    <t>b20619005</t>
  </si>
  <si>
    <t>Carrington Street, south side, 6th December 1955. Right side of the centre cottage is 14 3/4 yards east of Queen Street  frontage: 8 3/4 yards. The single storey cottage in the centre of the photograph has two windows either side of the front door</t>
  </si>
  <si>
    <t>b20619121</t>
  </si>
  <si>
    <t>Carrington Street, south side, 14th November 1955. Left side of the group of cottages is 84 yards west of Cardwell Street. Frontage: 16 1/2 yards. For a view of the building after re-modelling see B14063. Cottages were demolished before March 1956</t>
  </si>
  <si>
    <t>b20619200</t>
  </si>
  <si>
    <t>Carrington Street, south side, 18th July 1955. Right side of building is 48 1/2 yards east of Cardwell Street  frontage: 13 3/4 yards. This bluestone two storey building contains two houses. A motor bicycle is parked outside the houses. Part of the upper wall on the side of the house on the right is being re-bricked</t>
  </si>
  <si>
    <t>Acre 499 Collection</t>
  </si>
  <si>
    <t>b2061925x</t>
  </si>
  <si>
    <t>Hutt Street, West Side,  Adelaide</t>
  </si>
  <si>
    <t>[General description] Street trees partially obscure this building which has recently undergone renovations. [On back of photograph] 'Acre 500 / Hutt Street, west side / 23rd May 1955 / Left side of building abuts north side of McLaren Street / Frontage between the poles is 20 yards / This building was remodelled from existing structures and completed in May 1955 / The lower portion on left was formerly a galvanised iron structure of which no view is held / For view of smaller portion on right taken in 1931, see extreme left of B 5914'</t>
  </si>
  <si>
    <t>Acre 500 Collection</t>
  </si>
  <si>
    <t>b20619364</t>
  </si>
  <si>
    <t>Hutt Street, East Side</t>
  </si>
  <si>
    <t>Hutt Street, east side, 29th December 1955. Point marked xx is 37 1/2 yards south of Carrington Street. Frontage between the two points xx and x is 4 3/4 yards. The shops involved are a shoe shop and a dry cleaners. The bluestone upper floor of the shops displays a fenced-in balcony</t>
  </si>
  <si>
    <t>Acre 501 Collection</t>
  </si>
  <si>
    <t>b20620457</t>
  </si>
  <si>
    <t>Halifax Street, north side, September 9th 1955, frontage of entire row of cottages is 35 yards. Right side of row of cottages abuts west side of Pink's Lane.</t>
  </si>
  <si>
    <t>b20621620</t>
  </si>
  <si>
    <t>Sturt Street, north side, September 9th 1955, left side of cottage is 34 3/4 yards east of Whitmore Square and frontage is 7.5 yards. For a view of the building subsequently erected on this site see B 13826 taken in December 1956</t>
  </si>
  <si>
    <t>b2062184x</t>
  </si>
  <si>
    <t>Sturt Street, north side, November 9th 1955, left side of cottage in course of demolition is 27.5 yards east of Frederick Place and frontage is 10.5 yards.</t>
  </si>
  <si>
    <t>b20622107</t>
  </si>
  <si>
    <t>[General description] The newly renovated premises of Clem Smith Motors at 152 West Terrace. The building has been altered and the car yard is now enclosed in by a cyclone wire fence. [On back of photograph] 'Acre 544 / West Terrace, January 1955 / Right side of building is 55.5 yards north of Sturt Street and frontage is 11.5 yards / For view of this building prior to alterations made at end of 1955 see B 13141'</t>
  </si>
  <si>
    <t>b20622818</t>
  </si>
  <si>
    <t>[General description] This modest cottage has a white picket fence and a convex verandah. It will soon undergo alterations. [On back of photograph] 'Acre 555 / Sturt Street, south side / May 2nd 1955 / Left side of the cottage is 65.5 yards west of Russell Street and frontage is 6.5 yards / A new front was subsequently added to this building / See B 13853 taken in March 1957'</t>
  </si>
  <si>
    <t>Acre 555 Collection</t>
  </si>
  <si>
    <t>b20623318</t>
  </si>
  <si>
    <t>[General description] City buildings and parked cars at the intersection of King William and Halifax Streets. Advertisements for Amscol Ice Cream, TST Brandy and Coca Cola are displayed on the corner building. Muirden College, established in 1900 has been at the premises on the right since 1929. [On back of photograph] 'Acre 561 / King William Street, east side / March 14th 1955 / The corner building's frontage is 16.5 yards to King William Street and 23.5 yards to Halifax Street / Muirden College is shown on the right side of this view / The balcony of the college was removed and a new porch erected, the work being completed in 1956 / Compare with B 13562'</t>
  </si>
  <si>
    <t>b20623367</t>
  </si>
  <si>
    <t>[General description] Old stone cottages in Halifax Street with cars parked at the kerb. The pair of maisonettes on the corner are being demolished. [On back of photograph] 'Acre 562 / Halifax Street, south side / March 7th 1955 / Right side of building in course of demolition / Abuts east side of Symonds Place / Frontage of building is 11.5 yards / For view of building on this site in 1958 see B 14013'</t>
  </si>
  <si>
    <t>Acre 562 Collection</t>
  </si>
  <si>
    <t>b20623379</t>
  </si>
  <si>
    <t>Halifax Street, south side, August 26th 1955, right side of centre cottage is 20 1/4 yards east of Symonds Place, frontage is 8.5 yards. A new front was subsequently added to this cottage see B 13843 which was taken in January, 1957. The building on the left was the converted cottage premises of AJ Jones, artificial limb maker established in 1925</t>
  </si>
  <si>
    <t>b20624712</t>
  </si>
  <si>
    <t>Currie Street, south side, Adelaide</t>
  </si>
  <si>
    <t>[General description] The front of this two storey building with the verandah is about to be updated, the rear section will be demolished. [On back of photograph] 'Acre 128 / Currie Street, south side / 14 March 1955 / Right side of butcher's shop abuts east side of North Street / Frontage of butcher's shop: 9 1/2 yards / Frontage of adjoining structure on the left is 5 yards / This building was remodelled in 1955 / Compare with B13718.'</t>
  </si>
  <si>
    <t>b20625790</t>
  </si>
  <si>
    <t>[General description] This qualnt cottage with its decorative parapet, gabled verandah and picket fence is about to be remodelled. [On back of photograph] 'Acre 600 / Gilles Street, north side / March 7th 1955 / Left side of house (between crosses) abuts east side of Stevens Street / Frontage is 11.5 yards / This building was subsequently remodelled and incorporated into a new building / Compare with B 13597'</t>
  </si>
  <si>
    <t>Acre 600 Collection</t>
  </si>
  <si>
    <t>b20625959</t>
  </si>
  <si>
    <t>[General description] A pair of stone, iron roofed maisonettes in a dilapidated state, possibly earmarked for demolition. [On back of photograph] 'Acre 602 / Gilles Street, north side / March 7th 1955 / Right side of building (shown between crosses) is 15 yards west of Hallett Street / Frontage is 13.5 yards.'</t>
  </si>
  <si>
    <t>b2062623x</t>
  </si>
  <si>
    <t>Gilbert Street, north side, December 29th 1955, frontage of building is 20 yards. Left side of Avalon Shoes building abuts east side of Tapley Street. This building was completed in 1955. For view showing buildings formerly on the site see B 12993. For another view see B 13958</t>
  </si>
  <si>
    <t>b20626368</t>
  </si>
  <si>
    <t>Gilbert Street, north side, May 2nd 1955, left side of building is 30.5 yards east of Norman Street and frontage is 70 yards.</t>
  </si>
  <si>
    <t>Acre 609 Collection</t>
  </si>
  <si>
    <t>b20626903</t>
  </si>
  <si>
    <t>Gilbert Street, north side, August 15th 1955, right side of the building is 17.5 yards west of Logan Street and frontage is 4 3/4 yards. For view taken in 1960 see B 14378</t>
  </si>
  <si>
    <t>Acre 617 Collection</t>
  </si>
  <si>
    <t>b20627348</t>
  </si>
  <si>
    <t>[General description] This group of old stone buildings on the corner are soon to be demolished. A South Austrialian icon, the Stobie pole is dominant in this image. [On back of photograph] 'Acre 623 / South corner of Gilbert Street and West Terrace / March 14th 1955 / Waverly Salvage building has a frontage of 19 3/4 yards on West Terrace and Gilbert Street frontage is 46 yards / These buildings were demolished by August 1955'</t>
  </si>
  <si>
    <t>Architecture -- 19th century -- South Australia -- Adelaide</t>
  </si>
  <si>
    <t>b20627889</t>
  </si>
  <si>
    <t>[General description] Rubble from building work going on next door has been piled in front of this corner cottage. See B 13056 for an earlier view of work being undertaken on the building on the right and B 14380 shows its completion [On back of photograph] 'Acre 632 / Gilbert Street, south side / May 9th 1955 / Left side of building abuts west side of Herman Street / Frontage of building is 14.5 yards'</t>
  </si>
  <si>
    <t>b20628031</t>
  </si>
  <si>
    <t>Gilbert Street, south side, December 29th 1955, right side of the building is 10 yards east of Percy Court and the frontage is 10 yards. See B 13055 for this building showing part of original structure in the course of re-modelling</t>
  </si>
  <si>
    <t>b2062833x</t>
  </si>
  <si>
    <t>Gilbert Street, south side. 26 July 1955. Right side of Waymouth Service building is 59-1/2 yards each of O'Halloran Street, frontage is 53-1/2 yards. See B 12441. At the time of this photograph the building housed the premises of Waymouth Service Limited, car parts</t>
  </si>
  <si>
    <t>b20628481</t>
  </si>
  <si>
    <t>Gilbert Street, south side, 29 December 1955. Left side of Waymouth Service Heavy Truck Division building is 47 1/2 yards west of King William Street. Frontage: 23 1/2 yards. This building was completed in 1955 on a site formerly occuped by cottages, see extreme right of B1056.</t>
  </si>
  <si>
    <t>b20628821</t>
  </si>
  <si>
    <t>[General description] This pair of maisonettes with broken picket fencing are earmarked for demolition. The replacement building will be the premises for W &amp; T Avery Ltd, scales manufacturers, see B 13598. [On back of photograph] 'Acre 645 / Gilles Street, south side / 30 March 1955 / Left side of building is 85 yards west of Hanson Street / Frontage: is 15 1/2 yards / Right side abuts east side of Delhi Street / This building subequently demolished'</t>
  </si>
  <si>
    <t>b20629102</t>
  </si>
  <si>
    <t>Charlotte Street, East Side, Adelaide</t>
  </si>
  <si>
    <t>[General description] A row of single storey stone cottages with verandahs onto the street. [On back of photograph] 'Acre 650 / Charlotte Street, east side / 30 March 1955 / Right side of complete row of cottages abuts north side of Charlotte Place / Frontage of the row is 37 yards.'</t>
  </si>
  <si>
    <t>Acre 650 Collection</t>
  </si>
  <si>
    <t>b2062928x</t>
  </si>
  <si>
    <t>Hutt Street, East Side, Adelaide</t>
  </si>
  <si>
    <t>[General description] This stone cottage is in process of demolition [On back of photograph] 'Acre 655 / Hutt Street, east side / 9 June 1955 / Left side of cottage is 32 yards south of Gilles Street / Frontage: 10 yards / This cottage was demolished in 1955 / For a view of the service station later erected on this site see B13934'</t>
  </si>
  <si>
    <t>b20629977</t>
  </si>
  <si>
    <t>[General description] This large two storey house, probably once the residence of  wealthy family is now the premises of the Totally and Permanently Disabled Soldiers Memorial Club. [On back of photograph] 'Acre 669 / West corner of Hutt Street and South Terrace / 14 March 1955 / This building is set in approximately 8 yards from Hutt Street / Frontage is 19 yards to South Terrace on the left / The property extends 65 yards along Hutt Street.'</t>
  </si>
  <si>
    <t>Acre 669 Collection</t>
  </si>
  <si>
    <t>b20632150</t>
  </si>
  <si>
    <t>Pennington Terrace</t>
  </si>
  <si>
    <t>Pennington Terrace, July 26th 1955. See B 3605 for deatails of site. This building housed the Methodist Memorial Hospital. The hospital was originally called Ru-Rua Hospital and stood on the corner of Roberts Place and Pennington Terrace. This has been built in the late Federation style and the lattice work and carved wooden embellishments on the verandah are typical of the nineteen twenties. This portion of the hospital with the balcony was built in 1925</t>
  </si>
  <si>
    <t>Acre 701 Collection</t>
  </si>
  <si>
    <t>b20633397</t>
  </si>
  <si>
    <t>Pennington Terrace, North Adelaide</t>
  </si>
  <si>
    <t>[General description] This imposing two storey building is St. Mark's College, set in spacious grounds with large trees. Built in 1877 It was the former residence of the Downer family. [On back of photograph] 'Acre 705 / Pennington Terrace / 4 April 1955 / For details of site see B 2564'</t>
  </si>
  <si>
    <t>Acre 705 Collection</t>
  </si>
  <si>
    <t>b20634304</t>
  </si>
  <si>
    <t>Kermode Street</t>
  </si>
  <si>
    <t>Kermode Street, north side, December 27th 1955, left side of brick building is 66.5 yards west of Bagot Street and frontage is 12 yards. This building was completed in 1955. It is thought that a house was demolished on this site some considerable time before this building was erected. The house in the photograph is constructed from red brick, has a tiled roof, four windows across the front and a doorway on the right side. It has a small front garden and stands next to a two storey house on the right</t>
  </si>
  <si>
    <t>Acre 721 Collection</t>
  </si>
  <si>
    <t>b20636520</t>
  </si>
  <si>
    <t>Palmer Place, North Adelaide</t>
  </si>
  <si>
    <t>[Gemeral description] This large two storey house was built in the mid 1920s. Its design has a Spanish Mission influence. See B 4212 for another view taken soon after its completion. [On back of photograph] 'Acre 741 / Palmer Place, north side / April 4th 1955 / Right side is 21 1/2 yards west of the north west corner of acre 725 / Frontage of building is 19 yards.'</t>
  </si>
  <si>
    <t>b20636787</t>
  </si>
  <si>
    <t>Palmer Place, west side, July 26th 1955, right side of the cottage is 88 yards south of the southern boundary of Acre 743. Frontage of cottage is 12 yards. This single storey cottage has a parapet and three shuttered windows at the front of the building. The cottage is enclosed by a picket fence</t>
  </si>
  <si>
    <t>b20639107</t>
  </si>
  <si>
    <t>[General description] This semi-ruined structure must be the remains of an earlier buiding. [On back of photograph] 'Acre 788 / Archer Street, south side / April 4th 1955 / Right side of building is 2.5 yards east of Gordon Road / Frontage is 13 1/4 yards.'</t>
  </si>
  <si>
    <t>Acre 788 Collection</t>
  </si>
  <si>
    <t>b20639727</t>
  </si>
  <si>
    <t>[General description] This small single storey cottage is painted white with brick quoins. It is undergoing restoration work. [On back of photograph] 'Acre 810 / Archer Street, north side / April 4th 1955 / Right side of cottage is 130 1/4 yards west of O'Connell Street / Frontage is 10.5 yards.'</t>
  </si>
  <si>
    <t>Acre 819 Collection</t>
  </si>
  <si>
    <t>b20641047</t>
  </si>
  <si>
    <t>Molesworth Street</t>
  </si>
  <si>
    <t>Molesworth Street, north side, December 27th 1955, left side of house is 64 3/4 yards east of Mills Terrace and frontage is 24.5 yards.</t>
  </si>
  <si>
    <t>Acre 850 Collection</t>
  </si>
  <si>
    <t>b20641084</t>
  </si>
  <si>
    <t>Molesworth Street, north side, July 28th 1955, right side of building is 94.5 yards west of Wellington Square and frontage is 22 3/4 yards. In 1953 Reverend Arthur Strange purchased a portion of this building to be used by the Helping Hand Homes for the Aged</t>
  </si>
  <si>
    <t>Acre 856 Collection</t>
  </si>
  <si>
    <t>b2064114x</t>
  </si>
  <si>
    <t>Molesworth Street, north side, November 22nd 1955, right side of house is 51 yards west of Wellington Square and frontage is 15 yards.</t>
  </si>
  <si>
    <t>Acre 857 Collection</t>
  </si>
  <si>
    <t>b20641540</t>
  </si>
  <si>
    <t>[General description] The premises of Sierp Brothers chassis repair specialists in O'Connell Street. Note the tramlines in the foreground. [On back of photograph] 'Acre 864 / O'Connell Street, west side / April 4th 1955 / Left side of centre building is 40 yards north of Tynte Street / Frontage is 12 3/4 yards / For view of this site in 1924 before erection of galvanised iron structure, see B 2298'</t>
  </si>
  <si>
    <t>Acre 864 Collection</t>
  </si>
  <si>
    <t>b20642131</t>
  </si>
  <si>
    <t>Gover Street</t>
  </si>
  <si>
    <t>Gover Street, south side, November 22nd 1955, frontage of building is 18 yards. Right side of structure abuts east side of Gover Street</t>
  </si>
  <si>
    <t>Acre 877 Collection</t>
  </si>
  <si>
    <t>b2064243x</t>
  </si>
  <si>
    <t>Mills Terrace</t>
  </si>
  <si>
    <t>Mills Terrace, south side, April 4th 1955, left side of house is 25 3/4 yards west of Buxton Street and frontage is 16 yards.</t>
  </si>
  <si>
    <t>Acre 891 Collection</t>
  </si>
  <si>
    <t>b2064324x</t>
  </si>
  <si>
    <t>O'Connell Street</t>
  </si>
  <si>
    <t>O'Connell Street, west side, September 28th 1955, frontage of shop is 18 1/4 yards. Left side of Reed and Walker's(bearing specialists) premises abuts north side of Lombard Street. Compare with B 2953 made in 1925</t>
  </si>
  <si>
    <t>Acre 919 Collection</t>
  </si>
  <si>
    <t>b20643251</t>
  </si>
  <si>
    <t>O'Connell Street, west side, December 19th 1955, left side of centre house is 18.5 yards north of Lombard Street and frontage is 12 3/4 yards. The centre house has a three storey extension towards the back. A battlement feature appears over the front door. Reed and Walker Bearing Specialists are located to the left of the house</t>
  </si>
  <si>
    <t>b20644589</t>
  </si>
  <si>
    <t>[General description] This cottage stood on a block between Melbourne Street and Finniss Street where George Stevenson grew wine grapes in 1837, one of South Australia's earliest vineyards. It nestles behind a brush fence and tall trees. See B 13187 for a different view. [On back of photograph] 'Acre 996 / Finniss Street, north side / April 4th 1955 / Left side of cottage is 120.5 yards east of Finniss Court / Frontage is 11.5 yards / for other details relating to this cottage see B 7123'.</t>
  </si>
  <si>
    <t>b20644747</t>
  </si>
  <si>
    <t>MacKinnon Parade</t>
  </si>
  <si>
    <t>MacKinnon Parade, July 26th 1955, left side of building is 37 1/4 yards east of Jerningham Street and frontage is 13 1/4 yards. The photograph shows a two storey stone building containing two houses</t>
  </si>
  <si>
    <t>Acre 971 Collection</t>
  </si>
  <si>
    <t>b20647104</t>
  </si>
  <si>
    <t>Sussex Street</t>
  </si>
  <si>
    <t>Sussex Street, north side, August 26th 1955, right side of building is 79 1/4 yards west of West Pallant Street and frontage is 25.5 yards. Building is shown in the course of some alterations. For a view of this building after additions see B 13829</t>
  </si>
  <si>
    <t>Acre 1017 Collection</t>
  </si>
  <si>
    <t>b20648121</t>
  </si>
  <si>
    <t>Mann Terrace</t>
  </si>
  <si>
    <t>Mann Terrace, 27 December 1955, right side of house is 8 yards south of Kingston Terrace and frontage is 21.5 yards.</t>
  </si>
  <si>
    <t>Acre 1040 Collection</t>
  </si>
  <si>
    <t>b20658746</t>
  </si>
  <si>
    <t>Destitute Asylum. These buildings formed part of the Destitute Asylum. This photograph taken (prior to demolition) on August 15, 1955. For other notes see B196. The verandah of these buildings is shown in B 196  and was taken in 1918. For continuation of building on left-hand side, see B 13467.</t>
  </si>
  <si>
    <t>b20658758</t>
  </si>
  <si>
    <t>Cottages forming part of the former Destitute Asylum. These buildings formed part of the Destitute Asylum. This photograph taken (prior to demolition) on August 15, 1955. For continuation of building on right-hand side, see B 13466.</t>
  </si>
  <si>
    <t>b20659507</t>
  </si>
  <si>
    <t>The Advertiser Sound Shell in Elder Park</t>
  </si>
  <si>
    <t>The Advertiser Sound Shell in Elder Park was erected in 1954 by Advertiser Newspapers Limited and was presented to the City of Adelaide. It is used for orchestral performances etc. . The sound shell was opened on the 17th December 1954 to commemorate the visit of H.M. Queen Elizabeth II.</t>
  </si>
  <si>
    <t>Advertiser Newspapers Ltd;Adelaide (S.A.) -- Buildings, structures, etc.;Elder Park (Adelaide, S.A.)</t>
  </si>
  <si>
    <t>Adelaide Views Collection;Elder Park Collection</t>
  </si>
  <si>
    <t>b20665143</t>
  </si>
  <si>
    <t>Mercantile Rowing Club Boathouse, Adelaide</t>
  </si>
  <si>
    <t>[General description] This boathouse has a covered balcony for spectators with boat storage at ground level. It was opened on November 2nd, 1912. [On back of photograph] 'Mercantile Rowing Club Boathouse / 21st March 1955 / The boathouse was situated about 100 yards east of the Victoria Bridge' / There is a diagram showing the Club's location.</t>
  </si>
  <si>
    <t>Adelaide Views Collection;Mercantile Rowing Club Collection</t>
  </si>
  <si>
    <t>b29216345</t>
  </si>
  <si>
    <t>Bowman,Thomas Henry, 1895-1966, photographer</t>
  </si>
  <si>
    <t>Flooded property, Millicent</t>
  </si>
  <si>
    <t>Photograph (black and white print)  11.9 cm x 16.4 cm;RESERVE 1 a;still image sti rdacontent;unmediated n rdamedia;sheet nb rdacarrier</t>
  </si>
  <si>
    <t>Thomas Henry Bowman's 'Broadview' property on Wyrie Road, Millicent, showing the impact of flood damage due to bad drainage. Handwritten notes on the back of the photograph are commenting on the damage and detailing the location, October 1955.</t>
  </si>
  <si>
    <t>Floods -- South Australia -- Millicent;Millicent (S.A.)</t>
  </si>
  <si>
    <t>b29216382</t>
  </si>
  <si>
    <t>b29216400</t>
  </si>
  <si>
    <t>b29216412</t>
  </si>
  <si>
    <t>b29216436</t>
  </si>
  <si>
    <t>b31421829</t>
  </si>
  <si>
    <t>Port Adelaide Caledonian Society band</t>
  </si>
  <si>
    <t>1 photograph : black &amp; white;still image sti rdacontent;computer c rdamedia;online resource cr rdacarrier;image file JPEG 366KB 1037x688 rda</t>
  </si>
  <si>
    <t>Port Adelaide Caledonian Society band in a hall. Band members back row L-R: Piper Laurie Adam, Drummer Aileen Lockyer, Drummer Ian Johnson, Piper John Duncanson, Drummer Jeff Naismith, Drummer June Duncanson, Piper David Wilson. Middle Row L-R: Pipe Major Fred Adam (Snr), Leading Drummer John McLean, Drummer Don Lucas, Drummer Alex Niven, Drummer Trevor Wardrop, Piper Jim Clinton (Jnr), Piper Fred Adam (Jnr). Front Row L-R: Piper John MacManus, Drummer Dean Cox.</t>
  </si>
  <si>
    <t>Port Adelaide Caledonian Society.;Pipe bands -- South Australia -- Port Adelaide.</t>
  </si>
  <si>
    <t>b20243856</t>
  </si>
  <si>
    <t>Yachting, Glenelg</t>
  </si>
  <si>
    <t>Yacht racing at Glenelg. A copy also at B 7798/664.</t>
  </si>
  <si>
    <t>Yachts -- South Australia -- Glenelg;Yachting -- South Australia -- Glenelg</t>
  </si>
  <si>
    <t>b20369268</t>
  </si>
  <si>
    <t>Photograph (tinted print)   8.5 cm x 13.7 cm;RESERVE 1</t>
  </si>
  <si>
    <t>Technical High School, Port Augusta. Murray Views Series Postcards, no. 11.</t>
  </si>
  <si>
    <t>b20812619</t>
  </si>
  <si>
    <t>Portrait of Sir Robert Helpmann</t>
  </si>
  <si>
    <t>Photograph (b&amp;w print)  9.3 cm x 11.7 cm;RESERVE 1</t>
  </si>
  <si>
    <t>PORTRAIT: Sir Robert Helpmann, world famous ballet dancer, with relatives in South Australia.</t>
  </si>
  <si>
    <t>Helpmann, Robert, Sir, 1909-1986;Ballet dancers -- Australia</t>
  </si>
  <si>
    <t>b20812620</t>
  </si>
  <si>
    <t>PORTRAIT: Sir Robert Helpmann with relatives in South Australia.</t>
  </si>
  <si>
    <t>b20812632</t>
  </si>
  <si>
    <t>PORTRAIT: Sir Robert Helpmann with relatives in South Australia enjoying afternoon tea.</t>
  </si>
  <si>
    <t>b20963373</t>
  </si>
  <si>
    <t>Sailing off Glenelg</t>
  </si>
  <si>
    <t>Small yachts racing off Glenelg. A copy also at B 53301.</t>
  </si>
  <si>
    <t>Yachting -- South Australia -- Glenelg</t>
  </si>
  <si>
    <t>b29550051</t>
  </si>
  <si>
    <t>First meeting of Commissioners for Senior Scouts</t>
  </si>
  <si>
    <t>1 photograph : black and white   10.8 x 15.5 cm;still image sti rdacontent;unmediated n rdamedia;sheet nb rdacarrier</t>
  </si>
  <si>
    <t>The first meeting of the Commissioners for Senior Scouts (from left) Ian McBryde, Arthur Jacker (Commissioner of Queensland), Commissioner for Victoria (name unknown) and Malcolm MAitland (Commissioner for NSW). [This image was copied from a Lines and McBryde Families photo album.]</t>
  </si>
  <si>
    <t>b31134117</t>
  </si>
  <si>
    <t>Dawson, John B., photographer</t>
  </si>
  <si>
    <t>Electricity Trust employee with work truck</t>
  </si>
  <si>
    <t>1 photograph : black and white   7 x 9.5 cm;RESERVE 1 a;still image sti rdacontent;unmediated n rdamedia;sheet nb rdacarrier</t>
  </si>
  <si>
    <t>An unidentified employee of the Electricity Trust of South Australia, standing in front of one of the work vehicles at the Port Adelaide electricity sub-station.</t>
  </si>
  <si>
    <t>Electricity Trust of South Australia -- Employees;Trucks -- South Australia -- Port Adelaide</t>
  </si>
  <si>
    <t>b30114159</t>
  </si>
  <si>
    <t>Moonta ship</t>
  </si>
  <si>
    <t>1955 January 20</t>
  </si>
  <si>
    <t>1 photograph : acetate, negative, black and white   9 x 14.8 cm;RESERVE 1 a;still image sti rdacontent;unmediated n rdamedia;sheet nb rdacarrier</t>
  </si>
  <si>
    <t>Black and white photograph of MV Moonta at dock in Port Adelaide.</t>
  </si>
  <si>
    <t>Moonta (Ship);Ships -- South Australia -- Port Adelaide -- History</t>
  </si>
  <si>
    <t>b30114585</t>
  </si>
  <si>
    <t>The Claire Crouch at Port Adelaide</t>
  </si>
  <si>
    <t>1 photograph : acetate, negative, black and white   14.8 x 9.1 cm;RESERVE 1 a;still image sti rdacontent;unmediated n rdamedia;sheet nb rdacarrier</t>
  </si>
  <si>
    <t>Black and white photograph of a sailing ketch called the 'Claire Crouch' docked at Port Adelaide.</t>
  </si>
  <si>
    <t>Claire Crouch (Ship);Sailing ships -- South Australia -- Port Adelaide;Wharves -- South Australia -- Port Adelaide</t>
  </si>
  <si>
    <t>b31421817</t>
  </si>
  <si>
    <t>Fred Adams and family returning to Australia at Outer Harbor</t>
  </si>
  <si>
    <t>1955 March 15</t>
  </si>
  <si>
    <t>1 photograph : black and white   10.0 x 14.5 cm;RESERVE 1 a;still image sti rdacontent;unmediated n rdamedia;sheet nb rdacarrier</t>
  </si>
  <si>
    <t>Fred Adams and family returning to Australia at Outer Harbor, with members of the Port Adelaide Caledonian Society. The Adams family are disembarking from the 'Himalaya'. Known band members L-R: Piper John Duncanson, President Ken Duncanson, Mrs A.M. Adams, Piper Alan Lockyer, Fred Adams, Laurie Adams, Fred Adam (Jnr), Piper Ken McColl, Drummer June Duncanson.</t>
  </si>
  <si>
    <t>Duncanson, Ken.;Himalaya (Ship);Pipe bands -- South Australia -- Outer Harbor.</t>
  </si>
  <si>
    <t>b29112539</t>
  </si>
  <si>
    <t>View of the goods shed at Port Elliot</t>
  </si>
  <si>
    <t>approximately 1955</t>
  </si>
  <si>
    <t>Photograph (B&amp;W print)  5 cm x 8 cm</t>
  </si>
  <si>
    <t>View of a building used as a goods shed in Port Elliot. Part of the railway station can be seen behind the shed. Written on the back of the photo: The old Goods Shed and station at Port Elliot.</t>
  </si>
  <si>
    <t>Railroad stations -- South Australia -- Port Elliot;Historic buildings -- South Australia -- Port Elliot;Port Elliot (S.A.)</t>
  </si>
  <si>
    <t>b20253333</t>
  </si>
  <si>
    <t>Romilly House and bridge on Hackney Road</t>
  </si>
  <si>
    <t>Western parapet of a bridge on Hackney Road, looking south, 1 January 1956, with Romilly House (Architecture 1870s) in the background. The small bridge is built over First Creek, which flows through the Botanic Gardens and Botanic Park and into the River Torrens near the Adelaide Zoo. Compare with B 12662 taken in c.1870</t>
  </si>
  <si>
    <t>Romilly House (Hackney, S.A.);Architecture -- South Australia -- Hackney;Buildings -- South Australia -- Hackney;Bridges -- South Australia -- Hackney</t>
  </si>
  <si>
    <t>b20353686</t>
  </si>
  <si>
    <t>Forest Reserve, Penola</t>
  </si>
  <si>
    <t>C1;Photograph (b&amp;w print)  15.8 cm x 21.4 cm</t>
  </si>
  <si>
    <t>A 1929 Forest Reserve plantation showing 8 foot logs being loaded.</t>
  </si>
  <si>
    <t>Penola Collection</t>
  </si>
  <si>
    <t>b20544789</t>
  </si>
  <si>
    <t>North Terrace west, 19 March 1956. Right side of this building abuts east side of Newmarket Street. Frontage: 12 &amp; three quarter yards. Building shown was photographed shortly after removal of balcony. For a view showing balcony see right side of B 12841</t>
  </si>
  <si>
    <t>b20547122</t>
  </si>
  <si>
    <t>King William Street, east side, May 15, 1956. Left side of Fowler's Building is 45 yards south of North Terrace and frontage is 8.5 yards. (D &amp; J Fowler Limited Grocers)</t>
  </si>
  <si>
    <t>b20548801</t>
  </si>
  <si>
    <t>North Terrace east, left side of centre building is 48 yards west of Charles Street and frontage is 11 yards. For a view of this building in 1959 see B 14216. This small Gothic building at 207 North Terrace was built as professional rooms in 1901 for ophthalmic surgeon Dr Mark Johnston Symons, when it was fashionable to have professional rooms along North Terrace. He was the first trained eye specialist to practice in Adelaide.  The building features ashlar and oriel windows and was built in the federation style from stone and limestone</t>
  </si>
  <si>
    <t>b20550698</t>
  </si>
  <si>
    <t>Rundle Street, north side, 13 February 1956. Right side of 2 dark coloured buildings in centre is 19.75 yards west of East Terrace. Frontage of 2 dark coloured buildings is 11.5 yards. For a view of building after remodelling see B 14184. A fishing tackle shop and a barber shop can be seen</t>
  </si>
  <si>
    <t>Acre 32 Collection</t>
  </si>
  <si>
    <t>b20552452</t>
  </si>
  <si>
    <t>Rundle Street, north side, 9 April 1956. Waxman's building was formerly the Curzon Theatre. See B 12328</t>
  </si>
  <si>
    <t>b20553419</t>
  </si>
  <si>
    <t>Rundle Street, north side, 9th April 1956. For site of this building see B 5150. For a view of the building subsequently built on this site see B 14264</t>
  </si>
  <si>
    <t>b20555490</t>
  </si>
  <si>
    <t>Rundle Street, north side, 23 April 1956, left side of centre dark coloured building (gift shop) is 63.5 yards east of King William Street. The building was formerly owned by Stevenson Jewellers, but incorporated in the Myer Emporium in 1955. The shop front shown in this view was completed in February 1956</t>
  </si>
  <si>
    <t>b20557371</t>
  </si>
  <si>
    <t>Hindley Street, north side 16 August 1956. Right side of the Berkley Hotel is 29 1/2 yards west of Bank Street, frontage 22 3/4 yards. The Berkley was formerly the Black Bull Hotel. Its frontage at this time includes the small section shown on the left with the lower balcony.</t>
  </si>
  <si>
    <t>b20557711</t>
  </si>
  <si>
    <t>Blyth Street</t>
  </si>
  <si>
    <t>Blyth Street, west side, 22 February 1956.  Left side of building marked with "x" is 44.5 yards north of Hindley Street and frontage is 25 3/4 yards. Frontage of building between points marked "x" and "xx" is 25.75 yards.</t>
  </si>
  <si>
    <t>Acre 50 Collection</t>
  </si>
  <si>
    <t>b20557723</t>
  </si>
  <si>
    <t>Hindley Street, north side, 23 April 1956, right side of Bank of Adelaide is 28 1/4 yards west of Blyth Street and frontage is 5.5 yards.</t>
  </si>
  <si>
    <t>Bank of Adelaide -- Buildings;Banks and banking -- South Australia -- Adelaide</t>
  </si>
  <si>
    <t>b20558302</t>
  </si>
  <si>
    <t>Morphett Street, east side, 13 January 1956, right side of the Caltex Service Station is 45.5 yards north of Hindley Street and frontage is 20.5 yards. The Holy Trinity Church is on the left of the photograph.</t>
  </si>
  <si>
    <t>b20558764</t>
  </si>
  <si>
    <t>Fenn Place</t>
  </si>
  <si>
    <t>Fenn Place, east side, 23 April 1956, right side of building is 44 yards north of Hindley Street and frontage is 8 yards. For a view of this building taken in 1926 showing slate roof and verandah see B 3774</t>
  </si>
  <si>
    <t>b20558831</t>
  </si>
  <si>
    <t>George Street</t>
  </si>
  <si>
    <t>George Street, east side, 12 March 1956, right side of marked gabled galvenised iron sheds is 37 1/4 yards south of Hindley Street. Frontage is 33 1/3 yards between points marked "x" and "xx"</t>
  </si>
  <si>
    <t>Acre 58 Collection</t>
  </si>
  <si>
    <t>b20558855</t>
  </si>
  <si>
    <t>Photograph  14.1 cm x 8.0 cm</t>
  </si>
  <si>
    <t>Hindley Street, north side, 27 December 1956, frontage of building on the right is 8 yards. Right side of Rabaul General Engineers building abuts west side of Liverpool Street. Frontage of first section of two storey building on left of Rabaul General Engineers is 4.5 yards.</t>
  </si>
  <si>
    <t>Acre 59 Collection</t>
  </si>
  <si>
    <t>b20559094</t>
  </si>
  <si>
    <t>Hardware Traders Ltd., Hindley Street</t>
  </si>
  <si>
    <t>Hardware Traders Ltd., Hindley Street, south side, 21 September 1956. Left side of dark coloured galvanised iron buildings is 16 3/4 yards west of Gray Street and frontage is 25.5 yards.</t>
  </si>
  <si>
    <t>Acre 64 Collection</t>
  </si>
  <si>
    <t>b20559471</t>
  </si>
  <si>
    <t>Hindley Street, south side, 12 March 1956. Near side of arch is 46 yards east of Gray Street. From arch to extreme left of view is 31 5 yards. Compare with B 13064</t>
  </si>
  <si>
    <t>b20559744</t>
  </si>
  <si>
    <t>Morphett Street, west side, 24 January 1956. Right side of this two storey bluestone building abuts south side of Hindley Street. Frontage : 22 3/4 yards. This view shows building in course of some alterations. Compare with B12838 taken in 1953.</t>
  </si>
  <si>
    <t>b20559938</t>
  </si>
  <si>
    <t>Hindley Street, south side, 4th October 1956. Right side of the building with the balcony is 15 yards east of Morphett Street  frontage: 20 yards.</t>
  </si>
  <si>
    <t>b20560072</t>
  </si>
  <si>
    <t>Hindley Street, south side, 23 April 1956, left side of building is 32 yards west of Rosina Street and frontage is 8 3/4 yards. The building on the corner is a cafe serving meals</t>
  </si>
  <si>
    <t>b20560515</t>
  </si>
  <si>
    <t>Hindley Street, south side, 18 July 1956, right side of Central Cafe is 22 3/4 yards east of Club House Lane, and frontage is 5.5 yards. Mittiga Tailor was at 71 Hindley Street. Frontage of Wicks building is 6.5 yards</t>
  </si>
  <si>
    <t>b2056112x</t>
  </si>
  <si>
    <t>Hindley Street, south side, 12 March 1956, right side of the Civic Theatre is 13.5 yards east of Peel Street. For a view of Civic Theatre made in 1920-2, see B 4475 which shows cupolas and other ornamentation removed some years before this view was made. For view of theatre after rebuilding see B 13984. Previously named the Wondergraph Theatre designed by Garlick and Jackman in 1912-13, the imposing building had its name changed to the Civic after a makeover in 1940. The name was changed again to the State Theatre in 1957 and had ceased to be a theatre by 1983</t>
  </si>
  <si>
    <t>Civic Theatre (Adelaide, S.A.);Theaters -- South Australia -- Adelaide</t>
  </si>
  <si>
    <t>Acre 77 Collection</t>
  </si>
  <si>
    <t>b20569464</t>
  </si>
  <si>
    <t>Plaza Theatre, Arcade Lane, west side May 23, 1956.The theatre was completed by the end of 1955 and opened in 1956. Compare with B 13369 - B 13372. The Plaza Theatre was erected out of the old Embassy Ballroom</t>
  </si>
  <si>
    <t>Plaza Theatre (Adelaide, S.A.)</t>
  </si>
  <si>
    <t>b20570399</t>
  </si>
  <si>
    <t>Grenfell Street, north side at the north-west corner of Gawler Place, 18th December 1956. Part of the building at one time housed the premises of the Young Men's Christian Association</t>
  </si>
  <si>
    <t>b20574319</t>
  </si>
  <si>
    <t>Queen's Court</t>
  </si>
  <si>
    <t>Queen's Court, south side, 24th January 1956, left side of centre gabled brick building is 3 1/4 yards west of King Street and frontage is 13 1/4 yards. The centre gabled brick building was completed in October 1954. The site was formerly occupied by a cottage which was demolished before a photograph could be taken. A rough map on the back of this photograph shows the location of the site</t>
  </si>
  <si>
    <t>b2057440x</t>
  </si>
  <si>
    <t>Gray Street, west side, January 16th 1956, right side of the brick structure is 30.5 yards south of Currie Street and frontage is 7 1/4 yards. This site was formerly occupied (in part) by a cottage. See B 13194. This building was erected in 1955</t>
  </si>
  <si>
    <t>b20574411</t>
  </si>
  <si>
    <t>North Street</t>
  </si>
  <si>
    <t>North Street, east side, 2nd February 1956. This is a view looking north of the buildings shown in B 13620</t>
  </si>
  <si>
    <t>b20574423</t>
  </si>
  <si>
    <t>Currie Street, south side, 21st September 1956, south east corner of North Street. Frontage of building is 9.5 yards on the left to Currie Street. This building is 207 Currie street on the corner of North Street and Currie Street. For a view of building prior to remodelling see B 13165. The building was remodelled in 1955</t>
  </si>
  <si>
    <t>b20574435</t>
  </si>
  <si>
    <t>North Street, west side, 21st February 1957, right side of Beaurepaire's is 23.5 yards south of Currie Street and frontage is 27 yards. The right hand half of Beaurepaire building was erected in 1955. For a view of the cottage formerly on part of the site, see extreme left of B 12951. Left hand half of Beaurepaire building was erected in 1952. See B 12915</t>
  </si>
  <si>
    <t>b20574551</t>
  </si>
  <si>
    <t>Currie Street, south side, 25th May 1956, left side of two storey building is 48.5 yards west of Elizabeth Street and frontage of two storey buildings is 13.5 yards. Right side was demolished before 1956</t>
  </si>
  <si>
    <t>b20574654</t>
  </si>
  <si>
    <t>Currie Street, south side, 16 January 1956, left side of Pelham House is 18 3/4 yards west of Elizabeth Street and frontage is 18.5 yards. The front of this building was completed in 1955. Compare with B 13365 and B 13366. Three business' are located in Pelham Street and two of these are Peckham Land Broker and Auctioneers, and Hobart Manufacturing Company dealing with weighing scales</t>
  </si>
  <si>
    <t>b20575063</t>
  </si>
  <si>
    <t>Currie Street, south side, 27th December 1956, frontage of building is 19 yards. Left side of Osborne's building abuts west side of Bloor Court. Compare with B 5071.</t>
  </si>
  <si>
    <t>b2057910x</t>
  </si>
  <si>
    <t>Pirie Street, north side, 13 September 1956, frontage of building to Hindmarsh Hotel is 16 3/4 yards. Left side of building abuts east side of Hyde Street of building. Buildings nearby include Nelson Hawker pistons store and a gunsmith and sportsgoods store</t>
  </si>
  <si>
    <t>b20580009</t>
  </si>
  <si>
    <t>Pirie Street, north side, 25th May 1956, Gawler Place frontage of building is 36 yards. Right side of dark stone building abuts west side of Gawler Place. Frontage of building on Gawler Place is 36 yards. Shops to be seen include WD Godfrey Watchmaker and Jeweller, N Christiansen Tailor, Worthleys Tailor. A lady stands on the corner selling lapel badges for charity</t>
  </si>
  <si>
    <t>b20580010</t>
  </si>
  <si>
    <t>Gawler Place, west side, 4th October 1956, right side of Lewis Cycle Works building is 10 yards south of McHenry Street. Extreme left of rounded verandah abuts south side of Pirie Street</t>
  </si>
  <si>
    <t>b20580691</t>
  </si>
  <si>
    <t>King William Street, east side, 31st January 1956.For details of site see B 13236. For view of this building prior to alterations see B 13236</t>
  </si>
  <si>
    <t>b20582560</t>
  </si>
  <si>
    <t>Waymouth Street, north side, 27th December 1956, right side of centre building is 16.5 yards west of Elizabeth Street and frontage is 10 3/4 yards. The show window on the left is in the process of installation. One side of the building holds the premises of A Urbani - Tailor</t>
  </si>
  <si>
    <t>b20582596</t>
  </si>
  <si>
    <t>Waymouth Street, north side, 31st January 1956, right side of two buildings is 28 3/4 yards west of Elizabeth Street and frontage is 32 3/4 yards. The foreground area had been vacant for some time before this view was taken. Compare with right side of B 10562. A map showing the position of the buildings shown in this photograph appears on the back</t>
  </si>
  <si>
    <t>Acre 182 Collection</t>
  </si>
  <si>
    <t>b20582602</t>
  </si>
  <si>
    <t>Waymouth Street, north side, 31st January 1956, left side of building is 61 yards east of Elizabeth Street. The two storey building on the left is set back some distance from Waymouth Street and faces east. A map appears of the site on the back of the photograph. See B 10562 and B 13639</t>
  </si>
  <si>
    <t>b20582675</t>
  </si>
  <si>
    <t>Waymouth Street, north side, 27 December 1956, right side of Lay-Back Car Seat Company building is 18.5 yards west of North Street and frontage is 10 yards. This building was completed in 1956.</t>
  </si>
  <si>
    <t>Acre 183 Collection</t>
  </si>
  <si>
    <t>b20582791</t>
  </si>
  <si>
    <t>Gray Street, west side, 25th May 1956, frontage of building is 36 3/4 yards. Left side of Alma Shoes building abuts north side of Albert Street. See also B 12916 for a view looking south. Alma Shoes Limited building was erected in 1946. For buildings formerly on the site see B 9306, and B 7062. Architects Garlick, Jackman and Gooden designed the premises for Alma Shoes in 1945-46.</t>
  </si>
  <si>
    <t>b20582857</t>
  </si>
  <si>
    <t>Albert Street</t>
  </si>
  <si>
    <t>Albert Street, north side, January 16th 1956, right side of centre building (from galvanised iron building to the first down pipe) is 28 yards west of Gray Street and frontage is 16 yards. Section described here was completed early in 1956. For a view of the cottages formerly occupying this site see left side of group of cottages shown in B 9306</t>
  </si>
  <si>
    <t>Acre 185 Collection</t>
  </si>
  <si>
    <t>b20582997</t>
  </si>
  <si>
    <t>Northern corner of Waymouth Street and West Terrace, 31st January 1956, Paramotors lot has a  frontage of 28 yards on left to West Terrace and 13.5 yards on the right to Waymouth Street. This site was formerly occupied by galvanised iron sheds. See B 13049 taken in 1954</t>
  </si>
  <si>
    <t>b20583205</t>
  </si>
  <si>
    <t>Waymouth Street, south side, 23 April 1956.  Right side of shops abuts east side of Prospect Place. Frontage of both shops is 13.5 yards. This building was remodelled after 1956. Compare with B 13719. A Bronson's Dry Cleaning van is moving out of Prospect Place into Waymouth Street</t>
  </si>
  <si>
    <t>b20583217</t>
  </si>
  <si>
    <t>Waymouth Street, south side, 21 September 1956, frontage of building is 13.5 yards. Right side of two storey structure abuts east side of Prospect Place. For a view of this building before alterations see B 13665</t>
  </si>
  <si>
    <t>b20583679</t>
  </si>
  <si>
    <t>Waymouth Street, south side, 8th November 1956, frontage of Jones building is 21.5 yards. Left side of Jone's building abuts west side of Ranelagh Street. JW Jones, agricultural engineering and general blacksmiths was established in 1900. They manufactured farm and garden implements and earth scoops</t>
  </si>
  <si>
    <t>b20584155</t>
  </si>
  <si>
    <t>South west corner of Waymouth Street and Young Street, 21 September 1956. Andrew Jack Dyson's paper merchants building has a frontage of 19.5 yards to Waymouth Street on the right and 29 yards to Young Street on the left. For a view of this building taken in 1923 see B 1756</t>
  </si>
  <si>
    <t>Acre 197 Collection</t>
  </si>
  <si>
    <t>b20588689</t>
  </si>
  <si>
    <t>Pirie Street, south side, 30th October 1956, left side of left cottage has a frontage of 9 yards and right cottage has a frontage of 10 yards. The cottages are shown in the course of demolition. For a view of car lot in 1958 see B 14003. A rough map of the area is drawn on the back of the photograph</t>
  </si>
  <si>
    <t>Acre 216 Collection</t>
  </si>
  <si>
    <t>b20589153</t>
  </si>
  <si>
    <t>Tucker Street</t>
  </si>
  <si>
    <t>Tucker Street, west side, 27th December 1956, left side of building abuts north side of Dawkin Place and frontage is 12 yards.</t>
  </si>
  <si>
    <t>b2059026x</t>
  </si>
  <si>
    <t>Hyde Street</t>
  </si>
  <si>
    <t>Hyde Street, east side, 8 November 1956, right side of the two gabled galvanised iron structures in course of demolition is 30 yards north of Flinders Street and frontage is 35.5 yards. This structure was demolished in 1956. For a view of the building subsequently erected on this site see B 13943. For a view made in 1928 see extreme right on B 4799</t>
  </si>
  <si>
    <t>Acre 230 Collection</t>
  </si>
  <si>
    <t>b20590374</t>
  </si>
  <si>
    <t>Flinders Street, north side, 24 January 1956, left side of Storr's building is 10 yards east of Wyatt Street and frontage of Storr's, Smith's and Hocking's building totals 15 yards.</t>
  </si>
  <si>
    <t>Acre 231 Collection</t>
  </si>
  <si>
    <t>b20590386</t>
  </si>
  <si>
    <t>Wyatt Street</t>
  </si>
  <si>
    <t>Wyatt Street, west side, 16 August 1956. This site extends from Flinders Street (on the left) 30 yards north between the points marked with crosses. In the background in the centre of the photograph the look out tower on top of Observatory House can be seen. This building was built in 1906 for Otto Boettger scientific instrument maker.</t>
  </si>
  <si>
    <t>b20590544</t>
  </si>
  <si>
    <t>Flinders Street, north side, 16 August 1956, right side of church is 37 yards west of Wyatt Street and frontage is 17 yards. Presbyterian Church was opened in 1865. In 1929 this church amalgamated with Chalmers Presbyterian Church on North Terrace. The church was demolished in 1956</t>
  </si>
  <si>
    <t>Acre 232 Collection</t>
  </si>
  <si>
    <t>b20590556</t>
  </si>
  <si>
    <t>Flinders Street, north side, 15 January 1957. Hall at rear of Presbyterian Church. The Flinders Street property was sold to YMCA in 1956 and the church was demolished in 1957</t>
  </si>
  <si>
    <t>b20590672</t>
  </si>
  <si>
    <t>North-east corner of Gawler Place and Flinders Street, The Earl of Zetland Hotel frontage is 44 yards on Gawler Place. November 8, 1956. Hotel frontage is 44 yards on Gawler Place. For a view of the hotel in 1958 see B 14059. The Earl of Zetland Hotel existed from 1870 until 1984</t>
  </si>
  <si>
    <t>Acre 233 Collection</t>
  </si>
  <si>
    <t>b2059253x</t>
  </si>
  <si>
    <t>North Terrace, The Strathmore</t>
  </si>
  <si>
    <t>North Terrace, west (The Strathmore Hotel) 26 October 1956. The right side of the balconied building (the Strathmore Hotel) abuts the east side of Blyth St. Frontage of hotel is 31 yards. The Terminus Hotel opened in 1855 and became the Strathmore Hotel in 1944</t>
  </si>
  <si>
    <t>b20594288</t>
  </si>
  <si>
    <t>Young Street</t>
  </si>
  <si>
    <t>Young Street, west side, 4th October 1956. Left side of Sapfor House is 53.5 yards north of Franklin Street: frontage is 19.25 yards. For a view of this building taken in 1922 see B 913. By 1935 Sapfor, a private sector forestry enterprise, now Auspine, had established 6200 acres of pine plantations and formed a small sawmilling company</t>
  </si>
  <si>
    <t>Acre 242 Collection</t>
  </si>
  <si>
    <t>b20594422</t>
  </si>
  <si>
    <t>Eddy's Bulk Store &amp; Trade In building, Franklin Street</t>
  </si>
  <si>
    <t>Franklin Street, north side, 16 August 1956. The left side of Eddy's building abuts the east side of Cannon Street.</t>
  </si>
  <si>
    <t>Acre 243 Collection</t>
  </si>
  <si>
    <t>b20594483</t>
  </si>
  <si>
    <t>Franklin Street, north side, 16 January 1956. Left side of the balconied building is 36 and a half yards east of Morphett Street. Frontage: 15 yards. The two storey mirror image houses held the Country Newspaper City Office in the house on the left</t>
  </si>
  <si>
    <t>b20594495</t>
  </si>
  <si>
    <t>[General description] Old and new: The new modernist facade in the centre of the view provides a stark contrast with the un-altered section of the building on the left. Cars are parked at the kerb, tram wires are seen overhead [On back of photograph] 'Franklin Street, north side / 16 January 1956 / Right side of the centre building is 21 yards west of Tatham Street / Frontage: 15 yards / For a view of this building prior to alterations see B 13228, also B 13588'</t>
  </si>
  <si>
    <t>b20594501</t>
  </si>
  <si>
    <t>Morphett Street, east side, 16 January 1956. Right side of centre building is 21 and a half yards north of Franklin Street, frontage: 28 yards. The centre building with the tiled facade was erected in front of an existing structure and was completed by the end of 1954. For a view of the building now hidden see B 12911</t>
  </si>
  <si>
    <t>b2059480x</t>
  </si>
  <si>
    <t>Franklin Street, north side, 19 March 1956. Left side of Sitter and Fisher's building abuts east side of Elizabeth Street. Frontage: 14 and a half yards. Sitter and Fisher motor body parts and motor painters</t>
  </si>
  <si>
    <t>Acre 247 Collection</t>
  </si>
  <si>
    <t>b20595190</t>
  </si>
  <si>
    <t>West Terrace, between Franklin and Waymouth Streets, 16 January 1956. The left side of Cords building which was completed in 1954, is 80 and three quarter yards south of Waymouth Street. Frontage: 13 and a half yards. For views of cottages formerly on site see B 12673 and extreme right of B 12490. For another view see B 13950</t>
  </si>
  <si>
    <t>b20595426</t>
  </si>
  <si>
    <t>Gray Street, east side 7th March 1957. Left side of the row of four cottages in course of demolition is 49 and a quarter yards south of Franklin Street  Frontage: 22 and a half yards.</t>
  </si>
  <si>
    <t>b20595888</t>
  </si>
  <si>
    <t>South west corner of Franklin and Morphett Streets, 18 December 1956. Building has a frontage of 22 and a half yards to Morphett Street on the left and 35 and a half yards to Franklin Street on the right. Compare with B 4893 taken in 1928. This corner building housed the premises of Universal Motors and Gilbert Lodge machine tool merchants</t>
  </si>
  <si>
    <t>b20597770</t>
  </si>
  <si>
    <t>Flinders Street, south side 1st January 1956. Left side of this building is 43 1/4 yards west of Divett Street. Frontage: 14 1/2 yards. This building has been  remodelled out of an existing structure by the addition of a new front.  The alterations were completed in 1954. Compare with B 12824</t>
  </si>
  <si>
    <t>b20597897</t>
  </si>
  <si>
    <t>Flinders Street and Roper Street, south east corner, 11th January 1956. The white building was remodelled out of the shell of Dunlop's fire-gutted building and completed in 1955. Frontage of 16 3/4 yards on Flinders Street, and 45 yards on Roper Street.</t>
  </si>
  <si>
    <t>b20597903</t>
  </si>
  <si>
    <t>Photograph  10.8 cm x 7.9 cm</t>
  </si>
  <si>
    <t>Flinders Street, south side, November 1956 showing the London Inn just before it was demolished. See B 13473 for site. For a view of the building erected on this site see B13966.</t>
  </si>
  <si>
    <t>b20598695</t>
  </si>
  <si>
    <t>Flinders Street, south side, 19th March 1956. Right side of the house is 66 yards east of Ackland Street. Frontage: 13 1/2 yards. The verandah of this house was removed shortly before the photograph was taken. Compare with B 4044. Flinders Hall stands on the extreme right of the photograph</t>
  </si>
  <si>
    <t>Acre 281 Collection</t>
  </si>
  <si>
    <t>b20598786</t>
  </si>
  <si>
    <t>Flinders Street, south side, 16th August 1956. Left side of the centre house is 25 1/4 yards west of Daly Street. Frontage: 8 3/4 yards. This villa has a latticed wall around the verandah</t>
  </si>
  <si>
    <t>b20598798</t>
  </si>
  <si>
    <t>Flinders Street, south side, 22nd August 1956. Left side of the centre two cottages is 12 yards west of Daly Street. Frontage of the two cottages is 12 yards. These symmetrical cottages have bay windows and a shared roof over the central front doors</t>
  </si>
  <si>
    <t>b20599250</t>
  </si>
  <si>
    <t>Wakefield Street, north side, 13 September 1956. Left side of the centre white building is 37 1/2 yards east of Hutt Street. Frontage: 10 yards. It was demolished in 1957. For a view of the building subsequently erected on this site see B 13929</t>
  </si>
  <si>
    <t>Acre 288 Collection</t>
  </si>
  <si>
    <t>b20599870</t>
  </si>
  <si>
    <t>Wakefield Street, north side, 9 April 1956, right side of house is 29.5 yards west of Ackland Street, frontage is 13 3/4 yards. Depicted is a two storey blue stone house with a balcony and front verandah</t>
  </si>
  <si>
    <t>Acre 294 Collection</t>
  </si>
  <si>
    <t>b20599882</t>
  </si>
  <si>
    <t>Wakefield Street, north side, 6th June 1956, right side of centre light coloured building is 29.5 yards west of Ackland Street, frontage is 13 3/4 yards. The photograph shows several stately two storey houses lining the street. They all display upper balconies decorated with wrought iron lacework</t>
  </si>
  <si>
    <t>b20599912</t>
  </si>
  <si>
    <t>Wakefield Street, north side, 22 August 1956, right side of centre house is 81 yards west of Ackland street, frontage is 12 yards.</t>
  </si>
  <si>
    <t>Acre 295 Collection</t>
  </si>
  <si>
    <t>b20600173</t>
  </si>
  <si>
    <t>Pulteney Street, west side, 11 January 1956, left side of Mullins building is 40 1/4 yards north of Wakefield Street, frontage 13.5 yards. Mullins and Sons Wheel Experts building was remodelled in 1955. For a view of this building taken in 1926, see B 3853</t>
  </si>
  <si>
    <t>Acre 297 Collection</t>
  </si>
  <si>
    <t>b20600185</t>
  </si>
  <si>
    <t>Pulteney Street, west side, 11 January 1956, left side of Theodore Bruce's land, furniture and art auctioneers building is 16.5 yards north of Wakefield Street, frontage 23 3/4 yards. For a view of this building taken  in 1928 see B 4757</t>
  </si>
  <si>
    <t>b20601748</t>
  </si>
  <si>
    <t>Grote Street, north side, 15 May 1956. Left side of Bearing Service Co. building abuts east side of Rowlands Place. Frontage 19 3/4 yards. For a clearer view of these shops see B9593. Flintware SA Company Limited is situated on the extreme right of the photograph</t>
  </si>
  <si>
    <t>b20602169</t>
  </si>
  <si>
    <t>Morphett Street, east side, 27 December 1956. Left side of Weston's building abuts south side of Andrew Street. Frontage: 10 1/4 yards.</t>
  </si>
  <si>
    <t>b20602455</t>
  </si>
  <si>
    <t>Grote Street, north side, 31 January 1956. Left side of Gerrard's building, completed in 1945, abuts east side of Oakley Place. Frontage: 10 yards. Gerrards building was completed in 1945. For building formerly on this site see centre of B 5287</t>
  </si>
  <si>
    <t>Acre 314 Collection</t>
  </si>
  <si>
    <t>b20603022</t>
  </si>
  <si>
    <t>Grote Street, south side, 24 January 1956, frontage of both buildings, including the one with the large glass show windows, is 31 1/4 yards. Left side of Sporting Cars building abuts west side of Byron Place.</t>
  </si>
  <si>
    <t>Acre 326 Collection</t>
  </si>
  <si>
    <t>b20603204</t>
  </si>
  <si>
    <t>South west corner of Brown Street and Grote Street, 24 January 1956. For details of the site see B 13154. This view shows Kelly's Service Station after recent alterations. Compare with B 13154</t>
  </si>
  <si>
    <t>b20603216</t>
  </si>
  <si>
    <t>Grote Street, south side, 15 May 1956, right side of Continental Bakery abuts east side of Storr Street. Frontage of property on Grote Street is 26 yards</t>
  </si>
  <si>
    <t>b20604336</t>
  </si>
  <si>
    <t>Hubbard Motors Ltd., Grote Street</t>
  </si>
  <si>
    <t>Hubbard Motors Ltd., Grote Street, south side, 27 December 1956. Includes advertising for Matchless Motor Cycles and Hub Ray Cycles. Right side of Hubbards building abuts west side of Moonta Street, frontage is 28 yards. Building previously occupied by Madge Motors. According to a family member, Hubbard Motors was established in 1927 by Arthur Hubbard, Thomas Hubbard and Charles "Les" Bray. Compare with B 2656 taken in 1925. According to the advertising on the building Hubbards also dealt with television sets, radiograms, washers and refrigerators</t>
  </si>
  <si>
    <t>b20605821</t>
  </si>
  <si>
    <t>Wakefield Street, south side, 21 September 1956, building on the left with the balcony is 62.5 yards west of Chancery Lane, frontage of building together with lane and Sieberts premises is 14 yards. For a view in 1958 see B 14053. Frank J Siebert Funeral Directors has been owned and operated by the Siebert family since 1867. Joseph B Siebert migrated from Germany to Adelaide in 1867. As a builder he is responsible for several Adelaide landmark buildings. He turned to making coffins for undertakers and later his son, Francis Joseph, opened a second funeral parlour in Wakefield Street</t>
  </si>
  <si>
    <t>Acre 340 Collection</t>
  </si>
  <si>
    <t>b20607064</t>
  </si>
  <si>
    <t>Hanson Street, west side, 16 August 1956, right side of SAPA hall is 45 yards south of Wakefield Street, frontage is 9 yards.</t>
  </si>
  <si>
    <t>b20607222</t>
  </si>
  <si>
    <t>Hanson Street, east side, 4 July 1956, the buildings altogether are 19 yards. The left side of Mignon Cafe abuts the south side of Wakefield Street. Frontage of the Mignon Cafe, Bank of New South Wales and building carrying word "Orlando" is 19 yards altogether</t>
  </si>
  <si>
    <t>b20607234</t>
  </si>
  <si>
    <t>Hanson Street, east side, 4 July 1956, the buildings are 19 yards altogether. See also B 13686.  The left side of Mignon Cafe abuts the south side of Wakefield Street. Frontage of the Mignon Cafe, Bank of New South Wales and building carrying word "Orlando" is 19 yards altogether</t>
  </si>
  <si>
    <t>b20607891</t>
  </si>
  <si>
    <t>Hutt Street, west side, south west corner of Hutt and Wakefield Street, 30th October 1956. Right side of house is 8 1/2 yards south of Wakefield Street. Frontage on Hutt Street is 15 1/2 yards. The two storey house has a verandah and balcony facing Hutt Street. A dormer window with five window panes sits centrally above the front door</t>
  </si>
  <si>
    <t>b20607933</t>
  </si>
  <si>
    <t>Wakefield Street, south side, 16 August 1956. Right side of house on left in course of demolition is 41 1/2 yards east of Hutt Street. Frontage: 12 3/4 yards. Frontage on house at right is 12 yards, this building was demolished in 1956. For view of building subsequently erected on this site see B13930.</t>
  </si>
  <si>
    <t>Acre 353 Collection</t>
  </si>
  <si>
    <t>b20608470</t>
  </si>
  <si>
    <t>Robert Street, east side</t>
  </si>
  <si>
    <t>Robert Street, east side, 16 January 1956. Right side of Langsford's building is 54 yards north of Angas Street. Frontage: 11-1/4 yds. Langsford's building was completed in 1955. A structure was removed to make way for this building, but no earlier view of the site is held.</t>
  </si>
  <si>
    <t>b20608706</t>
  </si>
  <si>
    <t>Hanson Street, east side, 1 January 1956, left side of Southern Motors building is 81.5 yards south of Wakefield Street, frontage is 36.5 yards. This building was completed in 1955. For a view of the site in 1953 see B 12822</t>
  </si>
  <si>
    <t>b20608834</t>
  </si>
  <si>
    <t>Hanson Street, west side, 11 January 1956, Yorke Motors building has a frontage of 40 yards on right to Hanson Street. North west corner of Hanson Street and Angas Street. Yorke Motors building has a frontage of 40 yards on right5 to Hanson Street. This building was remodelled from  three-gable fronted structures in 1955. See extreme left of B 12821 and also B 13462</t>
  </si>
  <si>
    <t>b20610749</t>
  </si>
  <si>
    <t>Gouger Street, north side, 12 March 1956. Right side of building abuts west side of Blenheim Street. Frontage of building is 17.5 yards. Building shown in course of demolition. See also B 13485 taken before demolition work started</t>
  </si>
  <si>
    <t>b20610853</t>
  </si>
  <si>
    <t>Gouger Street, north side, 12 March 1956.  North west corner of Gouger Street and West Terrace. The house frontage is 10 1/4 yards on West Terrace and the property extends 31.5 yards along Gouger Street. The house was demolished in the 1950s. For a view of the building subsequently on this site see B 13955</t>
  </si>
  <si>
    <t>b20611481</t>
  </si>
  <si>
    <t>Bartels Street, west side, 18th December 1956, right side of building is 46 3/4 yards south of Gouger Street, frontage of first three sections is 12 yards.</t>
  </si>
  <si>
    <t>b20612102</t>
  </si>
  <si>
    <t>Gouger Street, south side, 21 February 1956, right side of Motor Cycles building is 19 1/4 yards east of Market Street, frontage is 9 1/4 yards.</t>
  </si>
  <si>
    <t>Acre 405 Collection</t>
  </si>
  <si>
    <t>b20612114</t>
  </si>
  <si>
    <t>Market Street</t>
  </si>
  <si>
    <t>Market Street, west side, 9 April 1956, right side of Haselgroves building is 50 yards south of Gouger Street and frontage is 21.5 yards. This is the complete frontage from the side of the large brick building in the background where part of Haselgrove's frontage is concealed. Haselgroves sells nails, screws, nuts, bolts, tinware, paint, rope and wire</t>
  </si>
  <si>
    <t>b20612126</t>
  </si>
  <si>
    <t>Market Street, east side, 27 December 1956, left side of cottage is 30 yards south of Gouger Street and frontage is 10 yards. The symmetrical bluestone cottage stands next to a two storey house</t>
  </si>
  <si>
    <t>b20612242</t>
  </si>
  <si>
    <t>Gouger Street, south side, 31st January 1956, right side of Scott Bonnar's complete frontage is 10 1/4 yards east of Coglin Street, complete frontage is 21.5 yards. Scott Bonnair Limited lawnmowers and brassware manufacturers</t>
  </si>
  <si>
    <t>Acre 406 Collection</t>
  </si>
  <si>
    <t>b20613404</t>
  </si>
  <si>
    <t>Angas Street, south side, 7th March 1957, left side of house is approximately 4 3/4 yards west of Moore street and frontage is approximately 10 yards. A single storey cottage is standing between two two storey houses</t>
  </si>
  <si>
    <t>b20613660</t>
  </si>
  <si>
    <t>Angas Street, south side, 12th March 1956. Left side of building is 29 1/2 yards west of Queen Street. Frontage: 7 1/4 yards. The two storey house stands beside another two storey house on the right. Ornate wrought iron lace work decorates the balcony and front verandah</t>
  </si>
  <si>
    <t>b20613842</t>
  </si>
  <si>
    <t>Angas Street, south side, 13th February 1956. Left side of partly demolished house abuts west side of Bewes Street. Frontage: 10 yards.</t>
  </si>
  <si>
    <t>b20614056</t>
  </si>
  <si>
    <t>Angas Street, south side, 13th June 1956. This building stands on the south east corner of Angas Street and Regent Street  its frontage on Angas Street is 12 1/2 yards. A butchers shop stands at ground level under the wrap around verandah</t>
  </si>
  <si>
    <t>b20615127</t>
  </si>
  <si>
    <t>Hutt Street, west side, 13 February 1956. Right side of the house is 4 1/4 yards south of Hume Street  frontage: 14 1/2 yards.For a view of this building in 1961 see B 14473</t>
  </si>
  <si>
    <t>b20615449</t>
  </si>
  <si>
    <t>Hanson Street, west side, 8th November 1956. Right side of centre building abuts south side of Royal Place. Frontage: 16 3/4 yards. The verandah of this building was removed shortly before 1956</t>
  </si>
  <si>
    <t>Acre 445 Collection</t>
  </si>
  <si>
    <t>b20615826</t>
  </si>
  <si>
    <t>Carrington Street, north side, 6th June 1956, left side of the three cottages is 31.5 yards east of Nelson Street and frontage is 17 yards. The parapet of this building carries the inscription "Hamburg Cottages 1868"</t>
  </si>
  <si>
    <t>b2061651x</t>
  </si>
  <si>
    <t>Market Street, west side, 18th July 1956, left side of the building is 35.5 yards north of Wright Street and frontage is 10 3/4 yards. The photograph shows the verandah still in the process of being removed</t>
  </si>
  <si>
    <t>Acre 456 Collection</t>
  </si>
  <si>
    <t>b20616867</t>
  </si>
  <si>
    <t>Wright Street, north side, 21st September 1956, left side of Saunders building is 39.5 yards east of Wright Court and frontage is 7 1/4 yards. For a view of this building prior to alterations made after March 1955 see B 13191</t>
  </si>
  <si>
    <t>b20616880</t>
  </si>
  <si>
    <t>Wright Street, north side, 21st September 1956, right side of Church of Jesus Christ of the Latter Day Saints is a 3/4 yard west of Wright Court and frontage is 9.5 yards. This Church was introduced into Australia by William James Barratt who emigrated from England to Adelaide in 1840.</t>
  </si>
  <si>
    <t>Acre 460 Collection</t>
  </si>
  <si>
    <t>b20616958</t>
  </si>
  <si>
    <t>Brown Street, west side, 8th November 1956, left side of building indicated between the crosses is 50.5 yards north of Wright Street and frontage is 10 3/4 yards.</t>
  </si>
  <si>
    <t>b2061746x</t>
  </si>
  <si>
    <t>Chatham Street, east side, 23rd April 1956, left side of building with verandah is 31 yards south of Wright Street and frontage is 11.5 yards.</t>
  </si>
  <si>
    <t>b20617690</t>
  </si>
  <si>
    <t>[General description] This modern two storey brick building abuts a pair of old maisonnettes. It is the premises for E. Bown Ltd. [On back of photograph] 'Acre 478 / Wright Street, south side /September 21st 1956 / Right side of building is 30 yards east of Whitmore Square and frontage of building is 10 yards'</t>
  </si>
  <si>
    <t>b20618116</t>
  </si>
  <si>
    <t>King William Street, west side, 4th July 1956, right side of building is 53 yards south of Wright Street and the frontage is 17 yards. The structure was formerly the Rising Sun Hotel. See also B 10565 and B 13173</t>
  </si>
  <si>
    <t>b20618451</t>
  </si>
  <si>
    <t>Carrington Street, south side, 6th June 1956. Left side of house abuts west side of Nelson Place. Frontage: 12 yards.The single fronted cottage has part of the verandah roof missing. A parapet runs along the front of the house which is surrounded by a picket fence</t>
  </si>
  <si>
    <t>b20618463</t>
  </si>
  <si>
    <t>Carrington Street, south side, 13th September 1956. Left side of brick building with show windows is 21 1/2 yards west of Nelson Place  frontage: 10 3/4 yards. This shop was erected in front of an existing building in about 1955. For a view of the former house see B5693. The building on the left houses the Gospel Hall. The centre building houses AC Smith Company Limited business dealing with Burnie Board, rods and iron. Burnie Board was an Australian version of masonite and was produced in Tasmania</t>
  </si>
  <si>
    <t>b20619625</t>
  </si>
  <si>
    <t>Wilson Street</t>
  </si>
  <si>
    <t>Wilson Street, off East Terrace, 21st February 1956. Right side of house is 2 yards east of east side of Wilson Street. Frontage along south side of Wilson Street is 10 yards and on the east side 14 1/2 yards. A map drawn on the back of the photograph shows the location of the site</t>
  </si>
  <si>
    <t>Acre 506 Collection</t>
  </si>
  <si>
    <t>b20620731</t>
  </si>
  <si>
    <t>Halifax Street, north side, 31st January 1956, right side of centre house is 20.5 yards west of St. Helena Place and frontage is 10.5 yards.</t>
  </si>
  <si>
    <t>b20620834</t>
  </si>
  <si>
    <t>Sydney Place</t>
  </si>
  <si>
    <t>Sydney Place, west side, January 24th 1956, left side of cottages is 36.5 yards north of Halifax Street and frontage is 18.5 yards. For a view of these cottages from the south see B 13595</t>
  </si>
  <si>
    <t>b20620846</t>
  </si>
  <si>
    <t>Sydney Place, west side, January 24th 1956, left side of cottages is 36.5 yards north of Halifax Street and frontage is 18.5 yards. For a view of these cottages from the north see B 13594</t>
  </si>
  <si>
    <t>b2062122x</t>
  </si>
  <si>
    <t>King William Street, west side, January 16th 1956, left side of building is 48 1/4 yards north of Sturt Street and frontage is 10 yards. This building was remodelled from an older building in 1955. For a view of the building prior to alterations see B 13195</t>
  </si>
  <si>
    <t>b20621346</t>
  </si>
  <si>
    <t>Sturt Street, north side, 31st January 1956, frontage of two storey building and adjoining 2 single storey buildings is 16 3/4 yards. Left side of the two storey building on left abuts east side of Frew Street.</t>
  </si>
  <si>
    <t>b20621541</t>
  </si>
  <si>
    <t>Hobson's Place</t>
  </si>
  <si>
    <t>Hobson's Place, west side, 19th March 1956, left side of the building is 56.5 yards north of Sturt Street and frontage is 12 yards.</t>
  </si>
  <si>
    <t>b20621632</t>
  </si>
  <si>
    <t>Sturt Street, north side, 27th December 1956, left side of Bethune and Giles building is 33 1/4 yards east of Whitmore Square and frontage is 10 1/4 yards. For a view of house formerly on this site see B 13476 taken in September 1955. Bethune and Giles pumps</t>
  </si>
  <si>
    <t>b20621917</t>
  </si>
  <si>
    <t>Sturt Street, north side, 12th March 1956. Right side of Southern Drug Company building is 7.5 yards west of Frederick Place. Frontage is 7 1/4 yards. This building was erected in c.1945 on a vacant site</t>
  </si>
  <si>
    <t>Acre 540 Collection</t>
  </si>
  <si>
    <t>b20622119</t>
  </si>
  <si>
    <t>West Terrace south, 21st September 1956, right side of Lodge's building is 36 yards north of Sturt Street and frontage is 17 yards. This building was completed in 1955. Compare with B 13057. Gilbert Lodge engineering company was founded in 1908. This importer and distributor of machine tooling was the first company to bring locomotive engines into Australia</t>
  </si>
  <si>
    <t>b20622971</t>
  </si>
  <si>
    <t>Sturt Street, south side, October 30th 1956, frontage of left building is 17.5 yards. Left side of building with verandah is on the west side of Myers Street. For a view of building subsequently on this site see B 14081. JR Tregoning Limited Engineers building is on the right of the photograph</t>
  </si>
  <si>
    <t>Acre 558 Collection</t>
  </si>
  <si>
    <t>b2062332x</t>
  </si>
  <si>
    <t>King William Street, east side, 19th March 1956. Left side of centre building is 16 3/4 yards south of Halifax Street and frontage is 26.5 yards. For a view of Muirden College showing former balcony see B 13168 taken in 1955. The porch shown in this photograph was completed in 1956. Muirden College was established in the late 1800s by William Muirden. The College opened on July 9, 1900. By 1929 the College had moved to King William Street</t>
  </si>
  <si>
    <t>b20623641</t>
  </si>
  <si>
    <t>Halifax Street, south side, 13th February 1956, left side of small building in course of alteration or demolition, is 43 1/4 yards west of Hurtle Square and frontage is 6.5 yards.</t>
  </si>
  <si>
    <t>b20623781</t>
  </si>
  <si>
    <t>Halifax Street, south side, 13th February 1956, right side of centre building is 12 yards east of Wakeham Street and frontage is 17 yards. For a view of this building taken in January 1957 after the addition of shop fronts see B 13842</t>
  </si>
  <si>
    <t>b20624128</t>
  </si>
  <si>
    <t>Halifax Street, south side, 18th July 1956, left side of house is 37 3/4 yards west of Hutt Street and frontage is 12 yards. A new front was subsequently added to this building - compare with B 13845 taken in February 1957</t>
  </si>
  <si>
    <t>Acre 576 Collection</t>
  </si>
  <si>
    <t>b2062413x</t>
  </si>
  <si>
    <t>Halifax Street, south side, 16th August 1956, left side of these two cottages is 53.5 yards west of Hutt Street, frontage is 13 1/4 yards. A new front was subsequently added to this building - compare with B 13844 which was taken in February 1957</t>
  </si>
  <si>
    <t>b20624141</t>
  </si>
  <si>
    <t>Halifax Street, south side, 22nd August 1956, left side of house is 37 3/4 yards west of Hutt Street and frontage is 12 yards. See also B 13696</t>
  </si>
  <si>
    <t>b20624657</t>
  </si>
  <si>
    <t>Currie Street, south side, 21st September 1956. Right side of Beaurepaire Tyre Service building is 7 yards east of Gray Street. Frontage of complete site: 36 yards.These structures were completed in May 1956. For a portion of the building formerly on the site see right side of B 12951. For earlier view of site in 1935 see B 6597</t>
  </si>
  <si>
    <t>b20624669</t>
  </si>
  <si>
    <t>Currie Street, south side, 21st September 1956. Right side of Beaurepaire Tyre Service building is 7 yards east of Gray Street. Frontage of complete site: 36 yards.These structures were completed in May 1956. For a portion of the building formerly on the site see right side of B 12951. For earlier view of site in 1935 see B 6597. See B 13716</t>
  </si>
  <si>
    <t>b20624724</t>
  </si>
  <si>
    <t>North Street, East Side</t>
  </si>
  <si>
    <t>North Street, east side, 2nd February 1956. Left side of the group of galvanised iron buildings in 23 1/2 yards south of Currie Street. Frontage: 33 1/2 yards between crosses as marked. This view looks south. For a view looking north see B 13621</t>
  </si>
  <si>
    <t>b20625145</t>
  </si>
  <si>
    <t>Gilles Street, north side, 13th February 1956, frontage of cottage is 9.5 yards. Left side of building abuts east side of Power Street.  This building shown is in effect a group of cottages and the frontage of the first one shown in this view is 9.5 yards</t>
  </si>
  <si>
    <t>Acre 588 Collection</t>
  </si>
  <si>
    <t>b20625741</t>
  </si>
  <si>
    <t>Hanson Street, west side, 19th March 1956, left side of the left hand structure is 17.5 yards north of Gilles Street. Both structures have a frontage of 13 3/4 yards each and there is a three yard gap between them</t>
  </si>
  <si>
    <t>b20625807</t>
  </si>
  <si>
    <t>Gilles Street, north side, 24th January 1956, frontage of building is 11.5 yards. Left side of Tonkin Radiator Building abuts east side of Stevens Street. This building was completed in November 1955. For a view of the building formerly on this site and partly incorporated into this building see B 13178</t>
  </si>
  <si>
    <t>b20625819</t>
  </si>
  <si>
    <t>Gilles Street, north side, 25th May 1956, left side of building in couses of demolition is 11.5 yards east of Stevens Street and frontage is 11.5 yards. A portion of this cottage is shown in B 7040 (extreme left) For a view of the building subsequently built on this site see B 14033. A radiator business stands on the left of the demolition site and a milk bar/soft drink shop stands on the extreme right</t>
  </si>
  <si>
    <t>b20625923</t>
  </si>
  <si>
    <t>Gilles Street, north side, January 24th 1956, Gilles Street frontage is 14.5 yards and Hallett Street frontage is 22 1/4 yards. Left side of Nielson and Maxwell's building abuts east side of Hallett Street. For a view of this building made prior to alterations carried probably in 1955, see B 13150</t>
  </si>
  <si>
    <t>b20625935</t>
  </si>
  <si>
    <t>Hallett Street</t>
  </si>
  <si>
    <t>Hallett Street, east side, 24th January 1956, right side of centre building is 24 3/4 yards north of Gilles Street and frontage is 10.5 yards. The single storey, single fronted cottages have a parapet at the edge of the roof</t>
  </si>
  <si>
    <t>b20625960</t>
  </si>
  <si>
    <t>Gilles Street, north side, 30th October 1956, frontage is 15 yards. Right side of corner shop abuts west side of Hallett Street. Building is shown in the course of demolition</t>
  </si>
  <si>
    <t>b20626241</t>
  </si>
  <si>
    <t>King William Street, west side, 13th September 1956, left side of the two centre buildings( between points marked with crosses) is 10 yards north of Gilbert Street and total frontage is 10 yards. Buildings on either include the Saw Doctor repairs, and a pharmaceutical distribution company</t>
  </si>
  <si>
    <t>b2062735x</t>
  </si>
  <si>
    <t>West Terrace, 31st January 1956, left side of the building is 36 yards south of Gilbert Street and frontage is 34 3/4 yards. Nielsons building consists of a new front erected in front of an old building. Only the front of the old building was demolished. The new front shown here was completed in 1955. Oliver J Nielson and Company Limited - electrical engineers and merchants</t>
  </si>
  <si>
    <t>b20628493</t>
  </si>
  <si>
    <t>King William Street, west side, 16 January 1956. Right side of JK Stump's building (Austin service and sales) abuts south side of Holland Place  frontage: 20 1/4 yards. This building was converted from two earlier structures in 1955, see B12691 and B13158.</t>
  </si>
  <si>
    <t>b20628560</t>
  </si>
  <si>
    <t>King William Street, east side, 16 January 1956. Left side of Henty House (Parbury Henty and Company (SA) Limited building is 50 yards south of Gilles Street  frontage: 20 yards. This building was remodelled from an older structure in 1955, see B13095.</t>
  </si>
  <si>
    <t>b20628638</t>
  </si>
  <si>
    <t>Gilles Street, south side, 15 May 1956. Right side of Eyles building abuts east side of Symond's Place. Frontage: 42 yards. The building with the two vehicle entrances was completed in 1955. For structures formerly on this site see B8170. Eyles Wholesale Grocers</t>
  </si>
  <si>
    <t>b20628675</t>
  </si>
  <si>
    <t>Gilles Street, south side, 15 May 1956. Left side of left-hand cottage abuts west side of Osmond Street. Frontage of the two cottages : 15 yards.</t>
  </si>
  <si>
    <t>Acre 641 Collection</t>
  </si>
  <si>
    <t>b20628833</t>
  </si>
  <si>
    <t>Gilles Street, south side, 24 January 1956. Right side of Avery (scales) building abuts east side of Delhi Street. Frontage: 15 1/2 yards. For a view of building formerly on this site see B13180. Avery building completed in 1956.</t>
  </si>
  <si>
    <t>b20628985</t>
  </si>
  <si>
    <t>Gilles Street, south west corner of Hanson Street, 18 December 1956. The corner building has a frontage of 20 yards to Gilles Street on the right and 13 3/4 yards to Hanson Street, left. This building had been altered shortly before this photograph was taken in 1956. Compare with B 5253 taken in 1922</t>
  </si>
  <si>
    <t>b20629084</t>
  </si>
  <si>
    <t>Gilles Street, south side, 24 January 1956. Left side of building (i.e. the portion marked Neptune Lubritorium) is 75 1/4 yards west of Charlotte Street. Frontage: 21 1/2 yards. This building was completed in 1954. The site was formerly vacant.</t>
  </si>
  <si>
    <t>Acre 649 Collection</t>
  </si>
  <si>
    <t>b20629291</t>
  </si>
  <si>
    <t>Hutt Street, south east corner of Gilles Street, 21 February 1956. Left side of house abuts south side of Gilles Street. Frontage on Hutt Street: 7 3/4 yards. Frontage on Gilles Street: 35 1/2 yards, This building was demolished in 1956  for a view of the service station later erected on this site see B13964.</t>
  </si>
  <si>
    <t>b20629308</t>
  </si>
  <si>
    <t>Hutt Street, east side, 21 February 1956. Left side of centre building is 9 yards south of Gilles Street. Frontage: 13 1/4 yards. This building was demolished in 1956, for a view of the service station later erected on this site see B13934.</t>
  </si>
  <si>
    <t>b20631066</t>
  </si>
  <si>
    <t>South Terrace east, 25th May 1956, left side of house is 55 yards east of King William Street and frontage is 12 yards. See also B 6610, taken in 1934. For a view of this building after alterations see B 13820 taken in December 1956</t>
  </si>
  <si>
    <t>b20631078</t>
  </si>
  <si>
    <t>South Terrace east, 27th December 1956, right side of building at 170 South Terrace, is 30.5 yards west of Symonds Place and frontage is 17 yards. The front of this building is a modern addition to an older building. See B 13675 also taken in 1956</t>
  </si>
  <si>
    <t>b20632228</t>
  </si>
  <si>
    <t>Pennington Terrace, 27th December 1956, left side of house is 42 yards east of John Street, frontage is 26.5 yards. Compare with B 4192 taken in 1927. For view of building subsequently erected on this site see B 14193. This building has YWCA on the front of the premises</t>
  </si>
  <si>
    <t>Acre 702 Collection</t>
  </si>
  <si>
    <t>b20638541</t>
  </si>
  <si>
    <t>Ward Street</t>
  </si>
  <si>
    <t>Ward Street, north side, 15th January 1957, left side of centre white cottage is 29.5 yards east of Margaret Street and frontage is 6 yards. The verandah and window portion under the verandah were added probably after September 1955</t>
  </si>
  <si>
    <t>Acre 779 Collection</t>
  </si>
  <si>
    <t>b20639120</t>
  </si>
  <si>
    <t>Archer Street</t>
  </si>
  <si>
    <t>Archer Street, south side, 18th June 1956, left side of Salvation Army Citadel building is 22.5 yards west of Walter Street and frontage is 9.5 yards.</t>
  </si>
  <si>
    <t>Acre 789 Collection</t>
  </si>
  <si>
    <t>b20641151</t>
  </si>
  <si>
    <t>Molesworth Street, north side, 27th December 1956, right side of building is 21.5 yards west of Wellington Square and frontage is 22 3/4 yards.</t>
  </si>
  <si>
    <t>b20641989</t>
  </si>
  <si>
    <t>Gover Street, south side, 18th June 1956, left side of building is 1 1/4 yards west of Margaret Street and frontage is 12 yards. This corner house has had the verandah removed</t>
  </si>
  <si>
    <t>Acre 873 Collection</t>
  </si>
  <si>
    <t>b20642738</t>
  </si>
  <si>
    <t>Fenchurch Street</t>
  </si>
  <si>
    <t>Fenchurch Street, west side, 27th December 1956, left side of galvanised iron shed is 34.5 yards north of Gover Street and frontage is 10.5 yards. This shed was erected shortly before 1956</t>
  </si>
  <si>
    <t>Acre 906 Collection</t>
  </si>
  <si>
    <t>b20642829</t>
  </si>
  <si>
    <t>O'Connell Street, east side, 18th June 1956, right side of centre building is 20 yards north of Gover Street and frontage is 13 yards. Compare with the extreme left of  B 1111 taken in 1922</t>
  </si>
  <si>
    <t>Acre 907 Collection</t>
  </si>
  <si>
    <t>b2064369x</t>
  </si>
  <si>
    <t>Corner of O'Connell Street and Childers Street, 18th June 1956, O'Connell Street frontage is 48.5 yards and Childers Street frontage is 34 3/4 yards. The Picadilly Theatre was constructed before the Second World War and opened in 1940. The buildings chevron shaped windows are typical of the Jazz Style and inside is a curved staircase</t>
  </si>
  <si>
    <t>b20644607</t>
  </si>
  <si>
    <t>Finniss Street</t>
  </si>
  <si>
    <t>Finniss Street, north side, 19th March 1956, left side of house is 178 3/4 yards east of Finniss Court and frontage is 12.5 yards. This single storey house has a bay window and an established front garden</t>
  </si>
  <si>
    <t>Acre 967 Collection</t>
  </si>
  <si>
    <t>b20647116</t>
  </si>
  <si>
    <t>Sussex Street, north side, 27th December 1956, right side of building is 79 1/4 yards west of West Pallant Street and frontage is 42 yards. See also B 13540 for a view of the building before additions. Bowater Bulk Paper Store is written on a sign on the building</t>
  </si>
  <si>
    <t>b2065876x</t>
  </si>
  <si>
    <t>Destitute Asylum. Stone wall at the rear of the Public Library of South Australia, formerly part of the Destitute Asylum block 21 February 1956. The photograph was taken on the day demolition of the wall commenced. A map on the back of the photograph shows the location of the wall and  the caretakers house on the corner of Kintore Avenue and the lane</t>
  </si>
  <si>
    <t>b20658771</t>
  </si>
  <si>
    <t>Destitute Asylum, 13th June 1956. Building on the left is shown in course of demolition. This photograph has been taken from a height looking down on the roofs of the precinct</t>
  </si>
  <si>
    <t>b20682220</t>
  </si>
  <si>
    <t>University of Adelaide Tennis courts. The tennis courts were constructed in 1948. In 1956 the construction of a Union Hall was commenced on this site. A rought sketch appears on the back of the photograph showing the location of the Bonham Laboratory, Mawson Laboratory, Barr Smith Library and the Mathematics Building</t>
  </si>
  <si>
    <t>b20684964</t>
  </si>
  <si>
    <t>War Memorial, North Terrace, 8th November 1956. This National War Memorial was unveiled in 1931 to commemorate those who served in the First World War</t>
  </si>
  <si>
    <t>Adelaide Views Collection;War Memorial Collection</t>
  </si>
  <si>
    <t>b2926375x</t>
  </si>
  <si>
    <t>South Australia. Government Publicity and Tourist Bureau, photographer</t>
  </si>
  <si>
    <t>Scene at Christies Beach in South Australia</t>
  </si>
  <si>
    <t>1 photograph : black and white   15.5 x 20 cm;still image sti rdacontent;unmediated n rdamedia;sheet nb rdacarrier</t>
  </si>
  <si>
    <t>Photograph taken at Christies Beach in South Australia. The scene shows people on the beach using beach shelters, while other people are swimming or walking. The beach is edged by cliffs and shows some of the road and houses above. The back of the photograph has the following description: A popular seaside resort on the Eastern shores of St. Vincent Gulf adjoining Port Noarlunga 20 miles from Adelaide. In common with the other resorts along this part of the South Coast, Christies Beach is safe for bathing with fine broad stretch of sand.</t>
  </si>
  <si>
    <t>Beaches -- South Australia -- Christies Beach;Christies Beach (S.A.)</t>
  </si>
  <si>
    <t>b29263761</t>
  </si>
  <si>
    <t>1 photograph : black and white   15.2 x 20.6 cm;still image sti rdacontent;unmediated n rdamedia;sheet nb rdacarrier</t>
  </si>
  <si>
    <t>Photograph taken at Christies Beach in South Australia. The scene shows two women standing on a cliff. They are looking across the beach and towards the cliff top and houses on the other side. The back of the photograph has the following description: South Australia - Christies Beach, near Pt. Noarlunga on the South Coast.</t>
  </si>
  <si>
    <t>b24595809</t>
  </si>
  <si>
    <t>Huntley, Phyllis Jean, photographer</t>
  </si>
  <si>
    <t>Sheep being loaded onto a ship called 'Parndana'</t>
  </si>
  <si>
    <t>Negatives (B&amp;W)  6 cm x 9 cm;RESERVE 1 negatives</t>
  </si>
  <si>
    <t>Series of photographs by Phyllis Jean Huntley of sheep being loaded loaded onto trucks on a property, and then, with help of a goat, being loaded onto the ship 'Parndana' at Venus Bay on the West Coast of South Australia. The negatives were in the possession of John Laurence Rehn who was involved in the transport business in South Australia prior to the late 1950s  and a note on the envelope read 'to be returned to PJ Huntley, Venus Bay PO, West Coast, SA'. See 'contents' for details of items.</t>
  </si>
  <si>
    <t>Parndana (Ship);Sheep -- Transportation -- South Australia -- Venus Bay;Trucks -- South Australia</t>
  </si>
  <si>
    <t>b29261594</t>
  </si>
  <si>
    <t>Yarding sheep at Blackwood in South Australia</t>
  </si>
  <si>
    <t>1 photograph : black and white   14.6 x 20.5 cm;still image sti rdacontent;unmediated n rdamedia;sheet nb rdacarrier</t>
  </si>
  <si>
    <t>Photograph of groups of sheep in various yards in an area surrounded by gum trees. The photo is labelled: Yarding sheep at Blackwood in the Mt. Lofty Ranges.</t>
  </si>
  <si>
    <t>Sheep -- South Australia -- Blackwood</t>
  </si>
  <si>
    <t>b29261600</t>
  </si>
  <si>
    <t>Sheep on a station near Iron Knob in South Australia</t>
  </si>
  <si>
    <t>1 photograph : black and white   15.1 x 20.5 cm;still image sti rdacontent;unmediated n rdamedia;sheet nb rdacarrier</t>
  </si>
  <si>
    <t>A group of sheep in a yard near a shed. The yard is fenced with roughly cut wooden posts and several men and horses stand round the yard. The photo is labelled: Shearing shed on a sheep station near Iron Knob.</t>
  </si>
  <si>
    <t>Sheep -- South Australia -- Iron Knob;Sheep-shearing -- South Australia -- Iron Knob</t>
  </si>
  <si>
    <t>Iron Knob Collection</t>
  </si>
  <si>
    <t>b29261636</t>
  </si>
  <si>
    <t>Men removing lambs tails on a station in South Australia</t>
  </si>
  <si>
    <t>1 photograph : black and white   15.2 x 20 cm;still image sti rdacontent;unmediated n rdamedia;sheet nb rdacarrier</t>
  </si>
  <si>
    <t>Photograph showing men working in a sheep yard and docking or removing the tails of lambs. The photograph is labelled: Tailing lambs on a far Northern sheep station.</t>
  </si>
  <si>
    <t>Sheep -- South Australia;Farm life -- South Australia</t>
  </si>
  <si>
    <t>b29261673</t>
  </si>
  <si>
    <t>1 photograph : black and white   15.2 x 20.5 cm;still image sti rdacontent;unmediated n rdamedia;sheet nb rdacarrier</t>
  </si>
  <si>
    <t>Photograph taken at Christies Beach in South Australia. The scene shows people on the beach using beach shelters, while other people are swimming or walking. The beach is edged by high cliffs and shows the road and houses above. The back of the photograph also has a stamp from the South Australian Government Department of Lands.</t>
  </si>
  <si>
    <t>b20508116</t>
  </si>
  <si>
    <t>Grave of Marie A. Coppin</t>
  </si>
  <si>
    <t>Photograph  11.4 cm x 8.6 cm</t>
  </si>
  <si>
    <t>Grave of Marie Augusta Coppin, West Terrace Cemetery. Connected to comedian George Selth Coppin (1819-1906) Possibly Marie is one of the five daughters to George's second wife Lucy Hilsden</t>
  </si>
  <si>
    <t>Coppin, Marie Augusta;West Terrace Cemetery (Adelaide, S.A.);Sepulchral monuments -- South Australia -- Adelaide</t>
  </si>
  <si>
    <t>b20508128</t>
  </si>
  <si>
    <t>Inscription on the grave of Marie Augusta Coppin, West Terrace Cemetery. Connected to comedian George Selth Coppin (1819-1906) Possibly Marie is one of the five daughters to George's second wife Lucy Hilsden</t>
  </si>
  <si>
    <t>Coppin, Marie Augusta;Sepulchral monuments -- South Australia -- Adelaide</t>
  </si>
  <si>
    <t>b20548485</t>
  </si>
  <si>
    <t>North Terrace, east, 27 June 1957. Right side of the two storied buildings abuts the east side of Gawler Place  frontage: 28 1/4 yards. The structures between the points marked with "x" were demolished in 1959 and Gawler Place was widened. For views of these buildings in 1959 see B 14251 and B 14252</t>
  </si>
  <si>
    <t>b20549428</t>
  </si>
  <si>
    <t>Scots Church, south west corner of North Terrace and Pulteney Street was built in 1851 as Chalmers Free Church. The spire was added in 1856 and the gabled addition to the south in 1863-4</t>
  </si>
  <si>
    <t>b20558004</t>
  </si>
  <si>
    <t>Hindley Street, north side, December 31, 1957. Left side of Yalumba Wine Saloon is 24 yards east of Victoria Street and frontage of both shops is 9 yards. A telephone box stands outside the wine shop</t>
  </si>
  <si>
    <t>b20558016</t>
  </si>
  <si>
    <t>Hindley Street, north side, 31 December 1957. Left side of Newdays Furniture building is 14 yards east of Victoria Street and frontage is 10 yards. The Metro Cinema can be seen on the extreme left of the photograph</t>
  </si>
  <si>
    <t>b2055994x</t>
  </si>
  <si>
    <t>Hindley Street, south side, 7th March 1957. Right side of the European Restauant is 35 yards east of Morphett Street  frontage: 7 yards. The shop front of the European Restaurant had been installed approximately in 1956/57</t>
  </si>
  <si>
    <t>b20560527</t>
  </si>
  <si>
    <t>Hindley Street, south side, 31 December 1957.  Right side of Bank of Adelaide building abuts Club House Lane. Frontage of the Bank of Adelaide building is 7 yards.  Frontage of the National Bank building is 6 yards. For view of this National Bank building before alterations see B 2707. For view of Bank of Adelaide building before alteration see B 13163. Bank of Adelaide building was rebuilt in 1956</t>
  </si>
  <si>
    <t>b20561131</t>
  </si>
  <si>
    <t>Hindley Street, south side, 31 December 1957. Right side of the State Theatre is 13.5 yards east of Peel Street and frontage is 19 yards. Rebuilding finished in 1957. For a view of the theatre previously on this site see B 13642</t>
  </si>
  <si>
    <t>b20568411</t>
  </si>
  <si>
    <t>Rundle Street, south side, 5th September 1957, frontage of building is 17 yards. Right side of three storey building abuts east side of Ebenezer Place</t>
  </si>
  <si>
    <t>b20569002</t>
  </si>
  <si>
    <t>Clarkson Ltd., Grenfell Street</t>
  </si>
  <si>
    <t>Clarkson Ltd., Bulk Store and Trade Depot, Grenfell Street, north side, 5th September 1957. Left side of Clarksons building is 27 yards east of Hindmarsh Square and frontage (between the crosses) is 23 1/4 yards. Heinrich Vosz founded the company which became Clarkson Limited. In 1908 the initial Grenfell Street property was purchased and in 1958 a new head office was built at 150 Grenfell Street which had a 90 foot window</t>
  </si>
  <si>
    <t>b20569014</t>
  </si>
  <si>
    <t>Clarkson Ltd., Grenfell Street, north side, 5th September 1957. Left side of centre building is 50 yards east of Hindmarsh Square and frontage of the tiled roof building is 21 1/4 yards. Heinrich Vosz founded the company which became Clarkson Limited. In 1908 the initial Grenfell Street property was purchased and in 1958 a new head office was built at 150 Grenfell Street which had a 90 foot window. See B 13894</t>
  </si>
  <si>
    <t>b20573388</t>
  </si>
  <si>
    <t>Currie Street, south side, 12 June 1957, frontage of cottages (between points marked "x") is 16.5 yards. Right side of row of cottages abuts east side of Clifton Place.</t>
  </si>
  <si>
    <t>Acre 125 Collection</t>
  </si>
  <si>
    <t>b20574320</t>
  </si>
  <si>
    <t>Currie Street, south side, 12 June 1957, frontage of cottages from King's Court to dividing wall on right,  is 30.5 yards. Left side of row of cottages abuts west side of King's Court. For view of building subsequently on this site, see B 14754</t>
  </si>
  <si>
    <t>b20574939</t>
  </si>
  <si>
    <t>Currie Street, south side, 12 September 1957, frontage of building is 28.5 yards. Left side of Champions building abuts Gilles Arcade west side.</t>
  </si>
  <si>
    <t>Acre 135 Collection</t>
  </si>
  <si>
    <t>b20574940</t>
  </si>
  <si>
    <t>Currie Street, south side and Gilles Arcade west side, 12 September 1957. Left side of Champions building has a frontage of 64 3/4 yards on Gilles Arcade</t>
  </si>
  <si>
    <t>b20577011</t>
  </si>
  <si>
    <t>Grenfell Street, south side, 5th September 1957, right side of Sandfords building is 7 yards east of Coromandel Place and frontage is 12 yards. For view of the building on Sandford's site in 1901-02 see B 5262 and the WD Thomas building. AW Sandford and Company Limited Merchants, Dairy and Refrigeration Engineers is associated with  the growth and development of the dairying industry in South Australia</t>
  </si>
  <si>
    <t>b20578027</t>
  </si>
  <si>
    <t>Grenfell Street, south side, 27th June 1957, right side of Taylor's three motor cycle buildings is 33.5 yards east of Hindmarsh Square. Frontage of Taylors 3 buildings is 37.5 yards.</t>
  </si>
  <si>
    <t>b20578039</t>
  </si>
  <si>
    <t>Grenfell Street, south side, 27th June 1957, right side of Australian Broadcasting Commission building is 19 3/4 yards east of Hindmarsh Square and frontage is 13 3/4 yards. The ABC apprently occupied the rear building (with centilever verandah) in 1945. Small section of building (without verandah) on right was erected after April 1931. Compare with B 5928</t>
  </si>
  <si>
    <t>b20578684</t>
  </si>
  <si>
    <t>Pirie Street, north side, 24 October 1957, left side of building is 6.5 yards east of Ackland Street and frontage is 29.5 yards. For a view of the building formerly on this site see B 6941. Building was completed in 1956. Building is known as Knapman House</t>
  </si>
  <si>
    <t>Acre 159 Collection</t>
  </si>
  <si>
    <t>b20579664</t>
  </si>
  <si>
    <t>Pirie Street, north side, December 26th 1957, frontage of building is 29 yards. Left side of building abuts Coromandel Place. For a view of building in the 1880s see B 2505 . For a view in 1909 see B 3162. The central portion of the three storey building has ABC Buildings carved in stone under the parapet. The eastern portion of the building houses Mercantile Mutual Life Insurance. Cars line the street</t>
  </si>
  <si>
    <t>b2058071x</t>
  </si>
  <si>
    <t>North corner of King William Street and Pirie Street, King William Street 26 December, 1957. The King William Street frontage of the City Mutual Life building is 15 yards and Pirie Street frontage is 30 yards. This building was completed in 1957. For earlier views of this site see B 7, B 2050, B 12557. B 83327, B 87060</t>
  </si>
  <si>
    <t>b20582468</t>
  </si>
  <si>
    <t>Light Square, west side, 31st December 1957, left side of light coloured warehouse is 46 yards north of Waymouth Street and frontage is 22 yards. For a view of this building between 1911 -14 see B 2157. For views taken in 1928 see B 10368 and 10369. The building houses the premises of George Chapman Pty. Limited ham and bacon curers which started as a family business in the Adelaide Hills in 1899.The premises in Light Square were extended in 1959</t>
  </si>
  <si>
    <t>Acre 180 Collection</t>
  </si>
  <si>
    <t>b2058300x</t>
  </si>
  <si>
    <t>West Terrace, east side, 31st October 1957, right side of buildings is 29.5 yards north of Waymouth Street and total frontage of buildings is 40 yards. The two storey building with enclosed balconies was built in 1899</t>
  </si>
  <si>
    <t>b20583114</t>
  </si>
  <si>
    <t>West Terrace, east side, 31 October 1957, right side of the AutoTherm building is 59 yards north of Franklin Street and frontage is 20 yards. For another view see B 12490. Other buildings shown in the photograph include Adelaide Electrical Company Limited and Cords</t>
  </si>
  <si>
    <t>b20583515</t>
  </si>
  <si>
    <t>Waymouth Street, south side, 12 September 1957, left side of light coloured Gladiola building is 16 3/4 yards west of Crowther Street and frontage is 27.5 yards. This building was completed in February 1956. For a view of structures previously on this site see B 13213</t>
  </si>
  <si>
    <t>b20583680</t>
  </si>
  <si>
    <t>Ranelagh Street</t>
  </si>
  <si>
    <t>Ranelagh Street, west side, 1 August 1957. This view is the continuation of the cottages shown in B 13880</t>
  </si>
  <si>
    <t>b20583692</t>
  </si>
  <si>
    <t>Ranelagh Street, west side, 1 August 1957, right side of cottages is 33 yards south of Waymouth Street and frontage is 37 1/4 yards. For continuation of cottages on left side see B 18879</t>
  </si>
  <si>
    <t>b20584064</t>
  </si>
  <si>
    <t>Waymouth Street, south side, 12 September 1957, frontage of building is 15.5 yards. Glover Gibbs building stands on the south east corner of Waymouth Street and Cannon  Street. The building was once the Shakespeare Hotel - note Shakespeare's head over the doorway on the right. The Shakespeare Hotel existed from 1862 - 1921. James Gibbs, newly arrived from Scotland, saved sufficient money to open a pie stall in Port Adelaide which he later moved to the site of the de-licensed Shakespeare Hotel in Waymouth Street which he converted to a bakery, shop and dwelling</t>
  </si>
  <si>
    <t>b2058801x</t>
  </si>
  <si>
    <t>Hyde Street, west side, 24th october 1957, right side of building is 34.5 yards south of Pirie Street and frontage is 16 3/4 yards. See B 13941. Ralph Waite Motor Body Repairs business is depicted in this photograph</t>
  </si>
  <si>
    <t>b20588021</t>
  </si>
  <si>
    <t>South west corner of Hyde Street and lane off west side of Hyde Street, 24th October 1957, right side of building is 34.5 yards south from Pirie Street. For frontage of building see B 13940</t>
  </si>
  <si>
    <t>b20588252</t>
  </si>
  <si>
    <t>Pulteney Street, east side, 27th December 1957, right side of McLeods building is 70 yards north of Flinders Street, frontage is 20 yards. For a view of this building in 1939 see B 8188. Murdoch Stanley  McLeod Limited</t>
  </si>
  <si>
    <t>b20589165</t>
  </si>
  <si>
    <t>Dawkin Place</t>
  </si>
  <si>
    <t>Dawkin Place, north side, 25th July 1957, right side of building is 39 1/4 yards west of Tucker Street and frontage is 20 3/4 yards.</t>
  </si>
  <si>
    <t>b20589529</t>
  </si>
  <si>
    <t>Flinders Street, north side, December 5th 1957, right side of M S McLeods building is 24.5 yards west of Sudholz Place and frontage is 8.5 yards. Alterations completed in 1957. For a view of the building during alterations see B 13037</t>
  </si>
  <si>
    <t>b20590271</t>
  </si>
  <si>
    <t>Hyde Street, east side, 24 October 1957, right side of concrete brick centre building (marked with "x" on photograph)  is 29.5 yards north of Flinders Street and frontage is 35.5 yards. For Flinders Street frontage see B 13944. This building was erected in 1957. For a view of building formerly on this site see B 13809 and extreme right of B 4799</t>
  </si>
  <si>
    <t>b20590283</t>
  </si>
  <si>
    <t>Flinders Street, north side, 24 October 1957, left side of Globe Timber Mills is 11.5 yards east of Hyde Street and frontage is 18.5 yards. Flinders Street frontage of Globe Timber Mills is 18.5 yards. For Hyde Street frontage see B 13943. On the extreme left of the photograph the entrance to the City Druids Hall can be seen</t>
  </si>
  <si>
    <t>b20592747</t>
  </si>
  <si>
    <t>North Terrace, West</t>
  </si>
  <si>
    <t>North Terrace, west. 15 January 1957. Left side of Australian Implement Co.'s building abuts west side of Bank Street. Frontage: 46 yards.</t>
  </si>
  <si>
    <t>b20592759</t>
  </si>
  <si>
    <t>North Terrace, west. 1957. Left side of Australasian Implement Co's. building abuts west side of Bank St. Frontage: 46 yards. Pedestrians can be seen crossing the road outside the Australian National Airways Pty. Limited building</t>
  </si>
  <si>
    <t>b20592760</t>
  </si>
  <si>
    <t>North Terrace, west, south side. 31 December 1957. Right side of three-storey building abuts Bank Street. Frontage of the building is 161/2 yards. For Bank Street frontage see B 5346. Photograph shows part of the South Australian Hotel which was closed and demolished in 1971</t>
  </si>
  <si>
    <t>b20594999</t>
  </si>
  <si>
    <t>Franklin Street, north side 22nd August 1957. The right side of Franklin Tuck Shop is 39 and a half yards west of Crowther Street, its frontage is l9 yards. For views of this shop before alterations made in about 1955 see B13184 and B13034.</t>
  </si>
  <si>
    <t>b20595001</t>
  </si>
  <si>
    <t>Kingston Motors, Franklin Street</t>
  </si>
  <si>
    <t>Franklin Street, north side 22nd August 1957. Left side of Franklin Tuck Shop is 48.5 yards west of Crowther Street. Kingston Motors frontage is 8 and three quarter yards. See also B 13184 and B 13034</t>
  </si>
  <si>
    <t>b20595207</t>
  </si>
  <si>
    <t>Franklin Street, north side 3 October 1957. Frontage on Franklin Street: 29 yards, on West Terrace: 29 and a half yards. Right side of the building abuts Gratton Street. For views of building formerly on this site see B 13229 and B 13230. The building was erected in 1957 and opened on 13 October, 1957</t>
  </si>
  <si>
    <t>b20595219</t>
  </si>
  <si>
    <t>West Terrace, east side, 31 October 1957. Right side of Cords is 46 yards north of Franklin Street, frontage: 13 yards. For another view see B 13692</t>
  </si>
  <si>
    <t>b20596418</t>
  </si>
  <si>
    <t>Pitt Street, west side, 12th September 1957. Right side of building is 55 3/4 yards south of Franklin Street. Frontage: 13 3/4 yards. A sign on the adjoining building says ...Tivoli Theatre which opened in 1913</t>
  </si>
  <si>
    <t>b20596832</t>
  </si>
  <si>
    <t>Victoria Square, west side and south side of Franklin Street, 26th December, 1957.The twelve storey building was completed in 1957, Franklin Street frontage: 16 1/4 yards  Victoria Square frontage: 38 yards. For a view of buildings previously on this site see B 12922 and B 3271. A rough sketch on the back of the photograph shows the location of this building on the corner of Victoria Square and Franklin Street</t>
  </si>
  <si>
    <t>b20597125</t>
  </si>
  <si>
    <t>Flinders Street, south side, 26th December 1957. The right side of Flinders House is 16 yards east of Molton Street. Frontage of buildings is 15 yards. For a view of Flinders House in 1923 see B 1548.  The five storey building was built for the Australian Workers Union. A plaque on the door in this photograph says that in 1957 one of the occupants is the Department of Public Health</t>
  </si>
  <si>
    <t>b20597356</t>
  </si>
  <si>
    <t>Flinders Street, south side, 26th December, 1957. Right side of the light coloured building is 31 1/4 yards east of Molton Street. Frontage: 20 1/2 yards. The building in the centre of the photograph held the Registry Office. The building on the right was built to house the Australian Workers Union offices and the building to the left housed the Education Department</t>
  </si>
  <si>
    <t>b20597782</t>
  </si>
  <si>
    <t>Divett Street</t>
  </si>
  <si>
    <t>Divett Street, west side 5th September 1957 showing the caretaker's cottage at the rear of the Flinders Street Baptist Church. Right side of the cottage is 64 1/4 yards south of Flinders Street. Frontage on Divett Street is 5 1/2 yards.</t>
  </si>
  <si>
    <t>b20597915</t>
  </si>
  <si>
    <t>Flinders Street, south side, 12th December 1957. Right side of the A.N.Z. building completed in 1957 is 16 1/2 yards east of Roper Street. Frontage: 12 yards. This building was completed in 1957. For view of the building previously on this site see B 13473 and B 13708</t>
  </si>
  <si>
    <t>Australian and New Zealand Bank Limited -- Buildings;Adelaide (S.A.) -- Buildings, structures, etc.</t>
  </si>
  <si>
    <t>b20599262</t>
  </si>
  <si>
    <t>Wakefield Street, north side, 3 November 1957. Left side of glass building is 37 1/2 yards east of Hutt Street. Frontage: 10 1/2 yards.Two storied building erected in 1957: frontage: 22 1/2 yards. This single storey glass building was erected in 1957. For a view of building formerly on this site see B 13711</t>
  </si>
  <si>
    <t>b20599274</t>
  </si>
  <si>
    <t>Hutt Street East side 3 October 1957, right side of building abuts North side of Wakefield Street, building frontage is 15.5 yards.</t>
  </si>
  <si>
    <t>b20599535</t>
  </si>
  <si>
    <t>Wakefield Street, north side, 1 August 1957, right side of Lucas Delicatessen is 53.5 yards west of Daly Street, frontage of shop and adjoining house is 10.5 yards.The left cross on the photograph indicates the western boundary of Acre 291</t>
  </si>
  <si>
    <t>Acre 291 Collection</t>
  </si>
  <si>
    <t>b20599924</t>
  </si>
  <si>
    <t>Ifould Street, south side, 12 th June 1957, right side of cottage is 87 yards east of Pulteney Street, frontage is 10.5 yards.</t>
  </si>
  <si>
    <t>b20600045</t>
  </si>
  <si>
    <t>Pulteney Street, east side, 27th December 1957, right side of block of shops is 12 3/4 yards north of Wakefield Street, frontage of shops is 31 1/2 yards. For a view of shops and hotel in 1927 see B 4254. The Hotel Orient can be seen on the right. This hotel existed from 1854 until 1984. Shops and banks that can be seen include Commercial Bank of Australia, laundry and a dry cleaning firm</t>
  </si>
  <si>
    <t>Acre 296 Collection</t>
  </si>
  <si>
    <t>b20600057</t>
  </si>
  <si>
    <t>Pulteney Street, east side, 27th December 1957. Left side of bank building abuts Ifould Street. Frontage of bank is 12.5 yards, frontage of corrugated iron fence on right side is 4 3/4 yards. The Commercial Bank of Australia building was completed in December 1957. See adjoining older bank in B 13969</t>
  </si>
  <si>
    <t>b20601542</t>
  </si>
  <si>
    <t>Pitt Street, east side, 31 October 1957. Left side of the CMM Goodwill Store No. 22 is 70 yards north of Grote Street, its frontage: 5 1/2 yards. Width of the corrugated iron gate is 3.75 yards. (Central Methodist Mission?)</t>
  </si>
  <si>
    <t>Acre 308 Collection</t>
  </si>
  <si>
    <t>b20601554</t>
  </si>
  <si>
    <t>Pitt Street, east side, 31 October 1957. Right side of the two storied building is 46 1/4 yards north of Grote Street. Frontage: 15 1/2 yards. The photograph shows two semi detached cottages with a rendered front and a parapet. The building is next door to the CMM Goodwill Store in Pitt Street. See B 13946</t>
  </si>
  <si>
    <t>b20601992</t>
  </si>
  <si>
    <t>Bowen Street</t>
  </si>
  <si>
    <t>Bowen Street, east side, 12 September 1957. Right side of centre cottage is 55 yards north of Grote Street. Frontage: 6 yards.</t>
  </si>
  <si>
    <t>b20602005</t>
  </si>
  <si>
    <t>Bowen Street, east side, 12 September 1957. Right side of the house is 45 yards north of Grote Street, frontage: 9 1/2 yards.</t>
  </si>
  <si>
    <t>b20602017</t>
  </si>
  <si>
    <t>Bowen Street, east side, 12 September 1957. Right side (marked with a cross) of house is 61 yards north of Grote Street. Frontage is 7.5 yards. The single storey cottage has a parapet over the front verandah</t>
  </si>
  <si>
    <t>b2060306x</t>
  </si>
  <si>
    <t>Grote Street, south side, 10 October 1957, right side of building abuts east side of Oakley Street, frontage of shop is 9.5 yards.</t>
  </si>
  <si>
    <t>b20607246</t>
  </si>
  <si>
    <t>Hanson Street, east side, 27 December 1957, left side of Fletcher and Sons (brass founders) is 48 yards south of Wakefield Street, the frontage is 4 yards, Plant Equipment frontage is 9 yards and Sven Kallins (car radios) is 9 yards. For a view of shops in 1952 see B 12464</t>
  </si>
  <si>
    <t>b20607945</t>
  </si>
  <si>
    <t>Wakefield Street, south side, 3 November 1957. Right side of building is 40 yards east of Hutt Street. Frontage: 14 1/2 yards. Burroughs building was erected in 1957. For view of building formerly on this side see B13700.</t>
  </si>
  <si>
    <t>b20608160</t>
  </si>
  <si>
    <t>Hutt Street and Angas Street, north east corner, 25th July 1957. Right side of building is 3 yards north of Angas Street. Frontage on Hutt Street on left: 11 1/2 yards  on Angas Street, on right: 22 yards A verandah was removed from this building before the photograph was taken.</t>
  </si>
  <si>
    <t>b20608718</t>
  </si>
  <si>
    <t>Angas Street, north side, 27 December 1957, frontage of the building is 10 yards. Left side of two storey building abuts Gunson Street.  For buildings on right side see B 13972. For building subsequently erected on this site  see B 14462 and B 14463. The photograph shows a two storey bluestone building being demolished</t>
  </si>
  <si>
    <t>b2060872x</t>
  </si>
  <si>
    <t>Angas Street, north side, 27 December 1957, left side of cottages is 10 yards east of Gunson Street, frontage of cottages is 18 yards. For two storey building on left see B 13971. For building subsequently erected on this site see B 14462 and B 14463</t>
  </si>
  <si>
    <t>b20610403</t>
  </si>
  <si>
    <t>Gouger Street, north side, 27 June 1957, right side of right hand side building is 1.5 yards west of Storr Street, frontage is 6.5 yards frontage of adjoining cottage is 10 3/4 yards.</t>
  </si>
  <si>
    <t>b20610828</t>
  </si>
  <si>
    <t>Gouger Street, north side, 21 November 1957, left side of  the four cottages is 126.5 yards east of West Terrace, total frontage is 23.5 yards. Frontage of empty lot on left side of cottages is 6 yards. A gabled portion (duplicating the extreme right) formerly adjoined on the left, with a frontage of 6 yards. It was demolished shortly before this photograph was taken. For a view of this demolished portion see B 13136</t>
  </si>
  <si>
    <t>Acre 390 Collection;Acre 391 Collection</t>
  </si>
  <si>
    <t>b20610865</t>
  </si>
  <si>
    <t>Gouger Street, north side, 21 November 1957, north west corner of Gouger and West Terrace, Electrolux building has a frontage of 10 1/4 yards on West Terrace and frontage of 31.5 yards along Gouger Street. This building was erected in 1957. For building previously on this site see B 13645. To the east of this building stands the Arnotts building on Gouger Street</t>
  </si>
  <si>
    <t>b20610919</t>
  </si>
  <si>
    <t>West Terrace, east side, 31 October 1957. Right side of double cottage (marked X) is 19 1/2 yards north of Alfred Street. Frontage of cottage is 14 1/2 yards. Frontage of Regal Motors used car lot is 10 yards. For view of building formerly on the used car lot see B13472.</t>
  </si>
  <si>
    <t>b20611183</t>
  </si>
  <si>
    <t>Lowe Street</t>
  </si>
  <si>
    <t>Lowe Street, east side, 3rd October 1957, left side of building is 36.5 yards south of Gouger Street, frontage of building is 20 yards which covers all the dark painted sheds</t>
  </si>
  <si>
    <t>b20611547</t>
  </si>
  <si>
    <t>Gouger Street, south side, 21st November 1957, right side of Blue Star Motors used car lot is 53 yards east of Brown Street and frontage is 17 yards. For view of house occupying part of this site in 1955 see B 13542. Next door to the used car lot stands the two storey furniture store at number 125 West Terrace</t>
  </si>
  <si>
    <t>b20612138</t>
  </si>
  <si>
    <t>Gouger Street, south side, 27 June 1957, left side of Bowleys furniture shop is 24 yards west of Market Street and frontage is 4 3/4 yards. The building housing these shops is called Guenther Buildings. The shops include a wine saloon, Boxley's Furniture and Macks Shoe Shop</t>
  </si>
  <si>
    <t>b2061214x</t>
  </si>
  <si>
    <t>Market Street, west side, 1 August 1957, right side of centre cottages is 30 yards south of Gouger Street and frontage of group of cottages is 19 1/4 yards.</t>
  </si>
  <si>
    <t>b20612424</t>
  </si>
  <si>
    <t>Gouger Street, south side, 9th August 1957, frontage of the building is 10 yards. Left side of Solomons building abuts west side of Mill Street. For a view of this building made in March 1954 prior to alterations, see B 12972</t>
  </si>
  <si>
    <t>b20614287</t>
  </si>
  <si>
    <t>Hutt Street, east side, 3rd October 1957. Left corner of cottages is 5 yards south of Allen Street. Frontage of the three cottages is 27 yards(between marked x's)</t>
  </si>
  <si>
    <t>Acre 425 Collection</t>
  </si>
  <si>
    <t>b20615218</t>
  </si>
  <si>
    <t>Carrington Street, north side, 21 February 1957. Right side of house is 51 1/4 yards west of Cardwell Street  frontage: 12 yards. The house at 262 Carrington Street is a bluestone single storey with a bullnose iron verandah at the front</t>
  </si>
  <si>
    <t>Acre 439 Collection</t>
  </si>
  <si>
    <t>b20616259</t>
  </si>
  <si>
    <t>Wright Street, north side, 12th September 1957, Wright Street frontage is 9.5 yards and Mill Street frontage is 14 yards. SAFCOL building stands on the north west corner of Wright Street and Mill Street. It was erected on a vacant site and completed in 1955. For a view of the site in 1897 see B 2957. For a view of the SAFCOL building in 1960 see B 14406. The South Australian Fisherman's Co-operative Limited (SAFCOL) was founded in 1945 by a group of fisherman to sell their catch</t>
  </si>
  <si>
    <t>b20617471</t>
  </si>
  <si>
    <t>Wright Street, south side, 1st August 1957, right side of centre house is 10 1/4 yards east of Chatham Street and frontage is 7 yards.</t>
  </si>
  <si>
    <t>b2061794x</t>
  </si>
  <si>
    <t>Wright Street, south side, 31st December 1957, frontage of the house is 8 3/4 yards. Left side of house abuts west side of Stamford Court. The central building houses a pair of bluestone cottages with bull nosed verandahs. A car is parked outside</t>
  </si>
  <si>
    <t>Acre 482 Collection</t>
  </si>
  <si>
    <t>b20618323</t>
  </si>
  <si>
    <t>King William Street, east side, 25th July 1957. Left side of Adelaide Theosophical Society's building is 35 1/4 yards south of Carrington Street. Frontage: 18 yards.</t>
  </si>
  <si>
    <t>b20618517</t>
  </si>
  <si>
    <t>Surflen Street</t>
  </si>
  <si>
    <t>Surflen Street, east side, 27th December 1957. Left side of building is 33 1/2 yards south of Carrington Street. Frontage: 7 yards. The photograph shows a large lift-up garage door on a flat roof single storey building</t>
  </si>
  <si>
    <t>Acre 487 Collection</t>
  </si>
  <si>
    <t>b20618815</t>
  </si>
  <si>
    <t>Colby Place, East Side</t>
  </si>
  <si>
    <t>Colby Place, east side, 10th October 1957. A map on the back of the photograph shows the position of the cottage. For left side of building see B 13938</t>
  </si>
  <si>
    <t>Acre 490 Collection</t>
  </si>
  <si>
    <t>b20618827</t>
  </si>
  <si>
    <t>Colby Place, east side, 10th October 1957. A rough map on the back of the photograph shows the position of the cottages. For the right side of the building see B 13937</t>
  </si>
  <si>
    <t>b2061987x</t>
  </si>
  <si>
    <t>Hutt Street, east side, December 5th 1957, right side of centre shop (Taubmans)  is 24 3/4 yards north of Halifax Street and frontage is 4.5 yards. The row of shops includes one selling Taubman's paints and Wheelers Electrical Goods</t>
  </si>
  <si>
    <t>b20620093</t>
  </si>
  <si>
    <t>Halifax Street, north side, 9th August 1957, left side of centre house is 48 yards east of Cardwell Street and frontage is 10 3/4 yards. For a view of building after alterations see B 14022</t>
  </si>
  <si>
    <t>Acre 514 Collection</t>
  </si>
  <si>
    <t>b20620251</t>
  </si>
  <si>
    <t>Halifax Street, north side, 12th June 1957, left side of centre house is 70 1/4 yards east of Hurtle Square and frontage is 10 1/4 yards. For a view of the building subsequently erected on this site see B 14023. This building was demolished in 1957</t>
  </si>
  <si>
    <t>Acre 518 Collection</t>
  </si>
  <si>
    <t>b20620317</t>
  </si>
  <si>
    <t>Hurtle Square, east side, 24th October 1957, right side of building is 13 yards north of Pope Street and frontage is 13 yards. The photograph shows a two storey bluestone house with an upper balcony. Tall trees in the street shade the building and three cars are parked in the square outside</t>
  </si>
  <si>
    <t>b20620858</t>
  </si>
  <si>
    <t>Halifax Street, north side, 22nd January 1957, frontage of building on the left is 10 yards. Left side of white building abuts east side of Sydney Place. For a view of this building taken in October 1954 prior to slight alterations, see B 13054</t>
  </si>
  <si>
    <t>b2062153x</t>
  </si>
  <si>
    <t>Sturt Street, north side, 14th March 1957, Sturt Street frontage is 15.5 yards. Left side of Star Printing Works abuts east side of Hobson's Place. This building was completed in 1957. For structures formerly on this site, see B 13080</t>
  </si>
  <si>
    <t>b20621644</t>
  </si>
  <si>
    <t>Sturt Street, north side, 14th March 1957, left side of the building is 33 1/4 yards east of Whitmore Square and the frontage is 10 1/4 yards. Bethune and Giles pumps. See also B 13826</t>
  </si>
  <si>
    <t>b20621966</t>
  </si>
  <si>
    <t>Sturt Street, north side, 9th August 1957, frontage of house is 9 1/4 yards. Left side of house abuts east side of Chatham Street</t>
  </si>
  <si>
    <t>b20622314</t>
  </si>
  <si>
    <t>Little Sturt Street</t>
  </si>
  <si>
    <t>Little Sturt Street, west side, 10 October 1957. Right side of building is 44 1/2 yards south from Sturt Street. Frontage of building is 9 1/2 yards.</t>
  </si>
  <si>
    <t>Acre 548 Collection</t>
  </si>
  <si>
    <t>b20622600</t>
  </si>
  <si>
    <t>Logan Street</t>
  </si>
  <si>
    <t>Logan Street, west side, 14 March 1957, right side of the galvanised iron shed( not the gate)  is 55 1/4 yards south of Sturt Street and frontage is 6 yards, frontage of pair of cottages (behind picket fence)  is 8 3/4 yards.</t>
  </si>
  <si>
    <t>b20622612</t>
  </si>
  <si>
    <t>Logan Street, east side, 25 July 1957, left side of the centre building is 45 yards south of Sturt Street and frontage is 6 yards.</t>
  </si>
  <si>
    <t>b2062282x</t>
  </si>
  <si>
    <t>Sturt Street, south side, 14th March 1957, left side of building is 65.5 yards west of Russell Street and frontage is 6.5 yards. For a view of this building taken in May 1955 prior to the addition of a new front, see B 13208</t>
  </si>
  <si>
    <t>b20623380</t>
  </si>
  <si>
    <t>Halifax Street, south side, 22nd January 1957, right side of the small tiled centre building is 20 1/4 yards east of Symonds Place and frontage is 8.5 yards. The tiled front shown in this view was added to an existing building. Compare with B 13470 taken in August 1955. Frank J Curran Cycle Repairs</t>
  </si>
  <si>
    <t>b20623653</t>
  </si>
  <si>
    <t>Halifax Street, south side, 22nd January 1957, frontage of shop is 21 yards. Right side of Troys building abuts east side of Stephens Street. For a view of this building taken in 1954 see B 13367. TW Troy and Company Wholesale Upholstery and Bedding</t>
  </si>
  <si>
    <t>b20623793</t>
  </si>
  <si>
    <t>Halifax Street, south side, 22nd January 1957, right side of centre group of shops is 12 yards east of Wakeham Street and frontage is 17 yards. For a view of this building taken in February 1956 prior to the addition of the shop fronts, see B 13616. Two of the three shops visible include a snack bar and delicatessen</t>
  </si>
  <si>
    <t>b20624153</t>
  </si>
  <si>
    <t>Halifax Street, south side, 21st February 1957, left side of Monks and Blanks Limited Advertising Contractors building is 53.5 yards west of Hutt Street and frontage is 13 1/4 yards. For a view of this building taken in August 1956 prior to addition of a new front , see B 13701</t>
  </si>
  <si>
    <t>b20624165</t>
  </si>
  <si>
    <t>Halifax Street, south side, 21st February 1957, left side of the centre building is 37 3/4 yards west of Hutt Street, frontage is 12 yards. For a view of this building taken in July 1956 prior to the addition of a new front, see B 13696. For a view taken in 1963 see B 14759</t>
  </si>
  <si>
    <t>b20624220</t>
  </si>
  <si>
    <t>Hutt Street, east side, 3rd October 1957, left side of the centre light coloured building is 15 yards south of Halifax Street and frontage is 11.5 yards. For a photograph of building in course of alteration see B 13089</t>
  </si>
  <si>
    <t>b2062654x</t>
  </si>
  <si>
    <t>Gilbert Street, north side, 1st August 1957, right side of centre building (with initials MAB - Meat Inspection Depot) is 10 yards west of Russell Street and frontage is 10 yards.</t>
  </si>
  <si>
    <t>Acre 611 Collection</t>
  </si>
  <si>
    <t>b20626629</t>
  </si>
  <si>
    <t>Gilbert Street, north side, 5 December 1957, left side of building is 100 yards east of Brown Street and frontage is 18 yards. this building was completed in 1956. For views of buildings previously on this site see B 13048 and B 13047</t>
  </si>
  <si>
    <t>b20627774</t>
  </si>
  <si>
    <t>Brown Street, east side, 1st August 1957, right side of centre home is 19 1/4 yards north of Hamilton Place and frontage is 10 yards. For view of building after alterations see B 14096</t>
  </si>
  <si>
    <t>Acre 631 Collection</t>
  </si>
  <si>
    <t>b2062850x</t>
  </si>
  <si>
    <t>Gilbert Street, South Side</t>
  </si>
  <si>
    <t>Gilbert Street, south side, 5 December 1957. Left side of Melco Engineering building is 36 yards west of King William Street, frontage: 10 yards.</t>
  </si>
  <si>
    <t>b20628687</t>
  </si>
  <si>
    <t>Gilles Street, south side, 27 June 1957. Left side of left hand cottage abuts west side of Osmond Street. Frontage of each cottage is 7 1/4 yards  there is a lane approximately 1 1/2 yards wide between them.</t>
  </si>
  <si>
    <t>b20628699</t>
  </si>
  <si>
    <t>Osmond Street, West Side</t>
  </si>
  <si>
    <t>Osmond Street, west side, 27 June 1957. Right side of the two cottages is 34 1/4 yards south of Gilles Street. Frontage between the 'x' marks is 18 1/2 yards.</t>
  </si>
  <si>
    <t>b20628778</t>
  </si>
  <si>
    <t>Gilles Street, south side, 27 December 1957. Right side of centre cottage is 43 yards east of Dumphries Place  frontage: 10 yards. The lane between this cottage and the cottage on the left is 2 yards. For photo of cottage on the left see B13975. The central building in this photograph is a pair of semi detached single storey cottages</t>
  </si>
  <si>
    <t>Acre 643 Collection</t>
  </si>
  <si>
    <t>b2062878x</t>
  </si>
  <si>
    <t>Gilles Street, south side, 27 December 1957. Right side of centre cottage is 55 yards east of Dumphries Place. Frontage: 10 yards. For view of cottage on the right see B13976. The central building is a single storey bluestone symmetrical house with a verandah and a small front garden</t>
  </si>
  <si>
    <t>b2062931x</t>
  </si>
  <si>
    <t>Hutt Street, east side, 3 October 1957. Left side of service station is 10 1/2 yards south of Gilles Street. Frontage of service station is 24 1/2 yards. Gilles Street frontage of service station allotment is 35 1/2 yards. Total Hutt Street frontage of the allotment is 42 yards. The service station is set back from the Hutt Street alignment. The service station was erected in 1956. For views of former buildings on this site see B13232, B13623, &amp; B13624.</t>
  </si>
  <si>
    <t>b20629692</t>
  </si>
  <si>
    <t>South Terrace east, 5 September 1957. Left side of house is 81 yards east of Vincent Street. Frontage: 18 1/2 yards.</t>
  </si>
  <si>
    <t>Acre 665 Collection</t>
  </si>
  <si>
    <t>b20629795</t>
  </si>
  <si>
    <t>South Terrace east, 5 September 1957. Left side of St.Andrew's Hospital is 54 yards east of Vincent Street. Frontage: 18 yards. St Andrew's Hospital was opened in 1936 as an initiative of Janet Hay, the owner and Director of Nursing. The Presbyterian Church bought the hospital and land in 1947 and renamed it St Andrew's Presbyterian Hospital, but in 1977 after the inaugeration of the Uniting Church the Board of Governors the hospital reverted to its original name of St Andrew's Hospital</t>
  </si>
  <si>
    <t>Acre 666 Collection</t>
  </si>
  <si>
    <t>b20630530</t>
  </si>
  <si>
    <t>Hanson Street, East Side</t>
  </si>
  <si>
    <t>Hanson Street, east side, 22nd January 1957. Right side of right building is about 2 ft. north of South Terrace. Frontage of the two buildings, including the lane between them, is 28 3/4 yards. Photograph shows two sets of semi detached bluestone cottages, all have decorative lace ironwork around the verandahs</t>
  </si>
  <si>
    <t>Acre 676</t>
  </si>
  <si>
    <t>b20631789</t>
  </si>
  <si>
    <t>South Terrace, north side, 21 November 1957, left side of house is 39 yards east of Willcox Street and frontage is 18.5 yards. The large house features twin gables at either end of the front verandah. A picket fence and hedge surround the property</t>
  </si>
  <si>
    <t>Acre 696 Collection</t>
  </si>
  <si>
    <t>b20631911</t>
  </si>
  <si>
    <t>South Terrace, west, 25 July 1957, left side of building is 184 yards east of West Terrace and frontage is 13 1/4 yards. This block of flats (Park Lodge) was completed in 1957. The site was previously occupied by a single storey house which was demolished before a photograph could be obtained</t>
  </si>
  <si>
    <t>Acre 698 Collection</t>
  </si>
  <si>
    <t>b20631923</t>
  </si>
  <si>
    <t>Vinrace Street</t>
  </si>
  <si>
    <t>Vinrace Street, south side, 31 December 1957, east side of Vinrace Street is 145 yards east of West Terrace and frontage is 12 1/4 yards. Right side of the house is 2.5 yards east of the east side of Vinrace Street. A rough sketch on the back of the photograph shows the location of the cottage off South Terrace near West Terrace</t>
  </si>
  <si>
    <t>b20631935</t>
  </si>
  <si>
    <t>Vinrace Street, south side, 31 December 1957, East side of Vinrace Street is 145 yards east of West Terrace and frontage is 12 1/4 yards. Right side of house is 20.25 yards east of Vinrace Street. Frontage is 12.25 yards. House in photograph is shown by cross hatching in rough sketch on the back of the photograph. See B 13978</t>
  </si>
  <si>
    <t>b20635904</t>
  </si>
  <si>
    <t>South east corner of O'Connell and Ward Street, 15th January 1957, Ward Street frontage for Silver and Killcoat Service Station is 33.5 yards and O'Connell Street frontage is 30.5 yards. Compare with B 3730 taken in 1926</t>
  </si>
  <si>
    <t>Acre 738 Collection</t>
  </si>
  <si>
    <t>b20637354</t>
  </si>
  <si>
    <t>Strangways Terrace</t>
  </si>
  <si>
    <t>Strangways Terrace, 22nd August 1957. Right side of cottage is 73 1/2 yards west of Strangways Terrace. Frontage: 10 3/4 yards.</t>
  </si>
  <si>
    <t>Acre 755 Collection</t>
  </si>
  <si>
    <t>b20640511</t>
  </si>
  <si>
    <t>O'Connell Street, east side, 2nd June 1957. North east corner of O'Connell and Clarke Streets. Clarke Street is just visible on the right side of the photograph</t>
  </si>
  <si>
    <t>Acre 832 Collection</t>
  </si>
  <si>
    <t>b20641552</t>
  </si>
  <si>
    <t>O'Connell Street, west side, 15th August 1957, left side of the National Bank of Australasia is 19 3/4 yards north of Tynte Street and frontage is 13.5 yards. For a rear view of this building see B 13892</t>
  </si>
  <si>
    <t>b20641564</t>
  </si>
  <si>
    <t>O'Connell Street, west side, 15th August 1957. This is a rear view of the building shown in B 13891</t>
  </si>
  <si>
    <t>b20641941</t>
  </si>
  <si>
    <t>Gover Street, south side, 15th January 1957, left side of house is approximately 52 1/4 yards west of LeFevre Terrace and frontage is approximately 16 yards.</t>
  </si>
  <si>
    <t>Acre 871 Collection</t>
  </si>
  <si>
    <t>b20642076</t>
  </si>
  <si>
    <t>O'Connell Street, east side, 26th September 1957, frontage of building is 7.5 yards. Right side of building abuts north side of George Street. William Pullen Butcher Shop, established in 1873, is the subject of the photograph. Work is being done to the shop front</t>
  </si>
  <si>
    <t>Acre 876 Collection</t>
  </si>
  <si>
    <t>b20643196</t>
  </si>
  <si>
    <t>Barton Terrace</t>
  </si>
  <si>
    <t>Barton Terrace, south side, 15th January 1957, right side of cottages is 3.5 yards east of O'Connell Street and frontage is 15 1/4 yards. For O'Connell Street frontage of this building see B 13833</t>
  </si>
  <si>
    <t>Acre 918 Collection</t>
  </si>
  <si>
    <t>b20643202</t>
  </si>
  <si>
    <t>O'Connell Street, east side, 15th January 1957, left side of building is 6 yards south of Barton Terrace and frontage is 33.5 yards. For Barton Terrace frontage of this building see B 13832</t>
  </si>
  <si>
    <t>b2064615x</t>
  </si>
  <si>
    <t>Melbourne Street</t>
  </si>
  <si>
    <t>Melbourne Street, north side, 15th August 1957. The left side of the property (see brick wall on extreme left through archway) is 35.5 yards east of New Street and frontage is 34.5 yards. The right hand side of property is on the boundary of Acre 1000</t>
  </si>
  <si>
    <t>Acre 999 Collection</t>
  </si>
  <si>
    <t>b20646392</t>
  </si>
  <si>
    <t>Melbourne Street, north side, 15th August 1957. Sallis' building is on the north east corner of Melbourne Street (right side) and Jerningham Street is on the left side. Frontage of group of shops between points marked with crosses is 24 yards</t>
  </si>
  <si>
    <t>Acre 1003 Collection</t>
  </si>
  <si>
    <t>b20646744</t>
  </si>
  <si>
    <t>Melbourne Street, north side, 15th August 1957, cottage on the left is 1 1/4 yards east of East Pallant Street and frontage is 7 yards. Between the two cottages is a gap of about 1.5 yards, and the frontage of the right cottage is also 7 yards. A verandah was removed from the cottage on the left before a photograph could be made</t>
  </si>
  <si>
    <t>Acre 1010 Collection</t>
  </si>
  <si>
    <t>b20646756</t>
  </si>
  <si>
    <t>Melbourne Street, north side, 22nd August 1957, right side of centre building (shop and doorway behind) is 45 yards west of Mann Terrace and frontage is 7 1/4 yards.</t>
  </si>
  <si>
    <t>b20646987</t>
  </si>
  <si>
    <t>Sussex Street, north side, 26th September 1957, left side of building is 95.5 yards east from West Pallant Street and frontage is 8 yards. Two whitewashed semi detached cottages</t>
  </si>
  <si>
    <t>Acre 1014 Collection</t>
  </si>
  <si>
    <t>b20298432</t>
  </si>
  <si>
    <t>Colonel E. T. Dean</t>
  </si>
  <si>
    <t>Photograph (b&amp;w print)   18 cm x 12.8 cm;C1</t>
  </si>
  <si>
    <t>Colonel E. T. Dean and Mrs G. J. Dean of Moculta.</t>
  </si>
  <si>
    <t>Dean, E. T. (Edwin Theyer), 1884-1970;Dean, Gladys Jean, 1890-1962</t>
  </si>
  <si>
    <t>b20772956</t>
  </si>
  <si>
    <t>Colonel and Mrs E.T. Dean</t>
  </si>
  <si>
    <t>PORTRAIT:  Colonel and Mrs E.T. Dean.</t>
  </si>
  <si>
    <t>Dean, E. T. (Edwin Theyer), 1884-1970;Dean, Gladys Jean, 1890-1962;Military uniforms</t>
  </si>
  <si>
    <t>b2022333x</t>
  </si>
  <si>
    <t>Flagstaff Hotel, Darlington</t>
  </si>
  <si>
    <t>Flagstaff Hotel, South Road, Darlington, June 28, 1958. Showing a view from the south. for others views see B 14093 and B 14094. For view of building previously on this site see B 5491. This hotel existed from 1844</t>
  </si>
  <si>
    <t>Flagstaff Hotel (Darlington, S.A.);Hotels -- South Australia -- Darlington</t>
  </si>
  <si>
    <t>Darlington Collection</t>
  </si>
  <si>
    <t>b20223341</t>
  </si>
  <si>
    <t>Flagstaff Hotel, South Road, Darlington. June 28, 1958. Showing the view from the north. For other views see B 14092 amd B 14094. For view of building previously on this site see B 5491. The hotel existed since 1844</t>
  </si>
  <si>
    <t>b20223353</t>
  </si>
  <si>
    <t>Flagstaff Hotel, South Road Darlington. June 28, 1958. Showing a view from the west. For other views see B 14092 and B 14093. For a view of building previously on this site see B 5491. This hotel existed from 1844</t>
  </si>
  <si>
    <t>b20508189</t>
  </si>
  <si>
    <t>Municipal Tramways Trust: Sign</t>
  </si>
  <si>
    <t>Municipal Tramways Trust: a Signalman's cabin, North-West corner of North Terrace and King William Street, 18 August 1958. For a view of the cabin previously on this corner and slightly south of the present one see B 7695</t>
  </si>
  <si>
    <t>Municipal Tramways Trust (Adelaide, S.A.);Signals and signaling -- South Australia -- Adelaide</t>
  </si>
  <si>
    <t>b20517439</t>
  </si>
  <si>
    <t>S.A. Tourist Bureau</t>
  </si>
  <si>
    <t>Arrival of Queen Elizabeth the Queen Mother</t>
  </si>
  <si>
    <t>Accompanied by her private secretary Lieut. Colonel Martin Gilliat and equerry Major John  Griffin, Queen Elizabeth the Queen Mother walks across the tarmac at Adelaide Airport to inspect the Guard of Honour.</t>
  </si>
  <si>
    <t>Elizabeth, Queen, consort of George VI, King of Great Britain, 1900-2002 -- Journeys -- South Australia;Royal visitors -- South Australia -- Adelaide;Visits of state -- South Australia -- Adelaide</t>
  </si>
  <si>
    <t>Reserve Collection</t>
  </si>
  <si>
    <t>b20517464</t>
  </si>
  <si>
    <t>Royal Visit</t>
  </si>
  <si>
    <t>Photograph  15.5 cm 11 cm</t>
  </si>
  <si>
    <t>Queen Elizabeth the Queen Mother leaving the airport for the city.</t>
  </si>
  <si>
    <t>Elizabeth, Queen, consort of George VI, King of Great Britain, 1900-2002 -- Journeys -- South Australia;Visits of state -- South Australia -- Adelaide;Royal visitors -- South Australia -- Adelaide</t>
  </si>
  <si>
    <t>b20518377</t>
  </si>
  <si>
    <t>QANTAS Super Constellation (VH-EAA) and R.A.A.F. Guard of Honour at Adelaide Airport, 6 March 1958</t>
  </si>
  <si>
    <t>QANTAS Super Constellation (VH-EAA) and R.A.A.F. Guard of Honour stand on the tarmac at Adelaide Airport prior to the departure of H.M. Queen Elizabeth,the Queen Mother, 6 March 1958.</t>
  </si>
  <si>
    <t>b20544649</t>
  </si>
  <si>
    <t>North Terrace, 26 September 1958. Left side of house under demolition is 30 yards west of Market Street: frontage is 13 and a half yards. The site is next to the Newmarket Hotel</t>
  </si>
  <si>
    <t>b20544790</t>
  </si>
  <si>
    <t>North Terrace west, 6 February 1958. Left side of building abuts west side of Newmarket Street. Frontage of the building is 28 yards. Photograph shows a row of five double storey cottages</t>
  </si>
  <si>
    <t>b20544911</t>
  </si>
  <si>
    <t>Liverpool Street, west side. 12 December 1958. Eastern frontage of Kodak's building  the corner at the right of this photograph is the western corner of North Terrace &amp; Liverpool St. where the frontage is 32 and three quarter yards. For North Terrace frontage see B 14196. For a view of structures previously on this site see B 13481. The building was completed in 1956</t>
  </si>
  <si>
    <t>b20544923</t>
  </si>
  <si>
    <t>Kodak Building, North Terrace</t>
  </si>
  <si>
    <t>North Terrace, 12 December 1958. Left side of Kodak's building abuts Liverpool St., frontage of building is 30 yards. For Liverpool Street frontage see B 14195. For a view of structures previously on this site see B 13481. The present building was completed in 1956</t>
  </si>
  <si>
    <t>b20549155</t>
  </si>
  <si>
    <t>North Terrace east, 14 January 1958. Right side of Brown and Pearce building abuts Austin Street. Frontage of building is 10 yards. Building in the course of demolition</t>
  </si>
  <si>
    <t>b20550704</t>
  </si>
  <si>
    <t>Rundle Street, north side, 26 November 1958. Right side of dark coloured building is 19.75 yards west of East Terrace. Frontage of building is 11.5 yards. For view of building prior to remodelling see B 13613 . Building was rebuilt in 1956. The ground floor houses a fishing tackle shop while the first floor contains the offices of  EW Watkinson - Builders, Pine Ridge Packing and Eastern Exporters</t>
  </si>
  <si>
    <t>b20552129</t>
  </si>
  <si>
    <t>Rundle Street, north side, March 20, 1958. Right side of No. 142 is 62 2/3 yards west of Pulteney Street. Frontage of building is 7 1/3 yards. For a view of building in 1923 see B 1278. For a view of building after alterations see B 14186. The signage on the shop says "Manchester House. The Home of the Glory Box Club"</t>
  </si>
  <si>
    <t>Acre 39 Collection</t>
  </si>
  <si>
    <t>b20552130</t>
  </si>
  <si>
    <t>Pulteney Street, west side, frontage of shops is 33 yards. Left side of the block of shops abuts Rundle Street. For a view of shops on right see B 14160</t>
  </si>
  <si>
    <t>b20552142</t>
  </si>
  <si>
    <t>Pulteney Street, west side, frontage of shop is 4 3/4 yards. Right side of shop abuts Porters Lane. For a view of shops on left see B 14159</t>
  </si>
  <si>
    <t>b20552154</t>
  </si>
  <si>
    <t>Rundle Street, north side, November 26th 1958, right side of the chemist is 62 3/4 yards west of Pulteney Street and frontage is 2.5 yards. Frontage of Manchester House is 4.75 yards. For a view of this site prior to rebuilding see B 14045. The building was remodelled in 1958</t>
  </si>
  <si>
    <t>b20552464</t>
  </si>
  <si>
    <t>Rundle Street, north side 25 July 1958. Right side of William Kuhnels is 79 yds west of Pulteney Street. Frontage: 9-1/2 yards. For a view of the rear of the building see B 14122. Kuhnel's Piano Emporium imported the finest pianos and organs and was founded by William Kuhnel's father George Kuhnel who died in 1902. William died in 1916 aged 54. The Piano Warehouse was started in 1866</t>
  </si>
  <si>
    <t>b20552476</t>
  </si>
  <si>
    <t>Austin Street 25 July 1958. Rear view of Kuhnels. Frontage: 9-1/2 yards. Kuhnel's Piano Emporium imported the finest pianos and organs and was founded by William Kuhnel's father George Kuhnel who died in 1902. William died in 1916 aged 54. The Piano Warehouse was started in 1866. See also B 14121</t>
  </si>
  <si>
    <t>b20557383</t>
  </si>
  <si>
    <t>Hindley Street, north side, 22 December 1958. Right side of James Smith's building (drapers and clothiers) is 7 yards west of Bank Street, frontage 15-1/2 yards. For a view of building prior to remodelling see B 12975. This frontage was completed in 1954</t>
  </si>
  <si>
    <t>b20557747</t>
  </si>
  <si>
    <t>Hindley Street, north side, 3 December 1958, right side of Macrow's (Everybody's Furnishers Store, established in 1884)  building abuts Blyth Street and frontage is 22 yards. A large clock hangs on the side of the Macrows building, along with patriotic flags</t>
  </si>
  <si>
    <t>b20558028</t>
  </si>
  <si>
    <t>Hindley Street, north side, 4 September 1958, right side of Howells building (number 100) is 21 2/3 yards west of Victoria Street and frontage is 6 2/3 yards. Frontage of Star Centre - Malvern Star Cycles (number 102) is 7 yards. For a view of building in 1952 see B 12486. For a view of building after alteration see B 14199</t>
  </si>
  <si>
    <t>b2055803x</t>
  </si>
  <si>
    <t>Hindley Street, north side, 22 December 1958, right side of Malvern Star Store (radio and television) is 21 2/3 yards west of Victoria Street and frontage is 6 2/3 yards. The building was altered in late 1958. For view of building prior ro alteration see B 14161</t>
  </si>
  <si>
    <t>b2055834x</t>
  </si>
  <si>
    <t>Hindley Street, north side, 22 December 1958, left side of the Fun Parlour is 31.5 yards east of Morphett Street and frontage is 5 3/4 yards. Frontage of the Pacific Bar (night club, restaurant, coffee lounge) is 7.75 yards</t>
  </si>
  <si>
    <t>b20558521</t>
  </si>
  <si>
    <t>Hindley Street, north side, 22 December 1958, right side of the four shops  marked  (between the "x" and "x") is 46 yards west of Morphett Street and frontage is 23.5 yards.</t>
  </si>
  <si>
    <t>b20558879</t>
  </si>
  <si>
    <t>Hindley Street, north side, 18 August 1958. Frontage of grocer shop and building on the right is 34 yards (from "x" to "x" on the photograph) Left side of grocer shop abuts Gray Street, east side. Gray Street frontage is 19.25 yards. for a view of building in 1929 see B 5165</t>
  </si>
  <si>
    <t>Acre 60 Collection</t>
  </si>
  <si>
    <t>b20559008</t>
  </si>
  <si>
    <t>West Terrace, 19 August 1958, frontage of building is 20 2/3 yards. Right side of timber frame abuts Rose Street, north side</t>
  </si>
  <si>
    <t>b20559057</t>
  </si>
  <si>
    <t>Hindley Street, south side, 1 August 1958, far left of building is 70 yards east of West Terrace. For West Terrace view of the site see B 14152. Shown is a red brick building, half is two storey, half is single storey</t>
  </si>
  <si>
    <t>Acre 63 Collection</t>
  </si>
  <si>
    <t>b20559069</t>
  </si>
  <si>
    <t>West Terrace, 1 August 1958. The right side of the building shown on the right of the photograph abuts Philip Street, north side. Left side of site, just off the photograph abuts Hindley Street, south side. For Hindley Street view see B 14151</t>
  </si>
  <si>
    <t>b20559665</t>
  </si>
  <si>
    <t>Hindley Street, south side, December 22nd 1958. Left side of the light coloured building on the right of the photograph is 78 yards west of Morphett Street and frontage is 8.5 yards. For a view of these buildings in 1958 see B 12837. The shops include the following: Butchers, The Casbah Night Club and Davis Vacuum Service</t>
  </si>
  <si>
    <t>Acre 69 Collection</t>
  </si>
  <si>
    <t>b20561805</t>
  </si>
  <si>
    <t>King William Street, west side, December 12th 1958, right side of the Industrial Building (extreme right of photograph) is 33 yards south of Hindley Street and frontage is 19 yards. For a view of building in 1924 see B 2037. Some of the businesses in Industrial Building include: Potter seedsman, Continental Food Store, Art Floor Coverings Limited, Bridgema Jeweller and Watchmaker, Jack Dale Financier and Vaughan Boulter Solicitors. A man is crossing the street facing the camera</t>
  </si>
  <si>
    <t>b20564843</t>
  </si>
  <si>
    <t>Rundle Street, south side. 28 August 1958. Left side of Roger David Men's Wear is 7 3/4 yards west of Francis Street. Frontage is 5 1/2 yards.</t>
  </si>
  <si>
    <t>b20567790</t>
  </si>
  <si>
    <t>Rundle Street, south side, August 21st 1958, left side of shops is 20 yards west of Bent Street and frontage is 9 yards. A sign above the the door states "Academy of Dramatic Art  - radio, television, stage acting, voice production". Tuckers Electrical Appliances is located on the ground floor</t>
  </si>
  <si>
    <t>b20568307</t>
  </si>
  <si>
    <t>Rundle Street, south side, November 26th 1958, frontage of building is 26.5 yards. Left side of building abuts Ebenezer Place, west side. For a view of building prior to alterations see B 12812</t>
  </si>
  <si>
    <t>b20570016</t>
  </si>
  <si>
    <t>Gawler Place, east side, 3rd April 1958. The right side of the Hairdresser and Tobacconist's building is 47 yards north of Grenfell Street  frontage: 4 1/2 yards. A branch of the Bank of Adelaide is situated to the left</t>
  </si>
  <si>
    <t>b20571264</t>
  </si>
  <si>
    <t>Grenfell Street, north side, April 10th 1958, right side of Rigby's is 26.5 yards west of James Place and frontage is 8.5 yards. For a view taken in 1932 see B 6204. Rigbys was established in 1859 and sells books and stationery. The shop is situated between the Bank of New South Wales and an Insurance Company</t>
  </si>
  <si>
    <t>b20575257</t>
  </si>
  <si>
    <t>Currie Street, south side, August 18th 1958, frontage of building is 30 yards. Right side of building abuts Topham Street, east side. For a clearer view taken in 1954 see B 12946</t>
  </si>
  <si>
    <t>b20575269</t>
  </si>
  <si>
    <t>Topham Street</t>
  </si>
  <si>
    <t>Topham Street, east side, August 18th 1958, frontage of building is 35 yards. Left side of building faces Currie Street. For Currie Street frontage see B 12946 and B 14137. The building on the corner of Topham Street and Currie Street is called Currie House</t>
  </si>
  <si>
    <t>b20577035</t>
  </si>
  <si>
    <t>Grenfell Street, south side, January 23rd 1958, left side of Murray House is 32 yards west of Chesser Street and frontage is 10 yards. Building was finished in 1956. For a view of building previously on this site see B 13014</t>
  </si>
  <si>
    <t>b20577679</t>
  </si>
  <si>
    <t>Hyde Street, west side, October 16th 1958. Right side of dark shed on right (marked "x" on the photograph) is 38 yards south of Currie Street. Frontage of shed and light coloured building is 42.5 yards. These building face the western side of Hindmarsh Square. The centre building with scaffolding houses Taylors Marine which sells fishing tackle and boat fittings</t>
  </si>
  <si>
    <t>Acre 147 Collection</t>
  </si>
  <si>
    <t>b2057809x</t>
  </si>
  <si>
    <t>Grenfell Street, south side, July 25th 1958, Harris Scarfe. Left side of Grenfell Electric abuts Ackland Street, west side. Frontage of Grenfell Electric and white fronted buildings to mark "x" on photograph is 55. 66 yards. Harris Scarfe was founded in 1849 by partners travelling on the "Candahar" to Adelaide</t>
  </si>
  <si>
    <t>Acre 151 Collection</t>
  </si>
  <si>
    <t>b20579366</t>
  </si>
  <si>
    <t>Chesser Street, east side, June 19th 1958, right side of Tobacco Company is 33 1/3 yards north of Pirie Street and frontage is 11 2/3 yards. For a view of building in 1930 see B 5741 and in 1959 see B 25148. This building was erected in 1929</t>
  </si>
  <si>
    <t>b20581452</t>
  </si>
  <si>
    <t>King William Street, west side, April 10th 1958, left side of City Mutual Life building is 24 yards north of Waymouth Street and frontage is 6 2/3 yards. For a view of building in 1926 see B 3270. City of Mutual Life Building has the Printers and Stationers firm of Scrymour and Sons to the left</t>
  </si>
  <si>
    <t>b20582341</t>
  </si>
  <si>
    <t>Waymouth Street, north side, July 3rd 1958. Left side of Number 134 is 17 yards east of Light Square. Frontage is 14.3 yards. For a view of Number 134 taken in 1960 see B 14298. Next door to Number 134 stands WH Butler and Company. McPhersons Limited stands on the other side of Number 134</t>
  </si>
  <si>
    <t>b20582869</t>
  </si>
  <si>
    <t>Waymouth Street, north side, March 13th 1958, frontage of shops is 13 1/3 yards. Right side of Continental Grocery abuts Victoria Place, west side. Victoria Place frontage of cement section of shops is 13 3/4 yards. For a view of shops in 1934 see B 6388. Next to Sam Sav vas Continental Grocery stands P Ganeo Butchers Shop</t>
  </si>
  <si>
    <t>b20582870</t>
  </si>
  <si>
    <t>Victoria Place</t>
  </si>
  <si>
    <t>Victoria Place, west side, March 13th 1958, left side of sheds is 13 1/4 yards north of Waymouth Street and frontage is 13 3/4 yards.</t>
  </si>
  <si>
    <t>b20582882</t>
  </si>
  <si>
    <t>Albert Street, south side, March 13th 1958. Left side of shed on left (marked x) is on Victoria Place, west side, and is 27.5 yards north of Waymouth Street. Albert Street frontage of sheds and gate (from + to 0) is 13.75 yards. Victoria Place frontage (from x to +) is 3.5 yards</t>
  </si>
  <si>
    <t>b20583126</t>
  </si>
  <si>
    <t>West Terrace, 15 May 1958, left side of two storey building is 20 yards south of Waymouth Street and frontage of the two storey building is 10 1/4 yards. Frontage of centre light coloured house is 10 yards. For a view in 1952 see B 12508. For a view of the light coloured house after alteration see B 14174</t>
  </si>
  <si>
    <t>b20583138</t>
  </si>
  <si>
    <t>West Terrace, 22 October 1958, left side of building is 30 yards south of Waymouth Street and frontage is 10 yards. For a view of building before alteration see B 14076. Alterations were completed in 1958. New windows have been built across the front of the building in place of the verandah. Venetian blinds have been installed to keep out the heat from the western sun</t>
  </si>
  <si>
    <t>b20588240</t>
  </si>
  <si>
    <t>Pirie Street, south side, July 25th 1958. Right side of gate on right is 64.75 yards east of Pulteney Street. Frontage of Number 179 including gate is 10.75 yards. Frontage of Number 181 is 9.33 yards. Number 181 is B &amp; D Fraser Motor Cycle Sales and Service. Number 179 is Victoria Car Services and Accessories</t>
  </si>
  <si>
    <t>b2058829x</t>
  </si>
  <si>
    <t>Pirie Street, south side, July 17th 1958, left side of white fronted building is 64 yards west of Ackland Street and frontage is 34 1/3 yards. The building is fenced by a shabby galvanised iron fence and a telephone box stands outside on the footpath</t>
  </si>
  <si>
    <t>Acre 212 Collection</t>
  </si>
  <si>
    <t>b20588690</t>
  </si>
  <si>
    <t>Pirie Street, south side, February 6th 1958, left side of car lot is 70 3/4 yards west of East Terrace and frontage is 32.5 yards. For a view of the site in 1956 see B 13728. A rough sketch on the back of the photograph shows the location of this site</t>
  </si>
  <si>
    <t>b2058877x</t>
  </si>
  <si>
    <t>Pirie Street, south side, 6 February 1958, left side of John Dickinson Stationery Company is 120. 5 yards west of Hutt Street and frontage is 11 3/4 yards. The building was erected in 1955. For a view of building previously on this site see B 13027</t>
  </si>
  <si>
    <t>b20590684</t>
  </si>
  <si>
    <t>Flinders Street, north side, 10 April 1958, Earl of Zetland Hotel, frontage of hotel is 37 yards. Left side of the hotel abuts Gawler Place, east side. Frontage of hotel on Flinders Street is 37 yards. For Gawler Place frontage see B 14059. For a view of part of the hotel on right c. 1890 see B 3329.  The Earl of Zetland hotel existed from 1870 to 1984</t>
  </si>
  <si>
    <t>b20590696</t>
  </si>
  <si>
    <t>North-East corner of Gawler Place and Flinders Street, 10 April 1958, The Earl of Zetland Hotel. Gawler Place frontage is 44 yards. For view of Flinders Street frontage see B 14058. For view of hotel in 1956 see B 13810</t>
  </si>
  <si>
    <t>b20594811</t>
  </si>
  <si>
    <t>Franklin Street, north side, 3 December 1958. Right side of the semi detached houses abuts Elizabeth Street, west side. Frontage: 12 yards  Elizabeth Street frontage: 18 and two third yards.</t>
  </si>
  <si>
    <t>b20595578</t>
  </si>
  <si>
    <t>Franklin Street, south side 27th February 1958. Left side of car yard is 42 yards west of Morney Street. Frontage of the yard and house is 33 yards. For a view of building on left see B 14028. For a view of frontage in 1940 see B 9562. For a view of building afterwards erected on this site see B 14172</t>
  </si>
  <si>
    <t>b2059558x</t>
  </si>
  <si>
    <t>Trennery Court</t>
  </si>
  <si>
    <t>Trennery Court, west side, 8th May 1958. The right side of cement brick building is 37 and one third yards south of Franklin Street. Frontage: 34 yards. For a view of building formerly on this site see B 13214.</t>
  </si>
  <si>
    <t>b20595591</t>
  </si>
  <si>
    <t>Trennery Court, east side, 8th May, 1958. Left side of centre cottages is 52 and a half yards south of Franklin Street. Frontage of the four demi detached cottages is 18 and two third yards. The lane on the left of cottages has a frontage of 3 yards. Three cottages on left of lane were demolished before this picture was taken, their frontage: 13 &amp; half yards.</t>
  </si>
  <si>
    <t>b20595608</t>
  </si>
  <si>
    <t>Franklin Street, south side, 22n d OCtober 1958. Right side of Commercial Vehicles building is 16 and three quarter yards east of Trenerry Court, showroom frontage: 35 and a quarter yards. Frontage of the lighter two storey building is 16.5 yards.  Left side of 2 storey building (marked by "x" on photograph) is 25 and two third yards west of Morney Street. Buildings remodelled in 1958. For views of buildings prior to alteration see B 14028 and B 14029</t>
  </si>
  <si>
    <t>b2059575x</t>
  </si>
  <si>
    <t>Franklin Street, south side 27th February 1958. Left side of building is 25 and two third yards west of Morney Street. Frontage: 16 and a half yards. For a view of yard on right see B 14029. For a view of building in 1942 see B 10896. For a view of building after remodelling see B 14172</t>
  </si>
  <si>
    <t>b20595773</t>
  </si>
  <si>
    <t>Byron Place, east side 8 May 1958. Right side of the single storey cottages  is 72 and a half yards north of Grote Street. Frontage is 12 yards.</t>
  </si>
  <si>
    <t>Acre 258 Collection</t>
  </si>
  <si>
    <t>b20595785</t>
  </si>
  <si>
    <t>Byron Place, east side, 8 May 1958. The left side of the house under demolition is 84 and a half yards north of Grote Street.</t>
  </si>
  <si>
    <t>b2059589x</t>
  </si>
  <si>
    <t>Morphett Street, west side, 13 March 1958. Right side of the two storey derelict building is 22 and three quarter yards south of Franklin Street. Frontage: 12 yards. For a view of this building in 1930 see B 5732</t>
  </si>
  <si>
    <t>b20599286</t>
  </si>
  <si>
    <t>Wakefield Street, north side, 23 January 1958, left side of cottages is 20 yards, frontage is 16 yards. Photograph shows two semi detached cottages in  leafy Wakefield Street</t>
  </si>
  <si>
    <t>b20599298</t>
  </si>
  <si>
    <t>Wakefield Street, north side, 1 August 1958, left side of cottages is 20 yards, frontage of cottages is 16 yards. For details of this site see another view taken in January 1958 B 14001. Two men are sweeping the street</t>
  </si>
  <si>
    <t>b20599481</t>
  </si>
  <si>
    <t>Wakefield Street, north side, 20 January 1958, the glass fronted 2 storey building on the extreme right is 49 yards east of Daly Street, frontage of building is 14 yards. Building was finished in 1956. For a view of building previously on this site see B 8184 and B 7219</t>
  </si>
  <si>
    <t>b20599894</t>
  </si>
  <si>
    <t>Wakefield Street, north side, July 3rd 1958, right side of house is 6 1/3 yards west of Ackland Street, frontage is 17 yards. A two storey house with a porch and prominent quoins around the windows and doorways</t>
  </si>
  <si>
    <t>b20602170</t>
  </si>
  <si>
    <t>Morphett Street, east side, 27 February 1958. Right side of the light coloured building (Kenneth Wright used cards) on left is 20 yards north of Andrew Street. Frontage of building is 10 1/2 yards.For view of Number 226 in 1926 see B 3230. For another view see B 14163</t>
  </si>
  <si>
    <t>b20602182</t>
  </si>
  <si>
    <t>Morphett Street, east side, 26 September 1958. Right side of no.228 abuts Andrew Street, north side. Frontage of the three garages is 30 yards. For another view see B14030. Two buildings of Kenneth Wright Car Service Division as well as a Used Car Exchange are shown in this photograph</t>
  </si>
  <si>
    <t>b20602649</t>
  </si>
  <si>
    <t>Grote Street, north side, 25 July 1958. Left side of house abuts Ruthven Avenue, east side. Frontage on Grote Street: 10 yards, frontage on Ruthven Avenue: 14 2/3 yards. The bluestone cottage has the front door at the side of the building</t>
  </si>
  <si>
    <t>Acre 317 Collection</t>
  </si>
  <si>
    <t>b20602911</t>
  </si>
  <si>
    <t>Grote Street, south side, 17 October 1958, Post Master General Garage and Workshop, frontage of allotment is 83 3/4 yards, the western boundary is 121 3/4 yards east of West Terrace. See also B 14190</t>
  </si>
  <si>
    <t>Acre 322 Collection;Acre 323 Collection</t>
  </si>
  <si>
    <t>b20603071</t>
  </si>
  <si>
    <t>Grote Street, south side, 4 April 1958, left side of row of houses is 4.5 yards west of Storr Street, frontage of houses is 14.5 yards.</t>
  </si>
  <si>
    <t>b20605833</t>
  </si>
  <si>
    <t>Wakefield Street, south side, 3 April 1958. Left side of the modern  building on left (marked x on photograph) is 61 3/4 yards west of Chancery Lane, frontage of building (from x to xx) is 13 3/4 yards, frontage of Willard Hall (from xx to *) is 19 1/4 yards. For views before alterations see B 13487 and B 13723. Alterations were completed in 1958. Willard Hall was previously St Andrew's Presbyterian Church and is near Gawler Place</t>
  </si>
  <si>
    <t>b20607556</t>
  </si>
  <si>
    <t>Wakefield Street, south side, 3 April 1958, left side of Haussen and Co's building is 11 1/4 yards west of Robert Street, frontage of building is 19 yards. For view of building before alterations see B 13061. Alterations were completed in 1955</t>
  </si>
  <si>
    <t>b20607957</t>
  </si>
  <si>
    <t>Wakefield Street, south side, 19 November 1958. Right side of house is 56 3/4 yards east of Hutt Street. Frontage: 11 yards. The single storey house has a large bay window on the eastern side</t>
  </si>
  <si>
    <t>b2060967x</t>
  </si>
  <si>
    <t>Gouger Street, north side, 13 March 1958, left side of Central Provision Store is 48 3/4 yards east of Market Eastern Roadway, frontage of shop is 12 yards. This shop is flanked by James Black Shoes and Grahams Jewellers. The corner of the Moores Building can be seen on the extreme right</t>
  </si>
  <si>
    <t>Acre 379 Collection</t>
  </si>
  <si>
    <t>b20609917</t>
  </si>
  <si>
    <t>Gouger Street, north side, 17 July 1958, left side of the shop is 18 yards east of Moonta Street and frontage of two shops is 12 yards. The row of shops includes a milk bar and Trims the Butchers. The two storey building has a verandah reaching over the footpath and a white railing along the front of the joined balconies</t>
  </si>
  <si>
    <t>Acre 381 Collection;Acre 382 Collection</t>
  </si>
  <si>
    <t>b20610026</t>
  </si>
  <si>
    <t>Gouger Street, north side, September 26th 1958, left side of the shops is 35 2/3 yards east of Whitcombe Street and frontage is 18.5 yards. The shops shown include Embassy Tea Rooms and Delicatessen, Butchers Shop, Night Spot Cafe, Chic's Hairdressers, Invisible Mending and Dry Cleaning Company. This row of shops have signs on them stating that the businesses will be open tomorrow - eg September 27th, 1958</t>
  </si>
  <si>
    <t>b20610208</t>
  </si>
  <si>
    <t>Brown Street, east side, 8 May 1958, right side of centre shops is 40 3/4 yards north of Gouger Street, frontage of shop is 10 1/4 yards. For a view of building before alterations see B 14016. Alterations were completed in 1958</t>
  </si>
  <si>
    <t>Acre 384 Collection</t>
  </si>
  <si>
    <t>b2061021x</t>
  </si>
  <si>
    <t>Brown Street, east side, 20 January 1958, right side of house is 40 yards north of Gouger Street, the frontage is 10 yards. Remodelled in 1958. For a view of building after alterations see B 14067</t>
  </si>
  <si>
    <t>b20611286</t>
  </si>
  <si>
    <t>Gouger Street, south side, February 27th 1958, right side of house is 19 yards east of Claxton Street and frontage is 9 1/4 yards. For a view of cottage in 1930 see B 5710</t>
  </si>
  <si>
    <t>Acre 397 Collection</t>
  </si>
  <si>
    <t>b20611493</t>
  </si>
  <si>
    <t>Gouger Street, south side, March 13th 1958, left side of white cottage is 10 yards west of Bartels Street and frontage is 7 yards. For a view of cottage in 1926 see B 3617</t>
  </si>
  <si>
    <t>b20611559</t>
  </si>
  <si>
    <t>Brown Street, east side, July 25th 1958, frontage of cottages is 15 yards. Left side of cottages abuts Thomas Street, south side. Two men can be seen outside the single storey cottages</t>
  </si>
  <si>
    <t>b20611560</t>
  </si>
  <si>
    <t>Thomas Street</t>
  </si>
  <si>
    <t>Thomas Street, south side, July 25th 1958, right side of cottage faces Brown Street and Thomas Street frontage is 13 3/4 yards.</t>
  </si>
  <si>
    <t>b20612023</t>
  </si>
  <si>
    <t>Gouger Street, south side, July 25th 1958, right side of Bowleys (furniture) is 11 yards east of Compton Street and frontage is 16 yards, frontage of Lawrences(tobacconist)  is 4 2/3 yards. The Bank of New South Wales building stands to the west of Bowleys</t>
  </si>
  <si>
    <t>b20612254</t>
  </si>
  <si>
    <t>Gouger Street, south side, March 20th 1958, frontage of two shops is 11.5 yards and Coglin Street frontage is 37 yards.Left side of shops abuts west side of Coglin Street. For a view of shops on right see B 14043. The photograph shows Roman's Meat Shop on corner and a hairdressing saloon on the right</t>
  </si>
  <si>
    <t>b20612266</t>
  </si>
  <si>
    <t>Gouger Street, south side, March 20th 1958, left side of shop is 11.5 yards west of Coglin Street and frontage of three shops is 20 yards. For a view of shops on left see B 14042. Shops to be seen include Gouger Electrical, Haslegroves Hardware and Motor Cycle Shop</t>
  </si>
  <si>
    <t>b2061309x</t>
  </si>
  <si>
    <t>Nelson Street</t>
  </si>
  <si>
    <t>Nelson Street, east side, 21 May 1958, frontage of centre building is 88 3/4 yards. For Angas Street frontage see B 14080. For a view of buildings on right see B 14078</t>
  </si>
  <si>
    <t>Acre 410 Collection;Acre 451 Collection</t>
  </si>
  <si>
    <t>b20613106</t>
  </si>
  <si>
    <t>Angas Street, south side, 21 May 1958, frontage is 24 yards. Right side of Co-op Store abuts Nelson Street, east side. For Nelson Street frontage see B 14078 and  B 14079. Frontage is 24 yards. For a view taken in 1928 see B 4850. This ornate building has battlement features around the parapet over the third floor. This floor has pairs of arched windows. The sign on the building says "Adelaide Co-operative Society Limited"</t>
  </si>
  <si>
    <t>Acre 410 Collection</t>
  </si>
  <si>
    <t>b20613325</t>
  </si>
  <si>
    <t>Angas Street, south side, May 21st 1958, right side of Adelaide Co-operative Service Garage is 81.5 yards east of Nelson Street and frontage is 10 1/4 yards. For a view in 1922 see B 1161</t>
  </si>
  <si>
    <t>b20614913</t>
  </si>
  <si>
    <t>Carrington Street, north side, 13 March 1958. Left side of building is 31 yards east of Ehmcke's Lane. Frontage: 39 yards. For a view in 1952 see B 12489. Sign outside says "Fricker Brothers Limited. Building materials for sale"</t>
  </si>
  <si>
    <t>b2061505x</t>
  </si>
  <si>
    <t>Hutt Street, east side, 8 April 1958. Right side of houses marked "x" is 9 yards north of Carrington Street. Frontage of houses is 61 yards. There are possibly six cottages in this row</t>
  </si>
  <si>
    <t>Acre 436 Collection</t>
  </si>
  <si>
    <t>b20615863</t>
  </si>
  <si>
    <t>Carrington Street, north side, April 24th 1958, left side of Regent Motors is 17 yards east of Nelson Street and frontage is 15 yards, frontage of shed is approximately 7 1/4 yards. For a view taken in 1952 see B 12495. The entrance to Regent Motors Cars (new and old) is behind a brush fence</t>
  </si>
  <si>
    <t>b20615875</t>
  </si>
  <si>
    <t>Nelson Street, east side, May 21st 1958, frontage of building shown between marked x's is 23.5 yards. For a view of buildings on left see B 14079. These Acres run between Angas Street and Carrington Street</t>
  </si>
  <si>
    <t>b20616004</t>
  </si>
  <si>
    <t>King William Street, east side, May 1st 1958, right side of California Cafe is 30 yards north of Carrington Street and frontage is 6 2/3 yards. For a view of the Cafe in 1952 see B 12432</t>
  </si>
  <si>
    <t>b20616119</t>
  </si>
  <si>
    <t>Wright Street, north side, February 6th 1958, frontage of the building is 8 yards. Right side of building abuts Pinkmore Place. For a photograph of building before alterations see B 13151</t>
  </si>
  <si>
    <t>b20616260</t>
  </si>
  <si>
    <t>Wright Street, north side, August 7th 1958, left side of the SeaPak building faces Mill Street, Mill Street frontage is 27 1/3 yards and Wright Street frontage is 7 yards.</t>
  </si>
  <si>
    <t>b20616417</t>
  </si>
  <si>
    <t>Wright Street, north side, February 6th 1958, right side of shop is 11 3/4 yards west of Coglin Street and frontage is 10 yards. Alterations finished in the 1950s. For a view of building before alterations see B 13209. A sign on the front of the building says "Tiny Tots Nursery - Children Cared for"</t>
  </si>
  <si>
    <t>b20616429</t>
  </si>
  <si>
    <t>Keys Bird and Dog Store, Wright Street</t>
  </si>
  <si>
    <t>Wright Street, north side, July 11th 1958, right side of store is 21 2/3 yards west of Coglin Street and frontage is 9 1/3 yards.For a view of this building during alterations see B 13060</t>
  </si>
  <si>
    <t>b20616612</t>
  </si>
  <si>
    <t>Wright Street, north side, February 13th 1958, left side of John McKeown Electrical and Welding Supplies showroom is 22 3/4 yards east of Compton Street and frontage is 6 yards. Remodelling completed in 1955. For a view of building before conversion see B 13420</t>
  </si>
  <si>
    <t>b20617033</t>
  </si>
  <si>
    <t>Wright Street, north side, September 4th 1958, frontage of building on the corner is 10 yards and Selby Street frontage is 12 yards. Left side of white two storey building abuts Selby Street, east side.</t>
  </si>
  <si>
    <t>Acre 462 Collection</t>
  </si>
  <si>
    <t>b20617744</t>
  </si>
  <si>
    <t>Wright Street, south side, February 6th 1958, Wright Street frontage is 9.5 yards and Russel Street frontage is 9.5 yards. Right side of Steve Hocking motor cycle  repair building abuts Russell Street, east side.</t>
  </si>
  <si>
    <t>Acre 480 Collection</t>
  </si>
  <si>
    <t>b20617823</t>
  </si>
  <si>
    <t>Wright Street, south side, February 13th 1958, left side of building is 11.5 yards west of Norman Street and frontage is 19.5 yards. For a view of building prior to remodelling see B 13479 and B 13480. Rebuilding finished in 1956</t>
  </si>
  <si>
    <t>b20617951</t>
  </si>
  <si>
    <t>Wright Street, south side, July 25th 1958, right side of house is 42.5 yards east of Stamford Court and frontage is 11 yards. The symmetrical house at Number 39 has a porch over the bull nosed iron verandah. Two cars are parked in the street</t>
  </si>
  <si>
    <t>b20617999</t>
  </si>
  <si>
    <t>Wright Street, south side, February 13th 1958, right side of (David Hyland and Sons, fish merchants) building is 43 3/4 yards east of Stamford Court and frontage of the building is 9 1/3 yards. For a view of this building in 1954 see B 12952</t>
  </si>
  <si>
    <t>b20618335</t>
  </si>
  <si>
    <t>King William Street, east side, 20th March 1958. Left side of the two storey building is 17 1/2 yards south of Carrington Street. Frontage: 17 yards. The central building contains three shops. The walled verandah shades the first storey</t>
  </si>
  <si>
    <t>b20618529</t>
  </si>
  <si>
    <t>Surflen Street, east side, 19th November 1958. Left side of cottage is 40 3/4 yards south of Carrington Street. Frontage: 6 2/3 yards. Photograph shows a single fronted bluestone cottage behind a picket fence</t>
  </si>
  <si>
    <t>b20618530</t>
  </si>
  <si>
    <t>Surflen Street, east side, 19th November 1958. Left side of the left-hand cottage is 49 1/2 yards south of Carrington Street. Frontage of this cottage and the one on its right to the x mark is 9 yards. This cottage abuts the right side of the cottage shown in B 14180</t>
  </si>
  <si>
    <t>b20618773</t>
  </si>
  <si>
    <t>Carrington Street, south side, 13th March 1958. Right side of Merchants J.W.Grasby and Company Limited building is 11 1/2 yards east of St. Helena Place  frontage: 19 3/2 yards. For a view of buildings previously on this site see B13222. This building completed in 1956. For view of St Helena Place frontage see B 14040</t>
  </si>
  <si>
    <t>b20618785</t>
  </si>
  <si>
    <t>St.Helena Place, East Side</t>
  </si>
  <si>
    <t>St.Helena Place, east side, 13th March 1958. Total frontage of cement brick buildings on St.Helena Place is 69 1/2 yards. Left side abuts Carrington Street, south side. For a view of Carrington Street frontage see B 14039. St.Helena Place was cut through to Carrington Street in August 1956. For view of buildings previously on this site see B 13223, B 13224, B 13225, B 13226.</t>
  </si>
  <si>
    <t>b20619017</t>
  </si>
  <si>
    <t>Carrington Street, south-west corner on Hurtle Square, 1st May 1958. Left side of building abuts west side of Hurtle Square. Carrington Street frontage: 11 1/4 yards. Hurtle Square frontage: 8 1/2 yards. For a view before alteration see B13463.</t>
  </si>
  <si>
    <t>b20619133</t>
  </si>
  <si>
    <t>Carrington Street, south side, 1st May 1958. Left side of building is 84 yards west of Cardwell Street. Frontage: 16 3/4 yards. For a view of the building before alteration see B13541. It was completely rebuilt and no portion of the old buildings is incorporated  completed in August 1956. Mr Saunders was the owner of this warehouse</t>
  </si>
  <si>
    <t>b20619522</t>
  </si>
  <si>
    <t>Carrington Street, south side, 19th November 1958. Left side of house is approximately 1 1/3 yards west of Tomsey Street. Frontage: 22 1/2 yards. Two men can be seen on the roof of the cottages demolishing the chimney stack</t>
  </si>
  <si>
    <t>Acre 504 Collection</t>
  </si>
  <si>
    <t>b20619637</t>
  </si>
  <si>
    <t>East Terrace, 5th May 1958. Left side of the two storey building abuts north side of Wilson Street. Frontage: 15 yards. The two double storey, semi-detached, sand stone houses have stairs leading to the front doors, indicating cellars below. The upper storeys have wrought iron lace work decorating the verandahs</t>
  </si>
  <si>
    <t>b2062010x</t>
  </si>
  <si>
    <t>Halifax Street, north side, February 20th 1958, left side of light coloured house is 48 yards east of Cardwell Street and frontage is 10 3/4 yards. For a view of building before alterations see B 13883. For a view taken in 1960 see B 14405</t>
  </si>
  <si>
    <t>b20620263</t>
  </si>
  <si>
    <t>Halifax Street, north side, February 20th 1958, right side of Asbestolite building is 51 1/4 yards west of Regent Street and frontage is 12 yards, frontage of driveway is 4 1/4 yards.For a view of building previously on this site see B 13857. Building completed in 1957</t>
  </si>
  <si>
    <t>b20620743</t>
  </si>
  <si>
    <t>St. Helena Place</t>
  </si>
  <si>
    <t>St. Helena Place, east side, February 20th 1958, right side of cottages is 22 3/4 yards north of Halifax Street and frontage is 13 1/4 yards. Cottage adjoining on left was demolished before this photograph was taken. Photograph shows a row of three brick cottages</t>
  </si>
  <si>
    <t>b20620755</t>
  </si>
  <si>
    <t>Halifax Street, north side, November 17th 1958, total frontage of the two storey town houses is 20.5 yards and the St. Helena Place frontage is 19 3/4 yards. Right side of the two storey houses abuts the west side of St Helena Place.</t>
  </si>
  <si>
    <t>b20620767</t>
  </si>
  <si>
    <t>St. Helena Place, west side, November 17th 1958, left side of cottages is 34 1/3 yards north of Halifax Street and total frontage is 37 2/3 yards. The total width of Acre 524 is 72 yards. Cawthorne Pianos building can be seen in the distance along with the Destructor Refuse Incinerator chimney</t>
  </si>
  <si>
    <t>b20620925</t>
  </si>
  <si>
    <t>Surflen Street, east side, July 17th 1958, frontage of cottages is 18.5 yards. Left side of the cottages abuts Arthur Place, south side. Slatters Shoe Factory can be seen in the background. A bulldozer is parked in front of one of the cottages near a pile of rubble</t>
  </si>
  <si>
    <t>b20620998</t>
  </si>
  <si>
    <t>[General description] Cars are parked in the street in front of a two storey building with iron lace balcony panels. It has a neglected appearance and is being demolished. [On back of photograph] 'Acre 527 / Halifax Street, north side / March 13th 1958 / Left side of the two storey building is 36 1/4 yards east of Toms Court and frontage is 15.5 yards / For a view of building on this site in 1960 see B 14381'</t>
  </si>
  <si>
    <t>Acre 527 Collection</t>
  </si>
  <si>
    <t>b20621000</t>
  </si>
  <si>
    <t>Toms Court</t>
  </si>
  <si>
    <t>Toms Court, east side, March 26th 1958, right side of the three cottages is 37 1/4 yards north of Halifax Street and frontage is 31 1/4 yards.</t>
  </si>
  <si>
    <t>b20621085</t>
  </si>
  <si>
    <t>King William Street, east side, May 15th 1958, right side of  Woodley Wines  building is 59 yards north of Halifax Street and frontage is 11 yards.</t>
  </si>
  <si>
    <t>b20621851</t>
  </si>
  <si>
    <t>Frederick Street</t>
  </si>
  <si>
    <t>Frederick Street, west side, June 19th 1958, left side of cottage is 38 3/4 yards north of Sturt Street and frontage is 6 yards.For a view of yard on left of cottage see B 14087</t>
  </si>
  <si>
    <t>b20621863</t>
  </si>
  <si>
    <t>Frederick Street, west side, June 19th 1958, left side of yard is 29 3/4 yards north of Sturt Street and frontage is 9 yards. For a view of cottage on left see B 14088. For a view of cottage on right see B 14086</t>
  </si>
  <si>
    <t>b20621875</t>
  </si>
  <si>
    <t>Frederick Street, west side, June 19th 1958, left side of cottage is 20.5 yards north of Sturt Street and frontage is 9 1/4 yards. For a view of yard on the right see B 14087</t>
  </si>
  <si>
    <t>b20622120</t>
  </si>
  <si>
    <t>West Terrace, July 25th 1958, right side of house is 23 yards north of Sturt Street and frontage is 12 2/3 yards. Photograph shows a symmetrical single storey cottage behind a walled front garden. It is set back from West Terrace between two business's</t>
  </si>
  <si>
    <t>b20622132</t>
  </si>
  <si>
    <t>Sturt Street, north side, August 1st 1958, Sturt Street frontage is 29 2/3 yards and West Terrace frontage is 23 yards. Left side of the building shown abuts West Terrace and Sturt Street. The signage on the building says " Webb and Son, Nut and Dried Fruit Merchants"</t>
  </si>
  <si>
    <t>b2062279x</t>
  </si>
  <si>
    <t>Whitmore Square, east side, May 21st 1958, right side of building abuts Hocking Place, north side and Whitmore Square frontage is 10 1/4 yards. Building is the premises of AK Andrewartha Limited wholesale footwear distributors</t>
  </si>
  <si>
    <t>Acre 554 Collection</t>
  </si>
  <si>
    <t>b20622995</t>
  </si>
  <si>
    <t>Sturt Street, south side, May 21st 1958, Sturt Street frontage is 24.5 yards. Left side of JR Tregoning (Link-Belt) building abuts west side of Myers Street. For a view of building on right see B 14082. For a view of buildings previously on this site see B 13731. Building was completed in September 1957. JR Tregoning was formed in 1948 to acquire Messrs. CA Smith amd Company, Adelaide engineers. Malco bought the captial of JHR Tregoning in 1954 and was principal  sub-contractor for Link Belt Company</t>
  </si>
  <si>
    <t>b20623008</t>
  </si>
  <si>
    <t>Sturt Street, south side, May 21st 1958, left side of the light coloured building is 24.5 yards west of Myers Street. Right side of building abuts east side of Norman Street. For a view of building on left see B 14081. For view of building in 1954 see B 12924. JR Tregoning was formed in 1948 to acquire Messrs. CA Smith amd Company, Adelaide engineers. Malco bought the captial of JHR Tregoning in 1954 and was principal  sub-contractor for Link Belt Company. See also B 14081</t>
  </si>
  <si>
    <t>b20623392</t>
  </si>
  <si>
    <t>Halifax Street, south side, February 20th 1958, frontage of building is 11.5 yards. Right side of Murray Rogers(auto electrician and spare parts) building abuts east side of Symonds Place.  Alterations finished in 1957. For a view of building during alterations see B 13176</t>
  </si>
  <si>
    <t>b20623525</t>
  </si>
  <si>
    <t>Halifax Street, south side, February 20th 1958, right side of Welch building is 15 yards east of Hallett Street, frontage of the building is 14.5 yards. Alterations and rebuilding finished in 1956. For a view of building before alterations see B 12994</t>
  </si>
  <si>
    <t>b20623537</t>
  </si>
  <si>
    <t>Halifax Street, south side, November 17th 1958, frontage of building is 10.5 yards. Left side of Cawthornes Pianos building abuts Hallett Street, west side. The 35 metre tall brick chimney was the Refuse Destructor Incinerator dating back from 1909  and can be seen the the centre of this photograph. The Destructor operated 24 hours a day and the resultant steam generated a steam generator which was used to disinfect laundry</t>
  </si>
  <si>
    <t>b20623665</t>
  </si>
  <si>
    <t>Halifax Street, south side, February 20th 1958, the brick wall on the left is 32.5 yards west of Hurtle Square and frontage of the twin garage is 17.5 yards. For a view of the building on left see B 14021. (Renovial Rubber Tyre Company)</t>
  </si>
  <si>
    <t>b20623677</t>
  </si>
  <si>
    <t>Halifax Street, south side, February 20th 1958, white wall on the left is 30.5 yards south of Halifax Street and the right side of the building is 32.5 yards west of Hurtle Square. For a view of building on right see B 14020. Renovial Rubber Company Tyre Service Building was completed in October 1954. See B 14020</t>
  </si>
  <si>
    <t>b2062380x</t>
  </si>
  <si>
    <t>Halifax Street, south side, February 20th 1958, frontage of building is 17 2/3 yards. Left side of building abuts Wakeham Street, west side. Building was completed in November 1957</t>
  </si>
  <si>
    <t>b20623999</t>
  </si>
  <si>
    <t>Cardwell Street, west side, July 3rd 1958, right side of cottages is 36 yards south of Halifax Street and frontage is 10 1/4 yards.</t>
  </si>
  <si>
    <t>Acre 574 Collection</t>
  </si>
  <si>
    <t>b20625364</t>
  </si>
  <si>
    <t>Gilles Street, north side, March 13th 1958, right side of house is 70 yards west of Hutt Street and frontage is 10 yards. For a view of house before remodelling see B 13042</t>
  </si>
  <si>
    <t>b20625820</t>
  </si>
  <si>
    <t>Gilles Street, north side, March 13th 1958, left side of centre Campbell and Hewitt Motor Engineers building is 11.5 yards east of Stevens Street and frontage is 11.5 yards. For a view of building previously on this site see B 13674. This building was completed in 1957</t>
  </si>
  <si>
    <t>b20625893</t>
  </si>
  <si>
    <t>Gilles Street, north side, March 13th 1958, left side of cottage is 30.5 yards east of Hallett Street and frontage is 8 3/4 yards. Small brick cottage with contrasting red brick quoins around the windows, door and corners</t>
  </si>
  <si>
    <t>Acre 601 Collection</t>
  </si>
  <si>
    <t>b20626034</t>
  </si>
  <si>
    <t>Gilles Street, north side, July 11th 1958, left side of centre cottage is 8 yards east of Symonds Place, frontage is 10 yards. Three cottages are shown in the photograh, two are dwellings and the one on the left is a Health Centre</t>
  </si>
  <si>
    <t>Acre 605 Collection</t>
  </si>
  <si>
    <t>b20626125</t>
  </si>
  <si>
    <t>King William Street, east side, August 1st 1958, Gilles Street frontage is 30 yards and King William Street frontage is 97 2/3 yards. Right side of Myer Building abuts Gilles Street, north side. The Myer Emporium Bulk Store takes up two City Acres - 606 and 561</t>
  </si>
  <si>
    <t>Acre 606 Collection</t>
  </si>
  <si>
    <t>b20626630</t>
  </si>
  <si>
    <t>South east corner of Brown Street and Whitmore Square, 19 June 1958, Brown Street frontage is 6 yards. Left side of cottage abuts Whitmore Square, south side.</t>
  </si>
  <si>
    <t>Acre 614 Collection</t>
  </si>
  <si>
    <t>b20626952</t>
  </si>
  <si>
    <t>Gilbert Street, north side, April 24th 1958, left side of cottage is 31 1/4 yards east of Little Gilbert Street and frontage is 4 3/4 yards. A house on the left was demolished before a view could be obtained</t>
  </si>
  <si>
    <t>Acre 618 Collection</t>
  </si>
  <si>
    <t>b20627531</t>
  </si>
  <si>
    <t>Gilbert Street, south side, 1 May 1958, frontage of the three houses is 14.5 yards. Right side of the two storey houses abuts west side of Winifred Street.</t>
  </si>
  <si>
    <t>Acre 628 Collection</t>
  </si>
  <si>
    <t>b2062766x</t>
  </si>
  <si>
    <t>Brown Street, west side, February 27th 1958, right side of centre house is 40 1/4 yards south of Gilbert Street and frontage of house is 10 yards. For a view taken in 1960 see B 14351. Photograph shows three cottages</t>
  </si>
  <si>
    <t>b20627786</t>
  </si>
  <si>
    <t>Brown Street, east side, February 27th 1958, right side of Stanley C Williams and Company Limited building is 18 1/4 yards north of Hamilton Place and frontage is 11 yards. For a view of building before alterations see B 13877. Alterations were completed in November 1957</t>
  </si>
  <si>
    <t>b20627890</t>
  </si>
  <si>
    <t>Gilbert Street, south side, February 13th 1958, left side of Consolidated Pneumatic Tool Company Limited building is 14 yards west of Herman Street and frontage is 10 yards. For a view of building during re-construction see B 13056. For a view taken in 1960 see B 14380</t>
  </si>
  <si>
    <t>b20628043</t>
  </si>
  <si>
    <t>Gilbert Street, south side, February 13th 1958, right side of centre Ingersol-Rand (air compressors, pneumatic drills, rock drills, hoists and pumps) building is 10 yards east of Percy Court and the frontage is 10 yards. Alterations finished in 1955. For a view of building during alterations see B 13010. For view of this building in 1955 see B 13569</t>
  </si>
  <si>
    <t>b20629023</t>
  </si>
  <si>
    <t>Hanson Street, east side, 23 January 1958. Right side of Prestige Motors is 72 yards north of South Terrace. Frontage: 10 yards.</t>
  </si>
  <si>
    <t>Acre 647 Collection</t>
  </si>
  <si>
    <t>b20629989</t>
  </si>
  <si>
    <t>South Terrace, 7 August 1958. Right side of building approximately 8 yards west from Hutt Street. Frontage, including addition, is 26 1/4 yards. For a view of the building before additions see B 13169. For a view of Hutt Street frontage see B 14135. For a view of rear of building see B 14136. TPI Association (Totally and Permanently Incapacitated ex-servicemen and women) stands next door to the two storey house on the corner of Hutt Street and South Terrace. The TPI building was known as Davaar House and was purchased for 15,000 pounds in 1951 for service men and women from World War I</t>
  </si>
  <si>
    <t>b20629990</t>
  </si>
  <si>
    <t>Hutt Street, west side, 7 August 1958. This building is approximately 8 yards from Hutt Street along which it extends 65 yards.</t>
  </si>
  <si>
    <t>b20630001</t>
  </si>
  <si>
    <t>Davaar Place</t>
  </si>
  <si>
    <t>Davaar Place, south side, 7 August 1958. Additions being built at the rear of T.P.I. Building. Far right is 40 yards west of Hutt Street. TPI Association (Totally and Permanently Incapacitated ex-servicemen and women) stands next door to the two storey house on the corner of Hutt Street and South Terrace. The TPI building was known as Davaar House and was purchased for 15,000 pounds in 1951 for service men and women from World War I</t>
  </si>
  <si>
    <t>b20630074</t>
  </si>
  <si>
    <t>South Terrace, 11th July 1958. Right side of Quambi Hospital abuts west side of Louisa Street. Frontage: 19 yards. For a view of building after alteration see B 14207. Quambi Hospital specialised in maternity concerns</t>
  </si>
  <si>
    <t>b20630086</t>
  </si>
  <si>
    <t>Louisa Street</t>
  </si>
  <si>
    <t>Louisa Street, west side, 11th July 1958. On the far left is South Terrace. Frontage: 59 1/2 yards. For South Terrace frontage see B 14108. The photograph shows the rear of the house with outbuildings and a water tank surrounded by a galvanised fence</t>
  </si>
  <si>
    <t>b20630542</t>
  </si>
  <si>
    <t>Hanson Street, east side, 23rd January 1958. Right side of block of shops is 30 1/2 yards north of South Terrace. Frontage: 41 1/2 yards. The verandah formerly continued the whole length of block  part of it was damaged in an accident in 1957 and removed. For view of shops on the left see B 13997</t>
  </si>
  <si>
    <t>Acre 676 Collection</t>
  </si>
  <si>
    <t>b2063108x</t>
  </si>
  <si>
    <t>South Terrace, June 26th 1958, left side of house is 44 3/4 yards east of King William Street and frontage is 7 3/4 yards. This sandstone cottage stands next to the Custom Credit Corporation</t>
  </si>
  <si>
    <t>b20631947</t>
  </si>
  <si>
    <t>House on South Terrace</t>
  </si>
  <si>
    <t>House on South Terrace, west, 23 January 1958. The house was demolished in 1958 and the sign advertises 'These modern luxury flats are being erected on this and adjoining sites for Rialto Investments Ltd'. Right side of house is approximately 100 yards west of Willcox Street and frontage is 18.5 yards.</t>
  </si>
  <si>
    <t>b20631959</t>
  </si>
  <si>
    <t>South Terrace, west, 23 January 1958, right side of building is 76 yards west of Willcox Street and frontage is 13 1/4 yards. For a view of building in 1957 see B 13873. For view of this building in 1958 see B 14415 and B 14416. This block of flats is called Park Lodge</t>
  </si>
  <si>
    <t>b2063223x</t>
  </si>
  <si>
    <t>Pennington Terrace, December 12th 1958, left side of building is 26.5 yards east of King William Road and frontage is 45.5 yards. For a view of building previously on this site see B 13828. This building was completed early in 1958</t>
  </si>
  <si>
    <t>b20633713</t>
  </si>
  <si>
    <t>Palmer Place, east side, January 20th 1958, left side of the building is 26 3/4 yards south of Kermode Street and frontage is 14.5 yards. This single storey villa, raised with a cellar below,  has distinctive quoins around windows and corners. A decorative wrought iron fence adorns the front of the property</t>
  </si>
  <si>
    <t>Acre 709 Collection</t>
  </si>
  <si>
    <t>b20633725</t>
  </si>
  <si>
    <t>Palmer Place, east side, January 20th 1958, frontage of the building is 15.5 yards. Left side of building abuts south side of Kermode Street. The two storey bluestone house is lower than street level</t>
  </si>
  <si>
    <t>b20634341</t>
  </si>
  <si>
    <t>Kermode Street, north side, December 12th 1958, frontage of building is 23 1/3 yards. Left side of building abuts Bagot Street, east side. The building was completed in July 1958. It has large letters "B I" at the front. See B 14365 and B 14366 for views taken in 1960</t>
  </si>
  <si>
    <t>Acre 722 Collection</t>
  </si>
  <si>
    <t>b20634420</t>
  </si>
  <si>
    <t>Palmer Place, east side, December 12th 1958, right side of cottage is 42 1/3 yards north of Kermode Street and frontage is 7 1/4 yards. For a view of cottage in 1922 see B 846</t>
  </si>
  <si>
    <t>Acre 724 Collection</t>
  </si>
  <si>
    <t>b20635734</t>
  </si>
  <si>
    <t>Brougham Place, August 18th 1958, frontage of house in Brougham Place is 18 1/3 yards. Left side of house faces Margaret Street. For Margaret Street frontage see B 14140. For a view of this site see B 3488</t>
  </si>
  <si>
    <t>Acre 735 Collection</t>
  </si>
  <si>
    <t>b20635746</t>
  </si>
  <si>
    <t>Margaret Street</t>
  </si>
  <si>
    <t>Margaret Street, east side, August 18th 1958, frontage of house is 70 yards. Right side of building abuts Brougham Place. On the far left of the photograph is Ward Street. For Ward Street frontage see B 14141. for Broughasm Place frontage see B 14139</t>
  </si>
  <si>
    <t>b20635758</t>
  </si>
  <si>
    <t>Ward Street, south side, 18 August 1958, frontage of wall and iron fence and building on right  is 37 2/3 yards. This is the rear view of the building shown in B 14139.</t>
  </si>
  <si>
    <t>b20636465</t>
  </si>
  <si>
    <t>Brougham Place, north side, January 20th 1958, right side of building is 70 1/4 yards west of O'Connell Street and frontage is approximately 22 3/4 yards. Belmont was originally built as the North Adelaide Masonic and Public Hall Association. This building was opened in 1858. JB Neales who reached South Australia in 1838 was the first resident. The architect was Edmund Wright.  In the 1860s it was the home of Dr John Woodforde who arrived with Colonel Light in 1836. The house was later bought in 1913 by Dr Harry Swift who lived here for 30 years. This photograph taken in 1958 shows the house, number 71 - 74 Brougham Place, with its classical facade with a sign saying "The Belmont". The style is described as "Roman Doric surmounted by a handcome cornice which rises over a pediment in the centre....the building is a handsome addition to North Adelaide"</t>
  </si>
  <si>
    <t>Acre 740 Collection</t>
  </si>
  <si>
    <t>b20636477</t>
  </si>
  <si>
    <t>Ward Street, south side, 20 January 1958, left side of building is 70 yards west of O'Connell Street and frontage is 5 yards. This stable is at the rear of building shown in B 13989 (Belmont House)</t>
  </si>
  <si>
    <t>b20638255</t>
  </si>
  <si>
    <t>Ward Street, north side, September 25th 1958, left side of the four cottages under demolition is 11 yards west of Walter Street and frontage is 38.5 yards.</t>
  </si>
  <si>
    <t>Acre 773 Collection</t>
  </si>
  <si>
    <t>b20641229</t>
  </si>
  <si>
    <t>Tynte Street</t>
  </si>
  <si>
    <t>Tynte Street, north side, November 5th 1958, left side of cottage is 37 2/3 yards east of Wellington Square and frontage is 11 2/3 yards. For a view of the building on right see B 14169</t>
  </si>
  <si>
    <t>Acre 860 Collection</t>
  </si>
  <si>
    <t>b20641230</t>
  </si>
  <si>
    <t>Tynte Street, north side, November 5th 1958, left side of cottage is 53 1/3 yards east of Wellington Square and frontage is 15 2/3 yards. For a view of the cottage under demolition see B 14168</t>
  </si>
  <si>
    <t>b20641242</t>
  </si>
  <si>
    <t>Wellington Square</t>
  </si>
  <si>
    <t>Wellington Square, east side, November 5th 1958, right side of the derelict cottage is 60 yards north of Tynte Street and frontage is 10 yards. For a view of cottage in 1931 see B 5935</t>
  </si>
  <si>
    <t>b2064128x</t>
  </si>
  <si>
    <t>Mansfield Street</t>
  </si>
  <si>
    <t>Mansfield Street, west side, November 5th 1958, left side of the row of five cottages is 43 yards north of Tynte Street and frontage is 22 yards.</t>
  </si>
  <si>
    <t>Acre 861 Collection</t>
  </si>
  <si>
    <t>b20642374</t>
  </si>
  <si>
    <t>Buxton Street</t>
  </si>
  <si>
    <t>Buxton Street, south side, June 12th 1958, left side of houses is 156 yards west of Jeffcott Street and frontage is 17 yards. The building contains two single storey cottages with a parapet over both. A verandah shades the front windows and doors</t>
  </si>
  <si>
    <t>Acre 885 Collection</t>
  </si>
  <si>
    <t>b20642623</t>
  </si>
  <si>
    <t>Gover Street, north side, March 26th 1958, right side of house is 142 3/4 yards west of Tower Street and frontage is 10 yards. The single storey symmetrical cottage abuts the house to the west</t>
  </si>
  <si>
    <t>Acre 903 Collection</t>
  </si>
  <si>
    <t>b20642830</t>
  </si>
  <si>
    <t>Gover Street, north side, January 20th 1958, left side of the building is 30.5 yards east of O'Connell Street and frontage is 6.5 yards. For a view of the building on the left see B 13991. This building is in the course of demolition</t>
  </si>
  <si>
    <t>b20642842</t>
  </si>
  <si>
    <t>North east corner of Gover Street and O'Connell Street, January 20th 1958, O'Connell Street frontage is 19 3/4 yards and Gover Street frontage is 26.5 yards. The gate between the corner building and the building on the right is 4 yards. For photograph of gabled building on right see B 13992. For view of this corner in 1922 see B 1111. This building is in the course of demolition. Part of the building housed a shoe repair business</t>
  </si>
  <si>
    <t>b20643044</t>
  </si>
  <si>
    <t>Gover Street, north side, June 12th 1958, left side of cottages is 24 3/4 yards east of Ralston Street and frontage is 20 yards.</t>
  </si>
  <si>
    <t>Acre 912 Collection</t>
  </si>
  <si>
    <t>b20643287</t>
  </si>
  <si>
    <t>Childers Street</t>
  </si>
  <si>
    <t>Childers Street, south side, 20th January 1958, left side of house is 3 yards west of Taskers Lane and frontage is 9 yards. This small single fronted white washed cottage stands in a large garden. A child can be seen on a tricycle at the front gate</t>
  </si>
  <si>
    <t>Acre 922 Collection</t>
  </si>
  <si>
    <t>b20645211</t>
  </si>
  <si>
    <t>Melbourne Street, south side, August 21st 1958, right side of the two cottages under demolition is 27 1/3 yards east of Dunn Street and frontage is 17 yards.</t>
  </si>
  <si>
    <t>b20646641</t>
  </si>
  <si>
    <t>Melbourne Street, north side, September 25th 1958, right side of building under construction is 100.5 yards west of East Pallant Street and frontage is 7 yards. A motor bike and side car is parked outside the new brick building</t>
  </si>
  <si>
    <t>Acre 1008 Collection</t>
  </si>
  <si>
    <t>b20646999</t>
  </si>
  <si>
    <t>Sussex Street, north side, January 20th 1958, left side of house is 63 1/4 yards east of West Pallant Street and frontage is 13 3/4 yards. This newly built brick house with a tiled roof stands amid the unestablished garden</t>
  </si>
  <si>
    <t>b20647001</t>
  </si>
  <si>
    <t>Stanley Street</t>
  </si>
  <si>
    <t>Stanley Street, south side, January 20th 1958, right side of galvanised iron fence is 72.5 yards west of West Pallant Street and frontage is 15 1/4 yards.</t>
  </si>
  <si>
    <t>b20647074</t>
  </si>
  <si>
    <t>Stanley Street, south side, March 26th 1958, right side of Hotel Olympic is 33.5 yards west of West Pallant Street and frontage is 11.5 yards.</t>
  </si>
  <si>
    <t>Acre 1016 Collection</t>
  </si>
  <si>
    <t>b20647128</t>
  </si>
  <si>
    <t>Stanley Street, south side, March 26th 1958, left side of house is 92 yards west of West Pallant Street and frontage is 13 3/4 yards. The house is built in the California style and sits in  a leafy street</t>
  </si>
  <si>
    <t>b20651983</t>
  </si>
  <si>
    <t>Adelaide Bowling Club</t>
  </si>
  <si>
    <t>Adelaide Bowling Club, Victoria Drive, 18th August 1958. View of the former site of the Adelaide Bowling Club. For views of this site in 1911 see B7542 &amp; B7543.For site of grounds see C228. The club founded in 1897, was located on a plot of land behind Government House. It was relocated to its present location when Kintore Avenue was extended through to Victoria Drive</t>
  </si>
  <si>
    <t>Adelaide Bowling Club;Bowls (Game) -- South Australia -- Adelaide</t>
  </si>
  <si>
    <t>Adelaide Views Collection;Adelaide Bowling Club Collection</t>
  </si>
  <si>
    <t>b20662464</t>
  </si>
  <si>
    <t>Municipal Tramways Trust signalman's cabin, Hindmarsh Square on the corner of Grenfell Street and Pulteney Street. See rough sketch on back of photograph. Demolished  March 22, 1958. View taken March 21, 1958.</t>
  </si>
  <si>
    <t>Adelaide Views Collection;Hindmarsh Square Collection</t>
  </si>
  <si>
    <t>b20664515</t>
  </si>
  <si>
    <t>Kintore Avenue</t>
  </si>
  <si>
    <t>KIntore Avenue, August 21st 1958, looking north. View taken from Trades School, showing car park at end of street. The wall of Government House can be seen on the left of the photograph</t>
  </si>
  <si>
    <t>Adelaide Views Collection;Kintore Avenue Collection</t>
  </si>
  <si>
    <t>b20678976</t>
  </si>
  <si>
    <t>Signal Station</t>
  </si>
  <si>
    <t>Former Signal Station, West Terrace opposite Franklin Street, 7th May 1958 being demolished. See also B 14069.</t>
  </si>
  <si>
    <t>Adelaide Views Collection;Signal Station Collection</t>
  </si>
  <si>
    <t>b20678988</t>
  </si>
  <si>
    <t>Signal Station, West Terrace, opposite Franklin Street, 7th May 1958 being demolished. Adelaide Observatory was built in 1860 and contained a domed equatorial room. Experimental wireless telegraphy equipment transmitted between Adelaide and Henley Beach in 1899. Richard Davis was appointed Signal Man on October 28, 1847.He died there in 1878 aged 69.</t>
  </si>
  <si>
    <t>b20665775</t>
  </si>
  <si>
    <t>[General description] Rooftops of the Mounted Police Barracks buildings taken from an elevated part of a nearby building focusing on the staircase in front of the Armoury building. [On back of photograph] 'Mounted Police Barracks: Armoury / The stairway in front of the Armoury was removed July-August 1958'</t>
  </si>
  <si>
    <t>b20665787</t>
  </si>
  <si>
    <t>Mounted Police Barracks, Adelaide</t>
  </si>
  <si>
    <t>[General description] Trees frame this view of a crumbling limestone building which has brick quoins and chimney and a slate roof. [On back of photograph] 'Mounted Police Barracks / This building until its demolition in 1960 was used by the Art Gallery as a workshop / For a site plan see B 14358 c. 1958'                           .</t>
  </si>
  <si>
    <t>b30232946</t>
  </si>
  <si>
    <t>Oliver, Gordon Ross, photographer</t>
  </si>
  <si>
    <t>Home Service Store on Seacombe Road, Darlington</t>
  </si>
  <si>
    <t>1958 September 18</t>
  </si>
  <si>
    <t>1 photograph : black and white, copy print   21 x 29.7 cm;still image sti rdacontent;unmediated n rdamedia;sheet nb rdacarrier</t>
  </si>
  <si>
    <t>An interior view of the Home Service Store at 60 Seacombe Road, Darlington (opposite Miller Street), with Coralie Colls serving John Townsend, who was  the Cottees Representative. A Cottees Instant Pudding display is in view.</t>
  </si>
  <si>
    <t>Colls, Coralie;Townsend, John;Home Service Stores (Darlington S.A.);Cottees Limited -- Employees;Stores, Retail -- South Australia -- Darlington;Retail trade -- South Australia -- Darlington -- Employees;Display of merchandise -- South Australia -- Darlington -- Pictorial works</t>
  </si>
  <si>
    <t>Darlington Collection;From a collection of photographs related to Home Service Stores around Adelaide, with most photographs taken by Gordon Ross Oliver.</t>
  </si>
  <si>
    <t>b30232971</t>
  </si>
  <si>
    <t>Gordon Ross Oliver in the Home Service Store on Seacombe Road, Darlington</t>
  </si>
  <si>
    <t>1 photograph : black and white, copy print   29.7 x 21 x cm;still image sti rdacontent;unmediated n rdamedia;sheet nb rdacarrier</t>
  </si>
  <si>
    <t>An interior view of the Home Service Store at 60 Seacombe Road, Darlington (opposite Miller Street), with Gordon Ross Oliver inspecting a Rinso washing powder display.</t>
  </si>
  <si>
    <t>Oliver, Gordon Ross;Home Service Stores (Darlington S.A.);Display of merchandise -- South Australia -- Darlington -- Pictorial works;Stores, Retail -- South Australia -- Darlington</t>
  </si>
  <si>
    <t>b20244241</t>
  </si>
  <si>
    <t>Glen Osmond, Aug 14th looking south-east along Glen Osmond Road. A rough sketch on the back of the photograph shows the location of the camera near the intersection of Glen Osmond Road, Portrush Road and Cross Road. A Mobil petrol station can be seen on the left side of Glen Osmond Road and on the opposite side stands the wall of the Carmelite Monastery</t>
  </si>
  <si>
    <t>b20244253</t>
  </si>
  <si>
    <t>Wall and gardener's cottage at 'Birksgate'. On the back of this photograph a rough sketch shows the position of the camera. For another view see B 14241. the wall was moved back when the road was widened in 1959. For other views of the wall and the property see B 14242, B 14243, B 14244, B 14245, B 14246. The Adelaide plains can be seen in the background</t>
  </si>
  <si>
    <t>Birksgate (House : Glen Osmond, S.A.);Architecture, Domestic -- South Australia -- Glen Osmond;Cottages -- South Australia -- Glen Osmond</t>
  </si>
  <si>
    <t>b20244265</t>
  </si>
  <si>
    <t>Gardener's cottage at 'Birksgate'. On the back of this photograph a rough sketch shows the position of the camera. For another view see B 14241. the wall was moved back when the road was widened in 1959. For other views of the wall and the property see B 14242, B 14243, B 14244, B 14245, B 14246. The Adelaide plains can be seen in the background</t>
  </si>
  <si>
    <t>b20244277</t>
  </si>
  <si>
    <t>[General description] View of wall at 'Birksgate' along Mt. Barker Road. The road is lined with eucalypts. [On back of photograph] 'Glen Osmond / August 14, 1959 / The wall was moved back and the road widened in 1959 / The arrow on the sketch plan shows the approximate position of the camera / For other views see B 14240, B 14241, B 14243, B 14244, B 14245/ B 14246'</t>
  </si>
  <si>
    <t>Birksgate (House : Glen Osmond, S.A.);Walls -- South Australia -- Glen Osmond</t>
  </si>
  <si>
    <t>b20244289</t>
  </si>
  <si>
    <t>[General description] Looking south east along Mt. Barker Rd. showing wall of "Birksgate" [On back of photograph] 'Glen Osmond / August 14, 1959 / The wall was moved back and the road widened in 1959 / The arrow on the sketch plan shows the approximate position of the camera / For other views see B 14240, B 14241, B 14242, B 14244, B 14245/ B 14246'</t>
  </si>
  <si>
    <t>Birksgate (House : Glen Osmond, S.A.);Roads -- South Australia -- Glen Osmond;Walls -- South Australia -- Glen Osmond;Mount Barker Road (Glen Osmond, S.A.)</t>
  </si>
  <si>
    <t>b20244290</t>
  </si>
  <si>
    <t>[General description] View of wall around 'Birksgate' [On back of photograph]  'Glen Osmond / August 14, 1959 / The wall was moved back and the road widened in 1959 / The arrow on the sketch plan shows the approximate position of the camera / For other views see B 14240, B 14241, B 14242, B 14243, B 14245/ B 14246'</t>
  </si>
  <si>
    <t>b20244307</t>
  </si>
  <si>
    <t>[General description] Pine trees and gatehouse at 'Birksgate'. It is a substantial solid stone building with a slate roof. [On back of photograph] 'Glen Osmond / August 14, 1959 /  View of cottage inside gate to 'Birksgate' / Attached sketch plan shows approximate position of cottage / For views of wall around property see B 14240, B 14241, B 14242, B 14243, B 14244 / B 14246'</t>
  </si>
  <si>
    <t>b20244319</t>
  </si>
  <si>
    <t>[General description] View of wall and gate kepper's cottage at 'Birksgate' in a pleasant tree-lined street. The cottage is seen on the extreme right (near the utility pole). [On back of photograph] 'Glen Osmond / August 14, 1959 / Wall and gatehouse at 'Birksgate'. The arrow on the sketch plan shows the approximate position of the camera / For another view of the cottage see B 14245 / For other views of the wall see B 14240, B 14241, B 14242, B 14243, B 14244'</t>
  </si>
  <si>
    <t>Birksgate (House : Glen Osmond, S.A.);Architecture, Domestic -- South Australia -- Glen Osmond;Cottages -- South Australia -- Glen Osmond;Gates -- South Australia -- Glen Osmond</t>
  </si>
  <si>
    <t>b20321776</t>
  </si>
  <si>
    <t>Sawmill, Mount Gambier</t>
  </si>
  <si>
    <t>Photograph (b&amp;w print)  16 cm x 20.6 cm;C1</t>
  </si>
  <si>
    <t>General view of Sawmill taken from Watson Drive.</t>
  </si>
  <si>
    <t>b20548497</t>
  </si>
  <si>
    <t>[General description] Parked cars and city buildings on North Terrace with the two buildings on the right in course of demolition. [On back of photograph] 'Acre 20 / North Terrace / 14 August 1959 / Right side of the white two storey building on the right abuts Gawler Place, its frontage is 9 yards / Frontages of centre building is 9 yards / Frontage of building on the left is 11 2/3 yards / The two buildings on the right were demolished in 1959 and Gawler Place was widened / For another view see B 14252 / For a view of these buildings in 1957 see B 13866 / Complete frontage of all three two storey buildings is 29 1/3 yards'</t>
  </si>
  <si>
    <t>b20548503</t>
  </si>
  <si>
    <t>[General description] Parked cars and city buildings on North Terrace, the focus being on the three two storey buildings in the centre. Progress is pushing out these older elegant townhouses with two buildings on the right in course of demolition. [On back of photograph] 'Acre 20 / North Terrace / 14 August 1959 / Right side of the white two storey building on the right abuts Gawler Place, its frontage is 9 yards / Frontages of centre building is 9 yards / Frontage of building on the left is 11 2/3 yards / The two buildings on the right were demolished in 1959 and Gawler Place was widened / For another view see B 14252 / For a view of these buildings in 1957 see B 13866 / Complete frontage of all three two storey buildings is 29 1/3 yards'</t>
  </si>
  <si>
    <t>b20548813</t>
  </si>
  <si>
    <t>North Terrace, left side of building is 48 yards west of Charles Street and frontage is 11 yards. For a view of this building in 1956 see B 13732.This heritage listed building at 207 North Terrace was originally premises for GR Wills and now is privately owned by a company run by former lawyer Lorraine Thomson.  The building was re-designed by Architect Daniel Garlick (1818-1902) It features ashlar sandstone with sandstone detailing in the gothic style. A bluestone plinth and Oriel window on the first floor, leadlight windows and cast iron gates to entrances, buttressing are all features. At the time of this photograph (1959) the building housed a theatrical studio</t>
  </si>
  <si>
    <t>b20549167</t>
  </si>
  <si>
    <t>Austin Street, Adelaide</t>
  </si>
  <si>
    <t>[General description] This single fronted cottage with a vine covered pergola is surrounded by taller buildings. It is in a dilapidated state, and probably about to be demolished. [On back of photograph] 'Acre 23 / Austin Street, west side / 4 December 1959 / Right side of cottage is 42 yards south of North Terrace, frontage is 7 yards'</t>
  </si>
  <si>
    <t>b20550984</t>
  </si>
  <si>
    <t>Vaughan Place</t>
  </si>
  <si>
    <t>Vaughan Place, west side, left side of the building is 33 yards north of Rundle Street and frontage is 17 yards. For a view of the rear of the building see B 14220. For a view of building on the right see B 14221. This office and warehouse complex faces west and has an awning erected to shade from the sun</t>
  </si>
  <si>
    <t>Acre 34 Collection</t>
  </si>
  <si>
    <t>b20550996</t>
  </si>
  <si>
    <t>Cars, Vaughan Place</t>
  </si>
  <si>
    <t>Cars parked in Vaughan Place. Rear view of building shown in B 14219</t>
  </si>
  <si>
    <t>b20551009</t>
  </si>
  <si>
    <t>Vaughan Place, west side, February 20th 1959, left side of house is 53 2/3 yards north of Rundle Street and frontage is 16 yards. For a view of building on left see B 14319. The building has a sign attached which says "Producers Cold Storage Limited"</t>
  </si>
  <si>
    <t>b20552907</t>
  </si>
  <si>
    <t>[General description] Sale time at John Martins with cars in Rundle street and shoppers on the footpath. [On back of photograph] 'Acres 41 and 42 / Rundle Street, north side / October 1st, 1959 / View of the Rundle Street frontage of John Martins premises / For details of site and a view in 1936 see B 7090'</t>
  </si>
  <si>
    <t>John Martin &amp; Co</t>
  </si>
  <si>
    <t>b20553420</t>
  </si>
  <si>
    <t>[General description] The Woolworths building is prominent in this photograph with Ezywalkin Shoes on the right. On the left of Woolworths were: Judells ladies fashions  Wendts Jewellers  Balfours Cakes and Edments. There are people on the footpath and cars on the street. [On back of photograph] 'Acres 42 and 43 / Rundle Street, north side / October 1st 1959 / Right side of Woolworths building is 67.5 yards west of Charles Street and frontage is 34 yards / For view of buildings previously on this site see B 12279 and B 13657'</t>
  </si>
  <si>
    <t>Woolworths (Adelaide, S.A.)</t>
  </si>
  <si>
    <t>b20557395</t>
  </si>
  <si>
    <t>[General description] The building in the centre is the new 10 storey Savings Bank of South Australia, built circa 1954. This Modernist building was to the design of architects Caradoc Ashton, Fisher, Woodhead and Beaumont-Smith. There are no windows on the narrow Hindley Street frontage or the western facade. The eastern Bank Street facade consists of a new type of double glazed windows, manufactured in Australia under licence from the USA. providing maximum light penetration and insulation against cold and heat. [On back of photograph] 'Acre 49 / Hindley Street, north side / 22 December 1959 / Right side of Bank building abuts west side of Bank Street / Frontage of bank building is 7 yards / Building was completed in 1958 / For view of the Bank Street frontage see B 14389'</t>
  </si>
  <si>
    <t>b20557401</t>
  </si>
  <si>
    <t>[General description] This is the new 10 storey Savings Bank of South Australia, built circa 1954. Pine (Christmas?) trees have been placed on top of the cantilevered verandah. The Modernist building was to the design of architects Caradoc Ashton, Fisher, Woodhead and Beaumont-Smith. There are no windows on the narrow Hindley Street frontage or the western facade. This eastern Bank Street facade consists of a new type of double glazed windows, manufactured in Australia under licence from the USA. providing maximum light penetration and insulation against cold and heat. [On back of photograph] 'Acre 49 / Hindley Street, north side / 22 December 1959 / Right side of Bank building abuts west side of Bank Street / Frontage of bank building is 7 yards / Building was completed in 1958 / For view of the Hindley Street frontage see B 14388'</t>
  </si>
  <si>
    <t xml:space="preserve">  Savings Bank of South Australia</t>
  </si>
  <si>
    <t>b20560175</t>
  </si>
  <si>
    <t>[General description] Jarman's Shoe Store, at 103 Hindley Street. On 31 July 1908 this building was purchased by Edwin Charles Jarman, a bootmaker. Edwin, and later his wife Ethel ran a shoe shop at these premises until Ethel's death in 1958. (Information from City of Adelaide Heritage Survey, 2008) [On back of photograph] 'Acre 73 / Hindley Street, south side / October 27th 1959 / Right side of Jarman's shoe store is 21 yards east of Rosina Street and frontage is 6 yards'</t>
  </si>
  <si>
    <t>Shoe stores -- South Australia -- Adelaide</t>
  </si>
  <si>
    <t>Acre 73 Collection</t>
  </si>
  <si>
    <t>b20564855</t>
  </si>
  <si>
    <t>[General description] City buildings and cars in Rundle Street. The ground floor of the centre building with the ornate balcony has tenants Conroy's Meat Service and R.V. Thomas electrical goods. Inglis Electrical is in the building on the right with the Tropical Coffee Lounge upstairs. [On back of photograph] 'Acre 82 / Rundle Street, south side / 19 August 1959 / Right side of centre two-storey building is 8 yds east of Francis Street / Frontage of building is 14-1/2 yards'</t>
  </si>
  <si>
    <t>b20565975</t>
  </si>
  <si>
    <t>Rundle Street, south side, February 10th 1959, left side of the Rex Theatre is 28.5 yards west of Twin Street and frontage is 17 yards. For a view of this building in 1952 see B 12366. This building was demolished in 1961 to make way for the additions to Cox-Foys building. For a view of the building on this site after the alterations see B 14544. The Rex Theatre was the third theatre to operate on this site in Rundle Street. It closed in February 1959 with a final showing of "Curly Top" starring Shirley Temple. However the Cox brothers allowed the lease to be taken over by the Majestic Theatre until they were ready to extend their store. The final performance in this popular cinema was "Black Orpheus".</t>
  </si>
  <si>
    <t>b2057065x</t>
  </si>
  <si>
    <t>Grenfell Street, north side, February 1959. Left side of Milne's building is 13 yards east of James Place. Frontage of the building is 19 yards. Building demolished in December 1859. William Milne began in partnership with his brother in law James Wardlaw Disher in 1846 in a wine merchant business. In 1853 William opened a similar business in his own name. His son William junior opened a wine and spirit store at 32-36 Grenfell Street. Later his brothers became involved in the business. Later the business became the South Australian Brewing Company Limited</t>
  </si>
  <si>
    <t>b20572499</t>
  </si>
  <si>
    <t>Currie Street, south side, May 7th 1959. Right side of Royal Chambers abuts west wide of Peel Street. Frontage of Royal Chambers is 15 yards. Frontage of building on left of Royal Chambers is 29 yards. Frontage of Royal Chambers in Peel Street (not shown) is 32.5 yards. For a view taken in 1960 see B 14338</t>
  </si>
  <si>
    <t>b20578209</t>
  </si>
  <si>
    <t>Ackland Street, east side, August 14th 1959, frontage of brick building is 59 yards. The right side of the tin structure on the left of the photograph is 37.5 south of Grenfell Street. The building in the photograph has "Clarkson Limited - the House of Decoration" signage above the warehouse door</t>
  </si>
  <si>
    <t>Acre 152 Collection</t>
  </si>
  <si>
    <t>b20578581</t>
  </si>
  <si>
    <t>Pirie Street, north side, 11 August 1959, Pirie Street frontage is 14 2/3 yards and Devonshire Place frontage is 14.5 yards. Left side of cottages abuts east side of Devonshire Place. For a view of this corner in 1927 see B 4200</t>
  </si>
  <si>
    <t>b20578623</t>
  </si>
  <si>
    <t>Pirie Street, north side, August 14th 1959, Pirie Street frontage is 8 1/3 yards and Moger Place frontage is 30 yards. Left side of two-storey building abuts east side of Moger Place. For a view of the building on right of the photograph see B 14237. For a view of this building in 1941 see B 10568. This two storey bluestone corner building has an upper balcony adorned by a wrought iron decorative railing. Quoins can be seen around the windows. The front door is set flush with the corner of the building</t>
  </si>
  <si>
    <t>Acre 158 Collection</t>
  </si>
  <si>
    <t>b20578635</t>
  </si>
  <si>
    <t>Pirie Street, north side, August 14th 1959, left side of centre cottage is 8 1/3 yards east of Moger Place and frontage is 7 yards. For a view of building on left of cottage see B 14236. For a view of this building in 1941 see B 10568</t>
  </si>
  <si>
    <t>b20583229</t>
  </si>
  <si>
    <t>[General description] A truck loaded with salvaged building materials is parked in front of cottages which are undergoing demolition. [On back of photograph] 'Acre 188 / Waymouth Street, south side / 12 November 1959 / Left side of cottages is 33 yards west of Prospect Place and frontage is 7 yards'</t>
  </si>
  <si>
    <t>b20584271</t>
  </si>
  <si>
    <t>Waymouth Street, south side, February 19th 1959, right side of Wills building is 18 1/4 yards east of Young Street and frontage is 30 2/3 yards. For a view of this building in 1923 see B 1757. WD and HO Wills was founded as Wills, Watkins and Company, a tobacco shop in Bristol in 1786. It became tobacco importer and manufacturer of cigarettes. To the left of the Wills building stands the offices of David Miller and Sons Lime Limited (lime kilns at Wool Bay)</t>
  </si>
  <si>
    <t>Acre 198 Collection</t>
  </si>
  <si>
    <t>b2058748x</t>
  </si>
  <si>
    <t>Pirie Street, south side, January 12th 1959. Left side of the central three storey building (marked witrh a dot on the photograph) is 37.25 yards west of Gawler Place. Frontage of the building (from the dot to "x" on the photograph) is 40 yards. For a view of this building in 1910 see B 5381. The Salvation Army's People's Palace can be seen in the distance. Some of the businesses located in the buildings nearer to the camera include: Atkins Limited, The Town Hall branch of the E &amp; S and A Bank Limited, William Brindal and Sons and Epworth Books in the Epworth Building at Number 33 Pirie Street. Epworth Building was built in 1927 as administrative offices for the Methodist Church and the Methodist Book Depot. This unique building was built in the federation gothic design with a seven storey "U" shaped structure and was named after the birthplace of John Weslei in Lincolnshire, England</t>
  </si>
  <si>
    <t>b20589177</t>
  </si>
  <si>
    <t>[General description] This cottage, hidden behind a high fence appears to be part of a scrap metal or wrecker's yard which can be see through an open gate next door. An FJ Holden Ute is parked out front. On the right is the premises of the Thornquest Press. [On back of photograph] 'Acre 223 / Flinders Street, north side / September 17th 1959 / Right side of cottage behind fence is 53 yards west of Tucker Street and frontage is 11.5 yards'</t>
  </si>
  <si>
    <t>b20589530</t>
  </si>
  <si>
    <t>[General description] Street scene with cars and buildings. In the centre is a pair of attached two storey stone cottages, partially hidden by a leafless street tree. [On back of photograph]'Acre 277 / Flinders Street, north side / August 14th 1959 / Left side of two storey building is 8 yards east of Sudholz Place and frontage is 13 yards / For view of the empty lot on right of two storey building see B 14249'</t>
  </si>
  <si>
    <t>b20589542</t>
  </si>
  <si>
    <t>[General description] View of the rear of cottages in B 14247 with corrugated iron fencing, overgrown garden and outhouses, presenting an overall run down apprearance. [On back of photograph] 'Acre 277 / Flinders Street, north side / August 14th 1959 / Structures at back of building shown in B 14247'</t>
  </si>
  <si>
    <t>b20589554</t>
  </si>
  <si>
    <t>[General description] The silhouette of a tree in the foreground provides a frame for cottages up for auction on September 28th by Wilfred E. Taplin in two lots: The one on the far left (as seen in B 14247), the empty lot and the run-down cottage on the right. [On back of photograph 'Acres 227 and 226 / Flinders Street, north side / August 14th 1959 / Right side of two storey building on the left is 21 yards east of Sudholz Place and frontage is 11.5 yards / Frontage of empty lot is 11.5 yards / Frontage of cottage on right of photograph is 16 yards / For view of two storey building on left see B 14247 / For view of structures behind the two-storey building and set back in the empty lot see B 14248'</t>
  </si>
  <si>
    <t>b20589566</t>
  </si>
  <si>
    <t>Sudholz Place, Adelaide</t>
  </si>
  <si>
    <t>[General description] Cars are parked in the street near a dilapidated stone cottage with a concave verandah. [On back of photograph] 'Acre 227 / Sudholz Place / August 14th 1959 / Right side of cottage is 8 yards east of Sudholz Place and frontage is 16 2/3 yards'</t>
  </si>
  <si>
    <t>b20590568</t>
  </si>
  <si>
    <t>Flinders Street, north side, 26 February 1959, left side of AG Healing's building is 50.5 yards east of Gawler Place and total frontage of building and shops (to "x" mark on photograph)  is 57 yards. AG Healing was an Australian manufacturing firm founded in 1896 by Alfred George Healing. They produced bicyles and after diversifying in 1956 they moved to manufacturing television sets, refrigerators and washing machines</t>
  </si>
  <si>
    <t>b20594203</t>
  </si>
  <si>
    <t>Franklin Street, North Side, Adelaide</t>
  </si>
  <si>
    <t>[General description] This two storey stone building is being demolished. Next door is part of the premises of United Motors. [On back of photograph] 'Acre 241 / Franklin Street, north side / 10 December 1959 / Left side of buildings in course of demolition abuts east side of Young Street / Frontage of buildings is 17 yards'</t>
  </si>
  <si>
    <t>b20596844</t>
  </si>
  <si>
    <t>[General description] This five storey brick building was built in 1915 as a warehouse for Henry Berry &amp; Co., wholesale grocers and general merchants. The Bank of Adelaide building is seen on the left. [On back of photograph] 'Acre 267 / Franklin Street, south side / 10th September 1959 / Left side of Henry Berry's building is 7 yards west of Morialta Street / Frontage is 20 yards / For another view see B 14261'</t>
  </si>
  <si>
    <t>b20596856</t>
  </si>
  <si>
    <t>[General description] This five storey brick building was built in 1915 as a warehouse for Henry Berry &amp; Co., wholesale grocers and general merchants. The Bank of Adelaide building is seen on the left. [On back of photograph] 'Acre 267 / Franklin Street, south side / 10th September 1959 / Left side of Henry Berry's building is 7 yards west of Morialta Street / Frontage is 20 yards / For another view see B 14260'</t>
  </si>
  <si>
    <t>b20597137</t>
  </si>
  <si>
    <t>[General description] Two storey building on the south corner of Flinders Street and Victoria Square. It is on the site of the Reserve Bank Building which was built 1964-66. [On back of photograph] 'Acre 270 / Flinders Street, south side / 8th October 1959 / Left side of building abuts west side of Molton Street / Frontage on Flinders Street is 28 yards / Right side of building abuts onto the north-east corner of Victoria Square / For Victoria Square frontage see B 14267 / For view of building in 1937 see B 7118'</t>
  </si>
  <si>
    <t>b20597149</t>
  </si>
  <si>
    <t>[General description] Buildings on south corner of Victoria Square and Flinders Street with buses parked at the kerb. [On back of photograph] 'Acre 270 / Victoria Square, east side / 8th October 1959 / Left side of the white two-storey building abuts onto the south side of Flinders Street / Frontage: 25 yards / For Flinders Street frontage see B 14266 / Frontage of the single storey building on right is 10 yards / For a view of building on right see B 14268 / For view of the buildings in 1937 see B 7117'</t>
  </si>
  <si>
    <t>b20597150</t>
  </si>
  <si>
    <t>[General description] City buildings on the east side of Victoria Square, looking north east. [On back of photograph] 'Acre 270 / Victoria Square, east side / 8th October 1959 / Right side of the building on right with verandah is 70 yards north of Wakefield Street, its frontage: 11 1/3 yards / Three storey building frontage: 12 yards /  Frontage of long single storey building on the left : 12 yards. For view of buildings on the left see B 14267''</t>
  </si>
  <si>
    <t>b20600264</t>
  </si>
  <si>
    <t>[General description] View along Roper Street with city buildings and parked cars. A single storey corner shop is seen on the right. [On back of photograph] 'Acre 298 / Wakefield Street, north side / 27 August 1959 / Left side of cottage on right of photo abuts Roper Street, east side / Frontage of cottage on Wakefield Street is 7 yards, frontage on Roper Street is 15 yards'</t>
  </si>
  <si>
    <t>Acre 298 Collection</t>
  </si>
  <si>
    <t>b20602807</t>
  </si>
  <si>
    <t>St. Patrick's Church</t>
  </si>
  <si>
    <t>St. Patrick's Church, southern view of the building formerly used, Grote Street, north side, 14 May 1959. For eastern view see B14234. Building demolished in 1959. In 1845 the foundation stone for the previous St Patrick's Church- School was laid making it the principal place of Catholic worship in Adelaide until St Francis Xavier Cathedral was opened in 1858</t>
  </si>
  <si>
    <t>St. Patrick's Church (Adelaide, S.A.);Wrecking -- South Australia -- Adelaide</t>
  </si>
  <si>
    <t>Acre 320 Collection</t>
  </si>
  <si>
    <t>b20602819</t>
  </si>
  <si>
    <t>St. Patrick's Church, Grote Street, north side, 14 May 1959, eastern view of the building formerly used. Building demolished in 1959.</t>
  </si>
  <si>
    <t>b20608044</t>
  </si>
  <si>
    <t>James Street</t>
  </si>
  <si>
    <t>James Street, south side, 20th February 1959. Right side of building is directly opposite east side of James Street. Frontage of building is 9 2/3 yards.</t>
  </si>
  <si>
    <t>Acre 358 Collection</t>
  </si>
  <si>
    <t>b20609929</t>
  </si>
  <si>
    <t>[General description] This small cottage abuts a two storey industrial brick building on one side and a laneway on the other. A car is parked in front. A full view of the cottage on the left see B 14278. [On back of photograph] 'Acre 382 / Moonta Street, west side / 24 December 1959 / Left side of cottages is 53 yards north of Gouger Street / Frontage is 8 yards'</t>
  </si>
  <si>
    <t>b20609930</t>
  </si>
  <si>
    <t>[General description] This small cottage appears to have been updated some years earlier with pillars and low brick wall replacing an earlier front verandah. See B 14277 for its neighbour on the other side of the lane (on the right). [On back of photograph] 'Moonta Street, west side, 24 December 1959, left side of cottage is 42 yards north of Gouger Street, frontage is 8 yards.</t>
  </si>
  <si>
    <t>b20610178</t>
  </si>
  <si>
    <t>[General description] Part of this two storey building is the 'El Toro' Coffee Lounge. [On back of photograph] 'Acre 384 / Gouger Street, north side / 19 August 1959 / Right side of the coffee lounge building abuts west side of Whitcombe Street / Frontage is 7 yards'</t>
  </si>
  <si>
    <t>b20610920</t>
  </si>
  <si>
    <t>[General description] Cottages in Gouger Street. Monck Lane runs between the two houses on the right. [On back of photograph] 'Gouger Street, south side / 19 August 1959 / Right side of centre cottage is 54 yards east of West Terrace / Frontage of cottage is 8 yards'</t>
  </si>
  <si>
    <t>b20614068</t>
  </si>
  <si>
    <t>Angas Street, south side, 19th February 1959. Right side of the centre cottage is 29 1/3 yards east of Regent Street. Frontage of cottage is 9 yards. For a view of the building on the right, see B 14295. At 213-215 Angas Street the Duchess Frock Shop can be seen on the left of this photograph</t>
  </si>
  <si>
    <t>b20615474</t>
  </si>
  <si>
    <t>[General description] The end of a row of single storey attached cottages, partially obscured by a tree. [On back of photograph] 'Acre 445 / Carrington Street, north side / 29th October 1959 / Right side of cottages abuts west side of Royal Place / Frontage of cottages is 31 yards / For view of the continuation of these cottages on the left side see B14270.</t>
  </si>
  <si>
    <t xml:space="preserve"> Cottages -- South Australia -- Adelaide</t>
  </si>
  <si>
    <t>Acre 446 Collection</t>
  </si>
  <si>
    <t>b20615486</t>
  </si>
  <si>
    <t>[General description] The extension of the row cottages seen in B 14269. They are single storey, attached and share a stone and brick front wall with wrought iron railings. [On back of photograph] 'Acre 445 / Carrington Street, north side / 29th October, 1959 / Left side of cottages is 31 yards east of Royal Place / Total frontage of cottages is 31 yards / For view of the rest of these cottages on the right side see B14269'</t>
  </si>
  <si>
    <t>b20616521</t>
  </si>
  <si>
    <t>Wright Street, north side, February 19th 1959, right side of the building in course of demolition is 28 yards west of Market Street and frontage is 8 yards. The house was a two storey sandstone fronted house with an upper verandah featuring wrought iron lacework and a parapet</t>
  </si>
  <si>
    <t>b20617653</t>
  </si>
  <si>
    <t>[General description] These old cottages are being demolished. [On back of photograph] ' Acre 475 / Wright Street, south side / October 1st 1959 / Left side of the cottages in course of demolition abuts west side of St. Luke's Place / Wright Street frontage is 17.5 yards and St. Lukes Place frontage is 8 3/4 yards'</t>
  </si>
  <si>
    <t>Acre 475 Collection</t>
  </si>
  <si>
    <t>b20620329</t>
  </si>
  <si>
    <t>Hurtle Square, east side, February 10th 1959, frontage of both cottages is 12 yards and Halifax Street frontage is 20 3/4 yards. Right side of cottages in course of demolition abuts north side of Halifax Street.</t>
  </si>
  <si>
    <t>b20620330</t>
  </si>
  <si>
    <t>Halifax Street, north side, February 10th 1959, left side of centre cottage is 31 yards east of Hurtle Square and frontage is 7 yards. For views of building on this site in 1960 see B 14384 and B 14385. The building on the right houses the businesses of Weimann - Tailor. The empty block on the left of the central cottage was probably the garden belonging to the cottage. The old rainwater tank can be seen</t>
  </si>
  <si>
    <t>b20620597</t>
  </si>
  <si>
    <t>Halifax Street, north side, January 12th 1959, frontage of cottage is 7 yards. Left side of cottage abuts Queen Street, east. For another view see B 14218. The single fronted bluestone cottage appears to be in the course of demolition - the roof is missing.</t>
  </si>
  <si>
    <t>Acre 523 Collection</t>
  </si>
  <si>
    <t>b20620603</t>
  </si>
  <si>
    <t>Halifax Street, north side, February 20th 1959, frontage of cottage is 7 yards. Right side of the cottage on the left abuts west side of Queen Street. For a view and details of cottage on right of photograph see B 14206. These two single storey cottages are in the course of demolition</t>
  </si>
  <si>
    <t>b20623070</t>
  </si>
  <si>
    <t>Sturt Street, south side, February 20th 1959, Sturt Street frontage is 17 yards and Myers Street frontage is 35 yards. Right side of light coloured building abuts Myers Street, east side. For a view of building in 1940 see B 9556</t>
  </si>
  <si>
    <t>b20625303</t>
  </si>
  <si>
    <t>[General description] A cottage, partially obscured by a street tree is next door to the Wise Engine Service. At the kerb are parked cars including a classic fifties Chrysler, complete with two-tone duco and fins. [On back of photograph] 'Acre 591 / Hutt Street, west side / October 29th 1959 / Left side of cottage is 12 yards north of Gilles Street and frontage is 10 yards / Frontage of L.S. Wise is 10 yards / Total frontage including lane is 22 yards / For view of cottage in 1963 see B 14765'</t>
  </si>
  <si>
    <t>b20625315</t>
  </si>
  <si>
    <t>[General description] J &amp; O Hockhoff's corner shop is on the ground level of this two storey building with a balcony featuring decorative iron lace. A kiosk on the footpath outside sells icecream, newspapers etc. Note the telephone box at the corner. [On back of photograph] 'Acre 591 / Hutt Street (northwest corner of Gilles Street) / October 29th, 1959 / Left side of 2 storey building abuts north side of Gilles Street / Frontage of the building is 10 yards on the Hutt Street side and 20 yards on the Gilles Street side'</t>
  </si>
  <si>
    <t>b20625509</t>
  </si>
  <si>
    <t>[General description] This symmetrical cottage with gabled front verandah is partially obscured by a flowering street tree. It appears that the cottage is under process of renovation or demolition. [On back of photograph] 'Gilles Street, north side / September 4th 1959 / Left side of cottage is 85.5 yards east of Castle Street / Frontage of cottage is 10.5 yards'</t>
  </si>
  <si>
    <t>Acre 594 Collection</t>
  </si>
  <si>
    <t>b20626253</t>
  </si>
  <si>
    <t>Gilbert Street, north side, April 23rd 1959, right side of two cottages in course of demolition is 17 yards west of King William Street and frontage is 12 yards.</t>
  </si>
  <si>
    <t>b20626964</t>
  </si>
  <si>
    <t>Little Gilbert Street, Adelaide</t>
  </si>
  <si>
    <t>[General description] This early Adelaide cottage has a concave profile verandah and a picket fence. The property appears to be in poor condition. [On back of photograph] 'Acre 618 / Little Gilbert Street, west side / September 10th 1959 / Left side of cottage is 46 yards north of Gilbert Street and frontage is 7 yards'</t>
  </si>
  <si>
    <t>b20630098</t>
  </si>
  <si>
    <t>Louisa Street, west side, 10th February 1959. The building on the left of the photograph is on the west corner of South Terrace. The Louisa Street Frontage of this building is 19 3/4 yards. For South Terrace frontage see B 14207. For a view of this building in 1958 see B 14109</t>
  </si>
  <si>
    <t>b20630712</t>
  </si>
  <si>
    <t>[General description] This house is an older style which has had a bungalow style verandah added. It is about to be demolished [On back of photograph] 'Acre 678 / South Terrace / 4th September 1959 / The right side of the block on which this house is situated is 106 yards west of Hanson Street. Frontage of block: 33 yards / Frontage of house: approximately 19 1/2 yards / House demolished in 1959'</t>
  </si>
  <si>
    <t>Acre 678 Collection</t>
  </si>
  <si>
    <t>b20636532</t>
  </si>
  <si>
    <t>Brougham Place, February 26th 1959, right side of building is 140 yards west of O'Connell Street and frontage is 19 3/4 yards. This large two storey house is designed in the Regency style of architecture. It features a portico with column at the front  of the house</t>
  </si>
  <si>
    <t>b20639739</t>
  </si>
  <si>
    <t>Archer Street, north side, April 23rd 1959, right side of the cottage is 129 yards west of O'Connell Street and frontage is 10 3/4 yards. The single storey stone cottage has two windows on one side of the front door and a single one on the other side. The very small front garden is contained behind a wire fence. The windows of the cottage have decorative quoins</t>
  </si>
  <si>
    <t>b20646653</t>
  </si>
  <si>
    <t>Melbourne Street, north side, April 1st 1959, right side of cottages is in course of demolition and is 107 yards west of East Pallant Street. Frontage is 13 yards.</t>
  </si>
  <si>
    <t>b20646768</t>
  </si>
  <si>
    <t>Melbourne Street, north side, February 26th 1959, East Pallant Street frontage of cottage is 27 2/3 yards and Melbourne Street frontage is 6 2/3 yards. Left side of the white cottage is set slightly back from the east side of East Pallant Street. A low white pickett fence has been built along the side street and contains cypress trees growing very close to the side of the cottage</t>
  </si>
  <si>
    <t>b2064677x</t>
  </si>
  <si>
    <t>Stanley Street, south side, February 26th 1959, frontage on Stanley Street is 9 2/3 yards. Right side of cottage abuts east side of East Pallant Street. The cottage has a high parapet giving the building a square appearance</t>
  </si>
  <si>
    <t>Acre 1011 Collection</t>
  </si>
  <si>
    <t>b20647153</t>
  </si>
  <si>
    <t>Jerningham Street</t>
  </si>
  <si>
    <t>South west corner of Jerningham Street and Stanley Street, April 1st 1959,  Stanley Street frontage is 33 yards.</t>
  </si>
  <si>
    <t>Acre 1019 Collection</t>
  </si>
  <si>
    <t>b20647530</t>
  </si>
  <si>
    <t>Stanley Street, north side, 26th February 1959. Left side of the house is 9 1/2 yards east of LeFevre Terrace  frontage: 20 1/2 yards. The style of this house is Federation Arts and Crafts typified by rough cast walls, shingles, high pitched roofs and overhanging eaves. Scaffolding adorns the front suggesting house painting in progress</t>
  </si>
  <si>
    <t>Acre 1027 Collection</t>
  </si>
  <si>
    <t>b20690277</t>
  </si>
  <si>
    <t>Men with an airplane and vehicle used while salvaging the Yandra</t>
  </si>
  <si>
    <t>1 photograph : black and white   20.7 x 15.8 cm;still image sti rdacontent;unmediated n rdamedia;sheet nb rdacarrier</t>
  </si>
  <si>
    <t>Men apparently handling oxy-acetelene bottles beside an airplane (VH-RAZ) and a vehicle used while salvaging the Yandra. A researcher has provided the following information: this photograph was taken near the landing strip on Wedge Island, the nearest convenient location to South Neptune Island where the Yandra was stranded. The man on the right is Norm Growden, owner of Wedge Island at the time. The aircraft is a de Havilland Beaver, the first of many later owned by Robby's Aerial Services. The aircraft was destroyed in a crash at Narrung, South Australia, in November 1959 and Adrian Lee, the manager and chief pilot of the company, was killed.</t>
  </si>
  <si>
    <t>Yandra (Ship);Robby's Aircraft Company Ltd.;De Havilland aircraft.</t>
  </si>
  <si>
    <t>b20309259</t>
  </si>
  <si>
    <t>Photograph (b&amp;w print)  16 cm x 21.5 cm;C1</t>
  </si>
  <si>
    <t>The spillway at the reservoir, the main source of water supply to the metropolitan area of Adelaide.</t>
  </si>
  <si>
    <t>b20578179</t>
  </si>
  <si>
    <t>Grenfell Street, south side, on January 12th 1959. The frontage of the cottage on the corner of Tam O'Shanter Place is 10 3/4 yards. For a view of buildings on right of cottage see B 14205. The car on the right is a Standard Vanguard. It is parked outside Jacka &amp; Moulds, Motor Engineers. Being opposite the East End Market this firm, established in the 1930s, repaired the market gardeners trucks like the one in the centre. These were often very old and in poor condition and some parts had to be fabricated on site. At the time of this photo, the firm was owned by Mr. O.L.(Ossie) Jacka and Mr. Harold Moulds. Mr. O.R. (Ray) Jacka (Ossie's son) was in charge of the workshop. The firm was wound up in the late sixties and the premises taken over by H.L. Bananas. The cottage next door was demolished. See B 21114 for a photo taken on the 6th November, 1970.</t>
  </si>
  <si>
    <t>East End Fruit and Vegetable Produce Market (Adelaide, S.A.);Motor industry -- South Australia -- Adelaide</t>
  </si>
  <si>
    <t>b20578180</t>
  </si>
  <si>
    <t>Grenfell Street, south side, on January 12th, 1959. A man wearing overalls is crossing Grenfell Street and is approaching the premises of Jacka &amp; Moulds, Motor Engineers. He is probably one of their mechanics. For a view of buildings on right of cottage see B 14205. The car on the right is a Standard Vanguard. It is parked outside Jacka &amp; Moulds, Motor Engineers. Being opposite the East End Market this firm, established in the 1930s, repaired the market gardeners trucks like the one in the centre. These were often very old and in poor condition and some parts had to be fabricated on site. At the time of this photo, the firm was owned by Mr. O.L.(Ossie) Jacka and Mr. Harold Moulds. Mr. O.R. (Ray) Jacka (Ossie's son) was in charge of the workshop. The firm was wound up in the late sixties and the premises taken over by H.L. Bananas. The cottage next door was demolished. See B 21114 for a photo taken on the 6th November, 1970.</t>
  </si>
  <si>
    <t>b20318042</t>
  </si>
  <si>
    <t>Shell Collection, Mt.Gambier</t>
  </si>
  <si>
    <t>Gertie Dodd (nee Sudholz) &amp; her shell collection at home in Mount Gambier.</t>
  </si>
  <si>
    <t>b20321752</t>
  </si>
  <si>
    <t>State Sawmill, Mount Gambier</t>
  </si>
  <si>
    <t>Photograph (b&amp;w print)  13.8 cm x 21 cm;C1</t>
  </si>
  <si>
    <t>Premises of a State Sawmill with a Wickmann log sorter in action, Mount Gambier.</t>
  </si>
  <si>
    <t>b20546245</t>
  </si>
  <si>
    <t>[General description] This building appears to be closed up with barred doors and windows on the ground floor. Upstairs window glass is broken. [On back of photograph] 'Acre 16 / Gresham Street, west side / 9 September 1960 / Left side of centre building is 78 yards north of Hindley Street /  Total frontage of building (see B 14393 for contiuation) is 18 yards'</t>
  </si>
  <si>
    <t>b20546257</t>
  </si>
  <si>
    <t>[General description] This is a continuation of the building seen in B 14392. [On back of photograph] 'Acre 16 / Gresham Street, west side / 9 September 1960 / For view of the rest of this building see B 14392]</t>
  </si>
  <si>
    <t>b20552166</t>
  </si>
  <si>
    <t>[General description] 'MyLady's Dainties' Corner with city buildings, shops and cars. MyLady's Dainties was a lingerie shop. The driver of the FJ Utility is making a hand signal to turn right. [On back of photograph] 'Acre 39 / North west corner of Rundle Street and Pulteney Street / May 26, 1960 / Rundle Street frontage of white building is 23 yards.'</t>
  </si>
  <si>
    <t>b20553821</t>
  </si>
  <si>
    <t>[General description] The York Theatre, built in 1921 and demolished in 1960s when Gawler Place was widened (see BRG 304/1/6)The film playing at this time is 'Cry Tough', released in 1959 and starring John Saxon and Linda Cristal. On the right is the Oriental Hotel, on the left is Birks Chemist and Archer and Holland, Opticians. [On back of photograph] 'Acre 43 / Rundle Street, north side / September 28th 1960 / Left side of York Theatre abuts east side of Gawler Place / For view taken in 1921, see B 826'</t>
  </si>
  <si>
    <t>York Theatre (Adelaide, S.A.)</t>
  </si>
  <si>
    <t>b20554400</t>
  </si>
  <si>
    <t>[General description] This is the Charles Birks building before its rebuild completed 1962. A sign (bottom right hand corner of photograph) shows an image of the new building. [On back of photograph] 'Acre 44 / Rundle Street, north side / May 9th 1960 / The right side of Birks building abuts west side of Gawler Place (as at 9 May 1960) and left side of Birks building abuts east side of Stephens Place / For view of the building subsequently erected on this site see B 14541'</t>
  </si>
  <si>
    <t>Charles Birks &amp; Co. (Adelaide, S.A.);Department stores -- South Australia -- Adelaide</t>
  </si>
  <si>
    <t>Acre 44 Collection</t>
  </si>
  <si>
    <t>b20554412</t>
  </si>
  <si>
    <t>[General description] A policeman on traffic duty is seen on the extreme left of this view of the eastern side of Charles Birks building. Shoppers are crossing Gawler Place. [On back of photograph] 'Rundle Street, north side, May 9th 1960 / Right side of Birks building abuts west side of Gawler Place (as at 9 May 1960) / For building subsequently on this site see B 14542'</t>
  </si>
  <si>
    <t>Department stores -- South Australia -- Adelaide;Charles Birks &amp; Co. (Adelaide, S.A.)</t>
  </si>
  <si>
    <t>b20554424</t>
  </si>
  <si>
    <t>[General description] On the left is the western side of Birks Department Store, on the right is the Rundle Street frontage. [On back of photograph] 'Acre 44 / Rundle Street, north side / May 9, 1960 / Left side of Birks building abuts east side of Stephens Place'</t>
  </si>
  <si>
    <t>Charles Birks &amp; Co. (Adelaide, S.A.)</t>
  </si>
  <si>
    <t>b20554436</t>
  </si>
  <si>
    <t>[General description] Looking along Stephens Place from Rundle Streeet, showing Birks Department Store frontage on the left. [On back of photograph] 'Acre 44 / Rundle Street, north side / May 9, 1960'</t>
  </si>
  <si>
    <t>b2055641x</t>
  </si>
  <si>
    <t>[General description] King William Street, west side on June 29th, 1960. Roadworks are in progress in the centre of King William Street. The ornate building in the centre is the premises of one of Malcolm Reid's carpets and furniture stores. According to a researcher, this is the Kithers Building, opened in 1908. It was the first reinforced concrete building erected in Adelaide (and one of the first in Australia). It was built by the architect was Herbert Louis Jackman, structural engineer [Sir] John Monash and South Australian Reinforced Concrete Co. Earth from the basement excavation was used to build up the northern mound at the Adelaide Oval. This photograph would have been taken just before the balconies and other external features were removed and the facade covered by aluminium cladding.</t>
  </si>
  <si>
    <t>b20558132</t>
  </si>
  <si>
    <t>[General description] The very ornate West's Coffee Palace, built 1903 in the grand Edwardian style. Architect: Albert Selmar Conrad. [On back of photograph] 'Acre 52 and 53 / Hindley Street, north side / 29 June 1960 / For other views of West's Coffee Palace taken on this date see B 14328 and B 14329 / For information and overall measurements see B 2112, taken in 1908.'</t>
  </si>
  <si>
    <t>West's Coffee Palace (Adelaide, S.A.)</t>
  </si>
  <si>
    <t>Acre 52 Collection</t>
  </si>
  <si>
    <t>b20558144</t>
  </si>
  <si>
    <t>[General description] The very ornate West's Coffee Palace, built 1903 in the grand Edwardian style. Architect: Albert Selmar Conrad. [On back of photograph] 'Acre 52 and 53 / Hindley Street, north side / 29 June 1960 / For other views of West's Coffee Palace taken on this date see B 14327 and B 14329 / For information and overall measurements see B 2112, taken in 1908.'</t>
  </si>
  <si>
    <t>b20558156</t>
  </si>
  <si>
    <t>[General description] The very ornate West's Coffee Palace, built 1903 in the grand Edwardian style. Architect: Albert Selmar Conrad. A sign at the front of the building advises that it is to be 'Modernised  Portions will be available for sale' [On back of photograph] 'Acre 52 and 53 / Hindley Street, north side / 29 June 1960 / For other views of West's Coffee Palace taken on this date see B 14327 and B 14328 / For information and overall measurements see B 2112, taken in 1908.'</t>
  </si>
  <si>
    <t>b20558661</t>
  </si>
  <si>
    <t>ACC Rubbish removal, Register Street</t>
  </si>
  <si>
    <t>[General description] Adelaide City Council truck and workers collecting rubbish. [On back of photograph] 'Acre 56 / Register Street, west side / 9 September 1960 / Left side of the building is 35 yards north of Hindley Street and frontage is 11 yards / For view taken in 1953 see B 12839'</t>
  </si>
  <si>
    <t>b20563759</t>
  </si>
  <si>
    <t>[General description] Pedestrians and city buildings on Rundle Street. The Belle building and Kodak's premises on the left are modernist in style. [On back of photograph] 'Acre 80 / Rundle Street, south side / 24 August 1960 / Right side of Belle building ( the tallest building) is 22 yards east of James Place / Frontage of Belle Building is 7 yards /  For a view of this site taken in 1942 from the same point, see B10934'</t>
  </si>
  <si>
    <t>b20565331</t>
  </si>
  <si>
    <t>Leaver Brothers, Rundle Street</t>
  </si>
  <si>
    <t>Photograph  14.1 cm x 8 cm</t>
  </si>
  <si>
    <t>[General description] A workman is putting final touches on the new modernist Leaver Brothers building. Leaver Brothers were hat manufacturers and menswear retailers. A Silvertop taxi (an FX Holden) is parked in front of the building. [On back of photograph] 'Acre 83 / Rundle Street, south side / Left side of Leaver Bros. abuts west side of Linde's Lane / Frontage is 12-1/2 yards'</t>
  </si>
  <si>
    <t>Acre 83 Collection</t>
  </si>
  <si>
    <t>b20567315</t>
  </si>
  <si>
    <t>Hindmarsh Square, Adelaide</t>
  </si>
  <si>
    <t>[General description] Parked cars, trees and the premises of Ronald S. Tanner. The large building behind Tanner's was the premises of Foy &amp; Gibson's until the mid fifties when the department store became Cox Foys and moved further west along Rundle Street. The building was taken over by various Government Departments, later demolished mid 70s. [On back of photograph] 'Acre 87 / Hindmarsh Square, north side / September 22nd 1960 / Left side of Tanners is 23 yards east of Pulteney Street and frontage is 26 yards / For view of R.S. Tanner in 1939 see B 8204'</t>
  </si>
  <si>
    <t>Acre 87 Collection</t>
  </si>
  <si>
    <t>b20570405</t>
  </si>
  <si>
    <t>[General description] Two popular FJ / FX Holden cars are parked in front of a section of a larger building (see B 13815) which at one time housed the Young Men's Christian Association. Sellicks furniture retailer is having a removal sale on the ground floor. On the left is part of the premises of well-known Adelaide jeweller C.W. Ottaway which closed in January 2016 after ninety-three years trading. [On back of photograph] 'Acre 106 / September 28, 1960 / Grenfell Street, north side / Right side of centre building is 23 yards west of Gawler Place, Frontage: 16 yards'</t>
  </si>
  <si>
    <t>b20571276</t>
  </si>
  <si>
    <t>[General description] Street scene with cars, the focus being on the Imperial Hotel, built in 1866 for Asher Hamm with Michael McMullen being the architect. It is situated on the NE corner of King William and Grenfell Streets. Advertisements for Orlando wines and West End beer are prominently displayed. The hotel, built in 1866 is soon to be demolished and replaced by the National Mutual Building (1961). The car in the centre is a Holden 1950s FE or FC. [On back of photograph] 'Acre 108 / King William Street, east side / July 18th 1960 / For another view of the Imperial taken on the same day see B 14342'</t>
  </si>
  <si>
    <t>Imperial Hotel (Adelaide, S.A.)</t>
  </si>
  <si>
    <t>b20571288</t>
  </si>
  <si>
    <t>[General description] The Imperial Hotel, built in1866 for Asher Hamm with Michael McMullen being the architect. Situated on the NE corner of King William and Grenfell Streets it is soon to be demolished (1960), the last licensee being T.J. Leahy. The hotel was replaced by the National Mutual Building, 1961. On the right is the T&amp;G Building. [On back of photograph] 'Acre 108 / King William Street, east side / July 18th 1960 / For another view of the Imperial taken on the same date, see B 14335'</t>
  </si>
  <si>
    <t>b20571860</t>
  </si>
  <si>
    <t>Currie Street north side, west corner of Gilbert Place, November 1960. Building in the course of demolition. For a view of the building subsequently built on this site see B 14495. Bennett and Fisher Limited were the tenants before demolition, Bennett and Fisher were a South Australian business dealing in wool, land, stock and insurance. The business moved to premises in Bowman Buildings in King William Street</t>
  </si>
  <si>
    <t>b20572505</t>
  </si>
  <si>
    <t>[General description] Cars are seen in the foreground of this view of Royal Chambers, a three storey building which appears to be somewhat run down. On the left is part of the Bickford Building. [On back of photograph] 'Acre 110 / Currie Street, north side / July 18th 1960 / Right side of Royal Chambers abuts west side of Peel Street / Frontage of Royal Chambers is 15 yards / For a view taken in 1959 see B 14232'</t>
  </si>
  <si>
    <t>b20575853</t>
  </si>
  <si>
    <t>Napoleon Court, Adelaide</t>
  </si>
  <si>
    <t>[General description] The King William Street frontage for the Napoleon Hotel is only 21 feet, its depth is 195 feet 10 inches. Napoleon Lane is a private right of way providing access to the rear of the building. The taxi in the foreground bears a logo which is probably that of the St George's cab company. [On back of photograph] 'Acre 141 / Napoleon Court / May 26th 1960 / Southern side of Napoleon Hotel is 42 yards south of Grenfell Street / Lane is 5 1/2 yards in width'</t>
  </si>
  <si>
    <t>Napoleon Hotel (Adelaide, S.A.);Adelaide (S.A.) -- Buildings, structures, etc.</t>
  </si>
  <si>
    <t>b20578842</t>
  </si>
  <si>
    <t>[General description] There is a mid-fifties model of Standard Vanguard car in the foreground of this view of J.Todd &amp; Son Ltd, 'Todson', manufacturers of 'Steel equipment, buildings, garages,motor accessories  and agricultural machinery' [On back of photograph] 'Acre 161 / Pirie Street, north side / 23rd September 1960 / Left side of Todd &amp; Son abuts east side of Barlow Lane / Frontage of Todd &amp; Son is 33 yards'</t>
  </si>
  <si>
    <t>b20582353</t>
  </si>
  <si>
    <t>[General description] City buildings and parked cars showing the centre building under process of demolition or re-modelling. Business premises on the left are for Mica Insulating Supplies Co. Pty. Ltd. and Shovelton &amp; Storey, printers. [On back of photograph] 'Acre 177 / Waymouth Street, north side / May 8th 1960 / Left side of centre building is 17 yards east of Light Square and frontage is 15 yards / For a view of this building taken in 1958 see B 14107'</t>
  </si>
  <si>
    <t>b20582808</t>
  </si>
  <si>
    <t>[General description] Two two storey buildings, both part of Gale &amp; Co.'s premises. The one on the left is built from stone, the corner building is brick with arched doors and windows at ground level. [On back of photograph] 'Acre 184 / Waymouth St., north side / March 17th, 1960 / Right side of Gale &amp; Co.'s building abuts west side of Gray Street / Frontage is 25 yards'</t>
  </si>
  <si>
    <t>b20583011</t>
  </si>
  <si>
    <t>[General description] The old premises of Castalloy are for sale: There is a sign on the building from Wilfred E. Taplin Real Estate agents advertising it for 'Private Sale'. Castalloy moved to new premises in North Plympton earlier, in 1953. [On back of photograph] 'Acre 186 / Waymouth Street, north side / May 8th 1960 / Left side of building is 23 yards east of West Terrace and frontage is 23 yards.</t>
  </si>
  <si>
    <t>b2058314x</t>
  </si>
  <si>
    <t>[General description] This is one of the gabled ends of a single story stone terrace. The building appears to be in run down condition, especially the roofs. It is probably about to be re-modelled or demolished. [On back of photograph] 'Acre 187 and 188 / Waymouth Street, south side / 18 July 1960 / For a view of the whole line of cottages of which this one forms a part, see B 14341 / The Grattan Street frontage of cottages is 14 yards'</t>
  </si>
  <si>
    <t>b20583151</t>
  </si>
  <si>
    <t>[General description] This is one of the gabled ends of a single story stone terrace. The building appears to be in run down condition, especially the roofs. It is probably about to be re-modelled or demolished. [On back of photograph] 'Acre 187 and 188 / Waymouth Street, south side / 18 July 1960 / For a view of the other end of the terrace which abuts Grattan Street, see B 14340'</t>
  </si>
  <si>
    <t>b20583278</t>
  </si>
  <si>
    <t>[General description] On the left is a pair of maisonettes with verandahs, on the right is a single fronted stone cottage in poor condition, probably about to be demolished. [On back of photograph] 'Acre 189 / Gray Street, west side / September 9m 1960 / For a view of the rest of this row of buildings. with measurements, see B 14395'</t>
  </si>
  <si>
    <t>Cottages -- South Australia</t>
  </si>
  <si>
    <t>b2058328x</t>
  </si>
  <si>
    <t>[General description] The cottage on the left is in poor condition, probably due for demolition and the pair of maisonettes on the right are likely to share the same fate. [On back of photograph] 'Acre 189 / Gray Street, east side / 9 September 1960 / Left side of row of four buildings (of which this view shows a part) is 28 yards south of Waymouth Street / Total frontage of row of buildings is 29 yards / For view of the rest of the buildings in this row see B 14394 / For view of the building on the left in 1940 see B 9560'</t>
  </si>
  <si>
    <t>b20583291</t>
  </si>
  <si>
    <t>Photograph  13.7 cm x 9.0 cm</t>
  </si>
  <si>
    <t>Waymouth Street, frontage of Hotel is 19 yards. According to a researcher, this building is on the south side of Waymouth Street, on the corner of Gray Street. The corner shop is owned by Christ and Vardas and newspaper headings include The Advertiser's "Kruschev's Fantastic Balcony Scene", TV Week's "Bobby Limb in Adelaide", and Woman's Day "Mrs Beeton's best recipes". The corner shop also sells Alaska ice cream family blocks and fruit</t>
  </si>
  <si>
    <t>b20588082</t>
  </si>
  <si>
    <t>[General description] The premisies of Padfield's Motor Works, dealers in Chrysler Royal, Standard Vanguard and Dodge spare parts and used cars. A shell shaped sign over the entrance  indicates Shell petrol, oil etc. is sold there. 'Shellubrication' is advertised. [On back of photograph] ' Acre 210 / Pirie Street, south side / August 16th 1960 / Left side of Padfield's Motor Works abuts west side of Naylor Street / Frontage of Padfields Motors is 30 yards / For view of this building in  1927 see B 4042'</t>
  </si>
  <si>
    <t>b20589050</t>
  </si>
  <si>
    <t>[General description] Sven Kallins bulk store occupies a house, yard and sheds. Its fence displays advertisements for the various electrical appliances on sale. Parked on the left is a fifties vintage VW Kombi. [On back of photograph] 'Acre 222 / Flinders Street, north side / November 3rd 1960 / Left side of Kallins bulk store is 29 yards east of Tucker Street / Frontage is 32 yards / For rest of Sven Kallins bulk store see B 14410'</t>
  </si>
  <si>
    <t>Acre 222 Collection</t>
  </si>
  <si>
    <t>b20589062</t>
  </si>
  <si>
    <t>[General description] Cars are parked at the kerb in front of Sven Kallins bulk store. A sign on the right invites customers to 'Come in and inspect'. [On back of photograph] 'Acre 222 / Flinders Street, north side / November 3rd 1960 / For view of the rest of Sven Kallins bulk store see B 14409'</t>
  </si>
  <si>
    <t>b20593648</t>
  </si>
  <si>
    <t>[General description] This white building has not changed much since 1922 (see B 1046) but modes of transport have. Cars are now parked at the kerb. Part of the Advertiser building is seen in the background. [On back of photograph] 'Acre 238 / Franklin Street, north side / 20 October 1960 / Left side of the white building abuts east side of Post Office Place / Franklin Street frontage is 17 yards / Post Office Place frontage is 28 yards'</t>
  </si>
  <si>
    <t>Acre 238 Collection</t>
  </si>
  <si>
    <t>b20594513</t>
  </si>
  <si>
    <t>Franklin Street, north side, 28 November 1960. The right side of the centre building is 36 yards west of Tatham Street, frontage: 7 and a half yards. Franklin House can be seen to the left of this photograph. It housed the Provencial Press Association, SA Country Newspaper Offices, Rainbow Spray Irrigation Company</t>
  </si>
  <si>
    <t>b20594902</t>
  </si>
  <si>
    <t>[General description] A man in overalls stands next to his (?) Holden car in front of a pair of single storey brick maisonnettes with bullnose verandah and iron lace. This building is about to be demolished. [On back of photograph] 'Acre 248 /  Franklin Street, north side / 27 January 1960 / Left side of the cottages is 18 yards east of Crowther Street / Frontage of the area between the crosses is 12 yards / For view of building on this site in November 1960 see B 14368'</t>
  </si>
  <si>
    <t>b20594914</t>
  </si>
  <si>
    <t>[General description] Two men are silhouetted against the sky on the roof of a partially completed three storey building. In the foreground cars are parked at the kerb. [On back of photograph] 'Acre 248 / Franklin Street, north side / 28 November 1960 / Left side of R.G. Bray Ltd. is 17 yards east of Crowther Street / Frontage: 13 yards / For view of building on this site in January 1960 see B 14285'</t>
  </si>
  <si>
    <t>b2059561x</t>
  </si>
  <si>
    <t>[General description] A two storey stone house in the centre has a wide ground floor verandah and iron lace panels on its balcony where washing hangs out to dry. The Flagstaff Hotel (on the left) was built around 1855 as the Sir John Franklin Inn. At the time of this photograph D.J. Carmody is the licensee. See B 14337 for a view taken from a different angle on the same day. [On back of photograph] 'Acre 256 / Franklin Street, south side / 18th July 1960 / Right side of building in centre is 30 yards east of Gray Street / Frontage is 15 yards'</t>
  </si>
  <si>
    <t>Flagstaff Hotel (Adelaide,S.A.)</t>
  </si>
  <si>
    <t>b20595621</t>
  </si>
  <si>
    <t>[General description] The Flagstaff Hotel (on the left) was built around 1855 as the Sir John Franklin Inn. It has a wide verandah and balcony with elaborate iron lace panels. At the time of this photograph D.J. Carmody is the licensee. A two storey stone house in the centre has a wide ground floor verandah and iron lace panels on the balcony where washing hangs out to dry. See B 14336 for a view taken from a different angle on the same day. [On back of photograph] 'Acre 256 / Franklin Street, south side / 18th July 1960 / Right side of building in centre is 30 yards east of Gray Street / Frontage is 15 yards'</t>
  </si>
  <si>
    <t>b20595980</t>
  </si>
  <si>
    <t>Morphett Street, Adelaide</t>
  </si>
  <si>
    <t>[General description] There are parked cars in front of two attached cottages which are undergoing building work. Renovation or demolition? Housing is giving way to commercial enterprises. [On back of photograph] 'Acre 261 / Morphett Street, east side / September 15, 1960 / Left side of the two centre buildings is 10 yards south of Tennant Street / Frontage of the two buildings together is 19 yards'</t>
  </si>
  <si>
    <t>Acre 261 Collection</t>
  </si>
  <si>
    <t>b2059608x</t>
  </si>
  <si>
    <t>Bowen Street, Adelaide</t>
  </si>
  <si>
    <t>[General description] The verandahs have been removed from this dilapidated two storey building. It is probably going to be demolished. [On back of photograph] 'Acre 262 / Bowen Street, east side / 8th May, 1960 / Left side of two storey building is 51 yards south of Franklin Street / Frontage of two storey building is 5 yards'</t>
  </si>
  <si>
    <t>Acre 262 Collection</t>
  </si>
  <si>
    <t>b20596601</t>
  </si>
  <si>
    <t>[General description] The new modern building for Cooperative Insurance makes use of clean straight lines, glass and manufactured stone cladding. [On back of photograph] 'Acre 266 / Franklin Street, south side / 28th November 1960 / Right side of the C.I.C. building is 59 yards east of Pitt Street, its frontage is 11 yards / It was completed in 1958 / For view of the site in 1954 see B 12962'</t>
  </si>
  <si>
    <t>b20597381</t>
  </si>
  <si>
    <t>[General description] This building is undergoing alterations or demolition. An FJ Holden car is in the foreground. [On back of photograph] 'Acre 271 / North east corner of Gawler Place and Bray Street / 16th August 1960 / Right side of building abuts south side of Bray Street / Frontage is 11 yards / For view of this building in 1952 see B 12360'</t>
  </si>
  <si>
    <t>b20598877</t>
  </si>
  <si>
    <t>[General description] This cottage is viewed from the side showing its backyard with trees. There is a galvanised iron fence in surrounding the building. [On back of photograph] 'Acre 284 / Ifould Street, north side / 18th May 1960 / Right side of the building abuts the west side of Hutt Street /  Frontage on Ifould Street is 15 yards / For view of this building on the Hutt Street frontage see B 14364'</t>
  </si>
  <si>
    <t>b20598889</t>
  </si>
  <si>
    <t>[General description] City cottages, the central one has a closed in verandah. Cars are parked under shady street trees. [On back of photograph] 'Acre 284 / Hutt Street, west side / 20th October 1960 / Left side of the centre building abuts north side of Ifould Street / Frontage: 15 yards / For view of this building showing the Ifould Street frontage see B 14316'</t>
  </si>
  <si>
    <t>b2059902x</t>
  </si>
  <si>
    <t>[General description] Cars parked in front of a pair of maisonettes, each with front verandah and bay window. [On back of photograph] 'Acre 285 / Flinders Street, south side / 9th September 1960 / Right side of the dwelling is 57 yards east of Hutt Street / Frontage: 12 yards'</t>
  </si>
  <si>
    <t>b20599651</t>
  </si>
  <si>
    <t>[General description] Cars are parked in the street in front of a white painted cottage with a stone facade. It is in process of demolition or re-modelling.  [On back of photograph] 'Acre 292 / Wakefield Street, north side / 18 July 1960 / Right side of building is 70 yards west of Daly Street, frontage is 11 yards'</t>
  </si>
  <si>
    <t>b20600197</t>
  </si>
  <si>
    <t>[General description] This two storey stone building has a tall cyclone wire fence across its frontage. Next door is an electrical goods retailer. [On back of photograph] 'Acre 297 / Wakefield Street, north side / 18 May 1960 / Left side of centre building is 54 yards west of Hanson Street / Frontage is 12 yards'</t>
  </si>
  <si>
    <t>b20601220</t>
  </si>
  <si>
    <t>Grote and Morialta Streets, Adelaide</t>
  </si>
  <si>
    <t>[General description] City buildings on either side of Morialta Street with parked cars including a taxi. [On back of photograph] 'Acre 306 / Grote and Morialta Street, north east corner / 26 May 1960 / Right side of the building marked with crosses abuts north side of Grote Street / Frontage: 23 yards'</t>
  </si>
  <si>
    <t>b20602339</t>
  </si>
  <si>
    <t>[General description] This building was completed in 1925 for Wunderlich Ltd (See B 4054). It has more recently been the Depot for Adelaide Parcel Express and Country Carriers. Alterations are being carried out, including new windows. [On back of photograph] 'Acre 313 / Morphett Street, west side / 23 September 1960 / Left side of Depot building abuts north side of Grote Street / Frontage: 28 yards'</t>
  </si>
  <si>
    <t>Acre 313 Collection</t>
  </si>
  <si>
    <t>b20602467</t>
  </si>
  <si>
    <t>[General description] The premises of Dominion Motors, dealers in Jaguar and Packard cars. A utility vehicle and a couple of Jaguar cars are parked in front of the building. [On back of photograph] 'Acre 314 / Grote Street, north side / 26 May 1960 / Left side of Dominion Motors' building is 45 yards east of Byron Place / Frontage: 17 yards'</t>
  </si>
  <si>
    <t>b20602820</t>
  </si>
  <si>
    <t>[General description] Part of the complex of buildings around St. Patrick's Church. Part of the church spire can be seen on the left. [On back of photograph] 'Acre 320 / West Terrace, east side / 26 May 1960 / Right side of building abuts north side of Grote Street / For view of the rest of the building of which this forms a part see B 14304 / Total frontage of building: 38 yards'</t>
  </si>
  <si>
    <t>St. Patrick's Church (Adelaide, S.A.)</t>
  </si>
  <si>
    <t>b20602832</t>
  </si>
  <si>
    <t>[General description] The Catholic Archbishop's Residence, still in use today (2018). See B 6716 for another view and description of the building. [On back of photograph] 'West Terrace, east side / 26 May 1960 / Left side of building is 38 yards north of Grote Street / For a view of the rest of the building of which this forms a part see B 14303 / Total frontage of building is 38 yards'</t>
  </si>
  <si>
    <t>b20602996</t>
  </si>
  <si>
    <t>[General description] This light coloured corrugated iron building is part of the premises for Whiting &amp; Chambers Ltd., 'The home of Balanced Brand Stock &amp; Poultry Foods'. See B 14301 for the building on the left. [On back of photograph] 'Acres 324 and 325 / Grote Street, south side / 8 May 1960 / Frontage is 22 yards, left side of building is 22 yards west of Burlington Place'</t>
  </si>
  <si>
    <t>Acre 325 Collection</t>
  </si>
  <si>
    <t>b20603009</t>
  </si>
  <si>
    <t>[General description] Part of the premises of Whiting &amp; Chambers, Grain Merchants. See B 14300 for the building on the right. [On back of photograph] 'Acre 325 / Grote Street, south side / 8 May 1960 / Left side of brick building abuts west side of Burlington Place / Frontage of building is 22 yards / For view of these premises taken in 1935 see B 6389'</t>
  </si>
  <si>
    <t>b20608147</t>
  </si>
  <si>
    <t>Angas Street, Adelaide</t>
  </si>
  <si>
    <t>[General description] This two storey block of modern flats is partially obscured by a street tree. On either side of the flats are single fronted cottages of an earlier era. [On back of photograph] 'Acre 359 / Angas Street, north side / 2nd February 1960 / Right side of flats is 41 yards west of James Place / Frontage of flats is 18 yards'</t>
  </si>
  <si>
    <t>b20610944</t>
  </si>
  <si>
    <t>[General description] This small shop with attached cottage looks to be in poor condition. Advertisements in front of the shop are for Amscol, 'Your' Ice Cream, Glovers Pies and Pasties and Pepsi Cola. Workmen with trucks and machinery on the empty block on the right are completing demolition work on earlier buildings. (See B 13083). [On back of photograph] 'Acre 394 / Gouger Street, south side / 23 September 1960 / Right side of area marked between crosses is 18 yards east of Murray's Lane / Frontage of area between crosses is 4 yards'</t>
  </si>
  <si>
    <t>b20611298</t>
  </si>
  <si>
    <t>[General description] Gouger Street is a mixed residential / light industrial area. Two cottages both with concave verandahs feature in this photograph. The one on the right abuts a factory style building. [On back of photograph] 'Acre 397 / Gouger Street, south side / May 26th 1960 / Frontage of both cottages is 19 yards'</t>
  </si>
  <si>
    <t>b20611821</t>
  </si>
  <si>
    <t>[General description] City buildings and parked cars on Gouger Street. Businesses are: Lilydale Sweets and magazines  James H. Clark, Jeweller: Paul's Cafe, a previous Bank of Adelaide Building  a Milk Bar and ColorCo paint shop. [On back of photograph] 'Acre 403 / Gouger Street, south side / March 3rd 1960 / Right side of the Milk bar is 20 yards east of Field Street and frontage is 11 yards / For view of these buildings taken in 1953 see B 12522'</t>
  </si>
  <si>
    <t>b20611833</t>
  </si>
  <si>
    <t>[General description] City buildings with cars parked at the kerb. The centre building is a motorcycle dealer's. [On back of photograph] 'Acre 403 / Gouger Street, south side / September 1st 1960 / Right side of Motor Cycles shop abuts east side of Field Street /  Frontage is 14 yards'</t>
  </si>
  <si>
    <t>b20613337</t>
  </si>
  <si>
    <t>[General description] This two storey building has a large balcony with iron lace panels and a wide verandah at ground level. It is partly obscured by cars and a street tree. Tram lines and wires are seen in the foreground with lines turning into the tram barn which is on the opposite side of the road. [On back of photograph] 'Acre 411 / Angas Street, south side / August 16th 1960 / Right side of the building is 55 yards east of Nelson Street and frontage of building is 17 yards / Taken in 1923, see B 1323'</t>
  </si>
  <si>
    <t>b2061407x</t>
  </si>
  <si>
    <t>[General description] There are parked cars and Jacaranda trees on the street in front of this new two storey modernist buiding at number 207-209. [On back of photograph] 'Acre 420 / Angas Street, south side / 31st March 1960 / Right side of buildings marked with crosses is 13 yards east of Regent Street / Frontage: 16 yards / This building was completed in 1957 / For view of the dwelling on the left see B 14215'</t>
  </si>
  <si>
    <t>b20614123</t>
  </si>
  <si>
    <t>Angas Street, south side, 23rd September 1960. Left side of cottage is 65 yards west of Cardwell Street. Frontage: 8 yards.</t>
  </si>
  <si>
    <t>b20614925</t>
  </si>
  <si>
    <t>[General description] There are parked cars and a picket fence in front of this two storey building, probably a block of flats. It is in poor condition and appears to be in course of demolition or re-modelling. [On back of photograph] 'Acre 433 / Carrington Street, north side / 26 January 1960 / Left side of building is 72 yards east of Ehmcke's Lane / Frontage: 23 yards / For view of the building taken in 1942 see B 10930'</t>
  </si>
  <si>
    <t>b20616272</t>
  </si>
  <si>
    <t>[General description] This modernist building featuring face brick and glass was constructed for SAFCOL on a vacant site in 1953. [On back of photograph] 'Acre 454 / Wright Street, north side / September 28th 1960 / Right side of SAFCOL building abuts the west side of Mill Street / Frontage of building is 9 yards / For view of SAFCOL n 1957 see B 13902'</t>
  </si>
  <si>
    <t>b20616533</t>
  </si>
  <si>
    <t>[General description] This streetscape focuses on the church building at 72 Wright Street (in the centre of the view) was erected in 1895 (then enlarged in 1897) as a church and Institute for the Deaf and Dumb Society. It is a 'fine example of early colonial architecture constructed of hand dressed sandstone walls and rendered lintels' according to the plaque attached to the building which is now Edmund Barton Chambers. It has been altered and is in excellent repair in 2019. [On back of photograph] 'Acre 456 / Wright Street, north side (NW corner of Market Street) / June 29th 1960'</t>
  </si>
  <si>
    <t>b20616788</t>
  </si>
  <si>
    <t>Norman, Turner and Nottage Ltd., Wright Street, Adelaide</t>
  </si>
  <si>
    <t>[General description] This two storey building is the premises of Norman, Turner and Nottage Ltd., furniture manufacturer and retailer. [On back of photograph] 'Acre 458 / Wright Street, north side / December 1st 1960 / Left side of building abuts east side of Field  Street / Frontage of building is 13 yards / Alterations to this building were completed in 1956'</t>
  </si>
  <si>
    <t>Furniture industry and trade -- South Australia</t>
  </si>
  <si>
    <t>Acre 458 Collection</t>
  </si>
  <si>
    <t>b20616892</t>
  </si>
  <si>
    <t>[General description] This single storey building is the premises of Toledo Berkel Pty. Ltd. retailers of food preparation equipment such as slicers, scales, mixers and potato peelers. [On back of photograph] 'Acre 460 / Wright Street, north side / December 1st 1960 / Right side of building abuts west side of Wright Court / Frontage of building is 10 yards'</t>
  </si>
  <si>
    <t>b20617148</t>
  </si>
  <si>
    <t>[General description] This derelict shop front is very likely to be demolished shortly. [On back of photograph] 'Acre 466 / Wright Street, north side / January 21st, 1960 / Left side of shop is 32 yards west of Lowe Street and frontage of shop is 6 yards'</t>
  </si>
  <si>
    <t>Acre 466 Collection</t>
  </si>
  <si>
    <t>b20617252</t>
  </si>
  <si>
    <t>[General description] Twin two storey stone buildings which appear to be laid out as attached dwellings or flats. They look in poor condition and are probably about to be demolished. [On back of photograph] Acre 468 / West Terrace, east side / February 10th 1960 / Right side of the two dwellings abuts north side of Wright Street / Frontage of two dwellings is 40 yards'</t>
  </si>
  <si>
    <t>b20617264</t>
  </si>
  <si>
    <t>[General description] The premises of Peter Harper Ltd., taken from the opposite side of the road. This firm was an agent for Universal-Meyer, supplier of bolts, nuts and allied products. [On back of photograph] 'Acre 468 / Wright Street, north side, June 20th 1960 / Right side of Peter Harper Ltd. abuts west side of Maud Street / Frontage of building is 17 yards'</t>
  </si>
  <si>
    <t>Universal-Meyer (Firm : Adelaide, S.A.)</t>
  </si>
  <si>
    <t>b2061729x</t>
  </si>
  <si>
    <t>[General description] A workman poses for the photographer in front of a bluestone house at number 308 Wright Street. It is undergoing demolition. Note the excavator on the left. [On back of photograph] 'Acre 468 / Wright Street, north side / December 1st 1960 / Left side of building is 39 yards east of West Terrace and frontage is 11 yards'</t>
  </si>
  <si>
    <t>b20617562</t>
  </si>
  <si>
    <t>[General description] This row of early single storey stone cottages is in poor repair, probably about to be demolished. [On back of photograph] 'Acre 473 / Wright Street, south side / December 1st 1960 / Left side of this building abuts west side of Gray Court / Total frontage of building is 32 yards / For the other end of the building see b 14371.</t>
  </si>
  <si>
    <t>b20617574</t>
  </si>
  <si>
    <t>[General description] This row of early single storey stone cottages is in poor repair, probably about to be demolished. [On back of photograph] 'Acre 473 / Wright Street, south side / December 1st 1960 / Left side of this building abuts west side of Gray Court / Total frontage of building is 32 yards / For the other end of the building see b 14370.</t>
  </si>
  <si>
    <t>b20617586</t>
  </si>
  <si>
    <t>[General description] Early Adelaide stone and brick cottages at 221 and 223 Wright Street. They are in poor condition, probably about to be remodelled or demolished. One of them is two storey. Part of another cottage can be seen on the right, also in poor condition. [On back of photograph] 'Acre 473 / Wright Street, south side / September 1st 1960 / Right side of 2 storey building abuts east side of Gray Court / Frontage of two storey building is 5 yards'</t>
  </si>
  <si>
    <t>b20617616</t>
  </si>
  <si>
    <t>[General description] This building is the premises for Adelaide Margarine Ltd., founded by Felice Maggi circa 1935. The truck parked in front is owned by H.J. Martin &amp; Son, Parcel Delivery. [On back of photograph] 'Acre 474 / Wright Street, south side / December 1st 1960 / Left side of Adelaide Margarine Ltd. abuts west side of George Court / Frontage of building is 14 yards / For view of this building taken in 1954, see B 13070'</t>
  </si>
  <si>
    <t>b20617628</t>
  </si>
  <si>
    <t>George Court, Adelaide</t>
  </si>
  <si>
    <t>[General description] The front of this plain symmetrical brick cottage has been painted white. It fronts directly onto the street. [On back of photograph] 'Acre 474 / George Court, east side / September 23rd 1960 / Left side of the house is 28 yards south of Wright Street and its frontage is 10 yards'</t>
  </si>
  <si>
    <t>b20618475</t>
  </si>
  <si>
    <t>[General description] A row of three single storey attached stone cottages, one with a striped verandah roof and front picket fence. They are soon to be demolished as a sign in front states 'Watch this site for Visidex House...' [On back of photograph] 'Acre 486 / Carrington Street, south side / 10th March 1960 / Right side of dwellings abuts west side of Nelson Place / Frontage of dwelling: 20 yards'</t>
  </si>
  <si>
    <t>b20620111</t>
  </si>
  <si>
    <t>[General description] This plain symmetrical single storey cottage is framed between two street trees. Its windows and doors appear to have been modified. [On back of photograph] 'Acre 514 / Halifax Street, north side / September 28th 1960 / Right side of house is 70 yards west of Hutt Street and frontage is 15 yards / For view taken in 1958 see B 14022 / For view of new building on this site see B 14757'</t>
  </si>
  <si>
    <t>b20620275</t>
  </si>
  <si>
    <t>[General description] This view of Hardware Traders Ltd. is partly obscured by a tree. It is a modern building with plate glass window and door and a tall, upright facade. [On back of photograph] 'Acre 518 / Halifax Street, north side / December 15th 1960 / Right side of building in centre is 17 yards west of Regent Street and frontage is 13 yards / This building was completed in 1956'</t>
  </si>
  <si>
    <t>b20620342</t>
  </si>
  <si>
    <t>Pope Street, Adelaide</t>
  </si>
  <si>
    <t>[General description] This pile of rubble and and crumbling walls are all that remains of a cottage on this site. [On back of photograph] 'Acre 519 / Pope Street, north side / January 15th 1960 / left side of cottage is 33 yards east of Hurtle Square and frontage is 11 yards / Cottages shown on cadastral plan'</t>
  </si>
  <si>
    <t>b20620354</t>
  </si>
  <si>
    <t>[General description] This new stone building is the premises of Business Equipment Pty. Ltd. Cars are parked at the kerb. [On back of photograph] 'Acre 519 / Halifax Street, north side / December 15th 1960 / Left side of building abuts east side of Hurtle Square / For a view of the rest of this building see B 14385 / Total frontage of building is 40 yards / For a partial view of the building previously on this site (taken in 1958) see B 14210 '</t>
  </si>
  <si>
    <t>b20620366</t>
  </si>
  <si>
    <t>[General description] This new stone building is the premises of Business Equipment Pty. Ltd. Street trees and parked cars are seen in the foreground. [On back of photograph] 'Acre 519 / Halifax Street, north side / December 15th 1960 / Left side of building abuts east side of Hurtle Square / For a view of the rest of this building see B 14384 / Total frontage of building is 40 yards / For a partial view of the building previously on this site (taken in 1958) see B 14210 '</t>
  </si>
  <si>
    <t>b20620615</t>
  </si>
  <si>
    <t>[General description] This new building is the premises for Reed &amp; Walker Adelaide Ltd., Engine reconditioning. It advertises 'Genuine Repco Parts'. [On back of photograph] 'Acres 523 and 524 / Halifax Street, north side / December 15th 1960 / Frontage of building is 16 yards / This building was completed in 1957'</t>
  </si>
  <si>
    <t>Acre 523 Collection;Acre 524 Collection</t>
  </si>
  <si>
    <t>b20620779</t>
  </si>
  <si>
    <t>[General description] This single storey building appears to have been two shops, now closed with windows whitewashed. A sign over the door says 'Punch Products' [On back of photograph] 'Acre 524 / Halifax Street, north side / December 15th 1960 / Left side of centre building is 11 yards east of St. Helena Place and frontage is 10 yards.</t>
  </si>
  <si>
    <t>b2062086x</t>
  </si>
  <si>
    <t>Sydney Place, Adelaide</t>
  </si>
  <si>
    <t>[General description] This small symmetrical stone cottage is in process of demolition, the iron roofing having been removed. [On back of photograph] 'Acre 525 / Sydney Place, west side / October 27th 1960 / Left side of the building is 59 yards north of Halifax Street and frontage is 11 yards'</t>
  </si>
  <si>
    <t>Wrecking -- South Australia -- Adelaide;Cottages -- South Australia -- Adelaide</t>
  </si>
  <si>
    <t>b20621012</t>
  </si>
  <si>
    <t>[General description] This single storey building with large plate glass windows is the premises for Saunders &amp; Gibbs Ltd.,'The Plumber's Centre'. It has been recently built on this site following demolition of previous building. [On back of photograph] 'Acre 527 / Halifax Street, north side / December 15th 1960 / Left side of building is 37 yards east of Toms Court and frontage is 17 yards / For view of building on this site in 1958 see B 14038'</t>
  </si>
  <si>
    <t>b20622144</t>
  </si>
  <si>
    <t>Sultram Place, Adelaide</t>
  </si>
  <si>
    <t>[General description] This is an old square (or rectangular) building with a boarded up window and a flat roof. [On back of photograph] 'Acre 534 / Sultram Place, east side / March 17th 1960 / Right side of square building is 68 yards north of Sturt Street and frontage is 4 yards'</t>
  </si>
  <si>
    <t>b20622417</t>
  </si>
  <si>
    <t>[General description] This two storey building with balcony is divided into two ground floor shops with living quarters upstairs. It is soon to undergo alterations to the ground floor. [On back of photograph] 'Acre 549 / Sturt Street, south side / 12 October 1960 / Right side of 2 storey building abuts the east side of Little Gilbert Street / Frontage of 2 storey building is 13 yards / For view of this building in process of ground floor alteration, see B14407'</t>
  </si>
  <si>
    <t>b20622429</t>
  </si>
  <si>
    <t>[General description] The ground floor of this pair of attached two storey buildings is being remodelled. In the foreground two men, possibly building workers sit and watch a small boy who is having a ride on the top bar of an older boy's bicycle. (Called dinking or donkeying in South Australia). [On back of photograph] 'Acre 549 / Sturt Street, south side / November 1960 / Right side of two storey building abuts the east side of Little Gilbert Street / Frontage of two storey building is 13 yards / For earlier view of the building before work began, see B14362'</t>
  </si>
  <si>
    <t>b20623082</t>
  </si>
  <si>
    <t>Myers Street, Adelaide</t>
  </si>
  <si>
    <t>General description] A Ford Zephyr Taxi is parked in front of a villa style cottage with a gabled front. Its verandah has been closed in with glass louvre windows. [On back of photograph] 'Acre 559 / Myers Street, east side / September 9th 1960 / Left side of the building is 59 yards south of Sturt Street / Frontage is 11 yards'</t>
  </si>
  <si>
    <t>b20623215</t>
  </si>
  <si>
    <t>[General description] Cars are parked in the street opposite a building for sale by agents Barrett &amp; Barrett. Next door on the right is the Jacobs smallgoods factory featuring a advertising sign (somewhat incongruously) showing cheerful pigs. [On back of photograph] 'Acre 560 / King William Street, west side / February 10th 1960 / Right side of centre building is 37 yards south of Sturt Street and frontage is 16 yards / For view of this building in 1923 see B 1759'</t>
  </si>
  <si>
    <t>b20623227</t>
  </si>
  <si>
    <t>[General description] This is the factory of Australian Joinery Limited. On the left is Wonder Heat, suppliers of 'air conditioning and fires', on the right a small cottage with iron lace verandah. Cars parked in the street include an FJ Holden. [On back of photograph] 'Acre 560 / Sturt Street, south side / April 29th 1960 / Left side of centre building is 52 yards west of King William Street and frontage is 20 yards'</t>
  </si>
  <si>
    <t>b20626265</t>
  </si>
  <si>
    <t>Tapley Street, Adelaide</t>
  </si>
  <si>
    <t>[General description] A man and woman stand in the doorway of a run down stone cottage with a bullnose verandah. It appears that remodelling work is being done on the building. [On back of photograph] 'Acre 607 / Tapley Street, east side / November 3rd 1960 / Right side of the house is 42 yards north of Gilbert Street and frontage is 9 yards / Demolished 1990'</t>
  </si>
  <si>
    <t>b20626794</t>
  </si>
  <si>
    <t>[General description] Single storey cottages  the pair in the centre has a bullnose verandah with some iron lace. [On back of photograph] 'Acre 616 / Gilbert Street, north side / December 8th 1960 / Left side of centre building is 21 yards east of Hamley Street / Frontage is 9 yards'</t>
  </si>
  <si>
    <t>Acre 616 Collection</t>
  </si>
  <si>
    <t>b20626915</t>
  </si>
  <si>
    <t>[General description] Cars are parked in front of a small square white building which abuts a wall that displays an advertisement for Bushells tea. On back of photograph] 'Acre 617 / Gilbert Street, north side / December 8th 1960 / Right side of building on the left is 17 yards west of Logan Street / Frontage is 5 yards / For a view taken in 1955 see B 13465'</t>
  </si>
  <si>
    <t>b20627671</t>
  </si>
  <si>
    <t>[General description] Two small stone cottages, with a Jacaranda tree in the foreground. The cottage on the right is a pair of maisonettes which appears to be in process of demolition (or re-modelling). [On back of photograph] 'Acre 630 / Brown Street, west side / June 20th 1960 / Right side of dark cottage is 20 yards south of Gilbert Street and frontage is 11 yards'</t>
  </si>
  <si>
    <t>b20627683</t>
  </si>
  <si>
    <t>[General description] A stark winter street tree stands in front of these single storey workman's cottages, the centre one being the premises for 'Flexible Drives Pty. Ltd.' Parked on the right is a popular small car of the time, the Austin A30 or 'Baby Austin'. [On back of photograph] 'Acre 630 / Brown Street, west side / August 16th 1960 / Right side of centre cottage is 41 yards south of Gilbert Street / Frontage is 10 yards / For view taken in 1958 see B 14025'</t>
  </si>
  <si>
    <t>b20627798</t>
  </si>
  <si>
    <t>[General description] This solid single storey house, probably late Victorian has a front bay window. A gabled front porch in the style of the California bungalow has been added on later, giving a disjointed appearance. [On back of photograph] 'Acre 231 / Brown Street, east side / April 29th 1960 / Right side of dwelling abuts north side of Hamilton Place / Frontage of house is 10 yards'</t>
  </si>
  <si>
    <t>b20627907</t>
  </si>
  <si>
    <t>[General description] This rectangular building with large windows is the premises of Consolidated Pneumatic Tool Company Pty. Ltd. [On back of photograph] 'Acre 632 / Gilbert Street, south side / December 8th 1960 / Left side of the building is 14 yards west of Herman Street / Frontage is 11 yards / For a view taken in 1958, see B 14008'.</t>
  </si>
  <si>
    <t>b20628055</t>
  </si>
  <si>
    <t>[General description] This stone cottage is in course of demolition. Maybe one of the workers owns the Morris Minor convertible car parked in the street. [On back of photograph] 'Acre 633 / Gilbert Street, south side / November 3rd 1960 / Right side of centre house is 20 yards east of Percy Court / Frontage is 10 yards'</t>
  </si>
  <si>
    <t>b20628341</t>
  </si>
  <si>
    <t>[General description] This view shows the left side of the building occupied by Waymouth Service Ltd. [On back of photograph] 'Acre 637 / Gilbert Street, south side / 8 December 1960 / Left side of Waymouth Service Ltd., is 88 yards west of King William Street / Total frontage is 54 yards / For views of the rest of this building see B 14376 and B 14377 / For view taken in 1952 see B 12441'</t>
  </si>
  <si>
    <t>b20628353</t>
  </si>
  <si>
    <t>[General description] This view shows the middle part of the building occupied by Waymouth Service Ltd. [On back of photograph] 'Acre 637 / Gilbert Street, south side / 8 December 1960 / Left side of Waymouth Service Ltd., is 88 yards west of King William Street / Total frontage is 54 yards / For views of the rest of this building see B 14375 and B 14377 / For view taken in 1952 see B 12441'</t>
  </si>
  <si>
    <t>b20628365</t>
  </si>
  <si>
    <t>Gilbert Street, south side, Adelaide</t>
  </si>
  <si>
    <t>[General description] This view shows the right side of the building occupied by Waymouth Service Ltd. [On back of photograph] 'Acre 637 / Gilbert Street, south side / 8 December 1960 / Left side of Waymouth Service Ltd., is 88 yards west of King William Street / Total frontage is 54 yards / For views of the rest of this building see B 14375 and B 14376 / For view taken in 1952 see B 12441'</t>
  </si>
  <si>
    <t>b20630645</t>
  </si>
  <si>
    <t>[General description] An Austin Utility is parked in the street near an little old cottage which is probably due for demolition. [On back of photograph] 'Acre 677 / South Terrace, north side / 18th May 1960 /  Right side of cottage in the centre is 65 yards west of Hanson Street / Frontage is 13 yards.</t>
  </si>
  <si>
    <t>b20631807</t>
  </si>
  <si>
    <t>Block of flats on South Terrace</t>
  </si>
  <si>
    <t>[General description] This is the first of a series of views of a new modernist three storey block of flats with three sections. This one is the 'Parkholme'. See B 14412-B 11416 for views of the rest of the group. [On back of photograph] 'Acres 697 &amp; 698 / South Terrace, north side / 22 December 1960'</t>
  </si>
  <si>
    <t>Acre 697 Collection;Acre 698 Collection</t>
  </si>
  <si>
    <t>b20631819</t>
  </si>
  <si>
    <t>[General description] This is another view of the building known as 'Parkholme', part of a new block of flats in the modernist style. For site plan with measurements see B 14411. See B 14411 and B 14413-B 14416 for the rest of the buildings. [On back of photograph] 'Acres 697 &amp; 698 / South Terrace, north side / 22 December 1960'</t>
  </si>
  <si>
    <t>b20631820</t>
  </si>
  <si>
    <t>[General description] This is a view of the building known as 'Parkview', part of a new block of flats in the modernist style. For site plan with measurements see B 14411. See B 14411, B 14412 and B 14414-B14416 for the rest of the buildings. [On back of photograph] 'Acres 697 &amp; 698 / South Terrace, north side / 22 December 1960'</t>
  </si>
  <si>
    <t>b20631832</t>
  </si>
  <si>
    <t>[General description] This is another view of the building known as 'Parkholme', part of a new block of flats in the modernist style. For site plan with measurements see B 14411. See B 14411 -B 14413 and B 14415 and-B 14416 for the rest of the buildings. [On back of photograph] 'Acres 697 &amp; 698 / South Terrace, north side / 22 December 1960'</t>
  </si>
  <si>
    <t>b20631844</t>
  </si>
  <si>
    <t>[General description] This is a view of the building known as 'Parklodge', part of a new block of flats in the modernist style. For site plan with measurements see B 14411. See B 14411- B 14414 and B 14416 for the rest of the buildings. [On back of photograph] 'Acres 697 &amp; 698 / South Terrace, north side / 22 December 1960'</t>
  </si>
  <si>
    <t>b20631856</t>
  </si>
  <si>
    <t>[General description] This is another view of the building known as 'Parklodge', part of a new block of flats in the modernist style. For site plan with measurements see B 14411. See B 14411- B 14415 for the rest of the buildings. [On back of photograph] 'Acres 697 &amp; 698 / South Terrace, north side / 22 December 1960'</t>
  </si>
  <si>
    <t>b20634353</t>
  </si>
  <si>
    <t>[General description] Street trees and parked cars obscure part of this recently completed mid century modern building. [On back of photograph] 'Acre 722 / Kermode Street, north side, November 28th 1960 / Left side of building abuts east side of Bagot Street / Total frontage is 24 yards / See B 14366 for a view of the rest of this building / it was completed in July 1958 / For view taken in 1958 see B 14194'</t>
  </si>
  <si>
    <t>Architecture -- 20th century -- South Australia -- North Adelaide</t>
  </si>
  <si>
    <t>b20634365</t>
  </si>
  <si>
    <t>[General description] This recently completed mid century building, partially hidden behind street trees is seen from a different angle than in B 14265. The natural stone wall on the left is a feature of the style, also the planter box along the front of the building. [On back of photograph] 'Acre 722 / Kermode Street, north side / November 28th 1960 / See B 14365 for a view of the rest of this building and for overall measurements'</t>
  </si>
  <si>
    <t>b20636271</t>
  </si>
  <si>
    <t>[On back of photograph] Cars are parked in the foreground of this view of the Hotel Australia, a concrete and glass modernist building that was built in 1960. It traded as Hotel Australia until 1979, then became the Oberoi Hotel. [General description] 'Brougham Place, north side / August 16th 1960 / Right side of Hotel Australia abuts west side of O'Connell Street / O'Connell Street frontage is 56 yards and Brougham Place frontage is 32 yards / For a view of the building previously on this site see B 14426'</t>
  </si>
  <si>
    <t>b20638735</t>
  </si>
  <si>
    <t>[General description] This ornate building is the Huntsman Hotel which existed on this site from 1849 in humbler form, at some time rebuilt. It traded until 1960 (when this view was taken) then it was delicenced and sold to the Lutheran Church. The Lutheran Church of Australia formally came into being in 1967 and this building was its federal church office. It has since being reinstated as a hotel, trading as the Archer. [On back of photograph] 'Acre 786 / O'Connell Street, east side / August 24th 1960 / Left side of the hotel abuts Archer Street / Archer Street frontage is 30 yards / O'Connell Street frontage is 19 yards / for view taken in 1941 see B 10732'</t>
  </si>
  <si>
    <t>Huntsman Hotel (North Adelaide, S.A.)</t>
  </si>
  <si>
    <t>Acre 786 Collection</t>
  </si>
  <si>
    <t>b20639582</t>
  </si>
  <si>
    <t>Barnard Street, North Adelaide</t>
  </si>
  <si>
    <t>[General description] This modern light coloured brick building is partially hidden by a large Jacaranda tree. [On back of photograph] 'Acre 812 / Barnard Street, north side / March 31st 1960 / Right side of building is 95 yards west of Wellington Square and frontage is 11 yards'</t>
  </si>
  <si>
    <t>Architecture, Modern -- 20th century -- South Australia -- Adelaide</t>
  </si>
  <si>
    <t>Acre 812 Collection</t>
  </si>
  <si>
    <t>b20639776</t>
  </si>
  <si>
    <t>[General description] This two storey stone building has shopfronts on its ground floor. A two-tone Holden is parked in front of Holt's Meat Store, next door to a shop which is being re-modelled. [On back of photograph] 'Acre 820 / O'Connell Street, west side / January 21st, 1960 / Right side of building is 29 yards south of Chapel Street and frontage is 4 yards / Shop to be erected in this space'</t>
  </si>
  <si>
    <t>b20642088</t>
  </si>
  <si>
    <t>O'Connell Street, east side, corner of Gover Street, south side. November 1960. This row of four stores includes a tailor shop owned by Polishman J Biedrzycki</t>
  </si>
  <si>
    <t>b2064209x</t>
  </si>
  <si>
    <t>O'Connell Street, east side, 1960, corner of Gover Street, south side. The corner grocery shop is owned by TE White, next door stands a business that at one time offered washing , ready on the same day. Next door to this is the tailor shop run by J Biedrzycki</t>
  </si>
  <si>
    <t>b20642453</t>
  </si>
  <si>
    <t>Buxton Street, North Adelaide</t>
  </si>
  <si>
    <t>[General description] Substantial single storey cottages with front hedges and trees. A taxi is parked at the kerb. [On back of photograph] 'Acre 895 / Buxton Street, north side / April 14th 1960 / Left side of building on the right is 56 yards east of Hill Street and frontage is 12 yards'</t>
  </si>
  <si>
    <t>Acre 895 Collection</t>
  </si>
  <si>
    <t>b20644334</t>
  </si>
  <si>
    <t>[General description] This symmetrical stone cottage has a concave roofed front verandah and an unpainted wooden paling front fence. [On back of photograph] 'Acre 959 / Finniss Street south side / 18th July 1960 / Left side of centre cottage is 242 yards west of Jerningham Street / Frontage : 11 yards'</t>
  </si>
  <si>
    <t>Acre 959 Collection</t>
  </si>
  <si>
    <t>b20644565</t>
  </si>
  <si>
    <t>[General description] The single fronted cottage in the centre has a gabled roof. A sign propped on the front wall bears the name John S Chappel, Architect. Perhaps the firm was overseeing renovations. [On back of photograph] 'Acre 964 / MacKinnon Parade, north side / September 23rd 1960 / Left side of centre building abuts west side of Finniss Court / Frontage is 6 yards'</t>
  </si>
  <si>
    <t>Acre 964 Collection</t>
  </si>
  <si>
    <t>b20644784</t>
  </si>
  <si>
    <t>[General description] This stone cottage fronts directly onto the street corner. It has a front bay window and a slate roof and is in a state of disrepair. [On back of photograph] 'Acre 973 / MacKinnon Parade east, north side / May 26th 1960 / Right side of building abuts west side of Provost Street / Frontage of building is 16 yards.</t>
  </si>
  <si>
    <t>Acre 973 Collection</t>
  </si>
  <si>
    <t>b20645867</t>
  </si>
  <si>
    <t>[On back of photograph] This pair of stone cottages has a bullnose verandah and a gabled roofline. The cottage on the right is undergoing work, probably remodelling. There is a pair of tall poplars in the front garden. [On back of photograph] 'Acre 990 / Melbourne Street, south side / May 18th 1960 / Right side of the cottages is 290 yards east of Brougham Place and frontage is 27 yards'</t>
  </si>
  <si>
    <t>Acre 990 Collection</t>
  </si>
  <si>
    <t>b20646161</t>
  </si>
  <si>
    <t>[General description] This stone cottage is being either remodelled or is about to be demolished as its verandah has been removed. [On back of photograph] 'Acre 999 / Melbourne Street, north side / January 6th 1960 / left side of the building is 19 yards east of New Street and frontage is 14 yards'</t>
  </si>
  <si>
    <t>b20646409</t>
  </si>
  <si>
    <t>Melbourne Street, north side, November 1960, corner of Jerningham Street, east side. A corner delicatessen stands on the corner</t>
  </si>
  <si>
    <t>b20647670</t>
  </si>
  <si>
    <t>Kingston Terrace</t>
  </si>
  <si>
    <t>Kingston Terrace, south side, 20th October, 1960. This building was demolished by early 1962. For a view of the building subsequently built on part of this site see B14582.</t>
  </si>
  <si>
    <t>Acre 1029 Collection</t>
  </si>
  <si>
    <t>b20647773</t>
  </si>
  <si>
    <t>Jerningham Street, North Adelaide</t>
  </si>
  <si>
    <t>General description] Large street trees and parked cars partially obscure this view of a substantial stone villa. [On back of photograph] 'Acre 1032 / Jerningham Street, east side / 28th November 1960 / Right side of dwelling is 16 yards north of Stanley Street / Frontage: 15 yards'</t>
  </si>
  <si>
    <t>Acre 1032 Collection</t>
  </si>
  <si>
    <t>b20648042</t>
  </si>
  <si>
    <t>Stanley Street, North Adelaide</t>
  </si>
  <si>
    <t>[General description] This two storey single fronted building has a grocery shop downstairs and living quarters above. There is an upstairs balcony and above it is a decorative parapet with a sign saying 'Estab. 1908' and the name Lawson is still visible. (Lawson was the name of the original shopkeeper). It was still a store into the 1970s. [On back of photograph] 'Acre 1036 / Stanley Street, north side / 22 January 1960 / Right side of shop is 117 yards west of Hart Street / Frontage of shop is 7 yards / For a view of shop taken in 1916, see B1852'</t>
  </si>
  <si>
    <t>Acre 1036 Collection</t>
  </si>
  <si>
    <t>b20665751</t>
  </si>
  <si>
    <t>[General description] Car park in front of historic stone building with slate roof and archway on the right. The building is about to be demolished, the archway survives. [On back of photograph] 'Mounted Police Barracks: this building until its demolition in 1960 was used by the Art Gallery as a workshop / For earlier views see B 4317 and B 4865 / For a site plan see B 14358 / May 1960 / For building erected on this site see B 14469 / 14470 / The arch was retained and renovated October-November 1968'</t>
  </si>
  <si>
    <t>b20665763</t>
  </si>
  <si>
    <t>[General description] A different view of the building shown in B 14357 (taken on the same day) of part of the Mounted Police Barracks, about to be demolished. There is a site map on the back of this photograph.</t>
  </si>
  <si>
    <t>b20682232</t>
  </si>
  <si>
    <t>Barr Smith Library, University of Adelaide</t>
  </si>
  <si>
    <t>[General description] Rear view of the Barr Smith Library, University of Adelaide, constructed 1924-1932 of red brick with stone dressings. A large lawn area with gravel paths is seen in the foreground. The library was gifted to the University by Thomas Elder Barr Smith, as a memorial to his father, Robert Barr Smith who had bequeathed large sums of money for the purchase of books.</t>
  </si>
  <si>
    <t>Barr Smith Library</t>
  </si>
  <si>
    <t>b20682244</t>
  </si>
  <si>
    <t>George Murray Building, University of Adelaide</t>
  </si>
  <si>
    <t>[General description] Lawns, trees and parked cars are seen in the foreground of this view of George Murray Building and Refectories, University of Adelaide, taken on June 3rd, 1960. The Murray building was opened on March 21st, 1938.</t>
  </si>
  <si>
    <t>b20682256</t>
  </si>
  <si>
    <t>University of Adelaide Refectories</t>
  </si>
  <si>
    <t>[General description] The University of Adelaide Refectories, taken on June 3rd, 1960.</t>
  </si>
  <si>
    <t>b20682268</t>
  </si>
  <si>
    <t>Mawson Laboratories, Adelaide University</t>
  </si>
  <si>
    <t>[General description] The Mawson Laboratories, University of Adelaide, on 3rd June, 1960. This view was taken from Memorial Drive with its trees and line of parked cars. See B 14323 for another view taken from Victoria Drive.</t>
  </si>
  <si>
    <t>University of Adelaide -- Buildings;Laboratories -- South Australia -- Adelaide</t>
  </si>
  <si>
    <t>b2068227x</t>
  </si>
  <si>
    <t>Mawson Laboratories, University of Adelaide</t>
  </si>
  <si>
    <t>[General description] Parked cars and trees are seen in the foreground of this photograph of Mawson Laboratories, University of Adelaide on 3rd June 1960. View of the building from Victoria Drive. See B 14322 for another view taken from Memorial Drive.</t>
  </si>
  <si>
    <t>b20682281</t>
  </si>
  <si>
    <t>Mathematics Building, University of Adelaide</t>
  </si>
  <si>
    <t>[General description] Mathematics Building, University of Adelaide, seen from carpark with poplar trees in the foreground.</t>
  </si>
  <si>
    <t>b20682293</t>
  </si>
  <si>
    <t>[General description] This old stone building is nestled behind a hedge and jacarandah trees, surrounded by other university buildings. [On back of photograph] 'University of Adelaide / Worker's Educational Association Bookroom / May 1960 / Western drive of University of Adelaide / West front of building / See B 14333 for a view of the north side of the buiding / For views of this building after alteration and additions made in 1960 see B 14423 and B 14422'</t>
  </si>
  <si>
    <t>b2068230x</t>
  </si>
  <si>
    <t>[General description] This old stone building is surrounded by other university buildings. [On back of photograph] 'University of Adelaide / Worker's Educational Association Bookroom / May 1960 / Western drive of University of Adelaide / North front of building / See B 14332 for a view of the west side of the buiding / For views of this building after alteration and additions made in 1960 see B 14423 and B 14422'</t>
  </si>
  <si>
    <t>b20682311</t>
  </si>
  <si>
    <t>[General description] The west front of the WEA Bookroom is mostly hidden behind a hedge and trees in summer leaf: see B 14423 for a better view of the north side of the building. [On back of photograph] 'University of Adelaide / Workers' Educational Association Bookroom / January 20, 1961 / Western drive of University / West front of building / This view shows alterations made in 1960 / Compare with B 14332 and B 14333'</t>
  </si>
  <si>
    <t>b20682323</t>
  </si>
  <si>
    <t>[General description] The new part of this two storey building is in a light coloured brick, modernist in style. [On back of photograph] 'University of Adelaide / Workers' Educational Association Bookroom / January 20, 1961 / North side of building / See B 14222 for a view of the west side / This view shows additions made in 1960 / compare with B 14332 and B 14333'</t>
  </si>
  <si>
    <t>b20685312</t>
  </si>
  <si>
    <t>West Terrace, looking south from a point near the intersection of Currie Street and West Terrace before the road was widened, 29th June 1960. New lanes have been created on the western side of West Terrace which encroach onto the parklands</t>
  </si>
  <si>
    <t>Adelaide Views Collection;West Terrace Collection</t>
  </si>
  <si>
    <t>b20685324</t>
  </si>
  <si>
    <t>West Terrace, looking south from a point in front of the Observatory before the road was widened (near the then Adelaide Boys High School). Several rows of two storey houses and a few businesses can be seen on the eastern side of West Terrace</t>
  </si>
  <si>
    <t>b20225374</t>
  </si>
  <si>
    <t>Darwin</t>
  </si>
  <si>
    <t>Photograph  24.7 cm x 19.4 cm</t>
  </si>
  <si>
    <t>Ross Smith Avenue, from N.E. end, looking S.W. Darwin. N.T.</t>
  </si>
  <si>
    <t>Darwin Collection</t>
  </si>
  <si>
    <t>b20225386</t>
  </si>
  <si>
    <t>b20225398</t>
  </si>
  <si>
    <t>b20225404</t>
  </si>
  <si>
    <t>b20237996</t>
  </si>
  <si>
    <t>Gepps Cross</t>
  </si>
  <si>
    <t>Photograph (b&amp;w print)  16 cm x 20.5 cm;C1</t>
  </si>
  <si>
    <t>Interior of the Theatre &amp; Dance Hall at Gepps Cross Hostel.</t>
  </si>
  <si>
    <t>Interior architecture -- South Australia -- Gepps Cross</t>
  </si>
  <si>
    <t>Gepps Cross Collection</t>
  </si>
  <si>
    <t>b20252055</t>
  </si>
  <si>
    <t>Granite Island</t>
  </si>
  <si>
    <t>Photograph  14.5 cm x 8 cm</t>
  </si>
  <si>
    <t>General view of Granite Island. According to a researcher, the South Australian Railway's horse tramway ran until 1955, after which this 'tractor train' ran.  It in turn has been replaced by the present horse tramway.</t>
  </si>
  <si>
    <t>Islands -- South Australia;Granite Island (S.A.)</t>
  </si>
  <si>
    <t>b20257843</t>
  </si>
  <si>
    <t>Lifesavers, Henley Beach</t>
  </si>
  <si>
    <t>C1;Photograph (b&amp;w print)  16.5 cm x 20.8 cm</t>
  </si>
  <si>
    <t>Members of Henley Beach Life Saving Club marching on the beach.</t>
  </si>
  <si>
    <t>Lifesaving -- South Australia -- Henley Beach</t>
  </si>
  <si>
    <t>b20280397</t>
  </si>
  <si>
    <t>Lobethal</t>
  </si>
  <si>
    <t>Photograph (b&amp;w print)  16.1 cm x 21.1 cm;C1</t>
  </si>
  <si>
    <t>General view with dairy cows.</t>
  </si>
  <si>
    <t>Lobethal (S.A.)</t>
  </si>
  <si>
    <t>b20300852</t>
  </si>
  <si>
    <t>A horse- riding school</t>
  </si>
  <si>
    <t>A riding school going through country at Modbury.</t>
  </si>
  <si>
    <t>Riding clubs -- South Australia -- Modbury</t>
  </si>
  <si>
    <t>MODBURY Collection</t>
  </si>
  <si>
    <t>b20321740</t>
  </si>
  <si>
    <t>Saw mills and cut timber</t>
  </si>
  <si>
    <t>Photograph (b&amp;w print)  16 cm x 16 cm;C1</t>
  </si>
  <si>
    <t>Saw mills and cut timber at Mount Gambier.</t>
  </si>
  <si>
    <t>b20321764</t>
  </si>
  <si>
    <t>Photograph (b&amp;w print)  16.3 cm x 16 cm;C1</t>
  </si>
  <si>
    <t>General View of the Sawmill at Mount Gambier.</t>
  </si>
  <si>
    <t>b20332142</t>
  </si>
  <si>
    <t>Lock 5, near Renmark</t>
  </si>
  <si>
    <t>Photograph (b&amp;w print)  20.2 cm x 25.5 cm;C1</t>
  </si>
  <si>
    <t>Lock 5, near Renmark.</t>
  </si>
  <si>
    <t>Locks (Hydraulic engineering) -- Murray River (N.S.W. -S.A.)</t>
  </si>
  <si>
    <t>b20332154</t>
  </si>
  <si>
    <t>Lock 4, Murray River</t>
  </si>
  <si>
    <t>Photograph (b&amp;w print)  15.8 cm x 21 cm;C1</t>
  </si>
  <si>
    <t>Lock 4, Murray River.</t>
  </si>
  <si>
    <t>b20369815</t>
  </si>
  <si>
    <t>Port Augusta</t>
  </si>
  <si>
    <t>C1;Photograph (b&amp;w print)  15.9 cm x 21 cm</t>
  </si>
  <si>
    <t>General view of the loading wharves.</t>
  </si>
  <si>
    <t>Wharves -- South Australia -- Port Augusta</t>
  </si>
  <si>
    <t>b20640754</t>
  </si>
  <si>
    <t>Radio 5 DN</t>
  </si>
  <si>
    <t>Radio 5 DN's North Adelaide Studios with Peter Edwards.</t>
  </si>
  <si>
    <t>Edwards, Peter;Radio broadcasting -- South Australia -- North Adelaide;Radio stations -- South Australia -- Adelaide</t>
  </si>
  <si>
    <t>Acre 837 Collection</t>
  </si>
  <si>
    <t>b20778958</t>
  </si>
  <si>
    <t>Hugh Marks, Mayor of Mount Gambier</t>
  </si>
  <si>
    <t>PORTRAIT: Hugh Marks, Mayor of Mount Gambier.</t>
  </si>
  <si>
    <t>Marks, Hugh;Mayors -- South Australia -- Mount Gambier</t>
  </si>
  <si>
    <t>b20932583</t>
  </si>
  <si>
    <t>Municipal Golf Links at North Adelaide</t>
  </si>
  <si>
    <t>Photograph  26 cm x 20.5 cm</t>
  </si>
  <si>
    <t>Four golfers on a green with the city of Adelaide in the background.</t>
  </si>
  <si>
    <t>b20932595</t>
  </si>
  <si>
    <t>Photograph  20.5 cm x 16 cm</t>
  </si>
  <si>
    <t>A golfer tees off at the Municipal golf links with the city of Adelaide in the background.</t>
  </si>
  <si>
    <t>b20932698</t>
  </si>
  <si>
    <t>Woman golfer on a golf course</t>
  </si>
  <si>
    <t>A woman with a golf bag over her shoulder walks through a golf course. The course is probably the Mount Lofty Golf Course, with Mount Lofty in the background.</t>
  </si>
  <si>
    <t>b29550063</t>
  </si>
  <si>
    <t>House at 10 Elderslie Avenue, Fitzroy</t>
  </si>
  <si>
    <t>1 photograph : black and white   18.3 x 24.4 cm;still image sti rdacontent;unmediated n rdamedia;sheet nb rdacarrier</t>
  </si>
  <si>
    <t>View of the back of the house at 10 Elderslie Avenue, Fitzroy, SA, the first home of Ian and Helen McBryde. Their children, Elaine and Robyn, and the dog Boss are on the verandah. This photo was taken prior to the sale of the house. [This image was copied from a Lines and McBryde Families photo album.]</t>
  </si>
  <si>
    <t>Architecture, Domestic -- South Australia -- Fitzroy</t>
  </si>
  <si>
    <t>b29550075</t>
  </si>
  <si>
    <t>1 photograph : black and white   18.8 x 24.5 cm;still image sti rdacontent;unmediated n rdamedia;sheet nb rdacarrier</t>
  </si>
  <si>
    <t>View from the street of the house at 10 Elderslie Avenue, Fitzroy, SA, the first home of Ian and Helen McBryde. This photo was taken prior to the sale of the house. [This image was copied from a Lines and McBryde Families photo album.]</t>
  </si>
  <si>
    <t>b30172251</t>
  </si>
  <si>
    <t>Victor Harbor with the Bluff in the background</t>
  </si>
  <si>
    <t>Ellen Saunders and Mrs Johnstone standing next to the Ford station wagon, enjoying a driving break in Victor Harbor, with the Bluff in the background.</t>
  </si>
  <si>
    <t>Saunders, Ellen Emily;Saunders, Arthur;Ford automobile;Victor Harbor (S.A.)</t>
  </si>
  <si>
    <t>b29085378</t>
  </si>
  <si>
    <t>Crombie family graves</t>
  </si>
  <si>
    <t>approximately 1960</t>
  </si>
  <si>
    <t>Photograph (B&amp;W print)  8.2 cm x 13.7 cm</t>
  </si>
  <si>
    <t>View of the Crombie family plot at Mungerannie Station, with monuments for William James Alexander Crombie (1915), William John Crombie (1925) and Susan Martha Crombie (1929).</t>
  </si>
  <si>
    <t>Crombie, William James Alexander, 1892-1915;Crombie, William John, 1867-1925;Crombie, Susan Martha, -1929;Cemeteries -- South Australia -- Mangeranni;Sepulchral monuments -- South Australia -- Mangeranni</t>
  </si>
  <si>
    <t>b29088987</t>
  </si>
  <si>
    <t>Centennial Park Crematorium</t>
  </si>
  <si>
    <t>Photograph (B&amp;W print)  7.9 cm x 13.2 cm</t>
  </si>
  <si>
    <t>Copied from a Crombie family album, this image shows the Centennial Park Crematorium. Annotation on the back reads 'Centennial Park Crematorium, side view. Chapel at front and niches at right'.</t>
  </si>
  <si>
    <t>Centennial Park Crematorium (Adelaide, S.A.);Crematoriums -- South Australia -- Adelaide</t>
  </si>
  <si>
    <t>b29088999</t>
  </si>
  <si>
    <t>George and Pat Russell at the Farina races</t>
  </si>
  <si>
    <t>Photograph (B&amp;W print)  8.1 cm x 5.6 cm</t>
  </si>
  <si>
    <t>Copied from a Crombie family album, this image shows George and Pat Russell at a Farina Race Meeting.</t>
  </si>
  <si>
    <t>Russell, Pat;Russell, George</t>
  </si>
  <si>
    <t>b29089001</t>
  </si>
  <si>
    <t>Gourley, Slade and Russell</t>
  </si>
  <si>
    <t>Photograph (B&amp;W print)  5.6 cm x 8.1 cm</t>
  </si>
  <si>
    <t>Copied from a Crombie family album, this image shows Phil Gourley, Slade and Robin Russell at Farina.</t>
  </si>
  <si>
    <t>Gourley, Phil;Russell, Robin</t>
  </si>
  <si>
    <t>b29089013</t>
  </si>
  <si>
    <t>Bob Williams with 'Brum'</t>
  </si>
  <si>
    <t>Copied from a Crombie family album, this image shows Bob Williams with his horse 'Brum'.</t>
  </si>
  <si>
    <t>Williams, Bob;Horses -- South Australia</t>
  </si>
  <si>
    <t>b29089037</t>
  </si>
  <si>
    <t>Group at the Farina races</t>
  </si>
  <si>
    <t>Copied from a Crombie family album, this image shows a group of people, at the Farina races. Mrs E.H. Russell is on the far left, Pat Russell third from left and Phil Gourley second from right.</t>
  </si>
  <si>
    <t>Russell (Family);Gourley, Phil</t>
  </si>
  <si>
    <t>b29089050</t>
  </si>
  <si>
    <t>Williams family home at Marree</t>
  </si>
  <si>
    <t>Copied from a Crombie family album, this image shows the Williams family home at Marree. See also B 72834/64.</t>
  </si>
  <si>
    <t>Architecture, Domestic -- South Australia -- Marree</t>
  </si>
  <si>
    <t>b3017398x</t>
  </si>
  <si>
    <t>Saunders, Ellen Emily, photographer</t>
  </si>
  <si>
    <t>Arthur Saunders, Hampstead Gardens</t>
  </si>
  <si>
    <t>approximately [1960]</t>
  </si>
  <si>
    <t>1 photograph : black and white  6.5 x 8.5 cm;RESERVE 1 a;still image sti rdacontent;unmediated n rdamedia;sheet nb rdacarrier</t>
  </si>
  <si>
    <t>Arthur Saunders in the garden of his Hampstead Gardens home, with Dickie the dog.</t>
  </si>
  <si>
    <t>b20551277</t>
  </si>
  <si>
    <t>Tavistock Street  and Rundle Street corner, looking north from Rundle Street. Tavistock Street (now Frome Road)  February 23, 1961. Building seen include Dan Morris' Cafe on the north west corner, Tavistock Hotel on the north east corner and Dunlite Electrical, a sandwich bar and knitting machine shop</t>
  </si>
  <si>
    <t>b20567807</t>
  </si>
  <si>
    <t>Rundle Street, south side, 23rd February 1962. This view forms Part 5 of a sequence of views showing buildings in between Union and Bent Streets. See also B 14564, B 14565, B 14566. Right side of Flavel's building abuts Bent Street. For a view of this building made in 1946 see B 5820. Alterations were made in 1946 following a fire. Flavel and Sons were furnishers, dealers in chinaware, glassware, ironmongers, tent, tarpaulin, verandah blinds and rug manufacturers.</t>
  </si>
  <si>
    <t>b20568125</t>
  </si>
  <si>
    <t>Rundle Street, south side, 23rd February 1961. Left side of Quinney's building abuts Union Street. This view forms Part 1 of a sequence of views showing buildings in between Union and Bent Streets. See also B 14564, B 14565, B 14566, and B 14567. The shops seen include Quinney's fishing tackle, Miss Gladys Sym Choon, appliance store and Bright Spot Snack Bar.</t>
  </si>
  <si>
    <t>Acre 90 Collection</t>
  </si>
  <si>
    <t>b20568137</t>
  </si>
  <si>
    <t>Rundle Street, south side, 23rd February 1962. This view forms Part 2 of a sequence of views showing buildings in between Union and Bent Streets. See also B 14564, B 14565, B 14566, and B 14567. Buildings from Glo-more to right side of picture were demolished to permit continuation of Tavistock Street (now Frome Street) Shops seen in the photograph include Nan's Beauty Shop, Glo-more, Snack Bar Quinneys rifles and sports goods. A physiotherapist is located on the first floor</t>
  </si>
  <si>
    <t>b20568149</t>
  </si>
  <si>
    <t>Rundle Street, south side, 23rd February 1961. This view forms Part 3 of a sequence of views showing buildings in between Union and Bent Streets. See also B 14564, B 14565, B 14566, and B 14567. All these buildings were demolished to permit continuation of Tavistock Street (now Frome Street). Shops seen in the photograph include fruit and vegetable shop, Quinney's fishing tackle, rifles and sports goods, Sym Choon and Company Limited. JE Nunn -  physiotherapist is located on the first floor</t>
  </si>
  <si>
    <t>b20568150</t>
  </si>
  <si>
    <t>Rundle Street, south side, 23rd February 1962. This view forms Part 4 of a sequence of views showing buildings in between Union and Bent Streets. See also B 14564, B 14565, B 14566, and B 14567. Buildings from left side to the place marked with a "x" were demolished to permit continuation of Tavistock Street (now Frome Street).  Shops seen in the photograph include a barber shop and Kim the Toyman</t>
  </si>
  <si>
    <t>b20568794</t>
  </si>
  <si>
    <t>Grenfell Street, north side, 23rd February 1961, right side of building is 34 yards west of Union Street and frontage is 30 yards. The original East End Market was established in the 1860s by Richard Vaughan. In 1904 it became the Adelaide Fruit and Produce Exchange and spanned four city streets including the Grenfell Street entrance shown in this photograph. An inscription found on the Grenfell Street entrance reads " The Earth is the Lord's and the fulness thereof" (Psalm 24.1)</t>
  </si>
  <si>
    <t>b20568873</t>
  </si>
  <si>
    <t>Grenfell Street, north side, 23rd February 1961. Left side of Pacemaker building abuts Bent Street. The shop dealt with marine plywood woodwork machines and rotary motors</t>
  </si>
  <si>
    <t>b20568885</t>
  </si>
  <si>
    <t>Grenfell Street, north side, 23rd February 1961, right side of Waymouth Grain Store is 64 yards west of Union Street.</t>
  </si>
  <si>
    <t>b20575865</t>
  </si>
  <si>
    <t>Grenfell Street, south side, 23rd February 1961, right side of building is 35 yards east of King William Street. Register Place can be seen between the four storey sandstone building and the Marvel Shoe Repair business to the right. A bus headed for Henley North and Grange waits at the bus stop outside the building</t>
  </si>
  <si>
    <t>b20593843</t>
  </si>
  <si>
    <t>Bentham Street, east side, 2 February 1961. Left side of the shed in course of demolition is 70 yards north of Waymouth Street. Frontage is 9 yards. The two storey Central Garage is in the process of being dismantled</t>
  </si>
  <si>
    <t>Acre 239 Collection</t>
  </si>
  <si>
    <t>b20594938</t>
  </si>
  <si>
    <t>Photograph  16 cm x 16.4 c m</t>
  </si>
  <si>
    <t>Franklin Street, north side 16th March 1961. The building shown is the premises of H J Penno Jute Importers (bags, sacks and twine)</t>
  </si>
  <si>
    <t>b20597836</t>
  </si>
  <si>
    <t>Photograph  15.9 cm x 16.0 cm</t>
  </si>
  <si>
    <t>Flinders Street, south side, corner of Roper Street, west side, 25th October 1961. Frontage on Flinders Street: 13 yards.  Roper Street frontage is 20 yards. The three storey building standing on the corner has a motor car business on the ground level and  is in the process of demolition</t>
  </si>
  <si>
    <t>Acre 274 Collection</t>
  </si>
  <si>
    <t>b20598038</t>
  </si>
  <si>
    <t>Flinders Street, south side, 7th July 1961. For details see B 2258. The buildings seen house car and motor cycle specialists</t>
  </si>
  <si>
    <t>b20603228</t>
  </si>
  <si>
    <t>[General description] This is part of the premises of Motors Limited, dealers in Morris. Cars are parked at the kerb and on the roof of the building. [On back of photograph] 'Acre 328 / Brown Street, west side / 20 January 1961 / For view of the rest of this building with measurements, see B 14421 / For view of this building in 1954 see B 12954'</t>
  </si>
  <si>
    <t>b2060323x</t>
  </si>
  <si>
    <t>[General description] Motors Limited building with flags flying and cars parked in front and on the roof. An awning shades some of the windows. [On back of photograph] 'Acre 328 / Brown Street, west side, 20 January 1961 / Right side of Motors Limited building is 37 yards south of Grote Street / Frontage is 35 yards / For view of the rest of this building see B 14420 / For view of this building in 1954 see B 12954'</t>
  </si>
  <si>
    <t>b20608731</t>
  </si>
  <si>
    <t>Angas Street, north side, 5 January 1961, Angas Street frontage of the British General Electric Company Limited (BGE) is 28 1/4 yards and Gunson Street frontage is 42 yards. BGR building is on the north east corner of Angas Street and Gunson Street. See also B 14463. For a view of buildings previously on this site see B 13971 and B 13972. The BGE Company which began in London in the 1880's expanded overseas (including Australia) after 1909</t>
  </si>
  <si>
    <t>b20608743</t>
  </si>
  <si>
    <t>Angas Street, north side, 5 January 1961. Eastern end of the BGE building. Angas Street frontage of the British General Electric Company Limited (BGE) is 28 1/4 yards and Gunson Street frontage is 42 yards. BGR building is on the north east corner of Angas Street and Gunson Street. See also B 14462. For a view of buildings previously on this site see B 13971 and B 13972. The BGE Company which began in London in the 1880's expanded overseas (including Australia) after 1909</t>
  </si>
  <si>
    <t>b2061004x</t>
  </si>
  <si>
    <t>Gouger Street, north side, 23rd February 1961, right side of building is 56 yards west of Moonta Street and frontage is 12 yards. Two shops are shown - one looks derelict and the other is the thriving Invisible Mending and Dry Cleaning Company Limited</t>
  </si>
  <si>
    <t>b20610658</t>
  </si>
  <si>
    <t>Gouger Street, north side, 2 February 1961, frontage is 11 yards. Right side of the shop abuts Marlborough Street. Gouger Street frontage is 11 yards. A delicatessen stands on the corner and a telephone box can be seen nearby</t>
  </si>
  <si>
    <t>Acre 388 Collection</t>
  </si>
  <si>
    <t>b20614184</t>
  </si>
  <si>
    <t>Cardwell Street, west side, 5th January 1961. Right side of the building is 24 yards south of Angas Street. Frontage  35 yards. Two storey mirror image houses with painted quoins around the doorways and windows</t>
  </si>
  <si>
    <t>b20614196</t>
  </si>
  <si>
    <t>Cardwell Street, west side, 5th January 1961. Right side of building is 24 yards south of Angas Street. Frontage: 35 yards. Two storey mirror image houses with painted quoins around the doorways and windows</t>
  </si>
  <si>
    <t>b20615139</t>
  </si>
  <si>
    <t>Hutt Street, west side, 12 January 1961. Right side of building abuts south side of Hume Street. Frontage: 19 yards. For a view of this building in 1956 see B 13617. This bluestone two storey house was acquired  by the Women's Christian Temperance Union in 1911 when they moved from their premises in Wakefield Street to this building in Hutt Street. As well as alcohol problems the organisation promoted social reform issues including equal pay, poverty and domestic violence</t>
  </si>
  <si>
    <t>b20615681</t>
  </si>
  <si>
    <t>[General description] This is the premises of B.L. Shipway &amp; Co. Ltd., sellers of Agricultural Supplies, Industrial Equipment and Blundell Paints. A sign advertising 'Pammastic' paint appears in the windows. This firm is still operating in 2019. From their website: 'B.L. Shipway is a proud South Australian owned &amp; operated hydraulics and pneumatics company built on a foundation of experience, reputation &amp; service since 1953'. [On back of photograph] 'Acre 448 / Carrington Street, north side / January 20th 1961 / Left side of Shipway's is 30 yards east of Moore Street and frontage is 18 yards / See B 14418 for remainder of building / For view of this site in 1955 see B 13378'</t>
  </si>
  <si>
    <t>b20615693</t>
  </si>
  <si>
    <t>[General description] This side of B.L. Shipway's premises advertises Aeroquip Hose and Reusable Fittings. See B 14417 for the other side of the building. This firm is still operating in 2019. From their website: 'B.L. Shipway is a proud South Australian owned &amp; operated hydraulics and pneumatics company built on a foundation of experience, reputation &amp; service since 1953'.[On back of photograph] 'Acre 448 / Carrington Street, north side / January 20th 1961 / Total frontage of building is 18 yards / For view of this site in 1955 see B 13378'</t>
  </si>
  <si>
    <t>b20618542</t>
  </si>
  <si>
    <t>Carrington Street, south side, 9th February 1961. Right side of centre building is 19 yards east of Surflen Street. Frontage: 8 yards. The regional office for Golden Nut Easyspread Margarine Limited is housed on this site in Carrington Street</t>
  </si>
  <si>
    <t>b20618554</t>
  </si>
  <si>
    <t>Carrington Street, south side, 9th February 1961. Right side of centre cottage is 13 1/2 yards east of Surflen Street  frontage: 6 yards. For site see B 14552. The car at left is  ca.1929 Roadster with conversion of the 'dickey' seat area to a wooden box tray  car at right is a 1956 FE Holden business sedan taxi.</t>
  </si>
  <si>
    <t>b20618566</t>
  </si>
  <si>
    <t>Carrington Street, south side, 9th February 1961. Right side of centre cottage is 13 1/2 yards east of Surflen Street  frontage: 13 1/2 yards. Part of the Golden Nut Easyspread Margarine Company regional office can be seen on the left of the photograph. A single fronted bluestone cottage abuts this business. A motorbike and car are parked outside</t>
  </si>
  <si>
    <t>b20620469</t>
  </si>
  <si>
    <t>Hurtle Square, Adelaide</t>
  </si>
  <si>
    <t>[General description] Cars are parked  at the kerb in front of this row of two storey attached terrace houses. Some of the chimneys have Television antennas attached. [On back of photograph] 'Acre 522 / Hurtle Square, west side / January 20th 1961 / Left side of buildng abuts north side of Halifax Street / Frontage of building is 28 yards.</t>
  </si>
  <si>
    <t>b20624001</t>
  </si>
  <si>
    <t>Halifax Street, south side, 20th January 1961, frontage of cottage on the left is 12 yards. Left side of the cottage abuts the west side of Cardwell Street. The cottage has a full length verandah running along the front</t>
  </si>
  <si>
    <t>b20624013</t>
  </si>
  <si>
    <t>Halifax Street, south side, 20th January 1961, cottage on the right side 12 yards east of Cardwell Street and frontage is 14 yards. Two semi detached  cottages in Halifax Street</t>
  </si>
  <si>
    <t>b20624025</t>
  </si>
  <si>
    <t>Halifax Street, south side, 20th January 1961, frontage of cottage on the left is 6 yards and cottage on the right is 13 yards. Photograph shows a small cottage next to a house. The house has a porch in the middle of the verandah. Lace Wrought Ironwork decorates the verandah</t>
  </si>
  <si>
    <t>b20624037</t>
  </si>
  <si>
    <t>Halifax Street, south side, 20th January 1961, frontage of cottage is 13 yards. The buildings are similar with fascias above the verandah and front door.</t>
  </si>
  <si>
    <t>b20624232</t>
  </si>
  <si>
    <t>Hutt Street, east side, 12th January 1961.For details of site see B 13090. For continuation of this building on the right side see B 14475. This row of two storey, bluestone cottages stands near the corner of Halifax Street and Hutt Street. One of the cottages is the Classic Private Hotel</t>
  </si>
  <si>
    <t>b20624244</t>
  </si>
  <si>
    <t>Hutt Street, east side, 12th January 1961. For continuation of this building on the right side see B 14474. This row of two storey, bluestone cottages stands near the corner of Halifax Street and Hutt Street. One of the cottages is the Classic Private Hotel another has a sign above the door advertising vitamins. A single storey building with a bull nosed verandah and a porch stands to the south</t>
  </si>
  <si>
    <t>b20626046</t>
  </si>
  <si>
    <t>Symonds Place</t>
  </si>
  <si>
    <t>Symonds Place, east side, 23rd February 1961, right side of shed is 40 yards north of Gilles Street and frontage is 8 yards. For building subsequently on this site see B 14590. When this photograph was taken in 1961 the building was "For Sale"</t>
  </si>
  <si>
    <t>b20629059</t>
  </si>
  <si>
    <t>Hanson Street, east side, corner Gilles Street, south side, 25 October 1961. Gilles Street frontage: 22 yards. Hanson Street frontage: 10 yards. See also B 14528. A two storey stone building stands on the corner with a shop on the ground floor. Next door stands the auction rooms of Kearns Brothers</t>
  </si>
  <si>
    <t>b20629217</t>
  </si>
  <si>
    <t>"Arab Steed Hotel"</t>
  </si>
  <si>
    <t>"Arab Steed Hotel", south west corner of Hutt and Gilles Streets, 12 January 1961.Two storey frontage of hotel on Hutt Street is 23 yards. Complete frontage to left side of the garage, marked with an 'x' is 33 yards. For a view of this hotel in 1939 see B 8169. There has been a hotel on this site since 1849. This building, along with the adjacent terrace houses, date from 1877. The hotel has a distinctive weather vane and stained glass windows</t>
  </si>
  <si>
    <t>Arab Steed Hotel (Adelaide, S.A.);Hotels -- South Australia -- Adelaide;Hutt Street (Adelaide, S.A.);Gilles Street (Adelaide, S.A.)</t>
  </si>
  <si>
    <t>Acre 654 Collection</t>
  </si>
  <si>
    <t>b20629229</t>
  </si>
  <si>
    <t>"Arab Steed Hotel", south west corner of Hutt and Gilles Streets, 12 January 1961. Two storey frontage of hotel on Hutt Street is 23 yards.  There has been a hotel on this site since 1849. This building, along with the adjacent terrace houses, date from 1877. The hotel has a distinctive weather vane and stained glass windows. For a view of this hotel in 1939 see B 8169</t>
  </si>
  <si>
    <t>b20630736</t>
  </si>
  <si>
    <t>South Terrace, north side, 23rd February 1961. Right side of building is 155 yards west of Hanson Street. Frontage of building is 18 yards. This two storey painted sandstone building has a two storey portico and matching recessed balconies either side. The building stands next to a school crossing</t>
  </si>
  <si>
    <t>Acre 679 Collection</t>
  </si>
  <si>
    <t>b20630888</t>
  </si>
  <si>
    <t>South Terrace north side, 27 January 1961. Left side of building is 48 yards east of Symonds Place. Frontage is 11 yards. This bluestone house has a fancy parapet over the front shuttered window. Two interesting cars are parked outside the house</t>
  </si>
  <si>
    <t>Acre 682 Collection</t>
  </si>
  <si>
    <t>b2063089x</t>
  </si>
  <si>
    <t>South Terrace, north side, 27 January 1961. Left side of house is 75 yards east of Symonds Place. This Californian style house has squat columns on the characteristic verandah</t>
  </si>
  <si>
    <t>b20630906</t>
  </si>
  <si>
    <t>South Terrace, north side, 27 January 1961. For site details see B 7415. A California style bungalow with steeply a sloping roof shows displays squat columns providing a shady verandah</t>
  </si>
  <si>
    <t>b20644255</t>
  </si>
  <si>
    <t>Mills Terrace, East Side</t>
  </si>
  <si>
    <t>Mills Terrace, east side, 27th January 1961. Right side of site is 73 yards north of Childers Street. Frontage: 18 yards. There is  a sign near the front door which says "Parklands Guest House". The raised verandah is surrounded by a latticed fence</t>
  </si>
  <si>
    <t>Acre 956 Collection</t>
  </si>
  <si>
    <t>b20647621</t>
  </si>
  <si>
    <t>Kingston Terrace, south side,16th February 1961. This building was demolished by early 1962. For a view of this building from Stanley Street see B 14554.</t>
  </si>
  <si>
    <t>b20647633</t>
  </si>
  <si>
    <t>Stanley Street, north side, 16th February, 1961. This building was demolished by early 1962. For a view of this building from Kingston Terrace see B 14553. This sandstone two storey building has bay windows and a wrap around verandah</t>
  </si>
  <si>
    <t>b20654224</t>
  </si>
  <si>
    <t>National Gallery</t>
  </si>
  <si>
    <t>National Gallery work room, 5th January 1961. This workshop was completed in 1960. Fo9r buildings formerly on this site see B 14357 and B 14358. A portion  of the Archway which was built as part of the Mounted Police Barracks in 1854 can be seen on the extreme left of the photograph</t>
  </si>
  <si>
    <t>National Gallery of South Australia;Art Gallery of South Australia;Art museums -- South Australia -- Adelaide</t>
  </si>
  <si>
    <t>Adelaide Views Collection;Art Gallery Collection</t>
  </si>
  <si>
    <t>b20654236</t>
  </si>
  <si>
    <t>National Gallery work shop, 5th January 1961. View shows the western side of the Archives building. This workshop was completed in 1960. For building formerly on this site see B 14357 and B 14358. Part of the Archway built as part of the Mounted Police Barracks can be seen on the extreme right of the photograph</t>
  </si>
  <si>
    <t>Art Gallery of South Australia;National Gallery of South Australia;Art museums -- South Australia -- Adelaide</t>
  </si>
  <si>
    <t>b20830981</t>
  </si>
  <si>
    <t>Blue Lake Ladies Highland Pipe Band</t>
  </si>
  <si>
    <t>Photograph (b&amp;w print)  15.8 cm x 20.8 cm;RESERVE 1</t>
  </si>
  <si>
    <t>MOUNT GAMBIER: Members of the Blue Lake Ladies Highland Pipe Band, New Years Day 1961.</t>
  </si>
  <si>
    <t>b21007834</t>
  </si>
  <si>
    <t>New road between Rundle and Grenfell Streets : Tavistock Street</t>
  </si>
  <si>
    <t>Photograph (b&amp;w print)  8 x 11.5 cm (image)   25.2 cm x 20.5 cm (mount);RESERVE 1 album</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</si>
  <si>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Tavistock Street, looking south from North Terrace to Rundle Street.</t>
  </si>
  <si>
    <t>Roads -- South Australia -- Adelaide;Wrecking -- South Australia -- Adelaide;Tavistock Street (Adelaide, S.A.)</t>
  </si>
  <si>
    <t>Album Collection;New Adelaide roads Album</t>
  </si>
  <si>
    <t>b21007846</t>
  </si>
  <si>
    <t>Photograph  8 x 11.5 cm on 25 x 20.5 cm (sheet);RESERVE 1 album</t>
  </si>
  <si>
    <t>Inset photograph : Tavistock Street, looking south from North Terrace to Rundle Street.</t>
  </si>
  <si>
    <t>b21007858</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</si>
  <si>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Part of east side of Tavistock Street, looking south.</t>
  </si>
  <si>
    <t>b2100786x</t>
  </si>
  <si>
    <t>New road between Rundle and Grenfell Streets : Rundle Street</t>
  </si>
  <si>
    <t>Photograph (b&amp;w print)  8 x 11.5 cm;RESERVE 1 album</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</si>
  <si>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Part of south side of Rundle Street, looking south through private road leading to Adelaide Fruit and Produce Exchange, and through the Produce Exchange as far south as south side of Grenfell Street.</t>
  </si>
  <si>
    <t>Roads -- South Australia -- Adelaide;Wrecking -- South Australia -- Adelaide;Rundle Street (Adelaide, S.A.)</t>
  </si>
  <si>
    <t>b21007871</t>
  </si>
  <si>
    <t>Photograph (b&amp;w print)  8 cm x 11.5 cm;RESERVE 1 album</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</si>
  <si>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Part of south side of Rundle Street, between Union Street and Bent Street, and beyond, looking west.</t>
  </si>
  <si>
    <t>b21007883</t>
  </si>
  <si>
    <t>New road between Rundle and Grenfell Streets : Grenfell Street</t>
  </si>
  <si>
    <t>Photograph (b&amp;w print)  6 cm x 11.8 cm;RESERVE 1 album</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</si>
  <si>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Part of south side of Grenfell Street between Tam O'Shanter Place and Ackland Street, and beyond, looking west.</t>
  </si>
  <si>
    <t>Roads -- South Australia -- Adelaide;Wrecking -- South Australia -- Adelaide;Grenfell Street (Adelaide, S.A.)</t>
  </si>
  <si>
    <t>b21007962</t>
  </si>
  <si>
    <t>New road between Rundle and Grenfell Streets : Ackland  Street</t>
  </si>
  <si>
    <t>Photograph (b&amp;w print)  8 cm x 11.6 cm;RESERVE 1 album</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</si>
  <si>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Ackland Street looking north from Pirie Street to Grenfell Street.</t>
  </si>
  <si>
    <t>Roads -- South Australia -- Adelaide;Wrecking -- South Australia -- Adelaide;Ackland Street (Adelaide, S.A.)</t>
  </si>
  <si>
    <t>b21007974</t>
  </si>
  <si>
    <t>Photograph (b&amp;w print)  8 cm x 11.8 cm;RESERVE 1 album</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</si>
  <si>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Ackland Street looking south from Grenfell Street to Pirie Street and beyond.</t>
  </si>
  <si>
    <t>b21007986</t>
  </si>
  <si>
    <t>Photograph (b&amp;w print)  8 cm  x 11.8 cm on 25 x 20.5 cm (sheet);RESERVE 1 album</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</si>
  <si>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Ackland Street looking south from Pirie Street to the Adelaide Workmen's Homes on the south side of Wakefield Street.</t>
  </si>
  <si>
    <t>b21007998</t>
  </si>
  <si>
    <t>Photograph (b&amp;w print)  7.3 cm x 11.3 cm;RESERVE 1 album</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</si>
  <si>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Part of east side of Ackland Street, looking south from Flinders Street to Wakefield Street.</t>
  </si>
  <si>
    <t>b21008000</t>
  </si>
  <si>
    <t>Photograph (b&amp;w print)  8 cm x 11.6 cm on 25 x 20.5 cm (sheet);RESERVE 1 album</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</si>
  <si>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Part of east side of Ackland Street, looking north from Wakefield Street to Pirie Street.</t>
  </si>
  <si>
    <t>b21008012</t>
  </si>
  <si>
    <t>New road between Rundle and Grenfell Streets : Elder Street</t>
  </si>
  <si>
    <t>Photograph (b&amp;w print)  8.5 cm x 11.7 cm on 25 x 20.5 cm (sheet);RESERVE 1 album</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</si>
  <si>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North end of Elder Street looking north across Waklefield Street and showing the south end of Ackland Street.</t>
  </si>
  <si>
    <t>Roads -- South Australia -- Adelaide;Wrecking -- South Australia -- Adelaide;Elder Street (Adelaide, S.A.)</t>
  </si>
  <si>
    <t>b21008024</t>
  </si>
  <si>
    <t>Photograph (b&amp;w print)  8 cm x 11.8 cm on 25 x 20.5 cm (sheet);RESERVE 1 album</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</si>
  <si>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West side of Elder Street looking south from Wakefield Street to Angas Street.</t>
  </si>
  <si>
    <t>b21008085</t>
  </si>
  <si>
    <t>New road between Rundle and Grenfell Streets : Regent Street</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</si>
  <si>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Regent Street looking south from Angas Street to Carrington Street.</t>
  </si>
  <si>
    <t>Roads -- South Australia -- Adelaide;Wrecking -- South Australia -- Adelaide;Regent Street (Adelaide, S.A.)</t>
  </si>
  <si>
    <t>b21008097</t>
  </si>
  <si>
    <t>Photograph (b&amp;w print)  8 cm x 11.5 cm on 25 x 20.5 cm (sheet);RESERVE 1 album</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</si>
  <si>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Part of east side of Regent Street looking north from Carrington Street to Angas Street.</t>
  </si>
  <si>
    <t>b21008103</t>
  </si>
  <si>
    <t>New road between Rundle and Grenfell Streets : McLaren Street</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</si>
  <si>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South side of McLaren Street, looking east from Regent Street.</t>
  </si>
  <si>
    <t>Roads -- South Australia -- Adelaide;Wrecking -- South Australia -- Adelaide;McLaren Street (Adelaide, S.A.)</t>
  </si>
  <si>
    <t>b21008115</t>
  </si>
  <si>
    <t>Photograph (b&amp;w)  8 cm x 11.7 cm on 25 x 20.5 cm (sheet);RESERVE 1 album</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</si>
  <si>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Part of east side of Regent Street immediately north of Halifax Street showing rear of  two houses in Halifax Street (Nos. 186 and 188) looking south east.</t>
  </si>
  <si>
    <t>b21008127</t>
  </si>
  <si>
    <t>New road between Rundle and Grenfell Streets : Halifax Street</t>
  </si>
  <si>
    <t>Photograph (b&amp;w print)  6.2 cm x 11.8 cm on 25 x 20.5 cm (sheet);RESERVE 1 album</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</si>
  <si>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Corner of Halifax Street and Castle Street, looking south west.</t>
  </si>
  <si>
    <t>Roads -- South Australia -- Adelaide;Wrecking -- South Australia -- Adelaide;Halifax Street (Adelaide, S.A.)</t>
  </si>
  <si>
    <t>b21008140</t>
  </si>
  <si>
    <t>New road between Rundle and Grenfell Streets : Castle Street</t>
  </si>
  <si>
    <t>Photograph (b&amp;w print)  8 cm x 11.7 cm on 25 x 20.5 cm (sheet);RESERVE 1 album</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</si>
  <si>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Shop and house adjacent to each othe on west side of Castle Street (nos. 13 and 11).</t>
  </si>
  <si>
    <t>Roads -- South Australia -- Adelaide;Wrecking -- South Australia -- Adelaide;Castle Street (Adelaide, S.A.)</t>
  </si>
  <si>
    <t>b21008152</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</si>
  <si>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Castle Street looking north from Gilles Street to Halifax Street.</t>
  </si>
  <si>
    <t>b21008164</t>
  </si>
  <si>
    <t>New road between Rundle and Grenfell Streets : Gilles Street</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</si>
  <si>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House of corner of Gilles Street and Charlotte Street (no. 227) south west from Gilles Street.</t>
  </si>
  <si>
    <t>Roads -- South Australia -- Adelaide;Wrecking -- South Australia -- Adelaide;Gilles Street (Adelaide, S.A.)</t>
  </si>
  <si>
    <t>b21008176</t>
  </si>
  <si>
    <t>New road between Rundle and Grenfell Streets : Charlotte Street</t>
  </si>
  <si>
    <t>Photograph (b&amp;w print)  8 x 11.5 cm on 25 x 20.5 cm (sheet);RESERVE 1 album</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</si>
  <si>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Part of west side of Charlotte Street, looking north.</t>
  </si>
  <si>
    <t>Roads -- South Australia -- Adelaide;Wrecking -- South Australia -- Adelaide;Charlotte Street (Adelaide, S.A.)</t>
  </si>
  <si>
    <t>b2100819x</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</si>
  <si>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Part of west side of Charlotte Street.</t>
  </si>
  <si>
    <t>b21008206</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</si>
  <si>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Charlotte Street between Charlotte Place and South Terrace, looking south.</t>
  </si>
  <si>
    <t>b21008218</t>
  </si>
  <si>
    <t>Photograph mounted on card bearing written annotations and line drawings which depict the exact location of buildings in the eastern part of Adelaide that were demolished in 1961 to make way for the first section of a new road between Rundle and Grenfell Streets, Adelaide. Charlotte Street looking north from South Terrace.</t>
  </si>
  <si>
    <t>b2100822x</t>
  </si>
  <si>
    <t>Inset photograph : Part of east side of Tavistock Street, looking south.</t>
  </si>
  <si>
    <t>b21008243</t>
  </si>
  <si>
    <t>b21008255</t>
  </si>
  <si>
    <t>Inset photograph: Part of south side of Rundle Street, looking south through private road leading to Adelaide Fruit and Produce Exchange, and through the Produce Exchange as far south as south side of Grenfell Street.</t>
  </si>
  <si>
    <t>b21008279</t>
  </si>
  <si>
    <t>Inset photograph: Part of south side of Rundle Street, between Union Street and Bent Street, and beyond, looking west.</t>
  </si>
  <si>
    <t>b21008280</t>
  </si>
  <si>
    <t>Inset photograph: Part of south side of Grenfell Street between Tam O'Shanter Place and Ackland Street, and beyond, looking west.</t>
  </si>
  <si>
    <t>b21008292</t>
  </si>
  <si>
    <t>Inset photograph: Ackland Street looking north from Pirie Street to Grenfell Street.</t>
  </si>
  <si>
    <t>b21008309</t>
  </si>
  <si>
    <t>Inset photograph: Ackland Street looking south from Grenfell Street to Pirie Street and beyond.</t>
  </si>
  <si>
    <t>b21008322</t>
  </si>
  <si>
    <t>Inset photograph: Ackland Street looking south from Pirie Street to the Adelaide Workmen's Homes on the south side of Wakefield Street.</t>
  </si>
  <si>
    <t>b21008334</t>
  </si>
  <si>
    <t>Inset photograph: Part of east side of Ackland Street, looking south from Flinders Street to Wakefield Street.</t>
  </si>
  <si>
    <t>b21008346</t>
  </si>
  <si>
    <t>Inset photograph: Part of east side of Ackland Street, looking north from Wakefield Street to Pirie Street.</t>
  </si>
  <si>
    <t>b21008358</t>
  </si>
  <si>
    <t>Inset photographNorth end of Elder Street looking north across Waklefield Street and showing the south end of Ackland Street.</t>
  </si>
  <si>
    <t>b21008371</t>
  </si>
  <si>
    <t>Inset photograph: West side of Elder Street looking south from Wakefield Street to Angas Street.</t>
  </si>
  <si>
    <t>b21008383</t>
  </si>
  <si>
    <t>Inset photograph: Regent Street looking south from Angas Street to Carrington Street.</t>
  </si>
  <si>
    <t>b21008395</t>
  </si>
  <si>
    <t>b21008413</t>
  </si>
  <si>
    <t>Inset photograph: Part of east side of Regent Street looking north from Carrington Street to Angas Street.</t>
  </si>
  <si>
    <t>b21008425</t>
  </si>
  <si>
    <t>Inset photograph: South side of McLaren Street, looking east from Regent Street.</t>
  </si>
  <si>
    <t>b21008437</t>
  </si>
  <si>
    <t>Inset photograph: Part of east side of Regent Street immediately north of Halifax Street showing rear of  two houses in Halifax Street (Nos. 186 and 188) looking south east.</t>
  </si>
  <si>
    <t>b21008449</t>
  </si>
  <si>
    <t>Inset photograph: Corner of Halifax Street and Castle Street, looking south west.</t>
  </si>
  <si>
    <t>b21008450</t>
  </si>
  <si>
    <t>Inset photograph: Shop and house adjacent to each othe on west side of Castle Street (nos. 13 and 11).</t>
  </si>
  <si>
    <t>b21008462</t>
  </si>
  <si>
    <t>b21008474</t>
  </si>
  <si>
    <t>Inset photograph: Castle Street looking north from Gilles Street to Halifax Street.</t>
  </si>
  <si>
    <t>b21008498</t>
  </si>
  <si>
    <t>Inset photograph: Part of west side of Charlotte Street, looking north.</t>
  </si>
  <si>
    <t>b21008504</t>
  </si>
  <si>
    <t>Inset photograph: House of corner of Gilles Street and Charlotte Street (no. 227) south west from Gilles Street.</t>
  </si>
  <si>
    <t>b21008528</t>
  </si>
  <si>
    <t>Inset photograph: Part of west side of Charlotte Street.</t>
  </si>
  <si>
    <t>b2100853x</t>
  </si>
  <si>
    <t>Inset photograph: Charlotte Street between Charlotte Place and South Terrace, looking south.</t>
  </si>
  <si>
    <t>b21008541</t>
  </si>
  <si>
    <t>Inset photograph: Charlotte Street looking north from South Terrace.</t>
  </si>
  <si>
    <t>b28431248</t>
  </si>
  <si>
    <t>Donkey outside the State Library</t>
  </si>
  <si>
    <t>Photograph (B&amp;W print)  19.6 cm x 24.8 cm</t>
  </si>
  <si>
    <t>State Librarian, Hedley Brideson (on left), a man with his donkey, and another man holding a copy of the book 'Siestas and Fiestas'. It is believed that the donkey is 'Don Pedro', owned by Dragan Miljanovic who used him as part of his fundraising efforts. There are reports in the 'Advertiser' in October 1961 of Miljanovic distributing copies of 'Siestas and Fiestas' around the city. The identity of the third man is unknown.</t>
  </si>
  <si>
    <t>Brideson, Hedley, 1910-2003;Miljanovic, Dragan, 1922-1974</t>
  </si>
  <si>
    <t>State Library Collection</t>
  </si>
  <si>
    <t>b30172330</t>
  </si>
  <si>
    <t>Christmas day 1961</t>
  </si>
  <si>
    <t>Ellen Saunders in her garden at her Hampstead Gardens home on Christmas day in 1961, "we had all our meals in the garden for a week, because it was so hot I had to sit in the shade." Featuring a Hills Hoist washing line.</t>
  </si>
  <si>
    <t>b20545095</t>
  </si>
  <si>
    <t>No. 51-55 North Terrace, West. 17 September 1962. Fenn Place runs south between McIlwraith's and the galvanised iron fence. McIlwraith sanitaryware, baths and basins</t>
  </si>
  <si>
    <t>b20548199</t>
  </si>
  <si>
    <t>Gawler Place, west side, 18 September 1962. The entrance to Onkaparinga House is approximately 70 yards north of Rundle Street. Onkaparinga House is shown here next to David Jones Department Store</t>
  </si>
  <si>
    <t>Acre 19 Collection</t>
  </si>
  <si>
    <t>b20548205</t>
  </si>
  <si>
    <t>Gawler Place, west side, 31 August 1962, near North Terrace. The Federation building has casement windows with ornate carvings underneath. Metal grills protect the ground floor windows</t>
  </si>
  <si>
    <t>b20548515</t>
  </si>
  <si>
    <t>Photograph  8.6 cm x 8.5 cm</t>
  </si>
  <si>
    <t>Gawler Place, east side, May 1962, showing the G.R.Wills &amp; Co. Ltd. building. The door on the left is 74 yards north of Rundle Street. Part of this building was later demolished to make way for the widening of Gawler Place. A rough sketch on the back of the photograph shows the position of the building and the portion that was widened</t>
  </si>
  <si>
    <t>b20548527</t>
  </si>
  <si>
    <t>North Terrace, south side. The building has a frontage of 12 yards, and is situated 51 yards east of Gawler Place. GW Wills and Company building is on the extreme left of the photograph. A two storey building housing the Mothers anbd Babies Health Association stands in between Wills and Bagot House at 198 North Terrace</t>
  </si>
  <si>
    <t>b20551125</t>
  </si>
  <si>
    <t>Rundle Street, north side, corner of Tavistock Street, October 5, 1962. Frontage of Hotel on Rundle Street is 9 yards. This hotel existed since 1857 and was demolished in 1962 when Frome Road was developed using Ackland Street and Tavistock Street</t>
  </si>
  <si>
    <t>b20551137</t>
  </si>
  <si>
    <t>Rundle Street, north side, corner of Tavistock Street, October 5, 1962. Frontage of Hotel on Rundle Street is 9 yards. This hotel existed since 1857 and was demolished in 1962 when Frome Road was developed using Ackland Street and Tavistock Street. this photograph was taken the day after the hotel was sold at auction. A cheeky sign on the front door says "The pub with no beer". Other buildings adjacent to the hotel include Canberra Television Services, Landers Leather Goods, NE Jaims Mens Wear, Motor Supplies Store. On the western corner of Rundle Street and Tavistock Street stands Dan Morris Cafe</t>
  </si>
  <si>
    <t>b20552178</t>
  </si>
  <si>
    <t>Rundle Street, north side, October 5, 1962. Right side of three storey building is 23 yards west of Pulteney Street. Businesses to be seen include Rundle's Radio Bargain House, Tip Top Dry Cleaners, Manton's Frock Salon, Silver Dragon Restaurant (in the three storey building)</t>
  </si>
  <si>
    <t>b2055218x</t>
  </si>
  <si>
    <t>Rundle Street, north side, right side of three storey building is 23 yards west of Pulteney Street. October 5, 1962. Businesses to be seen include Rundle's Radio Bargain House, Tip Top Dry Cleaners, Manton's Frock Salon, Silver Dragon Restaurant (in the three storey building), Katies Fashions, Josette's Fashions</t>
  </si>
  <si>
    <t>b20557000</t>
  </si>
  <si>
    <t>Theatre Royal, Hindley Street</t>
  </si>
  <si>
    <t>Theatre Royal, Hindley Street, north side, 31st August 1962. The Theatre was demolished in 1962.  It was Adelaide's best known and much loved theatre. It was built in 1868, rebuilt in 1878 and served Adelaide for 84 years</t>
  </si>
  <si>
    <t>b20562664</t>
  </si>
  <si>
    <t>Rundle Street, south side, 13 September 1962, left side of the Red Lion Hotel is 33 yards west of James Place. Red Lion Hotel existed from 1845 and was demolished in 1966. The Sturt Cinema can be seen towards the east of Red Lion Hotel on the corner of James Place. This opened as the Grand in 1916, then changed to Mayfair in 1934, changed to Sturt in May 1955. It closed in February 1976</t>
  </si>
  <si>
    <t>b20562688</t>
  </si>
  <si>
    <t>Rundle Street, south side, corner of King William Street east, 16 November 1962, Rundle Street frontage is 13 yards and King William Street frontage is 25 yards. Lawrences Corner (Lawrence's tobacconists) stands on the corner next to the traffic lights. Jarman Shoe Store and Canberra Television Rental Shop can also be seen</t>
  </si>
  <si>
    <t>b2056269x</t>
  </si>
  <si>
    <t>Rundle Street, south side, 16 November 1962, Rundle Street frontage is 13 yards and King William Street frontage is 25 yards. Lawrence's Tobacconists sits on the corner and next to that in King William Street is Central Camera Store, J Leaver Menswear, Golden Rule Fruit Shop and PJ Bradys Billiard Acessories</t>
  </si>
  <si>
    <t>b20562706</t>
  </si>
  <si>
    <t>King William Street, east side, 16 November 1962, frontage of building is 12 yards. Left side of the building (shown between "x"s) abuts Clarence Place. ErnSmith Radio and Electrical Goods is located on the corner of Clarence Place. Balfours Cafe is seen on the extreme right of the photograph</t>
  </si>
  <si>
    <t>b20564338</t>
  </si>
  <si>
    <t>Rundle Street, south side, 30th November 1962. This shows the offices of Mutal Hospital Association, also containing a produce and meat shop, Savery's Music Centre and the Kodak Camera Store</t>
  </si>
  <si>
    <t>b2056434x</t>
  </si>
  <si>
    <t>Rundle Street, south side, 30th November 1962. According to a researcher, the Globe Theatre in Rundle Street was also known as the Savoy News-Luxe Theatre and the Savoy Theatre, and closed at the end of 1962. It was at 43 Rundle Street. Next to the Globe stands Mutual Hospital Association offices, Savery's Music Store, and Kodak Camera Shop</t>
  </si>
  <si>
    <t>b20564351</t>
  </si>
  <si>
    <t>Gawler Place, west side, near Rundle Street, 6th December 1962. Photograph taken looking south towards Grenfell Street. Plus 8 Trousers shop is next to Claude Sarre Watches,City Rubber Store stands to the south of the six storey Pharmacy Building which was erected in 1925</t>
  </si>
  <si>
    <t>b20564363</t>
  </si>
  <si>
    <t>Gawler Place, west side, looking north towards Rundle Street, 6th December 1962.  Fletcher Jones Plus 8 Trousers shop is next to Claude Sarre Watches which is on the corner of Galwer Place and Featherstone Place. City Rubber Store stands to the south of the six storey Pharmacy Building which was erected in 1925</t>
  </si>
  <si>
    <t>b20570028</t>
  </si>
  <si>
    <t>Grenfell Street, north side, 9th November 1962. Left side of the Da Costa thirteen storey building which was completed in 1957 abuts east side of Gawler Place. For the building previously on the site of Da Costa building see B 6763. Harris Scarfe Limited department store can be seen at its location on Grenfell Street. The 13 storey Da Costa builoding was Adelaide's first post-World War II skyscraper. Sister and brother Louisa Da Costa and Benjamin Menes Da Costa bequeathed their estate to the Governor of South Australia to be used for samaritan needs. The pair were among the first pioneers to the colony and lived in Grenfell Street. Mr Da Costa was a shrewd businessman</t>
  </si>
  <si>
    <t>b20571859</t>
  </si>
  <si>
    <t>Currie Street, north side, West corner of Gilbert Place. September 12, 1962. Bennett and Fisher's building, right corner of building is 40 yards from King William Street. For a view of building previously on this site see B 14895. Buildings and businesses seen include Druids NHSA medical and health benefits, Bennett and Fisher, Australia and New Zealand Bank Limited</t>
  </si>
  <si>
    <t>b20572517</t>
  </si>
  <si>
    <t>Currie Street, north side, 13 September 1962, frontage of Powell's building is 28.5 yards. Left side of Powell's building abuts east side of Leigh Street. For another view of the 10 storey Royal Exchange Assurance building see B 14496. Right side of Royal Exchange Assurance Building abuts west side of Peel Street. Frontage of Royal Exchange Assurance Building is 15 yards. For a view of building previously on this site see B14232. Buildings to be seen in the photograph include Kings Travel, South Australian Insurance Building, Northern Assurance Company and Druids Health Insurance</t>
  </si>
  <si>
    <t>b20572645</t>
  </si>
  <si>
    <t>Currie Street, north side, corner of Leigh Street, 13 September 1962, frontage of Powell's building is 28.5 yards. Royal Exchange Assurance building has a frontage of 15 yards in Currie Street. For another view of this building see B 14497. Left side of Powells' building abuts east side of Leigh Street. For building previously on this site of the REA building see B 14232</t>
  </si>
  <si>
    <t>Acre 111 Collection</t>
  </si>
  <si>
    <t>b20589244</t>
  </si>
  <si>
    <t>Flinders Street, north side, 3rd December 1962, left side of site is 47 yards east of Ackland Street and frontage is 57 yards. A double decker car carrier is in the property in the centre of the photograph</t>
  </si>
  <si>
    <t>Acre 224 Collection</t>
  </si>
  <si>
    <t>b20592541</t>
  </si>
  <si>
    <t>North Tce., Grosvenor Hotel</t>
  </si>
  <si>
    <t>North Terrace, south side Grosvenor Hotel, 25th October 1962. Photograph taken from the parapet of Parliament House looking west. The name Grosvenor was adopted in 1920 and was the hotel was licenced in 1968. It was previously known as City Temperace, then Federal Coffee Palace and then Grayson's Coffee Palace</t>
  </si>
  <si>
    <t>b20592553</t>
  </si>
  <si>
    <t>North Terrace, south side. Grosvenor Hotel. 25th October 1962. Photograph taken from the parapet of Parliament House looking west. The name Grosvenor was adopted in 1920 and was the hotel was licenced in 1968. It was previously known as City Temperace, then Federal Coffee Palace and then Grayson's Coffee Palace</t>
  </si>
  <si>
    <t>b20592565</t>
  </si>
  <si>
    <t>North Terrace, south side. Grosvenor Hotel. 25th October 1962. Photograph taken from the parapet of Parliament House looking south. The name Grosvenor was adopted in 1920 and was the hotel was licenced in 1968. It was previously known as City Temperace, then Federal Coffee Palace and then Grayson's Coffee Palace</t>
  </si>
  <si>
    <t>b20592966</t>
  </si>
  <si>
    <t>Lane off North Tce., South</t>
  </si>
  <si>
    <t>Lane off North Terrace, south side. 20 November 1962. Left side of cottage is 72 yards south of North Tce. Frontage of cottage is 12 yards. A rough map on the back of the photograph shows the location of the cottage. Next door to this the Trans Australian Airlines air cargo office is being demolished</t>
  </si>
  <si>
    <t>b20592978</t>
  </si>
  <si>
    <t>Lane off Bank Street, East</t>
  </si>
  <si>
    <t>North side of lane off Bank St., east side. 20 November 1962. A rough map on the back of the photograph shows the location of the warehouse. It is next to the cottage shown in B 14574</t>
  </si>
  <si>
    <t>b2059298x</t>
  </si>
  <si>
    <t>Lane off Bank Street, east side. 20 November 1962. A rough map shown on the back of the photograph shows the location of this building in the laneway running from North Terrace into Bank Street. Demolition is in progress</t>
  </si>
  <si>
    <t>b20593831</t>
  </si>
  <si>
    <t>36-40 Franklin Street, north side, corner of Bentham Street, 11 September 1962. For an earlier view of this building see B 9245. The South Australian Farmers' Cooperative Union Limited stands on the corner of Franklin Street and Bentham Street</t>
  </si>
  <si>
    <t>b20595013</t>
  </si>
  <si>
    <t>Franklin Street, north side 31st August 1962 showing nos. 230-234 in course of demolition. Left side of the site is 49 yards west of Gray Street. Frontage: 25 yards.</t>
  </si>
  <si>
    <t>b20597162</t>
  </si>
  <si>
    <t>Victoria Square, east side, corner of Flinders Street. The building has a frontage of 28 yards on Flinders Street (left) and 25 yards on Victoria Square. This two storey building eventually gave way to the tall Reserve Bank Building which was designed in 1962 and featured it's distinctive inward curved facade</t>
  </si>
  <si>
    <t>b20597174</t>
  </si>
  <si>
    <t>Victoria Square, east side, corner of Flinders Street. Building has a frontage of 28 yards on Flinders Street (left) and 25 yards on Victoria Square. This two storey building eventually gave way to the tall Reserve Bank Building which was designed in 1962 and featured it's distinctive inward curved facade</t>
  </si>
  <si>
    <t>b20599171</t>
  </si>
  <si>
    <t>Wakefield Street, North Side</t>
  </si>
  <si>
    <t>Wakefield Street, north side. Corner of East Tce. 11 September 1962 Left side of building (as shown) 95 yards East of Hutt Street. Frontage (as shown) is 21 yards on Wakefield Street and 29 yards on East Terrace. This fine old bluestone mansion was demolished and now buildings from the Christian Brothers Junior College stand on this site</t>
  </si>
  <si>
    <t>Acre 287 Collection</t>
  </si>
  <si>
    <t>b20602194</t>
  </si>
  <si>
    <t>Grote Street, north side, 18 September 1962. The two storey building on left is on the corner of Grote and Morphett Streets. MC Moore Chemist can be seen, next to Arthur Searcy Pharmaceutical Wholesalers</t>
  </si>
  <si>
    <t>b20602200</t>
  </si>
  <si>
    <t>Grote Street, north side, 18 September 1962. The two storeyed building on the left lis on the corner of Grote and Morphett Streets.</t>
  </si>
  <si>
    <t>b20604348</t>
  </si>
  <si>
    <t>'Demolition in Progress', Moonta Street</t>
  </si>
  <si>
    <t>'Demolition in progress' Moonta Street, east side, 16 November 1962. Holden Station Wagon 11-064 is parked at the kerb. Left side of the site is 31 yards south of Grote Street, frontage of site is 9 yards.</t>
  </si>
  <si>
    <t>b20608482</t>
  </si>
  <si>
    <t>Robert Street, west side</t>
  </si>
  <si>
    <t>Robert Street, west side, 5 October 1962. Left side of the site is 43 yds. north of Angas Street. Frontage of site is 11 yds. Portion of site is shown marked between "x"</t>
  </si>
  <si>
    <t>b20608494</t>
  </si>
  <si>
    <t>Robert Street, west side north of Angas Street, 17 December 1962. Photograph shows a petrol station and houses</t>
  </si>
  <si>
    <t>b20610634</t>
  </si>
  <si>
    <t>Marlborough Street</t>
  </si>
  <si>
    <t>Marlborough Street, west side, near Gouger Street, 21 December 1962. Northern end of cottages in the course of demolition is shown in B 14595</t>
  </si>
  <si>
    <t>b20610646</t>
  </si>
  <si>
    <t>Marlborough Street, west side, 21 December 1962, left side of houses is 34 yards north of Gouger Street, frontage of houses is 34 yards. Work was begun on the demolition of these cottages in 1962</t>
  </si>
  <si>
    <t>b20612436</t>
  </si>
  <si>
    <t>Mill Street, west side, 16th November 1962, left side of building is 60 yards south of Gouger Street and frontage of the building is 9 yards. For a view of this site in the 1880's see B 2518. Photograph shows a brush company and Willshire and Lord Motor Trimmers</t>
  </si>
  <si>
    <t>b20613672</t>
  </si>
  <si>
    <t>Angas Street, south side, 5th October 1962. Right side of the building is 87 yards east of Moore Street. Left side abuts Queen Street. Frontage: 28 yards. This row of single storey cottages houses JA Lewis French Polisher and FR Bay Cabinet Maker</t>
  </si>
  <si>
    <t>b20613854</t>
  </si>
  <si>
    <t>Hanson Street, east side, corner of Angas Street, 5th October 1962. Hanson Street frontage: 20 yards. Part of the two storey building houses a restaurant. An AMPOL  petrol station stands to the south</t>
  </si>
  <si>
    <t>b20614512</t>
  </si>
  <si>
    <t>371 Angas Street</t>
  </si>
  <si>
    <t>371 Angas Street, south side, 11th September 1962. Right side of the centre building is 247 yards east of Hutt Street. The building in the centre of the photograph is in the process of being demolished</t>
  </si>
  <si>
    <t>Acre 428 Collection</t>
  </si>
  <si>
    <t>b20616624</t>
  </si>
  <si>
    <t>Compton Street, west side, 11th September 1962, right side of centre shops is 72 yards south of Gouger Street and frontage is 6 yards. The shops in the centre of the photograph were once a refrigeration business and next door was the Compton Meat Shop. In the distance a Union Jack flag is flying from a building in Gouger Street</t>
  </si>
  <si>
    <t>b20618839</t>
  </si>
  <si>
    <t>Queen Street, West Side</t>
  </si>
  <si>
    <t>Queen Street, west side, 21st December 1962. Left side of factory site is 71 yards north of Halifax Street  frontage: 39 yards. For continuation of the site see B 14628. For rear views of this site see B 14629 nd B 14630. This site is near Carrington Street. The 35 metre chimney on Halifax Street can be seen in the distance in this photograph. This chimney built in 1909 was part of a refuse incinerator which was closed in the 1950's</t>
  </si>
  <si>
    <t>b20618852</t>
  </si>
  <si>
    <t>Queen Street, west side, 21st December 1962. Left side of factory site is 71 yards north of Halifax Street. Frontage: 39 yards. For the southern portion of this factory site see B 14626</t>
  </si>
  <si>
    <t>b20618864</t>
  </si>
  <si>
    <t>Colby Place, east side, 21st December 1962 showing the aspect of the factory site in B14626, looking north. This Acre is situated on Carrington Street and Queen Street</t>
  </si>
  <si>
    <t>b20618876</t>
  </si>
  <si>
    <t>Colby Place, east side, 21st December 1962 showing an aspect of the factory site in B14626. View looking south east</t>
  </si>
  <si>
    <t>b20619728</t>
  </si>
  <si>
    <t>East Terrace, west side, 16th November 1962, left side of site is 18 yards north of Halifax Street and frontage is 14 yards. Photograph shows two fine sandstone houses of the Federation Bungalow design and Federation Arts and Crafts design. They feature rough cast walls and prominent verandahs</t>
  </si>
  <si>
    <t>Acre 507 Collection</t>
  </si>
  <si>
    <t>b20621656</t>
  </si>
  <si>
    <t>Sturt Street, north side, 17th December 1962. For previous view of site see B 12818. Converted cottage is 43 yards east of Whitmore Square. A Yellow Cabs Taxi is double parked outside the two storey building</t>
  </si>
  <si>
    <t>b20622016</t>
  </si>
  <si>
    <t>Sturt Street, north side, 3rd December 1962, right side of galvanised iron fence is 18 yards west of Arthur Street and frontage is 11 yards.</t>
  </si>
  <si>
    <t>b20622028</t>
  </si>
  <si>
    <t>Sturt Street, north side, 3rd December 1962. This photograph continues from B 14580. The row of cottages can be seen on the left and a factory is on the right. A Yellow Cab Taxi is parked at the kerb</t>
  </si>
  <si>
    <t>b20624633</t>
  </si>
  <si>
    <t>Gray Street, East Side</t>
  </si>
  <si>
    <t>Gray Street, east side, 9th November 1962. Left side of the building is 57 yards south of Currie Street  frontage: 5 yards. Number 98 Gray Street is a small single storey cottage with a front door and one window</t>
  </si>
  <si>
    <t>b20626058</t>
  </si>
  <si>
    <t>Symonds Place, east side, 17th December 1962. For site details see B 14559. For building previously on this site see B 14559. This photograph shows the business of Murray Rogers,  Lucas Spare Parts. Right side of the site is 40 yards north of Gilles Street and frontage is 8 yards.</t>
  </si>
  <si>
    <t>b20629035</t>
  </si>
  <si>
    <t>Hanson Street, east side, south corner of Gilles Street, 5 October 1962. Gilles Street frontage: 22 yards  Hanson Street frontage: 10 yards. A delicatessen is located on the ground floor of the two storey bluestone building. Kearns Brothers Auctioneers is located next door to the south</t>
  </si>
  <si>
    <t>b20629047</t>
  </si>
  <si>
    <t>Hanson Street, east side, corner of Gilles Street. 21 December 1962. Hanson Street frontage:10 yards  Gilles Street frontage: 22 yards. For site details see B 14528. The delicatessen was remodelled into office space for Kearns Brothers Auctioneers. The two storey bluestone building on the corner has been painted</t>
  </si>
  <si>
    <t>b20631662</t>
  </si>
  <si>
    <t>Brown Street, numbers 225-227, west side, 1962, left side of site is 43 yards from South Terrace. A saw tooth roof factory can be seen behind the empty block on  which a factory was soon to have been built</t>
  </si>
  <si>
    <t>b20640146</t>
  </si>
  <si>
    <t>Stephens Street</t>
  </si>
  <si>
    <t>Stephens Street, north side, 31st August 1962. Former Wesleyan Church. For site details see B 10923. Left side of the building is 3 yards east of Centenary Street. Frontage is 9 yards. The porch is 9 yards north of Stephens Street</t>
  </si>
  <si>
    <t>Acre 822 Collection</t>
  </si>
  <si>
    <t>b20642672</t>
  </si>
  <si>
    <t>Lombard Street</t>
  </si>
  <si>
    <t>Lombard Street, south side, 21st December 1962, frontage of cottage is 12 yards. Right side of house on right abuts Tower Street, east side. For site of house marked (x) see B 14593</t>
  </si>
  <si>
    <t>Acre 905 Collection</t>
  </si>
  <si>
    <t>b20642684</t>
  </si>
  <si>
    <t>Lombard Street, south side, 21st December 1962, right side of building is 12 yards east of Tower Street, and frontage is 15 yards. Photograph shows business premises next to a cottage on the corner of Tower Street</t>
  </si>
  <si>
    <t>b20642982</t>
  </si>
  <si>
    <t>Gover Street, north side, 31st August 1962, frontage of building is 21 yards. Left side of the building is 121 yards east of O'Connell Street and near Margaret Street. This house has been built in the Federation period and features elaborate wooden fretwork</t>
  </si>
  <si>
    <t>Acre 908 Collection</t>
  </si>
  <si>
    <t>b20644322</t>
  </si>
  <si>
    <t>McKinnon Parade</t>
  </si>
  <si>
    <t>McKinnon Parade, north side. 21 December 1962. Left side of cottage on the right is 89 yards east of McKinnon Parade east. Frontage is 10 yards. The cottage has a decorative porch in the centre of the verandah. Men are working on the stobie pole to the left of the photo</t>
  </si>
  <si>
    <t>Acre 958 Collection</t>
  </si>
  <si>
    <t>b20647645</t>
  </si>
  <si>
    <t>Kingston Terrace, south side, 3rd December 1962. For view of building previously on this site which was demolished in early 1962 see B14553. The Adelaide Hills can be seen in the distance</t>
  </si>
  <si>
    <t>b20647657</t>
  </si>
  <si>
    <t>Kingston Terrace, south side, 3rd December 1962. Right side of building is 166 yards west of LeFevre Terrace. Frontage of building is 14 yards. For view of building previously on part of this site see B14553. The Adelaide Hills can be seen in the distance. This sixties style house features ceiling to floor windows at the front and a car port</t>
  </si>
  <si>
    <t>b20647669</t>
  </si>
  <si>
    <t>Stanley Street, north side, 3rd December 1962. For a view of the building previously on this site see B14554. This sixties style house has a gently sloping roof over the patio. It has been built on the slope showing an open basement under the house</t>
  </si>
  <si>
    <t>b20679713</t>
  </si>
  <si>
    <t>Teachers' Training College building, off Kintore Avenue, east side, under construction, 31 August 1962.  A rough sketch on the back of the photograph shows the location of the building.</t>
  </si>
  <si>
    <t>Adelaide Views Collection;Teachers' Training College Collection</t>
  </si>
  <si>
    <t>b20679725</t>
  </si>
  <si>
    <t>Teachers' Training College under construction, 1962.The Hartley College was completed in 1927 as a purpose built Teachers Training College . The Hartley Building was the work of South Australian architect George Gavin Lawson and is distinctive for its Inter War Mediterrean (Spanish Mission) style.</t>
  </si>
  <si>
    <t>b20679737</t>
  </si>
  <si>
    <t>Teachers' Training College under construction, off Kintore Avenue, east side, 31st August 1962. See B 14485 for a rough sketch on the back of the photograph showing the location of the building. The newly built buildings were opened in 1964. This training college trained secondary teachers while Wattle Park Teachers College trained primary teachers</t>
  </si>
  <si>
    <t>b20369840</t>
  </si>
  <si>
    <t>The Power Station</t>
  </si>
  <si>
    <t>Photograph (b&amp;w print)  21 cm x 26 cm;C1</t>
  </si>
  <si>
    <t>The Thomas Playford Power Station, Port Augusta.</t>
  </si>
  <si>
    <t>Thomas Playford Power Station (Port Augusta, S.A.);Electric power-plants -- South Australia -- Port Augusta</t>
  </si>
  <si>
    <t>b21144874</t>
  </si>
  <si>
    <t>Man at Fred Teague's premises</t>
  </si>
  <si>
    <t>Photograph  14.4 cm x 8.5 cm</t>
  </si>
  <si>
    <t>Fred Teague standing in the doorway of his premises.</t>
  </si>
  <si>
    <t>Teague, Fred, 1912-1994</t>
  </si>
  <si>
    <t>b20544662</t>
  </si>
  <si>
    <t>Newmarket Hotel, Adelaide</t>
  </si>
  <si>
    <t>[General description] This is the West Terrace frontage of the Newmarket Hotel. See B 15006 for another view and brief history and B 15008 for the North Terrace Frontage. [On back of photograph] 'Acre 1 / Corner of North and West Terraces / 19 July 1963 / North Terrace frontage is 35 yards /  West Terrace frontage is 37 yards'</t>
  </si>
  <si>
    <t>b20544674</t>
  </si>
  <si>
    <t>[General description] This is the North Terrace Frontage of the Newmarket Hotel. For different views, brief history and site information see B 15006 and B 15007. [On back of photograph] 'Acre 1 / Corner of North and West Terraces / 19 July 1963'</t>
  </si>
  <si>
    <t>b20552488</t>
  </si>
  <si>
    <t>[General description] People on the footpath in winter coats walk past shops at winter sale time. There are cars parked in the street with parking meters. In the centre is Haighs Chocolates, established in May 1915. On the right is MyLady's Dainties, selling 'knitwear, skirts and blouses'. [On back of photograph] 'Acre 40 / Rundle Street, north side / 15 July 1963 / Right side of Haighs is 88 yards west of Pulteney Street'</t>
  </si>
  <si>
    <t>b20557012</t>
  </si>
  <si>
    <t>Photograph  21.8 cm x 16 cm</t>
  </si>
  <si>
    <t>Hindley Street, north side, 4th October 1963. Right side of building is 77 yards west of Gresham Street. The photograph shows Freeman Chemists standing next to a building site. In front of the busy chemist a dedicated taxi telephone can be seen on the pavement and also a stand on weighing machine.</t>
  </si>
  <si>
    <t>b20557024</t>
  </si>
  <si>
    <t>Hindley Street north side, 4 October 1963. Left side of building is 50 yards west of Gresham Street. The building contains two storeys of the Miller Anderson Department Store. Next door stands four the rest of the store over four storeys</t>
  </si>
  <si>
    <t>b20569476</t>
  </si>
  <si>
    <t>Adelaide Arcade</t>
  </si>
  <si>
    <t>Adelaide Arcade, Grenfell Street, north side: 17 January, 1963. See also B 479. Adelaide Arcade was built in 1885</t>
  </si>
  <si>
    <t>Adelaide Arcade;Grenfell Street (Adelaide, S.A.)</t>
  </si>
  <si>
    <t>b20569488</t>
  </si>
  <si>
    <t>[General description] This two storey building is in the Art Deco style and is part of a larger building on the right. There is a 'To Let' sign in the window. A smartly dressed woman passes by with a small child in a stroller. [On back of photograph] 'Acre 103 / Grenfell Street, north side / 30 August 1963 / Left side of building is 30 yards west of Wyatt Street'</t>
  </si>
  <si>
    <t>b20570661</t>
  </si>
  <si>
    <t>James Place, west side, 20 February 1963. Right side of building is 71 yards south of Rundle Street. Fauldings Chemist stands to the right of the photograph. Flags adorn the building</t>
  </si>
  <si>
    <t>b20570673</t>
  </si>
  <si>
    <t>James Place, west side</t>
  </si>
  <si>
    <t>James Place, west side, 20 February 1963. This derelict building is adjacent to Fauldings Chemist</t>
  </si>
  <si>
    <t>b20578106</t>
  </si>
  <si>
    <t>Ackland Street, west side, 19 April 1963. Photograph shows a building being demolished. It appears to be called Grenfell Electric - Hot Water Services</t>
  </si>
  <si>
    <t>b20578118</t>
  </si>
  <si>
    <t>Ackland Street, west side, 19 April 1963, Grenfell Street frontage is 3.5 yards and Ackland Street frontage is 43 yards.</t>
  </si>
  <si>
    <t>b20579111</t>
  </si>
  <si>
    <t>Pirie Street, north side, 22 March 1963. Corner of Hyde Street and Pirie Street shows a shop selling paint, resins and fibreglass. Next door stands a boat shop seeling boat plans and kits</t>
  </si>
  <si>
    <t>b20581464</t>
  </si>
  <si>
    <t>King William Street, west side, March 29th 1963, left side of the building is north of Waymouth Street. The frontage of building is 7 yards. Printers and stationers Scrymour and Sons occupy the building. A sign outside says that the adjacent General Accident, Fire and Assurance Corporation Limited will soon be extended to the site "Extensions to Barrington House".</t>
  </si>
  <si>
    <t>b2058359x</t>
  </si>
  <si>
    <t>Waymouth Street, south side, 22nd March 1963, left side of shops is 21 yards west of Ranelagh Street and frontage of the block of shops is 18 yards. The corner shop and greengrocers is owned by M Bolkus. Mr Bolkus arrived in South Australia with his wife and five year old son in 1922. After a stint in Port Pirie, he moved to Adelaide in the 1930s and  started his greengrocery business next to the Cumberland Arms Hotel in Waymouth Street. A young Nick Bolkus,Labour politician, born in 1950, grew up in the south west of Adelaide in a multi cultural setting.</t>
  </si>
  <si>
    <t>Acre 192 Collection</t>
  </si>
  <si>
    <t>b20583606</t>
  </si>
  <si>
    <t>b20587491</t>
  </si>
  <si>
    <t>Pirie Street, south side, 19 April 1963, right side of building is 10.5 yards west of Gawler Place. Fred Astaire Dance Studio occupies the site on the corner of Gawler Place and Pirie Street. The studio offers classes which include waltz, swing, cha cha, rumba, mambo, tango, twist and ballroom dancing</t>
  </si>
  <si>
    <t>b20590878</t>
  </si>
  <si>
    <t>North west corner of Flinders Street and Gawler Place, 3 May 1963. Looking north west across from a building in Flinders Street to the Motors Limited/Motors Corner business</t>
  </si>
  <si>
    <t>b20592991</t>
  </si>
  <si>
    <t>North Terrace, South Side</t>
  </si>
  <si>
    <t>North Terrace, south side showing the balcony of the South Australian Hotel on the left and the G Wood, Son and Company building to the right of laneway</t>
  </si>
  <si>
    <t>b2059365x</t>
  </si>
  <si>
    <t>Franklin Street, north side, 8 March 1963. Left side of Oddfellows Hall is 56 yards east of Bentham Street, right side abuts Post Office Place. Frontage of the Hall is 10 yards. The Manchester Unity Independent Order of Oddfellows was formed by the merger of the Australian Native's Association Friendly Society and the MU Independent Order of Oddfellows. It offered its members sick pay, funeral benefits, social and moral support. Next door to this two storey building stands F Buttery's newsagency and tobacconist</t>
  </si>
  <si>
    <t>b20593661</t>
  </si>
  <si>
    <t>Franklin Street, north side, 8 March 1963. Left side of Oddfellows Hall is 56 yards east of Bentham Street. Right side of the Hall abuts Post Office Place. Frontage: 10 yards. The Manchester Unity Independent Order of Oddfellows was formed by the merger of the Australian Native's Association Friendly Society and the MU Independent Order of Oddfellows. It offered its members sick pay, funeral benefits, social and moral support. Next door to this two storey building stands F Buttery's newsagency and tobacconist. Heading west along Franklin Street is the GPO Cafe and nextdoor to this is Lumsdan and Keen land and real estate agents</t>
  </si>
  <si>
    <t>b20594525</t>
  </si>
  <si>
    <t>Franklin Street, north side, corner of Morphett Street, east side, 1 March 1963. Franklin Street frontage is 6 yards, Morphett Street frontage is 7 yards. This two storey bluestone corner shop and residence stands on the corner of Franklin Street and Morphett Street.</t>
  </si>
  <si>
    <t>b20596431</t>
  </si>
  <si>
    <t>Central Methodist Mission building, Franklin Street</t>
  </si>
  <si>
    <t>Central Methodist Mission building with large 5KA sign, Franklin Street, south side, 20th December 1963. Right side of the Mission Building abuts Pitt Street. The Adelaide Central Methodist Mission dates back to 1901. A Ford car showroom stands on the other side of Pitt Street</t>
  </si>
  <si>
    <t>b20597186</t>
  </si>
  <si>
    <t>Flinders Street, south side, 18th October 1963, east corner of Molton Street showing the alteration to the I.O.O.F. building effected in 1934  frontage: 8 1/2 yards. The Independent Order of Odd Fellows originated in Melbourne in 1846 as the Victorian Grand Lodge of the IOOF - an international friendly society. A sign on the building states the Independent Order of Oddfellows was fouinded in 1877</t>
  </si>
  <si>
    <t>b20598622</t>
  </si>
  <si>
    <t>Oakfield Hotel, Flinders Street, Adelaide</t>
  </si>
  <si>
    <t>Oakfield Hotel, corner of Flinders Street, south side, and Ackland Street. 1st November 1963. Flinders Street, frontage is 13 yds. Ackland Street frontage is 36 yds. The Oakfield Hotel existed from 1851 on the corner of Flinders Street and Ackland Street.  It is being demolished in this photograph.  It was also known as Norwich Arms and Temperance Tavern. It was known as the Oakfield Hotel from 1880 - 1963. The last proprietor was Louie Smith</t>
  </si>
  <si>
    <t>Hotels -- South Australia -- Adelaide</t>
  </si>
  <si>
    <t>b20598701</t>
  </si>
  <si>
    <t>Flinders Street, south side, 17th January 1963. The right side of the recessed house is 66 yards east of Ackland Street. The Adelaide Car Service Limited can be seen on the left of the photograph</t>
  </si>
  <si>
    <t>b20598713</t>
  </si>
  <si>
    <t>Flinders Street, south side, 17th January 1963. The right of the recessed house is 66 yards east of Ackland Street. Flinders Hall is on the right of the photograph</t>
  </si>
  <si>
    <t>b20601232</t>
  </si>
  <si>
    <t>[General description] The Rechabites Chambers building on Victoria Square was built approximately 1928. See B 4781 for the buildings that were previously on the site. Part of the new MLC Building can be seen on the right. [On back of photograph] Acre 306 / Victoria Square, west side / 19 July 1963 / Right side of the Rechabite building is 70 yards south of Franklin Street / Frontage: 20 yards'</t>
  </si>
  <si>
    <t>b20601578</t>
  </si>
  <si>
    <t>Pitt Street, east side, 18 October 1963. Central Methodist Mission Goodwill Store in Pitt Street</t>
  </si>
  <si>
    <t>b2060158x</t>
  </si>
  <si>
    <t>Grote Street, north side, 6 December 1963. Right side of Her Majesty's Theatre abuts Pitt Street  frontage is 29 yards.  This theatre was built in 1913 and has a number of name changes in its history -  Princess Theatre, Tivoli Theatre, Prince of Wales Theatre, Her Majesty's Theatre and the Opera Theatre. After a revamp it is expected to seat 1,500 by 2020. The original theatre was designed by architects Williams and Good and built on land previously used by market gardeners and stallholders at the City Market to park their carts and feed their horses</t>
  </si>
  <si>
    <t>Her Majesty's Theatre (Adelaide, S.A.);Theaters -- South Australia -- Adelaide</t>
  </si>
  <si>
    <t>b20602212</t>
  </si>
  <si>
    <t>Andrew Street</t>
  </si>
  <si>
    <t>Andrew Street, north side, 27 September 1963. Left side of the light brick building is 31 yards east of Morphett Street. Frontage of buildings is 18 yards, i, .e, 1st: 4 yards  2nd: 5 yards  3rd: 8 1/2 yards. Three buildings in a state of disrepair. The one on the right is the premises of Modern Chemicals Company Australia - Number 20 - 22 Andrew Street.</t>
  </si>
  <si>
    <t>b20607969</t>
  </si>
  <si>
    <t>[General description] A rambling two storey house with gables and tiled roof is situated on this corner block, with street trees, parked cars and utility wires. In the late 1980s the house underwent alterations to became the premises of well-known Adelaide restaurant, the House of Chow. [On back of photograph] 'Acre 353 / Hutt Street, east side / corner of Wakefield Street, south side / 16 August 1963 / Hutt Street frontage is 38 yards / Wakefield Street frontage is 27 yards'</t>
  </si>
  <si>
    <t>b20608056</t>
  </si>
  <si>
    <t>Angas Street, north side, corner of James Street, 13 February 1963. Photograph shows three semi detached cottages on the corner of James Street and Angas Street. Established trees are growing outside</t>
  </si>
  <si>
    <t>b20608068</t>
  </si>
  <si>
    <t>Angas Street, north side, 13 February 1963. Right side of building abuts James Street. Photograph shows 2 of the 3 cottages situated near the corner of James Street and Angas Street. At the middle house at number 348 the Austenna business can be found</t>
  </si>
  <si>
    <t>b20612151</t>
  </si>
  <si>
    <t>Gouger Street, south side, 29 March 1963, right side of store is 25 yards east of Compton Street and frontage is 5 yards. The now empty shop once housed Mack's Shoe Store, which was branch number 5 in the chain of Mack's Shoe Stores</t>
  </si>
  <si>
    <t>b2061441x</t>
  </si>
  <si>
    <t>Angas Street, south side, 22nd March 1963. Right side of the site is 196 yards east of Hutt Street. Frontage: 14 yards. The house in the photograph, number 357 Angas Street, is being demolished</t>
  </si>
  <si>
    <t>Acre 427 Collection</t>
  </si>
  <si>
    <t>b20614445</t>
  </si>
  <si>
    <t>Angas Street, south side, 22nd March 1963. Right side of the site is 196 yards east of Hutt Street  frontage: 14 yards. The house in the photograph, number 357 Angas Street, is being demolished. Parts for salvage have been placed next to the fence</t>
  </si>
  <si>
    <t>b20614937</t>
  </si>
  <si>
    <t>Carrington Street, north side, 19 April 1963. Right side of building is 161 yards west of East Terrace. Frontage: 31 yards. Fricker Brothers ran a structural steel section to their business operating from Carrington Street</t>
  </si>
  <si>
    <t>b20614949</t>
  </si>
  <si>
    <t>Carrington Street, north side, 19 April 1963. Right side of building is 161 yards west of East Terrace. Frontage: 31 yards. Frontage: 31 yards. Fricker Brothers ran a structural steel section to their business operating from Carrington Street</t>
  </si>
  <si>
    <t>b20615061</t>
  </si>
  <si>
    <t>Hutt Street, east side, 6 December 1963. Right side of dwellings is 28 yards north of Carrington Street. Frontage: 18 yards. This row of two storey cottages includes a guest house offering double or single rooms for rent.</t>
  </si>
  <si>
    <t>b20615140</t>
  </si>
  <si>
    <t>[General description] This stone two storey building is divided into residential units and a Fish and Chip shop. There is a balcony on the left side which is set back from the street. The shop which fronts directly onto the footpath has an arched window and evidence of a balcony which has been removed. [On back of photograph] 'Acre 437 / Carrington Street, north side / 29 July 1963 / Right side of building is 40 yards west of Hutt Street / Frontage: 13 yards'</t>
  </si>
  <si>
    <t>b20616430</t>
  </si>
  <si>
    <t>Key's Bird and Dog Store, Wright Street</t>
  </si>
  <si>
    <t>Key's Bird and Dog Store, Wright Street, north side, 22nd March 1963. Left side of the store is 42 yards east of Mill Street and frontage is 11 yards. The pet shop was managed by 3 generations of the Key family and was started in the Central Market by Charles Key.</t>
  </si>
  <si>
    <t>b20616454</t>
  </si>
  <si>
    <t>Key's Bird and Dog Store, Wright Street, north side, 22nd March 1963. Left side of the store is 42 yards east of Mill Street and frontage is 11 yards. The pet shop was managed by 3 generations of the Key family and was started in the Central Market by Charles Keys</t>
  </si>
  <si>
    <t>b20618347</t>
  </si>
  <si>
    <t>Tom's Court, Adelaide</t>
  </si>
  <si>
    <t>[General description] This building was the premises for F. Humphris &amp; Sons Ltd. Bulk Store. The Jamestown based firm had a factory on Carrington Street manufacturing tomato sauces and chutneys, pickles and soft drinks. Parked in front of the building is an FJ Holden car. [On back of photograph] 'Acre 485 /  Tom's Court, north end / 28th June 1963 / Right side of store is 71 yards north of Halifax Street / Frontage: 10 yards' There is a diagram showing the site.</t>
  </si>
  <si>
    <t>b20618487</t>
  </si>
  <si>
    <t>Nelson Place, Adelaide</t>
  </si>
  <si>
    <t>[General description] This single storey stone cottage appears to be in poor condition. It has a front verandah with interesting iron lace and a sign proclaiming 'No smoking in the cottage', no doubt directed to workmen who are probably in process of demolishing work. [On back of photograph] 'Acre 486 / Nelson Place, west side / 16th August 1963 / Right side of cottage is 59 yards south of Carrington Street / Frontage: 11 yards'</t>
  </si>
  <si>
    <t>b20618578</t>
  </si>
  <si>
    <t>Radio Rentals van in Surflen Street</t>
  </si>
  <si>
    <t>Radio Rentals van parked in Surflen Street, west side, 28th June 1963. Right side of building is 33 yards south of Carrington Street. Frontage is 18 yards. See also B 15054</t>
  </si>
  <si>
    <t>b2061858x</t>
  </si>
  <si>
    <t>Surflen Street, west side, 28th June 1963. Right side of building is 33 yards south of Carrington Street. Frontage is 18 yards. Cottages being demolished</t>
  </si>
  <si>
    <t>b20618670</t>
  </si>
  <si>
    <t>Carrington Street, south side. 14th June 1963. Right side of the cottages is 50 yards east of Surflen Street  frontage: 35 yards. The semi detached cottages stand in a row with porches over each front door. Cars are parked outside the cottages</t>
  </si>
  <si>
    <t>b20618682</t>
  </si>
  <si>
    <t>Carrington Street, south side, 14th June 1963. Right side of cottages is 50 yards east of Surflen Street  frontage: 35 yards.  The semi detached cottages stand in a row with porches over each front door. Cars are parked outside the cottages. The cottages are located next to the Hoadleys Chocolate Factory</t>
  </si>
  <si>
    <t>b20618694</t>
  </si>
  <si>
    <t>Sydney Place, north end, 14th June 1963. Cottages are 76 yards north of Halifax Street. Frontage: 29 yards. A rough diagram on the back of the photograph shows the location of the cottages being demolished</t>
  </si>
  <si>
    <t>b20618700</t>
  </si>
  <si>
    <t>b20619212</t>
  </si>
  <si>
    <t>Cardwell Street, East Side</t>
  </si>
  <si>
    <t>Cardwell Street, east side, 13th September 1963. Left side of building is 59 yards south of Carrington Street.</t>
  </si>
  <si>
    <t>b20619261</t>
  </si>
  <si>
    <t>McLaren Street, north side, 3rd May 1963. Right side of cottage is 15 yards west of Hutt Street  frontage: 10 yards. The cottage has a sandstone facade, a red brick side and is in the course of demolition</t>
  </si>
  <si>
    <t>b20619273</t>
  </si>
  <si>
    <t>Hutt Street, West Side</t>
  </si>
  <si>
    <t>Hutt Street, west side, 3rd May 1963. Hutt Street frontage: 13 yards. McLaren Street frontage: 15 yards. The business at 173 Hutt Street is called Motor Spares Limited and is in the course of being demolished</t>
  </si>
  <si>
    <t>b20619649</t>
  </si>
  <si>
    <t>East Terrace, west side, 20th December 1963. Right side of dwelling abuts Wilson Street. East Terrace frontage: 12 yards. Wilson Street frontage: 36 yards. Semi detached sandstone cottages can be seen in this photograph. They share a pediment on the roof and have painted quoins around the windows</t>
  </si>
  <si>
    <t>b20620147</t>
  </si>
  <si>
    <t>McLaren Street</t>
  </si>
  <si>
    <t>McLaren Street, south side, 29th March 1963, left side of the cottages is 72 yards west of Hutt Street and frontage is 12 yards. The twin bluestone cottages in the photograph are being demolished</t>
  </si>
  <si>
    <t>b20620871</t>
  </si>
  <si>
    <t>Sydney Place, east side, 7th June 1963, right side of cottage abuts Sydney Court and is 22 yards north of Halifax Street and frontage is 7 yards. The cottage in the centre of the photograph is constructed of red brick and has a small area under the front vernadah. Other cottages stand to the left</t>
  </si>
  <si>
    <t>b20621243</t>
  </si>
  <si>
    <t>Sturt Street, north side, 24th May 1963, right side of cottages is 10 yards west of John Street and frontage of cottages is 10 yards. This photograph depicts two cottages that open directly on to the street. Two front doors, two windows and two chimneys</t>
  </si>
  <si>
    <t>b20621668</t>
  </si>
  <si>
    <t>Sturt Street, north side, 17th December 1962. For view of cottage on the left of the two storey building in 1953 see B 12818. This site is 43 yards east of Whitmore Square</t>
  </si>
  <si>
    <t>b20623689</t>
  </si>
  <si>
    <t>Stevens Street</t>
  </si>
  <si>
    <t>Stevens Street, east side, 17th May 1963, left side of the cottage is 35 yards south of Halifax Street and frontage is 25 yards. See also B 14882</t>
  </si>
  <si>
    <t>b20623690</t>
  </si>
  <si>
    <t>Stevens Street, east side, 17th May 1963, cottage on the left is 35 yards south of Halifax street and frontage is 25 yards. See also B 14881</t>
  </si>
  <si>
    <t>b20625546</t>
  </si>
  <si>
    <t>Wakeham Street</t>
  </si>
  <si>
    <t>Wakeham Street, east side, 15th March 1963, 15th March 1963, right side of building is 11 yards north of Ely Street and frontage is 5 yards. A single fronted semi-detached cottage features in this photograph</t>
  </si>
  <si>
    <t>b20627804</t>
  </si>
  <si>
    <t>Gilbert Street, south side, 19th April 1963, right side of the cottage is 40 yards east of Brown Street and frontage is 9 yards. The stone cottage has a porch set over the front door and the verandah is decorated with wrought iron lacework</t>
  </si>
  <si>
    <t>b20628262</t>
  </si>
  <si>
    <t>Gilbert Street, south side, corner O'Halloran Street, east side., 3rd May 1963. Left side Gilbert Street frontage is 11 yards. O'Halloran Street frontage is 12 yards. The delicatessen is owned by J &amp; M Callier</t>
  </si>
  <si>
    <t>b20628274</t>
  </si>
  <si>
    <t>Stafford Street, North Adelaide</t>
  </si>
  <si>
    <t>[General description] The picket-fenced verandah of this small brick cottage fronts onto the street. The building is in a dilapidated condition and most likely earmarked for demolition. [On back of photograph] 'Acre 636 / Stafford Street, north side / 15th July, 1963 / Left side of cottage is 53 yards east of O'Halloran Street / Frontage: 7 yards'</t>
  </si>
  <si>
    <t>b20628377</t>
  </si>
  <si>
    <t>Gilbert Street, south side. 13 February 1963. Left side of the building is 88 yards, west of King William Street, frontage is 55 yards. See also B 14375</t>
  </si>
  <si>
    <t>b20628389</t>
  </si>
  <si>
    <t>Gilbert Street, south side. 1 March 1963. Left side of site is 88 yards, west of King William Street, frontage is 55 yards. For a view of the building prior to demolition see B 14756. One building has been completely demolished and two others have had their roofs removed</t>
  </si>
  <si>
    <t>b20629230</t>
  </si>
  <si>
    <t>Hutt Street, Adelaide, West Side</t>
  </si>
  <si>
    <t>[General description] This single storey stone iron roofed house is the premises for the Deszery Cleaning Services. The building has security screens on front windows and door. A whimsical touch is a sign on the fence proclaiming: 'Our brooms are always new'. [On back of photograph] 'Acre 654 / Hutt Street, west side / 21 June 1963 / Left side of the shop abuts Davaar Place / Frontage of site is 14 yards'</t>
  </si>
  <si>
    <t>b20630189</t>
  </si>
  <si>
    <t>South Terrace, north side, corner of Charlotte Street, 8th March 1963. Frontage on South Terrace: 10 yards. Photograph shows a corner cottage with front verandah supported by columns. A decorative fascia stands over the front door</t>
  </si>
  <si>
    <t>b20630190</t>
  </si>
  <si>
    <t>South Terrace, north side, corner of Charlotte Street, 8th March 1963. Left side of the Girl Guides Association building is 10 yards east of Charlotte Street. Frontage: 10 yards.</t>
  </si>
  <si>
    <t>Acre 573 Collection</t>
  </si>
  <si>
    <t>b20630475</t>
  </si>
  <si>
    <t>South Terrace, north side, 25th October 1963. Left side of the building is 71 yards east of Hanson Street. Frontage: 13 yards. This sandstone villa has a large window on the left, a porch with a window at the front door and a bullnose verandah along the other half of the front.</t>
  </si>
  <si>
    <t>Acre 675 Collection</t>
  </si>
  <si>
    <t>b20638267</t>
  </si>
  <si>
    <t>Walter Street, Adelaide</t>
  </si>
  <si>
    <t>[General description] This neat single storey cottage has mullion windows and a small front verandah, a cyclone wire front fence and wrought iron decorated gate. There are two leggy rose bushes in the front garden. [On back of photograph] 'Acre 773 / Walter Street, north side / 28th June 1963 / Left side of cottage is 37 yards east of Walter Street east dise and frontage is 9 yards.' There is a map showing the site.</t>
  </si>
  <si>
    <t>b20639272</t>
  </si>
  <si>
    <t>Archer Street west, south side, 22nd May 1963, right side of building is 88 yards east of Jeffcott Street and frontage is 17 yards. The dilapidated shop and cottage at number 213 Archer Street once held the premises of Champion Bakery</t>
  </si>
  <si>
    <t>Acre 791 Collection</t>
  </si>
  <si>
    <t>b20644899</t>
  </si>
  <si>
    <t>Colley Street</t>
  </si>
  <si>
    <t>Colley Street, east side, 17th May 1963, right side of building is 51 yards north of MacKinnon Parade and frontage is 20 yards. The building appears to be a factory with blinds over two of the windows and a large doorway for receiving and dispatching goods</t>
  </si>
  <si>
    <t>b20645077</t>
  </si>
  <si>
    <t>Melbourne Street, south side, 10th may 1963, left side of the house is 151 yards west of Mann Terrace. Frontage of the house is 13 yards. It is shown here being demolished. To the left stands a Shell Petrol garage and workshop</t>
  </si>
  <si>
    <t>Acre 981 Collection</t>
  </si>
  <si>
    <t>b20645089</t>
  </si>
  <si>
    <t>Melbourne Street, south side, 17th May 1963, right side of the house is 151 yards from Mann Terrace. The business owned by GR  and RL Packer - Motor Engineers stands next to a sign that says RAA Technical Testing Station. An earth moving machine is also visible on this site</t>
  </si>
  <si>
    <t>b20646148</t>
  </si>
  <si>
    <t>Melbourne Street, north side, 22nd March 1963, right side of the house is 29 yards west of New Street and frontage is 13 yards. The photograph shows a bluestone house with a verandah along the front of the house decorated with wrought iron lacework.</t>
  </si>
  <si>
    <t>Acre 998 Collection</t>
  </si>
  <si>
    <t>b20225362</t>
  </si>
  <si>
    <t>Signpost, cnr. Ross Smith Ave. and Conigrave St., Darwin, Nth Territory.</t>
  </si>
  <si>
    <t>b30173991</t>
  </si>
  <si>
    <t>Typical fibro cement dwelling with Ford</t>
  </si>
  <si>
    <t>[approximately [1963]]</t>
  </si>
  <si>
    <t>1 negative : black and white  6.5 x 6.5 cm;RESERVE 1 a;still image sti rdacontent;unmediated n rdamedia;sheet nb rdacarrier</t>
  </si>
  <si>
    <t>Ellen Saunders, at her home, a typical fibro cement dwelling found in new districts like Hampstead Gardens. A Ford is parked adjacent the building, registration number SA 330-555.</t>
  </si>
  <si>
    <t>b3017384x</t>
  </si>
  <si>
    <t>Fibro cement dwelling with Ford, Hampstead Gardens</t>
  </si>
  <si>
    <t>approximately [1963]</t>
  </si>
  <si>
    <t>1 photograph : black and white  6.5 x 6.5 cm;RESERVE 1 a;still image sti rdacontent;unmediated n rdamedia;sheet nb rdacarrier</t>
  </si>
  <si>
    <t>The home of Ellen and Arthur Saunders, a typical fibro cement dwelling found in new districts like Hampstead Gardens. "Back view of house with Florrie Ford. Dinkie sitting on step with me." Ford registration number SA 330-555.</t>
  </si>
  <si>
    <t>b30173887</t>
  </si>
  <si>
    <t>Fibro cement dwelling, Hampstead Gardens</t>
  </si>
  <si>
    <t>approximately [d1963]</t>
  </si>
  <si>
    <t>1 photograph : black and white, colour, sepia +   6.5 x 6.5 cm;RESERVE 1 a;still image sti rdacontent;unmediated n rdamedia;sheet nb rdacarrier</t>
  </si>
  <si>
    <t>The home of Ellen and Arthur Saunders, a typical fibro cement dwelling found in new districts like Hampstead Gardens. "Front view of house, the door is inside the porch."</t>
  </si>
  <si>
    <t>b30173917</t>
  </si>
  <si>
    <t>Temporary dwelling, Hampstead Gardens</t>
  </si>
  <si>
    <t>Temporary dwelling of a caravan mounted on blocks, Hampstead Gardens. Ellen and Arthur Saunders standing outside.</t>
  </si>
  <si>
    <t>b20547158</t>
  </si>
  <si>
    <t>King William Street, east side, 24 April 1964.</t>
  </si>
  <si>
    <t>b2055249x</t>
  </si>
  <si>
    <t>Rundle Street, north side. 1 May 1964.</t>
  </si>
  <si>
    <t>b20552506</t>
  </si>
  <si>
    <t>b20564879</t>
  </si>
  <si>
    <t>Oriental Hotel</t>
  </si>
  <si>
    <t>Oriental Hotel, Rundle Street, south side, corner Gawler Place, 20 March 1964. Rundle Street frontage 15-1/2 yards, Gawler Place frontage 33 yards. This five storey former hotel has the first two floors built of stone and the upper three floors of painted rendered brick. It displays imitation stone coursing and leafy scroll pattern on panels between the upper windows. A parapet conceals the roof. It has a cantilevered verandah above the ground floor and a second balcony on the second floor which feature cast iron lacework to the balustrades. The Oriental Hotel stood on this site from 1915-1966. Previously the hotel had been known by various other names including Suffolk Inn, Saracen's Head and Hamburg</t>
  </si>
  <si>
    <t>Oriental Hotel (Adelaide, S.A.);Hotels -- South Australia -- Adelaide</t>
  </si>
  <si>
    <t>b20570417</t>
  </si>
  <si>
    <t>Photograph  21.6 cm x 15.8 cm</t>
  </si>
  <si>
    <t>Gawler Place, west side, 12th June 1964.</t>
  </si>
  <si>
    <t>b20570685</t>
  </si>
  <si>
    <t>James Place, west side, 6 March 1964. Right of building is 63 yards north of Grenfell Street, frontage is 10 yards.</t>
  </si>
  <si>
    <t>b20572657</t>
  </si>
  <si>
    <t>Julius Cohn &amp; Co., Leigh Street</t>
  </si>
  <si>
    <t>Julius Cohn &amp; Co., Leather Merchants, Leigh Street, west side, 24 April 1964. Left side of building is 36 yards north of Currie Street and frontage is 12 yards.</t>
  </si>
  <si>
    <t>b20583023</t>
  </si>
  <si>
    <t>West Terrace, east side, 17 April 1964.</t>
  </si>
  <si>
    <t>b20583035</t>
  </si>
  <si>
    <t>b20583047</t>
  </si>
  <si>
    <t>b20583308</t>
  </si>
  <si>
    <t>Waymouth Street, south side, 31st January 1964, right side of building is 8.5 yards east of Gray Street and frontage is 21 yards. This two storey bluestone building has two shops, two homes and an archway to the back of the premises. A mailbox stands on the footpath outside. Mechanics can be seen in the entrance of the crash repair business next door owned by Rosa and Just</t>
  </si>
  <si>
    <t>b20586723</t>
  </si>
  <si>
    <t>Buildings behind Epworth Building, off Pirie Street, south side. 10 April 1964.</t>
  </si>
  <si>
    <t>Acre 204 Collection</t>
  </si>
  <si>
    <t>b20586735</t>
  </si>
  <si>
    <t>b20586747</t>
  </si>
  <si>
    <t>Notice on the buildings behind Epworth Building, off Pirie Street, south side. 10 April 1964.</t>
  </si>
  <si>
    <t>b20588276</t>
  </si>
  <si>
    <t>Pirie Street, south side, 3rd April 1964.</t>
  </si>
  <si>
    <t>b2059494x</t>
  </si>
  <si>
    <t>Franklin Street, north side 27th November 1964. Left side of the cottage is 2 yards east of Crowther Street, its frontage is 12 and a half yards.</t>
  </si>
  <si>
    <t>b20595906</t>
  </si>
  <si>
    <t>Franklin Street south side, corner of Morphett Street, west side, 12 June 1964.</t>
  </si>
  <si>
    <t>b2059642x</t>
  </si>
  <si>
    <t>Central Methodist Mission building with large 5KA sign, Franklin Street</t>
  </si>
  <si>
    <t>Franklin Street, south side, corner of Pitt Street, east side, 20th December 1963. Part of the Central Methodist Mission building on the Pitt Street frontage was demolished in October 1963. For site see B 2108. The corner building has a cantilever canopy over the footpath. The Radio Station 5KA broadcasted it's "Fabulous 50" songs every afternoon from this building.</t>
  </si>
  <si>
    <t>b20597198</t>
  </si>
  <si>
    <t>Victoria Square, east side, 2nd October 1964.</t>
  </si>
  <si>
    <t>b20597204</t>
  </si>
  <si>
    <t>Victoria Square, east side, 8th October 1964 showing the Mercantile Chambers being demolished.</t>
  </si>
  <si>
    <t>b20597216</t>
  </si>
  <si>
    <t>b20597228</t>
  </si>
  <si>
    <t>Victoria Square, east side showing the interior of the Mercantile Chambers about to be demolished, 8th October, 1964.</t>
  </si>
  <si>
    <t>b2059723x</t>
  </si>
  <si>
    <t>Victoria Square, east side: the interior of Mercantile Chambers under demolition, 8th October 1964.</t>
  </si>
  <si>
    <t>b20597241</t>
  </si>
  <si>
    <t>Victoria Square, east side: interior of the Mercantile Chambers during demolition, 8th October 1964.</t>
  </si>
  <si>
    <t>b20597253</t>
  </si>
  <si>
    <t>Victoria Square, east side: the interior of the Mercantile Chambers during demolition, 8th October, 1964.</t>
  </si>
  <si>
    <t>b20597265</t>
  </si>
  <si>
    <t>b20597277</t>
  </si>
  <si>
    <t>b20597289</t>
  </si>
  <si>
    <t>Victoria Square, east side: the interior of the Mercantile Chambers during demolition, 8th October 1964.</t>
  </si>
  <si>
    <t>b20598890</t>
  </si>
  <si>
    <t>Flinders Street, south side 21st February 1964. Left side of site marked by x.s, is 33 yards west of Hutt Street. Frontage of site is 28 yards. A delicatessen can be seen through the trees on the right side of the photograph. OA Hoffman's SA Terrazzo Cement Works office can be seen on the left of the photograph</t>
  </si>
  <si>
    <t>b20598907</t>
  </si>
  <si>
    <t>Hutt Street, west side, 17th April 1964. Right side of building is 16 1/2 yards south of Flinders Street, frontage: 15 yards.</t>
  </si>
  <si>
    <t>b20602224</t>
  </si>
  <si>
    <t>Morphett Street, east side, 20 December 1964. Right side of building abuts Andrew Street, Morphett Street frontage: 30 yards. For Morphett Street frontage see B 15303. A rough diagram on the back of the photograph shows the location of the car dealership.</t>
  </si>
  <si>
    <t>b20602236</t>
  </si>
  <si>
    <t>Morphett Street, east side, 20 December 1964. Right side of building abuts Andrew Street. Morphett Street frontage: 30 yards.  For Morphett Street frontage see B 15302. A rough diagram on the back of the photograph shows the location of the Fiat car dealership.</t>
  </si>
  <si>
    <t>b20607908</t>
  </si>
  <si>
    <t>Hutt Street, west side, corner Wakefield Street, south side, 2nd October 1964, Right side of house is 8 1 /2 yards south of Wakefield Street. Frontage on Hutt Street: 15 1/2 yards.</t>
  </si>
  <si>
    <t>b20610506</t>
  </si>
  <si>
    <t>Byron Place, west side, 14 February 1964, left side of Clelands building is 47.5 yards north of Gouger Street, frontage is 30.5 yards. GF Cleland and Sons Ltd. Wine and Spirit Merchants was founded by George Fullerton Cleland (1852-1931) and was based on the cellars and vineyards at Beaumont. He took his son Henry into the business in 1897. Later his sons Glen and George joined them.</t>
  </si>
  <si>
    <t>b20611572</t>
  </si>
  <si>
    <t>Gouger Street, south side, 10th April 1964, right side of building is 34.5 yards east of Brown Street and frontage is 4 yards.</t>
  </si>
  <si>
    <t>b20613696</t>
  </si>
  <si>
    <t>Angas Street, south side, 2nd October 1964. Right side of cottages abuts Princess Street. Angas Street frontage os cottages is 31 1/2 yards.</t>
  </si>
  <si>
    <t>Acre 415 Collection</t>
  </si>
  <si>
    <t>b20613702</t>
  </si>
  <si>
    <t>Angas Street, south side, corner of Princess Street, 2nd October 1964. Princess Street frontage: 33 yards.</t>
  </si>
  <si>
    <t>b20613921</t>
  </si>
  <si>
    <t>Angas Street, south side, 13th March 1964. Left side of building abuts Eden Street. Angas Street frontage is 6 1/2 yards. Eden Street frontage is 33 yards.</t>
  </si>
  <si>
    <t>b20614081</t>
  </si>
  <si>
    <t>Angas Street, south side, corner of Regent Street, east side, 17th January 1964. Angas Street frontage: 12 yards. Regent Street frontage: 38 yards. Pictured is a two storey corner building with a butcher shop on the ground level. A return verandah appears on the first floor. A parapet surrounds the roof</t>
  </si>
  <si>
    <t>b20614573</t>
  </si>
  <si>
    <t>East Terrace, South Side</t>
  </si>
  <si>
    <t>East Terrace, south side, 27thNovember 1964. Left side of building is 11 1/2 yards west of East Terrace, west side. Frontage is 14 yards.</t>
  </si>
  <si>
    <t>Acre 429 Collection</t>
  </si>
  <si>
    <t>b20615012</t>
  </si>
  <si>
    <t>Carrington Street, north side, 20 December 1963. Right side of building abuts Gladstone Street. Carrington Street frontage: 12 yards. Gladstone Street frontage: 30 yards. A two storey bluestone shop and offices is pictured here on the corner of Carrington Street and Gladstone Street.</t>
  </si>
  <si>
    <t>Acre 435 Collection</t>
  </si>
  <si>
    <t>b20616922</t>
  </si>
  <si>
    <t>Wright Street, north side, 17th April 1964, right side of centre building is 10.5 yards west of Wright Court and frontage is 8 yards.</t>
  </si>
  <si>
    <t>b20617963</t>
  </si>
  <si>
    <t>Stamford Court</t>
  </si>
  <si>
    <t>Stamford Court, west side, 10th April 1964, right side of building is 50.5 yards south of Wright Street and frontage is 8.5 yards.</t>
  </si>
  <si>
    <t>b20618359</t>
  </si>
  <si>
    <t>King William Street, east side, corner of Carrington Street, 6th November 1964. Left side of Trim's building abuts southern corner of Carrington Street. Frontage: 18 yards.</t>
  </si>
  <si>
    <t>b20618591</t>
  </si>
  <si>
    <t>Carrington Street, south side, 16th October 1964. Left side of the building is 12 yards west of Surflen Street. Frontage: 12 yards.</t>
  </si>
  <si>
    <t>b2061908x</t>
  </si>
  <si>
    <t>Carrington Street, south side, 28th February 1964. Left side of the building is 34 yards east of Regent Street. Frontage: 20 yards. A row of five single storey cottages can be seen sharing a continuous verandah and a parapet</t>
  </si>
  <si>
    <t>Acre 495 Collection</t>
  </si>
  <si>
    <t>b20619145</t>
  </si>
  <si>
    <t>Carrington Street, south side, 6th March 1964. Right side of building is 71 yards east of Regent Street. Frontage: 11 yards. The single fronted whitewashed cottage is for sale. It has wooden fretwork around the eaves and wrought iron lacework on the corners of the verandah posts.</t>
  </si>
  <si>
    <t>b20619194</t>
  </si>
  <si>
    <t>St John's Spiritual Church, Carrington Street</t>
  </si>
  <si>
    <t>St John's Spiritual Church, Carrington Street, south side, 19th June 1964. E.E. Mack is listed as the Hon. Secretary. Left side of the building is 14 1/2 yards west of Cardwell Street   frontage: 14 1/2 yards.</t>
  </si>
  <si>
    <t>Acre 498 Collection</t>
  </si>
  <si>
    <t>b20622156</t>
  </si>
  <si>
    <t>Sturt Street, north side, 14th February 1964, Sturt Street frontage is 18 yards and Kellett Street frontage is 52 yards. Left side of the building abuts Kellett Street. This row of cottages share a parapet, verandahs and whie picket fences</t>
  </si>
  <si>
    <t>b20622235</t>
  </si>
  <si>
    <t>Sturt Street, south side, 28 February 1964, Sturt Street frontage is 12 yards and O'Brien Street frontage is 30 yards. Right side of the building abuts O'Brien Street. The brick rendered villa has a large bay window on the O"Brien Street side. The side of the house is directly on O'Brien Street.</t>
  </si>
  <si>
    <t>Acre 546 Collection</t>
  </si>
  <si>
    <t>b20622259</t>
  </si>
  <si>
    <t>Sturt Street, south side, 1 May 1964, right side of frontage is 23 yards east of O'Brien Street and frontage is 10 yards.</t>
  </si>
  <si>
    <t>b20624736</t>
  </si>
  <si>
    <t>Waymouth Street, north side, corner of Elizabeth Street, 17th September 1964. Elizabeth Street frontage: 36 yards.</t>
  </si>
  <si>
    <t>b20627415</t>
  </si>
  <si>
    <t>Gilbert Street, south side, 20 November 1964. Gilbert Street frontage is 10.5 yards and Vinrace Street frontage is 29.5 yards.</t>
  </si>
  <si>
    <t>Acre 625 Collection</t>
  </si>
  <si>
    <t>b20627695</t>
  </si>
  <si>
    <t>Brown Street, west side, 3rd April 1964.</t>
  </si>
  <si>
    <t>b20628079</t>
  </si>
  <si>
    <t>Gilbert Street, south side, 24th April 1964, left side of building is 10 yards west of O'Brien Street and frontage is 20 yards.</t>
  </si>
  <si>
    <t>b20628286</t>
  </si>
  <si>
    <t>Stafford Street</t>
  </si>
  <si>
    <t>Stafford Street, north side. 24 January 1964. Left side of buildings (marked by X) is 41 yards east of O'Halloran Street. Frontage is 12 yards. Stone cottages, one set back slightly from the footpath, in a state of disrepair</t>
  </si>
  <si>
    <t>b20628298</t>
  </si>
  <si>
    <t>Stafford Street, north side. 24 January 1964. Left side of building (marked by X) is 60 yards east of O'Halloran Street.. Frontage of building is 18 yards.  Stone cottages, one set back slightly from the footpath, in a state of disrepair</t>
  </si>
  <si>
    <t>b20629151</t>
  </si>
  <si>
    <t>Gilles Street, south side, 12 June 1964. Right side of building is 30 yards east of Charlotte Street. Frontage: 19 yards.</t>
  </si>
  <si>
    <t>Acre 651 Collection</t>
  </si>
  <si>
    <t>b20629801</t>
  </si>
  <si>
    <t>South Terrace, north side, 24 July 1964. Right side of the two storey building abuts Vincent Street. Frontage: 28 yards.</t>
  </si>
  <si>
    <t>Acre 667 Collection</t>
  </si>
  <si>
    <t>b20629825</t>
  </si>
  <si>
    <t>South Terrace, north side, 24 July 1964.</t>
  </si>
  <si>
    <t>b20630657</t>
  </si>
  <si>
    <t>South Terrace, east, 23rd October 1964. Right side of building is 35 yards west of Hanson Street. Frontage: 23 1/2 yards.</t>
  </si>
  <si>
    <t>b20630669</t>
  </si>
  <si>
    <t>South Terrace east, 23rd October 1964.</t>
  </si>
  <si>
    <t>b20630955</t>
  </si>
  <si>
    <t>Symonds Place, east side  1st November 1963. Right side of cottages is 53 yards north of South Terrace, frontage is 27 yards. A row of three cottages line the eastern side of Symonds Place near South Terrace.  According to a researcher, these cottages were opposite and possibly the workers cottages for a coffee and spice roasting business that was operated by a Frederick William Richards who arrived in SA in 1852. He operated this business FW Richards and Son from about 1860 when town acre 683 2021 and other adjoining property was listed in his name and called "new factory ". They lived around the corner on South Tce. He died in 1908 and his son Frederick John Allen Richards (by first wife) and son William John Richards appear to have operated the business until 1918. Until 1927 a FJ Richards is recorded as living in Symonds place.</t>
  </si>
  <si>
    <t>Acre 683 Collection</t>
  </si>
  <si>
    <t>b20630967</t>
  </si>
  <si>
    <t>Symonds Place, east side  1st November 1964. Right side of cottages is 53 yards north of South Terrace, frontage is 27 yards. According to a researcher, these cottages were opposite and possibly the workers cottages for a coffee and spice roasting business that was operated by a Frederick William Richards who arrived in SA in 1852. He operated this business FW Richards and Son from about 1860 when town acre 683 2021 and other adjoining property was listed in his name and called "new factory ". They lived around the corner on South Tce. He died in 1908 and his son Frederick John Allen Richards (by first wife) and son William John Richards appear to have operated the business until 1918. Until 1927 a FJ Richards is recorded as living in Symonds place.</t>
  </si>
  <si>
    <t>b20632009</t>
  </si>
  <si>
    <t>South Terrace, north side, 28 February 1964, South Terrace frontage is 24 yards and Vinrace Street frontage is 71 yards. Right side of the site abuts Vinrace Street. The photograph shows a beautiful two storey bluestone house in the course of demolition. It has ornate dressings around the windows. Wrought iron lacework runs along the top of the verandah and the upstairs balcony has been removed. A taxi and driver are parked outside the property</t>
  </si>
  <si>
    <t>Acre 699 Collection</t>
  </si>
  <si>
    <t>b20636283</t>
  </si>
  <si>
    <t>O'Connell Street, west side, 22nd May 1964, left side of building is 15 yards south of Ward Street.</t>
  </si>
  <si>
    <t>b20639478</t>
  </si>
  <si>
    <t>Barnard Street</t>
  </si>
  <si>
    <t>Barnard Street, north side, Hill Street, west side. 10th January 1964, Barnard Street frontage is 38 yards and Hill Street frontage is 70.5 yards. A large two storey house with a partially covered upstairs balcony can be seen on the corner site</t>
  </si>
  <si>
    <t>Acre 808 Collection</t>
  </si>
  <si>
    <t>b20640808</t>
  </si>
  <si>
    <t>Molesworth Street, south side  30 October 1964. Left side of two storey building is 128 yards west of Wellington Square. Frontage is 20 yards.</t>
  </si>
  <si>
    <t>Acre 841 Collection</t>
  </si>
  <si>
    <t>b20642581</t>
  </si>
  <si>
    <t>Jeffcott Street</t>
  </si>
  <si>
    <t>Jeffcott Street, east side, 10th January 1964, right side of cottage is 20 yards north of Gover Street and frontage is 10.5 yards. This single storey house has a battlement parapet across the front of the house and above the front porch</t>
  </si>
  <si>
    <t>Acre 901 Collection</t>
  </si>
  <si>
    <t>b20642696</t>
  </si>
  <si>
    <t>Lombard Street, south side, 3rd April 1964.</t>
  </si>
  <si>
    <t>b20643214</t>
  </si>
  <si>
    <t>Caltex Service Station, Barton Terrace, south side, corner of O'Connell Street, east side. 10th January 1964. Barton Terrace frontage is 19 yards and O'Connell Street frontage is 39.5 yards. Two houses built in the Federation Bungalow style can be seen on the far left of the photograph. The houses have prominent verandahs and this style appeared between the Federation Period and the California bungalow era</t>
  </si>
  <si>
    <t>b20648066</t>
  </si>
  <si>
    <t>Stanley Street, north side, 13 December 1963. South Australian School of Art. Left side and site is 34 yards east of Porter Street. Frontage is 70 yards. The school was established in 1856 and after many name changes it became the South Australian School of Art in 1958. At the time of this photograph the school moved from the Exhibition Building on North Terrace to Stanley Street North Adelaide</t>
  </si>
  <si>
    <t>Acre 1037 Collection</t>
  </si>
  <si>
    <t>b20648078</t>
  </si>
  <si>
    <t>Stanley Street, north side, 13 December 1963. South Australian School of Art. Left side and site is 34 yards east and Porter Street. Frontage is 10 yards. The school was established in 1856 and after many name changes it became the South Australian School of Art in 1958. At the time of this photograph the school moved from the Exhibition Building on North Terrace to Stanley Street North Adelaide</t>
  </si>
  <si>
    <t>b20651995</t>
  </si>
  <si>
    <t>Adelaide Bowling Club, Dequetteville Terrace, west side, 7th August 1964.</t>
  </si>
  <si>
    <t>Adelaide Bowling Club;Clubs -- South Australia -- Adelaide</t>
  </si>
  <si>
    <t>b20652008</t>
  </si>
  <si>
    <t>b2065201x</t>
  </si>
  <si>
    <t>Adelaide Bowling Club, Dequetteville Terrace, west side, 7th August, 1964.</t>
  </si>
  <si>
    <t>b20665799</t>
  </si>
  <si>
    <t>Part of the Mounted Police Barracks when used as the Children's Library, Public Library of South Australia, 31 July 1964.</t>
  </si>
  <si>
    <t>b20665805</t>
  </si>
  <si>
    <t>Part of the Mounted Police Barracks when used as a Children's Library by the Public Library of South Australia, 31st July 1964.</t>
  </si>
  <si>
    <t>b20672111</t>
  </si>
  <si>
    <t>Sir Josiah Symon Library in the Public Library of South Australia.</t>
  </si>
  <si>
    <t>b20672123</t>
  </si>
  <si>
    <t>b20672135</t>
  </si>
  <si>
    <t>b20672159</t>
  </si>
  <si>
    <t>Interior of the reference library.</t>
  </si>
  <si>
    <t>b20672160</t>
  </si>
  <si>
    <t>b20682335</t>
  </si>
  <si>
    <t>University of Adelaide, the 'Hut' at the back of Elder Hall conservatorium in the course of demolition.</t>
  </si>
  <si>
    <t>b29088975</t>
  </si>
  <si>
    <t>Memorial for George Williams</t>
  </si>
  <si>
    <t>Copied from a Crombie family album, this image shows the memorial plaque at Centennial Park Crematorium for 'George H. Williams / 13th September 1963 / aged 74'. This is the memorial for George Henry (Harry) Williams, husband of Maud (nee Crombie) father of Gloria, George and Bob. Annotation on the back reads 'The plate with name &amp; age is bronze set on concrete. We varnished it with waterproof to keep out weather'.</t>
  </si>
  <si>
    <t>Centennial Park Cemetery (Adelaide, S.A.);Sepulchral monuments -- South Australia -- Adelaide</t>
  </si>
  <si>
    <t>b29550087</t>
  </si>
  <si>
    <t>Lighting a cracker on Guy Fawkes night</t>
  </si>
  <si>
    <t>1 photograph : black and white   7.1 x 9.2 cm;still image sti rdacontent;unmediated n rdamedia;sheet nb rdacarrier</t>
  </si>
  <si>
    <t>Young Ian McBryde 'lighting a cracker at Daw's house on Park Terrace, Gilberton, the last Guy Fawkes night on November 5th'. [This image was copied from a Lines and McBryde Families photo album.]</t>
  </si>
  <si>
    <t>b29550099</t>
  </si>
  <si>
    <t>Chief Commissioner of Scouts, Ian McBryde</t>
  </si>
  <si>
    <t>1 photograph : black and white   15.7 x 10.5 cm;still image sti rdacontent;unmediated n rdamedia;sheet nb rdacarrier</t>
  </si>
  <si>
    <t>Portrait of Ian McBryde in his Scout's uniform at the 1966-1967 Corroboree. [This image was copied from a Lines and McBryde Families photo album.]</t>
  </si>
  <si>
    <t>Scouting (Youth activity) -- South Australia -- Congresses</t>
  </si>
  <si>
    <t>b30254528</t>
  </si>
  <si>
    <t>Children from Goodwood Orphanage at Belair</t>
  </si>
  <si>
    <t>1964 April</t>
  </si>
  <si>
    <t>1 photograph : black and white   20 cm x 15.5 cm;still image sti rdacontent;unmediated n rdamedia;sheet nb rdacarrier</t>
  </si>
  <si>
    <t>Children from Goodwood Orphanage on a picnic at National Park, April 1964. Left to right Bernard Trevour, Lucy ?, Father Terence Holland, Susie Carroll.</t>
  </si>
  <si>
    <t>Holland, Terence, 1927-2000;Carroll, Susie;Trevour, Bernard;Children -- South Australia -- Belair</t>
  </si>
  <si>
    <t>b20251166</t>
  </si>
  <si>
    <t>Captain Sturt's House, Grange</t>
  </si>
  <si>
    <t>photograph  21.6 cm x 15.8 cm</t>
  </si>
  <si>
    <t>Captain Sturt's house at Grange.</t>
  </si>
  <si>
    <t>Sturt, Charles, 1795-1869;Grange (House : Grange, S.A.);Architecture, Domestic -- South Australia -- Grange;Historic buildings -- South Australia -- Grange</t>
  </si>
  <si>
    <t>b20251178</t>
  </si>
  <si>
    <t>b2025118x</t>
  </si>
  <si>
    <t>b20251191</t>
  </si>
  <si>
    <t>b20251208</t>
  </si>
  <si>
    <t>b2025121x</t>
  </si>
  <si>
    <t>b20251221</t>
  </si>
  <si>
    <t>b20251233</t>
  </si>
  <si>
    <t>b20251245</t>
  </si>
  <si>
    <t>b20251257</t>
  </si>
  <si>
    <t>b20251269</t>
  </si>
  <si>
    <t>Captain Sturt's house at Grange: construction.</t>
  </si>
  <si>
    <t>b20251270</t>
  </si>
  <si>
    <t>Captain Sturt's house at Grange showing construction and bricks.</t>
  </si>
  <si>
    <t>Sturt, Charles, 1795-1869;Grange (House : Grange, S.A.);Architecture, Domestic -- South Australia -- Grange;Bricks -- South Australia -- Grange;Historic buildings -- South Australia -- Grange</t>
  </si>
  <si>
    <t>b20251282</t>
  </si>
  <si>
    <t>Captain Sturt's house at Grange showing brickwork.</t>
  </si>
  <si>
    <t>b20251294</t>
  </si>
  <si>
    <t>b20251300</t>
  </si>
  <si>
    <t>Captain Sturt's house at Grange showing a wall.</t>
  </si>
  <si>
    <t>b20251312</t>
  </si>
  <si>
    <t>Sturt, Charles, 1795-1869;Grange (House : Grange, S.A.);Architecture, Domestic -- South Australia -- Grange;Bricks -- South Australia -- Grange</t>
  </si>
  <si>
    <t>b20251324</t>
  </si>
  <si>
    <t>b20251336</t>
  </si>
  <si>
    <t>b20544686</t>
  </si>
  <si>
    <t>Photograph &amp; neg.  21.6 cm x 15.8 cm</t>
  </si>
  <si>
    <t>Newmarket Hotel, corner of North and West Terraces, showing the south side, 14 May 1965.</t>
  </si>
  <si>
    <t>b20544807</t>
  </si>
  <si>
    <t>Shell Service Station, North Terrace</t>
  </si>
  <si>
    <t>Shell Service Station, SE corner North Terrace, and Newmarket St, 8 January 1965. Newmarket St. frontage is 35 yards.</t>
  </si>
  <si>
    <t>b20544856</t>
  </si>
  <si>
    <t>Buck's Head Hotel, North Terrace</t>
  </si>
  <si>
    <t>Buck's Head Hotel SW corner North Terrace and Gray St, 8 January 1965.  North Tce. frontage from Gray St. to Market St. is 58 yards.</t>
  </si>
  <si>
    <t>Buck's Head Hotel (Adelaide, S.A.);Hotels -- South Australia -- Adelaide</t>
  </si>
  <si>
    <t>b2054523x</t>
  </si>
  <si>
    <t>View from Morphett Street Bridge to the Fowlers building, North Terrace</t>
  </si>
  <si>
    <t>View across rail yards from the Morphett Street Bridge to the Fowlers 'Lion' Factory. South West cnr North Terrace and Morphett St.</t>
  </si>
  <si>
    <t>Acre 8 Collection</t>
  </si>
  <si>
    <t>b20546270</t>
  </si>
  <si>
    <t>Gresham Street</t>
  </si>
  <si>
    <t>Gresham Street, east side. Rear of E S &amp; A Bank prior to demolition. 1965.</t>
  </si>
  <si>
    <t>b20546282</t>
  </si>
  <si>
    <t>King William Street, west side, corner North Terrace, south side. Gresham Hotel in course of demolition. 1965.</t>
  </si>
  <si>
    <t>b20546294</t>
  </si>
  <si>
    <t>North Terrace, south side. Right side of Gresham Hotel abuts Gresham Street. 1965.</t>
  </si>
  <si>
    <t>b20556433</t>
  </si>
  <si>
    <t>Gresham Street, west side  Left side of the site is 59 yards north of Hindley Street  frontage: 18 1/2 yards.</t>
  </si>
  <si>
    <t>b20556445</t>
  </si>
  <si>
    <t>Gresham Street, west side. Left side of the site is 59 yards north of Hindley Street  Frontage: 18 1/2 yards.</t>
  </si>
  <si>
    <t>b20594823</t>
  </si>
  <si>
    <t>Franklin Street, north side, 2 July 1965. Right side of building abuts Elizabeth Street. Franklin Street frontage: 15 yards. Elizabeth Street frontage: 30 yards.</t>
  </si>
  <si>
    <t>b20594835</t>
  </si>
  <si>
    <t>Franklin Street, north side.</t>
  </si>
  <si>
    <t>b20596443</t>
  </si>
  <si>
    <t>Central Methodist Mission building under construction, cnr Franklin and Pitt Streets</t>
  </si>
  <si>
    <t>Pitt Street, east side, 7th May 1965 showing the Central Methodist Mission building in course of construction. Left side abuts Franklin Street, south side.</t>
  </si>
  <si>
    <t>b20596455</t>
  </si>
  <si>
    <t>Franklin Street, south side 7th May 1965 showing the Central Methodist Mission building in course of construction. Right side abuts Pitt Street.</t>
  </si>
  <si>
    <t>b20597393</t>
  </si>
  <si>
    <t>Gawler Place, west side showing the Children's Welfare Department building before demolition. Right side of the house is 48 yards south of Flinders Street  frontage is 10 yards .</t>
  </si>
  <si>
    <t>b20598634</t>
  </si>
  <si>
    <t>Photographs &amp; neg.  21.6 cm x 15.8 cm</t>
  </si>
  <si>
    <t>Acre 280 Flinders Street, south side. 1965.</t>
  </si>
  <si>
    <t>b20601244</t>
  </si>
  <si>
    <t>Victoria Square, west side, corner of Grote Street, north side.</t>
  </si>
  <si>
    <t>b20605845</t>
  </si>
  <si>
    <t>Wakefield Street, south side.</t>
  </si>
  <si>
    <t>b20605857</t>
  </si>
  <si>
    <t>b20605869</t>
  </si>
  <si>
    <t>b20608202</t>
  </si>
  <si>
    <t>Hutt Street, west side, 2nd July 1965. Hutt Street frontage is 71 yards. Angas Street frontage is 71 yards. In 1956 this building the Naval, Military and Airforce Club.</t>
  </si>
  <si>
    <t>Acre 361 Collection</t>
  </si>
  <si>
    <t>b20608214</t>
  </si>
  <si>
    <t>Hutt Street, west side, 2nd July 1965. Hutt Street frontage: 71 yards. Angas Street frontage: 71 yards. In 1956 this building became the Naval, Military and Airforce Club.</t>
  </si>
  <si>
    <t>b20613866</t>
  </si>
  <si>
    <t>Hanson Street, east side, corner of Angas Street, south side. Hanson Street frontage: 20 yards. Angas Street frontage: 26 1/2 yards.</t>
  </si>
  <si>
    <t>b20614457</t>
  </si>
  <si>
    <t>Photograph  21.8 cm x 16.4 cm</t>
  </si>
  <si>
    <t>Angas Street, south side, showing the Salvation Army Women's Hostel. Left side is 20 yards west of James Street. Right side is 145 yards east of Hutt Street.</t>
  </si>
  <si>
    <t>b20615188</t>
  </si>
  <si>
    <t>Hume Street</t>
  </si>
  <si>
    <t>Photogtraph  21.6 cm x 15.8 cm</t>
  </si>
  <si>
    <t>Hume Street, south side, 30 April 1965. Right side of building is 33 yards east of Cardwell Street. Frontage: 16 yards.</t>
  </si>
  <si>
    <t>Acre 438 Collection</t>
  </si>
  <si>
    <t>b20619029</t>
  </si>
  <si>
    <t>Carrington Street, south side, 29th January 1965. Left side of frontage is 35 yards west of Hurtle Square. Frontage: 9 yards.</t>
  </si>
  <si>
    <t>b20619297</t>
  </si>
  <si>
    <t>Hutt Street, west side, corner of Carrington Street, south side, 16th July 1965. Hutt Street frontage: 14 yards. Carrington Street frontage: 32 yards.</t>
  </si>
  <si>
    <t>b20619431</t>
  </si>
  <si>
    <t>Carrington Street, south side, 2nd April 1965. Left side of building abuts Kate Court. Carrington Street frontage is 7 1/2 yards. Kate Court frontage is 16 yards.</t>
  </si>
  <si>
    <t>Acre 502 Collection</t>
  </si>
  <si>
    <t>b20619534</t>
  </si>
  <si>
    <t>Carrington Street, south side, April 1965. Left side of site is 12 yards west of Tomsey Street  frontage: 12 yards.</t>
  </si>
  <si>
    <t>b20619546</t>
  </si>
  <si>
    <t>Carrington Street, south side, 30th April 1965. Left side of building in course of demolition is 24 yards west of Tomsey Street. Frontage: 15 yards.</t>
  </si>
  <si>
    <t>b20619558</t>
  </si>
  <si>
    <t>Carrington Street, south side, 10th September 1965. Left side of building is 11 yards west of Tomsey Street. Frontage: 11 yards.</t>
  </si>
  <si>
    <t>b2061956x</t>
  </si>
  <si>
    <t>Carrington Street, south side, 10th September 1965. Left side of building is 11 yards west of Tomsey Street  frontage: 11 yards.</t>
  </si>
  <si>
    <t>b20619571</t>
  </si>
  <si>
    <t>Carrington Street, south side. Left side of site is 54 yards west of Tomsey Street. Right side is 30 yards east of Marion Street  frontage: 9 1/2 yards.</t>
  </si>
  <si>
    <t>b20619583</t>
  </si>
  <si>
    <t>Carrington Street, south side. Left side of sitte is 54 yards west of Tomsey Street. Right side is 30 yards east of Marion Street. Frontage: 9 1/2 yards.</t>
  </si>
  <si>
    <t>b20628158</t>
  </si>
  <si>
    <t>Gilbert Street, south side, . Right side of shed is 21 yards east of Owen Street. Frontage: 10 yards.</t>
  </si>
  <si>
    <t>Acre 634 Collection</t>
  </si>
  <si>
    <t>b20628791</t>
  </si>
  <si>
    <t>Gilles Street, south side, 22 January 1965. Right side of the cottage is 31 yards east of Dumphries Place. Frontage: 12 yards.</t>
  </si>
  <si>
    <t>b20629072</t>
  </si>
  <si>
    <t>Gilles Street, south side, 4 June 1965. Right side of site is 69 yards east of Cromwell Street. Frontage: 36 yards.</t>
  </si>
  <si>
    <t>Acre 648 Collection</t>
  </si>
  <si>
    <t>b20629096</t>
  </si>
  <si>
    <t>Gilles Street, south side, 4 June 1965. Left side of site is 31 yards west of Charlotte Street  frontage: 41 yards.</t>
  </si>
  <si>
    <t>b20629321</t>
  </si>
  <si>
    <t>Hutt Street, east side, 1965, showing the Mary Immaculate Church. Left side of the Church is 41 1/2 yards south of Gilles Street. Frontage: 6 1/2 yards.</t>
  </si>
  <si>
    <t>b20629436</t>
  </si>
  <si>
    <t>Gilles Street, south side  21 May 1965. Left side as marked is 10 yards east of Vincent Street. Frontage is 47 yards.</t>
  </si>
  <si>
    <t>b20629448</t>
  </si>
  <si>
    <t>Gilles Street, south side, 21 May 1965. Left side of site is 10 yards each of Vincent Street, frontage is 47 yards.</t>
  </si>
  <si>
    <t>b20629709</t>
  </si>
  <si>
    <t>South Terrace, North Side</t>
  </si>
  <si>
    <t>North Terrace, north side, 2 July 1965. St.Andrew's Private Hospital.</t>
  </si>
  <si>
    <t>b20629813</t>
  </si>
  <si>
    <t>South Terrace, north side, 14 May 1965. Right side of site is 13 yards west of Vincent Street. Frontage: 17 yards.</t>
  </si>
  <si>
    <t>b20629928</t>
  </si>
  <si>
    <t>South Terrace, north side. Left side of house is 44 yards east of Hutt Street. Frontage: 18 yards.</t>
  </si>
  <si>
    <t>b2062993x</t>
  </si>
  <si>
    <t>South Terrace east, north side. Left side of house is 44 yards east of Hutt Street. Frontage: 18 yards.</t>
  </si>
  <si>
    <t>b20629941</t>
  </si>
  <si>
    <t>b20629953</t>
  </si>
  <si>
    <t>b20630013</t>
  </si>
  <si>
    <t>South Terrace, north side. Right side of site is 35 yards west of Hutt Street. Frontage: 35 yards.</t>
  </si>
  <si>
    <t>b20630827</t>
  </si>
  <si>
    <t>Pulteney Grammar Chapel</t>
  </si>
  <si>
    <t>Pulteney Grammar School Chapel, South Terrace, north side, 7th May 1965.</t>
  </si>
  <si>
    <t>b20630839</t>
  </si>
  <si>
    <t>b20640602</t>
  </si>
  <si>
    <t>Tynte Street, South Side</t>
  </si>
  <si>
    <t>Tynte Street, south side, 4th June 1965. Left side of site is 65 yards west of Tower Street. Frontage: 62 yards.</t>
  </si>
  <si>
    <t>Acre 835 Collection</t>
  </si>
  <si>
    <t>b20640614</t>
  </si>
  <si>
    <t>Tynte Street west, south side, 4th June 1965. Left side of site is 65 yards west of Tower Street. Frontage: 62 yards.</t>
  </si>
  <si>
    <t>b20648030</t>
  </si>
  <si>
    <t>Kingston Terrace, south side, 1965. Left side of site is 40 yards west of Kingston Terrace, east side.</t>
  </si>
  <si>
    <t>b20652069</t>
  </si>
  <si>
    <t>Adelaide Boys High School, West Terrace, west side, 1965.</t>
  </si>
  <si>
    <t>b20652070</t>
  </si>
  <si>
    <t>b20191856</t>
  </si>
  <si>
    <t>Payne's Sanctuary</t>
  </si>
  <si>
    <t>Photograph (b&amp;w print)  21 cm x 16.7 cm;C1</t>
  </si>
  <si>
    <t>Two girls with proteas grown at Payne's Wildflower Sanctuary at Athelstone.</t>
  </si>
  <si>
    <t>Plants -- South Australia -- Athelstone</t>
  </si>
  <si>
    <t>Athelstone Collection</t>
  </si>
  <si>
    <t>b20546269</t>
  </si>
  <si>
    <t>King William Street, west side. This beautiful Gothic Revival  building was designed by architect William Wilkinson Wardell and was formerly the English, Scottish and Australian Bank. It is shown  prior to demolition in 1965. For the earlier building, taken in 1864, see B 13695.</t>
  </si>
  <si>
    <t>English, Scottish and Australian Bank -- Buildings;Banks and banking -- South Australia -- Adelaide;Architecture -- South Australia -- Adelaide</t>
  </si>
  <si>
    <t>b20640717</t>
  </si>
  <si>
    <t>Radio 5 DN's North Adelaide Studios with Mr. L. N. Stoberg (later Chief Engineer) and the broadcasting equipment.</t>
  </si>
  <si>
    <t>Stoberg, L. N.;5DN (Radio station : Adelaide, S.A.);Radio broadcasting -- South Australia -- North Adelaide;Radio stations -- South Australia -- Adelaide</t>
  </si>
  <si>
    <t>b20640729</t>
  </si>
  <si>
    <t>Radio 5 DN's North Adelaide Studios with Clarrie Neaylon (technician) and equipment.</t>
  </si>
  <si>
    <t>Neaylon, Clarrie;5DN (Radio station : Adelaide, S.A.);Radio broadcasting -- South Australia -- North Adelaide;Radio stations -- South Australia -- Adelaide</t>
  </si>
  <si>
    <t>b20640730</t>
  </si>
  <si>
    <t>5DN (Radio station : Adelaide, S.A.);Radio broadcasting -- South Australia -- North Adelaide;Radio stations -- South Australia -- Adelaide</t>
  </si>
  <si>
    <t>b20640742</t>
  </si>
  <si>
    <t>Radio 5 DN's North Adelaide Control Room.</t>
  </si>
  <si>
    <t>b29253573</t>
  </si>
  <si>
    <t>Hone, Harold N., photographer</t>
  </si>
  <si>
    <t>Portrait photograph of Arthur Campbell Garnett</t>
  </si>
  <si>
    <t>approximately 1965</t>
  </si>
  <si>
    <t>1 photograph : black and white   17.5 x 12.6 cm;still image sti rdacontent;unmediated n rdamedia;sheet nb rdacarrier</t>
  </si>
  <si>
    <t>Portrait photograph of Arthur Campbell Garnett, who was born in South Australia and was Lecturer in Philosophy at the University of Adelaide in 1924. He later became Professor of Philosophy at the University of Wisconsin in the United States. Garnett died on September 19, 1970 in Fort Worth, Texas. The photographer's stamp is on the back of the photo: Harold N. Hone, Portrait Photographer, Madison, Wisconsin. For more information see 'Memorial resolution of the Faculty of the University of Wisconsin on the death of Emeritus Professor Arthur Campbell Garnett', which is held in the South Australiana collection.</t>
  </si>
  <si>
    <t>Garnett, A. Campbell (Arthur Campbell), 1894-;Philosophers -- South Australia</t>
  </si>
  <si>
    <t>b20229860</t>
  </si>
  <si>
    <t>Burgess, John, photographer</t>
  </si>
  <si>
    <t>Edward's Creek</t>
  </si>
  <si>
    <t>Photograph (b&amp;w print)  16.4 cm x 21.2 cm;C1</t>
  </si>
  <si>
    <t>Aboriginal humpy.</t>
  </si>
  <si>
    <t>Aboriginal Australians -- Dwellings -- South Australia -- Edward Creek</t>
  </si>
  <si>
    <t>Edward Creek Collection</t>
  </si>
  <si>
    <t>b20229872</t>
  </si>
  <si>
    <t>Photograph (b&amp;w print)  16.2 cm x 21.2 cm;C1</t>
  </si>
  <si>
    <t>Railway and railway workers accommodation  married quarters on the left, single quarters on the right.</t>
  </si>
  <si>
    <t>Railroad construction workers -- South Australia -- Edward Creek</t>
  </si>
  <si>
    <t>b20545241</t>
  </si>
  <si>
    <t>North Terrace, south side, 15 July 1966.</t>
  </si>
  <si>
    <t>b20545253</t>
  </si>
  <si>
    <t>Morphett Street from bridge crossing North Terrace</t>
  </si>
  <si>
    <t>View of Morphett Street looking south from bridge crossing North Terrace. Fowlers 'Lion' Factory is on the right of picture. 15 July 1966.</t>
  </si>
  <si>
    <t>b20545265</t>
  </si>
  <si>
    <t>Fowlers factory, North Terrace</t>
  </si>
  <si>
    <t>Fowlers 'Lion' factory, SW corner North Terrace and Morphett St. 15 July 1966.</t>
  </si>
  <si>
    <t>b20545277</t>
  </si>
  <si>
    <t>Morphett Street, West Side</t>
  </si>
  <si>
    <t>Morphett Street, west side. 15 July 1966. Acres 8 and 55.</t>
  </si>
  <si>
    <t>Acre 8 Collection;Acre 15 Collection</t>
  </si>
  <si>
    <t>b20545289</t>
  </si>
  <si>
    <t>North Terrace, West with Fowler's Lion Factory</t>
  </si>
  <si>
    <t>North Terrace, West, South side 15 July 1966. Also showing Fowler's Lion Factory.</t>
  </si>
  <si>
    <t>b2055252x</t>
  </si>
  <si>
    <t>Rundle Street, north side.</t>
  </si>
  <si>
    <t>b20552531</t>
  </si>
  <si>
    <t>b20552543</t>
  </si>
  <si>
    <t>Off Rundle Street</t>
  </si>
  <si>
    <t>Off Rundle Street, north side. Back of Hotel Richmond.</t>
  </si>
  <si>
    <t>b20552555</t>
  </si>
  <si>
    <t>Off Rundle Street, north side. Rear of Hotel Richmond.</t>
  </si>
  <si>
    <t>b20552567</t>
  </si>
  <si>
    <t>Rundle Street, north side. 1 July 1966.</t>
  </si>
  <si>
    <t>b20557036</t>
  </si>
  <si>
    <t>Hindley Street north side.</t>
  </si>
  <si>
    <t>b20564399</t>
  </si>
  <si>
    <t>Rundle Street, south side showing the Globe Theaterette before it was demolished.</t>
  </si>
  <si>
    <t>b20569695</t>
  </si>
  <si>
    <t>120-122 Grenfell Street, north side. 24 September, 1971. Left side of no. 122 is 33 yards east of Adelaide Arcade. Grenfell Street frontage is 13 1/3 yards.</t>
  </si>
  <si>
    <t>b20569804</t>
  </si>
  <si>
    <t>Grenfell Street, north side.</t>
  </si>
  <si>
    <t>Acre 104 Collection</t>
  </si>
  <si>
    <t>b20569816</t>
  </si>
  <si>
    <t>b20569828</t>
  </si>
  <si>
    <t>Grenfell Street, north side, 21st October 1966.</t>
  </si>
  <si>
    <t>b20593673</t>
  </si>
  <si>
    <t>Manchester Unity building, Franklin Street</t>
  </si>
  <si>
    <t>Manchester Unity building, Franklin Street, north side, corner of Post Office Place.</t>
  </si>
  <si>
    <t>b20594446</t>
  </si>
  <si>
    <t>Franklin Street, north side. Left side of the building abuts Cannon Street. Frontage on Franklin Street is 17 yards and on Cannon Street, 61 yards.</t>
  </si>
  <si>
    <t>b20595104</t>
  </si>
  <si>
    <t>Franklin Street, north side 7th January 1966.</t>
  </si>
  <si>
    <t>b20595232</t>
  </si>
  <si>
    <t>Greek Orthodox Church of Archangels Michael and Gabriel, Franklin Street</t>
  </si>
  <si>
    <t>Greek Orthodox Church of Archangels Michael and Gabriel, Frankilin Street, North side.</t>
  </si>
  <si>
    <t>b20601505</t>
  </si>
  <si>
    <t>Grote Street, north side, 7 October 1966.</t>
  </si>
  <si>
    <t>b2060256x</t>
  </si>
  <si>
    <t>Grote Street, north side. Right side abuts Byron Place.</t>
  </si>
  <si>
    <t>b20602571</t>
  </si>
  <si>
    <t>Grote Street, north side. Right side of site abuts Byron Place.</t>
  </si>
  <si>
    <t>b20608251</t>
  </si>
  <si>
    <t>Angas Street, north side, 14 October 1966. Right side of cottage is 32 yards west of Cardwell Street.</t>
  </si>
  <si>
    <t>Acre 363 Collection</t>
  </si>
  <si>
    <t>b20614524</t>
  </si>
  <si>
    <t>Angas Street, south side, 7th January 1966, showing the Presbyterian Church Headquarters. Left side of site is 159 yards from East Terrace. Frontage is 19 1/2 yards.</t>
  </si>
  <si>
    <t>b20614810</t>
  </si>
  <si>
    <t>Carrington Street, north side, showing the Y.W.C.A. Hostel. Right side of building is approximately 78 yards west of East Terrace. Frontage: approx. 24 3/4 yards.</t>
  </si>
  <si>
    <t>b20614822</t>
  </si>
  <si>
    <t>Carrington Street, north side showing the Y.W.C.A. Hostel.</t>
  </si>
  <si>
    <t>b20614834</t>
  </si>
  <si>
    <t>b20614846</t>
  </si>
  <si>
    <t>b2061486x</t>
  </si>
  <si>
    <t>Carrington Street, north side, showing the Y.W.C.A. Hostel.</t>
  </si>
  <si>
    <t>b2061519x</t>
  </si>
  <si>
    <t>Cardwell Street, east side corner, Hume Street, south side, 4 November 1966.</t>
  </si>
  <si>
    <t>b20615206</t>
  </si>
  <si>
    <t>Hume Street, south side, 4 November 1966. Right side of the building abuts Cardwell Street.</t>
  </si>
  <si>
    <t>b20619030</t>
  </si>
  <si>
    <t>Carrington Street, south side. Right side of building is 23 yards east of Queen Street.</t>
  </si>
  <si>
    <t>b20624797</t>
  </si>
  <si>
    <t>St. John's Church, Halifax Stretet, Adelaide</t>
  </si>
  <si>
    <t>St. John's Church of England in Halifax Street, south side, corner of St.John's Street, east side.</t>
  </si>
  <si>
    <t>Acre 581 Collection</t>
  </si>
  <si>
    <t>b20627609</t>
  </si>
  <si>
    <t>Gilbert Street, south side, 4th November 1966, right side of building is 14 yards east of Winifred Street and frontage is 10.5 yards.</t>
  </si>
  <si>
    <t>Acre 629 Collection</t>
  </si>
  <si>
    <t>b20628080</t>
  </si>
  <si>
    <t>Gilbert Street, south side.</t>
  </si>
  <si>
    <t>b20628225</t>
  </si>
  <si>
    <t>O'Halloran Street</t>
  </si>
  <si>
    <t>O'Halloran Street, west side, 15th July, 1966. Left side of cottage abuts Stafford Street.</t>
  </si>
  <si>
    <t>b20637123</t>
  </si>
  <si>
    <t>"Carclew", North Adelaide</t>
  </si>
  <si>
    <t>"Carclew", Montefiore Hill, between Jeffcott Street and Strangways Terrace.</t>
  </si>
  <si>
    <t>Acre 749 Collection</t>
  </si>
  <si>
    <t>b20637135</t>
  </si>
  <si>
    <t>"Carclew", Montefiore Hill, between Jeffcott Street and Strangways Terrace, North Adelaide.</t>
  </si>
  <si>
    <t>b20637147</t>
  </si>
  <si>
    <t>"Carclew", Montefiore Hill, between Jeffcott Street and Stangways Terrace, North Adelaide.</t>
  </si>
  <si>
    <t>b20637159</t>
  </si>
  <si>
    <t>b20637160</t>
  </si>
  <si>
    <t>"Carclew", Montefiore Hill between Jeffcott Street and Strangways Terrace, North Adelaide.</t>
  </si>
  <si>
    <t>b20637172</t>
  </si>
  <si>
    <t>Pump at "Carclew"</t>
  </si>
  <si>
    <t>Pump at "Carclew", Montefiore Hill, North Adelaide.</t>
  </si>
  <si>
    <t>b20637184</t>
  </si>
  <si>
    <t>b20640523</t>
  </si>
  <si>
    <t>O'Connell Street, east side. Left side of building abuts Tynte Street  on the right are the premises of P.H.King, Dentist.</t>
  </si>
  <si>
    <t>b29550105</t>
  </si>
  <si>
    <t>Official party at the opening of the Scouts' Corroboree</t>
  </si>
  <si>
    <t>1 photograph : black and white   10.5 x 15.5 cm;still image sti rdacontent;unmediated n rdamedia;sheet nb rdacarrier</t>
  </si>
  <si>
    <t>The official party at the opening of the 1966-1967 Scouts' Corroboree. From left: Sir Edric Bastyan, Ian McBryde and Henry Rymill. (The man behind has not been identified.)[This image was copied from a Lines and McBryde Families photo album.]</t>
  </si>
  <si>
    <t>Bastyan, Edric Montague, Sir, 1903-1980;Rymill, Henry Way, 1907-1971;Scouting (Youth activity) -- South Australia -- Congresses</t>
  </si>
  <si>
    <t>b2024874x</t>
  </si>
  <si>
    <t>Railway flooding, Ilbunga</t>
  </si>
  <si>
    <t>A washaway, possibly from Hamilton Creek over the railway line to Alice Springs.</t>
  </si>
  <si>
    <t>Floods -- South Australia -- Ilbunga;Railroads -- South Australia -- Ilbunga -- Maintenance and repair</t>
  </si>
  <si>
    <t>Ilbunga Collection</t>
  </si>
  <si>
    <t>b20544935</t>
  </si>
  <si>
    <t>Liverpool St., west side, 29 September 1967. Right side of building is 38 yards south of North Terrace. Liverpool Street frontage is 131 and a third yards.</t>
  </si>
  <si>
    <t>b20544947</t>
  </si>
  <si>
    <t>Liverpool Street, west side, 29 September 1967. Right side of building is 38 yards south of North Terrace. Liverpool Street frontage is 13 &amp; third yards.</t>
  </si>
  <si>
    <t>b20545174</t>
  </si>
  <si>
    <t>Photograph &amp; neg.  16.5 cm x 21.8 cm</t>
  </si>
  <si>
    <t>North Terrace South side, corner Register Street East side. 1967.</t>
  </si>
  <si>
    <t>Acre 7 Collection</t>
  </si>
  <si>
    <t>b20545290</t>
  </si>
  <si>
    <t>D.J. Fowler's Rear Premises</t>
  </si>
  <si>
    <t>Off North Terrace, south side. Rear of D. &amp; J Fowler's premises.</t>
  </si>
  <si>
    <t>b20545307</t>
  </si>
  <si>
    <t>D. J. Fowler's Rear Premises</t>
  </si>
  <si>
    <t>Off North Terrace, south side (Rear of D. &amp; J. Fowler's premises).</t>
  </si>
  <si>
    <t>b20545319</t>
  </si>
  <si>
    <t>Off North Terrace, south side. (Rear of D. &amp; J. Fowler's premises).</t>
  </si>
  <si>
    <t>b20545320</t>
  </si>
  <si>
    <t>Off North Terrace, south side (Rear of D. J. Fowler's premises).</t>
  </si>
  <si>
    <t>b20545332</t>
  </si>
  <si>
    <t>Off North Terrace. south side (Rear of D. &amp; J. Fowler's premises).</t>
  </si>
  <si>
    <t>b20545344</t>
  </si>
  <si>
    <t>b20545356</t>
  </si>
  <si>
    <t>b20545368</t>
  </si>
  <si>
    <t>b20556469</t>
  </si>
  <si>
    <t>Photograph  16.5 cm x 21.8 cm</t>
  </si>
  <si>
    <t>King William Street, west side, corner of Hindley Street, north side, 30th June 1967.</t>
  </si>
  <si>
    <t>b20556470</t>
  </si>
  <si>
    <t>Hindley Street, north side, corner of King William Street, west side, 30th June 1967.</t>
  </si>
  <si>
    <t>b20556482</t>
  </si>
  <si>
    <t>Gresham Street corner, Hindley Street, north side, 30th June 1967.</t>
  </si>
  <si>
    <t>b20570703</t>
  </si>
  <si>
    <t>Grenfell Street, North Side, 14 July 1967.</t>
  </si>
  <si>
    <t>b20572803</t>
  </si>
  <si>
    <t>Currie Street, north side, 15 September 1967, frontage of Kingston Street is 53.5 yards and Currie Street frontage is 10 yards.</t>
  </si>
  <si>
    <t>Acre 112 Collection</t>
  </si>
  <si>
    <t>b20580745</t>
  </si>
  <si>
    <t>King William Street, east side, Majestic Theatre.</t>
  </si>
  <si>
    <t>b2058149x</t>
  </si>
  <si>
    <t>King William Street, west side, King William Street frontage is 10.5 yards and Waymouth Street frontage is 10 yards.</t>
  </si>
  <si>
    <t>b20584283</t>
  </si>
  <si>
    <t>Waymouth Street, south side, frontage of Lombard House is 18 yards.</t>
  </si>
  <si>
    <t>b20584295</t>
  </si>
  <si>
    <t>Waymouth Street, south side, right side of building is 18 yards east of Young Street and frontage is 31 yards.</t>
  </si>
  <si>
    <t>b20584301</t>
  </si>
  <si>
    <t>b20594537</t>
  </si>
  <si>
    <t>Franklin Street, south side. Right side of building is 20 yards from Tatham Street, frontage is 16 yards.</t>
  </si>
  <si>
    <t>b20595037</t>
  </si>
  <si>
    <t>Franklin Street, north side 18th August 1967. Franklin Street frontage  19 and a half yards. Shannon Place Frontage: 71 yards.</t>
  </si>
  <si>
    <t>b20595116</t>
  </si>
  <si>
    <t>Franklin Street, north side, June 1967.</t>
  </si>
  <si>
    <t>b20595244</t>
  </si>
  <si>
    <t>Greek Orthodox Church, Franklin Street</t>
  </si>
  <si>
    <t>Greek Orthodox Church, Franklin Street, north side, June 1967.</t>
  </si>
  <si>
    <t>b20595256</t>
  </si>
  <si>
    <t>b20595918</t>
  </si>
  <si>
    <t>Morphett Street, west side 18 August 1967.</t>
  </si>
  <si>
    <t>b20598920</t>
  </si>
  <si>
    <t>Flinders Street, south side, corner of Hutt Street, west side. Frontage on Flinders Street: 33 yards. Frontage on Hutt Street: 16 2/3 yards. 12th May 1967.</t>
  </si>
  <si>
    <t>b20601591</t>
  </si>
  <si>
    <t>Grote Street, north side, 18 August 1967 showing the Metropolitan Hotel. Left side of the building abuts Pitt Street, its frontage: 30 1/2 yards. Right side abuts Penaluna Place. Grote Street frontage: 28 yards.</t>
  </si>
  <si>
    <t>b2060435x</t>
  </si>
  <si>
    <t>Cooper's Snack Bar, Grote Street</t>
  </si>
  <si>
    <t>Cooper's Snack Bar, corner of Grote Street, south side, and California Street, 4 August 1967. Frontage of building is 16 yards.</t>
  </si>
  <si>
    <t>b20609462</t>
  </si>
  <si>
    <t>Page Street</t>
  </si>
  <si>
    <t>Page Street, south side corner of Victoria Square, west side, 22nd September 1967.</t>
  </si>
  <si>
    <t>b20609474</t>
  </si>
  <si>
    <t>Gouger Street, north side, 22nd September 1967.</t>
  </si>
  <si>
    <t>b20609486</t>
  </si>
  <si>
    <t>b20609498</t>
  </si>
  <si>
    <t>b20609504</t>
  </si>
  <si>
    <t>Victoria Square, West Side, 22nd September 1967.</t>
  </si>
  <si>
    <t>b20609516</t>
  </si>
  <si>
    <t>b20609528</t>
  </si>
  <si>
    <t>Victoria Square, west side, 22nd September 1967.</t>
  </si>
  <si>
    <t>b20613751</t>
  </si>
  <si>
    <t>Angas Street, south side, 23rd June 1967. Right side of building is 31 1/2 yards east of Princess Street.</t>
  </si>
  <si>
    <t>b20613763</t>
  </si>
  <si>
    <t>Hanson Street, west side, 23rd June 1967. Right side of site is 37 yards south of Angas Street.</t>
  </si>
  <si>
    <t>b20613982</t>
  </si>
  <si>
    <t>Angas Street, south side, 7th September 1967. Angas Street frontage: 18 1/2 yards. Regent Street frontage: 35 yards.</t>
  </si>
  <si>
    <t>b20615450</t>
  </si>
  <si>
    <t>Carrington Street, north side. Left side of the building abuts Royal Place, east side and the right side of the building abuts Hanson Street.</t>
  </si>
  <si>
    <t>b20616144</t>
  </si>
  <si>
    <t>Wright Street, north side, 1967, right side of brick building abuts Pinkmore Place.</t>
  </si>
  <si>
    <t>b20616156</t>
  </si>
  <si>
    <t>Wright Street, north side, 1967.</t>
  </si>
  <si>
    <t>b20616168</t>
  </si>
  <si>
    <t>b2061715x</t>
  </si>
  <si>
    <t>Wright Street, north side, 25th August 1967, left side of building is 32 yards east of Maud Street and frontage is 6.5 yards.</t>
  </si>
  <si>
    <t>b20617859</t>
  </si>
  <si>
    <t>Wright Street, south side, 15th September 1967, right side of the building is 15 yards east of Norman Street and frontage is 13 yards.</t>
  </si>
  <si>
    <t>b20620159</t>
  </si>
  <si>
    <t>photograph  16.5 cm x 21.8 cm</t>
  </si>
  <si>
    <t>ACRE 514: Cottages in Halifax Street, north side, 23rd June 1967.</t>
  </si>
  <si>
    <t>b20621024</t>
  </si>
  <si>
    <t>Halifax Street, north side, 11th August 1967, left side of the building is 10 1/3 yards east of Toms Court and Halifax Street frontage is 8 yards.</t>
  </si>
  <si>
    <t>b20621887</t>
  </si>
  <si>
    <t>Sturt Street, north side, 1967.</t>
  </si>
  <si>
    <t>b20622430</t>
  </si>
  <si>
    <t>Sturt Street, south side. Right side of two storey building is 16 3/4 yards east of Little Gilbert Street. Frontage of two storey building is 11 1/2 yards.</t>
  </si>
  <si>
    <t>b20624293</t>
  </si>
  <si>
    <t>Halifax Street, south side, 25th August 1967, Halifax Street frontage is 29 yards.</t>
  </si>
  <si>
    <t>Acre 579 Collection</t>
  </si>
  <si>
    <t>b2062430x</t>
  </si>
  <si>
    <t>Halifax Street, south side, 25th August 1967, frontage of building is 29 yards.</t>
  </si>
  <si>
    <t>b20625558</t>
  </si>
  <si>
    <t>Gilles Street, north side, 27th October 1967, right side of cottage is 72 yards west of Castle Street and frontage is 14 yards.</t>
  </si>
  <si>
    <t>b2062556x</t>
  </si>
  <si>
    <t>b20625832</t>
  </si>
  <si>
    <t>Gilles Street, north side, 8th September 1967, left side of shop is 30 yards east of Stevens Street.</t>
  </si>
  <si>
    <t>b20625844</t>
  </si>
  <si>
    <t>b20627610</t>
  </si>
  <si>
    <t>Gilbert Street, south side, 25th August 1967, frontage of building is 18.5 yards.</t>
  </si>
  <si>
    <t>b20627622</t>
  </si>
  <si>
    <t>b20627713</t>
  </si>
  <si>
    <t>Gilbert Street, south side, 25th August 1967, frontage of both buildings is 17 yards.</t>
  </si>
  <si>
    <t>b20628808</t>
  </si>
  <si>
    <t>Gilles St., South Side</t>
  </si>
  <si>
    <t>Gilles Street, south side, 3 September 1967. Right side of building is east of Dumphries Place. Frontage of buildings as marked is 23 1/2 yards.</t>
  </si>
  <si>
    <t>b2062881x</t>
  </si>
  <si>
    <t>Gilles Street, south side, 3 September 1967. Right side of building east of Dumphries Place. Frontage of buildings as marked is 23 1/2 yards.</t>
  </si>
  <si>
    <t>b20628997</t>
  </si>
  <si>
    <t>Gilles Street, south side, 22 September 1967. Right side of building 43 yards east of Delhi Street. Frontage: 9 1/2 yards.</t>
  </si>
  <si>
    <t>b20630141</t>
  </si>
  <si>
    <t>South Terrace, north side, 19th May 1967.</t>
  </si>
  <si>
    <t>b20633609</t>
  </si>
  <si>
    <t>Pennington Terrace, North Side, 25th August 1967, frontage is 46 yards.</t>
  </si>
  <si>
    <t>Acre 708 Collection</t>
  </si>
  <si>
    <t>b20633610</t>
  </si>
  <si>
    <t>Pennington Terrace, North Side, 25th August 1967, frontage of site is 46 yards.</t>
  </si>
  <si>
    <t>b20633622</t>
  </si>
  <si>
    <t>Pennington Terrace, north side, 25th August 1967, frontage of site is 46 yards.</t>
  </si>
  <si>
    <t>b20634675</t>
  </si>
  <si>
    <t>Brougham Place, south side, 25th August 1967, right side of building is 50.5 yards from Bagots Street and Brougham Place frontage is 25 yards.</t>
  </si>
  <si>
    <t>Acre 728 Collection</t>
  </si>
  <si>
    <t>b20637263</t>
  </si>
  <si>
    <t>Strangways Terrace, east side. Right ide of block is 70 yards south of corner, turning due west, of Strangways Terrace. Frontage: 33 yards.</t>
  </si>
  <si>
    <t>Acre 752 Collection</t>
  </si>
  <si>
    <t>b20637275</t>
  </si>
  <si>
    <t>Strangways Terrace, east side. Right side of block is 70 yards south of corner, turning due west, of Strangways Terrace. Frontage: 33 yards.</t>
  </si>
  <si>
    <t>b20637287</t>
  </si>
  <si>
    <t>b20637640</t>
  </si>
  <si>
    <t>Strangways Terrace, north side, 27th October 1967, right side of site abuts Hill Street and frontage is 54 yards.</t>
  </si>
  <si>
    <t>Acre 762 Collection</t>
  </si>
  <si>
    <t>b20637652</t>
  </si>
  <si>
    <t>Strangways Terrace, north side, 27th October 1967, frontage of house is 54 yards.</t>
  </si>
  <si>
    <t>b20640456</t>
  </si>
  <si>
    <t>Clarke Street</t>
  </si>
  <si>
    <t>Clarke Street at the corner of Centenary Street.</t>
  </si>
  <si>
    <t>Acre 831 Collection</t>
  </si>
  <si>
    <t>b20640468</t>
  </si>
  <si>
    <t>Centenary Street, East Side</t>
  </si>
  <si>
    <t>Centenary Street, east side.</t>
  </si>
  <si>
    <t>b20640535</t>
  </si>
  <si>
    <t>O'Connell Street, east side.</t>
  </si>
  <si>
    <t>b20640559</t>
  </si>
  <si>
    <t>Clarke Street, north side.</t>
  </si>
  <si>
    <t>b20640699</t>
  </si>
  <si>
    <t>Wellington Square, east side  21 April 1967. Left side of two storey building abuts Tynte Street.</t>
  </si>
  <si>
    <t>b20640705</t>
  </si>
  <si>
    <t>Wellington Square, east side  21 April 1967. Right side of house abuts Gloucester Place.</t>
  </si>
  <si>
    <t>b20643810</t>
  </si>
  <si>
    <t>Caledonian Hotel, North Adelaide</t>
  </si>
  <si>
    <t>Caledonian Hotel, O'Connell Street, west side, 22nd September 1967.</t>
  </si>
  <si>
    <t>Acre 945 Collection</t>
  </si>
  <si>
    <t>b20643822</t>
  </si>
  <si>
    <t>b20645302</t>
  </si>
  <si>
    <t>Melbourne Street, south side, 3rd November 1967, Melbourne Street frontage is 43.5 yards and Dunn Street frontage is 42 yards.</t>
  </si>
  <si>
    <t>Acre 983 Collection</t>
  </si>
  <si>
    <t>b20645314</t>
  </si>
  <si>
    <t>b20645326</t>
  </si>
  <si>
    <t>Melbourne Street, south side, 3rd November 1967.</t>
  </si>
  <si>
    <t>b2064534x</t>
  </si>
  <si>
    <t>Dunn Street</t>
  </si>
  <si>
    <t>Dunn Street, west side, 3rd November 1967, Melbourne Street frontage is 43.5 yards and Dunn Street frontage is 42 yards.</t>
  </si>
  <si>
    <t>b20645351</t>
  </si>
  <si>
    <t>Dunn Street, west side, 3rd November 1967.</t>
  </si>
  <si>
    <t>b20645879</t>
  </si>
  <si>
    <t>Melbourne Street, south side, 22nd September 1967, left side of house is 231 yards west of Jerningham Street and frontage is 17.5 yards.</t>
  </si>
  <si>
    <t>b20646495</t>
  </si>
  <si>
    <t>Melbourne Street, north side, 17th November 1967, right side of building is 16 yards west of West Pallant Street and frontage is 24 yards.</t>
  </si>
  <si>
    <t>Acre 1005 Collection</t>
  </si>
  <si>
    <t>b2051203x</t>
  </si>
  <si>
    <t>Watch From the "Maria"</t>
  </si>
  <si>
    <t>Photograph  14.3 cm x 9.6 cm</t>
  </si>
  <si>
    <t>Calendar watch, believed to have come from the wreck of the "Maria"   it was made in London by James Jones in 1807.</t>
  </si>
  <si>
    <t>Maria (Ship);Clocks and watches;Salvage</t>
  </si>
  <si>
    <t>b20512041</t>
  </si>
  <si>
    <t>Calendar watch, believed to have come from the wreck of the "Maria", made in London by James Jones in 1807.</t>
  </si>
  <si>
    <t>b20512053</t>
  </si>
  <si>
    <t>Calendar watch, believed to have come from the wreck of the "Maria" made in London by James Jones in 1807.</t>
  </si>
  <si>
    <t>b20512065</t>
  </si>
  <si>
    <t>Watch from the "Maria"</t>
  </si>
  <si>
    <t>b20548618</t>
  </si>
  <si>
    <t>North Terrace, south side, Mothers and Babies' Health Association, right side of building is 43 yards east of Gawler Place and frontage is 12 yards.</t>
  </si>
  <si>
    <t>b20555581</t>
  </si>
  <si>
    <t>King William Street, east side, National Bank of Australia, King William Street frontage is 29 yards and Appollo Place frontage is 32.5 yards.</t>
  </si>
  <si>
    <t>b20555593</t>
  </si>
  <si>
    <t>King William Street, east side, National Bank.</t>
  </si>
  <si>
    <t>b20559951</t>
  </si>
  <si>
    <t>Hindley Street, south side, 18 November 1968.</t>
  </si>
  <si>
    <t>b20559963</t>
  </si>
  <si>
    <t>b20569877</t>
  </si>
  <si>
    <t>Grenfell Street, North Side</t>
  </si>
  <si>
    <t>b2057003x</t>
  </si>
  <si>
    <t>Gawler Place, east side, 27th September 1968. Right side of building is 47 1/2 yards north of Grenfell Street  frontage: 4 yards.</t>
  </si>
  <si>
    <t>b2057017x</t>
  </si>
  <si>
    <t>Gawler Place, East Side</t>
  </si>
  <si>
    <t>Gawler Place, east side.</t>
  </si>
  <si>
    <t>b20571884</t>
  </si>
  <si>
    <t>King William Street, west side, King William Street frontage is 26 yards and Currie Street frontage is 30 yards.</t>
  </si>
  <si>
    <t>b20592772</t>
  </si>
  <si>
    <t>North Terrace, south side. Left side of building is 16 yds. west of Bank Street. North Terrace frontage = 4 yds. 6 September 1968.</t>
  </si>
  <si>
    <t>b20592784</t>
  </si>
  <si>
    <t>North Terrace, south side. Left side of building is 16 yds. west of Bank St. North Terrace frontage = 4 yds. 6 September 1968.</t>
  </si>
  <si>
    <t>b20594719</t>
  </si>
  <si>
    <t>Balfour's bakery, Franklin Street, Adelaide</t>
  </si>
  <si>
    <t>Premises of Balfour's bakery and factory at 191-199 Morphett Street, west side, on the corner of Franklin Street, north side, and the corner of Weymouth Court, south side. 11 April 1968.</t>
  </si>
  <si>
    <t>Balfour Wauchope Pty. Ltd;Bakeries -- South Australia -- Adelaide</t>
  </si>
  <si>
    <t>Acre 245 Collection</t>
  </si>
  <si>
    <t>b20594720</t>
  </si>
  <si>
    <t>Balfour's bakery, Franklin Street, Adelaide St., West</t>
  </si>
  <si>
    <t>b20599663</t>
  </si>
  <si>
    <t>Wakefield Street, north side, 26 July 1968, right side of house is 82 1/3 yards west of Daly Street and Wakefield Street frontage is 15 1/3 yards.</t>
  </si>
  <si>
    <t>b20604361</t>
  </si>
  <si>
    <t>Hubbard's, Grote Street</t>
  </si>
  <si>
    <t>Hubbard's - The Discount King, corner Grote Street, south side, and Moonta Street, 19 July 1968. Grote Street frontage is 38 2/3 yards and Moonta Street frontage is 42.5 yards.</t>
  </si>
  <si>
    <t>b20604373</t>
  </si>
  <si>
    <t>Hubbards, Grote Street</t>
  </si>
  <si>
    <t>Hubbards - The Discount King, corner Grote Street, south side, and Moonta Street, 19 July 1968. Grote Street frontage, 38 2/3 yards and Moonta Street frontage is 42.5 yards. Hubbards was owned and operated by Jack Hubbard.</t>
  </si>
  <si>
    <t>b20607337</t>
  </si>
  <si>
    <t>Photographs  21 cm x 16 cm</t>
  </si>
  <si>
    <t>Wakefield Street, south side, 26 April 1968, Wakefield Street frontage is 60 2/3 yards.</t>
  </si>
  <si>
    <t>Acre 346 Collection</t>
  </si>
  <si>
    <t>b20607349</t>
  </si>
  <si>
    <t>b20607350</t>
  </si>
  <si>
    <t>b20607362</t>
  </si>
  <si>
    <t>Cypress Street</t>
  </si>
  <si>
    <t>Cypress Street, eastside, 26 April 1968, left side of building abuts Wakefield Street, Wakefield Street frontage is 60 2/3 yards and Cypress Street frontage is 60 2/3 yards.</t>
  </si>
  <si>
    <t>b20607374</t>
  </si>
  <si>
    <t>Cypress Street, east side, 26 April 1968, Wakefield Street frontage is 60 2/3 yards and Cypress Street frontage is 60 2/3 yards.</t>
  </si>
  <si>
    <t>b20607386</t>
  </si>
  <si>
    <t>b20608263</t>
  </si>
  <si>
    <t>Angas St.reet, north side, 18 November 1968. Left side of dwellings is 27 yards east of Cardwell Street. Frontage: 21 1/4 yards.</t>
  </si>
  <si>
    <t>b2060953x</t>
  </si>
  <si>
    <t>Victoria Square, west side, 19 July 1968.</t>
  </si>
  <si>
    <t>b20609541</t>
  </si>
  <si>
    <t>Victoria Square, West Side. "Moore's", 19 July 1968.</t>
  </si>
  <si>
    <t>b20609553</t>
  </si>
  <si>
    <t>b20609565</t>
  </si>
  <si>
    <t>b20609577</t>
  </si>
  <si>
    <t>b20609954</t>
  </si>
  <si>
    <t>Gouger Cafe, Gouger Street</t>
  </si>
  <si>
    <t>Gouger Cafe, Gouger Street, north side, 27 September 1968. A Chrysler Valiant Taxi is parked in front. Right side of building is 14 1/3 yards left of Moonta Street, frontage of building is 10 2/3 yards.</t>
  </si>
  <si>
    <t>b20610051</t>
  </si>
  <si>
    <t>Gouger Street, north side, Georges Restaurant, 27th September 1968, right side of building is 46 2/3 yards left of Moonta Street, Gouger Street frontage is 6 2/3 yards.</t>
  </si>
  <si>
    <t>b20610063</t>
  </si>
  <si>
    <t>Gouger Street, north side, 27th September 1968, right side of hotel is 29 yards left of Mootal Street and Gouger Street frontage is 17 2/3 yards.</t>
  </si>
  <si>
    <t>b20610075</t>
  </si>
  <si>
    <t>Gouger Street, north side, 27th September 1968, right side of hotel is 29 yards left of Moonta Street and Gouger Street frontage is 17 2/3 yards.</t>
  </si>
  <si>
    <t>b20610087</t>
  </si>
  <si>
    <t>b20610294</t>
  </si>
  <si>
    <t>Morphett Street, west side, left side of building is 41 yards north of Gouger Street, Morphett Street frontage is 11 1/3 yards, 6 September 1968.</t>
  </si>
  <si>
    <t>b20611390</t>
  </si>
  <si>
    <t>Gouger Street, south side, 9 August 1968, Gouger Street frontage is 10 yards and Selby Street frontage is 30 1/3 yards.</t>
  </si>
  <si>
    <t>b20615498</t>
  </si>
  <si>
    <t>Princess Street</t>
  </si>
  <si>
    <t>Princess Street, east side, 18th November 1968, showing two attached cottages. Right side is 46 2/3 yards north of Carrington Street. Princess Street frontage: 14 1/3 yards.</t>
  </si>
  <si>
    <t>b20615504</t>
  </si>
  <si>
    <t>Princess Street, east side, 18th November 1968, showing two attached cottages. Right side of buildings is 46 2/3 yards north of Carrington Street. Princess Street frontage: 14 1/3 yards.</t>
  </si>
  <si>
    <t>b20615516</t>
  </si>
  <si>
    <t>b2061665x</t>
  </si>
  <si>
    <t>Wright Street, north side, August 1968, left side of block is 11 1/3 yards east of Compton Street and frontage is 9 1/3 yards.</t>
  </si>
  <si>
    <t>b20617410</t>
  </si>
  <si>
    <t>Wright Street, south side, 6th September 1968, left side of house is 37 1/3 yards west of Chatham Street and Wright Street frontage of the house is 53 yards.</t>
  </si>
  <si>
    <t>Acre 471 Collection</t>
  </si>
  <si>
    <t>b20617422</t>
  </si>
  <si>
    <t>Wright Street, south side, 6th September 1968, left side of house is 37 1/3 yards west of Chatham Street and Wright Street frontage is 53 yards.</t>
  </si>
  <si>
    <t>b20617434</t>
  </si>
  <si>
    <t>b20617446</t>
  </si>
  <si>
    <t>b20619376</t>
  </si>
  <si>
    <t>Hutt Street, east side, corner of Carrington Street south side, showing the "General Havelock Hotel". Hutt Street frontage: 37 yards. Carrington Street frontage: 37 yards.</t>
  </si>
  <si>
    <t>b20619388</t>
  </si>
  <si>
    <t>Hutt Street, east side, corner of Carrington Street, south side, showing the "General Havelock Hotel". Hutt Street frontage: 37 yards. Carrington Street frontage: 37 yards.</t>
  </si>
  <si>
    <t>b20621565</t>
  </si>
  <si>
    <t>Hobson's Place, East Side, 30th August 1968, right side of building is 69 2/3 yards north of Sturt Street and Hobson's Place frontage is 14 1/3 yards.</t>
  </si>
  <si>
    <t>b20623343</t>
  </si>
  <si>
    <t>Halifax Street, south side, 18th November 1968, block 35-37 is now vacant, left side of block is 13 1/3 yards east of Symonds Place and frontage is 10 yards.</t>
  </si>
  <si>
    <t>b20623355</t>
  </si>
  <si>
    <t>Halifax Street, south side, 26th April 1968.</t>
  </si>
  <si>
    <t>b20624062</t>
  </si>
  <si>
    <t>Cairns Street</t>
  </si>
  <si>
    <t>Cairns Street, north side, 18th November 1968, frontage of the four dwellings is 30 yards.</t>
  </si>
  <si>
    <t>Acre 575 Collection</t>
  </si>
  <si>
    <t>b20624074</t>
  </si>
  <si>
    <t>Halifax Street, south side, 18th November 1968, frontage of block is 47 yards.</t>
  </si>
  <si>
    <t>b20624086</t>
  </si>
  <si>
    <t>b20625388</t>
  </si>
  <si>
    <t>Cairns Street, south side, 18th November 1968, frontage of four dwellings is 26 1/3 yards.</t>
  </si>
  <si>
    <t>b20626812</t>
  </si>
  <si>
    <t>Gilbert Street, north side, 2nd December 1968, Gilbert Street frontage is 9 yards and Hamley Street frontage is 26 2/3 yards.</t>
  </si>
  <si>
    <t>b2062816x</t>
  </si>
  <si>
    <t>Gilbert Street, south side, 18th November, 1968. Left side of building abuts Owen Street, west side. Gilbert Street frontage: 9 1/3 yards. Owen Street frontage: 11 yards.</t>
  </si>
  <si>
    <t>b20631352</t>
  </si>
  <si>
    <t>South Terrace, north side, 18th November 1968, left side of block is 46 1/3 yards west of Owen Street and frontage is 14 yards.</t>
  </si>
  <si>
    <t>Acre 688 Collection</t>
  </si>
  <si>
    <t>b20634110</t>
  </si>
  <si>
    <t>Kermode Street, north side, 16th December 1968, right side of building is 74.5 yards west of Sir Edwin Smith Avenue and frontage is 13 1/3 yards.</t>
  </si>
  <si>
    <t>Acre 718 Collection</t>
  </si>
  <si>
    <t>b20634122</t>
  </si>
  <si>
    <t>Kermode Street, north side, 16th December 1968, right side of building is 74 1/3 yards west of Sir Edwin Smith Avenue and frontage is 13 1/3 yards.</t>
  </si>
  <si>
    <t>b20635916</t>
  </si>
  <si>
    <t>Brougham Place, North Side, 1968, left side of site is 30 1/3 yards right of O'Connell Street and frontage is 35 1/3 yards.</t>
  </si>
  <si>
    <t>b20635928</t>
  </si>
  <si>
    <t>b2063593x</t>
  </si>
  <si>
    <t>b20635941</t>
  </si>
  <si>
    <t>b20635953</t>
  </si>
  <si>
    <t>b20635965</t>
  </si>
  <si>
    <t>b20635977</t>
  </si>
  <si>
    <t>b20635989</t>
  </si>
  <si>
    <t>b20635990</t>
  </si>
  <si>
    <t>b20636003</t>
  </si>
  <si>
    <t>b20636015</t>
  </si>
  <si>
    <t>b20636027</t>
  </si>
  <si>
    <t>Brougham Place, North Side, 1968, left side of site is 30 1/3 yards right of O'Connell Street and frontage is 35 2/3 yards.</t>
  </si>
  <si>
    <t>b20636039</t>
  </si>
  <si>
    <t>b20636040</t>
  </si>
  <si>
    <t>Brougham Place, North Side, 1968.</t>
  </si>
  <si>
    <t>b20636052</t>
  </si>
  <si>
    <t>b20636064</t>
  </si>
  <si>
    <t>b20636076</t>
  </si>
  <si>
    <t>b20636088</t>
  </si>
  <si>
    <t>b2063609x</t>
  </si>
  <si>
    <t>b20636106</t>
  </si>
  <si>
    <t>b20636143</t>
  </si>
  <si>
    <t>b20636155</t>
  </si>
  <si>
    <t>b20636167</t>
  </si>
  <si>
    <t>b20636179</t>
  </si>
  <si>
    <t>b20636180</t>
  </si>
  <si>
    <t>b20636192</t>
  </si>
  <si>
    <t>b20636209</t>
  </si>
  <si>
    <t>b20636210</t>
  </si>
  <si>
    <t>b20636222</t>
  </si>
  <si>
    <t>b20636234</t>
  </si>
  <si>
    <t>b20638425</t>
  </si>
  <si>
    <t>Ward Street, north side, 20th December 1968, right side of building is 36 1/3 yards west of Boulton Street and Ward Street frontage is 6 yards.</t>
  </si>
  <si>
    <t>Acre 775 Collection</t>
  </si>
  <si>
    <t>b20639326</t>
  </si>
  <si>
    <t>Wellington Square, South Side, 19th July 1968, left side of block is 23 1/3 yards west of Jeffcott Street and frontage is 23 2/3 yards.</t>
  </si>
  <si>
    <t>Acre 793 Collection</t>
  </si>
  <si>
    <t>b20640201</t>
  </si>
  <si>
    <t>Photograph  21.7 cm x 17.3 cm</t>
  </si>
  <si>
    <t>Archer Street, north side, 18th November 1968, frontage of each house is 7.5 yards.</t>
  </si>
  <si>
    <t>Acre 823 Collection</t>
  </si>
  <si>
    <t>b20640213</t>
  </si>
  <si>
    <t>Archer Street, north side 18th November 1968, frontage of each house is 7.5 yards.</t>
  </si>
  <si>
    <t>b20642568</t>
  </si>
  <si>
    <t>Photograph  17 cm x 22 cm</t>
  </si>
  <si>
    <t>Jeffcott Street, west side, 12th November 1968, left side of house is 52 2/3 yards north of Buxton Street and frontage is 17 2/3 yards.</t>
  </si>
  <si>
    <t>Acre 900 Collection</t>
  </si>
  <si>
    <t>b2064419x</t>
  </si>
  <si>
    <t>Barton Terrace, south side, December 1968, right side of the block is 161 1/3 yards east of Mills Terrace and frontage is 33 yards.</t>
  </si>
  <si>
    <t>Acre 954 Collection</t>
  </si>
  <si>
    <t>b20644206</t>
  </si>
  <si>
    <t>Barton Terrace, South Side</t>
  </si>
  <si>
    <t>Barton Terrace, south side, December 1968. Right side of block is 161 1/3 yards east of Mills Terrace. Frontage: 33 yards.</t>
  </si>
  <si>
    <t>b20657651</t>
  </si>
  <si>
    <t>Burns Statue</t>
  </si>
  <si>
    <t>Burns Statue.</t>
  </si>
  <si>
    <t>Adelaide Views Collection;Burns Statue Collection</t>
  </si>
  <si>
    <t>b20657663</t>
  </si>
  <si>
    <t>b20244472</t>
  </si>
  <si>
    <t>State Library of South Australia photographer</t>
  </si>
  <si>
    <t>photograph and negative  21 cm x 16 cm</t>
  </si>
  <si>
    <t>Entrance gates to "Birksgate" from Cross Road.</t>
  </si>
  <si>
    <t>Birksgate (House : Glen Osmond, S.A.);Gates -- South Australia -- Glen Osmond</t>
  </si>
  <si>
    <t>Birksgate Collection</t>
  </si>
  <si>
    <t>b20244484</t>
  </si>
  <si>
    <t>Photograph and negative  21 cm x 16 cm</t>
  </si>
  <si>
    <t>Lodge to the left of driveway at the entrance to "Birksgate".</t>
  </si>
  <si>
    <t>Birksgate (House : Glen Osmond, S.A.);Driveways -- South Australia -- Glen Osmond</t>
  </si>
  <si>
    <t>b20244496</t>
  </si>
  <si>
    <t>Drive way views along the road to "Birksgate".</t>
  </si>
  <si>
    <t>b20244502</t>
  </si>
  <si>
    <t>Gate and turnstile leading into the house area at "Birksgate".</t>
  </si>
  <si>
    <t>b20244514</t>
  </si>
  <si>
    <t>Drive way leading to "Birksgate".</t>
  </si>
  <si>
    <t>b20244526</t>
  </si>
  <si>
    <t>Inside the grounds at "Birksgate".</t>
  </si>
  <si>
    <t>Birksgate (House : Glen Osmond, S.A.);Gardens -- South Australia -- Glen Osmond</t>
  </si>
  <si>
    <t>b20244538</t>
  </si>
  <si>
    <t>Coach House at "Birksgate", now used for a garage.</t>
  </si>
  <si>
    <t>Birksgate (House : Glen Osmond, S.A.);Garages -- South Australia -- Glen Osmond</t>
  </si>
  <si>
    <t>b2024454x</t>
  </si>
  <si>
    <t>Former Coach House at "Birksgate", now a garage.</t>
  </si>
  <si>
    <t>b20244551</t>
  </si>
  <si>
    <t>Coach House at "Birksgate", now used as a garage, note gas lamp on right hand wall.</t>
  </si>
  <si>
    <t>b20244563</t>
  </si>
  <si>
    <t>Gas lamp in Coach House at "Birksgate", its mate was destroyed by a large truck.</t>
  </si>
  <si>
    <t>Birksgate (House : Glen Osmond, S.A.);Lamps -- South Australia -- Glen Osmond</t>
  </si>
  <si>
    <t>b20244575</t>
  </si>
  <si>
    <t>"Birksgate" looking towards old Coach House, main building on right hand side.</t>
  </si>
  <si>
    <t>Birksgate (House : Glen Osmond, S.A.);Architecture, Domestic -- South Australia -- Glen Osmond</t>
  </si>
  <si>
    <t>b20244587</t>
  </si>
  <si>
    <t>"Birksgate" rear of house seen from Old Coach House.</t>
  </si>
  <si>
    <t>b20244599</t>
  </si>
  <si>
    <t>"Birksgate", side of house, showing rear corner and door to Bar Room.</t>
  </si>
  <si>
    <t>b20244605</t>
  </si>
  <si>
    <t>"Birksgate", general view of side of house from garden near Conservatory.</t>
  </si>
  <si>
    <t>b20244617</t>
  </si>
  <si>
    <t>"Birksgate", side of house as seen from driveway. Four ground floor windows belong to main kitchen.</t>
  </si>
  <si>
    <t>b20244629</t>
  </si>
  <si>
    <t>"Birksgate" driveway by side of house.</t>
  </si>
  <si>
    <t>Birksgate (House : Glen Osmond, S.A.);Architecture, Domestic -- South Australia -- Glen Osmond;Driveways -- South Australia -- Glen Osmond</t>
  </si>
  <si>
    <t>b20244630</t>
  </si>
  <si>
    <t>"Birksgate", side of house seen from garden showing main entrance. Light over steps was once a gas lamp.</t>
  </si>
  <si>
    <t>b20244642</t>
  </si>
  <si>
    <t>"Birksgate", front of house from the garden.</t>
  </si>
  <si>
    <t>Birksgate (House : Glen Osmond, S.A.);Architecture, Domestic -- South Australia -- Glen Osmond;Gardens -- South Australia -- Glen Osmond</t>
  </si>
  <si>
    <t>b20244654</t>
  </si>
  <si>
    <t>"Birksgate" and gardens.</t>
  </si>
  <si>
    <t>Birksgate (House : Glen Osmond, S.A.);Gardens -- South Australia -- Glen Osmond;Architecture, Domestic -- South Australia -- Glen Osmond</t>
  </si>
  <si>
    <t>b20244666</t>
  </si>
  <si>
    <t>Photograph and negative  19.9 cm x 15.9 cm</t>
  </si>
  <si>
    <t>"Birksgate" from driveway.</t>
  </si>
  <si>
    <t>Birksgate (House : Glen Osmond, S.A.);Architecture, Domestic -- South Australia -- Burnside;Wrought-iron -- South Australia -- Burnside</t>
  </si>
  <si>
    <t>b20244678</t>
  </si>
  <si>
    <t>"Birksgate" verandah made of cast iron and glassed in.</t>
  </si>
  <si>
    <t>Birksgate (House : Glen Osmond, S.A.);Architecture, Domestic -- South Australia -- Burnside;Wrought-iron -- South Australia -- Burnside;Verandas -- South Australia -- Burnside</t>
  </si>
  <si>
    <t>b2024468x</t>
  </si>
  <si>
    <t>"Birksgate", lower windows with shutters are in the main drawing room.</t>
  </si>
  <si>
    <t>b20244691</t>
  </si>
  <si>
    <t>"Birksgate" - main drawing room.</t>
  </si>
  <si>
    <t>Birksgate (House : Glen Osmond, S.A.);Architecture, Domestic -- South Australia -- Glen Osmond;Wrought-iron -- South Australia -- Glen Osmond</t>
  </si>
  <si>
    <t>b20244708</t>
  </si>
  <si>
    <t>"Birksgate" - shuttered upstairs windows are bedrooms.</t>
  </si>
  <si>
    <t>b2024471x</t>
  </si>
  <si>
    <t>"Birksgate" - rear entrance of the house at foot of stairs.</t>
  </si>
  <si>
    <t>b20244721</t>
  </si>
  <si>
    <t>"Birksgate" - rear view of house.</t>
  </si>
  <si>
    <t>b20244733</t>
  </si>
  <si>
    <t>"Birksgate" side view from the vegetable garden.</t>
  </si>
  <si>
    <t>b20244745</t>
  </si>
  <si>
    <t xml:space="preserve">Photograph and negative </t>
  </si>
  <si>
    <t>"Birksgate" fountain in the front garden.</t>
  </si>
  <si>
    <t>Birksgate (House : Glen Osmond, S.A.);Fountains -- South Australia -- Glen Osmond</t>
  </si>
  <si>
    <t>b20244757</t>
  </si>
  <si>
    <t>"Birksgate" - fountain in the front garden.</t>
  </si>
  <si>
    <t>b20244769</t>
  </si>
  <si>
    <t>"Birksgate" - fountain in front of the house.</t>
  </si>
  <si>
    <t>b20244770</t>
  </si>
  <si>
    <t>"Birksgate" - garden view from the verandah of the house.</t>
  </si>
  <si>
    <t>b20244782</t>
  </si>
  <si>
    <t>"Birksgate" - sundial in the rose garden.</t>
  </si>
  <si>
    <t>b20244794</t>
  </si>
  <si>
    <t>"Birksgate" - garden view.</t>
  </si>
  <si>
    <t>b20244800</t>
  </si>
  <si>
    <t>b20244812</t>
  </si>
  <si>
    <t>b20244824</t>
  </si>
  <si>
    <t>b20244836</t>
  </si>
  <si>
    <t>b20244848</t>
  </si>
  <si>
    <t>"Birksgate" - garden view showing part of the Conservatory.</t>
  </si>
  <si>
    <t>Birksgate (House : Glen Osmond, S.A.);Conservatories -- South Australia -- Glen Osmond;Gardens -- South Australia -- Glen Osmond</t>
  </si>
  <si>
    <t>b2024485x</t>
  </si>
  <si>
    <t>"Birksgate", the Conservatory which is almost identical to the one in the Botanical Gardens.</t>
  </si>
  <si>
    <t>b20244861</t>
  </si>
  <si>
    <t>"Birksgate" - the Old Conservatory, behind and to the left is the new Conservatory.</t>
  </si>
  <si>
    <t>b20244873</t>
  </si>
  <si>
    <t>"Birksgate" - the Old Conservatory showing the cast iron structure and gutters.</t>
  </si>
  <si>
    <t>Birksgate (House : Glen Osmond, S.A.);Cast-iron -- South Australia -- Glen Osmond;Conservatories -- South Australia -- Glen Osmond;Gardens -- South Australia -- Glen Osmond</t>
  </si>
  <si>
    <t>b20244885</t>
  </si>
  <si>
    <t>"Birksgate" - Heating plant for the old Conservatory.</t>
  </si>
  <si>
    <t>Birksgate (House : Glen Osmond, S.A.);Conservatories -- South Australia -- Glen Osmond;Heating -- South Australia -- Glen Osmond;Gardens -- South Australia -- Glen Osmond</t>
  </si>
  <si>
    <t>b20244897</t>
  </si>
  <si>
    <t>Photograph and negative  21 cm 16 cm</t>
  </si>
  <si>
    <t>"Birksgate" - Cast Iron supports on the old Conservatory.</t>
  </si>
  <si>
    <t>Birksgate (House : Glen Osmond, S.A.);Conservatories -- South Australia -- Glen Osmond;Gardens -- South Australia -- Glen Osmond;Cast-iron -- South Australia -- Glen Osmond</t>
  </si>
  <si>
    <t>b20244903</t>
  </si>
  <si>
    <t>"Birksgate" - Interior of new Conservatory.</t>
  </si>
  <si>
    <t>b20244915</t>
  </si>
  <si>
    <t>"Birksgate" - Old reservoir which was built for private use, and fed by several springs. The overflow ran into a creek which supplied water for stock and gardens.</t>
  </si>
  <si>
    <t>Birksgate (House : Glen Osmond, S.A.).;Reservoirs -- South Australia -- Glen Osmond.;Water-supply -- South Australia -- Glen Osmond.</t>
  </si>
  <si>
    <t>b20244927</t>
  </si>
  <si>
    <t>"Birksgate" - Old reservoir showing slight slope of the bank.</t>
  </si>
  <si>
    <t>Birksgate (House : Glen Osmond, S.A.).;Water-supply -- South Australia -- Glen Osmond.</t>
  </si>
  <si>
    <t>b20244939</t>
  </si>
  <si>
    <t>"Birksgate" - Old reservoir showing stone terracing.</t>
  </si>
  <si>
    <t>b20244940</t>
  </si>
  <si>
    <t>"Birksgate" - Stone terracing on the side of the old Reservoir.</t>
  </si>
  <si>
    <t>b20244952</t>
  </si>
  <si>
    <t>"Birksgate" - Gas tank formerly used to store locally produced gas for lighting as town gas was not available.</t>
  </si>
  <si>
    <t>Birksgate (House : Glen Osmond, S.A.);Gas -- South Australia -- Glen Osmond</t>
  </si>
  <si>
    <t>b20244964</t>
  </si>
  <si>
    <t>"Birksgate" - ruins of old tower in the grounds.</t>
  </si>
  <si>
    <t>Birksgate (House : Glen Osmond, S.A.);Towers -- South Australia -- Glen Osmond</t>
  </si>
  <si>
    <t>b20244976</t>
  </si>
  <si>
    <t>"Birksgate" - Old tower in the grounds.</t>
  </si>
  <si>
    <t>b20244988</t>
  </si>
  <si>
    <t>"Birksgate" - Old tower, windows were formerly sash-type.</t>
  </si>
  <si>
    <t>b2024499x</t>
  </si>
  <si>
    <t>"Birksgate" - doorway to old tower showing the thickness of the walls.</t>
  </si>
  <si>
    <t>b20245002</t>
  </si>
  <si>
    <t>"Birksgate" - swimming pool seen through natural bush on route to house from tower.</t>
  </si>
  <si>
    <t>Birksgate (House : Glen Osmond, S.A.);Swimming pools -- South Australia -- Glen Osmond</t>
  </si>
  <si>
    <t>b20245014</t>
  </si>
  <si>
    <t>"Birksgate" - swimming pool which is filled from a bore, the stale water which holds 60,000 gallons is used to water the gardens.</t>
  </si>
  <si>
    <t>b20245026</t>
  </si>
  <si>
    <t>"Birksgate" - stairway inside main door, balustrades are cast-iron topped with polished dark wood.</t>
  </si>
  <si>
    <t>Birksgate (House : Glen Osmond, S.A.);Wrought-iron -- South Australia -- Glen Osmond;Interior architecture -- South Australia -- Glen Osmond;Interior decoration -- South Australia -- Glen Osmond;Staircases -- South Australia -- Glen Osmond</t>
  </si>
  <si>
    <t>b20245038</t>
  </si>
  <si>
    <t>"Birksgate" - Interior showing entrance hall and staircase looking up to the first floor.</t>
  </si>
  <si>
    <t>Birksgate (House : Glen Osmond, S.A.);Interior architecture -- South Australia -- Glen Osmond;Staircases -- South Australia -- Glen Osmond;Wrought-iron -- South Australia -- Glen Osmond</t>
  </si>
  <si>
    <t>b2024504x</t>
  </si>
  <si>
    <t>"Birksgate" - looking up to first floor from staircase landing.</t>
  </si>
  <si>
    <t>Birksgate (House : Glen Osmond, S.A.);Interior architecture -- South Australia -- Glen Osmond;Wrought-iron -- South Australia -- Glen Osmond</t>
  </si>
  <si>
    <t>b20245051</t>
  </si>
  <si>
    <t>"Birksgate" - reflection of ground floor in mirror on landing as viewed from first floor.</t>
  </si>
  <si>
    <t>Birksgate (House : Glen Osmond, S.A.);Interior architecture -- South Australia -- Glen Osmond;Interior decoration -- South Australia -- Glen Osmond</t>
  </si>
  <si>
    <t>b20245063</t>
  </si>
  <si>
    <t>"Birksgate" - view of mirror on staircase landing, showing Hans Heysen original painting above the mirror.</t>
  </si>
  <si>
    <t>Birksgate (House : Glen Osmond, S.A.);Painting -- South Australia -- Glen Osmond;Interior decoration -- South Australia -- Glen Osmond;Wrought-iron -- South Australia -- Glen Osmond</t>
  </si>
  <si>
    <t>b20245075</t>
  </si>
  <si>
    <t>"Birksgate" - chandelier in main entrance hall.</t>
  </si>
  <si>
    <t>Birksgate (House : Glen Osmond, S.A.);Plasterwork, Decorative -- South Australia -- Glen Osmond;Interior decoration -- South Australia -- Glen Osmond;Lighting -- South Australia -- Glen Osmond</t>
  </si>
  <si>
    <t>b20245087</t>
  </si>
  <si>
    <t>"Birksgate" - ceiling detail in main entrance hall.</t>
  </si>
  <si>
    <t>Birksgate (House : Glen Osmond, S.A.);Plasterwork, Decorative -- South Australia -- Glen Osmond;Interior decoration -- South Australia -- Glen Osmond</t>
  </si>
  <si>
    <t>b20245099</t>
  </si>
  <si>
    <t>"Birksgate" Hand-carved Chinese chair on landing next to staircase.</t>
  </si>
  <si>
    <t>Birksgate (House : Glen Osmond, S.A.);Furniture -- South Australia -- Glen Osmond;Interior decoration -- South Australia -- Glen Osmond</t>
  </si>
  <si>
    <t>b20245105</t>
  </si>
  <si>
    <t>"Birksgate" - Clock on the first landing.</t>
  </si>
  <si>
    <t>Birksgate (House : Glen Osmond, S.A.);Clocks and watches -- South Australia -- Glen Osmond;Interior decoration -- South Australia -- Glen Osmond</t>
  </si>
  <si>
    <t>b20245117</t>
  </si>
  <si>
    <t>"Birksgate" - corridor leading from staircase on upper floor, Hans Heysen original painting on the wall.</t>
  </si>
  <si>
    <t>Birksgate (House : Glen Osmond, S.A.);Painting, Australian -- South Australia -- Glen Osmond;Interior architecture -- South Australia -- Glen Osmond;Interior decoration -- South Australia -- Glen Osmond</t>
  </si>
  <si>
    <t>b20245129</t>
  </si>
  <si>
    <t>"Birksgate" - Main dining room showing illuminated painting of one of the Barr Smith family.</t>
  </si>
  <si>
    <t>Interior architecture -- South Australia -- Glen Osmond;Interior decoration -- South Australia -- Glen Osmond;Dining rooms -- South Australia -- Glen Osmond</t>
  </si>
  <si>
    <t>b20245130</t>
  </si>
  <si>
    <t>"Birksgate" - Main dining room, table seats about twleve along each side. There is a six foot clearance from end of table to concave wall on which hangs another family portrait.</t>
  </si>
  <si>
    <t>Birksgate (House : Glen Osmond, S.A.);Dining rooms -- South Australia -- Glen Osmond;Furniture -- South Australia -- Glen Osmond;Interior architecture -- South Australia -- Glen Osmond;Interior decoration -- South Australia -- Glen Osmond;Silver -- South Australia -- Glen Osmond</t>
  </si>
  <si>
    <t>b20245142</t>
  </si>
  <si>
    <t>"Birksgate" - Candelabra on dining table.</t>
  </si>
  <si>
    <t>Birksgate (House : Glen Osmond, S.A.);Silver -- South Australia -- Glen Osmond;Lighting -- South Australia -- Glen Osmond;Interior decoration -- South Australia -- Glen Osmond</t>
  </si>
  <si>
    <t>b20245154</t>
  </si>
  <si>
    <t>"Birksgate" - silverware on the sideboard in main dining room.</t>
  </si>
  <si>
    <t>Birksgate (House : Glen Osmond, S.A.);Dining rooms -- South Australia -- Glen Osmond;Silver -- South Australia -- Glen Osmond;Interior decoration -- South Australia -- Glen Osmond</t>
  </si>
  <si>
    <t>b20245166</t>
  </si>
  <si>
    <t>"Birksgate" - silverware in the main dining room.</t>
  </si>
  <si>
    <t>Birksgate (House : Glen Osmond, S.A.);Dining rooms -- South Australia -- Glen Osmond;Interior decoration -- South Australia -- Glen Osmond</t>
  </si>
  <si>
    <t>b20245178</t>
  </si>
  <si>
    <t>"Birksgate" silverware on the buffet in the main dining room.</t>
  </si>
  <si>
    <t>b2024518x</t>
  </si>
  <si>
    <t>"Birksgate" - silverware on the traymobile in the main dining room.</t>
  </si>
  <si>
    <t>b20245191</t>
  </si>
  <si>
    <t>"Birksgate" - fireplace in the main study.</t>
  </si>
  <si>
    <t>Birksgate (House : Glen Osmond, S.A.);Interior architecture -- South Australia -- Glen Osmond;Interior decoration -- South Australia -- Glen Osmond;Fireplaces -- South Australia -- Glen Osmond</t>
  </si>
  <si>
    <t>b20245208</t>
  </si>
  <si>
    <t>"Birksgate" - main study area.</t>
  </si>
  <si>
    <t>b2024521x</t>
  </si>
  <si>
    <t>"Birksgate" - main study. Prints above bureau are of early Adelaide scenes.</t>
  </si>
  <si>
    <t>b20245221</t>
  </si>
  <si>
    <t>"Birksgate" - library shelves in the main study.</t>
  </si>
  <si>
    <t>b20245233</t>
  </si>
  <si>
    <t>"Birksgate" - library shelves in main study.</t>
  </si>
  <si>
    <t>b20245245</t>
  </si>
  <si>
    <t>"Birksgate" - fireplace in a bedroom.</t>
  </si>
  <si>
    <t>Birksgate (House : Glen Osmond, S.A.);Interior decoration -- South Australia -- Glen Osmond;Fireplaces -- South Australia -- Glen Osmond</t>
  </si>
  <si>
    <t>b20245257</t>
  </si>
  <si>
    <t>Interior decoration -- South Australia -- Glen Osmond;Fireplaces -- South Australia -- Glen Osmond;Bedrooms -- South Australia -- Glen Osmond</t>
  </si>
  <si>
    <t>b20245269</t>
  </si>
  <si>
    <t>"Birksgate" - window in a bedroom.</t>
  </si>
  <si>
    <t>Birksgate (House : Glen Osmond, S.A.);Bedrooms -- South Australia -- Glen Osmond;Interior architecture -- South Australia -- Glen Osmond</t>
  </si>
  <si>
    <t>b20245270</t>
  </si>
  <si>
    <t>"Birksgate" - dressing table in a bedroom.</t>
  </si>
  <si>
    <t>b20245282</t>
  </si>
  <si>
    <t>"Birksgate" - Wardrobe in a bedroom.</t>
  </si>
  <si>
    <t>Birksgate (House : Glen Osmond, S.A.);Bedrooms -- South Australia -- Glen Osmond;Furniture -- South Australia -- Glen Osmond;Interior decoration -- South Australia -- Glen Osmond</t>
  </si>
  <si>
    <t>b20245294</t>
  </si>
  <si>
    <t>"Birksgate" - twin beds in a bedroom.</t>
  </si>
  <si>
    <t>b20245300</t>
  </si>
  <si>
    <t>b20245312</t>
  </si>
  <si>
    <t>b20245324</t>
  </si>
  <si>
    <t>"Birksgate" - fireplace in main drawing room, original Hans Heysen painting on the wall.</t>
  </si>
  <si>
    <t>Birksgate (House : Glen Osmond, S.A.);Fireplaces -- South Australia -- Glen Osmond;Interior decoration -- South Australia -- Glen Osmond;Painting, Australian -- South Australia -- Glen Osmond</t>
  </si>
  <si>
    <t>b20245336</t>
  </si>
  <si>
    <t>"Birksgate" - polished pedestal table in main drawing room.</t>
  </si>
  <si>
    <t>b20245348</t>
  </si>
  <si>
    <t>"Birksgate" - old wood stove in kitchen.</t>
  </si>
  <si>
    <t>Birksgate (House : Glen Osmond, S.A.);Interior decoration -- South Australia -- Glen Osmond;Stoves, Wood -- South Australia -- Glen Osmond;Kitchens -- South Australia -- Glen Osmond</t>
  </si>
  <si>
    <t>b2024535x</t>
  </si>
  <si>
    <t>"Birksgate" - copper cooking utensils used on wood stove in kitchen.</t>
  </si>
  <si>
    <t>Birksgate (House : Glen Osmond, S.A.);Household appliances -- South Australia -- Glen Osmond;Interior decoration -- South Australia -- Glen Osmond;Kitchens -- South Australia -- Glen Osmond</t>
  </si>
  <si>
    <t>b20245361</t>
  </si>
  <si>
    <t>"Birksgate" - oil-fired stove in kitchen.</t>
  </si>
  <si>
    <t>Birksgate (House : Glen Osmond, S.A.);Interior decoration -- South Australia -- Glen Osmond;Kitchens -- South Australia -- Glen Osmond</t>
  </si>
  <si>
    <t>b20245373</t>
  </si>
  <si>
    <t>"Birksgate" - fireplace in the bar-room.</t>
  </si>
  <si>
    <t>b20245385</t>
  </si>
  <si>
    <t>"Birksgate" - main corner of the bar-room showing parquetry flooring.</t>
  </si>
  <si>
    <t>Birksgate (House : Glen Osmond, S.A.);Interior decoration -- South Australia -- Glen Osmond</t>
  </si>
  <si>
    <t>b20245397</t>
  </si>
  <si>
    <t>"Birksgate" - old and new refrigerators in kitchen.</t>
  </si>
  <si>
    <t>b20245403</t>
  </si>
  <si>
    <t>"Birksgate" - the bar in the bar-room.</t>
  </si>
  <si>
    <t>b2034935x</t>
  </si>
  <si>
    <t>Police Cells at Palmer</t>
  </si>
  <si>
    <t>Police Cells at Palmer.</t>
  </si>
  <si>
    <t>Jails -- South Australia -- Palmer</t>
  </si>
  <si>
    <t>Palmer Collection</t>
  </si>
  <si>
    <t>b20443997</t>
  </si>
  <si>
    <t>Walker's Arms Hotel</t>
  </si>
  <si>
    <t>Walker's Arms Hotel, Walkerville, 5th December 1969, on the corner of Fuller Street and the Main North East Road.</t>
  </si>
  <si>
    <t>Walker's Arms Hotel (Walkerville, S.A.);Hotels -- South Australia -- Walkerville</t>
  </si>
  <si>
    <t>b2044400x</t>
  </si>
  <si>
    <t>b20546130</t>
  </si>
  <si>
    <t>News Ltd building, North Terrace</t>
  </si>
  <si>
    <t>News Ltd building, 112-114 North Terrace, corner of Victoria St. 14 February 1969. Victoria St. frontage is 68 yards. North Tce., frontage is 312/3 yards.</t>
  </si>
  <si>
    <t>b20546142</t>
  </si>
  <si>
    <t>News Ltd building corner North Terrace and Victoria Street, 14 February 1969. North Tce. frontage is 312/3 yards.</t>
  </si>
  <si>
    <t>b20546154</t>
  </si>
  <si>
    <t>News Ltd building, South West corner North Terrace and Victoria Street, 14 February 1969. Victoria Street frontage is 68 yards. North Tce. frontage is 31 2/3 yards.</t>
  </si>
  <si>
    <t>b20546166</t>
  </si>
  <si>
    <t>"New Building", North Terrace</t>
  </si>
  <si>
    <t>"News Building" North Terrace, south side abuts Victoria St., frontage is 68 yards. North Tce., frontage is 312/3 yards. 14 February 1969.</t>
  </si>
  <si>
    <t>b20546178</t>
  </si>
  <si>
    <t>News Ltd building,113-114 North Terrace</t>
  </si>
  <si>
    <t>News Ltd building, 113-114 North Terrace. 26 September 1969. Left side of building abuts Victoria St., frontage is 291/3 yards.</t>
  </si>
  <si>
    <t>b20550868</t>
  </si>
  <si>
    <t>b2055087x</t>
  </si>
  <si>
    <t>Rundle Street, North Side, left side of building is 45 2/3 yards east Vaughan Place and frontage is 5 1/3 yards.</t>
  </si>
  <si>
    <t>b20551575</t>
  </si>
  <si>
    <t>Gerard and Goodman, Rundle Street</t>
  </si>
  <si>
    <t>Gerard and Goodman Pty Ltd., Rundle Street, North Side, 17 October 1969, frontage is 12 2/3 yards.</t>
  </si>
  <si>
    <t>b20551587</t>
  </si>
  <si>
    <t>Rundle Street, North Side, frontage of building is 5 1/3 yards.</t>
  </si>
  <si>
    <t>b20558892</t>
  </si>
  <si>
    <t>Capri Pizza Bar, Hindley Street</t>
  </si>
  <si>
    <t>Capri Pizza Bar, Hindley Street, north side, 18 April 1969. Frontage is 28 2/3 yards and Gray Street frontage is 34 2/3 yards.</t>
  </si>
  <si>
    <t>b20558909</t>
  </si>
  <si>
    <t>Hindley Street, north side, 18 April 1969, Hindley Street frontage is 28 2/3 yards and Gray Street frontage is 34 2/3 yards.</t>
  </si>
  <si>
    <t>b20558910</t>
  </si>
  <si>
    <t>Cottage, Gray Street</t>
  </si>
  <si>
    <t>Photograph negative  21 cm x 16 cm</t>
  </si>
  <si>
    <t>Cottage, Gray Street, West Side, 14 November 1969. Frontage of cottage is 9 1/3 yards.</t>
  </si>
  <si>
    <t>b20558922</t>
  </si>
  <si>
    <t>Cottage, Gray Street, West Side, 14 November 1969. Frontage is 9 1/3 yards.</t>
  </si>
  <si>
    <t>b20558934</t>
  </si>
  <si>
    <t>Cottages, Gray Street</t>
  </si>
  <si>
    <t>Cottages, Gray Street, West Side, 14 November 1969.</t>
  </si>
  <si>
    <t>b20559616</t>
  </si>
  <si>
    <t>West End Parking, Hindley Street</t>
  </si>
  <si>
    <t>West End Parking, Hindley Street, south side, 28th November 1969. Frontage of building is 69 yards.</t>
  </si>
  <si>
    <t>Acre 68 Collection;Acre 69 Collection</t>
  </si>
  <si>
    <t>b20559628</t>
  </si>
  <si>
    <t>Clarendon Street, east side, 28th November 1969, frontage is 65 2/3 yards.</t>
  </si>
  <si>
    <t>b2055963x</t>
  </si>
  <si>
    <t>Phillip Street</t>
  </si>
  <si>
    <t>Phillip Street, north side, 19 December 1969, Phillip Street frontage is 69 yards.</t>
  </si>
  <si>
    <t>b20560205</t>
  </si>
  <si>
    <t>Hindley Street, South Side, 24th October 1969, frontage of building is 21 yards.</t>
  </si>
  <si>
    <t>b20566839</t>
  </si>
  <si>
    <t>Rundle Street, South Side, 14th November 1969, left side of building is 41 yards west of Pulteney Street and frontage is 5 yards.</t>
  </si>
  <si>
    <t>Acre 86 Collection</t>
  </si>
  <si>
    <t>b20570715</t>
  </si>
  <si>
    <t>James Place, West Side - City Cross, 7 November 1969. Left side of building is 62-2/3 yards north of Grenfell Street, James Place frontage is 7-2/3 yards.</t>
  </si>
  <si>
    <t>b20573297</t>
  </si>
  <si>
    <t>Currie Street, north side, 16 May 1969, Currie Street frontage is 12 2/3 yards and Gray Street frontage is 24 2/3 yards. SHows a deli with advertisements for Halls drinks and AMSCOL, along with newspaper banners. The back of an EH Holden can also be seen.</t>
  </si>
  <si>
    <t>Acre 122 Collection</t>
  </si>
  <si>
    <t>b20577084</t>
  </si>
  <si>
    <t>Gawler Place, East Side, 28 November 1969, right side of building is 70 1/3 yards north of Pirie Street and frontage is 9 2/3 yards.</t>
  </si>
  <si>
    <t>b20577242</t>
  </si>
  <si>
    <t>Chesser Street, east side, 14 February 1969, right side of building is 75 yards north of Pirie Street and frontage is 16 1/3 yards.</t>
  </si>
  <si>
    <t>Acre 145 Collection</t>
  </si>
  <si>
    <t>b20577254</t>
  </si>
  <si>
    <t>b20582900</t>
  </si>
  <si>
    <t>Waymouth Street, North Side, 19 December 1969, right side of building is 13 1/3 yards west of Victoria Place and frontage is 22 yards.</t>
  </si>
  <si>
    <t>b20583527</t>
  </si>
  <si>
    <t>Waymouth Street, south side, Waymouth Street frontage is 5 1/3 yards and Crowther Street frontage is 26 2/3 yards.</t>
  </si>
  <si>
    <t>b20583539</t>
  </si>
  <si>
    <t>Waymouth Street, south side, left side of building is 26 2/3 yards south of Waymouth Street and Waymouth Street frontage is 5 1/3 yards and Crowther Street frontage is 26 2/3 yards.</t>
  </si>
  <si>
    <t>b2059544x</t>
  </si>
  <si>
    <t>St. Mary's Dominican Convent, Franklin Street</t>
  </si>
  <si>
    <t>Franklin Street, south side 19th September 1969. The science block of St. Mary's Dominican Convent which is situated on the corner of Franklin Street, south side, and Gray Street, west side.</t>
  </si>
  <si>
    <t>b20597794</t>
  </si>
  <si>
    <t>65 Flinders Street</t>
  </si>
  <si>
    <t>65 Flinders Street, south side, 10th October 1969. Left side of building is 27 1/3 yards west of Divett Street. Frontage to Flinders Street is 16 2/3 yards.</t>
  </si>
  <si>
    <t>b2059804x</t>
  </si>
  <si>
    <t>Pulteney Street, West Side</t>
  </si>
  <si>
    <t>217-219 Pulteney Street, west side, 24th October 1969. Right side of the Lenroc building is 38 1/3 yards south of Flinders Street, its frontage and car park to Pulteney Street is 34 1/3 yards.</t>
  </si>
  <si>
    <t>b20598051</t>
  </si>
  <si>
    <t>217-219 Pulteney Street, west side. 24th October 1969, showing the continuation of Lenroc's car park.</t>
  </si>
  <si>
    <t>b20598816</t>
  </si>
  <si>
    <t>Wakefield Street, north side, 19th September 1969. Right side of building abuts Daly Street, west side. Frontage: 17 1/3 yards.</t>
  </si>
  <si>
    <t>b20598828</t>
  </si>
  <si>
    <t>A.E. Barns, Wakefield Street</t>
  </si>
  <si>
    <t>A.E. Barns, grocery shop, corner of Wakefield Street, north side, and Daly Street. Right side of building abuts Daly Street, west side. Frontage: 17 1/3 yards. The shop window display includes Bex headache powders and Kent and Escort cigarettes. 19th September 1969.</t>
  </si>
  <si>
    <t>b20598919</t>
  </si>
  <si>
    <t>'Deli', Flinders Street</t>
  </si>
  <si>
    <t>'Deli' Flinders Street, north side, 28th March 1969. Right side of building is 58 1/3 yards west of Hutt Street, west side. Flinders Street frontage: 12 2/3 yards.</t>
  </si>
  <si>
    <t>b20600392</t>
  </si>
  <si>
    <t>Divett Place</t>
  </si>
  <si>
    <t>Divett Place, east side, 31st October 1969, right side of building is 24 2/3 yards north of Wakefield Street, frontage is 18 2/3 yards.</t>
  </si>
  <si>
    <t>Acre 299 Collection</t>
  </si>
  <si>
    <t>b20600409</t>
  </si>
  <si>
    <t>Divett Place, East Side, 31st October 1969, right side of building is 24 2/3 yards north of Wakefield Street, frontage is 18 2/3 yards.</t>
  </si>
  <si>
    <t>b20600410</t>
  </si>
  <si>
    <t>Roper Street</t>
  </si>
  <si>
    <t>Roper Street, West Side, 31st October 1969, left side of building is 46 2/3 yards north of Wakefield Street, frontage is 13 yards.</t>
  </si>
  <si>
    <t>b20600756</t>
  </si>
  <si>
    <t>Gawler Place, east side, 28th November 1969, right side of building is 59 yards north of Wakefield Street, Gawler Place frontage is 18 2/3 yards.</t>
  </si>
  <si>
    <t>b20601256</t>
  </si>
  <si>
    <t>Victoria Square, west side, 8 September 1969. Left side of building is 69 yards north of Grote Street, frontage: 6 2/3 yards.</t>
  </si>
  <si>
    <t>b20601268</t>
  </si>
  <si>
    <t>Victoria Square, west side, 5 December 1969. Left side of the building abuts Grote Street, north side, frontage is 22 yards.</t>
  </si>
  <si>
    <t>b2060127x</t>
  </si>
  <si>
    <t>Grote Street, North Side</t>
  </si>
  <si>
    <t>Grote Street, north side, 5 December 1969. Right side of the building abuts Victoria Square, west side. Grote Street frontage is 31 1/3 yards.</t>
  </si>
  <si>
    <t>b20605018</t>
  </si>
  <si>
    <t>Grote Street, south side, 28 November 1969, Grote Street frontage is 33 yards.</t>
  </si>
  <si>
    <t>b2060502x</t>
  </si>
  <si>
    <t>Victoria Square, West Side, 28 November 1969, Victoria Square frontage is 33 1/3 yards.</t>
  </si>
  <si>
    <t>b20608767</t>
  </si>
  <si>
    <t>Pulteney Street, east side, 19 December 1969, left side of building is 71 yards from Wakefield Street, frontage is 11 1/3 yards.</t>
  </si>
  <si>
    <t>b20608883</t>
  </si>
  <si>
    <t>Angas Street, north side, 16 May 1969, right side of building is 35 1/3 yards west of Bath Lane, Angas Street frontage is 105 yards.</t>
  </si>
  <si>
    <t>Acre 370 Collection</t>
  </si>
  <si>
    <t>b20608895</t>
  </si>
  <si>
    <t>Angas Street, north side, 16 May 1969, right side of building is 35 1/3 yards west of Bath Lane and Angas Street frontage is 105 yards.</t>
  </si>
  <si>
    <t>b20608901</t>
  </si>
  <si>
    <t>b20608913</t>
  </si>
  <si>
    <t>b20608925</t>
  </si>
  <si>
    <t>b20608937</t>
  </si>
  <si>
    <t>b20610300</t>
  </si>
  <si>
    <t>Morphett Street, west side, 14 March 1969, left side of building is 47 2/3 yards north of Gouger Street, Morphett Street frontage is 4 1/3 yards.</t>
  </si>
  <si>
    <t>b20610415</t>
  </si>
  <si>
    <t>Oakley Street</t>
  </si>
  <si>
    <t>Oakley Street, west side, 19 December 1969, left side of building is 59 1/3 yards north of Gouger Street, frontage is 9 1/3 yards.</t>
  </si>
  <si>
    <t>b20610531</t>
  </si>
  <si>
    <t>Gouger Street, north side, 11 April 1969, right side of block is 28 2/3 yards west of Oakley Street and Gouger Street frontage is 15 1/3 yards.</t>
  </si>
  <si>
    <t>b20614202</t>
  </si>
  <si>
    <t>267 Angas Street, South Side</t>
  </si>
  <si>
    <t>267 Angas Street, south side, 7th November 1969. Right side of block is 12 yards from Cardwell Street, east side. Angas Street frontage is 11 2/3 yards.</t>
  </si>
  <si>
    <t>Acre 423 Collection</t>
  </si>
  <si>
    <t>b20615413</t>
  </si>
  <si>
    <t>Pulteney Street, east side, 19th September 1969. Right side of building at parking meter is 56 yards north of Hurtle Square. Pulteney Street frontage: 14 2/3 yards.</t>
  </si>
  <si>
    <t>b2061813x</t>
  </si>
  <si>
    <t>King William Street, west side, 14th April 1969, right side of building is 19 1/3 yards south of Wright Street and King William frontage is 8 1/3 yards.</t>
  </si>
  <si>
    <t>b20619091</t>
  </si>
  <si>
    <t>215 Carrington Street</t>
  </si>
  <si>
    <t>215 Carrington Street, south side, 31st October 1969. Left side of building is 5 1/3 yards from Regent Street, west side. Carrington Street frontage is 8 2/3 yards.</t>
  </si>
  <si>
    <t>b20619224</t>
  </si>
  <si>
    <t>McLaren Street, north side, 19th September 1969. Left side of building is 54 yards east of Cardwell Street. McLaren Street frontage: 14 1/3 yards.</t>
  </si>
  <si>
    <t>b20619443</t>
  </si>
  <si>
    <t>Kate Street, West Side</t>
  </si>
  <si>
    <t>Kate Street, west side, 18th April 1969. Left side of block is 52 yards south of Carrington Street. Kate Street frontage: 6 yards.</t>
  </si>
  <si>
    <t>b2061990x</t>
  </si>
  <si>
    <t>Hutt Street, east side, 14th March 1969, right side of the building is 5 2/3 yards north of Halifax Street and Hutt Street frontage is 10 1/3 yards.</t>
  </si>
  <si>
    <t>b20620160</t>
  </si>
  <si>
    <t>Halifax Street, south side, 14th February 1969, left side of building is 30 2/3 yards east of Cardwell Street and Halifax Street frontage is 16 2/3 yards.</t>
  </si>
  <si>
    <t>b20620639</t>
  </si>
  <si>
    <t>Queen Street, west side, 14th February 1969, right side of building is 37 1/3 yards north of Halifax Street and Queen Street frontage is 43 2/3 yards.</t>
  </si>
  <si>
    <t>b20620640</t>
  </si>
  <si>
    <t>Queen Street, west side, 14th February 1969, right side of buildings is 37 1/3 yards north of Halifax Street and Queen Street frontage is 43 2/3 yards.</t>
  </si>
  <si>
    <t>b20620652</t>
  </si>
  <si>
    <t>b20620664</t>
  </si>
  <si>
    <t>b20620676</t>
  </si>
  <si>
    <t>Queen Street, west side, 3rd April 1969, left side of block is 37 1/3 yards north of Halifax Street and Queen Street frontage is 18 yards.</t>
  </si>
  <si>
    <t>b20621693</t>
  </si>
  <si>
    <t>Whitmore Square, east side, 24th October 1969, Whitmore Square frontage is 13 1/3 yards.</t>
  </si>
  <si>
    <t>b2062525x</t>
  </si>
  <si>
    <t>Hutt Street, East Side, 17th October 1969, right side of building is 58 yards north of Gilles Street and Hutt Street frontage is 12 1/3 yards.</t>
  </si>
  <si>
    <t>b20626678</t>
  </si>
  <si>
    <t>Morphett Street, East Side, 28th November 1969, right side of block is 20 yards north of Gilbert Street and Morphett Street frontage is 14 1/3 yards.</t>
  </si>
  <si>
    <t>b20626939</t>
  </si>
  <si>
    <t>Gilbert Street, north side, 17th October 1969, Gilbert Street frontage is 11 1/3 yards.</t>
  </si>
  <si>
    <t>b20629060</t>
  </si>
  <si>
    <t>Pulteney Street, East Side</t>
  </si>
  <si>
    <t>Pulteney Street, east side, 3 May 1969. Right side of building is 85 1/3 yards north of South Terrace. Pulteney Street frontage: 20 yards.</t>
  </si>
  <si>
    <t>b20629242</t>
  </si>
  <si>
    <t>Hutt Street, west side, 16 May 1969. Left side of building is 86 yards north of South Terrace. Hutt Street frontage: 11 1/3 yards.</t>
  </si>
  <si>
    <t>b20630487</t>
  </si>
  <si>
    <t>South Terrace, north side. Right side of block abuts Stewart Place, west side. Stewart Place frontage: 73 yards. South Terrace frontage: 8 1/3 yards.</t>
  </si>
  <si>
    <t>b20630840</t>
  </si>
  <si>
    <t>Pulteney Grammar School</t>
  </si>
  <si>
    <t>Pulteney Grammar School, 197 South Terrace, north side, 31st October 1969. Right side of building is 86 yards from Downer Place, west side.</t>
  </si>
  <si>
    <t>b20631364</t>
  </si>
  <si>
    <t>South Terrace, north side, 18th April 1969, left side of building is 36 yards east of Owen Street and South Terrace frontage is 10 1/3 yards.</t>
  </si>
  <si>
    <t>b20631479</t>
  </si>
  <si>
    <t>Travel International Pty Ltd, 107 South Terrace</t>
  </si>
  <si>
    <t>Premises of Travel International Pty Ltd at 107 South Terrace, 14th February 1969. Right side of building is 56 2/3 yards west of Owen Street and South Terrace frontage is 5 2/3 yards.</t>
  </si>
  <si>
    <t>Acre 690 Collection</t>
  </si>
  <si>
    <t>b20631686</t>
  </si>
  <si>
    <t>W.E.A. Centre, South Terrace</t>
  </si>
  <si>
    <t>Workers Educational Association of S.A. Centre, South Terrace, 28 February 1969. Left side of building is 16 yards west of Morphett Street and Morphett Street frontage is 30 2/3 yards.</t>
  </si>
  <si>
    <t>b20636325</t>
  </si>
  <si>
    <t>Brougham Place, north side, 21st November 1969, O'Connell Street frontage is 56 yards and Brougham Place frontage is 32 yards.</t>
  </si>
  <si>
    <t>b20636337</t>
  </si>
  <si>
    <t>b20639594</t>
  </si>
  <si>
    <t>Barnard Street, north side, 14th July 1969, right side of block is 107 yards west of Wellington Square and frontage is 9 2/3 yards.</t>
  </si>
  <si>
    <t>b20641679</t>
  </si>
  <si>
    <t>Tynte Street, north side, 28th March 1969, Tynte Street frontage is 10 1/3 yards and Lohrmann Street frontage is 32 1/3 yards.</t>
  </si>
  <si>
    <t>b20642192</t>
  </si>
  <si>
    <t>Gover Street, south side, 28th March 1969, left side of house is 20 2/3 yards west of Mansfield Street and frontage is 15 2/3 yards.</t>
  </si>
  <si>
    <t>Acre 880 Collection</t>
  </si>
  <si>
    <t>b20643536</t>
  </si>
  <si>
    <t>Childers Street, North Side, 14th November 1969, right side of the block is 88 1/3 yards west of Jeffcott Street and frontage is 30 1/3 yards.</t>
  </si>
  <si>
    <t>Acre 937 Collection</t>
  </si>
  <si>
    <t>b20644954</t>
  </si>
  <si>
    <t>MacKinnon Parade, North Side, 14th July 1969.</t>
  </si>
  <si>
    <t>b20644966</t>
  </si>
  <si>
    <t>b20644978</t>
  </si>
  <si>
    <t>b2064498x</t>
  </si>
  <si>
    <t>b20644991</t>
  </si>
  <si>
    <t>b20645119</t>
  </si>
  <si>
    <t>Melbourne Street, south side, 14th July 1969.</t>
  </si>
  <si>
    <t>b20645120</t>
  </si>
  <si>
    <t>b20645132</t>
  </si>
  <si>
    <t>Melbourne Street, south side, 14th July 1969, frontage is 35 1/3 yards.</t>
  </si>
  <si>
    <t>b20646082</t>
  </si>
  <si>
    <t>Brougham Place, east side, 28th november 1969, right side of block is 40 yards north of Melbourne Street and frontage is 65 2/3 yards.</t>
  </si>
  <si>
    <t>Acre 995 Collection</t>
  </si>
  <si>
    <t>b20657973</t>
  </si>
  <si>
    <t>City Baths</t>
  </si>
  <si>
    <t>City Baths, King William Road, 12th December 1969.</t>
  </si>
  <si>
    <t>Adelaide Views Collection;City Baths Collection</t>
  </si>
  <si>
    <t>b20657985</t>
  </si>
  <si>
    <t>City Baths, King William Road, corner of Railway Road, 12th December 1969.</t>
  </si>
  <si>
    <t>b20663237</t>
  </si>
  <si>
    <t>Adelaide Hospital</t>
  </si>
  <si>
    <t>Adelaide Hospital, Flinders Wing.</t>
  </si>
  <si>
    <t>Adelaide Views Collection;Adelaide Hospital Collection</t>
  </si>
  <si>
    <t>b20663250</t>
  </si>
  <si>
    <t>Adelaide Hospital, Flinders wing prior to demolition, July 1969.</t>
  </si>
  <si>
    <t>b20663262</t>
  </si>
  <si>
    <t>b20663274</t>
  </si>
  <si>
    <t>b20663286</t>
  </si>
  <si>
    <t>b20663298</t>
  </si>
  <si>
    <t>b20663304</t>
  </si>
  <si>
    <t>Adelaide Hospital, Flinders wing prior to demolition.</t>
  </si>
  <si>
    <t>b20663316</t>
  </si>
  <si>
    <t>b20663328</t>
  </si>
  <si>
    <t>b2066333x</t>
  </si>
  <si>
    <t>b20672809</t>
  </si>
  <si>
    <t>Official visit of Sir Paul Hasluck, Governor General of Australia.</t>
  </si>
  <si>
    <t>State Library of South Australia</t>
  </si>
  <si>
    <t>b20672810</t>
  </si>
  <si>
    <t>Official visit of Sir Paul Hasluck, Governor General of Australia to the Public Library.</t>
  </si>
  <si>
    <t>b20672822</t>
  </si>
  <si>
    <t>Official visit of Sir Paul Hasluck, Governor General of Australia to Public Library.</t>
  </si>
  <si>
    <t>b20672834</t>
  </si>
  <si>
    <t>b20672846</t>
  </si>
  <si>
    <t>b20672858</t>
  </si>
  <si>
    <t>b2067286x</t>
  </si>
  <si>
    <t>b20672871</t>
  </si>
  <si>
    <t>b20672883</t>
  </si>
  <si>
    <t>Official visit of Sir Paul Hasluck, Governor General of Australia looking at the Map collections.</t>
  </si>
  <si>
    <t>b20672895</t>
  </si>
  <si>
    <t>Official visit of Sir Paul Hasluck, Governor General of Australia looking at the Map Collection department.</t>
  </si>
  <si>
    <t>b20672901</t>
  </si>
  <si>
    <t>b20672913</t>
  </si>
  <si>
    <t>Official visit of Sir Paul Hasluck, Governor General of Australia inspecting rare books.</t>
  </si>
  <si>
    <t>b20672925</t>
  </si>
  <si>
    <t>b20672937</t>
  </si>
  <si>
    <t>Official visit of Sir Paul Hasluck, Governor General of Australia inspecting the rare book department.</t>
  </si>
  <si>
    <t>b20672949</t>
  </si>
  <si>
    <t>Official visit of Sir Paul Hasluck, Governor General of Australia inspecting displays.</t>
  </si>
  <si>
    <t>b20672950</t>
  </si>
  <si>
    <t>b20672962</t>
  </si>
  <si>
    <t>b20682499</t>
  </si>
  <si>
    <t>University of Adelaide - Site for new Library.</t>
  </si>
  <si>
    <t>b20682505</t>
  </si>
  <si>
    <t>University of Adelaide, site for new library.</t>
  </si>
  <si>
    <t>b20682517</t>
  </si>
  <si>
    <t>b20682529</t>
  </si>
  <si>
    <t>b20682530</t>
  </si>
  <si>
    <t>b20682542</t>
  </si>
  <si>
    <t>b20682554</t>
  </si>
  <si>
    <t>b20682566</t>
  </si>
  <si>
    <t>b20682578</t>
  </si>
  <si>
    <t>b2068258x</t>
  </si>
  <si>
    <t>University of Adelaide.</t>
  </si>
  <si>
    <t>b20682591</t>
  </si>
  <si>
    <t>b20682608</t>
  </si>
  <si>
    <t>b20547249</t>
  </si>
  <si>
    <t>King William Street, east side, 29 May 1970. Left side of building abuts North Terrace. King William Street frontage: 33 1/3 yards  North Terrace frontage: 23 1/3 yards.</t>
  </si>
  <si>
    <t>b20548217</t>
  </si>
  <si>
    <t>Stephens Place, East Side</t>
  </si>
  <si>
    <t>Photograph  20.8 cm x 15.7 cm</t>
  </si>
  <si>
    <t>Stephens Place, east side, 11 September 1970. Left side of the Red Cross building is 23 2/3 yards south of North Terrace. Stephens Place frontage is 43 1/3 yards.</t>
  </si>
  <si>
    <t>b20548229</t>
  </si>
  <si>
    <t>Gawler Place, West Side</t>
  </si>
  <si>
    <t>Gawler Place, west side, 11 September 1970. Right side of the building is 21 2/3 yards south of North Terrace. Gawler Place frontage: 8 2/3 yards.</t>
  </si>
  <si>
    <t>b20548230</t>
  </si>
  <si>
    <t>Gawler Place, west side, 11 September 1970. Right side of the block is 21 2/3 yards south of North Terrace. Gawler Place frontage: 44 2/3 yards.</t>
  </si>
  <si>
    <t>b20564430</t>
  </si>
  <si>
    <t>53-55 Gawler Place</t>
  </si>
  <si>
    <t>Photograph  21.7 cm x 15.9 cm</t>
  </si>
  <si>
    <t>53-55 Gawler Place, west side, 23rd October 1970. Right side of block abuts Featherstone Place, south side. Gawler Place frontage: 18 yards.</t>
  </si>
  <si>
    <t>b2056966x</t>
  </si>
  <si>
    <t>Grenfell Street, north side. 2 October, 1970. Left side of building abuts Arcade Lane. Grenfell Street frontage is 24 1/3 yards.</t>
  </si>
  <si>
    <t>b20570429</t>
  </si>
  <si>
    <t>67-69 Gawler Place</t>
  </si>
  <si>
    <t>67-69 Gawler Place, west side, 27th November 1970. Left side of building abuts Grenfell Street, north side. Gawler Place frontage is 50 yards.</t>
  </si>
  <si>
    <t>b20570430</t>
  </si>
  <si>
    <t>Grenfell Street, north side, 27th November 1970 . Right side of building abuts Gawler Place, west side. Grenfell Street frontage is 23 yards.</t>
  </si>
  <si>
    <t>b20579688</t>
  </si>
  <si>
    <t>Gawler Place, East Side, 13 February 1970, right side of building is 60 yards north of Pirie Street and frontage is 10 yards.</t>
  </si>
  <si>
    <t>b20594732</t>
  </si>
  <si>
    <t>Morphett Street, East Side</t>
  </si>
  <si>
    <t>Morphett Street, east side, 16 January 1970. Right side of building abuts Franklin Street north side Morphett Street frontage is 211/3 yds. Franklin Street frontage is 72/3 yds.</t>
  </si>
  <si>
    <t>b20594744</t>
  </si>
  <si>
    <t>Franklin Street, North Side</t>
  </si>
  <si>
    <t>Franklin Street, North side 16 January 1970 Left side of building abuts Morphett Street East side. Franklin Street frontage is 7 2/3 yds. Morphett Street frontage is 211/3 yds.</t>
  </si>
  <si>
    <t>b20595992</t>
  </si>
  <si>
    <t>Photograph  21.6 cm x  15.8 cm</t>
  </si>
  <si>
    <t>Acre 261. 220 A Morphett Street, east side. 7th August, 1970. Right side of building is 30 2/3 yardsnorth of Andrew Street. Morphett Street frontage is 5 1/3 yards.</t>
  </si>
  <si>
    <t>b20596613</t>
  </si>
  <si>
    <t>Jones &amp; Bowen Photo Emporium and Tiki Snack Bar, Franklin Street, South Side</t>
  </si>
  <si>
    <t>Jones &amp; Bowen and Tiki Snack Bar buildings, Franklin Street, south side, 13th February 1970. Right side of building is 35 yards from Pitt Street east. Franklin Street frontage is 20 1/3 yards.</t>
  </si>
  <si>
    <t>b20608275</t>
  </si>
  <si>
    <t>Cardwell Street, West Side</t>
  </si>
  <si>
    <t>Cardwell Street, west side, 16 January 1970. Cardwell Street frontage: 31 yards. Frontage to Angas Street, north side, is 23 2/3 yards.</t>
  </si>
  <si>
    <t>b20609097</t>
  </si>
  <si>
    <t>Angas Street, north side, 16 January 1970.</t>
  </si>
  <si>
    <t>Acre 372 Collection</t>
  </si>
  <si>
    <t>b20613714</t>
  </si>
  <si>
    <t>Queen Street, East Side</t>
  </si>
  <si>
    <t>Photograph  21.5 cm x 15.3 cm</t>
  </si>
  <si>
    <t>Queen Street, east side, 14th August 1970. Left side of the block is 35 1/3 yards south of Angas Street. Queen Street frontage is 43 2/3 yards.</t>
  </si>
  <si>
    <t>b20613726</t>
  </si>
  <si>
    <t>Princess Street, West Side</t>
  </si>
  <si>
    <t>Princess Street, west side, 11th December 1970. Right side of building is 34 1/3 yards south of Angas Street. Princess Street frontage is 12 yards.</t>
  </si>
  <si>
    <t>b20613775</t>
  </si>
  <si>
    <t>Photograph  21.4 cm x 15.8 cm</t>
  </si>
  <si>
    <t>Pulteney Street, west side, 28th August 1970. Right side of block is 58 yards south of Angas Street.</t>
  </si>
  <si>
    <t>b20615267</t>
  </si>
  <si>
    <t>204-220 Carrington Street</t>
  </si>
  <si>
    <t>204-220 Carrington Street, north side, 30 January 1970. Left side of building abuts Eden Street. Right side of building abuts Regent Street. Frontage to Carrington Street is 56 2/3 yards.</t>
  </si>
  <si>
    <t>b20618499</t>
  </si>
  <si>
    <t>15 Nelson Place, West Side</t>
  </si>
  <si>
    <t>Photograph  21.8 cm x 14.9 cm</t>
  </si>
  <si>
    <t>15 Nelson Place, west side, 7th August 1970. Right side of block is 49 yards south of Carrington Street. Nelson Place frontage is 6 yards.</t>
  </si>
  <si>
    <t>b20629114</t>
  </si>
  <si>
    <t>Gilles Street, south side, 6 February 1970, showing numbers 225 &amp; 227. Left side of block abuts Charlotte Street west. Gilles Street frontage: 15 yards.</t>
  </si>
  <si>
    <t>b20644863</t>
  </si>
  <si>
    <t>Mackinnon Parade</t>
  </si>
  <si>
    <t>Mackinnon Parade, North Side, 13th February 1970, frontage is 28 1/3 yards.</t>
  </si>
  <si>
    <t>Acre 974 Collection</t>
  </si>
  <si>
    <t>b20647797</t>
  </si>
  <si>
    <t>Kingston Terrace, South Side</t>
  </si>
  <si>
    <t>Kingston Terrace, south side, 13th February 1970. Right side of block is 36 yards from Jerningham Street, east side. Kingston Terrace frontage: 46 yards.</t>
  </si>
  <si>
    <t>b20653013</t>
  </si>
  <si>
    <t>Adelaide Oval</t>
  </si>
  <si>
    <t>Photograph  21 cm x 15.4 cm</t>
  </si>
  <si>
    <t>View across the Adelaide Oval to the Victor Richardson Gates, with North Adelaide in the background, 29th May 1970.</t>
  </si>
  <si>
    <t>b20800125</t>
  </si>
  <si>
    <t>Bob Page</t>
  </si>
  <si>
    <t>PORTRAIT: Bob Page, Chief Executive Officer at Softwood Products, Mount Gambier, 1952-1978.</t>
  </si>
  <si>
    <t>Page, Bob</t>
  </si>
  <si>
    <t>b22016867</t>
  </si>
  <si>
    <t>Peterborough</t>
  </si>
  <si>
    <t>OUTSIZE 5 c;Photograph (B&amp;W print)   37.5 cm x 38 cm</t>
  </si>
  <si>
    <t>Aerial view of Peterborough, one of seven photographs.</t>
  </si>
  <si>
    <t>Peterborough (S.A.)</t>
  </si>
  <si>
    <t>b22016880</t>
  </si>
  <si>
    <t>Photograph (B&amp;W print)   37.5 cm x 38 cm</t>
  </si>
  <si>
    <t>b22016922</t>
  </si>
  <si>
    <t>b22016946</t>
  </si>
  <si>
    <t>b22016958</t>
  </si>
  <si>
    <t>b22016971</t>
  </si>
  <si>
    <t>b30172421</t>
  </si>
  <si>
    <t>Ellen Saunders</t>
  </si>
  <si>
    <t>approximately [1970]</t>
  </si>
  <si>
    <t>1 photograph : black and white  6.3 x 5.3 cm;RESERVE 1 a;still image sti rdacontent;unmediated n rdamedia;sheet nb rdacarrier</t>
  </si>
  <si>
    <t>Ellen (Nellie) Emily Saunders.</t>
  </si>
  <si>
    <t>Saunders, Ellen Emily</t>
  </si>
  <si>
    <t>b30173966</t>
  </si>
  <si>
    <t>Ellen Saunders and her caravan</t>
  </si>
  <si>
    <t>Ellen Saunders pictured outside her caravan which is shown installed at a camping area, complete with its own gas bottle and canvas extension structure attached alongside the caravan. Dinkie the dog is at her feet.</t>
  </si>
  <si>
    <t>Saunders, Ellen Emily;Saunders, Arthur;Caravans -- South Australia;Camping -- South Australia</t>
  </si>
  <si>
    <t>b20547250</t>
  </si>
  <si>
    <t>King William Street, East Side</t>
  </si>
  <si>
    <t>King William Street, east side, 8 January 1971 : frontage: 13 2/3 yards.</t>
  </si>
  <si>
    <t>b20556627</t>
  </si>
  <si>
    <t>33-39 King William Street</t>
  </si>
  <si>
    <t>33-39 King William Street, west side, 26th February 1971. The left side of the I.M.F.C. building abuts Hindley Street, north side.</t>
  </si>
  <si>
    <t>b20559975</t>
  </si>
  <si>
    <t>Paprika Night Club and Odeon store, Hindley Street, South Side</t>
  </si>
  <si>
    <t>1 photograph  black and white   20.7 x 15.6 cm;still image sti rdacontent;unmediated n rdamedia;sheet nb rdacarrier</t>
  </si>
  <si>
    <t>Paprika Night Club and Odeon Furniture and Electrical store, Hindley Street, south side, 24 September 1971. This was also the entrance to the St. Moritz ice skating rink on the first floor level, which extended back to the Star Grocery. Right side of building is 49 1/2 yards east of Morphett Street. Hindley Street frontage: 21 2/3 yards.</t>
  </si>
  <si>
    <t>Paprika Night Club (Hindley St., Adelaide, S.A.);Stores, Retail -- South Australia -- Adelaide;Hindley Street (Adelaide, S.A.) -- Buildings</t>
  </si>
  <si>
    <t>b20559987</t>
  </si>
  <si>
    <t>Hindley Street, South Side</t>
  </si>
  <si>
    <t>1 photograph : black and white   20.7 x 15.6 cm;still image sti rdacontent;unmediated n rdamedia;sheet nb rdacarrier</t>
  </si>
  <si>
    <t>Hindley Street, south side, 24 September 1971, showing the premises of the National Bank and the Paprika Night Club, and the entrance to the St. Moritz Ice Skating Rink, with the Odeon Furniture and Electrical store on the far right.</t>
  </si>
  <si>
    <t>Paprika Night Club (Hindley St., Adelaide, S.A.);Banks -- South Australia -- Adelaide;Stores, Retail -- South Australia -- Adelaide;Hindley Street (Adelaide, S.A.) -- Buildings</t>
  </si>
  <si>
    <t>b20564910</t>
  </si>
  <si>
    <t>Rundle Street, South Side, 26 February 1971. Right side of building is 25 yards east of Gawler Place. Rundle Street frontage is 5 yards.</t>
  </si>
  <si>
    <t>b20569671</t>
  </si>
  <si>
    <t>Adelaide Arcade, looking toward Grenfell Street . 19 March, 1971.</t>
  </si>
  <si>
    <t>b20569683</t>
  </si>
  <si>
    <t>Adelaide Arcade, looking toward Rundle Street . 19 March, 1971.</t>
  </si>
  <si>
    <t>b20570442</t>
  </si>
  <si>
    <t>54-58 Grenfell Street</t>
  </si>
  <si>
    <t>54-58 Grenfell Street, north side, 8th January 1971. Right side of building abuts Gawler Place, west side. Grenfell Street frontage: 23 yards. Gawler Place frontage: 46 1/3 yards.</t>
  </si>
  <si>
    <t>b20593004</t>
  </si>
  <si>
    <t>Photograph  21.5 cm x 13.5 cm</t>
  </si>
  <si>
    <t>North Terrace, south side. 2 July 1971. Right side of hotel abuts Wood Sons Lane, east side. Left side of hotel is 17 yards west of Gresham Street.</t>
  </si>
  <si>
    <t>b20593016</t>
  </si>
  <si>
    <t>North Terrace, south side. July 1971. South Australian Hotel.</t>
  </si>
  <si>
    <t>b20593028</t>
  </si>
  <si>
    <t>South Australian Hotel, July 1971.</t>
  </si>
  <si>
    <t>b2059513x</t>
  </si>
  <si>
    <t>Franklin Transport Ltd. building, Franklin Street</t>
  </si>
  <si>
    <t>Photograph  21.9 cm x 16.4 cm</t>
  </si>
  <si>
    <t>Franlin Transport Ltd., 272-280 Franklin Street, north side, 16 April 1971. Left side of the block is 30 yards east of Gratton Street. Franklin Street frontage is 42 and two third yards.</t>
  </si>
  <si>
    <t>b20596091</t>
  </si>
  <si>
    <t>Acre 262. 13 - 19 Bowen Street, west side. 5th March, 1971. Right side of building is 41 2/3 yards south of Franklin Street. Bowen Street frontage is 29 yards.</t>
  </si>
  <si>
    <t>b20596467</t>
  </si>
  <si>
    <t>13 Pitt Street, west side, 16th April 1971. Right side of block is 33 1/3 yards south of Franklin Street. Pitt Street frontage is 19 1/3 yards.</t>
  </si>
  <si>
    <t>b20596625</t>
  </si>
  <si>
    <t>Nestle's building, Franklin Street, South Side</t>
  </si>
  <si>
    <t>Franklin Street, south side, 12th February, 1971 showing Nestle's premises   the left side is 16 yards west of Trade Hall Lane. Franklin Street frontage is 17 1/8 yards.</t>
  </si>
  <si>
    <t>b20601645</t>
  </si>
  <si>
    <t>42 Grote Street</t>
  </si>
  <si>
    <t>42 Grote Street, north side, 12 February 1971. Left side of the building abuts Penaluna Place, west side. Grote Street frontage is 7 yards.</t>
  </si>
  <si>
    <t>b20602662</t>
  </si>
  <si>
    <t>Photograph  21.1 cm x 15.3 cm</t>
  </si>
  <si>
    <t>234-236 Grote Street, north side, 4th June 1971. Right side of block abuts Ruthven Avenue, east side. Grote Street frontage is 13 2/3 yards.</t>
  </si>
  <si>
    <t>b20602674</t>
  </si>
  <si>
    <t>234-236 Grote Street, north side, 4th June 1971. Right side of block abuts Ruthven Avenue, east side. Grote Street frontage: 13 2/3 yards.</t>
  </si>
  <si>
    <t>b20607581</t>
  </si>
  <si>
    <t>Robert Street</t>
  </si>
  <si>
    <t>Photograph  20.7 cm x 15.1 cm</t>
  </si>
  <si>
    <t>11-19 Robert Street, west side, looking north, 19 November 1971. Northern boundary 25 1/3 yards south of Wakefield Street. Frontage: 35 yards.</t>
  </si>
  <si>
    <t>b20607672</t>
  </si>
  <si>
    <t>Elder Street, East Side</t>
  </si>
  <si>
    <t>Photograph  16.5 cm x 15.5 cm</t>
  </si>
  <si>
    <t>Elder Street, east side, 16 July 1971. Left side of the block is 30 1/3 yards south of Wakefield Street. Frontage to Elder Street: 37 yards.</t>
  </si>
  <si>
    <t>Acre 348 Collection</t>
  </si>
  <si>
    <t>b20607684</t>
  </si>
  <si>
    <t>Photograph  16 cm x 16 cm</t>
  </si>
  <si>
    <t>Elder Street, east side, 16 July 1971. Left side of block is 30 1/3 yards south of Wakefield Street. Frontage to Elder Street is 37 yards.</t>
  </si>
  <si>
    <t>b20607696</t>
  </si>
  <si>
    <t>Photograph  16.5 cm x 16 cm</t>
  </si>
  <si>
    <t>Elder Street, east side, 16 July 1971. Left side of the block is 30 1/3 yards soutyh of Wakefield Street. Frontage to Elder Street: 39 yards.</t>
  </si>
  <si>
    <t>b20607702</t>
  </si>
  <si>
    <t>Elder Street, east side, 16 July 1971. Left side of the block is 30 1/3 yards south of Wakefield Street. Frontage to Elder Street: 39 yards.</t>
  </si>
  <si>
    <t>b20607714</t>
  </si>
  <si>
    <t>Elder Street, east side, 16 July 1971. Left side of block is 30 1/3 yards south of Wakefield Street. Frontage to Elder Street: 39 yards.</t>
  </si>
  <si>
    <t>b20608287</t>
  </si>
  <si>
    <t>252 Angas Street</t>
  </si>
  <si>
    <t>252 Angas Street, 30 July 1971.</t>
  </si>
  <si>
    <t>b20608299</t>
  </si>
  <si>
    <t>b20608317</t>
  </si>
  <si>
    <t>230 Angas Street</t>
  </si>
  <si>
    <t>230 Angas Street, 5 November 1971, building abuts Little Elder Street, overall frontage: 34 yards.</t>
  </si>
  <si>
    <t>b20608329</t>
  </si>
  <si>
    <t>230 Angas Street, 5 November 1971. Left side of building abuts Little Elder Street, overall frontage: 34 yards.</t>
  </si>
  <si>
    <t>b20608330</t>
  </si>
  <si>
    <t>230-4 Angas Street</t>
  </si>
  <si>
    <t>230-4 Angas Street, north side, 5 November 1971. Left of building is Little Elder Street  overall frontage: 34 yards.</t>
  </si>
  <si>
    <t>b20608500</t>
  </si>
  <si>
    <t>24 Robert Street, east side</t>
  </si>
  <si>
    <t>Langsford Bro's Pty. Ltd., 19 November 1971. Frontage 11-1/3 yds   24-1/3 yds deep. Northern boundary is 77 yds south of Wakefield Street.</t>
  </si>
  <si>
    <t>b20608512</t>
  </si>
  <si>
    <t>35 Robert Street</t>
  </si>
  <si>
    <t>35 Robert Street, 19 November 1971. Frontage is 6-2/3 yds  southern boundary is 19 yds, north of Angas Street.</t>
  </si>
  <si>
    <t>b20608524</t>
  </si>
  <si>
    <t>35 Robert Street, west side</t>
  </si>
  <si>
    <t>35 Robert Street West side looking North. Frontage is 6-2/3 yds  southern boundary is 19 yds, north of Angas Street.</t>
  </si>
  <si>
    <t>b20608615</t>
  </si>
  <si>
    <t>26 Cypress Street</t>
  </si>
  <si>
    <t>26 Cypress Street looking towards 20. 19 November 1971. Southern boundary is 40 yds north of Angas Street west side. Frontage 8-1/3 yds. (See also B25009-11, Acre 346).</t>
  </si>
  <si>
    <t>b20610956</t>
  </si>
  <si>
    <t>271-281 Gouger Street, south side, 26 February 1971. Left side of block abuts Murray's Lane, west side. Gouger Street frontage is 44 3/4 yards.</t>
  </si>
  <si>
    <t>b20615073</t>
  </si>
  <si>
    <t>150 Hutt Street, east side, 8 January 1971. Right side of building is 33 1/3 yards north of Carrington Street. Hutt Street frontage is 6 2/3 yards.</t>
  </si>
  <si>
    <t>b20615085</t>
  </si>
  <si>
    <t>Hutt Street, east side, 8 January 1971. Right side of building is 33 1/3 yards north of Carrington Street. Hutt Street frontage: 6 2/3 yards.</t>
  </si>
  <si>
    <t>b20615097</t>
  </si>
  <si>
    <t>150-154 Hutt Street, east side, 6 August 1971. Right side of building is 21 2/3 yards north of Carrington Street. Hutt Street frontage is 23 1/3 yards.</t>
  </si>
  <si>
    <t>b2061522x</t>
  </si>
  <si>
    <t>262-268 Carrington Street</t>
  </si>
  <si>
    <t>262-268 Carrington Street, north side, 14 May 1971. Right side of building is 47 2/3 yards west of Cardwell Street. Carrington Street frontage: 16 2/3 yards.</t>
  </si>
  <si>
    <t>b20618360</t>
  </si>
  <si>
    <t>338 King William Street</t>
  </si>
  <si>
    <t>338 King William Street, east side, 17th September 1971. Left side of building is 54 2/3 yards south of Carrington Street. King William Street frontage is 13 2/3 yards.</t>
  </si>
  <si>
    <t>b20618372</t>
  </si>
  <si>
    <t>338 King William Street, east side, 17th September 1971. Left side of building is 54 2/3 yards south of Carrington Street. King William Street frontage: 13 2/3 yards.</t>
  </si>
  <si>
    <t>b20618608</t>
  </si>
  <si>
    <t>11-15 Surflen Street</t>
  </si>
  <si>
    <t>11-15 Surflen Street, west side, 15th January 1971. Right side of building is 52 1/3 yards south of Carrington Street. Surflen Street frontage : 15 yards.</t>
  </si>
  <si>
    <t>b2061861x</t>
  </si>
  <si>
    <t>Surflen Street, West Side</t>
  </si>
  <si>
    <t>Surflen Street, west side, 15th January 1971. Right side of building is 52 1/3 yards south of Carrington Street  frontage: 15 yards.</t>
  </si>
  <si>
    <t>b20619303</t>
  </si>
  <si>
    <t>Men at bus stop, 165 Hutt Street, West Side</t>
  </si>
  <si>
    <t>Two men sitting at a bus stop, 165 Hutt Street, west side, 8th January 1971. Site of a new office building south of Carrington Street.</t>
  </si>
  <si>
    <t>b20628845</t>
  </si>
  <si>
    <t>Delhi Street</t>
  </si>
  <si>
    <t>22 Delhi Street, north side, 16 July 1971. Right side of block is 70 1/3 yards west of Pulteney Street. Delhi Street frontage: 9 1/3 yards.</t>
  </si>
  <si>
    <t>b20629254</t>
  </si>
  <si>
    <t>Photograph  21 cm x 14</t>
  </si>
  <si>
    <t>Gilles Street, south side, nos. 322-330, 3 December 1971. Left side of block abuts Hutt Street.</t>
  </si>
  <si>
    <t>b20629837</t>
  </si>
  <si>
    <t>332 South Terrace, North Side</t>
  </si>
  <si>
    <t>332 South Terrace, north side, 21 May 1971. Left side of block is 70 2/3 yards east of Hutt Street. South Terrace frontage: 18 2/3 yards.</t>
  </si>
  <si>
    <t>b20640626</t>
  </si>
  <si>
    <t>Tynte Street, south side, 22nd January 1971. Right side of building is 65 1/3 yards east of Cambridge Terrace.</t>
  </si>
  <si>
    <t>b20640663</t>
  </si>
  <si>
    <t>Corner Tynte Street, south side and Cambridge Terrace east side looking south west toward North Adelaide Hotel, 22 January 1971. Tynte Street frontage of block is 65-1/2 yards, Cambridge Terrace frontage of block is 62 yards.</t>
  </si>
  <si>
    <t>Acre 836 Collection</t>
  </si>
  <si>
    <t>b20640675</t>
  </si>
  <si>
    <t>Cambridge Terrace</t>
  </si>
  <si>
    <t>Cambridge Terrace, East Side   22 January 1971. Site of new Medical Centre.</t>
  </si>
  <si>
    <t>b2064081x</t>
  </si>
  <si>
    <t>Molesworth Street, South Side   27 August 1971.</t>
  </si>
  <si>
    <t>Acre 842 Collection</t>
  </si>
  <si>
    <t>b20640821</t>
  </si>
  <si>
    <t>Molesworth Street, South Side   27 August, 1971.</t>
  </si>
  <si>
    <t>b20640833</t>
  </si>
  <si>
    <t>Molesworth Street, south side, 27 August, 1971.</t>
  </si>
  <si>
    <t>b20647888</t>
  </si>
  <si>
    <t>82-100 Stanley Street</t>
  </si>
  <si>
    <t>82-100 Stanley Street, north side, 17th December 1971. Left side of block is 211 1/3 yards east of Jerningham Street. Stanley Street frontage: 64 yards.</t>
  </si>
  <si>
    <t>Acre 1035 Collection</t>
  </si>
  <si>
    <t>b2064789x</t>
  </si>
  <si>
    <t>82-100 Stanley Street, north side, 17th December 1971. Left side of block is 211 1/3 yards east of Jerningham Street  frontage: 64 yards.</t>
  </si>
  <si>
    <t>b20647906</t>
  </si>
  <si>
    <t>82-100 Stanley Street, north side, 17th December 1971 looking into the courtyard from the street.</t>
  </si>
  <si>
    <t>b20647918</t>
  </si>
  <si>
    <t>82-100 Stanley Street, north side, 17th December, 1971.</t>
  </si>
  <si>
    <t>b2064792x</t>
  </si>
  <si>
    <t>82-100 Stanley Street, north side, 17th December 1971  chimney detail.</t>
  </si>
  <si>
    <t>b20647931</t>
  </si>
  <si>
    <t>82-100 Stanley Street, north side, 17th December 1971 showing the courtyard and rear of Kingston Cottages.</t>
  </si>
  <si>
    <t>b20647943</t>
  </si>
  <si>
    <t>82-100 Stanley Street, north side, 17th December 1971.</t>
  </si>
  <si>
    <t>b20647955</t>
  </si>
  <si>
    <t>82-100 Stanley Street, north side, 17th December 1971, showing the courtyard and rear of Stanley Street cottages.</t>
  </si>
  <si>
    <t>b20647967</t>
  </si>
  <si>
    <t>82-100 Stanley Street, north side, 17th December 1971  door and window detail of the Stanley Street cottages.</t>
  </si>
  <si>
    <t>b20647979</t>
  </si>
  <si>
    <t>82-100, Stanley Street</t>
  </si>
  <si>
    <t>Photograph  21.7 cm x 14.6 cm</t>
  </si>
  <si>
    <t>82-100 Stanley Street, north side, 17th December 1971: detail of the Stanley Street cottages verandah.</t>
  </si>
  <si>
    <t>b20647980</t>
  </si>
  <si>
    <t>51-60 Kingston Terrace</t>
  </si>
  <si>
    <t>Photograph  21.7 cm x 14.5 cm</t>
  </si>
  <si>
    <t>51-60 Kingston Terrace, south side, December 1971. Right side of block is 70 1/3 yar ds east of Fuller Street  frontage: 70 1/3 yards.</t>
  </si>
  <si>
    <t>b20647992</t>
  </si>
  <si>
    <t>Photograph  21.8 cm x 15 cm</t>
  </si>
  <si>
    <t>51-60 Kingston Terrace, south side, December 1971.</t>
  </si>
  <si>
    <t>b20648005</t>
  </si>
  <si>
    <t>Photograph  21.5 cm x 14.7 cm</t>
  </si>
  <si>
    <t>b20648017</t>
  </si>
  <si>
    <t>Photograph  21.4 cm x 14.9 cm</t>
  </si>
  <si>
    <t>b20665878</t>
  </si>
  <si>
    <t>Hidden Well</t>
  </si>
  <si>
    <t>Hidden well at the Mounted Police Barracks unearthed during clearing operation for extensions to University buildings, January, 1971.</t>
  </si>
  <si>
    <t>b2066588x</t>
  </si>
  <si>
    <t>Hidden well at the Mounted Police Barracks unearthed during clearing operations for extensions to University buildings, January 1971.</t>
  </si>
  <si>
    <t>b20665891</t>
  </si>
  <si>
    <t>Hidden Well Shaft</t>
  </si>
  <si>
    <t>Hidden well shaft at the Mounted Police Barracks unearthed during clearing operations for extensions to University buildings, January 1971.</t>
  </si>
  <si>
    <t>b20665908</t>
  </si>
  <si>
    <t>Hidden well shaft at the Mounted Police Barracks unearthed during clearing operations for extensions to University buildings.</t>
  </si>
  <si>
    <t>b2066591x</t>
  </si>
  <si>
    <t>b20679026</t>
  </si>
  <si>
    <t>South Adelaide Riding Club</t>
  </si>
  <si>
    <t>Photograph  20.6 cm x 15.7 cm</t>
  </si>
  <si>
    <t>South Adelaide Riding Club House, 24th September 1971.</t>
  </si>
  <si>
    <t>Adelaide Views Collection;South Adelaide Riding Club House Collection</t>
  </si>
  <si>
    <t>b20679038</t>
  </si>
  <si>
    <t>Photograph  20.7 cm x 15.7 cm</t>
  </si>
  <si>
    <t>South Adelaide Riding Club House.</t>
  </si>
  <si>
    <t>b2068986x</t>
  </si>
  <si>
    <t>Adelaide Gaol</t>
  </si>
  <si>
    <t>Adelaide Gaol : front entrance.</t>
  </si>
  <si>
    <t>Adelaide Views Collection;Adelaide Gaol Collection</t>
  </si>
  <si>
    <t>b20544868</t>
  </si>
  <si>
    <t>Grey Street</t>
  </si>
  <si>
    <t>18 Grey Street, east side, 2 June 1972 Left side of building is 15 &amp; a third yards south of North Terrace. Grey Street frontage is 10 yards.</t>
  </si>
  <si>
    <t>b20545708</t>
  </si>
  <si>
    <t>Trinity Church, North Terrace</t>
  </si>
  <si>
    <t>Holy Trinity Church Rectory verandah, frontage: 14 yards.</t>
  </si>
  <si>
    <t>b2054571x</t>
  </si>
  <si>
    <t>Holy Trinity Church, south side on North Terrace and east side on Morphett Street, showing the Rectory verandah: frontage 14 yards.</t>
  </si>
  <si>
    <t>b20545721</t>
  </si>
  <si>
    <t>Holy Trinity Church, North Terrace.</t>
  </si>
  <si>
    <t>b20559768</t>
  </si>
  <si>
    <t>Bendorp Crash Repairs, Morphett Street</t>
  </si>
  <si>
    <t>Photograph  21.5 cm x 15 cm</t>
  </si>
  <si>
    <t>Bendorp Crash Repairs, Morphett Street, west side, 15 November 1972. Left side of building abuts Light Square north west side. Frontage to Morphett Street is 31 2/3 yards. Light Square frontage is 21 1/3 yards. According to a researcher, the name of the business, Bendorp, was a combination of the names of the owners. This partnership folded in 1969.</t>
  </si>
  <si>
    <t>b2055977x</t>
  </si>
  <si>
    <t>Photograph  21.5 cm x 15.5 cm</t>
  </si>
  <si>
    <t>Morphett Street, west side, 15 November 1972. Left side of building abuts Light Square north side. Frontage to Morphett Street is 31 2/3 yards. Light Square frontage is 21 1/3 yards.</t>
  </si>
  <si>
    <t>b20564922</t>
  </si>
  <si>
    <t>Photograph  20.4 cm x 15.5 cm</t>
  </si>
  <si>
    <t>Rundle Street, South Side, 24 March 1972. Right side of building is 50-1/3 yards east of Gawler Place. Rundle Street frontage is 7 yards.</t>
  </si>
  <si>
    <t>b20569701</t>
  </si>
  <si>
    <t>Adelaide Arcade, east side. 19 September 1972. Right side of the building ( shop 5 ) is 13 1/3 yards north of Grenfell Street. Frontage of shop 5 is 5 yards.</t>
  </si>
  <si>
    <t>b20569713</t>
  </si>
  <si>
    <t>Adelaide Arcade, east side. 19 September, 1972.Right side of building (shop 5) is 13 1/3 yards north of Grenfell Street. Frontage of shop 5 is 5 yards.</t>
  </si>
  <si>
    <t>b20569725</t>
  </si>
  <si>
    <t>Photograph  21.2 cm x 14.2 cm</t>
  </si>
  <si>
    <t>Adelaide Arcade, east side. 12 December 1972. Right side of shop 3 is 8 2/3yards north of Grenfell Street. Arcade frontage is 4 yards.</t>
  </si>
  <si>
    <t>b20569737</t>
  </si>
  <si>
    <t>Adelaide Arcade, East Side</t>
  </si>
  <si>
    <t>Photograph  21.8 cm x 14.7 cm</t>
  </si>
  <si>
    <t>Adelaide Arcade, east side, 12th December 1972. Right side of shop 3 is 8 2/3 yards north of Grenfell Street  its frontage is 4 yards.</t>
  </si>
  <si>
    <t>b20593685</t>
  </si>
  <si>
    <t>Franklin Street, north side, 12 May 1972. Left side of building is 37 yards east of Bentham Street  frontage is 20 yards.</t>
  </si>
  <si>
    <t>b20593697</t>
  </si>
  <si>
    <t>18-20 Franklin Street, north side, 12 May 1972. Left side of building is 37 yards east of Bentham Street. Franklin Street frontage: 20 yards.</t>
  </si>
  <si>
    <t>b20594550</t>
  </si>
  <si>
    <t>Franklin Street, north side 12 September 1972. Right side of building is 20 yards west of Tatham Street. Franklin Street frontage is 15 and two third yards.</t>
  </si>
  <si>
    <t>b20594562</t>
  </si>
  <si>
    <t>Franklin Street, north side 12 September 1972. Right side of building is 20 yards west of Tatham Street, Franklin Street frontage: 15 and two third yards.</t>
  </si>
  <si>
    <t>b20595281</t>
  </si>
  <si>
    <t>Car yard, West Terrace</t>
  </si>
  <si>
    <t>Photograph  21.5 cm x 16 cm</t>
  </si>
  <si>
    <t>Car yard, 81-86 West Terrace, east side 28 April 1972. Left side of the block abuts Franklin Street, south side. This office is 21 yards south of Franklin Street.</t>
  </si>
  <si>
    <t>Acre 253 Collection</t>
  </si>
  <si>
    <t>b20595293</t>
  </si>
  <si>
    <t>Car yard, 81-86 West Terrace, east side 28 April 1972. Left side of the block abuts Franklin Street, south side.</t>
  </si>
  <si>
    <t>b20595311</t>
  </si>
  <si>
    <t>St. Mary's Dominican Convent building, Franklin Street</t>
  </si>
  <si>
    <t>Franklin Street, south side 15 November 1972. Dominican Convent building 88 and two third yards east of West Terrace: frontage is 34 and two third yards.</t>
  </si>
  <si>
    <t>Acre 254 Collection</t>
  </si>
  <si>
    <t>b20595323</t>
  </si>
  <si>
    <t>Franklin Street, south side, 15 November 1972 showing the Dominican Convent.</t>
  </si>
  <si>
    <t>b20595335</t>
  </si>
  <si>
    <t>Photograph  22 cm x 15 cm</t>
  </si>
  <si>
    <t>Franklin Street, south side 15th November 1972, showing work being carried out on St. Mary's Dominican Convent.</t>
  </si>
  <si>
    <t>b20595347</t>
  </si>
  <si>
    <t>b20595359</t>
  </si>
  <si>
    <t>Franklin Street, south side 15th November 1972 showing part of St.Mary's Dominican Convent.</t>
  </si>
  <si>
    <t>b20595360</t>
  </si>
  <si>
    <t>Franklin Street, south side 15th November 1972 showing part of repair work required at St. Mary's Dominican Convent.</t>
  </si>
  <si>
    <t>b20595372</t>
  </si>
  <si>
    <t>Photograph  22 cm x 14.5 cm</t>
  </si>
  <si>
    <t>Franklin Street, south side 15th November 1972, showing a detail of sculpture at St. Mary's Dominican Convent.</t>
  </si>
  <si>
    <t>b20595384</t>
  </si>
  <si>
    <t>Franklin Street, south side 15th November 1972 showing part of St. Mary's Dominican Convent.</t>
  </si>
  <si>
    <t>b20598208</t>
  </si>
  <si>
    <t>Ifould Street, North Side</t>
  </si>
  <si>
    <t>Photograph  19.5 cm x 15.5 cm</t>
  </si>
  <si>
    <t>Ifould Street, north side, 14th August 1972. Left side of building is 49 1/3 yards east of Pulteney Street. Ifould Street frontage: 21 2/3 yards. The demolished building is an outhouse at the rear of a block that faces Flinders Street.</t>
  </si>
  <si>
    <t>b20601293</t>
  </si>
  <si>
    <t>Grote Street, north side, 17 March 1972. Right side of the block is 13 2/3 yards west of Morialta Street. Grote Street frontage: 14 yards.</t>
  </si>
  <si>
    <t>b20602340</t>
  </si>
  <si>
    <t>Freeman Motors</t>
  </si>
  <si>
    <t>Freeman Motors Auto Parts, Morphett Street, Adelaide. West side, 23 June 1972. Left of building is 50 yards north of Grote Street. Morphett Street frontage is 29 1/3 yards.</t>
  </si>
  <si>
    <t>b20602352</t>
  </si>
  <si>
    <t>b20602364</t>
  </si>
  <si>
    <t>b20607593</t>
  </si>
  <si>
    <t>Wakefield Street, South Side</t>
  </si>
  <si>
    <t>Wakefield Street, south side, 12 May 1972. Right side of the building is 28 2/3 yards east of Cypress Street. Wakefield Street frontage is 19 1/3 yards.</t>
  </si>
  <si>
    <t>b2060760x</t>
  </si>
  <si>
    <t>Wakefield Street, south side, 12 May 1972. Right side of building is 28 2/3 yards east of Cypress Street. Wakefield Street frontage is 19 1/ 3 yards.</t>
  </si>
  <si>
    <t>b20607611</t>
  </si>
  <si>
    <t>Wakefield Street, south side, 12 May 1972. Right side of building is 28 2/3 yards east of Cypress Street. Wakefield Street frontage is 19 1/3 yards.</t>
  </si>
  <si>
    <t>b20608226</t>
  </si>
  <si>
    <t>264 Angas Street</t>
  </si>
  <si>
    <t>Photograph  8.5 cm x 6 cm</t>
  </si>
  <si>
    <t>264 Angas Street, north side, 16 June 1972. Left side of building abuts Cardwell Street, east side. Angas Street frontage: 6 1/3 yards.</t>
  </si>
  <si>
    <t>Acre 362 Collection</t>
  </si>
  <si>
    <t>b20608238</t>
  </si>
  <si>
    <t>b2060824x</t>
  </si>
  <si>
    <t>Cardwell Street, east side, 16 June 1972. Left side of building abuts Cardwell Street, east side. Angas Street frontage: 6 1/3 yards.</t>
  </si>
  <si>
    <t>b20608421</t>
  </si>
  <si>
    <t>Angas Street, North Side</t>
  </si>
  <si>
    <t>Angas Street, North Side : 7 November 1972. Right side of building abuts Elder Street, west side. Left side of building abuts Robert Street, east side. Angas Street frontage is 19 yds. Robert and Elder Street frontages 14 yds.</t>
  </si>
  <si>
    <t>Acre 365 Collection;Acre 366 Collection</t>
  </si>
  <si>
    <t>b20608433</t>
  </si>
  <si>
    <t>Angas Street, North Side : 7 November 1972. Right side of building abuts Elder Street, west side. Left side of building abuts Roebrt Street, east side. Angas Street frontage is 19 yds. Robert and Elder Street frontages 14 yds.</t>
  </si>
  <si>
    <t>b20608536</t>
  </si>
  <si>
    <t>Robert Street, East Side</t>
  </si>
  <si>
    <t>Robert Street, East Side: 21 January 1972. Right side of building is 27- 2/3 yds north of Angas Street. Robert Street frontage is 14 yds.</t>
  </si>
  <si>
    <t>b20608548</t>
  </si>
  <si>
    <t>Robert Street, East Side : Driver of demolition truck on site. Right side of building is 27-2/3 yds north of Angas Street, Robert Street frontage is 14 yds.</t>
  </si>
  <si>
    <t>b20608627</t>
  </si>
  <si>
    <t>Cypress Street, West Side</t>
  </si>
  <si>
    <t>19 - 23 Cypress Street, West Side. 11 February 1972. Right side of building is 60-1/3 yds south of Wakefield Street. Cypress Street frontage is 20-1/3 yds.</t>
  </si>
  <si>
    <t>b20611080</t>
  </si>
  <si>
    <t>Photograph  21.5 cm x 15cm</t>
  </si>
  <si>
    <t>Hotel Gouger, Gouger Street, south side, 29 August 1972. Situated on corner of Gouger Street, south side and Bailey Street east side. Gouger Street frontage is 16 2/3 yards. Bailey Street frontage is 11 2/3 yards.</t>
  </si>
  <si>
    <t>b20611092</t>
  </si>
  <si>
    <t>Gouger Street, south side and Bailey Street, east side . Gouger Street frontage: 16 2/3 yards  Bailey Street frontage: 11 2/3 yards.</t>
  </si>
  <si>
    <t>b20613556</t>
  </si>
  <si>
    <t>Photograph  21.2 cm x 15.6 cm</t>
  </si>
  <si>
    <t>Angas Street, south side, 5th December 1972. Right side of the building is 45 2/3 yards east of Moore Street. Angas street frontage is 19 1/3 yards.</t>
  </si>
  <si>
    <t>b20613568</t>
  </si>
  <si>
    <t>Photograph  21 cm x 15.6 cm</t>
  </si>
  <si>
    <t>Angas Street, south side, 5th December 1972. Right side of building is 45 2/3 yards east of Moore Street. Angas Street frontage: 19 1/3 yards.</t>
  </si>
  <si>
    <t>b2061357x</t>
  </si>
  <si>
    <t>Photograph  21.5 cm x 14.5 cm</t>
  </si>
  <si>
    <t>Angas Street, south side, 5th December 1972. Right side of building is 45 2/3 yards east of Moore Street. Angas Street frontage : 19 1/3 yards.</t>
  </si>
  <si>
    <t>b20615528</t>
  </si>
  <si>
    <t>Carrington Street, north side, 22nd August 1972. Right side of building abuts Princess Street west side. Carrington Street frontage: 9 2/3 yards. Princess Street frontage: 12 2/3 yards.</t>
  </si>
  <si>
    <t>b2061553x</t>
  </si>
  <si>
    <t>Carrington Street, North Side</t>
  </si>
  <si>
    <t>Photograph  19 cm x 16 cm</t>
  </si>
  <si>
    <t>Carrington, Street, north side, 22nd August 1972. Right side of building abuts Princess Street, west side. Carrington Street frontage is 9 2/3 yards. Princess Street frontage is 12 2/3 yards.</t>
  </si>
  <si>
    <t>b20615541</t>
  </si>
  <si>
    <t>Carrington Street, north side, 22nd August 1972. Right side of building abuts Princess Street, west side. Carrington Street frontage: 9 2/3 yards. Princess Street frontage: 12 2/3 yards.</t>
  </si>
  <si>
    <t>b20618888</t>
  </si>
  <si>
    <t>Carrington Street, south side, 24th October 1972. Left side of building is about 2 1/2 yards west of Queen Street. Carrington Street frontage: 10 yards.</t>
  </si>
  <si>
    <t>b2061889x</t>
  </si>
  <si>
    <t>b20628651</t>
  </si>
  <si>
    <t>Gilles Street, south side, 17 March 1972. Left side of block abuts Symonds Place, west side. Gilles Street frontage: 24 yards.</t>
  </si>
  <si>
    <t>b20628857</t>
  </si>
  <si>
    <t>Delhi Street west, north side, 9 June 1972.</t>
  </si>
  <si>
    <t>b20629126</t>
  </si>
  <si>
    <t>Charlotte Street, East Side</t>
  </si>
  <si>
    <t>Charlotte Street, east side, 14 August 1972. Right side of building is 10 2/3 yards north of Charlotte Place. Frontage on Charlotte Street is 5 1/3 yards.</t>
  </si>
  <si>
    <t>b20629138</t>
  </si>
  <si>
    <t>Charlotte Street, east side, 14 August 1972.</t>
  </si>
  <si>
    <t>b20629163</t>
  </si>
  <si>
    <t>16-22 Charlotte Place</t>
  </si>
  <si>
    <t>16-22 Charlotte Place, north side, 21 January 1972. Left side of building is 48 yards east of Charlotte Street. Charlotte Place frontage: 24 1/3 yards.</t>
  </si>
  <si>
    <t>b2062962x</t>
  </si>
  <si>
    <t>Photograph  21.6 cm x 14.5 cm</t>
  </si>
  <si>
    <t>South Terrace, north side  19 December 1972. Left side of building abuts St. John's Lane east side. South Terrace frontage is 54-2/3 yards. St. John's Lane frontage is 141-2/3 yards.</t>
  </si>
  <si>
    <t>Acre 664 Collection</t>
  </si>
  <si>
    <t>b20629631</t>
  </si>
  <si>
    <t>b20629643</t>
  </si>
  <si>
    <t>Photographnegative  21.5 cm x 15 cm</t>
  </si>
  <si>
    <t>South Terrace, north side, 19 December 1972. Left side of building abuts St.John's Lane east side. South Terrace frontage is 54 2/3 yards. St.John's Lane frontage is 141 2/3 yards.</t>
  </si>
  <si>
    <t>b20629655</t>
  </si>
  <si>
    <t>Photograph  21.2 cm x 15.2 cm</t>
  </si>
  <si>
    <t>South Terrace, north side, 19 December 1972. Left side of building abuts St.John's Lane east side. South Terrace frontage: 54 2/3 yards. St.John's Lane frontage: 141 2/3 yards.</t>
  </si>
  <si>
    <t>b20629667</t>
  </si>
  <si>
    <t>South Terrace, North side</t>
  </si>
  <si>
    <t>Photograph negative  20.8 cm x 16.1 cm</t>
  </si>
  <si>
    <t>b20629679</t>
  </si>
  <si>
    <t>photograph  20.8 cm x 16.1 cm</t>
  </si>
  <si>
    <t>South Terrace, north side, 19 December 1972. Left side of building abuts St.John's Lane east side.South Terrace frontage: 54 2/3 yards. St.John's Lane frontage: 141 2/3 yards.</t>
  </si>
  <si>
    <t>b20629680</t>
  </si>
  <si>
    <t>South Terrace, north side, 19 December 1972. Left side of this property abuts St.John's Lane east side where the frontage is 141 2/3 yards. South Terrace frontage: 54 2/3 yards.</t>
  </si>
  <si>
    <t>b20630499</t>
  </si>
  <si>
    <t>South Terrace, north side, 26th September, 1972. Left side of building is 71 yards east of Hanson Street. South Terrace frontage: 12 2/3 yards.</t>
  </si>
  <si>
    <t>b20630505</t>
  </si>
  <si>
    <t>South Terrace, north side, 26th September 1972. Left side of building is 71 yards east of Hanson Street. South Terrace frontage: 12 2/3 yards.</t>
  </si>
  <si>
    <t>b20630670</t>
  </si>
  <si>
    <t>Hanson Street, west side, 2nd June 1972. Right side of building is 31 1/3 yards south, Delhi Street. Frontage on Hanson Street is 3 yards.</t>
  </si>
  <si>
    <t>b20630682</t>
  </si>
  <si>
    <t>b20637299</t>
  </si>
  <si>
    <t>Jeffcott Street, West Side</t>
  </si>
  <si>
    <t>Jeffcott Street, west side, 24th October 1972. Right side of building is 140 3/4 yards south of Ward Street. Jeffcott Street frontage: 23 yards.</t>
  </si>
  <si>
    <t>b20637305</t>
  </si>
  <si>
    <t>Jeffcott Street, west side, 24th October 1972. Right side of building is 140 3/4 yards south of Ward Street.</t>
  </si>
  <si>
    <t>b20637317</t>
  </si>
  <si>
    <t>b20637408</t>
  </si>
  <si>
    <t>Strangways Place, West Side</t>
  </si>
  <si>
    <t>Strangways Place, west side, 24th October 1972. Left side of building is 53 2/3 yards north of Strangways Terrace. Frontage: 7 2/3 yards.</t>
  </si>
  <si>
    <t>Acre 758 Collection</t>
  </si>
  <si>
    <t>b2063741x</t>
  </si>
  <si>
    <t>Photographl  21 cm x 15.5 cm</t>
  </si>
  <si>
    <t>b20637421</t>
  </si>
  <si>
    <t>Strangways Place, west side, 24th October, 1972 showing notice declaring that the building was unfit for human habitation. Left side of building is 53 2/3 yards north of Strangways Terrace. Frontage: 7 2/3 yards.</t>
  </si>
  <si>
    <t>b20637433</t>
  </si>
  <si>
    <t>b20644218</t>
  </si>
  <si>
    <t>Photograph  18.5 cm x 15 cm</t>
  </si>
  <si>
    <t>Barton Terrace, south side, 14th August 1972. Right side of building is 194 yards east of Mills Terrace. Barton Street frontage is 49 1/3 yards.</t>
  </si>
  <si>
    <t>b2064422x</t>
  </si>
  <si>
    <t>Barton Terrace, south side, 14th August 1972 Right side of building is 194 yards east of Mills Terrace. Barton Street frontage: 49 1/3 yards.</t>
  </si>
  <si>
    <t>b20644231</t>
  </si>
  <si>
    <t>Barton Terrace, south side, 14th August 1972. Detail.</t>
  </si>
  <si>
    <t>b20644243</t>
  </si>
  <si>
    <t>Barton Terrace, south side, 14th August 1972. Wood and masonite building at the rear of a house 194 yards east of Mills Terrace. See B26653-4.</t>
  </si>
  <si>
    <t>b20644267</t>
  </si>
  <si>
    <t>Mills Terrace, east side, 24 th October 1972. Mills Terrace east side abuts Barton Terrace, south side . Mills Terrace frontage: 26 1/3 yards  Barton Terrace frontage: 51 yards.</t>
  </si>
  <si>
    <t>b20644280</t>
  </si>
  <si>
    <t>Mills Terrace, east side, 24th October 1972. Mills Terrace east side abuts Barton Terrace south side . Mills Terrace frontage is 26 1/3 yards : Barton Terrace frontage is 51 yards.</t>
  </si>
  <si>
    <t>b20644292</t>
  </si>
  <si>
    <t>Photograph  21.8 cm x 14.4 cm</t>
  </si>
  <si>
    <t>Mills Terrace, east side, 24th October 1972. Mills Terrace east side abuts Barton Terrace south side. Mills Terrace frontage 26 1/3 yards. Barton Terrace frontage is 51 yards.</t>
  </si>
  <si>
    <t>b20545101</t>
  </si>
  <si>
    <t>Photograph &amp; neg.  20.6 cm x 15.6 cm</t>
  </si>
  <si>
    <t>North Terrace, South side. 1 June 1973. Left side of building abuts Fenn Place, West side. North Terrace frontage is 31 1/3 yards.</t>
  </si>
  <si>
    <t>b20545113</t>
  </si>
  <si>
    <t>North Terrace, South Side 1 June 1973 left side of building abuts Fenn Place, West side. North Terrace frontage is 31 1/3 yards.</t>
  </si>
  <si>
    <t>b20559781</t>
  </si>
  <si>
    <t>Tullis Hunter Australia Pty Ltd., Morphett Street</t>
  </si>
  <si>
    <t>Tullis Hunter Australia Pty Ltd., Morphett Street, west side. 13 February 1973. Right side of building is 70 2/3 yards south of Hindley Street. Morphett Street frontage is 31 2/3 yards.</t>
  </si>
  <si>
    <t>b20559793</t>
  </si>
  <si>
    <t>Photograph  21.1 cm x 16 cm</t>
  </si>
  <si>
    <t>Tullis Hunter Australia Pty Ltd., Morphett Street, west side, 13 February 1973. Right side of building is 70 2/3 yards south of Hindley Street. Morphett Street frontage is 31 2/3 yards.</t>
  </si>
  <si>
    <t>b20570077</t>
  </si>
  <si>
    <t>Grenfell Street, north side, 20th July 1973.</t>
  </si>
  <si>
    <t>b20570089</t>
  </si>
  <si>
    <t>b20570156</t>
  </si>
  <si>
    <t>Grenfell Street, north side, 20th July 1973. Left side of building is 14 yards east of Gawler Place. Grenfell Street frontage: 19 2/3 yards.</t>
  </si>
  <si>
    <t>b20570727</t>
  </si>
  <si>
    <t>James Place, East Side, 31 August, 1973. Right side of building is 72 yards north of Grenfell Street, James Place frontage is 5 yards.</t>
  </si>
  <si>
    <t>b20570739</t>
  </si>
  <si>
    <t>James Place, East Side, 31 August, 1973.</t>
  </si>
  <si>
    <t>b20593983</t>
  </si>
  <si>
    <t>McMillans Motors Franklin Street</t>
  </si>
  <si>
    <t>McMillans Motors building, Franklin Street, north side, 28th September 1973. The left side of the building is 61 and two third yards east of Young Street, frontage: 12 and one third yards.</t>
  </si>
  <si>
    <t>Acre 240 Collection</t>
  </si>
  <si>
    <t>b20593995</t>
  </si>
  <si>
    <t>Franklin Street, north side 28th September 1973.</t>
  </si>
  <si>
    <t>b20596637</t>
  </si>
  <si>
    <t>Photograph  20.6 cm x 15.6 cm</t>
  </si>
  <si>
    <t>Franklin Street, south side, 13th February 1973. Right side of building is 55 1/3 yards east of Pitt Street. Franklin Street frontage: 33 yards.</t>
  </si>
  <si>
    <t>b20596649</t>
  </si>
  <si>
    <t>Franklin Street, south side, 13th February 1973. Right side of building is 55 1/3 yards east of Pitt Street. Franklin Street frontage is 33 yards.</t>
  </si>
  <si>
    <t>b20597423</t>
  </si>
  <si>
    <t>Flinders Street, south side 17th August 1973. Left side of building abuts Gawler Place, west side.</t>
  </si>
  <si>
    <t>b20597435</t>
  </si>
  <si>
    <t>b20597447</t>
  </si>
  <si>
    <t>b2059821x</t>
  </si>
  <si>
    <t>Flinders Street, south side, 9th March 1973. Right side of building is 52 1/3 yards east of Pulteney Street. Flinders Street frontage is 14 yards.</t>
  </si>
  <si>
    <t>b20598221</t>
  </si>
  <si>
    <t>b20598233</t>
  </si>
  <si>
    <t>Flinders Street, south side, 2nd November 1973. South side of building abuts Pulteney Court on north side. West side of building is 27 2/3 yards east of Pulteney Street. Flinders Street frontage is 27 2/3 yards. Pulteney Court frontage is 27 2/3 yards. Pulteney Street frontage is 12 yards.</t>
  </si>
  <si>
    <t>b2060094x</t>
  </si>
  <si>
    <t>Wakefield Street, North Side 6th April, 1973.</t>
  </si>
  <si>
    <t>b20600951</t>
  </si>
  <si>
    <t>Unitarian Christian Church</t>
  </si>
  <si>
    <t>Unitarian Christian Church, Wakefield Street, north side 6th April, 1973.</t>
  </si>
  <si>
    <t>b20600963</t>
  </si>
  <si>
    <t>b20601840</t>
  </si>
  <si>
    <t>Grote Street, north side, 23 November 1973. West side of the building is 26 1/3 yards east of Bowen Street, east side. Grote Street frontage is 16 yards.</t>
  </si>
  <si>
    <t>Acre 310 Collection</t>
  </si>
  <si>
    <t>b20601852</t>
  </si>
  <si>
    <t>b20601864</t>
  </si>
  <si>
    <t>Grote Street, north side, 23 November 1973. West side of building is 26 1/3 yards east of Bowen Street, east side. Grote Street frontage is 16 yards.</t>
  </si>
  <si>
    <t>b20602583</t>
  </si>
  <si>
    <t>Byron Place, West Side</t>
  </si>
  <si>
    <t>Byron Place, west side, 21st December 1973. South side of the building is 36 1/3 yards north of Grote Street. Byron Place frontage is 35 yards.</t>
  </si>
  <si>
    <t>b20602686</t>
  </si>
  <si>
    <t>Grote Street, north side 2nd November 1973. West side of building abuts Ruthven Avenue on east side. Grote Street frontage is 11 yards. Ruthven Avenue frontage is 21 yards.</t>
  </si>
  <si>
    <t>b20602698</t>
  </si>
  <si>
    <t>Grote Street, north side, 2nd November 1973. West side of building abuts Ruthven Avenue on east side. Grote Street frontage is 11 yards. Ruthven Avenue frontage is 21 yards.</t>
  </si>
  <si>
    <t>b20602856</t>
  </si>
  <si>
    <t>Service Station, West Terrace, East Side</t>
  </si>
  <si>
    <t>Service Station, West Terrace, east side, 12 October 1973. East side of building abuts Grote Street on south side. West Terrace frontage is 61 yards. Grote Street frontage is 41 yards.</t>
  </si>
  <si>
    <t>Acre 321 Collection</t>
  </si>
  <si>
    <t>b20608342</t>
  </si>
  <si>
    <t>Angas Street, North side</t>
  </si>
  <si>
    <t>Angas Street, North side : 13 July 1973. Left side of building abuts Elder Street, south side. Right side of building abuts Little Elder Street, west side. Angas Street frontage is 44 yds. Elder Street frontage is 20-2/3 yds.</t>
  </si>
  <si>
    <t>b20608354</t>
  </si>
  <si>
    <t>Angas Street, North side : 13 July 1973. Left side of building abuts Elder Street, south side. Right side of building abuts Little Elder Street, west side. Angas Street frontage is 44 yds. Elder frontage is 20-2/3 yds.</t>
  </si>
  <si>
    <t>b20608366</t>
  </si>
  <si>
    <t>Angas Street, north side: 13 July 1973. Left side of building abuts Elder Street, south side. Right side of building abuts Little Elder Street, west side. Angas Street frontage is 44 yds. Elder Street frontage is 20-2/3 yds.</t>
  </si>
  <si>
    <t>b20608378</t>
  </si>
  <si>
    <t>b2060838x</t>
  </si>
  <si>
    <t>b20608391</t>
  </si>
  <si>
    <t>Angas Street, north side: 13 July 1973 Left side of building abuts Elder Street, south side. Right side of building abuts Little Elder Street, west side. Angas Street frontage is 44 yds. Elder Street frontage is 20-2/3 yds.</t>
  </si>
  <si>
    <t>b20611109</t>
  </si>
  <si>
    <t>Bailey Street</t>
  </si>
  <si>
    <t>Bailey Street, east side, 12 October 1973. Left side of building abuts Gouger Street on south side. Bailey Street frontage of extension to be built is 11 1/3 yards. Existing built-up Bailey Street frontage is 59 1/3 yards.</t>
  </si>
  <si>
    <t>b20611110</t>
  </si>
  <si>
    <t>Fantasia's Catering Service van, Bailey Street</t>
  </si>
  <si>
    <t>Fantasia's Catering Service van parked in derelict building, Bailey Street, east side, 12 October 1973. Left side of building abuts Gouger Street on south side. Bailey Street frontage of extension to be built is 11 1/3 yards. Existing built up Bailey Street frontage is 59 1/3 yards.</t>
  </si>
  <si>
    <t>b20611122</t>
  </si>
  <si>
    <t>b20611134</t>
  </si>
  <si>
    <t>Bailey Street, east side, 12 October 1973. Left side of building abuts Gouger Street on south side. Bailey Street frontage of extension to the built is 11 1/3 yards. Existing built-up Bailey Street frontage is 59 1/3 yards.</t>
  </si>
  <si>
    <t>b20614536</t>
  </si>
  <si>
    <t>Angas Street, south side, 23rd January 1973. Left side of building is 162 1/3 yards west of East Terrace. Angas Street frontage is 14 2/3 yards.</t>
  </si>
  <si>
    <t>b20614548</t>
  </si>
  <si>
    <t>Photograph  20.2 cm x 16.2 cm</t>
  </si>
  <si>
    <t>Angas Street, south side, 23rd January 1973. Left side of building is 161 1/3 yards west of East Terrace. Angas Street frontage: 14 2/3 yards.</t>
  </si>
  <si>
    <t>b2061455x</t>
  </si>
  <si>
    <t>Photograph  20.5 cm x 15.8 cm</t>
  </si>
  <si>
    <t>b20618256</t>
  </si>
  <si>
    <t>King William Street, West Side</t>
  </si>
  <si>
    <t>King William Street, west side, 12th November 1973. north side of building abuts Wright Street, south side. King William Street frontage: 19 yards. Wright Street frontage: 32 yards.</t>
  </si>
  <si>
    <t>b20618268</t>
  </si>
  <si>
    <t>King William Street, west side, 12th November 1973. North side of building abuts Wright Street, south side. King William Street frontage: 19 yards. Wright Street frontage: 32 yards.</t>
  </si>
  <si>
    <t>b20618384</t>
  </si>
  <si>
    <t>ASIO's Restaurant, King William Street</t>
  </si>
  <si>
    <t>ASIO's Restaurant, 342 King William Street, east side, 8th June 1973. Right side of building is 59 2/3 yards north of Halifax Street. Frontage: 11 1/3 yards.</t>
  </si>
  <si>
    <t>b20618396</t>
  </si>
  <si>
    <t>ASIO's Restaurant, King William Street, East Side</t>
  </si>
  <si>
    <t>ASIO's Restaurant, 342 King William Street, east side, 8th June 1973. Right side of building is 59 2/3 yards north of Halifax Street. King William Street frontage is 11 1/3 yards.</t>
  </si>
  <si>
    <t>b20622338</t>
  </si>
  <si>
    <t>Sturt Street, south side, 22 June 1973. Left side of building is 9 1/3 yards west of Little Sturt Street. Sturt Street frontage is 5 yards.</t>
  </si>
  <si>
    <t>b2062234x</t>
  </si>
  <si>
    <t>Sturt Street, south side. Left side of building is 9 1/3 yards west of Little Sturt Street. Sturt Street frontage is 5 yards.</t>
  </si>
  <si>
    <t>b20622442</t>
  </si>
  <si>
    <t>Photograph  20.1 cm x 16.2 cm</t>
  </si>
  <si>
    <t>Sturt Street, south side, 23 January 1973. Left side of single storey building is 19 yards west of Logan Street. Frontage of single storey building is 7 1/3 yards. Frontage of two storey building is 12 yards.</t>
  </si>
  <si>
    <t>b20622454</t>
  </si>
  <si>
    <t>Sturt Street, south side, 23 January 1973. Left side of single storey building is 19 yards west of Logan Street. Frontage of single storey building is 7 2/3 yards. Frontage of two storey building is 12 yards.</t>
  </si>
  <si>
    <t>b20628092</t>
  </si>
  <si>
    <t>Gilbert Street, south side, 31st August 1973. Left side of building abuts Percy Court, west side. Gilbert Street frontage is 10 1/3 yards. Percy Court frontage is 63 2/3 yards.</t>
  </si>
  <si>
    <t>b20628109</t>
  </si>
  <si>
    <t>b20628110</t>
  </si>
  <si>
    <t>Gilbert Street, south side, 31 August, 1973. Left side of building abuts Percy Court, west side. Gilbert Street frontage is 10 1/3 yards. Percy Court frontage is 63 2/3 yards.</t>
  </si>
  <si>
    <t>b20628869</t>
  </si>
  <si>
    <t>Gilles Street, south side, 30 March 1973. Left side of no.127 abuts Delhi Street, west side where the frontage is 22 2/3 yards. Gilles Street frontage: 10 1/3 yards.</t>
  </si>
  <si>
    <t>b20628870</t>
  </si>
  <si>
    <t>b20628882</t>
  </si>
  <si>
    <t>b20628894</t>
  </si>
  <si>
    <t>Gilles Street, south side, 17 August 1973. Gilles Street south side is 113 yards west of Pulteney Street. Frontage: 7 yards.</t>
  </si>
  <si>
    <t>b20628900</t>
  </si>
  <si>
    <t>b20628912</t>
  </si>
  <si>
    <t>b20644279</t>
  </si>
  <si>
    <t>Photograph  21.7 cm x 14.8 cm</t>
  </si>
  <si>
    <t>Mills Terrace, east side, 16th January 1973 . Mills Terrace east side abuts Barton Terrace south side. Mills Terrace frontage is 26 1/3 yards. Barton Terrace frontage 51 yards.</t>
  </si>
  <si>
    <t>b20288281</t>
  </si>
  <si>
    <t>Floods at Mannum</t>
  </si>
  <si>
    <t>Photograph  12 cm x 8 cm</t>
  </si>
  <si>
    <t>Looking South from lookout during floods in December 1974.</t>
  </si>
  <si>
    <t>Floods -- South Australia -- Mannum</t>
  </si>
  <si>
    <t>b20594574</t>
  </si>
  <si>
    <t>Franklin Street, north side 22 March 1974. The east side of the building abuts Tatham Street on west side. Tatham Street frontage is 45 and two third yards. Franklin Street frontage is 20 and one third yards.</t>
  </si>
  <si>
    <t>b20594586</t>
  </si>
  <si>
    <t>Franklin Street, north side 22 March 1974. East side of building abuts Tatham Street on west side. Tatham Street frontage is 45 and two third yards. Franklin Street frontage is 20 and one third yards.</t>
  </si>
  <si>
    <t>b20594598</t>
  </si>
  <si>
    <t>Franklin Street, north side 22 March 1974.</t>
  </si>
  <si>
    <t>b20594604</t>
  </si>
  <si>
    <t>b20613581</t>
  </si>
  <si>
    <t>Angas Street, south side, 8th March 1974 showing "The Australia", dance and concert hall erected in 1929. West side of building abuts Moore Street, east side. Moore Street frontage is 17 1/3 yards, Angas Street frontage is 30 2/3 yards.</t>
  </si>
  <si>
    <t>b20613593</t>
  </si>
  <si>
    <t>Angas Street, south side 8th March 1974 showiing "The Australia" dance and concert hall erected in 1929. West side of building abuts Moore Street, east side. Moore Street frontage: 17 1/3 yards. Angas Street frontage: 30 2/3 yards.</t>
  </si>
  <si>
    <t>b2061360x</t>
  </si>
  <si>
    <t>Angas Street, south side, 8th March 1974. West side of building abuts Moore Street, east side. Mjoore Street frontage is 17 1/3 yards. Angas Street frontage: 30 2/3 yards.</t>
  </si>
  <si>
    <t>b20614627</t>
  </si>
  <si>
    <t>East Terrace, West side</t>
  </si>
  <si>
    <t>East Terrace, west side, 28th January 1974. South side of building is 78 1/3 yards north of Carrington Street. East Terrace frontage is 33 1/3 yards.</t>
  </si>
  <si>
    <t>b20614639</t>
  </si>
  <si>
    <t>East Terrace, West Side</t>
  </si>
  <si>
    <t>East Terrace, west side, 28th June 1974. South side of building is 78 1/3 yards north of Carrington Street. East Terrace frontage is 33 1/3 yards.</t>
  </si>
  <si>
    <t>b20614640</t>
  </si>
  <si>
    <t>Photograph  20.8 cm x 16.1 cm</t>
  </si>
  <si>
    <t>b20614652</t>
  </si>
  <si>
    <t>Photograph  21.4 cm x 15 cm</t>
  </si>
  <si>
    <t>b20618906</t>
  </si>
  <si>
    <t>Carrington Street, south side, 15th February 1974. Left side of building is 48 yards east of St. Helena Place. Carrington Street frontage is 14 2/3 yards.</t>
  </si>
  <si>
    <t>b20618918</t>
  </si>
  <si>
    <t>Carrington Street, south side, 15th February 1974. Left side of building is 48 yards east of St.Helena Place. Carrington Street frontage: 14 2/3 yards.</t>
  </si>
  <si>
    <t>b20619492</t>
  </si>
  <si>
    <t>Carrington Street, South side</t>
  </si>
  <si>
    <t>Carrington Street, south side, 28th June 1974. East side of building is 40 yards west of Marion Street. Carrington Street frontage: 4 2/3 yards.</t>
  </si>
  <si>
    <t>Acre 503 Collection</t>
  </si>
  <si>
    <t>b20619509</t>
  </si>
  <si>
    <t>Carrington Street, south side, 28th June 1974. Detail from building 40 yards west of Marion Street.</t>
  </si>
  <si>
    <t>b20619510</t>
  </si>
  <si>
    <t>Photograph  20.1 cm x 16.4 cm</t>
  </si>
  <si>
    <t>b20628924</t>
  </si>
  <si>
    <t>Gilles Street, south side, 22 February 1974. West side of building abuts Delhi Street on east side. Gilles Street frontage: 102 2/3 yards.</t>
  </si>
  <si>
    <t>b20628936</t>
  </si>
  <si>
    <t>Gilles Street, south side, 2 February 1974. West side of building abuts Delhi Street on east side. Gilles Street frontage: 102 2/3 yards.</t>
  </si>
  <si>
    <t>b20629540</t>
  </si>
  <si>
    <t>South Terrace, north side  1 February 1974. West side of building abuts St. John's Lane. St. John's Lane frontage is 74 yards, South Terrace frontage is 55 yards.</t>
  </si>
  <si>
    <t>Acre 663 Collection</t>
  </si>
  <si>
    <t>b20629552</t>
  </si>
  <si>
    <t>South Terrace, south side  1 February 1974.</t>
  </si>
  <si>
    <t>b20629564</t>
  </si>
  <si>
    <t>South Terrace, north side  1 February, 1974. West side of building abuts St. John's Lane. St. John's Lane frontage is 74 yards. South Terrace frontage is 55 yards.</t>
  </si>
  <si>
    <t>b20629576</t>
  </si>
  <si>
    <t>South Terrace, north side  1 February 1974.</t>
  </si>
  <si>
    <t>b20629588</t>
  </si>
  <si>
    <t>b2062959x</t>
  </si>
  <si>
    <t>b20629606</t>
  </si>
  <si>
    <t>b20640766</t>
  </si>
  <si>
    <t>Radio 5 DN's 50th Anniversary</t>
  </si>
  <si>
    <t>Radio 5 DN's 50th Anniversary: Rex Palmer, (former Manager), Mr. Bearup, (board member), Sir Mark Oliphant, J. Larkin (former Manager). June 1974.</t>
  </si>
  <si>
    <t>Larkin, Joe S.;Bearup, Mr;Palmer, Rex;Oliphant, Mark, Sir, 1901-2000;5DN (Radio station : Adelaide, S.A.) -- Anniversaries, etc.;Radio stations -- South Australia -- Adelaide</t>
  </si>
  <si>
    <t>b20648054</t>
  </si>
  <si>
    <t>Kingston Terrace, south side, 22 March 1974. West side of the building is 172 yards east of Fuller Street. Kingston Terrace frontage is 10 yards.</t>
  </si>
  <si>
    <t>b20662269</t>
  </si>
  <si>
    <t>Government Printing Office</t>
  </si>
  <si>
    <t>Photograph  21.2 cm x 13.4 cm</t>
  </si>
  <si>
    <t>Government Printing Office, King William Road, 17th June 1974.</t>
  </si>
  <si>
    <t>South Australia. Government Printing Office</t>
  </si>
  <si>
    <t>Adelaide Views Collection;Government Printing Office Collection</t>
  </si>
  <si>
    <t>b20455963</t>
  </si>
  <si>
    <t>Dutch Festival, Wayville</t>
  </si>
  <si>
    <t>Photograph (b&amp;w print)  8.9 cm x 13.2 cm;C1</t>
  </si>
  <si>
    <t>Dutch Festival Opening at Wayville.</t>
  </si>
  <si>
    <t>Festivals -- South Australia -- Wayville</t>
  </si>
  <si>
    <t>b20546191</t>
  </si>
  <si>
    <t>Victoria Street, West Side</t>
  </si>
  <si>
    <t>Photograph  20.1 cm x 16.5 cm</t>
  </si>
  <si>
    <t>Victoria Street, West Side 8 October 1976.</t>
  </si>
  <si>
    <t>b20546208</t>
  </si>
  <si>
    <t>Photograph  20.6 cm x 16.1 cm</t>
  </si>
  <si>
    <t>b20569269</t>
  </si>
  <si>
    <t>Grenfell Street, North Side, 15 October, 1976. Grenfell Street frontage is 30 metres.</t>
  </si>
  <si>
    <t>Acre 102 Collection</t>
  </si>
  <si>
    <t>b20569270</t>
  </si>
  <si>
    <t>Grenfell Street, North Side, 15 October, 1976.</t>
  </si>
  <si>
    <t>b20569282</t>
  </si>
  <si>
    <t>Photographl  20.9 cm x 15.7 cm</t>
  </si>
  <si>
    <t>b20569841</t>
  </si>
  <si>
    <t>Photograph  16.1 cm x 15.6 cm</t>
  </si>
  <si>
    <t>Grenfell Street, north side, 25th June 1976. Grenfell Street frontage is 94 metres  the site is 40 metres east of Gawler Place.</t>
  </si>
  <si>
    <t>b20569853</t>
  </si>
  <si>
    <t>Grenfell Street, north side, 25th June 1976 The site is 40 metres east of Gawler Place  frontage: 94 metres.</t>
  </si>
  <si>
    <t>b20586784</t>
  </si>
  <si>
    <t>Photograph  15.1 cm x 16.5 cm</t>
  </si>
  <si>
    <t>Pirie Street, South Side. Frontage is 25 metres and site is 66 metres east of King William Street. 9 July 1976.</t>
  </si>
  <si>
    <t>b20586796</t>
  </si>
  <si>
    <t>Photograph  15.2 cm x 15.9 cm</t>
  </si>
  <si>
    <t>Pirie Street, South Side, 9 July 1976. Pirie Street frontage is 25 metres and site is 66 metres east of King William Street.</t>
  </si>
  <si>
    <t>b20586802</t>
  </si>
  <si>
    <t>Photograph  16.3 cm x 16.9 cm</t>
  </si>
  <si>
    <t>Pirie Street, South Side, 9 July 1976.</t>
  </si>
  <si>
    <t>b20594768</t>
  </si>
  <si>
    <t>Balfour Wauchope building Morphett Street, West Side</t>
  </si>
  <si>
    <t>Photograph  20.4 cm x 15.1 cm</t>
  </si>
  <si>
    <t>Balfour Wauchope building North East corner of Morphett Street and Franklin Street, November 1976.</t>
  </si>
  <si>
    <t>b2059477x</t>
  </si>
  <si>
    <t>Photograph  20.5 cm x 14.7 cm</t>
  </si>
  <si>
    <t>Morphett Street, West Side November 1976.</t>
  </si>
  <si>
    <t>b20595451</t>
  </si>
  <si>
    <t>Photograph  20.3 cm x 16.5 cm</t>
  </si>
  <si>
    <t>Gray Street, east side 22nd October 1976. This building is 50 metres south of Franklin Street and 72 metres north of Grote Street. Frontage: 18 metres.</t>
  </si>
  <si>
    <t>b20595931</t>
  </si>
  <si>
    <t>Photograph  20.3 cm x 15.1 cm</t>
  </si>
  <si>
    <t>Morphett Street, west side 5th November 1976. Morphett Street frontage: 34 metres  Franklin Street frontage: 33 metres.</t>
  </si>
  <si>
    <t>b20595943</t>
  </si>
  <si>
    <t>Photograph  20.2 cm x 15 cm</t>
  </si>
  <si>
    <t>Morphett Street, west side 5th November 1976.</t>
  </si>
  <si>
    <t>b20596479</t>
  </si>
  <si>
    <t>Franklin Street, south side, 24th September 1976, corner of Pitt and Franklin Street. Frontage on Franklin Street: 28.3 metres.</t>
  </si>
  <si>
    <t>b20596492</t>
  </si>
  <si>
    <t>Franklin Street, south side, 24th September 1976, corner of Pitt and Franklin Streets.</t>
  </si>
  <si>
    <t>b20602376</t>
  </si>
  <si>
    <t>Photograph  20.3 cm x 17.1 cm</t>
  </si>
  <si>
    <t>Grote Street, north side, 22 October 1976. Grote Street frontage: 28 metres. Morphett Street frontage: 13 metres.</t>
  </si>
  <si>
    <t>b20602388</t>
  </si>
  <si>
    <t>Photograph  20.2 cm x 17.1 cm</t>
  </si>
  <si>
    <t>Grote Street, north side. Grote Street frontage: 28 metres. Morphett Street frontage: 13 metres.</t>
  </si>
  <si>
    <t>b20622351</t>
  </si>
  <si>
    <t>Photograph  15.1 cm x 15.8 cm</t>
  </si>
  <si>
    <t>Sturt Street, south side, 10 May 1976. Sturt Street frontage is 21 metres. Little Sturt Street frontage is 28 metres.</t>
  </si>
  <si>
    <t>b20622363</t>
  </si>
  <si>
    <t>Photograph  16.6 cm x 15.7 cm</t>
  </si>
  <si>
    <t>b20622375</t>
  </si>
  <si>
    <t>Photograph  16.9 cm x 15.6 cm</t>
  </si>
  <si>
    <t>b20629849</t>
  </si>
  <si>
    <t>Photograph  17.1 cm x 15.8 cm</t>
  </si>
  <si>
    <t>South Terrace, north side, 10 May 1976. South Terrace frontage : 16 metres. Site is 82 metres east of Hutt Street, and 29 metres west of Vincent Street.</t>
  </si>
  <si>
    <t>b20629850</t>
  </si>
  <si>
    <t>South Terrace, north side, 10 May 1976. South Terrace frontage: 16 metres. Site is 82 metres east of Hutt Street, and 29 metres west of Vincent Street.</t>
  </si>
  <si>
    <t>b20629862</t>
  </si>
  <si>
    <t>Photograph  17.1 cm x 15.9 cm</t>
  </si>
  <si>
    <t>b20644309</t>
  </si>
  <si>
    <t>Photograph  16.5 cm x 16.2 cm</t>
  </si>
  <si>
    <t>Barton Terrace, south side, 25 th June 1976. Barton Terrace frontage is 18 metres. Site is 41 metres east of Mills Terrace.</t>
  </si>
  <si>
    <t>b20644310</t>
  </si>
  <si>
    <t>Photograph  16.8 cm x 15.9 cm</t>
  </si>
  <si>
    <t>Barton Terrace, south side 25th June 1976 Barton Terrace Frontage is 18 metres. Site is 41 metres east of Mills Terrace.</t>
  </si>
  <si>
    <t>b20647463</t>
  </si>
  <si>
    <t>Brougham Place, East Side</t>
  </si>
  <si>
    <t>Photograph  19.5 cm x 16.7 cm</t>
  </si>
  <si>
    <t>Brougham Place, east side, 1st October 1976 showing the Congregational Church.</t>
  </si>
  <si>
    <t>Acre 1026 Collection</t>
  </si>
  <si>
    <t>b20647475</t>
  </si>
  <si>
    <t>Photograph  19 cm x 17.3 cm</t>
  </si>
  <si>
    <t>Brougham Place, east side, 1 0ctober 1976, showing Congregational Church.</t>
  </si>
  <si>
    <t>b20189424</t>
  </si>
  <si>
    <t>Anlaby Homestead</t>
  </si>
  <si>
    <t>Front of main house at Anlaby Station.</t>
  </si>
  <si>
    <t>Sheep ranches -- South Australia -- Kapunda Region;Farmhouses -- South Australia -- Kapunda Region;Gardens -- South Australia -- Kapunda Region;Anlaby (S.A.)</t>
  </si>
  <si>
    <t>Anlaby Collection</t>
  </si>
  <si>
    <t>b20189436</t>
  </si>
  <si>
    <t>Front of main house of Anlaby Station taken on 2 December 1977.</t>
  </si>
  <si>
    <t>b20189448</t>
  </si>
  <si>
    <t>Front view of main house at Anlaby, 2 December 1977.</t>
  </si>
  <si>
    <t>b2018945x</t>
  </si>
  <si>
    <t>Front of main house of Anlaby homestead.</t>
  </si>
  <si>
    <t>b20189461</t>
  </si>
  <si>
    <t>Front of main house at Anlaby, 2 December 1977.</t>
  </si>
  <si>
    <t>b20189473</t>
  </si>
  <si>
    <t>Anlaby homestead, 2 December 1977.</t>
  </si>
  <si>
    <t>Sheep ranches -- South Australia -- Kapunda Region;Farmhouses -- South Australia -- Kapunda Region;Anlaby (S.A.)</t>
  </si>
  <si>
    <t>b20189485</t>
  </si>
  <si>
    <t>Driveway into Anlaby homestead, 2 December 1977.</t>
  </si>
  <si>
    <t>Sheep ranches -- South Australia -- Kapunda Region;Farmhouses -- South Australia -- Kapunda Region;Driveways -- South Australia -- Kapunda Region;Anlaby (S.A.)</t>
  </si>
  <si>
    <t>b20189497</t>
  </si>
  <si>
    <t>Anlaby homestead.</t>
  </si>
  <si>
    <t>Sheep ranches -- South Australia -- Kapunda Region;Farmhouses -- South Australia -- Kapunda Region;Wrought-iron -- South Australia -- Kapunda Region;Anlaby (S.A.)</t>
  </si>
  <si>
    <t>b20189503</t>
  </si>
  <si>
    <t>b20189515</t>
  </si>
  <si>
    <t>b20189527</t>
  </si>
  <si>
    <t>Wall and gate at Anlaby homestead.</t>
  </si>
  <si>
    <t>Sheep ranches -- South Australia -- Kapunda Region;Anlaby (S.A.)</t>
  </si>
  <si>
    <t>b20189539</t>
  </si>
  <si>
    <t>Back view of Anlaby showing dog house.</t>
  </si>
  <si>
    <t>Sheep ranches -- South Australia -- Kapunda Region;Gardens -- South Australia -- Kapunda Region;Anlaby (S.A.)</t>
  </si>
  <si>
    <t>b20189540</t>
  </si>
  <si>
    <t>Anlaby</t>
  </si>
  <si>
    <t>b20189564</t>
  </si>
  <si>
    <t>Tower at Anlaby</t>
  </si>
  <si>
    <t>Distant view of two storey tower building at Anlaby homestead.</t>
  </si>
  <si>
    <t>Sheep ranches -- South Australia -- Kapunda Region;Towers -- South Australia -- Kapunda Region;Anlaby (S.A.)</t>
  </si>
  <si>
    <t>b20189576</t>
  </si>
  <si>
    <t>Lawn and garden of Anlaby homestead.</t>
  </si>
  <si>
    <t>b20189588</t>
  </si>
  <si>
    <t>Side view of Anlaby homestead, 2 December 1977.</t>
  </si>
  <si>
    <t>b2018959x</t>
  </si>
  <si>
    <t>Ivy covered outbuilding at Anlaby.</t>
  </si>
  <si>
    <t>Sheep ranches -- South Australia -- Kapunda Region;Farm buildings -- South Australia -- Kapunda Region;Anlaby (S.A.)</t>
  </si>
  <si>
    <t>b20189606</t>
  </si>
  <si>
    <t>Ivy covered building at Anlaby.</t>
  </si>
  <si>
    <t>b20189618</t>
  </si>
  <si>
    <t>Outbuilding with horse dray out the front at Anlaby.</t>
  </si>
  <si>
    <t>b2018962x</t>
  </si>
  <si>
    <t>Outbuilding at Anlaby.</t>
  </si>
  <si>
    <t>b20189631</t>
  </si>
  <si>
    <t>Outbuildings at Anlaby, 2 December 1977.</t>
  </si>
  <si>
    <t>b20189643</t>
  </si>
  <si>
    <t>Farm Buildings at Anlaby</t>
  </si>
  <si>
    <t>Farm buildings at Anlaby.</t>
  </si>
  <si>
    <t>b20189655</t>
  </si>
  <si>
    <t>View of the stables at Anlaby homestead.</t>
  </si>
  <si>
    <t>Sheep ranches -- South Australia -- Kapunda Region;Farm buildings -- South Australia -- Kapunda Region;Stables -- South Australia -- Kapunda Region;Anlaby (S.A.)</t>
  </si>
  <si>
    <t>b20189667</t>
  </si>
  <si>
    <t>Outbuildings at Anlaby.</t>
  </si>
  <si>
    <t>b20189679</t>
  </si>
  <si>
    <t>View of the clock set into one of the outbuildings at Anlaby.</t>
  </si>
  <si>
    <t>Sheep ranches -- South Australia -- Kapunda Region;Clocks and watches -- South Australia -- Kapunda Region;Anlaby (S.A.)</t>
  </si>
  <si>
    <t>b20189680</t>
  </si>
  <si>
    <t>Delapidated building at Anlaby homestead.</t>
  </si>
  <si>
    <t>b20189692</t>
  </si>
  <si>
    <t>Delapidated house on Anlaby homestead.</t>
  </si>
  <si>
    <t>Sheep ranches -- South Australia -- Kapunda Region;Cottages -- South Australia -- Kapunda Region;Anlaby (S.A.)</t>
  </si>
  <si>
    <t>b20189709</t>
  </si>
  <si>
    <t>Dam at Anlaby homestead, 2 December 1977.</t>
  </si>
  <si>
    <t>Sheep ranches -- South Australia -- Kapunda Region;Dams -- South Australia -- Kapunda Region;Anlaby (S.A.)</t>
  </si>
  <si>
    <t>b20189710</t>
  </si>
  <si>
    <t>Old horse wagon outside one of the buildings at Anlaby.</t>
  </si>
  <si>
    <t>Sheep ranches -- South Australia -- Kapunda Region;Wagons -- South Australia -- Kapunda Region;Anlaby (S.A.)</t>
  </si>
  <si>
    <t>b20189722</t>
  </si>
  <si>
    <t>Anlaby Dam</t>
  </si>
  <si>
    <t>Dam at Anlaby homestead.</t>
  </si>
  <si>
    <t>b20189734</t>
  </si>
  <si>
    <t>Anlaby Gardens</t>
  </si>
  <si>
    <t>Iron fence and overgrown garden at Anlaby.</t>
  </si>
  <si>
    <t>Sheep ranches -- South Australia -- Kapunda Region;Fences -- South Australia -- Kapunda Region;Gardens -- South Australia -- Kapunda Region;Wrought-iron -- South Australia -- Kapunda Region;Anlaby (S.A.)</t>
  </si>
  <si>
    <t>b20189746</t>
  </si>
  <si>
    <t>Steps at front of main house at Anlaby.</t>
  </si>
  <si>
    <t>b20189758</t>
  </si>
  <si>
    <t>Ornate iron fence at Anlaby homestead.</t>
  </si>
  <si>
    <t>Sheep ranches -- South Australia -- Kapunda Region;Fences -- South Australia -- Kapunda Region;Wrought-iron -- South Australia -- Kapunda Region;Anlaby (S.A.)</t>
  </si>
  <si>
    <t>b2018976x</t>
  </si>
  <si>
    <t>Old iron gate in the gardens of Anlaby.</t>
  </si>
  <si>
    <t>b20189771</t>
  </si>
  <si>
    <t>Book shelves in Anlaby homestead.</t>
  </si>
  <si>
    <t>b20189783</t>
  </si>
  <si>
    <t>Office Desk and Chair</t>
  </si>
  <si>
    <t>Office Desk and chair in Anlaby homestead.</t>
  </si>
  <si>
    <t>Sheep ranches -- South Australia -- Kapunda Region;Office furniture -- South Australia -- Kapunda Region;Anlaby (S.A.)</t>
  </si>
  <si>
    <t>b20189795</t>
  </si>
  <si>
    <t>Anlaby Trophy</t>
  </si>
  <si>
    <t>Mounted deer's head in Anlaby homestead.</t>
  </si>
  <si>
    <t>Taxidermy -- South Australia -- Kapunda Region;Sheep ranches -- South Australia -- Kapunda Region;Anlaby (S.A.)</t>
  </si>
  <si>
    <t>b20189801</t>
  </si>
  <si>
    <t>Anlaby War Memorial</t>
  </si>
  <si>
    <t>Memorial to employees who enlisted during the Great War from Anlaby Station.</t>
  </si>
  <si>
    <t>Sheep ranches -- South Australia -- Kapunda Region;War memorials -- South Australia -- Kapunda Region;Monuments -- South Australia -- Kapunda Region;Anlaby (S.A.)</t>
  </si>
  <si>
    <t>b20189813</t>
  </si>
  <si>
    <t>Anlaby Relics</t>
  </si>
  <si>
    <t>Iron pot at Anlaby homestead.</t>
  </si>
  <si>
    <t>Sheep ranches -- South Australia -- Kapunda Region;Foundries -- South Australia -- Kapunda Region;Anlaby (S.A.)</t>
  </si>
  <si>
    <t>b20189825</t>
  </si>
  <si>
    <t>Medicine Chest</t>
  </si>
  <si>
    <t>Old medicine chest at Anlaby homestead.</t>
  </si>
  <si>
    <t>Sheep ranches -- South Australia -- Kapunda Region;Medicine bottles -- South Australia -- Kapunda Region;Anlaby (S.A.)</t>
  </si>
  <si>
    <t>b20189837</t>
  </si>
  <si>
    <t>Close view of the old medicine bottles in the medicine chest at Anlaby homestead.</t>
  </si>
  <si>
    <t>b20189849</t>
  </si>
  <si>
    <t>Medicine chest and contents at Anlaby homestead.</t>
  </si>
  <si>
    <t>b20189850</t>
  </si>
  <si>
    <t>Old medicine bottles in medicine chest.</t>
  </si>
  <si>
    <t>b20189862</t>
  </si>
  <si>
    <t>Pond and statue of cherub in gardens at Anlaby homestead.</t>
  </si>
  <si>
    <t>Sheep ranches -- South Australia -- Kapunda Region;Garden ornaments and statues -- South Australia -- Kapunda Region;Anlaby (S.A.)</t>
  </si>
  <si>
    <t>b20189874</t>
  </si>
  <si>
    <t>Ornamental garden in the grounds of Anlaby homestead.</t>
  </si>
  <si>
    <t>b20189886</t>
  </si>
  <si>
    <t>Archway in the grounds of Anlaby.</t>
  </si>
  <si>
    <t>Sheep ranches -- South Australia -- Kapunda Region;Garden structures -- South Australia -- Kapunda Region;Anlaby (S.A.)</t>
  </si>
  <si>
    <t>b20189898</t>
  </si>
  <si>
    <t>Rolled-up maps and a portrait inside Anlaby homestead.</t>
  </si>
  <si>
    <t>b20189904</t>
  </si>
  <si>
    <t>Two Safes at Anlaby</t>
  </si>
  <si>
    <t>Two safes at Anlaby homestead.</t>
  </si>
  <si>
    <t>Sheep ranches -- South Australia -- Kapunda Region;Safes -- South Australia -- Kapunda Region;Anlaby (S.A.)</t>
  </si>
  <si>
    <t>b20189916</t>
  </si>
  <si>
    <t>Two safes open showing old ledgers etc. inside Anlaby homestead.</t>
  </si>
  <si>
    <t>b20189928</t>
  </si>
  <si>
    <t>Open cupboard showing old ledgers in Anlaby homestead.</t>
  </si>
  <si>
    <t>Sheep ranches -- South Australia -- Kapunda Region;Interior architecture -- South Australia -- Kapunda Region;Anlaby (S.A.)</t>
  </si>
  <si>
    <t>b2018993x</t>
  </si>
  <si>
    <t>Old book press at Anlaby Station.</t>
  </si>
  <si>
    <t>Sheep ranches -- South Australia -- Kapunda Region;Printing-press -- South Australia -- Kapunda Region;Anlaby (S.A.)</t>
  </si>
  <si>
    <t>b20189941</t>
  </si>
  <si>
    <t>Portrait hanging in Anlaby homestead.</t>
  </si>
  <si>
    <t>b20189953</t>
  </si>
  <si>
    <t>b20545976</t>
  </si>
  <si>
    <t>Photograph  17.3 cm x 16.1 cm</t>
  </si>
  <si>
    <t>North Terrace, south side, April 1977. North Terrace frontage is 28 metres, the side is 36.9 metres deep and 55 metres west of Victoria Street.</t>
  </si>
  <si>
    <t>Acre 11 Collection</t>
  </si>
  <si>
    <t>b20545988</t>
  </si>
  <si>
    <t>North Terrace, south side, April 1977.</t>
  </si>
  <si>
    <t>b2054599x</t>
  </si>
  <si>
    <t>b20546002</t>
  </si>
  <si>
    <t>b20548333</t>
  </si>
  <si>
    <t>View towards North Tce. from Kintore Ave</t>
  </si>
  <si>
    <t>View up Kintore Avenue to North Terrace from the roof of the Library.</t>
  </si>
  <si>
    <t>b20557073</t>
  </si>
  <si>
    <t>Workmen with ladders in Hindley Street</t>
  </si>
  <si>
    <t>Workmen with ladders in Hindley Street, North side. Probably 18 August 1977 as the newspaper billboards relate to newspapers of the day. On the left is the News, it says "Elvis mourned - amazing scenes", on the right the Advertiser billboard says "Dunstan calls snap poll".  Left side of building is 19.8 metres east of Bank Street, frontage is 3 metres. The Hair Factory is listed at No.34 Hindley Street.</t>
  </si>
  <si>
    <t>b20557085</t>
  </si>
  <si>
    <t>Woman watching workmen with ladders in Hindley Street, North side. Probably 18 August 1977 as the newspaper billboards relate to newspapers of the day. Hair Factory is listed at No. 34 Hindley Street, photo includes Pepe's Coffee Rendezvous.</t>
  </si>
  <si>
    <t>b20557097</t>
  </si>
  <si>
    <t>Hindley Street, North Side</t>
  </si>
  <si>
    <t>View of Hindley Street looking west. View includes 'Hair Factory', Canberra Television, Pepe's Coffee Rendezvous, the Eagle Hotel, Savings Bank of South Australia and the Princes Berkeley hotel. Photo probably taken on 18 August 1977.</t>
  </si>
  <si>
    <t>b2056451x</t>
  </si>
  <si>
    <t>Rundle Mall, South Side</t>
  </si>
  <si>
    <t>Rundle Mall, south side, 4th July 1977. Left side of building is 30 1/3 yards west of Gawler Place  Rundle Mall frontage: 8 yards.</t>
  </si>
  <si>
    <t>b20564521</t>
  </si>
  <si>
    <t>Photograph  20.5 cm x 16.5 cm</t>
  </si>
  <si>
    <t>Rundle Mall, south side, 4th July 1977.</t>
  </si>
  <si>
    <t>b20564533</t>
  </si>
  <si>
    <t>Photograph  20 cm x 16 cm</t>
  </si>
  <si>
    <t>b20565008</t>
  </si>
  <si>
    <t>Gawler Place, East side, 28 October 1977. Left side of building is 60m south of Rundle Mall. Gawler Place frontage is 19m.</t>
  </si>
  <si>
    <t>b2056501x</t>
  </si>
  <si>
    <t>Gawler Pl., East side, 28 October 1977.</t>
  </si>
  <si>
    <t>b20565021</t>
  </si>
  <si>
    <t>Gawler Place, East side, 28 October 1977.</t>
  </si>
  <si>
    <t>b20565033</t>
  </si>
  <si>
    <t>Rundle Mall</t>
  </si>
  <si>
    <t>Rundle Mall, South side, 9 September 1977. The right side of the second shop east of Gawler Place (Archer and Holland Jeweller) has a frontage of 6-1/3 yards. The right side of the shop is 9 yards east of Gawler Place.</t>
  </si>
  <si>
    <t>b20565045</t>
  </si>
  <si>
    <t>Rundle Mall, South side, 9 September 1977.</t>
  </si>
  <si>
    <t>b20565057</t>
  </si>
  <si>
    <t>b20569294</t>
  </si>
  <si>
    <t>Grenfell Street, North Side, April, 1977. Grenfell Street frontage is 28.4 metres, Hindmarsh Square frontage is 30.5 metres.</t>
  </si>
  <si>
    <t>b20569300</t>
  </si>
  <si>
    <t>Grenfell Street, North Side, April, 1977.</t>
  </si>
  <si>
    <t>b20569312</t>
  </si>
  <si>
    <t>b20594215</t>
  </si>
  <si>
    <t>United Motors, Franklin Street</t>
  </si>
  <si>
    <t>Franklin Street, north side 1977 United Motors Franklin Street frontage is 38 metres. Site is 85 metres west of Bentham Street.</t>
  </si>
  <si>
    <t>b20594227</t>
  </si>
  <si>
    <t>Franklin Street, North Side 1977.</t>
  </si>
  <si>
    <t>b20594239</t>
  </si>
  <si>
    <t>Franklin Street, North Side 1977 United Motors.</t>
  </si>
  <si>
    <t>b20596005</t>
  </si>
  <si>
    <t>Photograph  20.9 cm x 16.3 cm</t>
  </si>
  <si>
    <t>Acre 261. 137-9 Franklin Street, south side. 30 December 1977. Right side of building abuts Morphett Street. Morphett Street frontage is 39 1/3 yards. Franklin Street frontage is 20 yards.</t>
  </si>
  <si>
    <t>b20596017</t>
  </si>
  <si>
    <t>Acre 261. 137-9 Franklin Street, South side. 30 December 1977. Back view. Right side of building abuts Morphett Street. Morphett Street frontage is 39 1/3 yards. Franklin Street frontage is 20 yards.</t>
  </si>
  <si>
    <t>b2059625x</t>
  </si>
  <si>
    <t>United Motors</t>
  </si>
  <si>
    <t>Photograph  19.5 cm x 15 cm</t>
  </si>
  <si>
    <t>United Motors' site, Franklin St., South side 71-81 Franklin St., south side 23rd September, 1977 Left side of building is 67 yards west of Pitt Street. Franklin Street frontage is 45 2/3 yards.</t>
  </si>
  <si>
    <t>Acre 264 Collection</t>
  </si>
  <si>
    <t>b20596261</t>
  </si>
  <si>
    <t>United Motors building site, Franklin Street. south side. 23rd September, 1977.</t>
  </si>
  <si>
    <t>b20598476</t>
  </si>
  <si>
    <t>Flinders Street, South Side 24th June, 1977. Left side of building site is 35 2/3 yards west of Frome Street. Flinders Street frontage is 46 yards.</t>
  </si>
  <si>
    <t>Acre 279 Collection</t>
  </si>
  <si>
    <t>b20598488</t>
  </si>
  <si>
    <t>Flinders Street, South Side 24 th June, 1977.</t>
  </si>
  <si>
    <t>b20599031</t>
  </si>
  <si>
    <t>Hutt Street, east side. 1977 Frontage is 66 metres, Depth is 35 metres.</t>
  </si>
  <si>
    <t>b20599043</t>
  </si>
  <si>
    <t>Hutt Street, East Side 1977.</t>
  </si>
  <si>
    <t>b20599055</t>
  </si>
  <si>
    <t>b20599067</t>
  </si>
  <si>
    <t>b20599079</t>
  </si>
  <si>
    <t>Hutt Street, East Side 1977 Interior.</t>
  </si>
  <si>
    <t>b20599080</t>
  </si>
  <si>
    <t>b20599092</t>
  </si>
  <si>
    <t>b2061388x</t>
  </si>
  <si>
    <t>Pulteney Street, east side, 13th May 1977. Left side of building is 86 2/3 yards south of Angas Street  Pulteney Street frontage is 4 yards.</t>
  </si>
  <si>
    <t>b20615024</t>
  </si>
  <si>
    <t>Carrington Street, north side, 18 November 1977. Right side of building abuts Gladstone Street where its frontage is 13 1/3 yards. Carrington Street frontage is 18 2/3 yards.</t>
  </si>
  <si>
    <t>b20615036</t>
  </si>
  <si>
    <t>Photograph  19.9 cm x 15.7 cm</t>
  </si>
  <si>
    <t>Carrington Street, north side, 18 November 1977. Right side of building abuts Gladstone Street where its frontage is 13 1/3 yards. Carrington Street frontage: 18 2/3 yards.</t>
  </si>
  <si>
    <t>b20615048</t>
  </si>
  <si>
    <t>b20618402</t>
  </si>
  <si>
    <t>Photograph  21.2 cm x 16.1 cm</t>
  </si>
  <si>
    <t>Carrington Street, south side, 30th December 1977. Frontage: 21 1/3 yards.</t>
  </si>
  <si>
    <t>b20618414</t>
  </si>
  <si>
    <t>Photograph  20.8 cm x 16.4 cm</t>
  </si>
  <si>
    <t>Carrington Street, south side, 30th December 1977. Frontage:21 1/3 yards.</t>
  </si>
  <si>
    <t>b2061892x</t>
  </si>
  <si>
    <t>Carrington Street, south side. Carrington Street frontage is 13.7 metres. Queen Street frontage is 29 metres. Site is 71.6 metres west of Hurtle Square.</t>
  </si>
  <si>
    <t>b20618931</t>
  </si>
  <si>
    <t>Carrington Street, south side. Carrington Street frontage is 13.7 metres. Queen Street frontage is 29 metres. Site is 7 1.6 metres west of Hurtle Square.</t>
  </si>
  <si>
    <t>b20618943</t>
  </si>
  <si>
    <t>Carrington Street, south side, 7th January 1977 . Carrington Street frontage: 18.3 metres. Site is 9.2 metres west of Queen Street and 44 metres east of St.Helena Place.</t>
  </si>
  <si>
    <t>b20618955</t>
  </si>
  <si>
    <t>Carrington Street, south side, 7th January 1977. Carrington Street frontage: 18.3 metres. Site is 9.2 metres west of queen Street and 44 metres east of St. Helena Place.</t>
  </si>
  <si>
    <t>b20619066</t>
  </si>
  <si>
    <t>Carrington Street, south side. 3rd May 1977.</t>
  </si>
  <si>
    <t>Acre 494 Collection</t>
  </si>
  <si>
    <t>b20619078</t>
  </si>
  <si>
    <t>Carrington Street, south side, 3rd May 1977.</t>
  </si>
  <si>
    <t>b20619418</t>
  </si>
  <si>
    <t>Hutt Street, east side, 4th November 1978.</t>
  </si>
  <si>
    <t>b2061942x</t>
  </si>
  <si>
    <t>b20622478</t>
  </si>
  <si>
    <t>Little Gilbert Street</t>
  </si>
  <si>
    <t>Little Gilbert Street, west side, 12 August 1977. Fight side of building is 31 2/3 yards south of Sturt Street. Little Gilbert Street frontage is 13 1/3 yards.</t>
  </si>
  <si>
    <t>b2062248x</t>
  </si>
  <si>
    <t>Photograph  19.8 cm x 16.7 cm</t>
  </si>
  <si>
    <t>Little Gilbert Street, west side 12 August 1977. Right side of building is 31 1/3 yards south of Sturt Street. Little Gilbert Street frontage is 13 1/3 yards.</t>
  </si>
  <si>
    <t>b20622491</t>
  </si>
  <si>
    <t>Photograph  20.2 cm x 16.1 cm</t>
  </si>
  <si>
    <t>Little Gilbert Street, west side, 12 August 1977. Right side of building is 31 2/3 yards south of Sturt Street. Little Gilbert Street frontage is 13 1/3 yards.</t>
  </si>
  <si>
    <t>b20624839</t>
  </si>
  <si>
    <t>Halifax Street, South Side</t>
  </si>
  <si>
    <t>Halifax Street, south side, 3rd May 1977 Site is 46.4 metres west of John Street. Halifax Street frontage: 47.6 metres.</t>
  </si>
  <si>
    <t>Acre 582 Collection</t>
  </si>
  <si>
    <t>b20624840</t>
  </si>
  <si>
    <t>Halifax Street, south side, 3rd May 1977. Site is 46.4 metres west of John Street. Halifax Street frontage is 47.6 metres.</t>
  </si>
  <si>
    <t>b20624852</t>
  </si>
  <si>
    <t>b20624864</t>
  </si>
  <si>
    <t>b20624876</t>
  </si>
  <si>
    <t>b20624888</t>
  </si>
  <si>
    <t>Halifax Street, south side, 3rd May 1977. Detail of demolition. Site is 46.4 metres west of John Street. Halifax Street frontage is 47.6 metres.</t>
  </si>
  <si>
    <t>b2062489x</t>
  </si>
  <si>
    <t>b20624906</t>
  </si>
  <si>
    <t>Halifax Street, south side, 3rd May 1977. Detail of demolition. Site is 46.4 metres west of John Street. Halifax Street frontage: 47.6 metres.</t>
  </si>
  <si>
    <t>b20637202</t>
  </si>
  <si>
    <t>"Carclew", North Adelaide: partial view.</t>
  </si>
  <si>
    <t>b20661885</t>
  </si>
  <si>
    <t>Government House: view from Kintore Avenue.</t>
  </si>
  <si>
    <t>b20678319</t>
  </si>
  <si>
    <t>Charity Workers, Rundle Mall</t>
  </si>
  <si>
    <t>Photograph  17.5 cm x 15 cm</t>
  </si>
  <si>
    <t>Charity worker and his dog collecting money for the Epilepsy Association of South Australia in Rundle Mall.</t>
  </si>
  <si>
    <t>Adelaide Views Collection;Rundle Mall Collection</t>
  </si>
  <si>
    <t>b20678320</t>
  </si>
  <si>
    <t>Photograph  17 cm x 15.5 cm</t>
  </si>
  <si>
    <t>Charity worker's dog collecting money for the Epilepsy Association of South Australia in Rundle Mall.</t>
  </si>
  <si>
    <t>b20678332</t>
  </si>
  <si>
    <t>Charity Worker, Rundle Mall</t>
  </si>
  <si>
    <t>Charity Worker's dog collecting money for the Epilepsy Association of South Australia in Rundle Mall.</t>
  </si>
  <si>
    <t>b20678344</t>
  </si>
  <si>
    <t>Photograph  19 cm x 15.5 cm</t>
  </si>
  <si>
    <t>b20678356</t>
  </si>
  <si>
    <t>Royal Visit, 1977: Her Majesty Queen Elizabeth II and the Premier, Don Dunstan walking in Rundle Mall.</t>
  </si>
  <si>
    <t>Dunstan, Don, 1926-1999</t>
  </si>
  <si>
    <t>b20678368</t>
  </si>
  <si>
    <t>Royal Visit, 1977: Her Majesty Queen Elizabeth II and the Premier Don Dunstan walking in Rundle Mall.</t>
  </si>
  <si>
    <t>b2067837x</t>
  </si>
  <si>
    <t>b20678381</t>
  </si>
  <si>
    <t>b20678393</t>
  </si>
  <si>
    <t>Royal Visit, 1977: Her Majesty Queen Elizabeth II and the Premier, Don Dunstan.</t>
  </si>
  <si>
    <t>b2067840x</t>
  </si>
  <si>
    <t>Photograph  19.5 cm x 16.5 cm</t>
  </si>
  <si>
    <t>Royal Visit, 1977: Prince Philip in Rundle Mall.</t>
  </si>
  <si>
    <t>b20678411</t>
  </si>
  <si>
    <t>b20678423</t>
  </si>
  <si>
    <t>b20678435</t>
  </si>
  <si>
    <t>Photograph  13 cm x 8.5 cm</t>
  </si>
  <si>
    <t>Royal Visit, 1977: Prince Phillip in Rundle Mall.</t>
  </si>
  <si>
    <t>b20678447</t>
  </si>
  <si>
    <t>Royal Visit, 1977: Her Majesty Queen Elizabeth's walk in Rundle Mall.</t>
  </si>
  <si>
    <t>b20678459</t>
  </si>
  <si>
    <t>Royal Visit, 1977: Her Majesty Queen Elizabeth II walking in Rundle Mall with the Premier, Don Dunstan and Adele Koh.</t>
  </si>
  <si>
    <t>b20678460</t>
  </si>
  <si>
    <t>Photograph  13 cm x 9 cm</t>
  </si>
  <si>
    <t>Royal Visit, 1977: Her Majesty Queen Elizabeth II walking in Rundle Mall with the Premier, Don Dunstan.</t>
  </si>
  <si>
    <t>b20678472</t>
  </si>
  <si>
    <t>Royal Visit, 1977: Her Majesty Queen Elizabeth II walking in Rundle Mall.</t>
  </si>
  <si>
    <t>b20678484</t>
  </si>
  <si>
    <t>b20678496</t>
  </si>
  <si>
    <t>b20678502</t>
  </si>
  <si>
    <t>b20678514</t>
  </si>
  <si>
    <t>Royal Visit, 1977: Queen Elizabeth II walking in Rundle Mall.</t>
  </si>
  <si>
    <t>b2067854x</t>
  </si>
  <si>
    <t>Rundle Mall: A street musician / busker, identified as Dave Moss.</t>
  </si>
  <si>
    <t>Rundle Mall: Street Musician.</t>
  </si>
  <si>
    <t>b28430621</t>
  </si>
  <si>
    <t>Listing the Purches Collection</t>
  </si>
  <si>
    <t>approximately 1977</t>
  </si>
  <si>
    <t>Photograph (B&amp;W print)  15 cm x 20.5 cm</t>
  </si>
  <si>
    <t>Librarian Michael Dover and an assistant, listing the Purches Collection of gramophone records in the Reference Library. The Purches Collection is a collection of 12,000 - 15,000 78 rpm jazz recordings, gathered over 40 years by Mr John Purches.</t>
  </si>
  <si>
    <t>b20259578</t>
  </si>
  <si>
    <t>Brewery, Hindmarsh</t>
  </si>
  <si>
    <t>Buildings which were once a brewery at Hindmarsh.</t>
  </si>
  <si>
    <t>Breweries -- South Australia -- Hindmarsh</t>
  </si>
  <si>
    <t>b2025958x</t>
  </si>
  <si>
    <t>Buildings which were once a brewery.</t>
  </si>
  <si>
    <t>b20482644</t>
  </si>
  <si>
    <t>Helen Kay Hoskin</t>
  </si>
  <si>
    <t>Helen Kay Hoskin, whilst acting Principal Archivist.</t>
  </si>
  <si>
    <t>Hoskin, Helen Kay</t>
  </si>
  <si>
    <t>b20482656</t>
  </si>
  <si>
    <t>Helen Kay Hoskin, Archivist.</t>
  </si>
  <si>
    <t>Hoskin,Helen Kay</t>
  </si>
  <si>
    <t>b20482668</t>
  </si>
  <si>
    <t>b2048267x</t>
  </si>
  <si>
    <t>Helen Kay Hoskin. Archivist.</t>
  </si>
  <si>
    <t>b20482681</t>
  </si>
  <si>
    <t>b20560692</t>
  </si>
  <si>
    <t>Central Pizza Bar, Hindley Street</t>
  </si>
  <si>
    <t>Ford Station Wagon parked in front of Central Pizza Bar, Hindley Street, south side, 14 April 1978. Right side of building is 36 yards east of Club House Lane and frontage is 6 yards.</t>
  </si>
  <si>
    <t>b20561258</t>
  </si>
  <si>
    <t>Hindley Street, south side, 6th June 1978. The photo shows a section of the Fletcher Jones store, Peel Street, the offices of TAA, and a TAA bus.</t>
  </si>
  <si>
    <t>b2056126x</t>
  </si>
  <si>
    <t>Hindley Street, south side, 6th June 1978. The photo shows the City Central Motel at No. 23 Hindley St., the offices of TAA at No. 27 Hindley St. with a TAA bus.</t>
  </si>
  <si>
    <t>b20563206</t>
  </si>
  <si>
    <t>Southern Cross, King William Street, east side, August 1978.</t>
  </si>
  <si>
    <t>b20563218</t>
  </si>
  <si>
    <t>Southern Cross, King William Street August 1978.</t>
  </si>
  <si>
    <t>b20564983</t>
  </si>
  <si>
    <t>Photograph  15.1 cm, x 16.1 cm</t>
  </si>
  <si>
    <t>Gawler Place  East side, 13 January 1978. Gawler Place frontage is 34-1/3 yards. Left side of building abuts Rundle Street.</t>
  </si>
  <si>
    <t>b20564995</t>
  </si>
  <si>
    <t>Photograph  16.5 cm x 14.8 cm</t>
  </si>
  <si>
    <t>Gawler Place  East side, 13 January 1978.</t>
  </si>
  <si>
    <t>b20566153</t>
  </si>
  <si>
    <t>Rundle Mall, South Side, 24th September 1978.</t>
  </si>
  <si>
    <t>b20569075</t>
  </si>
  <si>
    <t>Clarkson's, Hindmarsh Square</t>
  </si>
  <si>
    <t>Hindmarsh Square, East Side. Frontage of Clarksons is 20 yards.</t>
  </si>
  <si>
    <t>b20569087</t>
  </si>
  <si>
    <t>Hindmarsh Square, east side, 19th September 1978. Frontage of Clarksons is 20 yards.</t>
  </si>
  <si>
    <t>b20569099</t>
  </si>
  <si>
    <t>b20570843</t>
  </si>
  <si>
    <t>Grenfell Street, North Side, 1 December, 1978. Right side of building is 15-2/3 yards west of James Place, Gouger Street frontage is 8-1/3 yards.</t>
  </si>
  <si>
    <t>b20575166</t>
  </si>
  <si>
    <t>Currie Street, South Side, 19 September 1978, right side of building is 26 yards west of Bloor Court and frontage is 9 yards.</t>
  </si>
  <si>
    <t>Acre 137 Collection</t>
  </si>
  <si>
    <t>b20577357</t>
  </si>
  <si>
    <t>Grenfell Street, North Side, 22 November 1978, Chesser Street frontage is 49 2/3 yards and Grenfell Street frontage is 24 1/3 yards.</t>
  </si>
  <si>
    <t>b20577369</t>
  </si>
  <si>
    <t>Grenfell Street, south side, 22 November 1978.</t>
  </si>
  <si>
    <t>b20583187</t>
  </si>
  <si>
    <t>Fridge Centre SA, West Terrace</t>
  </si>
  <si>
    <t>Fridge Centre SA, West Terrace, East Side, 17 November 1978.</t>
  </si>
  <si>
    <t>b20583552</t>
  </si>
  <si>
    <t>Waymouth Street, south side, 3rd August 1978, left side of building is 18 yards west of Crowther Street and frontage is 27 2/3 yards.</t>
  </si>
  <si>
    <t>b20583564</t>
  </si>
  <si>
    <t>Waymouth Street, south side, 3rd August 1978.</t>
  </si>
  <si>
    <t>b20587120</t>
  </si>
  <si>
    <t>Pirie Street, south side, 6th June 1978.</t>
  </si>
  <si>
    <t>b20587132</t>
  </si>
  <si>
    <t>Pirie Street, south side, June 6th 1978.</t>
  </si>
  <si>
    <t>b20587144</t>
  </si>
  <si>
    <t>Pirie Street, south side, 16 October 1978, left side of building is 95.5 yards west of Gawler Place and frontage is 9 yards.</t>
  </si>
  <si>
    <t>b20587156</t>
  </si>
  <si>
    <t>Pirie Street, south side, 16 October 1978.</t>
  </si>
  <si>
    <t>b20587168</t>
  </si>
  <si>
    <t>b2058717x</t>
  </si>
  <si>
    <t>b20592334</t>
  </si>
  <si>
    <t>King William Street, west side.</t>
  </si>
  <si>
    <t>b20592346</t>
  </si>
  <si>
    <t>King William Street, West Side.</t>
  </si>
  <si>
    <t>b20592632</t>
  </si>
  <si>
    <t>North Terrace, south side. 14 April 1978. Left side of building abuts Blyth Street, North Tce. frontage is 342/3 yards.</t>
  </si>
  <si>
    <t>b20592644</t>
  </si>
  <si>
    <t>North Terrace, south side. 14 April 1978.</t>
  </si>
  <si>
    <t>b20592656</t>
  </si>
  <si>
    <t>North Terrace, South Side 14 April 1978.</t>
  </si>
  <si>
    <t>b20596029</t>
  </si>
  <si>
    <t>Acre 261. Morphett St., east side. 16th October 1978. Left side of the left shop abuts Tennant Court. Morphett Street frontage of block of shops is 28 1/3 yards.</t>
  </si>
  <si>
    <t>b20596030</t>
  </si>
  <si>
    <t>b20596042</t>
  </si>
  <si>
    <t>Acre 261. Morphett Street, east side. 16th October 1978. Left side of the left shop abuts Tennant Court. Morphett Street frontage of block of shops is 28 1/3 yards.</t>
  </si>
  <si>
    <t>b20596054</t>
  </si>
  <si>
    <t>b20598373</t>
  </si>
  <si>
    <t>Photograph  19.8 cm x 16.3 cm</t>
  </si>
  <si>
    <t>Flinders Street, south side. 7th June 1978 Flinders St., frontage of the empty block is 10 1/3 yds. The left side of the empty block is 70 1/3 yds. west of Frome St. Frome Street frontage of the building to the right of the empty block is 35 yds.</t>
  </si>
  <si>
    <t>b20598385</t>
  </si>
  <si>
    <t>Photograph  19.6 cm x 16.5 cm</t>
  </si>
  <si>
    <t>Flinders Street, south side. 7th June, 1978.</t>
  </si>
  <si>
    <t>b20598397</t>
  </si>
  <si>
    <t>Photograph  19.5 cm x 16.6 cm</t>
  </si>
  <si>
    <t>b2059849x</t>
  </si>
  <si>
    <t>167-75 Flinders Street, south side 24th Feb., 1978 Left side of building is 38 yds. west of Frome Street. Flinders Street frontage is 28 yds.</t>
  </si>
  <si>
    <t>b20598506</t>
  </si>
  <si>
    <t>167-75 Flinders Street, south side 24th Feb., 1978.</t>
  </si>
  <si>
    <t>b20598518</t>
  </si>
  <si>
    <t>Flinders St., South Side</t>
  </si>
  <si>
    <t>Flinders St., South Side 24th Feb., 1978.</t>
  </si>
  <si>
    <t>b20598932</t>
  </si>
  <si>
    <t>14-6 Ifould St., north side, 27th January 1978. Right side of the right house is 42 2/3 yards west of Hutt Street. Ifould Street frontage of the two houses is 14 2/3 yards.</t>
  </si>
  <si>
    <t>b20598944</t>
  </si>
  <si>
    <t>Cottages, Ifould Street</t>
  </si>
  <si>
    <t>Photograph  20 cm x 16.5 cm</t>
  </si>
  <si>
    <t>Single fronted cottages, 14-6 Ifould Street, north side, 27th January 1978. Right side of the right house is 42 2/3 yards west of Hutt Street. Ifould Street frontage of the two houses is 14 2/3 yards.</t>
  </si>
  <si>
    <t>b20601669</t>
  </si>
  <si>
    <t>Grote Street, north side. Right side of building abuts Pitt Street, west side. Pitt Street frontage is 68 yards. Grote Street frontage is 30 yards. 27 September 1978.</t>
  </si>
  <si>
    <t>b20601670</t>
  </si>
  <si>
    <t>b20601682</t>
  </si>
  <si>
    <t>b20601694</t>
  </si>
  <si>
    <t>Grote Street, west side. Right side of building abuts Pitt Street, west side. Pitt Street frontage is 68 yards. Grote Street frontage is 30 yards. 27 September 1978.</t>
  </si>
  <si>
    <t>b2060175x</t>
  </si>
  <si>
    <t>78 Grote Street, north side, 27 January 1978. Right side of the building abuts Rowlands Place where the frontage is 34 1/3 yards. Grote Street frontage: 20 yards.</t>
  </si>
  <si>
    <t>b20601761</t>
  </si>
  <si>
    <t>78 Grote Street, north side, 27 January 1978. Right side of the building abuts Rowlands Place where the frontage is 34 1/3 yards. Grote Street frontage is 20 yards.</t>
  </si>
  <si>
    <t>b20601773</t>
  </si>
  <si>
    <t>b20601785</t>
  </si>
  <si>
    <t>78 Grote Street, north side, 27 January 1978. Right side of the building abuts Rowland Place where the frontage is 34 1/3 yards. Grote Street frontage: 20 yards.</t>
  </si>
  <si>
    <t>b20601797</t>
  </si>
  <si>
    <t>Grote Street, north side, 27 September 1978.</t>
  </si>
  <si>
    <t>b20601803</t>
  </si>
  <si>
    <t>b20604543</t>
  </si>
  <si>
    <t>Grote Street, south side, November 1978.</t>
  </si>
  <si>
    <t>b20604567</t>
  </si>
  <si>
    <t>b20605419</t>
  </si>
  <si>
    <t>Wakefield Street, south side, 1978, St. Francis Xavier Cathedral.</t>
  </si>
  <si>
    <t>b20605420</t>
  </si>
  <si>
    <t>Wakefield Street, south side, 1978, Francis Xavier Cathedral.</t>
  </si>
  <si>
    <t>b20605432</t>
  </si>
  <si>
    <t>Wakefield Street, south side, Francis Xavier Cathedral, 1978.</t>
  </si>
  <si>
    <t>b20608020</t>
  </si>
  <si>
    <t>East Terrace, west side, 17 November 1978. Left side of building is 11 yards north of Angas Street. Angas Street frontage: 16 yards. East Terrace frontage: 57 yards.</t>
  </si>
  <si>
    <t>Acre 357 Collection</t>
  </si>
  <si>
    <t>b20608408</t>
  </si>
  <si>
    <t>Angas Street, North Side: 1 August 1978. Right side of building is 66-2/3 yds. west of Cardwell Street. Angas Street frontage ia 16-2/3 yds.</t>
  </si>
  <si>
    <t>b2060841x</t>
  </si>
  <si>
    <t>Angas Street, North Side: 1 August 1978. Right side of building is 66-2/3 yds. west of Cardwell Street. Angas Street frontage is 16-2/3 yds.</t>
  </si>
  <si>
    <t>b20610683</t>
  </si>
  <si>
    <t>Gouger Street, north side, 17 November 1978, Marlborough Street frontage is 55 2/3 yards and Gouger Street frontage is 33 yards.</t>
  </si>
  <si>
    <t>b20610695</t>
  </si>
  <si>
    <t>b20610968</t>
  </si>
  <si>
    <t>Photograph &amp; neg  20 cm x 16 cm</t>
  </si>
  <si>
    <t>261-263 Gouger St.reet, south side, 10 March 1978. Right side of building is 16 yards east of Murray's Lane. Gouger Street frontage is 10 3/4 yards.</t>
  </si>
  <si>
    <t>b2061097x</t>
  </si>
  <si>
    <t>Photograph &amp; neg  20 cm x 16.5 cm</t>
  </si>
  <si>
    <t>261-263 Gouger Street, south side, 10 March 1978. Right side of building is 16 yards east of Murray's Lane. Gouger Street frontage is 10 2/3 yards.</t>
  </si>
  <si>
    <t>b20610981</t>
  </si>
  <si>
    <t>Photograph &amp; neg  20 cm x 15.5 cm</t>
  </si>
  <si>
    <t>b20614433</t>
  </si>
  <si>
    <t>Angas Street, south side, 17th March 1978. Angas Street frontage of the empty block is 14 2/3 yards. Duke's Lane frontage is 66 2/3 yards.</t>
  </si>
  <si>
    <t>b20614469</t>
  </si>
  <si>
    <t>Angas Street, south side, 17th March 1978. Angas Street frontage of the empty block is 14 2/3 yards. Duke's Lane frontage: 66 2/3 yards.</t>
  </si>
  <si>
    <t>b20614470</t>
  </si>
  <si>
    <t>Angas Street, south side, 17th March, 1978. Angas Street frontage of the empty block is 14 2/3 yards. Duke's Lane frontage: 66 2/3 yards.</t>
  </si>
  <si>
    <t>b20614585</t>
  </si>
  <si>
    <t>East Terrace, south side, 17th November 1978. Angas Street frontage: 17 1/3 yards.</t>
  </si>
  <si>
    <t>b20615231</t>
  </si>
  <si>
    <t>Photograph  19.7 cm x 16.9 cm</t>
  </si>
  <si>
    <t>Carrington Street, north side, 23 June 1978. Right side of building abuts Cardwell Street where the frontage is 22 2/3 yards. Carrington Street frontage: 6 yards.</t>
  </si>
  <si>
    <t>b20615243</t>
  </si>
  <si>
    <t>Photograph  20.4 cm x 15.8 cm</t>
  </si>
  <si>
    <t>Carrington Street, west side, 23 June 1978. Right side of building abuts Cardwell Street where the frontage is 22 2/3 yards. Carrington Street frontage is 6 yards.</t>
  </si>
  <si>
    <t>b20617197</t>
  </si>
  <si>
    <t>Wright Street, south side, 19th September 1978, right side of building is 77 yards west of West Terrace and Wright Street frontage is 13 yards.</t>
  </si>
  <si>
    <t>Acre 467 Collection</t>
  </si>
  <si>
    <t>b20617203</t>
  </si>
  <si>
    <t>Wright Street, south side, 19th September 1978.</t>
  </si>
  <si>
    <t>b20618013</t>
  </si>
  <si>
    <t>Wright Street, south side, 16th October 1978, right side of building abuts Frew Street and Wright Street frontage is 13 2/3 yards.</t>
  </si>
  <si>
    <t>b20618025</t>
  </si>
  <si>
    <t>Wright Street, south side, 16th October 1978, right side of the building abuts Frew Street and Wright Street frontage is 13 2/3 yards.</t>
  </si>
  <si>
    <t>b20618037</t>
  </si>
  <si>
    <t>b20618049</t>
  </si>
  <si>
    <t>Wright Street, south side, 16th October 1978, Wright Street frontage is 13 2/3 yards.</t>
  </si>
  <si>
    <t>b20619315</t>
  </si>
  <si>
    <t>Savings Bank of South Australia, SW cnr Hutt St. and Carrington St</t>
  </si>
  <si>
    <t>Savings Bank of South Australia Hutt Street, SW corner Hutt Street and Carrington Street, 31st March 1978. Right side of building abuts Carrington Street where the frontage is 31 2/3 yards. Hutt Street frontage: 14 yards.</t>
  </si>
  <si>
    <t>b20619327</t>
  </si>
  <si>
    <t>Photograph  21 cm x 16.5 cm</t>
  </si>
  <si>
    <t>Hutt Street, west side, 31st March 1978. Right side of building abuts Carrington Street where the frontage is 31 2/3 yards. Hutt Street frontage is 14 yards.</t>
  </si>
  <si>
    <t>b20619406</t>
  </si>
  <si>
    <t>186 Hutt Street, East Side</t>
  </si>
  <si>
    <t>186 Hutt Street, east side, 4th November 1978. Right side of building is 60 1/3 yards north of Halifax Street. Hutt Street frontage: 8 yards.</t>
  </si>
  <si>
    <t>b20625650</t>
  </si>
  <si>
    <t>Gilles Street, north side, 17th November 1978, right side of block is 12 yards west of Harriet Street and Gilles Street frontage is 54 2/3 yards.</t>
  </si>
  <si>
    <t>b20627580</t>
  </si>
  <si>
    <t>Gilbert Street, South Side, 19th September 1978.</t>
  </si>
  <si>
    <t>b20627592</t>
  </si>
  <si>
    <t>Gilbert Street, South Side, 19th September 1978, frontage of building is 24 yards.</t>
  </si>
  <si>
    <t>b20629357</t>
  </si>
  <si>
    <t>339 Gilles Street, south side. 10 March 1978. Left side of the house is 67-2/3 yards west of Vincent Street. Gilles Street frontage is 9 yards.</t>
  </si>
  <si>
    <t>b20629369</t>
  </si>
  <si>
    <t>b2063397x</t>
  </si>
  <si>
    <t>Kermode Street, south side, 14th April 1978, right side of building is 75 yards east of King William Road, and frontage is 6 1/3 yards.</t>
  </si>
  <si>
    <t>Acre 715 Collection</t>
  </si>
  <si>
    <t>b20633981</t>
  </si>
  <si>
    <t>Kermode Street, south side, 14th April 1978, right side of building is 75 yards east of King William Road and frontage is 6 1/3 yards.</t>
  </si>
  <si>
    <t>b20633993</t>
  </si>
  <si>
    <t>Kermode Street, south side, 14th April 1978.</t>
  </si>
  <si>
    <t>b20638371</t>
  </si>
  <si>
    <t>'The Evolution of Rock', O'Connell Street</t>
  </si>
  <si>
    <t>'The Evolution of Rock' music store, O'Connell Street, west side, 8th November 1978, frontage is 7 1/3 yards.</t>
  </si>
  <si>
    <t>Acre 774 Collection</t>
  </si>
  <si>
    <t>b20638383</t>
  </si>
  <si>
    <t>'The Evolution of Rock' music store, O'Connell Street, west side, 8th November 1978.</t>
  </si>
  <si>
    <t>b20638863</t>
  </si>
  <si>
    <t>O'Connell Street, East Side, 19th May 1978, left side of building is 43 yards east of Archer Street and frontage is 5 yards.</t>
  </si>
  <si>
    <t>b20641850</t>
  </si>
  <si>
    <t>Margaret Street, West Side, 27th September 1978, left side of block is 50 yards east of Tynte Street and frontage is 8 yards.</t>
  </si>
  <si>
    <t>Acre 868 Collection</t>
  </si>
  <si>
    <t>b20645016</t>
  </si>
  <si>
    <t>Melbourne Street, South Side, 8th September 1978.</t>
  </si>
  <si>
    <t>Acre 979 Collection</t>
  </si>
  <si>
    <t>b20645028</t>
  </si>
  <si>
    <t>b20645533</t>
  </si>
  <si>
    <t>Melbourne Street, South Side, 27th September 1978, right side of building is 33 yards west of Bower Street and frontage is 6 yards.</t>
  </si>
  <si>
    <t>Acre 985 Collection</t>
  </si>
  <si>
    <t>b20645545</t>
  </si>
  <si>
    <t>Melbourne Street, south side, 27th September 1978.</t>
  </si>
  <si>
    <t>b20670515</t>
  </si>
  <si>
    <t>Observatory: Buildings being demolished.</t>
  </si>
  <si>
    <t>b20670527</t>
  </si>
  <si>
    <t>Observatory, buildings being demolished.</t>
  </si>
  <si>
    <t>b20670539</t>
  </si>
  <si>
    <t>b20678526</t>
  </si>
  <si>
    <t>Information Booth</t>
  </si>
  <si>
    <t>Information booth in Rundle Mall, near King William Street, 3rd February 1978.</t>
  </si>
  <si>
    <t>b20678538</t>
  </si>
  <si>
    <t>Sculpture, Rundle Mall</t>
  </si>
  <si>
    <t>Photograph  21 cm x 13.5 cm</t>
  </si>
  <si>
    <t>Sculpture in Rundle Mall, 3rd February 1978.</t>
  </si>
  <si>
    <t>b20684290</t>
  </si>
  <si>
    <t>Victoria Square.</t>
  </si>
  <si>
    <t>b20684307</t>
  </si>
  <si>
    <t>b2020596x</t>
  </si>
  <si>
    <t>"Ivymeade", kitchen</t>
  </si>
  <si>
    <t>Ivymeade - view of kitchen on ground floor of East Wing.</t>
  </si>
  <si>
    <t>Ivymeade (House : Burnside, S.A.);Interior architecture -- South Australia -- Burnside;Kitchens -- South Australia -- Burnside</t>
  </si>
  <si>
    <t>b20205971</t>
  </si>
  <si>
    <t>"Ivymeade", Burnside</t>
  </si>
  <si>
    <t>"Ivymeade" - a fireplace on the ground floor of East Wing.</t>
  </si>
  <si>
    <t>Ivymeade (House : Burnside, S.A.);Interior architecture -- South Australia -- Burnside;Interior decoration -- South Australia -- Burnside;Fireplaces -- South Australia -- Burnside</t>
  </si>
  <si>
    <t>b20205983</t>
  </si>
  <si>
    <t>Ivymeade- a fireplace on the first floor of West Wing.</t>
  </si>
  <si>
    <t>Ivymeade (House : Burnside, S.A.);Interior decoration -- South Australia -- Burnside;Interior architecture -- South Australia -- Burnside;Fireplaces -- South Australia -- Burnside</t>
  </si>
  <si>
    <t>b20205995</t>
  </si>
  <si>
    <t>"Ivymeade"- entrance hall &amp; doorway of South side entrance on first floor.</t>
  </si>
  <si>
    <t>Ivymeade (House : Burnside, S.A.);Interior architecture -- South Australia -- Burnside</t>
  </si>
  <si>
    <t>b20206008</t>
  </si>
  <si>
    <t>"Ivymeade" a fireplace on first floor of West Wing.</t>
  </si>
  <si>
    <t>b2020601x</t>
  </si>
  <si>
    <t>"Ivymeade" - light-fitting and ceiling in one of the rooms on the first floor.</t>
  </si>
  <si>
    <t>Ivymeade (House : Burnside, S.A.);Interior lighting -- South Australia -- Burnside;Interior architecture -- South Australia -- Burnside;Interior decoration -- South Australia -- Burnside</t>
  </si>
  <si>
    <t>b20206021</t>
  </si>
  <si>
    <t>Ivymeade - a fireplace on ground floor of the East Wing.</t>
  </si>
  <si>
    <t>b20206033</t>
  </si>
  <si>
    <t>"Ivymeade" - view opposite side entrance on the ground floor showing a staircase.</t>
  </si>
  <si>
    <t>b20206045</t>
  </si>
  <si>
    <t>"Ivymeade"- view of the Northern entrance.</t>
  </si>
  <si>
    <t>Ivymeade (House : Burnside, S.A.);Interior architecture -- South Australia -- Burnside;Interior decoration -- South Australia -- Burnside</t>
  </si>
  <si>
    <t>b20206057</t>
  </si>
  <si>
    <t>"Ivymeade" - archway at the beginning of the staircase on first floor.</t>
  </si>
  <si>
    <t>Ivymeade (House : Burnside, S.A.);Interior architecture -- South Australia -- Burnside;Staircases -- South Australia -- Burnside</t>
  </si>
  <si>
    <t>b20206069</t>
  </si>
  <si>
    <t>"Ivymeade" - view of copper in out-house (formerly the laundry).</t>
  </si>
  <si>
    <t>Ivymeade (House : Burnside, S.A.);Household appliances -- South Australia -- Burnside</t>
  </si>
  <si>
    <t>b20206070</t>
  </si>
  <si>
    <t>"Ivymeade" - view of copper in the out-house.</t>
  </si>
  <si>
    <t>b20206082</t>
  </si>
  <si>
    <t>"Ivymeade" - the yard behind the out-house.</t>
  </si>
  <si>
    <t>Ivymeade (House : Burnside, S.A.);Architecture, Domestic -- South Australia -- Burnside</t>
  </si>
  <si>
    <t>b20206094</t>
  </si>
  <si>
    <t>"Ivymeade" - structure behind out-house for coal storage.</t>
  </si>
  <si>
    <t>Ivymeade (House : Burnside, S.A.);Architecture, Domestic -- South Australia -- Burnside;Coal -- South Australia -- Burnside</t>
  </si>
  <si>
    <t>b20206100</t>
  </si>
  <si>
    <t>"Ivymeade" - view behind the East Wing which was added in the 1950s.</t>
  </si>
  <si>
    <t>b20206112</t>
  </si>
  <si>
    <t>"Ivymeade" - view of the out-house.</t>
  </si>
  <si>
    <t>b20206124</t>
  </si>
  <si>
    <t>"Ivymeade" - view of the North Side of the house.</t>
  </si>
  <si>
    <t>b20206136</t>
  </si>
  <si>
    <t>"Ivymeade" - view of first floor on the North Side.</t>
  </si>
  <si>
    <t>Ivymeade (House : Burnside, S.A.);Architecture, Domestic -- South Australia -- Burnside;Wrought-iron -- South Australia -- Burnside</t>
  </si>
  <si>
    <t>b20206148</t>
  </si>
  <si>
    <t>"Ivymeade" - North West view of ground and first floors.</t>
  </si>
  <si>
    <t>b2020615x</t>
  </si>
  <si>
    <t>"Ivymeade" - view of the greenhouse.</t>
  </si>
  <si>
    <t>Ivymeade (House : Burnside, S.A.);Gardens -- South Australia -- Burnside;Greenhouses -- South Australia -- Burnside</t>
  </si>
  <si>
    <t>b20206161</t>
  </si>
  <si>
    <t>"Ivymeade" - North-West view of ground and first floors.</t>
  </si>
  <si>
    <t>b20206173</t>
  </si>
  <si>
    <t>Ivymeade, north view of the house.</t>
  </si>
  <si>
    <t>b20206185</t>
  </si>
  <si>
    <t>Ivymeade - north-west view of the house.</t>
  </si>
  <si>
    <t>b20206197</t>
  </si>
  <si>
    <t>"Ivymeade" - north-west view of the house.</t>
  </si>
  <si>
    <t>b20206203</t>
  </si>
  <si>
    <t>Ivymeade - south-west view of the house.</t>
  </si>
  <si>
    <t>b20206215</t>
  </si>
  <si>
    <t>Ivymeade - view of the south side of the house showing doorway to the first floor.</t>
  </si>
  <si>
    <t>b20206227</t>
  </si>
  <si>
    <t>b20206240</t>
  </si>
  <si>
    <t>Ivymeade - copper in the out-house (formerly the laundry).</t>
  </si>
  <si>
    <t>b20206252</t>
  </si>
  <si>
    <t>Ivymeade - fireplace in the out-house.</t>
  </si>
  <si>
    <t>Ivymeade (House : Burnside, S.A.);Interior architecture -- South Australia -- Burnside;Fireplaces -- South Australia -- Burnside</t>
  </si>
  <si>
    <t>b20206264</t>
  </si>
  <si>
    <t>Ivymeade - mouth piece and light switches on the first floor near the stairway.</t>
  </si>
  <si>
    <t>Ivymeade (House : Burnside, S.A.);Interior lighting -- South Australia -- Burnside;Interior architecture -- South Australia -- Burnside</t>
  </si>
  <si>
    <t>b20206276</t>
  </si>
  <si>
    <t>b20398748</t>
  </si>
  <si>
    <t>Rocla Stoneware Factory</t>
  </si>
  <si>
    <t>Photograph (b&amp;w print)  21.5 cm x 15 cm;C1</t>
  </si>
  <si>
    <t>Rocla Stoneware Pipes Pty Ltd: the side of its excavated clay pit.</t>
  </si>
  <si>
    <t>Rocla Stoneware Pipe Factory (Ridleyton, S.A.);Factories -- South Australia -- Ridleyton</t>
  </si>
  <si>
    <t>Ridleyton Collection</t>
  </si>
  <si>
    <t>b20454648</t>
  </si>
  <si>
    <t>The Centennial Hall</t>
  </si>
  <si>
    <t>The Centennial Hall, Wayville.</t>
  </si>
  <si>
    <t>Centennial Hall (Wayville, S.A.);Halls -- South Australia -- Wayville</t>
  </si>
  <si>
    <t>b2045465x</t>
  </si>
  <si>
    <t>b20454661</t>
  </si>
  <si>
    <t>b20454673</t>
  </si>
  <si>
    <t>b20454685</t>
  </si>
  <si>
    <t>b20454697</t>
  </si>
  <si>
    <t>b20454703</t>
  </si>
  <si>
    <t>b20454715</t>
  </si>
  <si>
    <t>b20454727</t>
  </si>
  <si>
    <t>Duncan Hall, Wayville</t>
  </si>
  <si>
    <t>Duncan Hall, Wayville.</t>
  </si>
  <si>
    <t>b20454739</t>
  </si>
  <si>
    <t>b2054487x</t>
  </si>
  <si>
    <t>Corner of North Tce. and Gray St</t>
  </si>
  <si>
    <t>SW Corner of North Terrace and Gray Street, 9 August 1979. Left side of building abuts Gray Street, west side. North Terrace frontage is 31 and two third yards.</t>
  </si>
  <si>
    <t>b20544881</t>
  </si>
  <si>
    <t>North Terrace, south side, 9 August 1979. Left side of building abuts Gray Street, west side. North Terrace frontage is 31 and two third yards.</t>
  </si>
  <si>
    <t>b20546427</t>
  </si>
  <si>
    <t>Gresham Street, West Side. Right side of building is 83 yards west of North Terrace. Frontage is 7 yards.</t>
  </si>
  <si>
    <t>b2054778x</t>
  </si>
  <si>
    <t>Stephens Place</t>
  </si>
  <si>
    <t>Stephens Place, west side. 8 January 1979. Stephens Place frontage is 105 1/2 yards.</t>
  </si>
  <si>
    <t>b20550935</t>
  </si>
  <si>
    <t>Rundle Street, North Side, left side of building is 51 yards east of Vaughan Place and frontage is 23 yards.</t>
  </si>
  <si>
    <t>b20552580</t>
  </si>
  <si>
    <t>Rundle Mall, North Side. 11 January 1979. Left side of shop is 80-1/3 yards east of Charles Street. Rundle Mall frontage is 5 yards.</t>
  </si>
  <si>
    <t>b20554953</t>
  </si>
  <si>
    <t>Stephens Place, West Side.</t>
  </si>
  <si>
    <t>b20555829</t>
  </si>
  <si>
    <t>King William Street, East Side, 20 August 1979, building is 16 yards east of Apollo Place and frontage is 5 yards.</t>
  </si>
  <si>
    <t>b20556743</t>
  </si>
  <si>
    <t>Gresham Street, west side, 3rd December 1979. Left side of the building is 36 yards north of Hindley Street  its frontage is 16 yards.</t>
  </si>
  <si>
    <t>b20557103</t>
  </si>
  <si>
    <t>Hindley Street, north side. 28 November 1979. Right side of building is 23 yards east of Bank Street, frontage is 4-1/3 yards.</t>
  </si>
  <si>
    <t>b20557528</t>
  </si>
  <si>
    <t>Bank Street, east side, 10 September 1979, Bank Street frontage is 48 1/3 yards and Hindley Street frontage is 15 yards.</t>
  </si>
  <si>
    <t>b2055753x</t>
  </si>
  <si>
    <t>Bank Street, east side, 10 September 1979.</t>
  </si>
  <si>
    <t>b20557541</t>
  </si>
  <si>
    <t>b20557553</t>
  </si>
  <si>
    <t>b2055929x</t>
  </si>
  <si>
    <t>Aladdin's Lantern and 'La Terrace' restaurant, Hindley Street</t>
  </si>
  <si>
    <t>Aladdin's Lantern lighting shop and 'La Terrace', French restaurant, Hindley Street, South Side, 21 August 1979, building is 19 1/3 yards east of Gray Street and frontage is 25 1/3 yards.</t>
  </si>
  <si>
    <t>Acre 65 Collection</t>
  </si>
  <si>
    <t>b20559306</t>
  </si>
  <si>
    <t>Aladdin's Lantern, 'La Terrace' and Snack Bar, Hindley Street</t>
  </si>
  <si>
    <t>Aladdin's Lantern, 'La Terrace' French Restaurant and Snack Bar, Hindley Street, South Side, 21 August 1979.</t>
  </si>
  <si>
    <t>b2055980x</t>
  </si>
  <si>
    <t>West End Medical Centre, 167 Hindley Street</t>
  </si>
  <si>
    <t>West End Medical Centre (Dr D. Kutlaca), 167 Hindley Street, south side, 28 November 1979.  East side of building is 9 yards west of Morphett Street. Hindley Street frontage is 4 2/3 yards.</t>
  </si>
  <si>
    <t>b20560230</t>
  </si>
  <si>
    <t>Hindley Street, south side, 8 January 1979, frontage of building is 22 yards.</t>
  </si>
  <si>
    <t>b20562056</t>
  </si>
  <si>
    <t>b20562068</t>
  </si>
  <si>
    <t>b2056207x</t>
  </si>
  <si>
    <t>b20562081</t>
  </si>
  <si>
    <t>King William Street, west side, Gilbert Place frontage is 25 yards and King William Street frontage is 25 yards.</t>
  </si>
  <si>
    <t>b20562093</t>
  </si>
  <si>
    <t>b2056210x</t>
  </si>
  <si>
    <t>b2056322x</t>
  </si>
  <si>
    <t>Rundle Mall, south side, left side of McDonalds is 20 yards east of James Place and frontage is 7 yards.</t>
  </si>
  <si>
    <t>b20563231</t>
  </si>
  <si>
    <t>Rundle Mall, south side, 13 March 1979, left side of McDonalds is 20 yards east of James Place and frontage is 7 yards.</t>
  </si>
  <si>
    <t>b20563280</t>
  </si>
  <si>
    <t>King William Street, east side, 31 August 1979, Windsor Jewels is 6 yards east of Rundle Mall and frontage is 4 1/3 yards.</t>
  </si>
  <si>
    <t>b20563292</t>
  </si>
  <si>
    <t>b20563309</t>
  </si>
  <si>
    <t>b20563991</t>
  </si>
  <si>
    <t>Rundle Mall, south side. 13 March 1979. Right side of building is 29 yards west of James Place. Rundle Mall frontage is 7 yards.</t>
  </si>
  <si>
    <t>b20564004</t>
  </si>
  <si>
    <t>Rundle Mall, south side. 13 March 1979.</t>
  </si>
  <si>
    <t>b20565070</t>
  </si>
  <si>
    <t>Gawler Place, East Side, 11 May, 1979.</t>
  </si>
  <si>
    <t>b20565082</t>
  </si>
  <si>
    <t>Gawler Place, Claridge House</t>
  </si>
  <si>
    <t>Gawler Place, east side, 11 May 1979.</t>
  </si>
  <si>
    <t>b20565094</t>
  </si>
  <si>
    <t>b20565100</t>
  </si>
  <si>
    <t>b20565112</t>
  </si>
  <si>
    <t>b20565124</t>
  </si>
  <si>
    <t>Gawler Place, east side. 11 May, 1979.</t>
  </si>
  <si>
    <t>b20565136</t>
  </si>
  <si>
    <t>b20565148</t>
  </si>
  <si>
    <t>b2056515x</t>
  </si>
  <si>
    <t>b20566529</t>
  </si>
  <si>
    <t>Rundle Mall, South Side, 14th August 1979, building is 30 yards west of Twin Street and frontage is 9 yards.</t>
  </si>
  <si>
    <t>Acre 85 Collection</t>
  </si>
  <si>
    <t>b20568009</t>
  </si>
  <si>
    <t>Rundle Street, South Side, Bent Street frontage is 33 1/3 yards and Rundle Street frontage is 14 1/3 yards.</t>
  </si>
  <si>
    <t>b20568010</t>
  </si>
  <si>
    <t>Rundle Street, South Side, 3rd January 1979.</t>
  </si>
  <si>
    <t>b20569117</t>
  </si>
  <si>
    <t>Hotel Grenfell, Grenfell Street</t>
  </si>
  <si>
    <t>Hotel Grenfell, Grenfell Street, north side, 20th September 1979.</t>
  </si>
  <si>
    <t>b20569129</t>
  </si>
  <si>
    <t>Hotel Grenfell</t>
  </si>
  <si>
    <t>b20569130</t>
  </si>
  <si>
    <t>b20569142</t>
  </si>
  <si>
    <t>b20569865</t>
  </si>
  <si>
    <t>Grenfell Street, north side, 9th August 1979. Building is 70 yards east of Twin Street  Grenfell Street frontage: 16 yards.</t>
  </si>
  <si>
    <t>b2057714x</t>
  </si>
  <si>
    <t>Grenfell Street, South Side, 9th August 1979, centre building is 7 2/3 yards west of Coromandel Place and Grenfell Street frontage is 22 yards.</t>
  </si>
  <si>
    <t>b20584180</t>
  </si>
  <si>
    <t>Young Street, West Side, 10 September 1979, left side of building is 53 2/3 yards east of Franklin Street and frontage is 24 2/3 yards.</t>
  </si>
  <si>
    <t>b20584192</t>
  </si>
  <si>
    <t>Young Street, west side, 10 September 1979.</t>
  </si>
  <si>
    <t>b20584209</t>
  </si>
  <si>
    <t>b20590441</t>
  </si>
  <si>
    <t>Wyatt Street, east side, right side of building is 41 yards north of Flinders Street and frontage is 18 yards.</t>
  </si>
  <si>
    <t>b20595049</t>
  </si>
  <si>
    <t>Holbrook Meats truck, Franklin Street</t>
  </si>
  <si>
    <t>Holbrook Meats truck parked adjacent to Franklin Street, north side 3rd December 1979. Right side of building is 26 yards north of Franklin Street, the frontage is 17 and a third yards. Crowther Street frontage is 9 and one eighth yards.</t>
  </si>
  <si>
    <t>b20595463</t>
  </si>
  <si>
    <t>Franklin Street, south side 10th December 1979. Right side abuts Gray Street. The Franklin Street frontage is 28 and one third yards, Gray Street frontage is 32 and two third yards.</t>
  </si>
  <si>
    <t>b20595475</t>
  </si>
  <si>
    <t>Franklin Street, south side 10th December, 1979 Right side abuts Gray Street. Franklin Street frontage is 28 and one third yards  Gray Street frontage is 32 and two third yards.</t>
  </si>
  <si>
    <t>b20598725</t>
  </si>
  <si>
    <t>Flinders Street, south side, 6th November 1979. East side of the building is 33 1/2 yards west of Daly Street. Flinders Street frontage is 84 2/3 yards.</t>
  </si>
  <si>
    <t>b20598737</t>
  </si>
  <si>
    <t>Flinders Street, south side, 6th November 1979, interior view of a building 33 1/2 yards west of Daly Street.</t>
  </si>
  <si>
    <t>b20604555</t>
  </si>
  <si>
    <t>b20607829</t>
  </si>
  <si>
    <t>Wakefield St., South Side</t>
  </si>
  <si>
    <t>Wakefield Street, south side, 8 January 1979. Left side of building is 32 yards west of Cardwell Street. Wakefield Street frontage is 80 2/3 yards.</t>
  </si>
  <si>
    <t>b20607830</t>
  </si>
  <si>
    <t>Wakefield Street, south side, 8 January 1979. Left side of building is 32 yards west of Cardwell Street. Frontage: 80 2/3 yards.</t>
  </si>
  <si>
    <t>b20607842</t>
  </si>
  <si>
    <t>Cardwell Street, west side. 12 September 1979. Left side of building is 71 yards east of Wakefield Street. Cardwell Street frontage is 11 2/3 yards.</t>
  </si>
  <si>
    <t>b2060970x</t>
  </si>
  <si>
    <t>Gouger Street, north side, 8th January 1979, right side of block of shops is 74 yards west of Victoria Square and Gouger Street frontage is 74 yards.</t>
  </si>
  <si>
    <t>b20609711</t>
  </si>
  <si>
    <t>Gouger Street, north side, 8th January 1979.</t>
  </si>
  <si>
    <t>b20609723</t>
  </si>
  <si>
    <t>b20610154</t>
  </si>
  <si>
    <t>International Furniture and International Electrical stores, Gouger Street</t>
  </si>
  <si>
    <t>International Furniture and International Electrical discount stores during 'Extension Sale', Gouger Street, North Side, 10 September 1979. A Holden Ute is parked in front. Talbot Lane frontage is 49 yards, Gouger Street frontage is 12 1/3 yards.</t>
  </si>
  <si>
    <t>b20611675</t>
  </si>
  <si>
    <t>Gouger Street, south side, 8th January 1979, right side of shop is 89 2/3 yards east of Morphett Street and Gouger Street frontage is 37 2/3 yards.</t>
  </si>
  <si>
    <t>b20614329</t>
  </si>
  <si>
    <t>Angas Street, south side, January 1979. Left side of building abuts Dukes Lane. Frontage: 27 yards. Angas Street frontage: 29 1/2 yards.</t>
  </si>
  <si>
    <t>Acre 426 Collection</t>
  </si>
  <si>
    <t>b20614330</t>
  </si>
  <si>
    <t>Angas Street, south side, January 1979. Left side of building abuts Dukes Lane where the frontage is 27 yards. Angas Street frontage: 29 1/2 yards.</t>
  </si>
  <si>
    <t>b20614974</t>
  </si>
  <si>
    <t>Carrington Street, north side, 1 November 1979. Right side of building abuts Ehmcke's Lane, east side. Carrington Street frontage: 5 1/3 yards. Ehmcke's Lane frontage: 26 1/3 yards.</t>
  </si>
  <si>
    <t>b20616739</t>
  </si>
  <si>
    <t>Compton Street, east side, 11th January 1979, right side of block is 45 yards north of Wright Street and Compton Street frontage is 31 1/3 yards.</t>
  </si>
  <si>
    <t>b20616740</t>
  </si>
  <si>
    <t>b20619741</t>
  </si>
  <si>
    <t>Halifax Street, North Side, 2nd February 1979, Tomsey Street frontage is 30 yards and Halifax Street frontage is 14 yards.</t>
  </si>
  <si>
    <t>Acre 508 Collection</t>
  </si>
  <si>
    <t>b20620044</t>
  </si>
  <si>
    <t>Hutt Street, East Side, 6th March 1979, right side of building is 67 yards west of Halifax Street and Hutt Street frontage is 5 yards.</t>
  </si>
  <si>
    <t>b20620196</t>
  </si>
  <si>
    <t>Halifax Street, North Side, 9th August 1979, right side of building is 46 2/3 yards west of Cardwell Street and Halifax Street frontage is 20 2/3 yards.</t>
  </si>
  <si>
    <t>Acre 515 Collection</t>
  </si>
  <si>
    <t>b20620202</t>
  </si>
  <si>
    <t>Halifax Street, north side, 9th August 1979, right side of the building is 46 2/3 yards west of Cardwell Street and Halifax Street frontage is 20 2/3 yards.</t>
  </si>
  <si>
    <t>b20620214</t>
  </si>
  <si>
    <t>b20620226</t>
  </si>
  <si>
    <t>Halifax Street, north side, 9th August 1979, right side of building is 46 2/3 yards west of Cardwell Street and Halifax Street frontage is 20 2/3 yards.</t>
  </si>
  <si>
    <t>b20621103</t>
  </si>
  <si>
    <t>Toms Court, west side, 21st August 1979, building is 61 1/3 yards east of Halifax Street and Toms Court frontage is 10 2/3 yards.</t>
  </si>
  <si>
    <t>b20621115</t>
  </si>
  <si>
    <t>b20621127</t>
  </si>
  <si>
    <t>Toms Court, west side, 21st August 1979.</t>
  </si>
  <si>
    <t>b20622065</t>
  </si>
  <si>
    <t>Edward Street</t>
  </si>
  <si>
    <t>Edward Street, west side, 9th February 1979, left side of building is 39 yards east of Sturt Street and Edward Street frontage is 19 yards.</t>
  </si>
  <si>
    <t>Acre 543 Collection</t>
  </si>
  <si>
    <t>b20622387</t>
  </si>
  <si>
    <t>Sturt Street, south side, 27 March 1979. Right side of building abuts Little Sturt Street, east side. Little Sturt Street frontage is 32 yards. Sturt Street frontage is 28 yards.</t>
  </si>
  <si>
    <t>b20622399</t>
  </si>
  <si>
    <t>b2062251x</t>
  </si>
  <si>
    <t>Sturt Street, south side, 28 November 1979. East side of building is 36 2/3 yards east of Little Gilbert Street. Sturt Street frontage is 22 1/3 yards.</t>
  </si>
  <si>
    <t>b20623240</t>
  </si>
  <si>
    <t>King William Street, West Side, 21st August 1979, King William Street frontage is 37 1/3 yards and Sturt Street frontage is 32 yards.</t>
  </si>
  <si>
    <t>b20623252</t>
  </si>
  <si>
    <t>King William Street, west side, 21st August 1979.</t>
  </si>
  <si>
    <t>b20623264</t>
  </si>
  <si>
    <t>King William Street, West Side, 10th September 1979, building is 60 1/3 yards east of Gilbert Street and King William Street frontage is 5 yards.</t>
  </si>
  <si>
    <t>b20626113</t>
  </si>
  <si>
    <t>King William Street, East Side, 21st August 1979.</t>
  </si>
  <si>
    <t>b20626721</t>
  </si>
  <si>
    <t>Gilbert Street, North Side, 10th September 1979, left side of building is 35 1/3 yards east of Morphett Street and Gilbert Street frontage is 47 1/3 yards.</t>
  </si>
  <si>
    <t>b20626733</t>
  </si>
  <si>
    <t>Gilbert Street, north side, 10th September 1979, left side of building is 35 1/3 yards east of Morphett Street and Gilbert Street frontage is 47 1/3 yards.</t>
  </si>
  <si>
    <t>b20626745</t>
  </si>
  <si>
    <t>Gilbert Street, north side, 10th September 1979.</t>
  </si>
  <si>
    <t>b20626757</t>
  </si>
  <si>
    <t>b20626885</t>
  </si>
  <si>
    <t>Hamley Street</t>
  </si>
  <si>
    <t>Hamley Street, west side, 6 March 1979, right side of building is 34 yards east of Gilbert Street and Hamley Street frontage is 10 yards.</t>
  </si>
  <si>
    <t>b2062900x</t>
  </si>
  <si>
    <t>Gilles Street, south side in about January 1979. Left side of building is 40 yards west of Pulteney Street. Frontage: 15 1/3 yards.</t>
  </si>
  <si>
    <t>b20629011</t>
  </si>
  <si>
    <t>Gilles Street, south side in about January 1979. Left side of building is 40 yards west of Pulteney Street. Gilles Street frontage: 15 1/3 yards.</t>
  </si>
  <si>
    <t>b20629370</t>
  </si>
  <si>
    <t>Vincent Place</t>
  </si>
  <si>
    <t>Vincent Place, south side   28 November 1979. East side of building is 46-2/3 yards west of Vincent Street. Vincent Place frontage is 20 yards.</t>
  </si>
  <si>
    <t>b20629382</t>
  </si>
  <si>
    <t>Vincent Place, south side, 28 November 1979. East side of building is 46-2/3 yards west of Vincent Street. Vincent Place frontage is 20 yards.</t>
  </si>
  <si>
    <t>b20629394</t>
  </si>
  <si>
    <t>Vincent Place, south side, 28 November, 1979. East side of building is 46-2/3 yards west of Vincent Street. Vincent Place frontage is 20 yards.</t>
  </si>
  <si>
    <t>b20630049</t>
  </si>
  <si>
    <t>South Terrace, north side, 18th April 1979. Right side of building abuts Blackburn Street, west side. South Terrace frontage: 23 1/3 yards. Blackburn Street frontage: 27 2/3 yards.</t>
  </si>
  <si>
    <t>Acre 670 Collection</t>
  </si>
  <si>
    <t>b20631704</t>
  </si>
  <si>
    <t>Building on South Terrace in process of demolition</t>
  </si>
  <si>
    <t>Building on South Terrace in process of demolition, 10 September 1979. The building is 31 2/3 yards east of Morphett Street and South Terrace frontage is 23 yards.</t>
  </si>
  <si>
    <t>b20639533</t>
  </si>
  <si>
    <t>Barnard Street, north side, 27th March 1979, left side of building is 39 yards east of Hill Street and frontage is 37 yards.</t>
  </si>
  <si>
    <t>Acre 809 Collection</t>
  </si>
  <si>
    <t>b20639545</t>
  </si>
  <si>
    <t>Barnard Street, north side, 27th March 1979.</t>
  </si>
  <si>
    <t>b20639557</t>
  </si>
  <si>
    <t>b20639569</t>
  </si>
  <si>
    <t>b20639570</t>
  </si>
  <si>
    <t>b20640389</t>
  </si>
  <si>
    <t>Tynte Street, South Side, 2nd January 1979, left side of building is 75 yards east of Le Fevre Terrace and frontage is 19 yards.</t>
  </si>
  <si>
    <t>Acre 828 Collection</t>
  </si>
  <si>
    <t>b20640390</t>
  </si>
  <si>
    <t>Tynte Street, south side, 2nd January 1979.</t>
  </si>
  <si>
    <t>b20641692</t>
  </si>
  <si>
    <t>O'Connell Street, East Side, 6th March 1979, left side of building is 13 yards east of George Street and O'Connell Street frontage is 10 yards.</t>
  </si>
  <si>
    <t>b20644619</t>
  </si>
  <si>
    <t>Finniss Street, North Side, 6th March 1979, right side of building is 98 yards west of Edith Place and frontage is 45 yards.</t>
  </si>
  <si>
    <t>b20644620</t>
  </si>
  <si>
    <t>Finniss Street, north side, 6th March 1979.</t>
  </si>
  <si>
    <t>b20644632</t>
  </si>
  <si>
    <t>b20644644</t>
  </si>
  <si>
    <t>b20644656</t>
  </si>
  <si>
    <t>b20646616</t>
  </si>
  <si>
    <t>Melbourne Street, north side, 27th March 1979, left side of building is 98 yards east of West Pallant Street and frontage is 36 yards.</t>
  </si>
  <si>
    <t>Acre 1007 Collection</t>
  </si>
  <si>
    <t>b20646628</t>
  </si>
  <si>
    <t>Melbourne Street, north side, 27th March 1979.</t>
  </si>
  <si>
    <t>b20669926</t>
  </si>
  <si>
    <t>Outside Museum during Timber Week Display, North Terrace.</t>
  </si>
  <si>
    <t>b20669938</t>
  </si>
  <si>
    <t>Outside of the Museum during Timber Week Display, North Terrace.</t>
  </si>
  <si>
    <t>b2066994x</t>
  </si>
  <si>
    <t>Outside the museum during Timber Week Display, North Terrace.</t>
  </si>
  <si>
    <t>b20669951</t>
  </si>
  <si>
    <t>b20673280</t>
  </si>
  <si>
    <t>Public Library foundation stone of Jervois wing.</t>
  </si>
  <si>
    <t>b20747469</t>
  </si>
  <si>
    <t>Berri Public Library</t>
  </si>
  <si>
    <t>photograph  14.5 x 21 cm</t>
  </si>
  <si>
    <t>BERRI: The premises of Berri Public Library, South Australia.</t>
  </si>
  <si>
    <t>Public Library (Berri, S.A.);Public libraries -- South Australia -- Berri;Library architecture -- South Australia -- Berri</t>
  </si>
  <si>
    <t>b20444047</t>
  </si>
  <si>
    <t>"Portus House", Walkerville</t>
  </si>
  <si>
    <t>"Portus House", Walkerville, during demolition 24th October 1980.</t>
  </si>
  <si>
    <t>Portus House (Walkerville, S.A.);Architecture, Domestic -- South Australia -- Walkerville;Wrecking -- South Australia -- Walkerville</t>
  </si>
  <si>
    <t>b20444059</t>
  </si>
  <si>
    <t>"Portus House", Walkerville on the day of its demolition, 24 October 1980.</t>
  </si>
  <si>
    <t>b20444060</t>
  </si>
  <si>
    <t>b20444072</t>
  </si>
  <si>
    <t>b20444084</t>
  </si>
  <si>
    <t>b20444096</t>
  </si>
  <si>
    <t>b20546026</t>
  </si>
  <si>
    <t>North Terrace, south side 23 January 1980. Frontage: 66 and two third yards.</t>
  </si>
  <si>
    <t>b20546038</t>
  </si>
  <si>
    <t>Photograph &amp; neg</t>
  </si>
  <si>
    <t>North Terrace, south side, 1 April 1980. Right side of building is 29 and third yards west of Victoria Place. North Terrace frontage is 66 and two third yards.</t>
  </si>
  <si>
    <t>b2054604x</t>
  </si>
  <si>
    <t>b20546051</t>
  </si>
  <si>
    <t>North Terrace, south side 1 April 1980.</t>
  </si>
  <si>
    <t>b20547419</t>
  </si>
  <si>
    <t>Bank of New South Wales building, corner King William St. and North Tce</t>
  </si>
  <si>
    <t>Bank of New South Wales building SE corner of King William Street and North Terrace, 23rd January 1980. Left side of building abuts North Terrace where the frontage is 24 yards. King William Street frontage is 44 2/3 yards.</t>
  </si>
  <si>
    <t>b20557115</t>
  </si>
  <si>
    <t>Hindley Street, North Side. 11 January 1980. Left side of building abuts Bank Street, frontage is 33-2/3 yards. Hindley Street frontage is 11-2/3 yards.</t>
  </si>
  <si>
    <t>b20557127</t>
  </si>
  <si>
    <t>Hindley Street, North Side. 24 January, 1980. Left side of building is 16-1/3 yards east of Bank Street. Hindley Street frontage is 8-1/3 yards.</t>
  </si>
  <si>
    <t>b20564569</t>
  </si>
  <si>
    <t>Gawler Place, west side, 24th June 1980. Left side of building is 44 yards north of Grenfell Street. Gawler Place frontage: 13 2/3 yards.</t>
  </si>
  <si>
    <t>b20564570</t>
  </si>
  <si>
    <t>b20564582</t>
  </si>
  <si>
    <t>Gawler Place, west side, 24th June 1980 . Left side of building is 44 yards north of Grenfell Street. Gawler Place frontage: 13 2/3 yards.</t>
  </si>
  <si>
    <t>b20565161</t>
  </si>
  <si>
    <t>Rundle Mall, South Side, 8 May 1980. Right side of building abuts Francis Street. Francis Street frontage is 19-1/3 yards. Rundle Mall frontage is 8 yards.</t>
  </si>
  <si>
    <t>b20569154</t>
  </si>
  <si>
    <t>Hindmarsh Square, East Side</t>
  </si>
  <si>
    <t>Hindmarsh Square, east side, 4th January 1980. Hindmarsh Square frontage is 31 yards west-east and 31 yards north-south. Grivett Street frontage is 21 yards.</t>
  </si>
  <si>
    <t>b20569166</t>
  </si>
  <si>
    <t>Hindmarsh Square, east side, 4th January 1980.</t>
  </si>
  <si>
    <t>b20569178</t>
  </si>
  <si>
    <t>b2056918x</t>
  </si>
  <si>
    <t>b20570788</t>
  </si>
  <si>
    <t>James Place, west side, 18 December, 1980.</t>
  </si>
  <si>
    <t>b20570855</t>
  </si>
  <si>
    <t>James Place, West Side, 18 December, 1980. Right side of building is 26-2/3 yards north of Grenfell Street, James Place frontage is 3-1/3 yards.</t>
  </si>
  <si>
    <t>b20592668</t>
  </si>
  <si>
    <t>North Terrace, South Side 11 January 1980. Left side of building abuts Blyth Street. Blyth Street frontage is 721/3 yards. North Terrace frontage is 211/3 yards.</t>
  </si>
  <si>
    <t>b20594616</t>
  </si>
  <si>
    <t>S.A. Country Newspapers building, Franklin Street</t>
  </si>
  <si>
    <t>S.A. Country Newspapers Ltd. building, Franklin Street, north side 28 February 1980. Right side of building is 44 yards west of Tatham Street. Franklin Street frontage is 8 yards.</t>
  </si>
  <si>
    <t>b20599183</t>
  </si>
  <si>
    <t>Wakefield Street, North Side Left side of building is 52 yards east of Hutt Street. Wakefield Street frontage is 22 1/3 yards. 29 July 1980.</t>
  </si>
  <si>
    <t>b20602248</t>
  </si>
  <si>
    <t>Grote Street, north side, 26 August 1980. Grote Street frontage: 40 2/3 yards. Left side of building abuts Morphett Street.</t>
  </si>
  <si>
    <t>b2060225x</t>
  </si>
  <si>
    <t>b20602479</t>
  </si>
  <si>
    <t>Grote Street, north side, 5 May 1980. Left side of building abuts Oakley Place. Frontage on Oakley Place is 33 1/3 yards  Grote Street frontage: 16 2/3 yards.</t>
  </si>
  <si>
    <t>b20607635</t>
  </si>
  <si>
    <t>Wakefield Street, south side, 20 May 1980. Left side abuts Frome Road. Wakefield Street frontage is 49 1/3 yards.</t>
  </si>
  <si>
    <t>b20607647</t>
  </si>
  <si>
    <t>b20607659</t>
  </si>
  <si>
    <t>Wakefield Street, south side, 20 May 1980.</t>
  </si>
  <si>
    <t>b20610993</t>
  </si>
  <si>
    <t>Murray's Lane</t>
  </si>
  <si>
    <t>Murray's Lane, east side, 29 July 1980. Left side of building is 37 1/3 yards south of Gouger Street. Murray's Lane frontage is 15 2/3 yards.</t>
  </si>
  <si>
    <t>b20611006</t>
  </si>
  <si>
    <t>b20613611</t>
  </si>
  <si>
    <t>Angas Street, south side, 26th May 1980. Right side of building is 31 1/2 yards east of Moore Street. Angas Street frontage is 12 yards.</t>
  </si>
  <si>
    <t>b20613994</t>
  </si>
  <si>
    <t>Regent Street, West Side</t>
  </si>
  <si>
    <t>Regent Street, west side, 21st August 1980. Right side of building is 35 yards south of Angas Street. Regent Street frontage: 36 yards.</t>
  </si>
  <si>
    <t>b20614007</t>
  </si>
  <si>
    <t>Eden Street, East Side</t>
  </si>
  <si>
    <t>Eden Street, east side, 14th August 1980. Right side of building is 67 yards south of Angas Street. Eden Street frontage is 29 1/3 yards.</t>
  </si>
  <si>
    <t>b20614019</t>
  </si>
  <si>
    <t>Eden Street, east side, 14th August 1980.</t>
  </si>
  <si>
    <t>b20614226</t>
  </si>
  <si>
    <t>Angas Street, south side, July 1980: view of a small garden.</t>
  </si>
  <si>
    <t>b20614238</t>
  </si>
  <si>
    <t>Angas Street, south side, July 1980.</t>
  </si>
  <si>
    <t>Gardens</t>
  </si>
  <si>
    <t>b2061424x</t>
  </si>
  <si>
    <t>b20614299</t>
  </si>
  <si>
    <t>Hutt Street, east side, 24th June 1980. Left side of building abuts Allen Place. Hutt Street frontage is 44 2/3 yards.</t>
  </si>
  <si>
    <t>b20614305</t>
  </si>
  <si>
    <t>Angas Street, south side, 24th June 1980. Right side of building abuts Hutt Street.</t>
  </si>
  <si>
    <t>Advertising</t>
  </si>
  <si>
    <t>b20614317</t>
  </si>
  <si>
    <t>Angas Street, south side, 5th June 1980. Right side of building abuts Hutt Street.</t>
  </si>
  <si>
    <t>b20614482</t>
  </si>
  <si>
    <t>Angas Street, south side, 27th February 1980. Right side of building is 15 yards east of Duke's Lane. Angas Street frontage: 38 1/3 yards.</t>
  </si>
  <si>
    <t>b20614494</t>
  </si>
  <si>
    <t>Angas Street, south side, 27th February 1980. Right side of building being demolished is 15 yards east of Duke's Lane. Angas Street frontage: 38 1/3 yards.</t>
  </si>
  <si>
    <t>b20614500</t>
  </si>
  <si>
    <t>Angas Street, south side, 27th February 1980. Right side of building being demolished (behind the car) is 15 yards east of Duke's Lane. Angas Street frontage is 38 1/3 yards.</t>
  </si>
  <si>
    <t>b20614718</t>
  </si>
  <si>
    <t>East Terrace, west side, 28th October 1980. Left side of building is 30 yards north of Carrington Street. East Terrace frontage is 76 2/3 yards.</t>
  </si>
  <si>
    <t>Acre 431 Collection</t>
  </si>
  <si>
    <t>b2061472x</t>
  </si>
  <si>
    <t>East Terrace, west side, 28 October 1980. Left side of building is 30 yards north of Carrington Street. East Terrace frontage is 762/3 yards.</t>
  </si>
  <si>
    <t>b20614731</t>
  </si>
  <si>
    <t>East Terrace, west side, 28th October 1980.Left side of building is 30 yards north of Carrington Street. East Terrace frontage: 76 2/3 yards.</t>
  </si>
  <si>
    <t>b20614743</t>
  </si>
  <si>
    <t>b20614755</t>
  </si>
  <si>
    <t>b20614767</t>
  </si>
  <si>
    <t>East Terrace, west side, 28th October 1980.. Left side of building is 30 yards north of Carrington Street. East Terrace frontage is 76 2/3 yards.</t>
  </si>
  <si>
    <t>b20619157</t>
  </si>
  <si>
    <t>Carrington Street, south side, 21st August 1980. Frontage: 13 1/2 yards.</t>
  </si>
  <si>
    <t>b20619169</t>
  </si>
  <si>
    <t>Carrington Street, south side, 21st August 1980. Right side of building is 86 2/3 yards west of Cardwell Street. Carrington Street frontage is 10 2/3 yards.</t>
  </si>
  <si>
    <t>b20619339</t>
  </si>
  <si>
    <t>Hutt Street, west side, 9th December 1980, showing the "Sandwich Basket Snack Bar". Left side of building is 24 2/3 yards north of McLaren Street. Hutt Street frontage is 18 yards.</t>
  </si>
  <si>
    <t>b20619340</t>
  </si>
  <si>
    <t>Hutt Street, west side, 9th December 1980, showing the "Sandwich Basket Snack Bar".Left side of building is 24 2/3 yards north of McLarlen Street. Hutt Street frontage is 18 yards.</t>
  </si>
  <si>
    <t>b20619455</t>
  </si>
  <si>
    <t>Carrington Street, south side, 4th February 1980. Left side of building abuts Kate Crescent. Carrington Street frontage is 16 2/3 yards. Kate Crescent frontage: 33 1/3 yards.</t>
  </si>
  <si>
    <t>b20619467</t>
  </si>
  <si>
    <t>Carrington Street, south side, 5th June 1980. Right side of building abuts Kate Crescent where the frontage is 33 2/3 yards. Carrington Street frontage: 14 2/3 yards.</t>
  </si>
  <si>
    <t>b20619479</t>
  </si>
  <si>
    <t>b20622521</t>
  </si>
  <si>
    <t>197 Sturt Street, south side, 11 November 1980. Left side of building is 8 yards east of Little Gilbert Street. Sturt Street frontage is 14 yards.</t>
  </si>
  <si>
    <t>b20622533</t>
  </si>
  <si>
    <t>Sturt Street, south side11 November 1980. Left side of building is 8 yards east of Little Gilbert Street. Sturt Street frontage is 14 yards.</t>
  </si>
  <si>
    <t>b20622545</t>
  </si>
  <si>
    <t>Sturt Street, south side, 11 November 1980. Left side of building is 8 yards east of Little Gilbert Street. Sturt Street frontage is 14 yards.</t>
  </si>
  <si>
    <t>b20622557</t>
  </si>
  <si>
    <t>b20622569</t>
  </si>
  <si>
    <t>b20624918</t>
  </si>
  <si>
    <t>Gilles Street, south side, 28th March 1980. Right side of buildings abuts St.John's Place. Gilles Street frontage: 55 yards.</t>
  </si>
  <si>
    <t>b2062492x</t>
  </si>
  <si>
    <t>b20624931</t>
  </si>
  <si>
    <t>Gilles Street, south side, 28th March 1980. Right side of buildings abuts St. John's Place. Gilles Street frontage: 55 yards.</t>
  </si>
  <si>
    <t>b20629710</t>
  </si>
  <si>
    <t>South Terrace, north side, 1 February 1980. Property lies between Vincent Street and St.John's Lane. South Terrace frontage is 166 2/3 yards.</t>
  </si>
  <si>
    <t>b20629722</t>
  </si>
  <si>
    <t>b20629734</t>
  </si>
  <si>
    <t>b20629746</t>
  </si>
  <si>
    <t>South Terrace, north side, 1 February 1980. Property lies between Vincent Street and St. John's Lane. South Terrace frontage: 166 2/3 yards.</t>
  </si>
  <si>
    <t>b20629758</t>
  </si>
  <si>
    <t>b2062976x</t>
  </si>
  <si>
    <t>View across Parklands to South Terrace</t>
  </si>
  <si>
    <t>View across Parklands to section of South Terrace between Vincent Street and St. John's Lane, 1 February 1980. South Terrace frontage is 166 2/3 yards.</t>
  </si>
  <si>
    <t>b20629771</t>
  </si>
  <si>
    <t>View across Parklands to section of South Terrace between Vincent Street and St. John's Lane, 1 February 1980. South Terrace frontage: 166 2/3 yards.</t>
  </si>
  <si>
    <t>b20630918</t>
  </si>
  <si>
    <t>South Terrace, north side, 12 June 1980. Left side of building is 33-1/3 yards east of Symonds Place. South Terrace frontage is 26-1/3 yards.</t>
  </si>
  <si>
    <t>b2063092x</t>
  </si>
  <si>
    <t>South Terrace, North Side : 12th June 1980.</t>
  </si>
  <si>
    <t>b20630931</t>
  </si>
  <si>
    <t>Two storey residence on South Terrace</t>
  </si>
  <si>
    <t>Two storey residence on North side of South Terrace, 12 June 1980.</t>
  </si>
  <si>
    <t>b20651776</t>
  </si>
  <si>
    <t>Mud Hut in Park 15</t>
  </si>
  <si>
    <t>Erection of mud hut in Park 15 for Festival 1980: between Bartels &amp; Wakefield Roads, bounded by East and Dequetteville Terraces.</t>
  </si>
  <si>
    <t>Adelaide Views Collection;G Collection</t>
  </si>
  <si>
    <t>b20651788</t>
  </si>
  <si>
    <t>Erection of mud hut in Park 15 for the Adelaide Festival, 1980.</t>
  </si>
  <si>
    <t>b2065179x</t>
  </si>
  <si>
    <t>Erection of a mud hut in Park 15 for the Adelaide Festival, 1980.</t>
  </si>
  <si>
    <t>b20651806</t>
  </si>
  <si>
    <t>b20651818</t>
  </si>
  <si>
    <t>Mud hut erected in Park 15 for the Adelaide Festival in 1980.</t>
  </si>
  <si>
    <t>b2065182x</t>
  </si>
  <si>
    <t>Erection of Mud hut in Park 15 for the Adelaide Festival, 1980.</t>
  </si>
  <si>
    <t>b20651831</t>
  </si>
  <si>
    <t>Sign explaining the Mud hut erected for 1980 Adelaide Festival.</t>
  </si>
  <si>
    <t>b20651843</t>
  </si>
  <si>
    <t>Completed mut hut erected in Park 15 for the Adelaide Festival in 1980.</t>
  </si>
  <si>
    <t>b20651855</t>
  </si>
  <si>
    <t>Completed Mud Hut in Park 15 erected for the Adelaide Festival in 1980.</t>
  </si>
  <si>
    <t>b20651867</t>
  </si>
  <si>
    <t>Completed mud hut erected in Park 15 for the Adelaide Festival in 1980.</t>
  </si>
  <si>
    <t>b20651879</t>
  </si>
  <si>
    <t>Completed mud hut in Park 15 for the 1980 Adelaide Festival.</t>
  </si>
  <si>
    <t>b20651880</t>
  </si>
  <si>
    <t>Close view of the mud hut erected in Park 15 for the Adelaide Festival in 1980.</t>
  </si>
  <si>
    <t>b20657456</t>
  </si>
  <si>
    <t>Botanic Park: Salvation Army C</t>
  </si>
  <si>
    <t>Botanic Park: Salvation Army Centenary Congress Centenary Village, September 1980.</t>
  </si>
  <si>
    <t>Salvation Army</t>
  </si>
  <si>
    <t>Adelaide Views Collection;Botanic Park Collection</t>
  </si>
  <si>
    <t>b20657468</t>
  </si>
  <si>
    <t>b2065747x</t>
  </si>
  <si>
    <t>b20657481</t>
  </si>
  <si>
    <t>b20657493</t>
  </si>
  <si>
    <t>b2065750x</t>
  </si>
  <si>
    <t>b20657511</t>
  </si>
  <si>
    <t>b20657523</t>
  </si>
  <si>
    <t>b20657535</t>
  </si>
  <si>
    <t>b20657547</t>
  </si>
  <si>
    <t>b20657559</t>
  </si>
  <si>
    <t>b20657560</t>
  </si>
  <si>
    <t>b20665167</t>
  </si>
  <si>
    <t>Matthew Flinders Monument</t>
  </si>
  <si>
    <t>Matthew Flinders Monument.</t>
  </si>
  <si>
    <t>Adelaide Views Collection;Matthew Flinders Monument Collection</t>
  </si>
  <si>
    <t>b20665179</t>
  </si>
  <si>
    <t>b20678551</t>
  </si>
  <si>
    <t>Busker, Rundle Mall</t>
  </si>
  <si>
    <t>Busker and his audience in Rundle Mall, February 1980.</t>
  </si>
  <si>
    <t>b20678563</t>
  </si>
  <si>
    <t>Fruit Stall Accident</t>
  </si>
  <si>
    <t>Fruit stall after a collision with a truck in Rundle Mall.</t>
  </si>
  <si>
    <t>b20678575</t>
  </si>
  <si>
    <t>b20678587</t>
  </si>
  <si>
    <t>b20678599</t>
  </si>
  <si>
    <t>Rundle Mall, 9th September 1980.</t>
  </si>
  <si>
    <t>b20678605</t>
  </si>
  <si>
    <t>Rundle Mall, l9th September 1980.</t>
  </si>
  <si>
    <t>b20678617</t>
  </si>
  <si>
    <t>b20678629</t>
  </si>
  <si>
    <t>b31205914</t>
  </si>
  <si>
    <t>Scott, Jenny (Jennifer Rose), 1952- photographer</t>
  </si>
  <si>
    <t>Showboat Lady Chelmsford</t>
  </si>
  <si>
    <t>1 photograph : black and white;still image sti rdacontent;computer c rdamedia;online resource cr rdacarrier;image file TIFF 5000 x 3043 pixels rda</t>
  </si>
  <si>
    <t>Showboat Lady Chelmsford passing through the Birkenhead Bridge, Port Adelaide.</t>
  </si>
  <si>
    <t>Lady Chelmsford (Ship);Bridges -- South Australia -- Port Adelaide</t>
  </si>
  <si>
    <t>b31205963</t>
  </si>
  <si>
    <t>1 photograph : black and white;still image sti rdacontent;computer c rdamedia;online resource cr rdacarrier;image file TIFF 5000 x 3056 pixels rda</t>
  </si>
  <si>
    <t>The Showboat 'Lady Chelmsford' after passing through the Birkenhead Bridge, Port Adelaide. The Soviet registered cargo ship Novokuybyshevsk is at No. 1 Berth and the British Hotel is in the background.</t>
  </si>
  <si>
    <t>Lady Chelmsford (Ship);Novokuybyshevsk (Ship)</t>
  </si>
  <si>
    <t>b2067532x</t>
  </si>
  <si>
    <t>Children's Library</t>
  </si>
  <si>
    <t>Photograph (colour print)  8.8 cm x 12.5 cm;C1</t>
  </si>
  <si>
    <t>Face painting in the Children's Library.</t>
  </si>
  <si>
    <t>b28431224</t>
  </si>
  <si>
    <t>Checking through a new purchase of Chinese books</t>
  </si>
  <si>
    <t>approximately 1980</t>
  </si>
  <si>
    <t>Photograph (B&amp;W print)  15.2 cm x 20.4 cm</t>
  </si>
  <si>
    <t>Two staff checking through a new purchase of Chinese books for the Adult Lending Services Branch.</t>
  </si>
  <si>
    <t>b28933400</t>
  </si>
  <si>
    <t>Messenger Press, photographer</t>
  </si>
  <si>
    <t>Mazda hatch</t>
  </si>
  <si>
    <t>Photograph (B&amp;W)  various sizes;OUTSIZE 1</t>
  </si>
  <si>
    <t>Mazda three door hatch back. Image by Van Elsen Photographics Pty. Ltd.</t>
  </si>
  <si>
    <t>Messenger Press Collection</t>
  </si>
  <si>
    <t>b30172378</t>
  </si>
  <si>
    <t>Ellen Saunders in her Hampstead Gardens home</t>
  </si>
  <si>
    <t>approximately [1980]</t>
  </si>
  <si>
    <t>1 photograph : colour  9.0 x 9.0 cm;RESERVE 1 a;still image sti rdacontent;unmediated n rdamedia;sheet nb rdacarrier</t>
  </si>
  <si>
    <t>Ellen Saunders in her Hampstead Gardens (fibro cement) home, kitchen.</t>
  </si>
  <si>
    <t>b20552609</t>
  </si>
  <si>
    <t>Rundle Mall - looking West to King William Street and Gawler Place.</t>
  </si>
  <si>
    <t>b20552610</t>
  </si>
  <si>
    <t>Rundle Mall - looking east to Pulteney Street.</t>
  </si>
  <si>
    <t>b20552622</t>
  </si>
  <si>
    <t>Rundle Mall - looking West to Gawler Place.</t>
  </si>
  <si>
    <t>b20552634</t>
  </si>
  <si>
    <t>Rundle Mall - looking West.</t>
  </si>
  <si>
    <t>b20564594</t>
  </si>
  <si>
    <t>Black's Shoes, Rundle Mall, South Side</t>
  </si>
  <si>
    <t>Rundle Mall, south side showing the premises of Blacks Shoes, 9th February 1981. Left side of building is 8 1/3 yards west of Gawler Place  Rundle Mall frontage: 7 yards.</t>
  </si>
  <si>
    <t>b20564600</t>
  </si>
  <si>
    <t>43-45 Rundle Mall, South Side</t>
  </si>
  <si>
    <t>43-45 Rundle Mall, south side showing the premises of Mutual Health, 15 June 1981. Left side of building is 13 1/3 yards west of Gawler Place  frontage: 5 2/3 yards.</t>
  </si>
  <si>
    <t>b20564612</t>
  </si>
  <si>
    <t>Mutual Health, 43-45 Rundle Mall, South Side</t>
  </si>
  <si>
    <t>43-45 Rundle Mall, south side showing the premises of Mutual Health, 15 June 1981. Left hand side of building is 13 1/3 yards west of Gawler Place  frontage: 5 2/3 yards.</t>
  </si>
  <si>
    <t>b20565173</t>
  </si>
  <si>
    <t>77-79 Rundle Mall: South Side. 15 June 1981. Frontage 3-1/3 yards. Right hand side of building 10-2/3 yards from left of Francis Street.</t>
  </si>
  <si>
    <t>b20565185</t>
  </si>
  <si>
    <t>Photograph (b&amp;w print)  15.7 cm x 21.6 cm</t>
  </si>
  <si>
    <t>Rundle Mall - North Side.</t>
  </si>
  <si>
    <t>b20565197</t>
  </si>
  <si>
    <t>Photograph (b&amp;w print)  15.7 cm x 21.7 cm</t>
  </si>
  <si>
    <t>b20594100</t>
  </si>
  <si>
    <t>Southern Farmers Co-Op</t>
  </si>
  <si>
    <t>Southern Farmers Co-Operative, Franklin St. north side abuts Bentham St. west side, Franklin St. frontage: 22 yds. Bentham St. frontage: 90 yds. 2 December 1981.</t>
  </si>
  <si>
    <t>b20594306</t>
  </si>
  <si>
    <t>Young Street, west side. Left side of building is 33 and two third yards north of Franklin Street, north side. Frontage to Young Street is 25 and two third yards. View taken on 17 November 1981.</t>
  </si>
  <si>
    <t>b2059432x</t>
  </si>
  <si>
    <t>Young Street, west side. Left side of the building is 33 and two third yards from the north side of Franklin Street, north side. Frontage to Young Street is 25 and two third yards. View taken on 17 November 1981.</t>
  </si>
  <si>
    <t>b20595955</t>
  </si>
  <si>
    <t>Austral Steel, Morphett Street</t>
  </si>
  <si>
    <t>ANI Austral Steel building, Morphett Street, west side 24th February 1981. Left side of the building is 75 and two third yards south of Franklin Street. Morphett Street frontage is 35 and one third yards.</t>
  </si>
  <si>
    <t>b20595967</t>
  </si>
  <si>
    <t>ANI Austral Steel building, Morphett Street, west side 24th February, 1981. Left side of building is 75 and two third yards south of Franklin Street. Morphett Street frontage is 35 and one third yards.</t>
  </si>
  <si>
    <t>b20596893</t>
  </si>
  <si>
    <t>Independent Order of Rechabites building, Victoria Square</t>
  </si>
  <si>
    <t>Independent Order of Rechabites Albert District building, Victoria Square, west side, 4th June 1981. Right side of the building is 53 yards north of Franklin Street. Frontage: 13 2/3 yards.</t>
  </si>
  <si>
    <t>b20598245</t>
  </si>
  <si>
    <t>Flinders Street, south side, 22nd October 1981. Right side of building is 16 2/3 yards east of Pulteney Street. Flinders Street frontage is 29 2/3 yards.</t>
  </si>
  <si>
    <t>b20599195</t>
  </si>
  <si>
    <t>East Terrace &amp; Nil St</t>
  </si>
  <si>
    <t>116-124 East Terrace and Nil Street 13 May 1981. East Terrace: Frontage is 64 yards. Nil Street: Frontage is 51 1/3 yards.</t>
  </si>
  <si>
    <t>b20599201</t>
  </si>
  <si>
    <t>East Terrace &amp; Nil Street</t>
  </si>
  <si>
    <t>116-124 East Terrace and Nil Street, 13 May 1981. East Terrace: Frontage is 64 yards. Nil Street: Frontage is 51 1/3 yards.</t>
  </si>
  <si>
    <t>b20599213</t>
  </si>
  <si>
    <t>116-124 East Terrace and Nil Street. 13 May 1981 East Terrace: Frontage is 64 yards. Nil Street: Frontage is 51 1/3 yards.</t>
  </si>
  <si>
    <t>b20599730</t>
  </si>
  <si>
    <t>Wakefield Street, North Side, 19 March 1981, right side of building is 56 yards west of Daly Street, Wakefield Street frontage is 10 2/3 yards.</t>
  </si>
  <si>
    <t>b20608093</t>
  </si>
  <si>
    <t>James Street, North Side</t>
  </si>
  <si>
    <t>James Street, north side, 15 September 1981. James Street frontage is 11 yards.</t>
  </si>
  <si>
    <t>b2060810x</t>
  </si>
  <si>
    <t>James Street, north side, 15 September 1981. Frontage: 11 yards.</t>
  </si>
  <si>
    <t>b20611018</t>
  </si>
  <si>
    <t>Gouger Street, south side, 15 September 1981. Left side of building abuts Murray's Lane. Gouger Street frontage is 35 yards.</t>
  </si>
  <si>
    <t>b20614664</t>
  </si>
  <si>
    <t>East Terrace, south side, 17th November 1981. Right side of building is 32 1/2 yards east of East Terrace. East Terrace frontage is 9 1/3 yards.</t>
  </si>
  <si>
    <t>b20614676</t>
  </si>
  <si>
    <t>East Terrace, west side, 24th February 1981. Right side of building is 32 yards west of East Terrace. Frontage to Angas Street is 8 2/3 yards.</t>
  </si>
  <si>
    <t>b20614688</t>
  </si>
  <si>
    <t>East Terrace, west side on to the south side of Angas Street. Right side of building is 32 yards west of East Terrace. Frontage to Angas Street is 8 2/3 yards.</t>
  </si>
  <si>
    <t>b2061469x</t>
  </si>
  <si>
    <t>East Terrace, west side, on to the south side of Angas Street. Right side of building is 133 1/3 yards west of East Terrace. Frontage to Angas Street: 9 1/3 yards.</t>
  </si>
  <si>
    <t>b20614706</t>
  </si>
  <si>
    <t>East Terrace, west side on to south side of Angas Street, 24th February 1981. Right side of building is 133 1/3 yards west of East Terrace. Frontage to Angas Street is 9 1/3 yards.</t>
  </si>
  <si>
    <t>b20614986</t>
  </si>
  <si>
    <t>Gladstone Street, East Side</t>
  </si>
  <si>
    <t>Gladstone Street, east side, 7 Ooctober 1981. Right side of building abuts Duke's Lane. Gladstone Street frontage: 38 yards. Duke's Lane frontage is 28 yards.</t>
  </si>
  <si>
    <t>b20614998</t>
  </si>
  <si>
    <t>Gladstone Street</t>
  </si>
  <si>
    <t>Gladstone Street, east side. Right side of building abuts Duke's Lane. Gladstone Street frontage: 38 yards. Duke's Lane frontage: 28 yards.</t>
  </si>
  <si>
    <t>b20615000</t>
  </si>
  <si>
    <t>Gladstone Street, east side, 7 October 1981. Right side of building abuts Duke's Lane. Gladstone Street frontage : 38 yards. Duke's Lane frontage: 28 yards.</t>
  </si>
  <si>
    <t>b20615152</t>
  </si>
  <si>
    <t>Hutt Street, west side, 19 January 1981. Left side of building abuts Carrington Street. Hutt Street frontage: 22 yards.</t>
  </si>
  <si>
    <t>b20615164</t>
  </si>
  <si>
    <t>Hutt Street, west side, 19 January 1981. Left side of building abuts Carrington Street. Hutt Street frontage is 22 yards.</t>
  </si>
  <si>
    <t>b20615176</t>
  </si>
  <si>
    <t>b20615279</t>
  </si>
  <si>
    <t>204-220 Carrington Street, north side, 7 October 1981. Left side of building abuts Eden Street. Right side abuts Regent Street. Carrington Street frontage is 63 yards. Eden and Regent Street frontages are 34 yards.</t>
  </si>
  <si>
    <t>b20615280</t>
  </si>
  <si>
    <t>b20615292</t>
  </si>
  <si>
    <t>Eden Street, east side, 15 September 1981. Left side of building is 76 2/3 yards south of Angas Street. Eden Street frontage is 8 yards.</t>
  </si>
  <si>
    <t>b20618967</t>
  </si>
  <si>
    <t>Carrington Street, south side, 9th February 1981. Left side of building is 10 yards west of Queen Street. Carrington Street frontage is 20 yards.</t>
  </si>
  <si>
    <t>b20618979</t>
  </si>
  <si>
    <t>Carrington Street, south side, 9th February 1981. Left side of building is 10 yards west of Queen Street. Carrington Street frontage: 20 yards.</t>
  </si>
  <si>
    <t>b20635126</t>
  </si>
  <si>
    <t>Le Fevre Terrace</t>
  </si>
  <si>
    <t>Le Fevre Terrace, west side, 7 August 1981, right side of building is 24 1/3 yards south of Archer Street and frontage is 33 2/3 yards.</t>
  </si>
  <si>
    <t>Acre 731 Collection</t>
  </si>
  <si>
    <t>b20642799</t>
  </si>
  <si>
    <t>O'Connell Street, West Side, 16th September 1981, frontage is 66 2/3 yards.</t>
  </si>
  <si>
    <t>b20678630</t>
  </si>
  <si>
    <t>Rundle Mall - looking West</t>
  </si>
  <si>
    <t>b20678642</t>
  </si>
  <si>
    <t>b20678654</t>
  </si>
  <si>
    <t>b20678666</t>
  </si>
  <si>
    <t>b20678678</t>
  </si>
  <si>
    <t>b2067868x</t>
  </si>
  <si>
    <t>b20678691</t>
  </si>
  <si>
    <t>b20678885</t>
  </si>
  <si>
    <t>School of Mines</t>
  </si>
  <si>
    <t>School of Mines, North Terrace, now known as the South Australian Institute of Technology.</t>
  </si>
  <si>
    <t>Adelaide Views Collection;School of Mines Collection</t>
  </si>
  <si>
    <t>b20678897</t>
  </si>
  <si>
    <t>b20747457</t>
  </si>
  <si>
    <t>Public Library, Mount Gambier</t>
  </si>
  <si>
    <t>MOUNT GAMBIER: The entrance to the Mount Gambier Public Library opened in April 1981 by H.R.H. Prince Charles  the library service commenced in 1967  the building also houses the Sir Robert Helpmann Theatre.</t>
  </si>
  <si>
    <t>Mount Gambier Public Library (Mount Gambier, S.A.);Sir Robert Helpmann Theatre (Mount Gambier, S.A.);Theaters -- South Australia -- Mount Gambier;Public libraries -- South Australia -- Mount Gambier</t>
  </si>
  <si>
    <t>b28430165</t>
  </si>
  <si>
    <t>Libraries Board of South Australia</t>
  </si>
  <si>
    <t>Photograph (B&amp;W print)  15.3 cm x 20.9cm</t>
  </si>
  <si>
    <t>Members of the Libraries Board, pictured in the board room in the Bastyan Wing, 22 December 1981. From left: R.K. Olding, G.P.H. Dutton, V.A. Hankel, A.W. Jones, J.A. Crawford, J.J. Bray, J. Brewer, A.D. McClure, E.M. Miller (Chief Librarian, Public Libraries).</t>
  </si>
  <si>
    <t>Libraries Board of South Australia. -- Membership</t>
  </si>
  <si>
    <t>b31209610</t>
  </si>
  <si>
    <t>Opening of Clare Railway Station</t>
  </si>
  <si>
    <t>1981 July 4</t>
  </si>
  <si>
    <t>Postcard  10 cm x 15 cm</t>
  </si>
  <si>
    <t>A decorated train at the opening of the Clare Railway Station by Governor Galway on 4 July 1918.</t>
  </si>
  <si>
    <t>Railroads -- South Australia -- Clare -- Trains</t>
  </si>
  <si>
    <t>Clare Collection</t>
  </si>
  <si>
    <t>b20556755</t>
  </si>
  <si>
    <t>Photograph (b&amp;w print)  21.5 cm x 15.4 cm</t>
  </si>
  <si>
    <t>King William Street, west side, 15 April 1982. Left side of building is 24 yards from Hindley Street north  frontage to King William Street is 10 yards.</t>
  </si>
  <si>
    <t>b20556767</t>
  </si>
  <si>
    <t>Pepino's 4 Snack Bar, King William Street, Adelaide</t>
  </si>
  <si>
    <t>Photograph (b&amp;w print)  15.4 cm x 21.5 cm</t>
  </si>
  <si>
    <t>Acacia Travel and Pepino's 4 Snack Bar, King William Street, west side, 15 April 1982. Left side of building is 22 metres from Hindley Street north  frontage to King William Street is 9.1 metres.</t>
  </si>
  <si>
    <t>b20556779</t>
  </si>
  <si>
    <t>Photograph (b&amp;w print)  15 cm x 21.5 cm</t>
  </si>
  <si>
    <t>Pepino's 4 Snack Bar, King William Street, west side, 15 April 1982. Left side of building is 22 metres from Hindley Street north  frontage to King William Street is 9.1 metres.</t>
  </si>
  <si>
    <t>b20559318</t>
  </si>
  <si>
    <t>West End Brewery, Hindley Street</t>
  </si>
  <si>
    <t>Photograph (b&amp;w print)  16.5 cm x 21.5 cm</t>
  </si>
  <si>
    <t>Exterior view across car park of West End Brewery building Hindley Street, south side, July 1982.</t>
  </si>
  <si>
    <t>Acre 66 Collection;Acre 67 Collection</t>
  </si>
  <si>
    <t>b2055932x</t>
  </si>
  <si>
    <t>Photograph (b&amp;w print)  16.5 cm x 21.7 cm</t>
  </si>
  <si>
    <t>Exterior view of West End Brewery building, Hindley Street, south side, July 1982.</t>
  </si>
  <si>
    <t>Acre 67 Collection</t>
  </si>
  <si>
    <t>b20570181</t>
  </si>
  <si>
    <t>Grenfell Street, north side, 1st June 1982. Left side of building abuts east side of Gawler Place. Grenfell Street frontage: 39 1/3 yards  Gawler Place frontage: 35 1/3 yards.</t>
  </si>
  <si>
    <t>b20570193</t>
  </si>
  <si>
    <t>Photograph (b&amp;w print)  15.5 cm x 21.5 cm</t>
  </si>
  <si>
    <t>Grenfell Street, north side, 1st June 1982. Left side of building abuts east side of Gawler Place. Grenfell Street frontage: 39 1/3 yards. Gawler Place frontage: 35 1/3 yards.</t>
  </si>
  <si>
    <t>b2057020x</t>
  </si>
  <si>
    <t>Grenfell Street, north side, 1st June 1982. Left side of building abuts east side of Gawler Place  Grenfell Street frontage: 39 1/3 yards. Gawler Place frontage: 35 1/3 yards.</t>
  </si>
  <si>
    <t>b20570211</t>
  </si>
  <si>
    <t>Grenfell Street, Adelaide, North Side</t>
  </si>
  <si>
    <t>Photograph (b&amp;w print)  21.5 cm x 15.2 cm</t>
  </si>
  <si>
    <t>Grenfell Street, north side, 1st June 1982.</t>
  </si>
  <si>
    <t>b2057079x</t>
  </si>
  <si>
    <t>Westpac Bank, Grenfell Street</t>
  </si>
  <si>
    <t>Photograph (b&amp;w print)  15.2 cm x 21.5 cm</t>
  </si>
  <si>
    <t>Westpac Bank North East corner Grenfell Street and King William Street, 15 April, 1982. Grenfell Street frontage is 22-2/3 yards, King William Street frontage is 32 yards. Handybank automatic teller machine is visible on wall. see also B 40109.</t>
  </si>
  <si>
    <t>b20570806</t>
  </si>
  <si>
    <t>Westpac Handybank, Grenfell Street</t>
  </si>
  <si>
    <t>Photograph (b&amp;w print)  21.5 cm x 14.7 cm</t>
  </si>
  <si>
    <t>Westpac Handybank automatic teller machine, North East corner Grenfell and King William Street, 15 April, 1982. see also B 40108.</t>
  </si>
  <si>
    <t>b20598257</t>
  </si>
  <si>
    <t>Photograph (b&amp;w print)  15 cm x 12.5 cm;C1</t>
  </si>
  <si>
    <t>Flinders Street, south side abuts Pulteney Street east side, 12th May 1982. Flinders Street frontage is 15 1/3 yards  Pulteney Street frontage is 29 1/3 yards.</t>
  </si>
  <si>
    <t>b20598269</t>
  </si>
  <si>
    <t>Flinders Street, south side, abuts Pulteney Street east side, 12th May 1982.</t>
  </si>
  <si>
    <t>b20598270</t>
  </si>
  <si>
    <t>Photograph (b&amp;w print)  15.2 cm x 21.5 cm;C1</t>
  </si>
  <si>
    <t>b20598956</t>
  </si>
  <si>
    <t>Flinders Street, south side, 16th March 1982. The left side of the building is 19 1/3 yards from Frome Street. Flinders Street frontage: 18 1/3 yards.</t>
  </si>
  <si>
    <t>b20598968</t>
  </si>
  <si>
    <t>Flinders Street, south side, 16th March 1982. Left side of the building is 19 1/3 yards from Frome Street. Frontage on Flinders Street: 18 1/3 yards.</t>
  </si>
  <si>
    <t>b2059897x</t>
  </si>
  <si>
    <t>Photograph (b&amp;w print)  14.8 cm x 21.5 cm;C1</t>
  </si>
  <si>
    <t>Ifould Street, north side, 6th May 1982. Right side of building is 46 2/3 yards from Hutt Street. IFould Street frontage: 31 1/3 yards.</t>
  </si>
  <si>
    <t>b20598981</t>
  </si>
  <si>
    <t>Photograph (b&amp;w print)  15.3 cm x 21.4 cm;C1</t>
  </si>
  <si>
    <t>Ifould Street, north side, 6th May 1982.</t>
  </si>
  <si>
    <t>b20598993</t>
  </si>
  <si>
    <t>Photograph (b&amp;w print)  15.1 cm x 21.6 cm;C1</t>
  </si>
  <si>
    <t>b20599225</t>
  </si>
  <si>
    <t>East Terrace, West Side, abuts Nil Street south side. 3 February 1982 East Terrace frontage is 64 2/3 yards.</t>
  </si>
  <si>
    <t>b20599754</t>
  </si>
  <si>
    <t>Wakefield Street, north side abuts Daly Street west side, 10 May 1982, Wakefield Street frontage is 55 1/3 yards and Daly Street frontage is 34 1/3 yards.</t>
  </si>
  <si>
    <t>Acre 291 Collection;Acre 292 Collection</t>
  </si>
  <si>
    <t>b20599766</t>
  </si>
  <si>
    <t>b20599778</t>
  </si>
  <si>
    <t>b2060791x</t>
  </si>
  <si>
    <t>Wakefield Street, Adelaide, South Side</t>
  </si>
  <si>
    <t>Wakefield Street, south side, 10 May 1982. Left side of building is 46 1/3 yards from west side of Hutt Street. Wakefield Street frontage: 24 1/3 yards.</t>
  </si>
  <si>
    <t>b20607921</t>
  </si>
  <si>
    <t>Wakefield Street, south side, 10 May 1982. Left side of building is 46 1/3 yards from west side of Hutt Street. Wakefield Street frontage is 24 1/3 yards.</t>
  </si>
  <si>
    <t>b20608111</t>
  </si>
  <si>
    <t>Angas Street, north side, abuts Angas Court, 3 February 1982. Angas Street frontage is 13 2/3 yards. Right of the building is 25 1/3 yards east from Albert Lane.</t>
  </si>
  <si>
    <t>b20614251</t>
  </si>
  <si>
    <t>Hutt Street, west side, abuts Angas Street south side, 3rd February 1982. Hutt Street frontage: 65 2/3 yards.</t>
  </si>
  <si>
    <t>b20614263</t>
  </si>
  <si>
    <t>Hutt Street, west side, abuts Angas Street, south side. Hutt Street frontage: 65 2/3 yards.</t>
  </si>
  <si>
    <t>b20614275</t>
  </si>
  <si>
    <t>House, corner Hutt St. and Hume St</t>
  </si>
  <si>
    <t>House on the NW corner of Hutt Street and Humes Street, 3rd February 1982.</t>
  </si>
  <si>
    <t>b20614342</t>
  </si>
  <si>
    <t>Angas Street, South Side abuts</t>
  </si>
  <si>
    <t>Angas Street, south side abuts Dukes lane, west side, 3rd February 1982. Angas Street frontage: 49 2/3 yards. Left side of building is 113 1/3 yards from Hutt Street.</t>
  </si>
  <si>
    <t>b20614354</t>
  </si>
  <si>
    <t>Angas Street, south side abuts Dukes lane, west side, 3rd February 1982. Angas Street frontage: 49 2/3 yards  left side of building is 113 1/3 yards from Hutt Street.</t>
  </si>
  <si>
    <t>b20614366</t>
  </si>
  <si>
    <t>b20614378</t>
  </si>
  <si>
    <t>Angas Street, south side, 16th March 1982. Left side of building is 65 yards from Hutt Street east. Frontage to Angas Street: 30 1/3 yards.</t>
  </si>
  <si>
    <t>b2061438x</t>
  </si>
  <si>
    <t>b20614391</t>
  </si>
  <si>
    <t>Angas Street, south side, 16th March 1982. Right side of building abuts Dukes Lane. Angas Street frontage: 30 1/3 yards.</t>
  </si>
  <si>
    <t>b20619595</t>
  </si>
  <si>
    <t>Carrington Street south side, 11th May 1982. Left side of building is 86 2/3 yards from west side of East Terrace. Carrington Street frontage: 10 yards.</t>
  </si>
  <si>
    <t>Acre 505 Collection</t>
  </si>
  <si>
    <t>b20619601</t>
  </si>
  <si>
    <t>Carrington Street, south side, 11th May 1982. Left side of building is 86 2/3 yards from west side of East Terrace. Carrington Street frontage: 10 yards.</t>
  </si>
  <si>
    <t>b20628171</t>
  </si>
  <si>
    <t>Owen Street</t>
  </si>
  <si>
    <t>Photograph (b&amp;w print)  15.6 cm x 21.5 cm;C1</t>
  </si>
  <si>
    <t>Owen Street west, 20th October, 1982. Left side of building is 37 1/2 yards from South Terrace.</t>
  </si>
  <si>
    <t>b20628183</t>
  </si>
  <si>
    <t>b20628195</t>
  </si>
  <si>
    <t>Owen Street west, 20th October, 1982. Left side of building is 37 1/2 yards from South Terrace. Note Graffiti on building.</t>
  </si>
  <si>
    <t>b20629503</t>
  </si>
  <si>
    <t>North West corner of East Terrace and South Terrace</t>
  </si>
  <si>
    <t>North West corner of East Terrace and South Terrace, Adelaide, 6 March 1982. East Terrace frontage is 35-1/3 yards, South Terrace frontage is 55-1/3 yards.</t>
  </si>
  <si>
    <t>Acre 662 Collection</t>
  </si>
  <si>
    <t>b20629515</t>
  </si>
  <si>
    <t>East Terrace West Side</t>
  </si>
  <si>
    <t>East Terrace West Side   16 March, 1982. East Terrace frontage is 35-1/3 yards, South Terrace frontage is 55-1/3 yards.</t>
  </si>
  <si>
    <t>b20629527</t>
  </si>
  <si>
    <t>East Terrace west side  16 March 1982.</t>
  </si>
  <si>
    <t>b20629539</t>
  </si>
  <si>
    <t>b22047220</t>
  </si>
  <si>
    <t>Giles, Stephen, photographer</t>
  </si>
  <si>
    <t>Brachina Gorge in the Flinders Ranges</t>
  </si>
  <si>
    <t>A view showing the faultline in Brachina Gorge in the Flinders Ranges, 4 May 1982.</t>
  </si>
  <si>
    <t>b28430578</t>
  </si>
  <si>
    <t>Photograph (B&amp;W print)  15.3 cm x 20.9 cm</t>
  </si>
  <si>
    <t>Members of the Libraries Board, pictured in the board room in the Bastyan Wing, 27 April 1982. From left: E.M. Miller (Chief Librarian, Public Libraries), J.J. Bray, A.W. Jones, E. Witton, J.A. Crawford. J. Brewer. G.P.H. Dutton, R.K. Olding (State Librarian), A.D. McClure.</t>
  </si>
  <si>
    <t>b29239953</t>
  </si>
  <si>
    <t>Event at the State Library for the Banks Florilegium Appeal</t>
  </si>
  <si>
    <t>1 photograph : black and white   15.6 x 21 cm;still image sti rdacontent;unmediated n rdamedia;sheet nb rdacarrier</t>
  </si>
  <si>
    <t>Photograph taken at the State Library of South Australia during the opening of the Banks Florilegium Appeal  a fundraiser to purchase the limited edition set of colour prints, known as Banks Florilegium. The Premier of South Australia, David Tonkin, is speaking at the lectern. The man standing to his left is State Librarian Ray Olding and the next man is Peter Morgan, from the Friends of the State Library.</t>
  </si>
  <si>
    <t>Tonkin, David, 1929-2000;Olding, R. K. (Raymond Knox), 1929-2003;Morgan, Peter;Premiers -- South Australia;State Library of South Australia -- Employees;State Library of South Australia -- Buildings;Libraries -- South Australia -- Adelaide</t>
  </si>
  <si>
    <t>b29240050</t>
  </si>
  <si>
    <t>Photograph taken during an opening event held at the State Library of South Australia to raise funds for the purchase of a limited edition set of colour prints, known as Banks Florilegium. The Premier of South Australia, David Tonkin, is at the front of the group, the man in the middle is John Jefferson Bray. Peter Morgan, from the Friends of the State Library, can just be seen at the back. The group are walking through the Symon Library in the State Library building. A man in costume announces their arrival by playing a pipe.</t>
  </si>
  <si>
    <t>Tonkin, David, 1929-2000;Bray, J. J. (John Jefferson), 1912-1995;Morgan, Peter;Judges -- South Australia;Premiers -- South Australia;State Library of South Australia -- buildings;Libraries -- South Australia -- Adelaide</t>
  </si>
  <si>
    <t>b21009016</t>
  </si>
  <si>
    <t>Turner, T. C., photographer</t>
  </si>
  <si>
    <t>Portraits of pioneers</t>
  </si>
  <si>
    <t>1892 September</t>
  </si>
  <si>
    <t>Photograph (b&amp;w print)  8.5 cm x 5 cm;RESERVE 1 album</t>
  </si>
  <si>
    <t>Album containing 34 portraits of pioneers. Clara Snewin nee Whitelaw.</t>
  </si>
  <si>
    <t>Whitelaw, Clarice;Pioneers -- Victoria;Clothing and dress -- Victoria</t>
  </si>
  <si>
    <t>b20593879</t>
  </si>
  <si>
    <t>Negative;RESERVE 4</t>
  </si>
  <si>
    <t>Franklin Street, north side. Left side of the building abuts Bentham Street. Franklin Street frontage is 53 ft. Bentham Street frontage is 166 ft., view taken on 30th November 1983.</t>
  </si>
  <si>
    <t>b20593880</t>
  </si>
  <si>
    <t>Franklin Street, north side. Left side of building abuts Bentham Street. Franklin Street frontage is 53 ft. Bentham Street frontage is 166 ft. View taken on 30 November 1983.</t>
  </si>
  <si>
    <t>b20593892</t>
  </si>
  <si>
    <t>Franklin Street, north side. Left side of building abuts Bentham Street, Franklin Street frontage is 53 ft. Bentham Street frontage is 166 ft. view taken on 30 November 1983.</t>
  </si>
  <si>
    <t>b20608639</t>
  </si>
  <si>
    <t>Angas street, North Side</t>
  </si>
  <si>
    <t>Photograph (b&amp;w print)  16.4 cm x 20.5 cm;C1</t>
  </si>
  <si>
    <t>Angas street North Side. Right side of building is 25 metres from Gunson Street. Frontage of building is 8 metres. 10 November 1983.</t>
  </si>
  <si>
    <t>b20613891</t>
  </si>
  <si>
    <t>Pulteney Street, east side. Service Station abuts Angas Street where its frontage is 76 feet. Frontage on Pulteney Street is 101 feet.</t>
  </si>
  <si>
    <t>b20613908</t>
  </si>
  <si>
    <t>Pulteney Street, east side. Service Station abuts Angas Street where its frontage is 76 feet. Pulteney Street frontage: 101 feet.</t>
  </si>
  <si>
    <t>b20618633</t>
  </si>
  <si>
    <t>Carrington Street, souty side, 9th February 1983. Right side of building is 24 1/3 yards left of Surflen Street. Frontage of Carrington Street: 7 2/3 yards.</t>
  </si>
  <si>
    <t>b20618645</t>
  </si>
  <si>
    <t>Carrington Street, south side. Right side of building is 24 1/3 yards left of Surflen Street. Frontage of Carrington Street is 7 2/3 yards.</t>
  </si>
  <si>
    <t>b20618657</t>
  </si>
  <si>
    <t>Carrington Street, south side. Right side of building is 24 1/3 yards left of Surflen Street. Frontage of Carrington Street: 7 2/3 yards.</t>
  </si>
  <si>
    <t>b20647785</t>
  </si>
  <si>
    <t>Stanley Street, North Side</t>
  </si>
  <si>
    <t>Photograph (b&amp;w print)  16.4 cm x 18 cm;C1</t>
  </si>
  <si>
    <t>Stanley Street, north side, 17th October 1983. The right side of building is 35 yards from Jerningham Street, North Adelaide. Frontage: 15 yards.</t>
  </si>
  <si>
    <t>Acre 1031 Collection</t>
  </si>
  <si>
    <t>b29272506</t>
  </si>
  <si>
    <t>Nikki Scott at Largs Bay beach</t>
  </si>
  <si>
    <t>1983 January</t>
  </si>
  <si>
    <t>1 photograph : grey scale;still image sti rdacontent;computer c rdamedia;online resource cr rdacarrier;image file TIFF 5000 x 3092 pixels rda</t>
  </si>
  <si>
    <t>Nikki Scott at Largs Bay, South Australia, during a family visit to the beach.</t>
  </si>
  <si>
    <t>Scott, Nicole, 1976-;Beaches -- South Australia -- Largs Bay</t>
  </si>
  <si>
    <t>Largs Bay Collection</t>
  </si>
  <si>
    <t>b29272531</t>
  </si>
  <si>
    <t>1 photograph : grey scale;still image sti rdacontent;computer c rdamedia;online resource cr rdacarrier;image file TIFF 3040 x 5000 pixels rda</t>
  </si>
  <si>
    <t>Nikki Scott paddling at Largs Bay, South Australia, during a family visit to the beach.</t>
  </si>
  <si>
    <t>b29272543</t>
  </si>
  <si>
    <t>Katie and Nikki Scott at Largs Bay beach</t>
  </si>
  <si>
    <t>1 photograph : grey scale;still image sti rdacontent;computer c rdamedia;online resource cr rdacarrier;image file TIFF 5000 x 3053 pixels rda</t>
  </si>
  <si>
    <t>Katie Scott shows a shell to the camera while Nikki Scott paddles behind her at Largs Bay, South Australia, during a family visit to the beach.</t>
  </si>
  <si>
    <t>Scott, Katie, 1975-;Scott, Nicole, 1976-;Beaches -- South Australia -- Largs Bay</t>
  </si>
  <si>
    <t>b29272555</t>
  </si>
  <si>
    <t>1 photograph : grey scale;still image sti rdacontent;computer c rdamedia;online resource cr rdacarrier;image file TIFF 4998 x 3021 pixels rda</t>
  </si>
  <si>
    <t>Katie Scott (left) and Nikki Scott playing at Largs Bay, South Australia, during a family visit to the beach.</t>
  </si>
  <si>
    <t>b29272567</t>
  </si>
  <si>
    <t>Scott family at Largs Bay beach</t>
  </si>
  <si>
    <t>1 photograph : grey scale;still image sti rdacontent;computer c rdamedia;online resource cr rdacarrier;image file TIFF 5000 x 2999 pixels rda</t>
  </si>
  <si>
    <t>Kerry Scott walking toward her daughters Joanna Scott (front) and Nikki Scott making sand castles at Largs Bay, South Australia, during a family visit to the beach.</t>
  </si>
  <si>
    <t>Scott, Joanna, 1979-;Scott, Kerry, 1955-;Scott, Nicole, 1976-;Beaches -- South Australia -- Largs Bay</t>
  </si>
  <si>
    <t>b29272592</t>
  </si>
  <si>
    <t>1 photograph : grey scale;still image sti rdacontent;computer c rdamedia;online resource cr rdacarrier;image file TIFF 5000 x 3012 pixels rda</t>
  </si>
  <si>
    <t>Kerry Scott helps her daughters Joanna Scott (front) and Nikki Scott making sand castles at Largs Bay, South Australia, during a family visit to the beach. A section of the Fort Largs Police Academy can be seen behind them.</t>
  </si>
  <si>
    <t>b29272609</t>
  </si>
  <si>
    <t>Joanna and Kerry Scott at Largs Bay beach</t>
  </si>
  <si>
    <t>1 photograph : grey scale;still image sti rdacontent;computer c rdamedia;online resource cr rdacarrier;image file TIFF 3005 x 5000 pixels rda</t>
  </si>
  <si>
    <t>Kerry Scott watches her daughter Joanna making sand castles at Largs Bay, South Australia, during a family visit to the beach. A section of the Fort Largs Police Academy can be seen behind them.</t>
  </si>
  <si>
    <t>Scott, Joanna, 1979-;Scott, Kerry, 1955-;Beaches -- South Australia -- Largs Bay</t>
  </si>
  <si>
    <t>b29272610</t>
  </si>
  <si>
    <t>Kerry Scott at Largs Bay beach</t>
  </si>
  <si>
    <t>Kerry Scott watching her daughters at Largs Bay, South Australia, during a family visit to the beach.</t>
  </si>
  <si>
    <t>Scott, Kerry, 1955-;Beaches -- South Australia -- Largs Bay</t>
  </si>
  <si>
    <t>b29272622</t>
  </si>
  <si>
    <t>Joanna Scott at Largs Bay beach</t>
  </si>
  <si>
    <t>1 photograph : grey scale;still image sti rdacontent;computer c rdamedia;online resource cr rdacarrier;image file TIFF 5000 x 3000 pixels rda</t>
  </si>
  <si>
    <t>Joanna Scott at Largs Bay, South Australia, during a family visit to the beach.</t>
  </si>
  <si>
    <t>Scott, Joanna, 1979-;Beaches -- South Australia -- Largs Bay</t>
  </si>
  <si>
    <t>b29272646</t>
  </si>
  <si>
    <t>Kerry Scott adjusts Joanna Scott's sunhat at Largs Bay, South Australia, during a family visit to the beach.</t>
  </si>
  <si>
    <t>Scott, Joanna, 1979-;Scott, Katie, 1975-;Scott, Kerry, 1955-;Scott, Nicole, 1976-;Beaches -- South Australia -- Largs Bay</t>
  </si>
  <si>
    <t>b2927266x</t>
  </si>
  <si>
    <t>1 photograph : grey scale;still image sti rdacontent;computer c rdamedia;online resource cr rdacarrier;image file TIFF 4998 x 2991 pixels rda</t>
  </si>
  <si>
    <t>Members of the Scott during a family visit to Largs Bay beach in South Australia. L to R: Nikki, Joanna, Katie and Kerry.</t>
  </si>
  <si>
    <t>b20642209</t>
  </si>
  <si>
    <t>Mansfield Street, west side, 1984, frontage is 52 yards and left side of house is 230 yards from Tynte Street.</t>
  </si>
  <si>
    <t>b20642210</t>
  </si>
  <si>
    <t>Mansfield Street, west side, 1984, frontage of house is 52 yards and left side is 230 yards from Tynte Street.</t>
  </si>
  <si>
    <t>b20654042</t>
  </si>
  <si>
    <t>Archives Department</t>
  </si>
  <si>
    <t>Photograph (b&amp;w print)  16.4 x 21.5 cm;C1</t>
  </si>
  <si>
    <t>Mr Brian Baldwin (Deputy Archivist) and Dr John Tregenza inspecting paintings of Captain D.M. Hahn and his ship Zebra on their arrival at the Archives. 1984.</t>
  </si>
  <si>
    <t>Adelaide Views Collection;Archives Department Collection</t>
  </si>
  <si>
    <t>b20654054</t>
  </si>
  <si>
    <t>Ms Val Siebert (Archives Manager) and Mr Brian Baldwin (Deputy Archivist) inspecting paintings of Captain D.M. Hahn and his ship Zebra on their arrival at the Archives. 1984.</t>
  </si>
  <si>
    <t>b20666214</t>
  </si>
  <si>
    <t>Mortlock Library Appeal</t>
  </si>
  <si>
    <t>Children "building" the Mortlock Library with coins as part of the Appeal.</t>
  </si>
  <si>
    <t>Adelaide Views Collection;Mortlock Library Collection</t>
  </si>
  <si>
    <t>b20666226</t>
  </si>
  <si>
    <t>Children "building" the Mortlock Library with coins: Left to right: Andrew Bamford  Andrew Swaby  Leanne Stewart  Kirsten Delaney  Tae Wonlw.</t>
  </si>
  <si>
    <t>b20666238</t>
  </si>
  <si>
    <t>Children "building" the Mortlock Library with coins. Left to right: Andrew Swaby  Leanne Stewart  Andrew Bamford.</t>
  </si>
  <si>
    <t>b20667449</t>
  </si>
  <si>
    <t>Children from Linden Park Primary School who raised over $700 for the Mortlock Library Appeal.</t>
  </si>
  <si>
    <t>b20675094</t>
  </si>
  <si>
    <t>Photograph (colour print)  10.1 cm x 15.2 cm;C1</t>
  </si>
  <si>
    <t>Sue Mildred showing children how to make Christmas decorations out of biscuit dough.</t>
  </si>
  <si>
    <t>b20675100</t>
  </si>
  <si>
    <t>Photograph (colour print)  10.2 cm x 15.2 cm;C1</t>
  </si>
  <si>
    <t>Father Christmas arrives at the Children's Library party.</t>
  </si>
  <si>
    <t>b20675112</t>
  </si>
  <si>
    <t>Photograph(colour print)  10.1 cm x 15.2 cm;C1</t>
  </si>
  <si>
    <t>Children making Christmas decorations out of biscuit dough.</t>
  </si>
  <si>
    <t>b20675124</t>
  </si>
  <si>
    <t>Photograph (b&amp;w print)  11 cm x 15.8 cm;C1</t>
  </si>
  <si>
    <t>Playing "Pin the tail on the donkey" at a Christmas party organised by the Children's Library staff.</t>
  </si>
  <si>
    <t>b20675136</t>
  </si>
  <si>
    <t>Photograph (b&amp;w print)  10.7 cm x 15.7 cm;C1</t>
  </si>
  <si>
    <t>Carols at a Children's Library Christmas party.</t>
  </si>
  <si>
    <t>b20675148</t>
  </si>
  <si>
    <t>Photograph (b&amp;w print)  11.5 cm x 15.8 cm;C1</t>
  </si>
  <si>
    <t>Children's Library Christmas party in full swing.</t>
  </si>
  <si>
    <t>b2067515x</t>
  </si>
  <si>
    <t>Photograph (colour 10.7 cm x 15.2 cm;C1</t>
  </si>
  <si>
    <t>Story telling on a Halloween party night.</t>
  </si>
  <si>
    <t>b20675161</t>
  </si>
  <si>
    <t>Photograph (colour)  10.1 cm x 15.2 cm;C1</t>
  </si>
  <si>
    <t>Halloween party Bingo, at the Children's Library.</t>
  </si>
  <si>
    <t>b20675173</t>
  </si>
  <si>
    <t>Photograph (b&amp;w print)  11.5 cm x 16 cm;C1</t>
  </si>
  <si>
    <t>"Mr Merlin" at the Halloween Party at the Children's Library.</t>
  </si>
  <si>
    <t>Adelaide Views Collection;Public LIbrary Collection</t>
  </si>
  <si>
    <t>b20675185</t>
  </si>
  <si>
    <t>Photograph (b&amp;w print)  11.8 cm x 16.5 cm;C1</t>
  </si>
  <si>
    <t>A Halloween party at the Children's Library.</t>
  </si>
  <si>
    <t>b20675197</t>
  </si>
  <si>
    <t>Photograph (b&amp;w print)  10.8 cm x 16.5 cm;C1</t>
  </si>
  <si>
    <t>A Halloween party storytelling in the Children's library.</t>
  </si>
  <si>
    <t>b20675203</t>
  </si>
  <si>
    <t>Playing "Apple on a string", at a Halloween party at the Children's Library.</t>
  </si>
  <si>
    <t>b20675215</t>
  </si>
  <si>
    <t>Ghostly tap dancers at the Halloween Party, Children's Library.</t>
  </si>
  <si>
    <t>b20727537</t>
  </si>
  <si>
    <t>Carrick Hill</t>
  </si>
  <si>
    <t>1 photograph : acetate, negative, black and white   6.1 x 5 cm;RESERVE 1 negative</t>
  </si>
  <si>
    <t>Carrick Hill showing the left side of the house and grounds.</t>
  </si>
  <si>
    <t>Carrick Hill (Springfield, S.A. : House);Historic buildings -- South Australia -- Springfield;Architecture, Domestic -- South Australia -- Springfield</t>
  </si>
  <si>
    <t>Album Collection;Carrick Hill Collection</t>
  </si>
  <si>
    <t>b20727549</t>
  </si>
  <si>
    <t>Grounds of Carrick Hill</t>
  </si>
  <si>
    <t>Garden and grounds of Carrick Hill: left side of house garden area.</t>
  </si>
  <si>
    <t>Carrick Hill (Springfield, S.A. : House);Architecture, Domestic -- South Australia -- Springfield;Gardens -- South Australia -- Springfield</t>
  </si>
  <si>
    <t>b20727550</t>
  </si>
  <si>
    <t>Carrick Hill: left side of the house showing the back driveway.</t>
  </si>
  <si>
    <t>Carrick Hill (Springfield, S.A. : House);Architecture, Domestic -- South Australia -- Springfield;Historic buildings -- South Australia -- Springfield</t>
  </si>
  <si>
    <t>b20727562</t>
  </si>
  <si>
    <t>Carrick Hill: left side of house from the back driveway.</t>
  </si>
  <si>
    <t>b20727574</t>
  </si>
  <si>
    <t>Carrick Hill: part of the grounds and a driveway.</t>
  </si>
  <si>
    <t>Carrick Hill (Springfield, S.A. : House);Gardens -- South Australia -- Springfield</t>
  </si>
  <si>
    <t>b20727586</t>
  </si>
  <si>
    <t>Carrick Hill: the front gate.</t>
  </si>
  <si>
    <t>Carrick Hill (Springfield, S.A. : House);Gates -- South Australia -- Springfield</t>
  </si>
  <si>
    <t>b20727598</t>
  </si>
  <si>
    <t>b20727604</t>
  </si>
  <si>
    <t>Carrick Hill from the driveway.</t>
  </si>
  <si>
    <t>b20727616</t>
  </si>
  <si>
    <t>Carrick Hill grounds.</t>
  </si>
  <si>
    <t>b20727628</t>
  </si>
  <si>
    <t>Carrick Hill: part of the driveway and gardens.</t>
  </si>
  <si>
    <t>b2072763x</t>
  </si>
  <si>
    <t>Carrick Hill.</t>
  </si>
  <si>
    <t>b20727641</t>
  </si>
  <si>
    <t>Carrick Hill, showing part of the gardens and grounds.</t>
  </si>
  <si>
    <t>b20727653</t>
  </si>
  <si>
    <t>Carrick Hill, showing part of the garden and grounds: a view taken from the roof of the house.</t>
  </si>
  <si>
    <t>Carrick Hill (Springfield, S.A. : House);Gardens -- South Australia -- Springfield;Architecture, Domestic -- South Australia -- Springfield</t>
  </si>
  <si>
    <t>b20727665</t>
  </si>
  <si>
    <t>Carrick Hill: part of the garden and the grounds, a side view taken from the roof of the house.</t>
  </si>
  <si>
    <t>b20727677</t>
  </si>
  <si>
    <t>Carrick Hill garden and grounds: a side view taken from the roof of the house.</t>
  </si>
  <si>
    <t>b20727689</t>
  </si>
  <si>
    <t>Carrick Hill: part of the garden and grounds, a back view taken from the roof of the house.</t>
  </si>
  <si>
    <t>b20727690</t>
  </si>
  <si>
    <t>Carrick Hill: a back view of the garden and grounds taken from the roof of the house.</t>
  </si>
  <si>
    <t>b20727707</t>
  </si>
  <si>
    <t>Carrick Hill: part of the garden.</t>
  </si>
  <si>
    <t>b20727719</t>
  </si>
  <si>
    <t>Carrick Hill: the back of the house and lawns.</t>
  </si>
  <si>
    <t>b20727720</t>
  </si>
  <si>
    <t>Carrick Hill: a view of the spacious lawns at the rear of the house.</t>
  </si>
  <si>
    <t>b20727732</t>
  </si>
  <si>
    <t>Carrick Hill Gardens</t>
  </si>
  <si>
    <t>Part of Carrick Hill gardens.</t>
  </si>
  <si>
    <t>b20727744</t>
  </si>
  <si>
    <t>b20727756</t>
  </si>
  <si>
    <t>Carrick Hill Garden</t>
  </si>
  <si>
    <t>Carrick Hill : a garden vista.</t>
  </si>
  <si>
    <t>b20727768</t>
  </si>
  <si>
    <t>Carrick Hill showing the spacious lawns at the rear of the house.</t>
  </si>
  <si>
    <t>Carrick Hill (Springfield, S.A. : House);Historic buildings -- South Australia -- Springfield;Gardens -- South Australia -- Springfield</t>
  </si>
  <si>
    <t>b2072777x</t>
  </si>
  <si>
    <t>Carrick Hill at the rear of the house.</t>
  </si>
  <si>
    <t>b20727781</t>
  </si>
  <si>
    <t>b20727793</t>
  </si>
  <si>
    <t>Carrick Hill garden statue</t>
  </si>
  <si>
    <t>Carrick Hill garden statue.</t>
  </si>
  <si>
    <t>Carrick Hill (Springfield, S.A. : House);Garden ornaments and furniture -- South Australia -- Springfield;Statues -- South Australia -- Springfield</t>
  </si>
  <si>
    <t>b2072780x</t>
  </si>
  <si>
    <t>Carrick Hill pool area.</t>
  </si>
  <si>
    <t>Carrick Hill (Springfield, S.A. : House);Swimming pools -- South Australia -- Springfield</t>
  </si>
  <si>
    <t>b20727811</t>
  </si>
  <si>
    <t>Carrick Hill: part of the garden on the right side of the house.</t>
  </si>
  <si>
    <t>b20727823</t>
  </si>
  <si>
    <t>Carrick Hill garden area on the right side of the house.</t>
  </si>
  <si>
    <t>b20727835</t>
  </si>
  <si>
    <t>b20727847</t>
  </si>
  <si>
    <t>b20727872</t>
  </si>
  <si>
    <t>b20727884</t>
  </si>
  <si>
    <t>b20727896</t>
  </si>
  <si>
    <t>b20727902</t>
  </si>
  <si>
    <t>b20727914</t>
  </si>
  <si>
    <t>b20727926</t>
  </si>
  <si>
    <t>Carrick Hill Dining Room</t>
  </si>
  <si>
    <t>Carrick Hill: a partial view of the dining room showing old furniture.</t>
  </si>
  <si>
    <t>Carrick Hill (Springfield, S.A. : House);Interior decoration -- South Australia -- Springfield;Furniture -- South Australia -- Springfield</t>
  </si>
  <si>
    <t>b20727938</t>
  </si>
  <si>
    <t>Photograph (b&amp;w print)  15.7 cm x 21.5 cm;C1</t>
  </si>
  <si>
    <t>Carrick Hill dining room.</t>
  </si>
  <si>
    <t>Carrick Hill (Springfield, S.A. : House);Interior decoration -- South Australia -- Springfield;Dining rooms -- South Australia -- Springfield</t>
  </si>
  <si>
    <t>b2072794x</t>
  </si>
  <si>
    <t>Carrick Hill dining room, showing old furniture.</t>
  </si>
  <si>
    <t>Carrick Hill (Springfield, S.A. : House);Dining rooms -- South Australia -- Springfield;Interior decoration -- South Australia -- Springfield</t>
  </si>
  <si>
    <t>b20727951</t>
  </si>
  <si>
    <t>b20727963</t>
  </si>
  <si>
    <t>Carrick Hill fireplace.</t>
  </si>
  <si>
    <t>Carrick Hill (Springfield, S.A. : House);Fireplaces -- South Australia -- Springfield;Interior decoration -- South Australia -- Springfield</t>
  </si>
  <si>
    <t>b20727975</t>
  </si>
  <si>
    <t>b20727987</t>
  </si>
  <si>
    <t>Carrick Hill dining room featuring candelabra and a carved sideboard.</t>
  </si>
  <si>
    <t>b20727999</t>
  </si>
  <si>
    <t>Carrick Hill Entrance Hall</t>
  </si>
  <si>
    <t>Carrick Hill entrance hall.</t>
  </si>
  <si>
    <t>Carrick Hill (Springfield, S.A. : House);Interior architecture -- South Australia -- Springfield;Interior decoration -- South Australia -- Springfield</t>
  </si>
  <si>
    <t>b20728001</t>
  </si>
  <si>
    <t>b20728013</t>
  </si>
  <si>
    <t>Carrick Hill Grand Staircase</t>
  </si>
  <si>
    <t>Carrick Hill grand staircase.</t>
  </si>
  <si>
    <t>Carrick Hill (Springfield, S.A. : House);Interior architecture -- South Australia -- Springfield</t>
  </si>
  <si>
    <t>b20728025</t>
  </si>
  <si>
    <t>Carrick Hill grand staircase with a view of the entrance hall.</t>
  </si>
  <si>
    <t>b20728037</t>
  </si>
  <si>
    <t>b20728049</t>
  </si>
  <si>
    <t>Carrick Hill Gallery</t>
  </si>
  <si>
    <t>Carrick Hill gallery.</t>
  </si>
  <si>
    <t>b20728050</t>
  </si>
  <si>
    <t>b20728062</t>
  </si>
  <si>
    <t>Carrick Hill Furniture</t>
  </si>
  <si>
    <t>Carrick Hill furniture: a china cabinet on the staircase.</t>
  </si>
  <si>
    <t>Carrick Hill (Springfield, S.A. : House);Interior architecture -- South Australia -- Springfield;Interior decoration -- South Australia -- Springfield;Furniture -- South Australia -- Springfield</t>
  </si>
  <si>
    <t>b20728074</t>
  </si>
  <si>
    <t>Carrick Hill Hall</t>
  </si>
  <si>
    <t>Carrick Hill Ground Floor, Hall and stairway to the Gallery.</t>
  </si>
  <si>
    <t>Carrick Hill (Springfield, S.A. : House);Interior decoration -- South Australia -- Springfield;Interior architecture -- South Australia -- Springfield</t>
  </si>
  <si>
    <t>b20728086</t>
  </si>
  <si>
    <t>Small office and Library in Carrick Hill.</t>
  </si>
  <si>
    <t>b20728098</t>
  </si>
  <si>
    <t>Carrick Hill Staircase</t>
  </si>
  <si>
    <t>Carrick Hill Hall showing the staircase to the Gallery.</t>
  </si>
  <si>
    <t>b20728104</t>
  </si>
  <si>
    <t>Carrick Hill Entrance Hall.</t>
  </si>
  <si>
    <t>b20728116</t>
  </si>
  <si>
    <t>b20728128</t>
  </si>
  <si>
    <t>Carrick Hill ground floor, cloakroom (off Entrance Hall.</t>
  </si>
  <si>
    <t>b20728359</t>
  </si>
  <si>
    <t>A study on the first floor.</t>
  </si>
  <si>
    <t>b20728360</t>
  </si>
  <si>
    <t>b20728372</t>
  </si>
  <si>
    <t>Large guest room on the first floor.</t>
  </si>
  <si>
    <t>Carrick Hill (Springfield, S.A. : House);Interior architecture -- South Australia -- Springfield;Interior decoration -- South Australia -- Springfield;Bedrooms -- South Australia -- Springfield</t>
  </si>
  <si>
    <t>b20728384</t>
  </si>
  <si>
    <t>Carrick Hill (Springfield, S.A. : House);Interior decoration -- South Australia -- Springfield;Interior architecture -- South Australia -- Springfield;Bedrooms -- South Australia -- Springfield</t>
  </si>
  <si>
    <t>b20728396</t>
  </si>
  <si>
    <t>First floor hallway.</t>
  </si>
  <si>
    <t>b20728402</t>
  </si>
  <si>
    <t>First floor guest room.</t>
  </si>
  <si>
    <t>b20728414</t>
  </si>
  <si>
    <t>Servant room on the first floor.</t>
  </si>
  <si>
    <t>b20728426</t>
  </si>
  <si>
    <t>Servants room on the first floor.</t>
  </si>
  <si>
    <t>b20728438</t>
  </si>
  <si>
    <t>Album Collection;Carrick hill Collection</t>
  </si>
  <si>
    <t>b2072844x</t>
  </si>
  <si>
    <t>Back of the House.</t>
  </si>
  <si>
    <t>b20728451</t>
  </si>
  <si>
    <t>b20728463</t>
  </si>
  <si>
    <t>The attic.</t>
  </si>
  <si>
    <t>Carrick Hill (Springfield, S.A. : House);Interior architecture -- South Australia -- Springfield;Attics -- South Australia -- Springfield</t>
  </si>
  <si>
    <t>b20728475</t>
  </si>
  <si>
    <t>Entrance hall on the ground floor.</t>
  </si>
  <si>
    <t>b20728487</t>
  </si>
  <si>
    <t>Front garden.</t>
  </si>
  <si>
    <t>b20728499</t>
  </si>
  <si>
    <t>Front garden and land facing the hills.</t>
  </si>
  <si>
    <t>b20728505</t>
  </si>
  <si>
    <t>b20728517</t>
  </si>
  <si>
    <t>b20728529</t>
  </si>
  <si>
    <t>b20728530</t>
  </si>
  <si>
    <t>b20728542</t>
  </si>
  <si>
    <t>Carrick Hill (Springfield, S.A. : House);Historic buildings -- South Australia -- Springfield;Architecture, Domestic -- South Australia -- Springfield;Gardens -- South Australia -- Springfield</t>
  </si>
  <si>
    <t>b20728554</t>
  </si>
  <si>
    <t>Front Garden and land facing the Hills.</t>
  </si>
  <si>
    <t>b20728566</t>
  </si>
  <si>
    <t>Carrick Hill (Springfield, S.A. : House);Garden ornaments and furniture -- South Australia -- Springfield</t>
  </si>
  <si>
    <t>b20728578</t>
  </si>
  <si>
    <t>b2072858x</t>
  </si>
  <si>
    <t>b20728591</t>
  </si>
  <si>
    <t>Garden Party  Police band performing.</t>
  </si>
  <si>
    <t>Carrick Hill (Springfield, S.A. : House);Police -- South Australia -- Springfield;Brass bands -- South Australia -- Springfield</t>
  </si>
  <si>
    <t>b20728608</t>
  </si>
  <si>
    <t>Photograph   14.7 cm x 21.5 cm;C1</t>
  </si>
  <si>
    <t>Garden Party  Police band performing at Carrick Hill.</t>
  </si>
  <si>
    <t>b2072861x</t>
  </si>
  <si>
    <t>Photograph   14.6 cm x 21.5 cm;C1</t>
  </si>
  <si>
    <t>Garden Party.</t>
  </si>
  <si>
    <t>Carrick Hill (Springfield, S.A. : House);Entertaining -- South Australia -- Springfield;Gardens -- South Australia -- Springfield</t>
  </si>
  <si>
    <t>b20728621</t>
  </si>
  <si>
    <t>b20728633</t>
  </si>
  <si>
    <t>Photograph (b&amp;w print)  14.6 cm x 21.6 cm;C1</t>
  </si>
  <si>
    <t>b20728645</t>
  </si>
  <si>
    <t>Photograph (b&amp;w print)  14.8 cm x 21.4 cm;C1</t>
  </si>
  <si>
    <t>b20728657</t>
  </si>
  <si>
    <t>b20728669</t>
  </si>
  <si>
    <t>Photograph (b&amp;w print)  21.5 cm x 14.6 cm;C1</t>
  </si>
  <si>
    <t>The Premier of South Australia, Mr Bannon addressing the crowd at a Garden Party.</t>
  </si>
  <si>
    <t>Bannon, John, 1943-2015;Carrick Hill (Springfield, S.A. : House);Gardens -- South Australia -- Springfield;Entertaining -- South Australia -- Springfield;Premiers -- South Australia</t>
  </si>
  <si>
    <t>b20728670</t>
  </si>
  <si>
    <t>Photograph (b&amp;w print)  21.5 cm x 14.7 cm;C1</t>
  </si>
  <si>
    <t>The Premier of South Australia, Mr Bannon addressing the crowd.</t>
  </si>
  <si>
    <t>Bannon, John, 1943-2015;Carrick Hill (Springfield, S.A. : House);Entertaining -- South Australia -- Springfield;Gardens -- South Australia -- Springfield;Premiers -- South Australia</t>
  </si>
  <si>
    <t>b20728682</t>
  </si>
  <si>
    <t>b20728694</t>
  </si>
  <si>
    <t>Photograph (b&amp;w print)  14.6 cm x 21.5 cm;C1</t>
  </si>
  <si>
    <t>Mr David Thomas addressing the crowd at a Garden Party.</t>
  </si>
  <si>
    <t>Thomas, David (David Emlyn Liddon);Carrick Hill (Springfield, S.A. : House);Gardens -- South Australia -- Springfield;Entertaining -- South Australia -- Springfield</t>
  </si>
  <si>
    <t>b20728700</t>
  </si>
  <si>
    <t>Photograph (b&amp;w print)  21.4 cm x 14.6 cm;C1</t>
  </si>
  <si>
    <t>Lady Downer addressing the crowd.</t>
  </si>
  <si>
    <t>Downer, Mary, Lady;Carrick Hill (Springfield, S.A. : House);Gardens -- South Australia -- Springfield;Entertaining -- South Australia -- Springfield</t>
  </si>
  <si>
    <t>b20728712</t>
  </si>
  <si>
    <t>Photograph (b&amp;w print)  14.7 cm x 21.5 cm;C1</t>
  </si>
  <si>
    <t>Carrick Hill (Springfield, S.A. : House);Gardens -- South Australia -- Springfield;Entertaining -- South Australia -- Springfield</t>
  </si>
  <si>
    <t>b20728724</t>
  </si>
  <si>
    <t>b20728736</t>
  </si>
  <si>
    <t>b20728748</t>
  </si>
  <si>
    <t>b2072875x</t>
  </si>
  <si>
    <t>b20728761</t>
  </si>
  <si>
    <t>b20728773</t>
  </si>
  <si>
    <t>b20728785</t>
  </si>
  <si>
    <t>b20674417</t>
  </si>
  <si>
    <t>Jervois Wing First Gallery</t>
  </si>
  <si>
    <t>[approximately 1984]</t>
  </si>
  <si>
    <t>Photograph (b&amp;w print)  20.2 cm x 25.3 cm;C1</t>
  </si>
  <si>
    <t>Jervois Wing first gallery when occupied by the periodicals Section, before restoration for occupation by the Mortlock Library Collections.</t>
  </si>
  <si>
    <t>b20674429</t>
  </si>
  <si>
    <t>Jervois Wing first gallery when occupied by the Periodicals Section, before restoration for occupation by the Mortlock Library Collections.</t>
  </si>
  <si>
    <t>b20674430</t>
  </si>
  <si>
    <t>Jervois Wing</t>
  </si>
  <si>
    <t>A reading bay in the Jervois Wing when occupied by the Periodicals Section, before restoration for occupation by the Mortlock Library Collections.</t>
  </si>
  <si>
    <t>b20674442</t>
  </si>
  <si>
    <t>Children in the Jervois Wing</t>
  </si>
  <si>
    <t>Children in the Jervois Wing with donated coins during a Heritage Week.</t>
  </si>
  <si>
    <t>b20674454</t>
  </si>
  <si>
    <t>b20675227</t>
  </si>
  <si>
    <t>Storytelling in the park</t>
  </si>
  <si>
    <t>Photograph (colour print)  10 cm x 15.2 cm;C1</t>
  </si>
  <si>
    <t>Storytelling in the Park at the Public Library.</t>
  </si>
  <si>
    <t>b20675239</t>
  </si>
  <si>
    <t>Storytelling in the park at the Public Library.</t>
  </si>
  <si>
    <t>b20675240</t>
  </si>
  <si>
    <t>Children's Library decorations</t>
  </si>
  <si>
    <t>Children's Library decorations for Book Week.</t>
  </si>
  <si>
    <t>b20675252</t>
  </si>
  <si>
    <t>Storytelling in the Children's Library during Book Week.</t>
  </si>
  <si>
    <t>b20675264</t>
  </si>
  <si>
    <t>Children's Library Storytelling</t>
  </si>
  <si>
    <t>Photograph (b&amp;w print)  10.8 cm x 15.7 cm;C1</t>
  </si>
  <si>
    <t>Storytelling in the Children's Library.</t>
  </si>
  <si>
    <t>b20675276</t>
  </si>
  <si>
    <t>Stephen Williams telling children stories.</t>
  </si>
  <si>
    <t>b20675288</t>
  </si>
  <si>
    <t>Sue Mildred telling children stories.</t>
  </si>
  <si>
    <t>b20675306</t>
  </si>
  <si>
    <t>Stephen William storytelling in the park.</t>
  </si>
  <si>
    <t>b20675318</t>
  </si>
  <si>
    <t>Storytelling in the Park.</t>
  </si>
  <si>
    <t>b20675392</t>
  </si>
  <si>
    <t>Shadow puppet workshop in the Children's library.</t>
  </si>
  <si>
    <t>b20675409</t>
  </si>
  <si>
    <t>Shadow puppet workshop</t>
  </si>
  <si>
    <t>b20675410</t>
  </si>
  <si>
    <t>b20675422</t>
  </si>
  <si>
    <t>Photograph (colour print)  10 cm x 15.1 cm;C1</t>
  </si>
  <si>
    <t>A "Make a Book" demonstration in the Children's library.</t>
  </si>
  <si>
    <t>b20675434</t>
  </si>
  <si>
    <t>b20675446</t>
  </si>
  <si>
    <t>A "Make a Book" demonstration in the Children's Library.</t>
  </si>
  <si>
    <t>b20675458</t>
  </si>
  <si>
    <t>b2067546x</t>
  </si>
  <si>
    <t>A "Make a Book" demonstration by Brian Drake in the Children's Library.</t>
  </si>
  <si>
    <t>b20675471</t>
  </si>
  <si>
    <t>A "Make a Book" demonstration by Brian Drake at the Children's Library.</t>
  </si>
  <si>
    <t>b20800010</t>
  </si>
  <si>
    <t>Hotel Centralia on North Terrace</t>
  </si>
  <si>
    <t>ACRE 7: Hotel Centralia, 61-65 North Terrace  frontage: 31 metres on North Terrace.</t>
  </si>
  <si>
    <t>b20800022</t>
  </si>
  <si>
    <t>243-249 Wright Street and 2-8 Chatham Street, Adelaide</t>
  </si>
  <si>
    <t>ACRE 472: 243-249 Wright Street and 2-8 Chatham Street before demolition of the shops and dwelling  Wright Street frontage: 60 ft.</t>
  </si>
  <si>
    <t>b25570018</t>
  </si>
  <si>
    <t>General view of the bindery</t>
  </si>
  <si>
    <t>1 photograph : black and white   33 cm x 49 cm, on mount 51 cm x 64 cm;OUTSIZE 5 c;still image sti rdacontent;unmediated n rdamedia;sheet nb rdacarrier</t>
  </si>
  <si>
    <t>A general view of the State Library of South Australia's Bindery, located in the Bastyan Wing (after redevelopment renamed the Spence Wing) showing staff at work. Working at the desk on the bottom right is assumed to be Bev Poultney  the two women working at desks in the centre row are Elaine Stanley, sewing books, on the left, and Maria Packer, repairs, on the right  the two members of staff talking together, top and centre of the photograph, are Veronica Paterson with Fred Punter  and the two staff members at the top are Len Wright (far left) and possibly David Ellis (centre). [Notes and names provided by Dave Ellis].</t>
  </si>
  <si>
    <t>State Library of South Australia. Bindery;Libraries -- South Australia -- Adelaide</t>
  </si>
  <si>
    <t>b29272403</t>
  </si>
  <si>
    <t>Backyard Cricket</t>
  </si>
  <si>
    <t>1984 December 25</t>
  </si>
  <si>
    <t>1 photograph : colour;still image sti rdacontent;computer c rdamedia;online resource cr rdacarrier;image file TIFF 5000 x 3388 pixels rda</t>
  </si>
  <si>
    <t>On Christmas Day 1984 the Hanna, Scott and Whitfield families gathered together at Mark and Margie Whitfield's Bethany home to celebrate Christmas. After lunch they played Cricket. Left to Right: David Hanna, Mark Whitfield, Tim Hanna (Keeper), Katie Scott (Bat), the Whitfield's dog, Nikki Scott (partially hidden) and Hadyn Hanna (Bowler).</t>
  </si>
  <si>
    <t>Hanna, David, 1976-;Hanna, Hadyn, 1948-;Hanna, Timothy, 1980-;Scott, Katie, 1975-;Scott, Nicole, 1976-;Whitfield, Mark, 1953-;Cricket -- South Australia -- Bethany;Christmas -- South Australia -- Bethany</t>
  </si>
  <si>
    <t>Bethany Collection</t>
  </si>
  <si>
    <t>b29272452</t>
  </si>
  <si>
    <t>1 photograph : colour;still image sti rdacontent;computer c rdamedia;online resource cr rdacarrier;image file TIFF 5000 x 3303 pixels rda</t>
  </si>
  <si>
    <t>On Christmas Day 1984 the Hanna, Scott and Whitfield families gathered together at Mark and Margie Whitfield's Bethany home to celebrate Christmas. After lunch they played Cricket. Left to Right: Mark Whitfield, Tim Hanna (Keeper), Katie Scott (Bat), Nikki Scott (partially hidden), Hadyn Hanna (Bowler) and David Hanna.</t>
  </si>
  <si>
    <t>b29272464</t>
  </si>
  <si>
    <t>1 photograph : colour;still image sti rdacontent;computer c rdamedia;online resource cr rdacarrier;image file TIFF 5000 x 3329 pixels rda</t>
  </si>
  <si>
    <t>On Christmas Day 1984 the Hanna, Scott and Whitfield families gathered together at Mark and Margie Whitfield's Bethany home to celebrate Christmas. After lunch they played Cricket. Left to Right: Mark Whitfield, Tim Hanna (Keeper), Katie Scott (Bat), Nikki Scott, David Hanna and Hadyn Hanna (Bowler).</t>
  </si>
  <si>
    <t>b20253746</t>
  </si>
  <si>
    <t>Hackney Bus Depot</t>
  </si>
  <si>
    <t>Hackney Bus Depot: main building.</t>
  </si>
  <si>
    <t>Buses -- South Australia -- Hackney</t>
  </si>
  <si>
    <t>b20253758</t>
  </si>
  <si>
    <t>Hackney Bus Depot: main building: frontage.</t>
  </si>
  <si>
    <t>b2025376x</t>
  </si>
  <si>
    <t>Hackney Bus Depot: main building: side view.</t>
  </si>
  <si>
    <t>b20253771</t>
  </si>
  <si>
    <t>Hackney Bus Depot: sheds.</t>
  </si>
  <si>
    <t>b20253783</t>
  </si>
  <si>
    <t>b20253795</t>
  </si>
  <si>
    <t>b20253801</t>
  </si>
  <si>
    <t>b20253813</t>
  </si>
  <si>
    <t>b20253825</t>
  </si>
  <si>
    <t>b20253837</t>
  </si>
  <si>
    <t>C1;Photograph (b&amp;w print)  16.5 x 21.5 cm</t>
  </si>
  <si>
    <t>b20253849</t>
  </si>
  <si>
    <t>b20253850</t>
  </si>
  <si>
    <t>Hackney Bus Depot: fuel supply section.</t>
  </si>
  <si>
    <t>b20568940</t>
  </si>
  <si>
    <t>Bent Street, east side.</t>
  </si>
  <si>
    <t>b20637445</t>
  </si>
  <si>
    <t>Strangways Terrace, south side, 5th February 1985. Right side of building abuts Strangways Place where the frontage is 15 yards. Strangways Terrace frontage: 13 yards.</t>
  </si>
  <si>
    <t>b20666068</t>
  </si>
  <si>
    <t>State Library basement</t>
  </si>
  <si>
    <t>Photograph (b&amp;w print)  16.5 cm x 21.6 cm;C1</t>
  </si>
  <si>
    <t>State Library basement scene of 1985 removal of periodical material before renovation of the Jervois Wing for the Mortlock Library collections.</t>
  </si>
  <si>
    <t>b2066607x</t>
  </si>
  <si>
    <t>State Library Basement</t>
  </si>
  <si>
    <t>Photograph (b&amp;w print)  16.9 cm x 21.5 cm;C1</t>
  </si>
  <si>
    <t>State Library basement scene, removal of periodical materials before renovation of the Jervois Wing for the Mortlock Library collections.</t>
  </si>
  <si>
    <t>b20666081</t>
  </si>
  <si>
    <t>b20666093</t>
  </si>
  <si>
    <t>Photograph (b&amp;w print)  16.6 cm x 21.5 cm;C1</t>
  </si>
  <si>
    <t>State Library basement scene: removal of a catalogue before renovation of the Jervois Wing for the Mortlock Library collections.</t>
  </si>
  <si>
    <t>b2066610x</t>
  </si>
  <si>
    <t>Jervois Wing first gallery scene before clearance of periodical materials to make way for the Mortlock Library collections.</t>
  </si>
  <si>
    <t>State Library of South Australia. Jervois Wing;Mortlock Library of South Australiana;Historic buildings -- South Australia -- Adelaide -- Conservation and restoration</t>
  </si>
  <si>
    <t>b20666111</t>
  </si>
  <si>
    <t>Jervois Wing first gallery scene during renovation for the Mortlock Library.</t>
  </si>
  <si>
    <t>Mortlock Library of South Australiana;State Library of South Australia. Jervois Wing;Historic buildings -- South Australia -- Adelaide -- Conservation and restoration</t>
  </si>
  <si>
    <t>b20666123</t>
  </si>
  <si>
    <t>Removing periodical material</t>
  </si>
  <si>
    <t>Removing periodical material from the Jervois Wing before renovation for the Mortlock Library.</t>
  </si>
  <si>
    <t>b20666135</t>
  </si>
  <si>
    <t>Removing periodical material from the first gallery of the Jervois Wing before renovations for the Mortlock Library.</t>
  </si>
  <si>
    <t>Mortlock Library of South Australiana;State Library of South Australia. Jervois Wing</t>
  </si>
  <si>
    <t>b20666147</t>
  </si>
  <si>
    <t>First gallery renovations</t>
  </si>
  <si>
    <t>First gallery scene before completion of Jervois Wing renovation for the Mortlock Library.</t>
  </si>
  <si>
    <t>b20666159</t>
  </si>
  <si>
    <t>Jervois Wing Renovations</t>
  </si>
  <si>
    <t>Jervois Wing renovations in progress for the Mortlock Library.</t>
  </si>
  <si>
    <t>b20666160</t>
  </si>
  <si>
    <t>Jervois Wing renovations</t>
  </si>
  <si>
    <t>Jervois Wing renovations in progress for the Mortlock Library: This piece of original wall paper was saved when discovered behind a cupboard.</t>
  </si>
  <si>
    <t>b20666172</t>
  </si>
  <si>
    <t>b20666184</t>
  </si>
  <si>
    <t>Jervois Wing renovations in progress on the first gallery for the Mortlock Library.</t>
  </si>
  <si>
    <t>b20666196</t>
  </si>
  <si>
    <t>b20666202</t>
  </si>
  <si>
    <t>Original brass door handles</t>
  </si>
  <si>
    <t>Original brass door handles on doors in the Jervois Wing, photographed during the renovations carried out for the Mortlock Library.</t>
  </si>
  <si>
    <t>b2066624x</t>
  </si>
  <si>
    <t>Jervois Wing renovations in progress in the main chamber.</t>
  </si>
  <si>
    <t>b20666251</t>
  </si>
  <si>
    <t>Jervois Wing renovations in the main chamber for the Mortlock Library.</t>
  </si>
  <si>
    <t>b20666263</t>
  </si>
  <si>
    <t>Jervois Wing main chamber renovations for the Mortlock Library.</t>
  </si>
  <si>
    <t>b20666275</t>
  </si>
  <si>
    <t>Jervois Wing Main Chamber</t>
  </si>
  <si>
    <t>Jervois Wing main chamber during removal of periodical materials before renovation for the Mortlock Library.</t>
  </si>
  <si>
    <t>b20666287</t>
  </si>
  <si>
    <t>Jervois Wing main chamber during removal of periodical material before renovation for the Mortlock Library.</t>
  </si>
  <si>
    <t>b20666299</t>
  </si>
  <si>
    <t>Jervois Wing staircase</t>
  </si>
  <si>
    <t>Jervois Wing spiral stairway during renovation for the Mortlock Library.</t>
  </si>
  <si>
    <t>Mortlock Library of South Australiana;State Library of South Australia. Jervois Wing;Staircases -- South Australia -- Adelaide;Historic buildings -- South Australia -- Adelaide -- Conservation and restoration</t>
  </si>
  <si>
    <t>b20666305</t>
  </si>
  <si>
    <t>b20666317</t>
  </si>
  <si>
    <t>Jervois Wing first gallery during renovation for the Mortlock Library.</t>
  </si>
  <si>
    <t>b20666329</t>
  </si>
  <si>
    <t>Jervois Wing building renovation for the Mortlock Library.</t>
  </si>
  <si>
    <t>b20666330</t>
  </si>
  <si>
    <t>Jervois Wing renovations for the Mortlock Library.</t>
  </si>
  <si>
    <t>b20666342</t>
  </si>
  <si>
    <t>Furnishing renovation</t>
  </si>
  <si>
    <t>Furnishing renovation in progress for the Mortlock Library.</t>
  </si>
  <si>
    <t>b20666354</t>
  </si>
  <si>
    <t>Jervois Wing renovation</t>
  </si>
  <si>
    <t>b20666366</t>
  </si>
  <si>
    <t>Photograph (b&amp;w print)  16.5cm x 21.5 cm;C1</t>
  </si>
  <si>
    <t>b20666378</t>
  </si>
  <si>
    <t>Removal of periodical material from the Jervois Wing to make way for renovations for the Mortlock Library.</t>
  </si>
  <si>
    <t>b2066638x</t>
  </si>
  <si>
    <t>Panelling restoration</t>
  </si>
  <si>
    <t>Panelling restoration in the Jervois Wing for the Mortlock Library.</t>
  </si>
  <si>
    <t>b20666391</t>
  </si>
  <si>
    <t>View from the first landing during renovations of the Jervois Wing for the Mortlock Library.</t>
  </si>
  <si>
    <t>b20666408</t>
  </si>
  <si>
    <t>Jervois Wing renovations in progress, top gallery, for the Mortlock Library.</t>
  </si>
  <si>
    <t>b2066641x</t>
  </si>
  <si>
    <t>Jervois Wing renovations for the Mortlock Library: a view from the first gallery.</t>
  </si>
  <si>
    <t>b20666421</t>
  </si>
  <si>
    <t>b20666433</t>
  </si>
  <si>
    <t>Jervois Wing renovations: building work in progress for the Mortlock Library.</t>
  </si>
  <si>
    <t>b20666445</t>
  </si>
  <si>
    <t>Jervois Wing renovations for the Mortlock Library: main desk area.</t>
  </si>
  <si>
    <t>b20666457</t>
  </si>
  <si>
    <t>Photograph   6x8in</t>
  </si>
  <si>
    <t>Jervois Wing renovations for the Mortlock Library: reading bay.</t>
  </si>
  <si>
    <t>b20666469</t>
  </si>
  <si>
    <t>Protective measures during the Jervois Wing renovations for the Mortlock Library.</t>
  </si>
  <si>
    <t>b20666470</t>
  </si>
  <si>
    <t>Photograph  6x8in</t>
  </si>
  <si>
    <t>Jervois Wing renovations for the Mortlock Library showing wall drilling.</t>
  </si>
  <si>
    <t>b20666482</t>
  </si>
  <si>
    <t>Jervois Wing renovations in progress for the Mortlock Library showing wall drilling.</t>
  </si>
  <si>
    <t>b20666494</t>
  </si>
  <si>
    <t>Jervois Wing stacks</t>
  </si>
  <si>
    <t>Jervois Wing stacks before packing up to make way for renovations for the Mortlock Library.</t>
  </si>
  <si>
    <t>b20666500</t>
  </si>
  <si>
    <t>Jervois Wing stack area before packing to make way for the renovations for the Mortlock Library.</t>
  </si>
  <si>
    <t>b20666512</t>
  </si>
  <si>
    <t>Jervois Wing renovations for the Mortlock Library: packing in progress.</t>
  </si>
  <si>
    <t>b20666524</t>
  </si>
  <si>
    <t>Jervois Wing Basement</t>
  </si>
  <si>
    <t>Jervois Wing basement showing periodical materials awaiting clearance to make way for the Mortlock Library.</t>
  </si>
  <si>
    <t>b20666536</t>
  </si>
  <si>
    <t>Jervois Wing basement showing clearance of stack areas to make way for renovations for the Mortlock Library.</t>
  </si>
  <si>
    <t>State Library of South Australia. Jervois Wing;Mortlock Library of South Australiana</t>
  </si>
  <si>
    <t>b20666548</t>
  </si>
  <si>
    <t>Jervois Wing Basement showing empty stack areas, before renovation for the Mortlock LIbrary.</t>
  </si>
  <si>
    <t>b2066655x</t>
  </si>
  <si>
    <t>Jervois Wing basement: moving out work areas before renovations for the Mortlock Library.</t>
  </si>
  <si>
    <t>b20666561</t>
  </si>
  <si>
    <t>Jervois Wing basement: moving out periodical materials before renovations for the Mortlock Library.</t>
  </si>
  <si>
    <t>b20666573</t>
  </si>
  <si>
    <t>Jervois Wing basement area: moving out periodical materials before renovations for the Mortlock Library.</t>
  </si>
  <si>
    <t>b20666585</t>
  </si>
  <si>
    <t>Clearing Stacks, Jervois Wing</t>
  </si>
  <si>
    <t>Library Staff clearing stacks in the Jervois Wing basement before renovations start for the Mortlock Library.</t>
  </si>
  <si>
    <t>b20666597</t>
  </si>
  <si>
    <t>Clearing stacks, Jervois Wing</t>
  </si>
  <si>
    <t>Library staff clearing stacks in the Jervois Wing basement before renovations for the Mortlock Library start.</t>
  </si>
  <si>
    <t>b20666603</t>
  </si>
  <si>
    <t>Jervois Wing basement: periodical materials being removed to make way for renovations for the Mortlock Library.</t>
  </si>
  <si>
    <t>b20666615</t>
  </si>
  <si>
    <t>Jervois Wing basement during clearance of materials and work areas before renovations for the Mortlock Library.</t>
  </si>
  <si>
    <t>b20666627</t>
  </si>
  <si>
    <t>Jervois Wing basement during clearance of materials and work areas before renovations for the Mortlock Library begin.</t>
  </si>
  <si>
    <t>b20666639</t>
  </si>
  <si>
    <t>Jervois Wing basement during clearance before renovations for the Mortlock Library begin.</t>
  </si>
  <si>
    <t>b20666640</t>
  </si>
  <si>
    <t>Jervois Wing basement during clearance of materials before renovations for the Mortlock Library begin.</t>
  </si>
  <si>
    <t>b20666652</t>
  </si>
  <si>
    <t>Jervois Wing basement : empty stacks ready to be removed before renovations begin for the Mortlock Library.</t>
  </si>
  <si>
    <t>b20666664</t>
  </si>
  <si>
    <t>Jervois Wing basement : empty shelves waiting to be removed before renovations for the Mortlock Library begin.</t>
  </si>
  <si>
    <t>b20666676</t>
  </si>
  <si>
    <t>Jervois Wing basement showing empty stacks waiting for removal before renovations for the Mortlock Library begin.</t>
  </si>
  <si>
    <t>b20666688</t>
  </si>
  <si>
    <t>Jervois Wing basement showing the clearance nearly complete before renovations for the Mortlock Library begin.</t>
  </si>
  <si>
    <t>b2066669x</t>
  </si>
  <si>
    <t>Jervois Wing basement cleared before renovations for the Mortlock Library begin.</t>
  </si>
  <si>
    <t>b20666706</t>
  </si>
  <si>
    <t>Jervois Wing basement cleared of materials before renovations for the Mortlock Library begin.</t>
  </si>
  <si>
    <t>b20666718</t>
  </si>
  <si>
    <t>Photograph  (b&amp;w print)  16.5 cm x 21.5 cm;C1</t>
  </si>
  <si>
    <t>b2066672x</t>
  </si>
  <si>
    <t>b20666731</t>
  </si>
  <si>
    <t>b20666743</t>
  </si>
  <si>
    <t>Jervois Wing desk area</t>
  </si>
  <si>
    <t>Jervois Wing desk area before renovations for the Mortlock Library began.</t>
  </si>
  <si>
    <t>b20666755</t>
  </si>
  <si>
    <t>b20666767</t>
  </si>
  <si>
    <t>Jervois Wing basement scene: library staff clearing shelves before renovations for the Mortlock Library begin.</t>
  </si>
  <si>
    <t>b20666779</t>
  </si>
  <si>
    <t>b20666780</t>
  </si>
  <si>
    <t>Jervois Wing basement scene during renovation for the Mortlock Library.</t>
  </si>
  <si>
    <t>b20666792</t>
  </si>
  <si>
    <t>Jervois Wing basement scene during renovation for the Mortlock LIbrary.</t>
  </si>
  <si>
    <t>Adelaide Views Collection;Mortlock LIbrary Collection</t>
  </si>
  <si>
    <t>b20666809</t>
  </si>
  <si>
    <t>Jervois Wing basement awaiting complete clearance before renovations for the Mortlock Library begin.</t>
  </si>
  <si>
    <t>b20666810</t>
  </si>
  <si>
    <t>Jervois Wing basement during renovations for the Mortlock Library.</t>
  </si>
  <si>
    <t>b20666822</t>
  </si>
  <si>
    <t>b20666834</t>
  </si>
  <si>
    <t>Jervois Wing basement scene during renovations for the Mortlock Library.</t>
  </si>
  <si>
    <t>b20666846</t>
  </si>
  <si>
    <t>Jervois WIng Basement</t>
  </si>
  <si>
    <t>b20666858</t>
  </si>
  <si>
    <t>Jervois WIng basement scene during renovations for the Mortlock Library.</t>
  </si>
  <si>
    <t>b2066686x</t>
  </si>
  <si>
    <t>b20666871</t>
  </si>
  <si>
    <t>b20666883</t>
  </si>
  <si>
    <t>b20666895</t>
  </si>
  <si>
    <t>b20666901</t>
  </si>
  <si>
    <t>b20666913</t>
  </si>
  <si>
    <t>b20666925</t>
  </si>
  <si>
    <t>b20666937</t>
  </si>
  <si>
    <t>b20666949</t>
  </si>
  <si>
    <t>Jervois Wing basement</t>
  </si>
  <si>
    <t>b20666950</t>
  </si>
  <si>
    <t>b20666962</t>
  </si>
  <si>
    <t>b20666974</t>
  </si>
  <si>
    <t>b20666986</t>
  </si>
  <si>
    <t>b20666998</t>
  </si>
  <si>
    <t>Jervois Wing basement scene during the renovations for the Mortlock Library.</t>
  </si>
  <si>
    <t>b20667000</t>
  </si>
  <si>
    <t>b20667012</t>
  </si>
  <si>
    <t>b20667024</t>
  </si>
  <si>
    <t>Photograph (b&amp;w)l  16.5 cm x 21.5 cm;C1</t>
  </si>
  <si>
    <t>b20667036</t>
  </si>
  <si>
    <t>b20667048</t>
  </si>
  <si>
    <t>b2066705x</t>
  </si>
  <si>
    <t>b20667061</t>
  </si>
  <si>
    <t>b20667073</t>
  </si>
  <si>
    <t>b20667085</t>
  </si>
  <si>
    <t>b20667097</t>
  </si>
  <si>
    <t>b20667103</t>
  </si>
  <si>
    <t>b20667115</t>
  </si>
  <si>
    <t>b20667127</t>
  </si>
  <si>
    <t>b20667139</t>
  </si>
  <si>
    <t>b20667140</t>
  </si>
  <si>
    <t>b20667152</t>
  </si>
  <si>
    <t>b20667164</t>
  </si>
  <si>
    <t>b20667176</t>
  </si>
  <si>
    <t>b20667188</t>
  </si>
  <si>
    <t>b2066719x</t>
  </si>
  <si>
    <t>b20667206</t>
  </si>
  <si>
    <t>b20667218</t>
  </si>
  <si>
    <t>b2066722x</t>
  </si>
  <si>
    <t>b20667231</t>
  </si>
  <si>
    <t>b20667243</t>
  </si>
  <si>
    <t>Jervois Wing basement scene during renovations for the Mortlock Library.: putting down new concrete flooring.</t>
  </si>
  <si>
    <t>b20667255</t>
  </si>
  <si>
    <t>b20667267</t>
  </si>
  <si>
    <t>b20667279</t>
  </si>
  <si>
    <t>b20667280</t>
  </si>
  <si>
    <t>Jervois Wing basement scene during renovation for the Mortlock Library : installation of compactus.</t>
  </si>
  <si>
    <t>b20667292</t>
  </si>
  <si>
    <t>b20667309</t>
  </si>
  <si>
    <t>Discarded metal dump</t>
  </si>
  <si>
    <t>Discarded metal dump outside the State Library during the renovation of the Jervois Wing for the Mortlock Library.</t>
  </si>
  <si>
    <t>b20685816</t>
  </si>
  <si>
    <t>Zoological Gardens</t>
  </si>
  <si>
    <t>Photograph (b&amp;w print)  16.4 cm x 21.5 cm</t>
  </si>
  <si>
    <t>Zoological Gardens : Animal enclosure.</t>
  </si>
  <si>
    <t>Adelaide Views Collection;Zoological Gardens Collection</t>
  </si>
  <si>
    <t>b20685828</t>
  </si>
  <si>
    <t>b2068583x</t>
  </si>
  <si>
    <t>b20685841</t>
  </si>
  <si>
    <t>Photograph (b&amp;w print)   16.4 cm x 21.5 cm</t>
  </si>
  <si>
    <t>b20685865</t>
  </si>
  <si>
    <t>b20685877</t>
  </si>
  <si>
    <t>b20685889</t>
  </si>
  <si>
    <t>b20685890</t>
  </si>
  <si>
    <t>Zoological Gardens: animal enclosure.</t>
  </si>
  <si>
    <t>b2072813x</t>
  </si>
  <si>
    <t>Cloakroom on the ground floor off the entrance hall.</t>
  </si>
  <si>
    <t>Bathrooms -- South Australia -- Springfield;Interior architecture -- South Australia -- Springfield;Interior decoration -- South Australia -- Springfield</t>
  </si>
  <si>
    <t>b20728141</t>
  </si>
  <si>
    <t>Carrick Hill (Springfield, S.A. : House);Interior architecture -- South Australia -- Springfield;Interior decoration -- South Australia -- Springfield;Bathrooms -- South Australia -- Springfield</t>
  </si>
  <si>
    <t>b20728153</t>
  </si>
  <si>
    <t>Cloakroom on the ground floor, off the entrance hall.</t>
  </si>
  <si>
    <t>Carrick Hill (Springfield, S.A. : House);Interior decoration -- South Australia -- Springfield;Interior architecture -- South Australia -- Springfield;Bathrooms -- South Australia -- Springfield</t>
  </si>
  <si>
    <t>b20728165</t>
  </si>
  <si>
    <t>The Library on the ground floor.</t>
  </si>
  <si>
    <t>b20728177</t>
  </si>
  <si>
    <t>Library on the ground floor.</t>
  </si>
  <si>
    <t>b20728189</t>
  </si>
  <si>
    <t>b20728190</t>
  </si>
  <si>
    <t>Sitting room on the ground floor.</t>
  </si>
  <si>
    <t>Carrick Hill (Springfield, S.A. : House);Interior decoration -- South Australia -- Springfield</t>
  </si>
  <si>
    <t>b20728207</t>
  </si>
  <si>
    <t>b20728219</t>
  </si>
  <si>
    <t>b20728220</t>
  </si>
  <si>
    <t>b20728232</t>
  </si>
  <si>
    <t>b20728244</t>
  </si>
  <si>
    <t>b20728256</t>
  </si>
  <si>
    <t>Kitchen and service area on the ground floor.</t>
  </si>
  <si>
    <t>Carrick Hill (Springfield, S.A. : House);Interior architecture -- South Australia -- Springfield;Kitchens -- South Australia -- Springfield</t>
  </si>
  <si>
    <t>b20728268</t>
  </si>
  <si>
    <t>Main bedroom on the first floor.</t>
  </si>
  <si>
    <t>b2072827x</t>
  </si>
  <si>
    <t>b20728281</t>
  </si>
  <si>
    <t>b20728293</t>
  </si>
  <si>
    <t>b2072830x</t>
  </si>
  <si>
    <t>Bathroom ensuite for the two main bedrooms on the first floor.</t>
  </si>
  <si>
    <t>b20728311</t>
  </si>
  <si>
    <t>b20728323</t>
  </si>
  <si>
    <t>b20728335</t>
  </si>
  <si>
    <t>b20728347</t>
  </si>
  <si>
    <t>b20747470</t>
  </si>
  <si>
    <t>City of Enfield Library</t>
  </si>
  <si>
    <t>14.5 x 21 cm</t>
  </si>
  <si>
    <t>ENFIELD: The new premises of the City of Enfield Library, opened in November 1985.</t>
  </si>
  <si>
    <t>City of Enfield Library (S.A.);Public libraries -- South Australia -- Enfield;Library architecture -- South Australia -- Enfield</t>
  </si>
  <si>
    <t>b20757256</t>
  </si>
  <si>
    <t>Mortlock Library basement renovation</t>
  </si>
  <si>
    <t>MORTLOCK LIBRARY:  Basement area conversion and renovation.</t>
  </si>
  <si>
    <t>Building -- South Australia -- Adelaide</t>
  </si>
  <si>
    <t>Mortlock Library Collection</t>
  </si>
  <si>
    <t>b20785331</t>
  </si>
  <si>
    <t>Townhouses newly erected at 220-222 East Terrace, Adelaide</t>
  </si>
  <si>
    <t>ACRE 506: Townhouses newly erected by Borgo Investments Pty. Ltd. at 220-222 East Terrace, 2nd October 1985. Frontage: 27 yards  right side 25 yards south of Wilson Street.</t>
  </si>
  <si>
    <t>b21059445</t>
  </si>
  <si>
    <t>Centenary celebrations at St. Thomas' Anglican Church</t>
  </si>
  <si>
    <t>5.2 cm x 10.2 cm</t>
  </si>
  <si>
    <t>Centenary celebrations at St. Thomas', Inman Valley with Rector Johnson (retired) at extreme left.</t>
  </si>
  <si>
    <t>St. Thomas' Church (Inman Valley, S.A.);Anglican Church of Australia -- South Australia -- Inman Valley</t>
  </si>
  <si>
    <t>Inman Valley Collection</t>
  </si>
  <si>
    <t>b20675331</t>
  </si>
  <si>
    <t>[approximately 1985]</t>
  </si>
  <si>
    <t>Visiting Japanese storytellers introducing Kobuki theatre puppets.</t>
  </si>
  <si>
    <t>b20675343</t>
  </si>
  <si>
    <t>A musical workshop in progress in the Children's Library.</t>
  </si>
  <si>
    <t>b20675355</t>
  </si>
  <si>
    <t>Storytelling for the hearing impaired in the Children's Library.</t>
  </si>
  <si>
    <t>b20675367</t>
  </si>
  <si>
    <t>Storytelling for the hearing impaired in the Children's library.</t>
  </si>
  <si>
    <t>Adelaide Views Collection;Public library Collection</t>
  </si>
  <si>
    <t>b20675379</t>
  </si>
  <si>
    <t>Storytelling for the hearing impaired at the Children's Library.</t>
  </si>
  <si>
    <t>b20675380</t>
  </si>
  <si>
    <t>b20675483</t>
  </si>
  <si>
    <t>Demonstration of Tatdoo Theatre in the Children's Library.</t>
  </si>
  <si>
    <t>b20675495</t>
  </si>
  <si>
    <t>Audience participation during Tatdoo Theatre at the Children's Library.</t>
  </si>
  <si>
    <t>b20675501</t>
  </si>
  <si>
    <t>Photograph (b&amp;w print)  16,5 cm x 21.5 cm;C1</t>
  </si>
  <si>
    <t>Paper bag mask making in the Children's Library.</t>
  </si>
  <si>
    <t>b20675513</t>
  </si>
  <si>
    <t>b2029363x</t>
  </si>
  <si>
    <t>Railway platform, Mile End</t>
  </si>
  <si>
    <t>A view of the 'step down' platforms at the railway station.</t>
  </si>
  <si>
    <t>b20569191</t>
  </si>
  <si>
    <t>150-168 Grenfell Street</t>
  </si>
  <si>
    <t>Photograph  (b&amp;w print)  16.5 cm x 21.5 cm</t>
  </si>
  <si>
    <t>150-168 Grenfell Street: demolition of Clarkson's building, October 1986. Right side is 28 yards west of Bent Street. Frontage: 50 yards.</t>
  </si>
  <si>
    <t>b20570776</t>
  </si>
  <si>
    <t>27 James Place: alterations to shop front.</t>
  </si>
  <si>
    <t>b20595517</t>
  </si>
  <si>
    <t>251 Franklin Street: school additions of a two storey classroom block. Frontage: 71 yards  right side is 28 yards west of Gray Street.</t>
  </si>
  <si>
    <t>b20597848</t>
  </si>
  <si>
    <t>81-97 Flinders Street: warehouse before demolition . Frontage: 67 yards  fight side abuts Divett Street, left side Roper Street.</t>
  </si>
  <si>
    <t>b20599109</t>
  </si>
  <si>
    <t>Hutt Street &amp; Flinders Street</t>
  </si>
  <si>
    <t>42-50 Hutt St., &amp; 301-309 Flinders Street  new work on Medical Centre &amp; Carpark 1986.</t>
  </si>
  <si>
    <t>b20604439</t>
  </si>
  <si>
    <t>Electrical Connection and Parking Station, corner Grote Street and Moonta Street</t>
  </si>
  <si>
    <t>Premises of 'Electrical Connection' and Market Parking Station, 93-99 Grote Street, south side, 1986. Frontage of building is 25 metres.</t>
  </si>
  <si>
    <t>b20607490</t>
  </si>
  <si>
    <t>Wakefield Street, south side, 1986, right side abuts Cypress Street.</t>
  </si>
  <si>
    <t>b20608032</t>
  </si>
  <si>
    <t>368 Angas Street, north side: private dwelling before demolition in 1986. Frontage: 33 metres. Right side: 26 metres west of East Terrace.</t>
  </si>
  <si>
    <t>b20608123</t>
  </si>
  <si>
    <t>358 Angas Street</t>
  </si>
  <si>
    <t>358 Angas Street, north side, before demolition. Left side is 9 yards east of James Street. Frontage: 8 yards.</t>
  </si>
  <si>
    <t>b20617100</t>
  </si>
  <si>
    <t>Wright Street, 1986, frontage of building is 13 yards and left side of building is 43 yards east of Claxton Street.</t>
  </si>
  <si>
    <t>Acre 463 Collection</t>
  </si>
  <si>
    <t>b20629965</t>
  </si>
  <si>
    <t>262-264 Hutt Street</t>
  </si>
  <si>
    <t>262-264 Hutt Street, east side: private dwelling before demolition. Right side: 63 metres north of South Terrace  frontage: 14 metres.</t>
  </si>
  <si>
    <t>b20642659</t>
  </si>
  <si>
    <t>Gover Street.</t>
  </si>
  <si>
    <t>b20667450</t>
  </si>
  <si>
    <t>Staff of the Mortlock Library</t>
  </si>
  <si>
    <t>Staff of the Mortlock Library, 1986.</t>
  </si>
  <si>
    <t>b20785318</t>
  </si>
  <si>
    <t>Erection of two townhouses at 17-19 Strangways Place</t>
  </si>
  <si>
    <t>ACRE 758: Erection of two townhouses at 17-19 Strangways Place, October 1986. Right side: 160 yards west of Montefiore Hill Road  frontage: 22 yards.</t>
  </si>
  <si>
    <t>b20785306</t>
  </si>
  <si>
    <t>Flats erected at 6-8 Hume Street, Adelaide</t>
  </si>
  <si>
    <t>[approximately 1986]</t>
  </si>
  <si>
    <t>ACRE 423: Flats erected at 6-8 Hume Street  left side is 12 yards east of Cardwell Street, frontage: 11 yards.</t>
  </si>
  <si>
    <t>b2078532x</t>
  </si>
  <si>
    <t>Townhouses erected at 19-23 Hume Street, Adelaide</t>
  </si>
  <si>
    <t>ACRE 438: Townhouses erected at 19-23 Hume Street by Horizon Constructions Pty. Ltd. Frontage: 36 Yards, left side 32 yards east of Hutt Street.</t>
  </si>
  <si>
    <t>b20785288</t>
  </si>
  <si>
    <t>Conversion into offices of 106-108 Currie Street</t>
  </si>
  <si>
    <t>ACRE 114: Conversion of a warehouse and factory into offices at 106-108 Currie Street, August 1987.</t>
  </si>
  <si>
    <t>Wrecking -- South Australia -- Adelaide</t>
  </si>
  <si>
    <t>Acre 114 Collection</t>
  </si>
  <si>
    <t>b2078529x</t>
  </si>
  <si>
    <t>77 Wakefield Street</t>
  </si>
  <si>
    <t>ACRE 341: Showroom at number 77 Wakefield Street before demolition, September 1987.</t>
  </si>
  <si>
    <t>b20785343</t>
  </si>
  <si>
    <t>Zoological Gardens shop</t>
  </si>
  <si>
    <t>ZOOLOGICAL GARDENS: The shop erected in 1987.</t>
  </si>
  <si>
    <t>Zoological Gardens Collection</t>
  </si>
  <si>
    <t>b20785355</t>
  </si>
  <si>
    <t>Construction work corner of Rundle Street and Pulteney</t>
  </si>
  <si>
    <t>ACRE 38: Corner site 162-180 Rundle Street and 22-40 Pulteney Street under construction, Stage II: superstructure, October 1987.</t>
  </si>
  <si>
    <t>b22047281</t>
  </si>
  <si>
    <t>Bunyeroo Valley</t>
  </si>
  <si>
    <t>Looking across to Bunyeroo Valley and in the distance a range of hills, 1 January 1987.</t>
  </si>
  <si>
    <t>b20188882</t>
  </si>
  <si>
    <t>Railway Station, Angaston</t>
  </si>
  <si>
    <t>Photograph (b&amp;w print)  15.8 cm x 20 cm;C1</t>
  </si>
  <si>
    <t>Railway station &amp; track.</t>
  </si>
  <si>
    <t>Railroad stations -- South Australia -- Angaston</t>
  </si>
  <si>
    <t>b20188894</t>
  </si>
  <si>
    <t>Photograph (b&amp;w print)  15.7 cm x 20 cm;C1</t>
  </si>
  <si>
    <t>Railway station: close view.</t>
  </si>
  <si>
    <t>b20188900</t>
  </si>
  <si>
    <t>C1;Photograph (b&amp;w print)  16 cm x 20 cm</t>
  </si>
  <si>
    <t>b20188912</t>
  </si>
  <si>
    <t>C1;Photograph (b&amp;w print)  15.7 cm x 20 cm</t>
  </si>
  <si>
    <t>Railway station: goods shed.</t>
  </si>
  <si>
    <t>Railroads -- South Australia -- Angaston -- Yards</t>
  </si>
  <si>
    <t>b20200195</t>
  </si>
  <si>
    <t>Black Rock Hotel</t>
  </si>
  <si>
    <t>Photograph (b&amp;w print)  14.8 cm x 17.5 cm;C1</t>
  </si>
  <si>
    <t>View of the single storey hotel with a surround verandah at Black Rock.</t>
  </si>
  <si>
    <t>Black Rock Hotel (Black Rock, S.A.);Hotels -- South Australia -- Black Rock</t>
  </si>
  <si>
    <t>Black Rock Collection</t>
  </si>
  <si>
    <t>b20221198</t>
  </si>
  <si>
    <t>Cradock</t>
  </si>
  <si>
    <t>Photograph (b&amp;w print)  15.5 cm x 19.7 cm;C1</t>
  </si>
  <si>
    <t>The Cradock Hotel.</t>
  </si>
  <si>
    <t>Cradock Hotel (Cradock, S.A.);Hotels -- South Australia -- Cradock</t>
  </si>
  <si>
    <t>Cradock Collection</t>
  </si>
  <si>
    <t>b20221204</t>
  </si>
  <si>
    <t>Church, Cradock</t>
  </si>
  <si>
    <t>St. Gabriel's Church.</t>
  </si>
  <si>
    <t>St. Gabriel's Church (Cradock, S.A.);Church architecture -- South Australia -- Cradock</t>
  </si>
  <si>
    <t>b20221216</t>
  </si>
  <si>
    <t>Photograph (b&amp;w print)  17.7 cm x 14.2 cm;C1</t>
  </si>
  <si>
    <t>Sign seeking donations to help repair vandalism at St. Gabriel's Church.</t>
  </si>
  <si>
    <t>b20232251</t>
  </si>
  <si>
    <t>Eurelia</t>
  </si>
  <si>
    <t>Photograph (b&amp;w print)  13.6 cm x 16.4 cm;C1</t>
  </si>
  <si>
    <t>Old turnstile.</t>
  </si>
  <si>
    <t>Eurelia Collection</t>
  </si>
  <si>
    <t>b20237789</t>
  </si>
  <si>
    <t>Gold stamping machinery</t>
  </si>
  <si>
    <t>Photograph (b&amp;w print)  15.8 cm x 15 cm;C1</t>
  </si>
  <si>
    <t>Machinery for stamping gold constructed by May Bros. of Gawler, used at Peterborough.</t>
  </si>
  <si>
    <t>May Brothers &amp; Co;Machinery -- South Australia -- Peterborough;Gold -- South Australia -- Peterborough</t>
  </si>
  <si>
    <t>b20255615</t>
  </si>
  <si>
    <t>Railway station, Hamley Bridge</t>
  </si>
  <si>
    <t>Railway station with the track overgrown, looking North West.</t>
  </si>
  <si>
    <t>Railroad stations -- South Australia -- Hamley Bridge</t>
  </si>
  <si>
    <t>Hamley Bridge Collection</t>
  </si>
  <si>
    <t>b20255627</t>
  </si>
  <si>
    <t>Photograph (b&amp;w print)  15.6 cm x 21 cm;C1</t>
  </si>
  <si>
    <t>Railway station with rail track overgrown, looking South.</t>
  </si>
  <si>
    <t>b20255639</t>
  </si>
  <si>
    <t>Railway Station, Hamley Bridge</t>
  </si>
  <si>
    <t>Photograph (b&amp;w print)  15.7 cm x 21.2 cm;C1</t>
  </si>
  <si>
    <t>Railway station showing the access from the road.</t>
  </si>
  <si>
    <t>b20255640</t>
  </si>
  <si>
    <t>Photograph (b&amp;w print)  15.6 cm x 21.1 cm;C1</t>
  </si>
  <si>
    <t>Railway station: ticket office.</t>
  </si>
  <si>
    <t>b20255652</t>
  </si>
  <si>
    <t>Photograph (b&amp;w print)  15.7 cm x 21.1 cm;C1</t>
  </si>
  <si>
    <t>Railway station: signal box, Hamley Bridge.</t>
  </si>
  <si>
    <t>b20255664</t>
  </si>
  <si>
    <t>Photograph (b&amp;w print)  15.5 cm x 21.1 cm;C1</t>
  </si>
  <si>
    <t>Railway station: looking South.</t>
  </si>
  <si>
    <t>b20282382</t>
  </si>
  <si>
    <t>Lyndhurst Hotel</t>
  </si>
  <si>
    <t>Photograph (b&amp;w print)  14 cm x 18.5 cm;C1</t>
  </si>
  <si>
    <t>The new hotel.</t>
  </si>
  <si>
    <t>Hotels -- South Australia -- Lyndhurst</t>
  </si>
  <si>
    <t>Lyndhurst Collection</t>
  </si>
  <si>
    <t>b20290597</t>
  </si>
  <si>
    <t>Memorial Park, Marree</t>
  </si>
  <si>
    <t>C1;Photograph (b&amp;w print)  14 cm x 18 cm</t>
  </si>
  <si>
    <t>Entrance and sign to the Memorial Park in honour of the pioneering Muslim Camellers and their families.</t>
  </si>
  <si>
    <t>b20290603</t>
  </si>
  <si>
    <t>Photograph (b&amp;w print)  13.7 cm x 18 cm;C1</t>
  </si>
  <si>
    <t>Mosque at the Memorial Park.</t>
  </si>
  <si>
    <t>Mosques -- South Australia -- Marree</t>
  </si>
  <si>
    <t>b20290615</t>
  </si>
  <si>
    <t>Gravesite, Marree</t>
  </si>
  <si>
    <t>Photograph (b&amp;w print)  15 cm x 19 cm;C1</t>
  </si>
  <si>
    <t>An Afghan man's grave.</t>
  </si>
  <si>
    <t>Afghans -- South Australia -- Marree;Sepulchral monuments -- South Australia -- Marree</t>
  </si>
  <si>
    <t>b20290627</t>
  </si>
  <si>
    <t>Cemetery, Marree</t>
  </si>
  <si>
    <t>C1;Photograph (b&amp;w print)  14 cm x 18.5 cm</t>
  </si>
  <si>
    <t>General view of the cemetery.</t>
  </si>
  <si>
    <t>Cemeteries -- South Australia -- Marree</t>
  </si>
  <si>
    <t>b20290639</t>
  </si>
  <si>
    <t>'Ghan' locomotive, Marree</t>
  </si>
  <si>
    <t>C1;Photograph (b&amp;w print)  13 cm x 17.8 cm</t>
  </si>
  <si>
    <t>Old 'Ghan' locomotive and carriages.</t>
  </si>
  <si>
    <t>Ghan (Train);Locomotives -- South Australia -- Marree</t>
  </si>
  <si>
    <t>b20343577</t>
  </si>
  <si>
    <t>Railway Station, Nuriootpa</t>
  </si>
  <si>
    <t>A 930 class locomotive of Australian National Railways at Nuriootpa station. It is probable the train is stabled prior to working the stone train from Penrice quarry.</t>
  </si>
  <si>
    <t>Railroad stations -- South Australia -- Nuriootpa</t>
  </si>
  <si>
    <t>b20343589</t>
  </si>
  <si>
    <t>Railway station and a 930 class diesel locomotive at Nuriootpa.</t>
  </si>
  <si>
    <t>b20343590</t>
  </si>
  <si>
    <t>Railway station and a 930 class locomotive at Nuriootpa.</t>
  </si>
  <si>
    <t>b20414912</t>
  </si>
  <si>
    <t>Railway Station, Stockport</t>
  </si>
  <si>
    <t>Railway station at Stockport.</t>
  </si>
  <si>
    <t>Railroad stations -- South Australia -- Stockport</t>
  </si>
  <si>
    <t>Stockport Collection</t>
  </si>
  <si>
    <t>b20414924</t>
  </si>
  <si>
    <t>Railway station and line looking South at Stockport.</t>
  </si>
  <si>
    <t>b20415047</t>
  </si>
  <si>
    <t>Railway track, Stockwell</t>
  </si>
  <si>
    <t>Railway track &amp; sign at Stockwell.</t>
  </si>
  <si>
    <t>Railroads -- South Australia -- Stockwell</t>
  </si>
  <si>
    <t>Stockwell Collection</t>
  </si>
  <si>
    <t>b20415059</t>
  </si>
  <si>
    <t>Railway line, Stockwell</t>
  </si>
  <si>
    <t>North end of the railway line at Stockwell.</t>
  </si>
  <si>
    <t>b20415060</t>
  </si>
  <si>
    <t>Railway Line, Stockwell</t>
  </si>
  <si>
    <t>Railway line at Stockwell looking South.</t>
  </si>
  <si>
    <t>b20423809</t>
  </si>
  <si>
    <t>Railway Station, Tanunda</t>
  </si>
  <si>
    <t>Photograph (b&amp;w print)  15.6 cm x 20.5 cm;C1</t>
  </si>
  <si>
    <t>Railway Station at Tanunda.</t>
  </si>
  <si>
    <t>Railroad stations -- South Australia -- Tanunda</t>
  </si>
  <si>
    <t>Tanunda Collection</t>
  </si>
  <si>
    <t>b20459130</t>
  </si>
  <si>
    <t>William Creek</t>
  </si>
  <si>
    <t>Photograph (colour print)  12.6 cm x 13.3 cm;C1</t>
  </si>
  <si>
    <t>Aerial view of William Creek.</t>
  </si>
  <si>
    <t>William Creek (S.A.) -- Aerial photographs</t>
  </si>
  <si>
    <t>William Creek Collection</t>
  </si>
  <si>
    <t>b20459142</t>
  </si>
  <si>
    <t>William Creek Township</t>
  </si>
  <si>
    <t>Photograph (colour print)  13.3 cm x 12.6 cm;C1</t>
  </si>
  <si>
    <t>William Creek township.</t>
  </si>
  <si>
    <t>b20459154</t>
  </si>
  <si>
    <t>An old goods loading platform at William Creek.</t>
  </si>
  <si>
    <t>b20459166</t>
  </si>
  <si>
    <t>Telecom Buildings</t>
  </si>
  <si>
    <t>Old railway yards and Telecom buildings, William Creek.</t>
  </si>
  <si>
    <t>b20459178</t>
  </si>
  <si>
    <t>Remains of the old gauge railway, William Creek.</t>
  </si>
  <si>
    <t>b2045918x</t>
  </si>
  <si>
    <t>Tracks to Oodnadatta and Coober Pedy.</t>
  </si>
  <si>
    <t>b20459191</t>
  </si>
  <si>
    <t>Photograph (coklour print)  13.3 x 12.6 cm;C1</t>
  </si>
  <si>
    <t>Tracks to Oodnadatta and Coober Pedy, William Creek.</t>
  </si>
  <si>
    <t>b20459208</t>
  </si>
  <si>
    <t>Telephone booth</t>
  </si>
  <si>
    <t>Photograph (colour print)  13.1 cm x 12.7 cm;C1</t>
  </si>
  <si>
    <t>A solar powered telephone booth at William Creek.</t>
  </si>
  <si>
    <t>b2045921x</t>
  </si>
  <si>
    <t>William Creek Hotel</t>
  </si>
  <si>
    <t>Photograph (colour print)  13.2  x 12.6 cm;C1</t>
  </si>
  <si>
    <t>William Creek Hotel.</t>
  </si>
  <si>
    <t>William Creek Hotel (William Creek, S.A.);Hotels -- South Australia -- William Creek</t>
  </si>
  <si>
    <t>b20459221</t>
  </si>
  <si>
    <t>Main Street, William Creek</t>
  </si>
  <si>
    <t>Photograph (colour print)  13.3 x 12.6 cm;C1</t>
  </si>
  <si>
    <t>Main Street, William Creek.</t>
  </si>
  <si>
    <t>b20459233</t>
  </si>
  <si>
    <t>Residence, William Creek</t>
  </si>
  <si>
    <t>Residence at William Creek which was once railway employees quarters.</t>
  </si>
  <si>
    <t>b20459245</t>
  </si>
  <si>
    <t>Photograph (colour print)  13.1 cm x 12 cm;C1</t>
  </si>
  <si>
    <t>b20459257</t>
  </si>
  <si>
    <t>Photograph (colour print)  13.2 cm x 12.7 cm;C1</t>
  </si>
  <si>
    <t>b20459269</t>
  </si>
  <si>
    <t>Tug of war, William Creek</t>
  </si>
  <si>
    <t>Tug of War competition at William Creek.</t>
  </si>
  <si>
    <t>b20459270</t>
  </si>
  <si>
    <t>Tug of  war, William Creek</t>
  </si>
  <si>
    <t>Photograph (colour print)  13.1 cm x 12.6 cm;C1</t>
  </si>
  <si>
    <t>Tug of war competition during the 24th Gymkhana.</t>
  </si>
  <si>
    <t>Horse racing -- South Australia -- William Creek</t>
  </si>
  <si>
    <t>b20459282</t>
  </si>
  <si>
    <t>A water melon eating contest during the 24th Gymkhana.</t>
  </si>
  <si>
    <t>b20459294</t>
  </si>
  <si>
    <t>Gymkhana Spectator</t>
  </si>
  <si>
    <t>Gymkhana spectator from Oodnadatta.</t>
  </si>
  <si>
    <t>b20459300</t>
  </si>
  <si>
    <t>Gymkhana spectators</t>
  </si>
  <si>
    <t>Gymkhana spectators at William Creek.</t>
  </si>
  <si>
    <t>b20459312</t>
  </si>
  <si>
    <t>Gymkhana spectators playing water games.</t>
  </si>
  <si>
    <t>b20459324</t>
  </si>
  <si>
    <t>Photograph (colour print)  13.2 cm x 12.6 cm;C1</t>
  </si>
  <si>
    <t>b20459336</t>
  </si>
  <si>
    <t>Truck leaving town on Main Street, William Creek.</t>
  </si>
  <si>
    <t>b20459348</t>
  </si>
  <si>
    <t>Auction Bidding, William Creek</t>
  </si>
  <si>
    <t>Photograph (b&amp;w print)  15.1 cm x 20.4 cm;C1</t>
  </si>
  <si>
    <t>Auction bidding at the William Creek Races.</t>
  </si>
  <si>
    <t>b2045935x</t>
  </si>
  <si>
    <t>Auction bidding, William Creek</t>
  </si>
  <si>
    <t>Photograph (b&amp;w print)  14.9 cm x 20.5 cm;C1</t>
  </si>
  <si>
    <t>b20459361</t>
  </si>
  <si>
    <t>Auction Race, William Creek</t>
  </si>
  <si>
    <t>Start of the Auction race at William Creek.</t>
  </si>
  <si>
    <t>b20459373</t>
  </si>
  <si>
    <t>Auction race, William Creek</t>
  </si>
  <si>
    <t>Photograph (b&amp;w print)  15 cm x 20.5 cm;C1</t>
  </si>
  <si>
    <t>Auction race at William Creek.</t>
  </si>
  <si>
    <t>b20459385</t>
  </si>
  <si>
    <t>Mounting yard, William Creek</t>
  </si>
  <si>
    <t>Mounting yard for the William Creek races.</t>
  </si>
  <si>
    <t>Horse racing -- South Australia -- William Creek;Horses -- South Australia -- William Creek</t>
  </si>
  <si>
    <t>b20459397</t>
  </si>
  <si>
    <t>William Creek races</t>
  </si>
  <si>
    <t>Parading the mounts at the William Creek Races.</t>
  </si>
  <si>
    <t>b20459403</t>
  </si>
  <si>
    <t>William Creek Cup Race</t>
  </si>
  <si>
    <t>William Creek Cup Race.</t>
  </si>
  <si>
    <t>b20459415</t>
  </si>
  <si>
    <t>b20459427</t>
  </si>
  <si>
    <t>William Creek Cup Race, Garry Birchmore on Tudor Rose</t>
  </si>
  <si>
    <t>Photograph (b&amp;w print)  16.5 cm x 20.5 cm;C1</t>
  </si>
  <si>
    <t>The winner of the William Creek Cup Race, Garry Birchmore on Tudor Rose. Owner Ron Napier, son Greg Napier.</t>
  </si>
  <si>
    <t>b20459439</t>
  </si>
  <si>
    <t>Photograph (b&amp;w print)  16.7 cm x 20.8 cm;C1</t>
  </si>
  <si>
    <t>William Creek Cup Presentation.</t>
  </si>
  <si>
    <t>b20459440</t>
  </si>
  <si>
    <t>Camels, William Creek</t>
  </si>
  <si>
    <t>Camels at William Creek.</t>
  </si>
  <si>
    <t>Camels -- South Australia -- William Creek</t>
  </si>
  <si>
    <t>b20459452</t>
  </si>
  <si>
    <t>Camel racing, William Creek</t>
  </si>
  <si>
    <t>Preparing a camel for the race, William Creek.</t>
  </si>
  <si>
    <t>b20459464</t>
  </si>
  <si>
    <t>Photograph (b&amp;w print)  16.4 cm x 20.4 cm;C1</t>
  </si>
  <si>
    <t>Camels preparing to race, William Creek.</t>
  </si>
  <si>
    <t>b20459476</t>
  </si>
  <si>
    <t>William Creek Cup Lunch</t>
  </si>
  <si>
    <t>Photograph (b&amp;w print)  15.7 cm x 21.6 cm;C1</t>
  </si>
  <si>
    <t>William Creek Cup Lunch.</t>
  </si>
  <si>
    <t>b20459488</t>
  </si>
  <si>
    <t>Photograph (b&amp;w print)  15.9 cm x 21.6 cm;C1</t>
  </si>
  <si>
    <t>b2045949x</t>
  </si>
  <si>
    <t>Gymkhana, William Creek</t>
  </si>
  <si>
    <t>C1;Photograph (b&amp;w print)  15.2 cm x 20.3 cm</t>
  </si>
  <si>
    <t>The end of the 24th Gymkhana at William Creek.</t>
  </si>
  <si>
    <t>b20659404</t>
  </si>
  <si>
    <t>East End Market.</t>
  </si>
  <si>
    <t>Adelaide Views Collection;East Terrace Collection</t>
  </si>
  <si>
    <t>b20667462</t>
  </si>
  <si>
    <t>Air Conditioner overflow</t>
  </si>
  <si>
    <t>Air conditioner water overflow disaster, top workroom : view of the ceiling after the major flooding had been checked.</t>
  </si>
  <si>
    <t>b20667474</t>
  </si>
  <si>
    <t>Air conditioner overflow</t>
  </si>
  <si>
    <t>b20667486</t>
  </si>
  <si>
    <t>Air conditioner flood disaster</t>
  </si>
  <si>
    <t>Air conditioner flood disaster: top workroom.</t>
  </si>
  <si>
    <t>b20667498</t>
  </si>
  <si>
    <t>Air conditioner flood disaster showing water damage, top workroom.</t>
  </si>
  <si>
    <t>b20667504</t>
  </si>
  <si>
    <t>Air conditioner flood disaster showing Bindery staff controlling water damage, top workroom.</t>
  </si>
  <si>
    <t>b20667516</t>
  </si>
  <si>
    <t>b20667528</t>
  </si>
  <si>
    <t>b2066753x</t>
  </si>
  <si>
    <t>b20667541</t>
  </si>
  <si>
    <t>Air conditioner flood disaster showing Bindery and maintenance staff controlling water damage, top workroom.</t>
  </si>
  <si>
    <t>b20667553</t>
  </si>
  <si>
    <t>Air conditioner flood disaster showing Kathy Wright, Administration staff, lending a hand controlling water damage, top workroom.</t>
  </si>
  <si>
    <t>b20667565</t>
  </si>
  <si>
    <t>Air conditioner flood disaster: Margaret Southcott, Manager Archives (right) and Diana Honey, Readers Services Librarian view the damage.</t>
  </si>
  <si>
    <t>b20667577</t>
  </si>
  <si>
    <t>Air conditioner flood disaster at the Mortlock Library: the top workroom drying out.</t>
  </si>
  <si>
    <t>b20667589</t>
  </si>
  <si>
    <t>Air conditioner flood disaster: the area used as the Special Materials Reading Room cleared of furniture, drying out after water seepage from the top workroom.</t>
  </si>
  <si>
    <t>b20667590</t>
  </si>
  <si>
    <t>Air conditioner flood disaster: the area used as the Special Materials Reading Room cleared of furniture, drying out after seepage from the top workroom.</t>
  </si>
  <si>
    <t>b20667607</t>
  </si>
  <si>
    <t>Air conditioner flood disaster: Peter Zajicek, Preservation Services staff, removing damaged material for conservation.</t>
  </si>
  <si>
    <t>b20673917</t>
  </si>
  <si>
    <t>State Library: Jervois Wing</t>
  </si>
  <si>
    <t>State Library of South Australia: the Jervois wing, now the Mortlock Library, exterior view.</t>
  </si>
  <si>
    <t>b20673929</t>
  </si>
  <si>
    <t>State Library: Institute Building</t>
  </si>
  <si>
    <t>RESERVE 1;Photograph (b&amp;w print)  16.5 cm x 21.5 cm</t>
  </si>
  <si>
    <t>StateLibrary: front entrance of the Institute Building.</t>
  </si>
  <si>
    <t>b20673930</t>
  </si>
  <si>
    <t>State Library Entrance</t>
  </si>
  <si>
    <t>Photograph (b&amp;w print)  16.5 cm x 21.5 cm;RESERVE 1</t>
  </si>
  <si>
    <t>State Library entrance to the Bastyan Wing from North Terrace.</t>
  </si>
  <si>
    <t>b20673942</t>
  </si>
  <si>
    <t>State Library</t>
  </si>
  <si>
    <t>State Library: Children's Services &amp; lending department.</t>
  </si>
  <si>
    <t>b20673954</t>
  </si>
  <si>
    <t>State Library: Bookshop</t>
  </si>
  <si>
    <t>State Library: section of the Bookshop.</t>
  </si>
  <si>
    <t>b20673966</t>
  </si>
  <si>
    <t>State Library : Reference</t>
  </si>
  <si>
    <t>State Library: Reference Services.</t>
  </si>
  <si>
    <t>b20673978</t>
  </si>
  <si>
    <t>Mortlock Library</t>
  </si>
  <si>
    <t>Mortlock Library: Main Chamber.</t>
  </si>
  <si>
    <t>b2067398x</t>
  </si>
  <si>
    <t>State Library: Adult Lending</t>
  </si>
  <si>
    <t>State Library: Adult Lending, partial view.</t>
  </si>
  <si>
    <t>b20673991</t>
  </si>
  <si>
    <t>State Library Stacks</t>
  </si>
  <si>
    <t>StateLibrary: part of the Reference stacks.</t>
  </si>
  <si>
    <t>b20674004</t>
  </si>
  <si>
    <t>State Library: Staff working area of Selection/Acquisitions/Reference.</t>
  </si>
  <si>
    <t>b20674016</t>
  </si>
  <si>
    <t>State Library: Newspaper Reading Room when housed in the Institute building.</t>
  </si>
  <si>
    <t>b20674028</t>
  </si>
  <si>
    <t>State Library: Valmai Hankel talking to visitors on the Rare Books Collection.</t>
  </si>
  <si>
    <t>Hankel, Valmai;State Library of South Australia -- Officials and employees</t>
  </si>
  <si>
    <t>b2067403x</t>
  </si>
  <si>
    <t>State Library : Computer Room</t>
  </si>
  <si>
    <t>State Library: Computer room.</t>
  </si>
  <si>
    <t>b20674041</t>
  </si>
  <si>
    <t>StateLibrary: Lending Section.</t>
  </si>
  <si>
    <t>b20674053</t>
  </si>
  <si>
    <t>StateLibrary: Reference study area.</t>
  </si>
  <si>
    <t>b20674065</t>
  </si>
  <si>
    <t>State Library: display from the Children's Literature Research Collection.</t>
  </si>
  <si>
    <t>b20674077</t>
  </si>
  <si>
    <t>State Library: book binding demonstration.</t>
  </si>
  <si>
    <t>b20674089</t>
  </si>
  <si>
    <t>State Library: Hear-a-book services.</t>
  </si>
  <si>
    <t>b20674090</t>
  </si>
  <si>
    <t>State Library: Community Services.</t>
  </si>
  <si>
    <t>b20674107</t>
  </si>
  <si>
    <t>State Library: Bibliographical Services.</t>
  </si>
  <si>
    <t>b20674119</t>
  </si>
  <si>
    <t>State Library: interior view of Public Libraries Branch, Norwood.</t>
  </si>
  <si>
    <t>State Library of South Australia. Public Libraries Division</t>
  </si>
  <si>
    <t>b20674120</t>
  </si>
  <si>
    <t>State Library: Youth Lending Services.</t>
  </si>
  <si>
    <t>b20674132</t>
  </si>
  <si>
    <t>State Library: Periodicals section, Reference.</t>
  </si>
  <si>
    <t>b20674144</t>
  </si>
  <si>
    <t>State Library Exhibition</t>
  </si>
  <si>
    <t>State Library: "Women and their Families" photographic exhibition, 26/9/88-11/11/88: first panel.</t>
  </si>
  <si>
    <t>State Library of South Australia;Women -- South Australia</t>
  </si>
  <si>
    <t>b20674156</t>
  </si>
  <si>
    <t>State Library: "Women and their Families" photographic exhibition, 26/9/88-11/11/88: "One Woman's story" panel.</t>
  </si>
  <si>
    <t>b20674168</t>
  </si>
  <si>
    <t>State Library: "Women and their Families" photographic exhibition, 26/9/88-11/11/88: "Domestic contrasts: Bush and Suburbia" panel.</t>
  </si>
  <si>
    <t>b2067417x</t>
  </si>
  <si>
    <t>State Library: "Women and their families" photographic exhibition, 26/9/88-11/11/88.</t>
  </si>
  <si>
    <t>b20674181</t>
  </si>
  <si>
    <t>State Library: "Women and their Families" photographic exhibition, 26/9/88-11/11/88.</t>
  </si>
  <si>
    <t>b20674193</t>
  </si>
  <si>
    <t>b2067420x</t>
  </si>
  <si>
    <t>b20674211</t>
  </si>
  <si>
    <t>State Library: "Women and their Families" photographic exhibition, 26/9/88-11/11/88:.</t>
  </si>
  <si>
    <t>b20674223</t>
  </si>
  <si>
    <t>b20674235</t>
  </si>
  <si>
    <t>StateLibrary: "Women and their families" photographic exhibition, 26/9/88-11/11/88.</t>
  </si>
  <si>
    <t>b20674247</t>
  </si>
  <si>
    <t>b20674259</t>
  </si>
  <si>
    <t>State Library: "Women and their families" photographic exhibition, 26/9/88-11/11/88".</t>
  </si>
  <si>
    <t>b20674260</t>
  </si>
  <si>
    <t>b20674272</t>
  </si>
  <si>
    <t>b20674284</t>
  </si>
  <si>
    <t>b20674296</t>
  </si>
  <si>
    <t>b20674302</t>
  </si>
  <si>
    <t>b20674314</t>
  </si>
  <si>
    <t>b20674326</t>
  </si>
  <si>
    <t>b20674338</t>
  </si>
  <si>
    <t>b2067434x</t>
  </si>
  <si>
    <t>State Library: Women and their families" photographic exhibition, 26/9/88-11/11/88.</t>
  </si>
  <si>
    <t>b20674351</t>
  </si>
  <si>
    <t>b20674363</t>
  </si>
  <si>
    <t>b20674375</t>
  </si>
  <si>
    <t>b20674387</t>
  </si>
  <si>
    <t>b20674399</t>
  </si>
  <si>
    <t>b20674405</t>
  </si>
  <si>
    <t>Mortlock Library Staff</t>
  </si>
  <si>
    <t>C1;Photograph (colour print)  15.5 cm x 20.5 cm</t>
  </si>
  <si>
    <t>Mortlock Library staff, 1988. Back row (from left): John Love, Sue Lewis, Leith MacGillivray, Leanne Courtney, Jane Pederson, Ian Blencoe, Ethel Abdulla , Dave Jury, Stewart Willes, Isobel McGregor, Judith O'Connor, Roger Andre, Richard McDonough-Glen, Margaret Southcott. Front row (from left): ?, Zaiga Sudrabs, Beth Robertson, Brian Tuffin, Liz Ho, Diana Honey, Anthony Laube, Linda Czechyra, Anne Burrows.</t>
  </si>
  <si>
    <t>State Library of South Australia -- Officials and employees</t>
  </si>
  <si>
    <t>b20785264</t>
  </si>
  <si>
    <t>Corner of Frome Street and Pirie Street</t>
  </si>
  <si>
    <t>ACRE 214: Corner site 122-130 Frome Street, 227-233 Pirie Street before demolition, March 1988.</t>
  </si>
  <si>
    <t>Wrecking -- South Australia</t>
  </si>
  <si>
    <t>b20785276</t>
  </si>
  <si>
    <t>99-100 McKinnon Parade</t>
  </si>
  <si>
    <t>ACRE 962: 99-100 McKinnon Parade before demolition, March 1988.</t>
  </si>
  <si>
    <t>Acre 962 Collection</t>
  </si>
  <si>
    <t>b28431510</t>
  </si>
  <si>
    <t>Kersbrook Welfare Club at the Mortlock Library</t>
  </si>
  <si>
    <t>Photograph (B&amp;W print)  15.6 cm x 21 cm</t>
  </si>
  <si>
    <t>Members of the Kersbrook Welfare Club, pictured during a visit to the Mortlock Library, July 1988. From left: Pat MacDonald (secretary), Anne Crook, Shirley Tucker, Wendy Curnow, Judy Hughes, Janice James (president), Anne Humphreys and Margaret Tapp.</t>
  </si>
  <si>
    <t>b20785367</t>
  </si>
  <si>
    <t>East End Market Hotel</t>
  </si>
  <si>
    <t>[approximately 1988]</t>
  </si>
  <si>
    <t>ACRE 32: East End Market Hotel.</t>
  </si>
  <si>
    <t>b20785379</t>
  </si>
  <si>
    <t>ACRE 32: Verandah area, East End Market Hotel.</t>
  </si>
  <si>
    <t>b20785380</t>
  </si>
  <si>
    <t>ACRE 32: Private entrance to the East End Market Hotel.</t>
  </si>
  <si>
    <t>b20785392</t>
  </si>
  <si>
    <t>ACRE 32: The Public bar, East End Market Hotel.</t>
  </si>
  <si>
    <t>Hotels -- South Australia -- Adelaide;Interior Architecture -- South Australia -- Adelaide</t>
  </si>
  <si>
    <t>b20785409</t>
  </si>
  <si>
    <t>ACRE 32: The public bar, East End Market Hotel.</t>
  </si>
  <si>
    <t>b20785410</t>
  </si>
  <si>
    <t>ACRE 32: The backyard, East End Market Hotel.</t>
  </si>
  <si>
    <t>b20785422</t>
  </si>
  <si>
    <t>ACRE 32: Interior view of an upstairs landing at the East End Market Hotel.</t>
  </si>
  <si>
    <t>Interior architecture -- South Australia -- Adelaide;Hotels -- South Australia -- Adelaide</t>
  </si>
  <si>
    <t>b20785434</t>
  </si>
  <si>
    <t>ACRE 32: Leadlight windows in the private entrance doors to the East End Market Hotel.</t>
  </si>
  <si>
    <t>Glass painting and staining -- South Australia -- Adelaide;Hotels -- South Australia -- Adelaide</t>
  </si>
  <si>
    <t>b2955004x</t>
  </si>
  <si>
    <t>Ian McBryde on his retirement</t>
  </si>
  <si>
    <t>1 photograph : black and white   10.7 x 15.3 cm;still image sti rdacontent;unmediated n rdamedia;sheet nb rdacarrier</t>
  </si>
  <si>
    <t>Ian McBryde 'receiving his retirement watch' (the other two men are not identified). [This image was copied from a Lines and McBryde Families photo album.]</t>
  </si>
  <si>
    <t>Retirement -- South Australia</t>
  </si>
  <si>
    <t>b20545885</t>
  </si>
  <si>
    <t>92-7 North Terrace</t>
  </si>
  <si>
    <t>Photograph (b&amp;w print)  15.5 cm x 21.6 cm;C1</t>
  </si>
  <si>
    <t>92-7 North Terrace before demolition : frontage: 51 yards  right side 76 yards east of Morphett Street.</t>
  </si>
  <si>
    <t>Acre 10 Collection</t>
  </si>
  <si>
    <t>b20613234</t>
  </si>
  <si>
    <t>Angas Street, 1989, Housing Trust.</t>
  </si>
  <si>
    <t>b20622764</t>
  </si>
  <si>
    <t>Pennington  Terrace, North Adelaide</t>
  </si>
  <si>
    <t>11 - 18 Pennington Terrace, 1989, before demolition. Frontage of nearest building is 58 yards and left side is 24 yards from King William Road. St Peter's Cathedral can just be seen under the Moreton Bay tree canopy at extreme left.</t>
  </si>
  <si>
    <t>b20625340</t>
  </si>
  <si>
    <t>Gilles Street, 1989.</t>
  </si>
  <si>
    <t>b20629333</t>
  </si>
  <si>
    <t>23 Vincent Place</t>
  </si>
  <si>
    <t>23 Vincent Place before demolition, 1989. Frontage: 15 yards.</t>
  </si>
  <si>
    <t>b20632277</t>
  </si>
  <si>
    <t>Acre 560 - 17 Sturt Street before demolition. Frontage of Hellenic House is 20 yards and left side is 43 yards from King William Street. The building is on the same site as those shown in B 2654 and B 14297. In B 28745 the building can be seen just to the left of the centre of the photograph.</t>
  </si>
  <si>
    <t>b20667310</t>
  </si>
  <si>
    <t>Genealogy Bay</t>
  </si>
  <si>
    <t>Photograph (b&amp;w print)  16.5 cm x 12.5 cm;RESERVE 1</t>
  </si>
  <si>
    <t>View of the genealogy bay in the Mortlock Library: an illustration for the publication "Kith &amp; Kin"  library staff depicting their own and patron roles.</t>
  </si>
  <si>
    <t>b20667322</t>
  </si>
  <si>
    <t>Photograph (b&amp;w print)  12.5 cm x 16.5 cm;C1</t>
  </si>
  <si>
    <t>Genealogy bay in the Mortlock Library: an illustration for the publication "Kith &amp; Kin"  staff depicting their own and patron roles.</t>
  </si>
  <si>
    <t>b20667334</t>
  </si>
  <si>
    <t>Genealogy bay, Mortlock Library" an illustration for the publication "Kith &amp; Kin"  library staff depicting their own and patron roles.</t>
  </si>
  <si>
    <t>b20667346</t>
  </si>
  <si>
    <t>Use Collection Bay</t>
  </si>
  <si>
    <t>Use Collection bay, Mortlock Library: an illustration for the publication "Kith &amp; Kin"  library staff taking their own and patron roles.</t>
  </si>
  <si>
    <t>b20667358</t>
  </si>
  <si>
    <t>Microfiche reader facilities</t>
  </si>
  <si>
    <t>Microfiche reader facilities in the Mortlock Library: an illustration for the publication "Kith &amp; Kin"  library staff in user roles.</t>
  </si>
  <si>
    <t>b2066736x</t>
  </si>
  <si>
    <t>Mortlock Library catalogues</t>
  </si>
  <si>
    <t>Photograph (b&amp;w print)  16.5 cm x 12.5 cm;C1</t>
  </si>
  <si>
    <t>Mortlock Library: using catalogues &amp; indexes: an illustration for the publication "Kith &amp; Kin"  library staff taking user roles.</t>
  </si>
  <si>
    <t>b20667371</t>
  </si>
  <si>
    <t>Microfilm reading facilities</t>
  </si>
  <si>
    <t>Microfilm reading facilities in the Mortlock Library: an illustration for the publication "Kith &amp; Kin"  library staff in user roles.</t>
  </si>
  <si>
    <t>b20667383</t>
  </si>
  <si>
    <t>Mortlock Library Main Desk</t>
  </si>
  <si>
    <t>Mortlock Library Main Desk scene: an illustration for the publication "Kith &amp; Kin"  library staff taking their own and patron roles.</t>
  </si>
  <si>
    <t>b20667395</t>
  </si>
  <si>
    <t>The Oral historian at her desk</t>
  </si>
  <si>
    <t>Photograph (b&amp;w print)  12.3 cm x 16.4 cm;C1</t>
  </si>
  <si>
    <t>The Oral Historian at her desk in the Mortlock Library : Ms. Beth Robertson. An illustration for the publication "Kith &amp; Kin".</t>
  </si>
  <si>
    <t>b20667401</t>
  </si>
  <si>
    <t>Micunion Technology</t>
  </si>
  <si>
    <t>Photograph (b&amp;w print)  12.2 cm x 16.3 cm;C1</t>
  </si>
  <si>
    <t>Micunion technology: library staff member Sue Frape at the keyboard in the Mortlock Library.</t>
  </si>
  <si>
    <t>b20667413</t>
  </si>
  <si>
    <t>Aboriginal Holdings Officer</t>
  </si>
  <si>
    <t>Photograph (b&amp;w print)  12.3 cm x 16.2 cm;C1</t>
  </si>
  <si>
    <t>Aboriginal Holdings Officer Bruce Hammond working on the Mortlock Library Aboriginal Holdings compilation.</t>
  </si>
  <si>
    <t>b20757268</t>
  </si>
  <si>
    <t>ABN terminal at the Reference desk in the Mortlock Library</t>
  </si>
  <si>
    <t>Photograph  13 cm x 18 cm</t>
  </si>
  <si>
    <t>MORTLOCK LIBRARY:  Using ABN at the Reference Desk in the main chamber: Sue Lewis, Collection Services Librarian.</t>
  </si>
  <si>
    <t>Libraries -- South Australia -- Adelaide;Librarians -- South Australia -- Adelaide</t>
  </si>
  <si>
    <t>b2075727x</t>
  </si>
  <si>
    <t>Catalogues and micofiche reader in the Mortlock Library</t>
  </si>
  <si>
    <t>MORTLOCK LIBRARY:  Catalogues and microfiche reader, main chamber.</t>
  </si>
  <si>
    <t>Libraries -- South Australia -- Adelaide</t>
  </si>
  <si>
    <t>b20757281</t>
  </si>
  <si>
    <t>Reference desk in the Mortlock Library</t>
  </si>
  <si>
    <t>MORTLOCK LIBRARY:  Completing a reader's pass application at the Reference Desk, main chamber:  Alison Beer, left and Jane Pederson.</t>
  </si>
  <si>
    <t>b20644905</t>
  </si>
  <si>
    <t>MacKinnon Parade, 1990, frontage is 19 metres.</t>
  </si>
  <si>
    <t>b20644917</t>
  </si>
  <si>
    <t>Photograph (b&amp;w (print)  16 cm x 21.5 cm;C1</t>
  </si>
  <si>
    <t>MacKinnon Parade, 1990.</t>
  </si>
  <si>
    <t>b20667851</t>
  </si>
  <si>
    <t>Library staff celebrating the anniversary of the opening of the Mortlock Library.</t>
  </si>
  <si>
    <t>b20667863</t>
  </si>
  <si>
    <t>b20667875</t>
  </si>
  <si>
    <t>Protective fencing and scaffolding erected during the cleaning process of the Library.</t>
  </si>
  <si>
    <t>b20667954</t>
  </si>
  <si>
    <t>Family History Seminar</t>
  </si>
  <si>
    <t>Photograph (b&amp;w print)  15 cm x 21.3 cm;C1</t>
  </si>
  <si>
    <t>Elizabeth Ho, Manager introducing the proceedings at the Family History Seminar.</t>
  </si>
  <si>
    <t>b20667966</t>
  </si>
  <si>
    <t>Barbara Holbourn, Pictures Librarian, speaking on the value of the Pictorial Collection at the Family History Seminar.</t>
  </si>
  <si>
    <t>b20667978</t>
  </si>
  <si>
    <t>b2066798x</t>
  </si>
  <si>
    <t>Photograph (b&amp;w print)  16 cm x 21.2 cm;C1</t>
  </si>
  <si>
    <t>Transfer of the pictorial collection on to videodisc.</t>
  </si>
  <si>
    <t>b20667991</t>
  </si>
  <si>
    <t>b20668004</t>
  </si>
  <si>
    <t>Mortlock Library Security</t>
  </si>
  <si>
    <t>Photograph (colour print)  11.6 cm x 16.5 cm;C1</t>
  </si>
  <si>
    <t>David Carman, Security Officer, checking the basement area.</t>
  </si>
  <si>
    <t>b20668016</t>
  </si>
  <si>
    <t>Photograph (colour print)  16.5 cm x 11.6 cm;C1</t>
  </si>
  <si>
    <t>David Carman, Security Officer, checking the basement area of the Mortlock Library.</t>
  </si>
  <si>
    <t>b20668028</t>
  </si>
  <si>
    <t>b2066803x</t>
  </si>
  <si>
    <t>David Carman, Security Officer, checking the basement area of Mortlock Library.</t>
  </si>
  <si>
    <t>b20674478</t>
  </si>
  <si>
    <t>Tom Phillips' retirement</t>
  </si>
  <si>
    <t>Photograph (b&amp;w print)  10.5 cm x 16 cm;C1</t>
  </si>
  <si>
    <t>The State Librarian, Mr Euan Miller, farewelling Library Attendant Tom Phillips on his last day before retirement, 23rd February 1990.</t>
  </si>
  <si>
    <t>b2067448x</t>
  </si>
  <si>
    <t>Tom Phillips, retiring Library Attendant, reading his own "list of duties" as part of his speech.</t>
  </si>
  <si>
    <t>b20674491</t>
  </si>
  <si>
    <t>Retiring Library Attendant, Tom Phillips, reading his "list of duties" as part of his speech.</t>
  </si>
  <si>
    <t>b20674508</t>
  </si>
  <si>
    <t>Tom Phillips receiving his retirement gift from the Staff of the State Library.</t>
  </si>
  <si>
    <t>b2067451x</t>
  </si>
  <si>
    <t>Tom Phillips displaying a framed cartoon tribute presented to him by the State Library Preservation Services Branch.</t>
  </si>
  <si>
    <t>b20674521</t>
  </si>
  <si>
    <t>Tom Phillips opening his retirement present.</t>
  </si>
  <si>
    <t>b20674533</t>
  </si>
  <si>
    <t>"For he's a jolly good fellow" : Tom Phillips retirement tribute.</t>
  </si>
  <si>
    <t>b20674545</t>
  </si>
  <si>
    <t>Queuing up to say "Goodbye" to Tom Phillips, retiring Library Attendant, 23 February 1990.</t>
  </si>
  <si>
    <t>b20674557</t>
  </si>
  <si>
    <t>Photograph (b&amp;w print)  16 cm x 10.5 cm;C1</t>
  </si>
  <si>
    <t>The State Librarian's Secretary, Miss Cynthia Fleming says goodbye to an old friend, Tom Phillips on his retirement, 23 February 1990.</t>
  </si>
  <si>
    <t>b20674569</t>
  </si>
  <si>
    <t>Tom Phillips Retirement: Cathy Wright about to throw him out.</t>
  </si>
  <si>
    <t>b20674570</t>
  </si>
  <si>
    <t>Tom Phillips, Library Attendant being carried out by Cathy Wright on his last day before retirement, 23 February 1990.</t>
  </si>
  <si>
    <t>b20674594</t>
  </si>
  <si>
    <t>State Library entrance</t>
  </si>
  <si>
    <t>Entrance to the Library foyer during renovations.</t>
  </si>
  <si>
    <t>b20674600</t>
  </si>
  <si>
    <t>State Library renovations</t>
  </si>
  <si>
    <t>Photograph (b&amp;w print)  10.4 cm x 14.3 cm;C1</t>
  </si>
  <si>
    <t>State Library foyer renovations.</t>
  </si>
  <si>
    <t>b20674612</t>
  </si>
  <si>
    <t>Photograph (b&amp;w print)  10.3 cm x 14.2 cm;C1</t>
  </si>
  <si>
    <t>b20674624</t>
  </si>
  <si>
    <t>StateLibrary foyer renovations.</t>
  </si>
  <si>
    <t>b20674636</t>
  </si>
  <si>
    <t>b20674648</t>
  </si>
  <si>
    <t>b2067465x</t>
  </si>
  <si>
    <t>State Library Foyer renovations.</t>
  </si>
  <si>
    <t>b20674661</t>
  </si>
  <si>
    <t>b20674673</t>
  </si>
  <si>
    <t>State Library : foyer renovations.</t>
  </si>
  <si>
    <t>b20674685</t>
  </si>
  <si>
    <t>Temporary entrance conditions during the renovation of the Foyer.</t>
  </si>
  <si>
    <t>b20674697</t>
  </si>
  <si>
    <t>Main entrance during renovation of the Foyer.</t>
  </si>
  <si>
    <t>b20674703</t>
  </si>
  <si>
    <t>Photograph (b&amp;w print)  14.2 cm x 10.3 cm;C1</t>
  </si>
  <si>
    <t>The entrance to the State Library during renovation of the Foyer.</t>
  </si>
  <si>
    <t>b20674715</t>
  </si>
  <si>
    <t>Reception desk during the renovation of the Foyer.</t>
  </si>
  <si>
    <t>b20674727</t>
  </si>
  <si>
    <t>Renovation of the foyer.</t>
  </si>
  <si>
    <t>b20674739</t>
  </si>
  <si>
    <t>Renovation of the Foyer.</t>
  </si>
  <si>
    <t>b20674740</t>
  </si>
  <si>
    <t>b20674752</t>
  </si>
  <si>
    <t>b20674764</t>
  </si>
  <si>
    <t>b20674776</t>
  </si>
  <si>
    <t>b20674788</t>
  </si>
  <si>
    <t>b2067479x</t>
  </si>
  <si>
    <t>Photograph (b&amp;w print)  10.5 cm x 13.3 cm;C1</t>
  </si>
  <si>
    <t>Renovation in progress on the entrance foyer.</t>
  </si>
  <si>
    <t>b20674806</t>
  </si>
  <si>
    <t>b20674818</t>
  </si>
  <si>
    <t>Photograph (b&amp;w print)  10.5 cm x 13. 3 cm;C1</t>
  </si>
  <si>
    <t>b2067482x</t>
  </si>
  <si>
    <t>b20674831</t>
  </si>
  <si>
    <t>b20674843</t>
  </si>
  <si>
    <t>b20674855</t>
  </si>
  <si>
    <t>Renovation in progress in the entrance foyer.</t>
  </si>
  <si>
    <t>b20674867</t>
  </si>
  <si>
    <t>b20674879</t>
  </si>
  <si>
    <t>b20674880</t>
  </si>
  <si>
    <t>b20674892</t>
  </si>
  <si>
    <t>b20674909</t>
  </si>
  <si>
    <t>Renovations in progress in the State Library entrance foyer.</t>
  </si>
  <si>
    <t>b20674910</t>
  </si>
  <si>
    <t>State Library renovations in progress in the foyer entrance showing the new access to a newspaper reading area.</t>
  </si>
  <si>
    <t>b20674922</t>
  </si>
  <si>
    <t>b20674934</t>
  </si>
  <si>
    <t>State Library renovations in progress in the entrance foyer.</t>
  </si>
  <si>
    <t>b20674946</t>
  </si>
  <si>
    <t>b20674958</t>
  </si>
  <si>
    <t>Renovations at the entrance of the State Library.</t>
  </si>
  <si>
    <t>b2067496x</t>
  </si>
  <si>
    <t>Renovations in progress in the entrance foyer of the State Library.</t>
  </si>
  <si>
    <t>b20674971</t>
  </si>
  <si>
    <t>b20675021</t>
  </si>
  <si>
    <t>Photograph (b&amp;w print)  9.5 cm x 13.8 cm;C1</t>
  </si>
  <si>
    <t>The Bray Reference Desk situated in the foyer, State Library.</t>
  </si>
  <si>
    <t>b20675033</t>
  </si>
  <si>
    <t>State Library reception desk</t>
  </si>
  <si>
    <t>The new reception desk in the foyer of the State Library.</t>
  </si>
  <si>
    <t>b20675045</t>
  </si>
  <si>
    <t>Photograph (b&amp;w print)  9.5 cm x 13.9 cm;C1</t>
  </si>
  <si>
    <t>b20675057</t>
  </si>
  <si>
    <t>Photograph (b&amp;w print)  9.5 cm x 12.3 cm;C1</t>
  </si>
  <si>
    <t>The new reception desk at the State Library.</t>
  </si>
  <si>
    <t>b20675069</t>
  </si>
  <si>
    <t>Photograph (b&amp;w print)  9.3 cm x 13.7 cm;C1</t>
  </si>
  <si>
    <t>b20675070</t>
  </si>
  <si>
    <t>Photograph (b&amp;w print)  9.5 cm x 13.7 cm;C1</t>
  </si>
  <si>
    <t>Reception desk and foyer of the State Library.</t>
  </si>
  <si>
    <t>b20675082</t>
  </si>
  <si>
    <t>State Library Newspaper Area</t>
  </si>
  <si>
    <t>The newspaper reading area at the State Library.</t>
  </si>
  <si>
    <t>b20675525</t>
  </si>
  <si>
    <t>b20675562</t>
  </si>
  <si>
    <t>Photograph (colour)  11.2 cm x 16.4 cm;C1</t>
  </si>
  <si>
    <t>The new foyer of the State Library.</t>
  </si>
  <si>
    <t>b20689780</t>
  </si>
  <si>
    <t>New Conservatory</t>
  </si>
  <si>
    <t>photograph  20 x 15.5 cm</t>
  </si>
  <si>
    <t>The new Conservatory at the Botanic Gardens built in Bicentennial year.</t>
  </si>
  <si>
    <t>Bicentennial Conservatory (Adelaide, S.A.);Garden structures -- South Australia -- Adelaide</t>
  </si>
  <si>
    <t>b20689792</t>
  </si>
  <si>
    <t>New Conservatory in the Botanic Gardens built in Bicentennial year  second view.</t>
  </si>
  <si>
    <t>Bicentennial Conservatory (S.A.);Garden structures -- South Australia -- Adelaide</t>
  </si>
  <si>
    <t>b20757207</t>
  </si>
  <si>
    <t>Bicentennial Conservatory in the Botanic Gardens</t>
  </si>
  <si>
    <t>BOTANIC GARDENS:  The Conservatory built in the Bicentennial year.</t>
  </si>
  <si>
    <t>Garden Structures -- South Australia</t>
  </si>
  <si>
    <t>Botanic Gardens Collection</t>
  </si>
  <si>
    <t>b20757219</t>
  </si>
  <si>
    <t>BOTANIC GARDENS:  Part of the conservatory built in the Bicentennial year.</t>
  </si>
  <si>
    <t>Garden Structures -- South Australia -- Adelaide</t>
  </si>
  <si>
    <t>b20757220</t>
  </si>
  <si>
    <t>Bicentennial conservatory in the Botanic Gardens</t>
  </si>
  <si>
    <t>BOTANIC GARDENS:  The fountain in action at the Bicentennial Conservatory.</t>
  </si>
  <si>
    <t>b20757232</t>
  </si>
  <si>
    <t>BOTANIC GARDENS:  Building construction at the Bicentennial Conservatory.</t>
  </si>
  <si>
    <t>b20757244</t>
  </si>
  <si>
    <t>BOTANIC GARDENS:  Part of the building structure at the Bicentennial Conservatory.</t>
  </si>
  <si>
    <t>b20757293</t>
  </si>
  <si>
    <t>Touchscreen Information Service in the Mortlock Library</t>
  </si>
  <si>
    <t>Photograph  9.2 cm x 12 cm</t>
  </si>
  <si>
    <t>MORTLOCK LIBRARY:  A staff preview of the Touchscreen Information Service in the Reader Services Unit workroom.</t>
  </si>
  <si>
    <t>Libraries -- South Australia -- Adelaide -- Automation</t>
  </si>
  <si>
    <t>b20757414</t>
  </si>
  <si>
    <t>Exhibition preview in the Mortlock Library</t>
  </si>
  <si>
    <t>MORTLOCK LIBRARY:  Exhibition preview at the Joyner Collection launch, October 12 1990.</t>
  </si>
  <si>
    <t>Photographers -- South Australia</t>
  </si>
  <si>
    <t>b20757426</t>
  </si>
  <si>
    <t>Joyner Collection photographic display</t>
  </si>
  <si>
    <t>MORTLOCK LIBRARY:  Part of the Joyner Collection photographic exhibition, October 12 1990.</t>
  </si>
  <si>
    <t>Exhibitions -- South Australia -- Adelaide;Photographers -- South Australia</t>
  </si>
  <si>
    <t>b20757438</t>
  </si>
  <si>
    <t>Launch of the Joyner Collection</t>
  </si>
  <si>
    <t>MORTLOCK LIBRARY:  The Manager of the Mortlock Library, Ms Elizabeth Ho, introducing the launch of the Joyner Collection, October 12 1990.</t>
  </si>
  <si>
    <t>Exhibitions -- South Australia -- Adelaide</t>
  </si>
  <si>
    <t>b2075744x</t>
  </si>
  <si>
    <t>MORTLOCK LIBRARY:  Mrs Jean Waterhouse, wife of the grandson of F.A. Joyner, speaking at the launch of the Joyner collection, October 12 1990.</t>
  </si>
  <si>
    <t>b20757451</t>
  </si>
  <si>
    <t>MORTLOCK LIBRARY:  The State Librarian, Euan Miller, with distinguished guests, left to right:  Mr Max Smith, Rotary Clubs of S.A.  The Hon. Minister Ms Anne Levy who launched the Joyner Collection  Mrs Jean Waterhouse  Mrs M. Joyner, daughter-in-law to F.A. Joyner.</t>
  </si>
  <si>
    <t>b20757463</t>
  </si>
  <si>
    <t>Photograph  0 cm x 15.5 cm</t>
  </si>
  <si>
    <t>MORTLOCK LIBRARY:  Mrs M. Joyner, daughter-in-law to F.A. Joyner, between Elizabeth Ho, Manager, and Barbara Holbourn, curator pictorial collection.</t>
  </si>
  <si>
    <t>b20757475</t>
  </si>
  <si>
    <t>MORTLOCK LIBRARY:  Judy Scott, clerical officer, offering refreshments at the F.A. Joyner collection launch.</t>
  </si>
  <si>
    <t>b20757487</t>
  </si>
  <si>
    <t>Dr. Leith MacGillivray, Education Officer at the Mortlock Library</t>
  </si>
  <si>
    <t>MORTLOCK LIBRARY:  Dr. Leith MacGillivray, Education Officer, speaking to a group of visitors during Seniors' Week, 24th October 1990.</t>
  </si>
  <si>
    <t>Seminars -- South Australia -- Adelaide;Older people -- South Australia -- Adelaide</t>
  </si>
  <si>
    <t>b20757505</t>
  </si>
  <si>
    <t>Seniors' Week, 1990</t>
  </si>
  <si>
    <t>MORTLOCK LIBRARY:  Anne Burrows, Readers Services Librarian, with a guest on October 24th 1990 during Seniors' Week "Remembering South Australia as it was".</t>
  </si>
  <si>
    <t>b20757566</t>
  </si>
  <si>
    <t>MORTLOCK LIBRARY:  Genealogy Librarian Zaiga Sudrabs welcoming visitors during Seniors' Week, October 1990.</t>
  </si>
  <si>
    <t>b20757578</t>
  </si>
  <si>
    <t>MORTLOCK LIBRARY:  Reader Services Librarian, Anne Burrows with a visitor during Seniors' Week, October 1990.</t>
  </si>
  <si>
    <t>b2075758x</t>
  </si>
  <si>
    <t>MORTLOCK LIBRARY:  Senior Archivist Roger Andre with some visitors during Seniors' Week, October 1990.</t>
  </si>
  <si>
    <t>b20757591</t>
  </si>
  <si>
    <t>MORTLOCK LIBRARY:  A group of visitors having afternoon tea during Seniors' Week, October 1990.</t>
  </si>
  <si>
    <t>b20757633</t>
  </si>
  <si>
    <t>Preparation of an Environment display in the Mortlock Library</t>
  </si>
  <si>
    <t>MORTLOCK LIBRARY:  Staff members Andrew Blight and Diana Honey preparing an Environment display, October 1990.</t>
  </si>
  <si>
    <t>b20757657</t>
  </si>
  <si>
    <t>Environment display in the Mortlock Library</t>
  </si>
  <si>
    <t>MORTLOCK LIBRARY:  Environment display, October 1990.</t>
  </si>
  <si>
    <t>b20759915</t>
  </si>
  <si>
    <t>Oaks Tavern Pirie Street</t>
  </si>
  <si>
    <t>ACRE 206:  The Oaks Tavern, 77 Pirie Street, before demolition.</t>
  </si>
  <si>
    <t>Oaks Tavern (Pirie Street, Adelaide, S.A.);Hotels -- South Australia -- Adelaide</t>
  </si>
  <si>
    <t>Acre 206 Collection</t>
  </si>
  <si>
    <t>b20759927</t>
  </si>
  <si>
    <t>House of Chow Restaurant Hutt Street</t>
  </si>
  <si>
    <t>ACRE 352:  House of Chow Restaurant, 85 Hutt Street, before demolition.</t>
  </si>
  <si>
    <t>b20759939</t>
  </si>
  <si>
    <t>Somerset Hotel, Flinders Street</t>
  </si>
  <si>
    <t>Photograph 20 cm x 15 cm</t>
  </si>
  <si>
    <t>ACRE 229:  Somerset Hotel, 116-136 Flinders Street, before demolition.</t>
  </si>
  <si>
    <t>Somerset Hotel (Adelaide, S.A.);Hotels -- South Australia -- Adelaide</t>
  </si>
  <si>
    <t>b20759940</t>
  </si>
  <si>
    <t>281 Waymouth Street</t>
  </si>
  <si>
    <t>ACRE 188:  281 Waymouth Street, before demolition.</t>
  </si>
  <si>
    <t>b20760127</t>
  </si>
  <si>
    <t>Staff members of the Mortlock Library</t>
  </si>
  <si>
    <t>MORTLOCK LIBRARY:  Education Officer Dr Leith MacGillivray (right) with the Mortlock Library Manager Liz Ho, and Reader Services Librarian Anne Burrows at the Morning Tea held on the occasion of her retirement from her educational role in the State Library of South Australia.</t>
  </si>
  <si>
    <t>Ho, Elizabeth F. (Elizabeth Francesca);Burrows, Anne, 1953;MacGillivray, Leith;State Library of South Australia;Mortlock Library of South Australiana;Library education -- South Australia -- Adelaide;Librarians -- South Australia -- Adelaide</t>
  </si>
  <si>
    <t>b20760139</t>
  </si>
  <si>
    <t>Dr Leith MacGillivray with distinguished guests</t>
  </si>
  <si>
    <t>MORTLOCK LIBRARY:  Dr Leith MacGillivray, education officer at the Mortlock Library of South Australiana, with distinguished guests John Cusack, Director of Education, Adelaide Area (left) and John Steinle, former Director General of Education photographed during her retirement function at the State Library of South Australia.</t>
  </si>
  <si>
    <t>Steinle, John, 1931-;Cusack, J. C. (John Charles), 1931-;MacGillivray, Leith;State Library of South Australia;Mortlock Library of South Australiana;Library education -- South Australia -- Adelaide</t>
  </si>
  <si>
    <t>b20760140</t>
  </si>
  <si>
    <t>Dr Leith MacGillivray, Pat Stretton and Jean Tregenza</t>
  </si>
  <si>
    <t>MORTLOCK LIBRARY:  Dr Leith MacGillivray, retiring Education Officer, with historians Pat Stretton and Jean Tregenza photographed during Leith's farewell function at the State Library of South Australia.</t>
  </si>
  <si>
    <t>Tregenza, Jean;Stretton, Pat;MacGillivray, Leith;Library education -- South Australia -- Adelaide;Historians -- South Australia -- Adelaide</t>
  </si>
  <si>
    <t>b20760152</t>
  </si>
  <si>
    <t>Dr Leith MacGillivray</t>
  </si>
  <si>
    <t>MORTLOCK LIBRARY: Dr. Leith MacGillivray, education officer at the Mortlock Library of South Australiana photographed during her farewell function on the day of her retirement from full time employment at the State Library of South Australia.</t>
  </si>
  <si>
    <t>MacGillivray, Leith;Library education -- South Australia -- Adelaide</t>
  </si>
  <si>
    <t>b20765769</t>
  </si>
  <si>
    <t>The Governor arriving for a dinner in the Mortlock Library</t>
  </si>
  <si>
    <t>Photograph  11.5 cm x 16.9 cm</t>
  </si>
  <si>
    <t>MORTLOCK LIBRARY:  His Excellency the Governor, Lt.-Gen. Sir Donald Dunstan and Lady Dunstan arriving at the Mortlock Library for the Dinner held there on 28th February, 1990.</t>
  </si>
  <si>
    <t>Dinners and Dining -- South Australia -- Adelaide</t>
  </si>
  <si>
    <t>b20765770</t>
  </si>
  <si>
    <t>The Governor attending a dinner in the Mortlock Library</t>
  </si>
  <si>
    <t>MORTLOCK LIBRARY:  H.E. the Governor, Lt-Gen. Sir Donald Dunstan escorted by the Chairman of the Board, Mr. Des Ross to the Dinner, 28th February, 1990.</t>
  </si>
  <si>
    <t>b20765782</t>
  </si>
  <si>
    <t>The Top Table a celebratory dinner in the Mortlock Library</t>
  </si>
  <si>
    <t>MORTLOCK LIBRARY:  The Top Table, celebratory dinner, 28 February, 1990.</t>
  </si>
  <si>
    <t>b20765794</t>
  </si>
  <si>
    <t>MORTLOCK LIBRARY:  The Top Table, celebratory dinner 28 February 1990.</t>
  </si>
  <si>
    <t>b20765800</t>
  </si>
  <si>
    <t>The Rt. Hon. Minister Ms Anne Levy speaking at a dinner in the Mortlock Library</t>
  </si>
  <si>
    <t>MORTLOCK LIBRARY:  The Rt. Hon. Minister Ms Anne Levy addressing guests at the celebratory dinner, 28 February 1990.</t>
  </si>
  <si>
    <t>b20765812</t>
  </si>
  <si>
    <t>Celebratory dinner in the Mortlock Library</t>
  </si>
  <si>
    <t>MORTLOCK LIBRARY:  Chairman of the Board, Mr. Des Ross, addressing guests at the celebratory dinner, 28 February 1990.</t>
  </si>
  <si>
    <t>b20765824</t>
  </si>
  <si>
    <t>MORTLOCK LIBRARY:  C.E.O. Anne Dunn addressing guests at the celebratory dinner, 28 February 1990.</t>
  </si>
  <si>
    <t>b20765836</t>
  </si>
  <si>
    <t>MORTLOCK LIBRARY:  General view of guests at the celebratory dinner, 28 February 1990.</t>
  </si>
  <si>
    <t>b20765848</t>
  </si>
  <si>
    <t>MORTLOCK LIBRARY:  General view of the seating of guests at the celebratory dinner, 28 February 1990.</t>
  </si>
  <si>
    <t>b2076585x</t>
  </si>
  <si>
    <t>MORTLOCK LIBRARY:  General view of guests, looking towards the Top Table, at the celebratory dinner, 28 February 1990.</t>
  </si>
  <si>
    <t>b20765861</t>
  </si>
  <si>
    <t>MORTLOCK LIBRARY:  C.E.O. Anne Dunn in conversation with Sir Donald Bradman at the celebratory dinner, 28 February 1990.</t>
  </si>
  <si>
    <t>b20765873</t>
  </si>
  <si>
    <t>MORTLOCK LIBRARY:  Musicians playing at the celebratory dinner, 28 February 1990.</t>
  </si>
  <si>
    <t>Dinners and Dining -- South Australia -- Adelaide;Musicians -- South Australia -- Adelaide</t>
  </si>
  <si>
    <t>b20765885</t>
  </si>
  <si>
    <t>Floral display in the Mortlock Library</t>
  </si>
  <si>
    <t>MORTLOCK LIBRARY:  Flower display at the North Terrace entrance, celebratory dinner 28 February 1990.</t>
  </si>
  <si>
    <t>Flower arrangement -- South Australia -- Adelaide</t>
  </si>
  <si>
    <t>b20766968</t>
  </si>
  <si>
    <t>Chris and Judy Crabtree making a legal deposit to the Mortlock Library</t>
  </si>
  <si>
    <t>MORTLOCK LIBRARY: Artist Chris Crabtree and printer Judy Crabtree presenting a legal deposit copy of their book: "The Doge and the Dolphin", worth $2,250 to Monographs Librarian Andrew Piper.</t>
  </si>
  <si>
    <t>b2076697x</t>
  </si>
  <si>
    <t>MORTLOCK LIBRARY: Artist Chris Crabtree and printer Judy Crabtree presenting a legal deposit copy of their book: "The Doge and the Dolphin". worth $2,250, to Monograph Librarian Andrew Piper.</t>
  </si>
  <si>
    <t>b20807223</t>
  </si>
  <si>
    <t>Signage outside the Bicentennial Conservatory</t>
  </si>
  <si>
    <t>BOTANIC GARDENS: The signage outside the Bicentennial Conservatory in the Botanic Gardens.</t>
  </si>
  <si>
    <t>Bicentennial Conservatory (Adelaide, S.A.);Botanical gardens -- South Australia -- Adelaide</t>
  </si>
  <si>
    <t>b20675537</t>
  </si>
  <si>
    <t>[approximately 1990]</t>
  </si>
  <si>
    <t>Audience attention during the "Library Show" in the Children's Library.</t>
  </si>
  <si>
    <t>Adelaide Views Collection;Public lIbrary Collection</t>
  </si>
  <si>
    <t>b20675549</t>
  </si>
  <si>
    <t>Audience participation during the "Library Show" in the Children's Library.</t>
  </si>
  <si>
    <t>b20757499</t>
  </si>
  <si>
    <t>MORTLOCK LIBRARY:  Three visitors enjoying afternoon tea during their visit on 24th October 1990 during Seniors' Week.</t>
  </si>
  <si>
    <t>b20757645</t>
  </si>
  <si>
    <t>MORTLOCK LIBRARY:  Andrew Blight mounting an Environment display, October 1990.</t>
  </si>
  <si>
    <t>b21127372</t>
  </si>
  <si>
    <t>Carolyn Spooner and Margaret McGuire</t>
  </si>
  <si>
    <t>Photograph  15.7 cm x 19.9 cm;RESERVE 1</t>
  </si>
  <si>
    <t>Staff member, Carolyn Spooner (left) with Mrs Frances Margaret McGuire at a function at the State Library of South Australia.</t>
  </si>
  <si>
    <t>McGuire, Frances Margaret, 1900-1995;Spooner, Carolyn</t>
  </si>
  <si>
    <t>b29587475</t>
  </si>
  <si>
    <t>State Library banner, Institute Building</t>
  </si>
  <si>
    <t>1 photograph : colour   13.7 x 13.7 cm;RESERVE 1 a;still image sti rdacontent;unmediated n rdamedia;sheet nb rdacarrier</t>
  </si>
  <si>
    <t>The State Library of South Australia banner outside the Institute Building on Kintore Avenue. The banner reads: 'Established in 1860, The Institute, the oldest public building on North Terrace and site of the first Public Library'.</t>
  </si>
  <si>
    <t>State Library of South Australia -- Banners;State Library of South Australia -- Buildings;Institute Building (Adelaide, S.A.)</t>
  </si>
  <si>
    <t>b20763463</t>
  </si>
  <si>
    <t>Farewell to Gladys Crane</t>
  </si>
  <si>
    <t>Photograph  15.5 cm x 10cm</t>
  </si>
  <si>
    <t>PUBLIC LIBRARY:  Administrative Officer Rod Shearing giving a farewell speech to Gladys Crane, State Library Tea Lady for 28 years, on the occasion of her retirement in February 1991.</t>
  </si>
  <si>
    <t>Public Library Collection</t>
  </si>
  <si>
    <t>b20763517</t>
  </si>
  <si>
    <t>PUBLIC LIBRARY:  Chief Executive Officer Anne Dunn with retiring Tea Lady, Gladys Crane.</t>
  </si>
  <si>
    <t>b20763529</t>
  </si>
  <si>
    <t>PUBLIC LIBRARY:  Staff enjoying the food supplied by retiring Tea Lady, Gladys Crane.</t>
  </si>
  <si>
    <t>b20765344</t>
  </si>
  <si>
    <t>Display in the Mortlock Library</t>
  </si>
  <si>
    <t>MORTLOCK LIBRARY:  "The Original Anzac" display.</t>
  </si>
  <si>
    <t>World War, 1914-1918</t>
  </si>
  <si>
    <t>b20766786</t>
  </si>
  <si>
    <t>Max Fatchen and Neil Thomas in the Mortlock Library</t>
  </si>
  <si>
    <t>Photograph  17.5 cm x 12.5 cm</t>
  </si>
  <si>
    <t>MORTLOCK LIBRARY: Writer Max Fatchen speaking to archivist Neil Thomas after speaking on "My reading life" during "A Month of Reading: July 1991", S.L.S.A.</t>
  </si>
  <si>
    <t>b20766798</t>
  </si>
  <si>
    <t>Max Fatchen speaking in the Mortlock Library</t>
  </si>
  <si>
    <t>MORTLOCK LIBRARY: Writer Max Fatchen speaking on "My reading life" in the main chamber during "A Month of Reading: July 1991", S.L.S.A.</t>
  </si>
  <si>
    <t>b20766804</t>
  </si>
  <si>
    <t>Max Fatchen speaking to Elizabeth Ho and Beth Robertson</t>
  </si>
  <si>
    <t>MORTLOCK LIBRARY: Writer Max Fatchen speaking to Elizabeth Ho, Assistant Director, Heritage and Cultural Services, and Beth Robertson, Oral Historian, during his "A Month of Reading: July 1991".</t>
  </si>
  <si>
    <t>b20766828</t>
  </si>
  <si>
    <t>Retirement party for Ola Laszkiewicz in the S.L.S.A</t>
  </si>
  <si>
    <t>PUBLIC LIBRARY: Farewell party for Ola Laszkiewicz, retiring after 30 years in the S.L.S.A., State Librarian Fran Awcock presenting gifts.</t>
  </si>
  <si>
    <t>b2076683x</t>
  </si>
  <si>
    <t>PUBLIC LIBRARY: Farewell party for Ola Laszkiewicz, retiring after 30 years in the S.L.S.A.</t>
  </si>
  <si>
    <t>b20766841</t>
  </si>
  <si>
    <t>b20766853</t>
  </si>
  <si>
    <t>Retirement party for Ola Laskiewicz in the S.L.S.A</t>
  </si>
  <si>
    <t>b20766865</t>
  </si>
  <si>
    <t>b20766877</t>
  </si>
  <si>
    <t>b20766889</t>
  </si>
  <si>
    <t>b20766890</t>
  </si>
  <si>
    <t>b20766907</t>
  </si>
  <si>
    <t>b20766919</t>
  </si>
  <si>
    <t>b20766920</t>
  </si>
  <si>
    <t>b20766932</t>
  </si>
  <si>
    <t>b20766944</t>
  </si>
  <si>
    <t>b20766956</t>
  </si>
  <si>
    <t>b20767316</t>
  </si>
  <si>
    <t>John Bannon visiting the State Library of South Australia</t>
  </si>
  <si>
    <t>PUBLIC LIBRARY:  John Bannon, Premier of South Australia in the Cataloguing Section during his visit to the State Library of South Australia, in July 1991.  Staff, l-r: Joyce Searle (Chief Cataloguer)  Fran Awcock (State Librarian)  Chris Mason.</t>
  </si>
  <si>
    <t>b20767328</t>
  </si>
  <si>
    <t>PUBLIC LIBRARY:  Premier John Bannon visits the Cataloguing section during his visit to the State Library in July 1991.</t>
  </si>
  <si>
    <t>b2076733x</t>
  </si>
  <si>
    <t>PUBLIC LIBRARY:  Premier John Bannon during his visit to the State Library of South Australia, in July 1991, with State Librarian Frances Awcock and Assistant Director Sophy Athan.</t>
  </si>
  <si>
    <t>b20767341</t>
  </si>
  <si>
    <t>PUBLIC LIBRARY:  Premier John Bannon during his visit to the State Library of South Australia, in July 1991 in the exhibition foyer talking to Margaret Southcott (Principal Archivist) right  and Jenny Tonkin (Librarian, Rare Books) left.</t>
  </si>
  <si>
    <t>b20767353</t>
  </si>
  <si>
    <t>PUBLIC LIBRARY:  Premier John Bannon in Preservation Services during his visit to the State Library of South Australia, in July 1991  Veronica Paterson (left).</t>
  </si>
  <si>
    <t>b20767365</t>
  </si>
  <si>
    <t>PUBLIC LIBRARY:  Premier John Bannon at Preservation Services during his visit in July 1991  staff member Ines Mill demonstrates repair techniques for old newspapers.</t>
  </si>
  <si>
    <t>b20767377</t>
  </si>
  <si>
    <t>PUBLIC LIBRARY:  Premier John Bannon visiting Information Services during his visit in July 1991.  Staff are Kaj Lindstrom (Manager) and Kevin Griffin (Research Librarian).</t>
  </si>
  <si>
    <t>b20767389</t>
  </si>
  <si>
    <t>PUBLIC LIBRARY:  Premier John Bannon at the Mortlock Library's Reader Services Touch Screen terminal during his visit in July 1991.  Staff: l-r: Diana Honey (Reader Education Librarian)  Elizabeth Ho (Manager)  Frances Awcock (State Librarian)  Des Ross (Chairman of the Libraries Board)  Peter Jenkins (Information Technologist).</t>
  </si>
  <si>
    <t>b20767390</t>
  </si>
  <si>
    <t>PUBLIC LIBRARY:  Premier John Bannon at the Mortlock Library's Reader Services Touch Screen terminal during his visit in July 1991.</t>
  </si>
  <si>
    <t>b20767407</t>
  </si>
  <si>
    <t>PUBLIC LIBRARY:  Premier John Bannon at the Mortlock Library's Videodisc during his visit in July 1991.  Pictorial Curator Barbara Holbourn demonstrates the technique.</t>
  </si>
  <si>
    <t>b20767742</t>
  </si>
  <si>
    <t>Ron Parsons about to give a talk in the Mortlock Library</t>
  </si>
  <si>
    <t>Photograph  11 cm x 16.2 cm</t>
  </si>
  <si>
    <t>MORTLOCK LIBRARY:  Reader's Services Librarian Linda Czechyra introducing Mr Ron Parsons, maritime historian before his talk on shipping resources to State Library Staff in the main chamber, 21st August, 1991.</t>
  </si>
  <si>
    <t>b20767754</t>
  </si>
  <si>
    <t>Maritime historian Ron Parsons speaking in the Mortlock Library</t>
  </si>
  <si>
    <t>MORTLOCK LIBRARY:  Maritime historian, Ron Parsons, speaking on the shipping resource of the State Library to staff in the main chamber, 21 August 1991.</t>
  </si>
  <si>
    <t>b20767766</t>
  </si>
  <si>
    <t>MORTLOCK LIBRARY:  Maritime historian, Mr Ron Parsons speaking on shipping resources in the State library to staff in the main chamber, 21 August 1991.</t>
  </si>
  <si>
    <t>b20769118</t>
  </si>
  <si>
    <t>Editing of the Pictorial Collection on videodisk</t>
  </si>
  <si>
    <t>MORTLOCK LIBRARY:  Editing in progress on support text for the Pictorial Collection on Videodisk.</t>
  </si>
  <si>
    <t>b2076912x</t>
  </si>
  <si>
    <t>Gawler Chambers, North Terrace</t>
  </si>
  <si>
    <t>NORTH TERRACE:  Gawler Chambers.</t>
  </si>
  <si>
    <t>b20769131</t>
  </si>
  <si>
    <t>b20769428</t>
  </si>
  <si>
    <t>Cells at Freeling Police Station</t>
  </si>
  <si>
    <t>Photograph  25.5 cm x 20 cm</t>
  </si>
  <si>
    <t>Jails -- South Australia -- Freeling</t>
  </si>
  <si>
    <t>b20769532</t>
  </si>
  <si>
    <t>Construction of the Myer centre on North Terrace</t>
  </si>
  <si>
    <t>NORTH TERRACE:  The new Myers complex under construction.</t>
  </si>
  <si>
    <t>b20770145</t>
  </si>
  <si>
    <t>Work bench at the TB Sailors and Soldiers and Airman's Association</t>
  </si>
  <si>
    <t>GENERAL:  Work bench in the carpenter's workshop at the TB Sailors and Soldiers and Airman's Association, Adelaide.</t>
  </si>
  <si>
    <t>Woodwork -- South Australia -- Adelaide</t>
  </si>
  <si>
    <t>b20770157</t>
  </si>
  <si>
    <t>Carpenter at work in the TB Sailors and Soldiers and Airman's Association</t>
  </si>
  <si>
    <t>GENERAL:  Carpenter at work in the workshop at the TB Sailors and Soldiers and Airman's Association, Adelaide.</t>
  </si>
  <si>
    <t>b20770169</t>
  </si>
  <si>
    <t>Carpenter at work in the TB Soldiers and Sailors and Airman's Association</t>
  </si>
  <si>
    <t>GENERAL:  A Carpenter at work in the workshop at the TB Soldiers and Sailors and Airman's Association.</t>
  </si>
  <si>
    <t>b20770170</t>
  </si>
  <si>
    <t>Furniture created at the TB Soldiers and Sailors and Airman's Association</t>
  </si>
  <si>
    <t>GENERAL:  Furniture created in the carpentry workshop at the TB Soldiers and Sailors and Airman's Association.</t>
  </si>
  <si>
    <t>Woodwork -- South Australia -- Adelaide;Furniture -- South Australia -- Adelaide</t>
  </si>
  <si>
    <t>b20770650</t>
  </si>
  <si>
    <t>Launch of the Colonial Residents of South Australia microfiche</t>
  </si>
  <si>
    <t>MORTLOCK LIBRARY:  Historian Mr Robert Linn launching the consolidated index on microfiche of Colonial Residents of South Australia, 1839-1948, in the main chamber on December 11th, 1991.</t>
  </si>
  <si>
    <t>Pioneers -- South Australia</t>
  </si>
  <si>
    <t>b20770662</t>
  </si>
  <si>
    <t>MORTLOCK LIBRARY:  Librarian, Ms. Susan Mildred and Researcher, Mr Hamish Angas, both descendants of first settlers in S.A.  inspecting the microfiche index of Colonial Residents of South Australia, 1839-1848, launched on December 11th, 1991.</t>
  </si>
  <si>
    <t>b20770674</t>
  </si>
  <si>
    <t>MORTLOCK LIBRARY:  Guests by the display (front case only) relating to the launch of the index on microfiche of Colonial Residents of South Australia, 1839-1848 on December 11, 1991.</t>
  </si>
  <si>
    <t>b20770686</t>
  </si>
  <si>
    <t>MORTLOCK LIBRARY:  S.A.G.H.S. guests at the launch of the index on microfiche of Colonial Residents of South Australia, 1839-1848 on December 11th, 1991.  Left to right:  Nancy Baldoch (Hon. Librarian)  Laurel Young (Member of Council  Andrew Peake (Vice President  Sandra Doddridge (Administrative Officer)  Max Shackleford (Previous Past President)  Bill Young.</t>
  </si>
  <si>
    <t>b20770698</t>
  </si>
  <si>
    <t>MORTLOCK LIBRARY:  Staff and guests at the launch of the index:  Colonial Residents of South Australia, 1839-1948, on December 11th, 1991.  Left to right:  Barbara Mayfield (Libraries Board, Staff Rep.)  Geoffrey Manning  (S.A. place names expert)  Patricia Sumerling (Historian)  Bernard O'Neil (President, Assoc. Prof. Historians  Linda Czechyra (Manager, Research, S.A. &amp; family history).</t>
  </si>
  <si>
    <t>b20770704</t>
  </si>
  <si>
    <t>MORTLOCK LIBRARY:  Staff and guests at the launch of the index : Colonial Residents of South Australia, 1839-1848, on December 11th 1991.  Left to right:  Paul Lamb (Curator, West Terrace Cemetery  Zaiga Sudrabs (Research Enquiry Librarian, S.L.S.A.)  Alex Green (Clerical Officer, West Terrace Cemetery)  Dieuwhe Jessop (Curator, S.A. Maritime Museum)  Joyce Gibberd (Biographical Researcher)  Chris Cobb (Assistant Registrar, Births, Deaths and Marriages Office).</t>
  </si>
  <si>
    <t>b20770716</t>
  </si>
  <si>
    <t>Display in the Capri Cinema for 'A Woman Suffers'</t>
  </si>
  <si>
    <t>MORTLOCK LIBRARY:  Photographic displays in the foyer of the Capri Cinema for the showing of the vintage film: "A Woman Suffers" by the Mortlock Library.</t>
  </si>
  <si>
    <t>Interior architecture -- South Australia -- Goodwood</t>
  </si>
  <si>
    <t>b20770728</t>
  </si>
  <si>
    <t>[Posters for 'A Woman Suffers']</t>
  </si>
  <si>
    <t>MORTLOCK LIBRARY: Posters copied by the Collection Services Unit for display in the foyer of the Capri Cinema for the showing of the vintage film:  "A Woman Suffers" by the Mortlock Library.</t>
  </si>
  <si>
    <t>Interior Architecture -- South Australia -- Goodwood</t>
  </si>
  <si>
    <t>b2077073x</t>
  </si>
  <si>
    <t>MORTLOCK LIBRARY:  Poster and photograph display in the foyer of the Capri Cinema for the showing of the vintage film "A Woman Suffers" by the Mortlock Library.</t>
  </si>
  <si>
    <t>b20770741</t>
  </si>
  <si>
    <t>Poster display at the Capri Cinema for 'A Woman Suffers'</t>
  </si>
  <si>
    <t>MORTLOCK LIBRARY:  Poster Display in the foyer of the Capri Cinema for the showing of the vintage film "A Woman Suffers" by the Mortlock Library.</t>
  </si>
  <si>
    <t>b20770753</t>
  </si>
  <si>
    <t>MORTLOCK LIBRARY:  Poster display in the foyer of the Capri Cinema for the showing of the vintage film "A Woman Suffers" by the Mortlock Library.</t>
  </si>
  <si>
    <t>b20770765</t>
  </si>
  <si>
    <t>MORTLOCK LIBRARY:  Poster display in the foyer of the Capri Cinema for the showing of the vintage film: "A Woman Suffers" by the Mortlock Library.</t>
  </si>
  <si>
    <t>b2077123x</t>
  </si>
  <si>
    <t>MORTLOCK LIBRARY:  Staff of the S.A. Research and Family History team at the launch of the Colonial Residents microfiche, December 11th, 1991. Left-right: Anne Burrows, Family History Librarian (S.A.)  Stuart Willes, Public Access Assistant, Linda Czechyra, Manager, S.A. Research and Family History team.</t>
  </si>
  <si>
    <t>Librarians -- South Australia -- Adelaide</t>
  </si>
  <si>
    <t>b20771241</t>
  </si>
  <si>
    <t>MORTLOCK LIBRARY:  Staff of the S.A. Research and Family History team at the launch of the Colonial Residents microfiche, December 11th, 1991. Left to right: Diana Honey  Linda Czechyra  Stuart Willes  Barbara Mayfield  Zaiga Sudrabs  Anne Burrows.</t>
  </si>
  <si>
    <t>b2077378x</t>
  </si>
  <si>
    <t>Sir Norman Young at the launch of his autobiography</t>
  </si>
  <si>
    <t>MORTLOCK LIBRARY:  Sir Norman Young at the launch of his autobiography "Figuratively Speaking" held in the main chamber, 1991.</t>
  </si>
  <si>
    <t>b20773791</t>
  </si>
  <si>
    <t>MORTLOCK LIBRARY:  Sir Norman Young at the launch of his autobiography "Figuratively Speaking", held in the main chamber, 1991.</t>
  </si>
  <si>
    <t>b2080006x</t>
  </si>
  <si>
    <t>John Martins department store</t>
  </si>
  <si>
    <t>NORTH TERRACE: Rear entrance to John Martins department store during the 125th Birthday anniversary celebrations.</t>
  </si>
  <si>
    <t>b20965187</t>
  </si>
  <si>
    <t>Attendees at the 'Cataclysmic Lending ending'</t>
  </si>
  <si>
    <t>Staff, ex-staff and a few partners gathered for the 'Cataclysmic Lending Ending' party held to mark the closure of lending services at the State Library of SA, 28 June 1991.</t>
  </si>
  <si>
    <t>b20965199</t>
  </si>
  <si>
    <t>Staff (from left) Iris Gauci, Charlotte Behrndt, Helen Makris and Stamos Ganiaris Greek dancing at the 'Cataclysmic Lending Ending' party held to mark the closure of lending services at the State Library of SA, 28 June 1991.</t>
  </si>
  <si>
    <t>b20965205</t>
  </si>
  <si>
    <t>Staff (from left) Eugenie (Genie) Karanastasis, Stamos Ganiaris, Iris Gaudi, Helen Makris and Antigone (Tiggy) Katapis at the 'Cataclysmic Lending Ending' party held to mark the closure of lending services at the State Library of SA, 28 June 1991.</t>
  </si>
  <si>
    <t>b22047360</t>
  </si>
  <si>
    <t>South Australia and Victoria state border</t>
  </si>
  <si>
    <t>Photograph  10 cm x 15 cm</t>
  </si>
  <si>
    <t>A signpost indicating a state border of South Australia and Victoria near Mt Gambier, 3 April 1991.</t>
  </si>
  <si>
    <t>b22047864</t>
  </si>
  <si>
    <t>Opal Festival at Coober Pedy</t>
  </si>
  <si>
    <t>A street processions during the Opal Festival in Coober Pedy, 30 March 1991.</t>
  </si>
  <si>
    <t>b22047906</t>
  </si>
  <si>
    <t>Opal cutting in Coober Pedy</t>
  </si>
  <si>
    <t>A craftsman using an opal cutting machine in a workshop in Coober Pedy, 30 March 1991.</t>
  </si>
  <si>
    <t>b22048017</t>
  </si>
  <si>
    <t>A sign board for the Catacomb Church in Coober Pedy</t>
  </si>
  <si>
    <t>A sign board outside the Catacomb Church (Anglican Church of Australia) of Coober Pedy, 30 March 1991.</t>
  </si>
  <si>
    <t>b20746635</t>
  </si>
  <si>
    <t>Vintage car racing at the Adelaide Grand Prix</t>
  </si>
  <si>
    <t>Photograph (colour print)  10 cm x 15.1 cm;RESERVE 1</t>
  </si>
  <si>
    <t>GENERAL: Vintage racing cars competing on the track at the Grand Prix held in Adelaide, South Australia.</t>
  </si>
  <si>
    <t>Australian Formula One Grand Prix (1992 : Adelaide, S.A.);Formula one automobiles;Grand Prix racing -- South Australia -- Adelaide;Automobile racing -- South Australia -- Adelaide</t>
  </si>
  <si>
    <t>b20746647</t>
  </si>
  <si>
    <t>Go carts racing at the Adelaide Grand Prix</t>
  </si>
  <si>
    <t>Photograph (colour print)  10 cm x 15 cm;RESERVE 1</t>
  </si>
  <si>
    <t>GENERAL: Go carts racing on the main straight of the Australian Formula One Grand Prix track in Adelaide, South Australia.</t>
  </si>
  <si>
    <t>Australian Formula One Grand Prix (1992 : Adelaide, S.A.);Grand Prix racing -- South Australia -- Adelaide;Automobile racing -- South Australia -- Adelaide;Karts (Midget cars);Karting</t>
  </si>
  <si>
    <t>b20746659</t>
  </si>
  <si>
    <t>Vintage racing cars in the Adelaide Grand Prix</t>
  </si>
  <si>
    <t>Photograph (colour print)  10 cm a 15 cm;RESERVE 1</t>
  </si>
  <si>
    <t>Australian Formula One Grand Prix (1992 : Adelaide, S.A.);Automobile racing -- South Australia -- Adelaide;Grand Prix racing -- South Australia -- Adelaide;Formula one automobiles</t>
  </si>
  <si>
    <t>b20746660</t>
  </si>
  <si>
    <t>Display of vintage fire fighting vehicles</t>
  </si>
  <si>
    <t>GENERAL: Vintage fire fighting vehicles on display at the Grand Prix held in Adelaide, South Australia.</t>
  </si>
  <si>
    <t>Fire engines -- South Australia -- Adelaide</t>
  </si>
  <si>
    <t>b20772142</t>
  </si>
  <si>
    <t>MORTLOCK LIBRARY:  A display to commemorate the 150th anniversary of the birth of Mother Mary MacKillop, 15th January 1992 prepared by library staff Anne Burrows and Roger Andre in conjunction with the Sisters of St. Joseph, S.A.</t>
  </si>
  <si>
    <t>MacKillop, Mary, Saint, 1842-1909;Nuns -- South Australia</t>
  </si>
  <si>
    <t>b20781520</t>
  </si>
  <si>
    <t>Mortlock Library volunteer Sally Horner</t>
  </si>
  <si>
    <t>Photograph, 20 cm x 15.5 cm</t>
  </si>
  <si>
    <t>MORTLOCK LIBRARY: Volunteer Sally Horner on the day of the completion of her project: Index to departures from South Australia for overseas in the Register newspaper 1836-1887  her work took over ten years.</t>
  </si>
  <si>
    <t>Volunteers -- South Australia -- Adelaide</t>
  </si>
  <si>
    <t>b20781532</t>
  </si>
  <si>
    <t>MORTLOCK LIBRARY: Volunteer Sally Horner being congratulated by Linda Czechyra, Manager, S.A. Research and Family History, S.L.S.A., and Anne Burrows, Family History Librarian, on the completion of her index, 10th August 1992.</t>
  </si>
  <si>
    <t>b20800101</t>
  </si>
  <si>
    <t>Artist Larissa Hjorth displaying a copy of her work</t>
  </si>
  <si>
    <t>Photograph  10 cm x 12.5 cm</t>
  </si>
  <si>
    <t>MORTLOCK LIBRARY: Artist Larissa Hjorth displaying a copy of her work: "Images and Writings" with the Director of the State Library, Ms. Francis Awcock.  Hand bound by Charles Zammit it was one of ten editions printed by Webb &amp; Sons at $730 each.  This copy was deposited under Legal Deposit regulations.</t>
  </si>
  <si>
    <t>b21217233</t>
  </si>
  <si>
    <t>Marcie Muir and Fran Awcock</t>
  </si>
  <si>
    <t>Photograph (print)  10.1 cm x 15.3 cm</t>
  </si>
  <si>
    <t>Author Marcie Muir (left) with the State Library's Director, Fran Awcock, at the launch of one of her books.</t>
  </si>
  <si>
    <t>Muir, Marcie, 1919-2007;Awcock, Frances, 1940-</t>
  </si>
  <si>
    <t>b20792670</t>
  </si>
  <si>
    <t>Award presented by the Mount Gambier A &amp; H Society</t>
  </si>
  <si>
    <t>MOUNT GAMBIER:  A silver presentation cup awarded by the Mount Gambier A &amp; H Society as first prize for a ploughing match in 1876, boys class, to Alex J. McRostie.</t>
  </si>
  <si>
    <t>Silver -- South Australia -- Mount Gambier</t>
  </si>
  <si>
    <t>b20792682</t>
  </si>
  <si>
    <t>Presentation cup awarded for ploughing match</t>
  </si>
  <si>
    <t>MOUNT GAMBIER: Close view of engraving on the silver presentation cup awarded to Alex J. McRostie for winning a ploughing match in 1876.</t>
  </si>
  <si>
    <t>b20800691</t>
  </si>
  <si>
    <t>Vaughan House, Enfield</t>
  </si>
  <si>
    <t>ENFIELD: Vaughan House, 46 Harwood Avenue, heritage building.</t>
  </si>
  <si>
    <t>Architecture, Domestic -- South Australia -- Enfield</t>
  </si>
  <si>
    <t>b20800708</t>
  </si>
  <si>
    <t>Additional buildings at Vaughan House, Enfield</t>
  </si>
  <si>
    <t>ENFIELD: Additional buildings at Vaughan House, due for demolition in 1993.</t>
  </si>
  <si>
    <t>b20807697</t>
  </si>
  <si>
    <t>State Library of South Australia function</t>
  </si>
  <si>
    <t>PUBLIC LIBRARY: Group of well known specialist researchers, authors and Australiana experts present at the State Library of South Australia function 'A Newspaper Legacy: Remembering Len Marquis', 14 December 1993.  Back row, left to right: I. Everett  K.T. Borrow  R.Parsons  M. Lapka  Dr. J. Tregenza  J.C. Tolley.  Front row, left to right: I. Auhl  Mrs Gibberd  Mrs. J. Tregenza.</t>
  </si>
  <si>
    <t>Historians -- South Australia</t>
  </si>
  <si>
    <t>b20807703</t>
  </si>
  <si>
    <t>PUBLIC LIBRARY: Group of former and present State Library staff present at the State Library function 'A Newspaper Legacy: Remembering Len Marquis', 14 December 1993.  Back row, left to right: M. Berry  W.D. Cuma  R. Olding (former State Librarian)  G. Jeffrey  Miss C. Fleming  W.D.B. Grant  Mrs D. Leaney  Ms. V. Hankel  B. Baldwin.  Front row, Left to right: M. Lapka  T. Philips.</t>
  </si>
  <si>
    <t>b20807715</t>
  </si>
  <si>
    <t>PUBLIC LIBRARY: Members of the Marquis and Berry families present at the State Library function 'A Newspaper Legacy: Remembering Len Marquis', 14 December 1993.</t>
  </si>
  <si>
    <t>b20807727</t>
  </si>
  <si>
    <t>b31339645</t>
  </si>
  <si>
    <t>Pictorial Videodisk</t>
  </si>
  <si>
    <t>1 photograph : black and white   20.3 x 25.5 cm;RESERVE 1 a;still image sti rdacontent;unmediated n rdamedia;sheet nb rdacarrier</t>
  </si>
  <si>
    <t>Pictorial videodisk system with Macintosh IIci computer used to provide access to the library's Pictorial Collection located in the State Library of South Australia's Institute Building.</t>
  </si>
  <si>
    <t>Institute Building (Adelaide, S.A.);State Library of South Australia -- Buildings;Interior architecture -- South Australia -- Adelaide;Historic buildings -- South Australia -- Adelaide;Videodiscs -- Library applications;Macintosh (Computer)</t>
  </si>
  <si>
    <t>b31339670</t>
  </si>
  <si>
    <t>b31339712</t>
  </si>
  <si>
    <t>Macintosh IIci computer, keyboard and screen located in the Institute Building and used to provide access to the State Library of South Australia's Pictorial videodisk system.</t>
  </si>
  <si>
    <t>Institute Building (Adelaide, S.A.);State Library of South Australia;Macintosh (Computer);Videodiscs -- Library applications</t>
  </si>
  <si>
    <t>b31339724</t>
  </si>
  <si>
    <t>Search screen on the Macintosh IIci computer located in the Institute Building and used to provide access to the State Library of South Australia's Pictorial videodisk system.</t>
  </si>
  <si>
    <t>State Library of South Australia;Macintosh (Computer);Videodiscs -- Library applications</t>
  </si>
  <si>
    <t>b31339736</t>
  </si>
  <si>
    <t>Result screen on the Macintosh IIci computer located in the Institute Building and used to provide access to the State Library of South Australia's Pictorial videodisk system.</t>
  </si>
  <si>
    <t>b31339748</t>
  </si>
  <si>
    <t>Pictorial Videodisk print</t>
  </si>
  <si>
    <t>1 photograph : black and white   14 x 10 cm;RESERVE 1 a;still image sti rdacontent;unmediated n rdamedia;sheet nb rdacarrier</t>
  </si>
  <si>
    <t>Print generated in 1993 by the Pictorial Videodisk system used to provide access to the library's Pictorial Collection located in the State Library of South Australia's Institute Building. The fact sheet states "Videodisk: As from August 1992 the photographs for reference numbers  B1 - B53496 are able to be viewed on Videodisk technology. ... The videodisk will supply a small refence print for $2.00".</t>
  </si>
  <si>
    <t>State Library of South Australia;Videodiscs -- Library applications</t>
  </si>
  <si>
    <t>b2073749x</t>
  </si>
  <si>
    <t>Frances Margaret McGuire</t>
  </si>
  <si>
    <t>photograph  22 x 16.5 cm</t>
  </si>
  <si>
    <t>PORTRAIT: Frances Margaret McGuire photographed with her new book: 'Victory for Yarra' during its launch at the State Library of South Australia.</t>
  </si>
  <si>
    <t>McGuire, Frances Margaret, 1900-1995;Women -- South Australia -- Adelaide</t>
  </si>
  <si>
    <t>b20737518</t>
  </si>
  <si>
    <t>photograph  16.5 x 21.5 cm</t>
  </si>
  <si>
    <t>PORTRAIT: Frances Margaret McGuire delivering her speech during the launch of her new book: 'Victory for Yarra' during its launch at the State Library of South Australia.</t>
  </si>
  <si>
    <t>McGuire, Frances Margaret, 1900-1995;Women -- South Australia</t>
  </si>
  <si>
    <t>b2073752x</t>
  </si>
  <si>
    <t>photograph  20 x 25.5 cm</t>
  </si>
  <si>
    <t>PORTRAIT: Frances Margaret McGuire sitting with Dame Roma Mitchell, Governor of South Australia, and Peter Wylie, Chairman of the Libraries Board, during the launch of her new book, 'Victory for Yarra', which was held at the State Library of South Australia.</t>
  </si>
  <si>
    <t>Wylie, Peter;Mitchell, Roma, Dame, 1913-2000;McGuire, Frances Margaret, 1900-1995;Women -- South Australia;Governors -- South Australia</t>
  </si>
  <si>
    <t>b20806176</t>
  </si>
  <si>
    <t>Headstone marking Mary Lee's grave at Walkerville</t>
  </si>
  <si>
    <t>Photograph  21 cm x 17.3 cm</t>
  </si>
  <si>
    <t>WALKERVILLE: The headstone marking Mary Lee's grave at Walkerville.</t>
  </si>
  <si>
    <t>Memorials -- South Australia -- Walkerville;Sepulchral Monuments -- South Australia -- Walkerville</t>
  </si>
  <si>
    <t>b20809931</t>
  </si>
  <si>
    <t>Launch of the Barbara Hanrahan Memorial Exhibition</t>
  </si>
  <si>
    <t>Photograph  12.5 cm x 17.5 cm</t>
  </si>
  <si>
    <t>PUBLIC LIBRARY: Her Excellency, The Honourable Dame Roma Mitchell, Governor of South Australia, arriving at the Institute Building, North Terrace to launch the Barbara Hanrahan Memorial Exhibition, 21st April 1994.  L-r: Elizabeth Ho, Assistant Director  Mary Wilson  Sydney Buttrose  H.E.  Des Ross, Chairman of the Libraries Board  Frances Awcock, Director State Library of S.A.</t>
  </si>
  <si>
    <t>Hanrahan, Barbara, 1939-1991;Governors -- South Australia;Exhibitions -- South Australia -- Adelaide</t>
  </si>
  <si>
    <t>b20809943</t>
  </si>
  <si>
    <t>PUBLIC LIBRARY: Frances Awcock, Director, State Library of S.A., introducing speakers at the launch held in the Institute Building for the Barbara Hanrahan Memorial Exhibition, 21st April 1994  the exhibition was the State Library's contribution to the Commemorative Year of Women's Suffrage.</t>
  </si>
  <si>
    <t>Hanrahan, Barbara, 1939-1991;Exhibitions -- South Australia -- Adelaide</t>
  </si>
  <si>
    <t>b20809955</t>
  </si>
  <si>
    <t>PUBLIC LIBRARY: Mr. Des Ross, Chairman of the Libraries Board, addressing the audience at the launch of the Barbara Hanrahan Memorial Exhibition, 21st April 1994.</t>
  </si>
  <si>
    <t>b20809967</t>
  </si>
  <si>
    <t>PUBLIC LIBRARY: Dr. Jean Blackburn, Founding Chairperson of the Women's Suffrage Committee, addressing the audience at the launch of the Barbara Hanrahan Memorial Exhibition, 21st April 1994.</t>
  </si>
  <si>
    <t>Hanrahan, Barbara, 1939-1991;Women -- South Australia;Exhibitions -- South Australia -- Adelaide</t>
  </si>
  <si>
    <t>b20809979</t>
  </si>
  <si>
    <t>PUBLIC LIBRARY: Mrs Mary Wilson, Chairperson of the Barbara Hanrahan Memorial Exhibition Committee addressing the audience at the launch of the exhibition, 21st April 1994.</t>
  </si>
  <si>
    <t>b20809980</t>
  </si>
  <si>
    <t>PUBLIC LIBRARY: Mrs Mary Wilson, Chairperson of the Barbara Hanrahan Memorial Committee addressing the audience at the launch of the exhibition, 21st April 1994.</t>
  </si>
  <si>
    <t>b20809992</t>
  </si>
  <si>
    <t>PUBLIC LIBRARY: Her Excellency, The Honourable Dame Roma Mitchell, Governor of South Australia, addressing the audience at the launch of the Barbara Hanrahan Exhibition, 21st April 1994.</t>
  </si>
  <si>
    <t>b20810003</t>
  </si>
  <si>
    <t>PUBLIC LIBRARY: Her Excellency, The Honourable Dame Roma Mitchell, Governor of South Australia, addressing the audience at the launch of the Barbara Hanrahan Memorial Exhibition, 21 April 1994.</t>
  </si>
  <si>
    <t>b20810015</t>
  </si>
  <si>
    <t>PUBLIC LIBRARY: Members of the audience attending the launch of the Barbara Hanrahan Memorial Exhibition, 21st April, 1994.  Mrs Ronda Wisbey, Barbara Hanrahan's mother, is sitting front right wearing green, her husband 'Wal' sits next to her.</t>
  </si>
  <si>
    <t>b20810027</t>
  </si>
  <si>
    <t>PUBLIC LIBRARY: Members of the audience attending the launch of the Barbara Hanrahan Memorial Exhibition, 21st April 1994  second view.</t>
  </si>
  <si>
    <t>b20810039</t>
  </si>
  <si>
    <t>PUBLIC LIBRARY: Her Excellency, The Honourable Dame Roma Mitchell accepting a gift of flowers from Sydney Buttrose, President of the Friends of the State Library, after launching the Barbara Hanrahan Memorial Exhibition, 21st April 1994.</t>
  </si>
  <si>
    <t>b20810040</t>
  </si>
  <si>
    <t>PUBLIC LIBRARY: Sydney Buttrose, President of the Friends of the State Library inviting guests to enjoy refreshments and inspect the Barbara Hanrahan Memorial Exhibition in the State Library, 21st April, 1994.</t>
  </si>
  <si>
    <t>b20810052</t>
  </si>
  <si>
    <t>PUBLIC LIBRARY: Her Excellency, The Honourable Dame Roma Mitchell talking informally with Mrs Mary Wilson after the launch of the Barbara Hanrahan Memorial Exhibition, 21st April 1994.</t>
  </si>
  <si>
    <t>Hanrahan, Barbara, 1939-1991;Governors -- South Australia</t>
  </si>
  <si>
    <t>b20810064</t>
  </si>
  <si>
    <t>PUBLIC LIBRARY: Her Excellency, The Honourable Dame Roma Mitchell, Governor of South Australia, leaving the Institute Building after launching the Barbara Hanrahan Memorial Exhibition, 21 April 1994.</t>
  </si>
  <si>
    <t>b20810076</t>
  </si>
  <si>
    <t>PUBLIC LIBRARY: Guests at the launch of the Barbara Hanrahan Memorial Exhibition launch.  Left: Ian Wilson  centre: Diana Chessell.</t>
  </si>
  <si>
    <t>Hanrahan, Barbara, 1939-1991;Exhibitions -- South Australia -- Adelaide;Politicians -- South Australia</t>
  </si>
  <si>
    <t>b20810088</t>
  </si>
  <si>
    <t>PUBLIC LIBRARY: Jonathan Woore (left) and Legh Davis at the launch of the Barbara Hanrahan Memorial Exhibition, 21st April 1994.</t>
  </si>
  <si>
    <t>b2081009x</t>
  </si>
  <si>
    <t>PUBLIC LIBRARY: Guests at the launch of the Barbara Hanrahan Memorial Exhibition, 21st April 1994.  L-r: Susan Sideris  Kay Hannaford  Mrs. Des Ross.</t>
  </si>
  <si>
    <t>Hanrahan, Barbara, 1939-1991;Exhibitions -- South Australia -- Adelaide;Women -- South Australia</t>
  </si>
  <si>
    <t>b20810106</t>
  </si>
  <si>
    <t>PUBLIC LIBRARY: Ron Radford, Director of the Art Gallery of South Australia attending the launch of the Barbara Hanrahan Memorial Exhibition, 21st April 1994.</t>
  </si>
  <si>
    <t>b20810118</t>
  </si>
  <si>
    <t>PUBLIC LIBRARY: Miss McGregor, Barbara Hanrahan's childhood music teacher as described in her novel 'Scent of Eucalyptus', attending the launch of the Memorial Exhibition, 21 April 1994.</t>
  </si>
  <si>
    <t>Hanrahan, Barbara, 1939-1991;Teachers -- South Australia;Exhibitions -- South Australia -- Adelaide</t>
  </si>
  <si>
    <t>b2081012x</t>
  </si>
  <si>
    <t>PUBLIC LIBRARY: Jean and Tom Waterhouse, guests at the Barbara Hanrahan Memorial Exhibition launch with Barbara Holbourn, centre, Curator of the display.</t>
  </si>
  <si>
    <t>b20810131</t>
  </si>
  <si>
    <t>PUBLIC LIBRARY: Mrs Ronda Wisbey, Barbara Hanrahan's mother and the curator of the Memorial Exhibition, Barbara Holbourn (right) at the launch, 21st April 1994.</t>
  </si>
  <si>
    <t>b20810143</t>
  </si>
  <si>
    <t>PUBLIC LIBRARY: Mrs Ronda Wisbey standing by her favourite photograph of her daughter, Barbara Hanrahan, at the launch of the Memorial Exhibition, 21st April 1994.</t>
  </si>
  <si>
    <t>b20810155</t>
  </si>
  <si>
    <t>b20812279</t>
  </si>
  <si>
    <t>Barbara Hanrahan Memorial Exhibition</t>
  </si>
  <si>
    <t>PUBLIC LIBRARY: The Barbara Hanrahan Memorial Exhibition on display April 22nd - June 20th, 1994.</t>
  </si>
  <si>
    <t>b20812280</t>
  </si>
  <si>
    <t>PUBLIC LIBRARY: Display cases in the Barbara Hanrahan Memorial Exhibition, April 22nd - June 20th 1994.</t>
  </si>
  <si>
    <t>b20812292</t>
  </si>
  <si>
    <t>PUBLIC LIBRARY: Close view of a display case in the Barbara Hanrahan Memorial Exhibition showing family photographs and books that she owned as a child.</t>
  </si>
  <si>
    <t>b20812309</t>
  </si>
  <si>
    <t>PUBLIC LIBRARY: Part of the display for the Barbara Hanrahan Memorial Exhibition featuring the case showing early editions of literary influences and the pink photograph album described in 'Iris In Her Garden'.</t>
  </si>
  <si>
    <t>b20812310</t>
  </si>
  <si>
    <t>PUBLIC LIBRARY: Part of the display for the Barbara Hanrahan Memorial Exhibition featuring original relief etchings and her wood carving tools.</t>
  </si>
  <si>
    <t>b20812322</t>
  </si>
  <si>
    <t>PUBLIC LIBRARY: Part of the display for the Barbara Hanrahan Memorial Exhibition featuring some of the prints used for the covers of her books and the listening post for the Hear a Book edition of 'Chelsea Girl'.</t>
  </si>
  <si>
    <t>Public Library Exhibition Collection</t>
  </si>
  <si>
    <t>b20817812</t>
  </si>
  <si>
    <t>Launch of the State Library publication 'Kith and Kin'</t>
  </si>
  <si>
    <t>PUBLIC LIBRARY: State Library Staff and guest speaker Bill Gammage at the launch of the publication "Kith and Kin", 2nd ed., October 10th 1994.  Back row, l-r: Bill Gammage  Michael Talbot  Anne Burrows.  Front row, l-r: Liz Ho, Assistant Director Library Services  Pat Moore  Susan Mildred.</t>
  </si>
  <si>
    <t>b20817824</t>
  </si>
  <si>
    <t>PUBLIC LIBRARY: Anne Burrows, of the S.A. Published Collections with guest speaker Bill Gammage, Reader in History, University of Adelaide, and Susan Mildred, Family History librarian at the launch of the publication "Kith and Kin".</t>
  </si>
  <si>
    <t>b20829322</t>
  </si>
  <si>
    <t>Vaughan House Remand Home, Enfield</t>
  </si>
  <si>
    <t>ENFIELD: A police car parked outside Vaughan House Remand Home, just before its closure.</t>
  </si>
  <si>
    <t>Vaughan House (Enfield, S.A.);Reformatories -- South Australia -- Enfield</t>
  </si>
  <si>
    <t>b20829334</t>
  </si>
  <si>
    <t>ENFIELD: External view of Vaughan House Remand Home, prior to its closure. According to a researcher, these rooms were the back end of the house and you were able to talk to each other across the yard. Some of the rooms were occupied by children that were not allowed into the main stream areas but could talk to each other across the yard. The consequences for doing so were considered harsh at the time, by the inmates.</t>
  </si>
  <si>
    <t>b20829346</t>
  </si>
  <si>
    <t>ENFIELD: External view of Vaughan House Remand Home, prior to its closure.</t>
  </si>
  <si>
    <t>b20829358</t>
  </si>
  <si>
    <t>ENFIELD: External view of Vaughan House Remand Home, showing the swimming pool, prior to the centre closing.</t>
  </si>
  <si>
    <t>b2082936x</t>
  </si>
  <si>
    <t>ENFIELD: Interior view of a recreation hall at Vaughan House Remand Home, prior to its closure.</t>
  </si>
  <si>
    <t>b20829371</t>
  </si>
  <si>
    <t>ENFIELD: Interior view of Vaughan House Remand Home, showing murals painted on the passage walls.</t>
  </si>
  <si>
    <t>b20829383</t>
  </si>
  <si>
    <t>ENFIELD: Interior view of Vaughan House Remand Home, showing murals painted on the walls.</t>
  </si>
  <si>
    <t>b20829395</t>
  </si>
  <si>
    <t>ENFIELD: Interior view of Vaughan House Remand Home, showing murals on the wall.</t>
  </si>
  <si>
    <t>b20829401</t>
  </si>
  <si>
    <t>ENFIELD: Interior view of a single room in Vaughan House Remand Home.</t>
  </si>
  <si>
    <t>b20829413</t>
  </si>
  <si>
    <t>ENFIELD: Interior view of the gymnasium at Vaughan House Remand Home.</t>
  </si>
  <si>
    <t>b20829437</t>
  </si>
  <si>
    <t>b20829449</t>
  </si>
  <si>
    <t>ENFIELD: Interior view of the office at Vaughan House Remand Home.</t>
  </si>
  <si>
    <t>b20829450</t>
  </si>
  <si>
    <t>b20829462</t>
  </si>
  <si>
    <t>ENFIELD: Interior view of the common room at Vaughan House Remand Home.</t>
  </si>
  <si>
    <t>b20829474</t>
  </si>
  <si>
    <t>b20829486</t>
  </si>
  <si>
    <t>ENFIELD: Interior view of the library at Vaughan House Remand Home.</t>
  </si>
  <si>
    <t>b20829498</t>
  </si>
  <si>
    <t>b20829504</t>
  </si>
  <si>
    <t>ENFIELD: The office at Vaughan House Remand Home.</t>
  </si>
  <si>
    <t>b2204243x</t>
  </si>
  <si>
    <t>Street performers in Rundle Mall</t>
  </si>
  <si>
    <t>A band of 4 street performers entertaining in Rundle Mall,  October 1994.</t>
  </si>
  <si>
    <t>b22042441</t>
  </si>
  <si>
    <t>A view taken from Morphett Street Bridge looking towards Light Square, Adelaide, October 1994.</t>
  </si>
  <si>
    <t>b22048029</t>
  </si>
  <si>
    <t>Encounter Bay</t>
  </si>
  <si>
    <t>A view of Encounter Bay with Granite Island and Victor Harbour in the distance, taken from the Bluff, 4 January 1994.</t>
  </si>
  <si>
    <t>b22048091</t>
  </si>
  <si>
    <t>Victor Harbor War Memorial</t>
  </si>
  <si>
    <t>A view of Victor Harbor War Memorial, 4 January 1994.</t>
  </si>
  <si>
    <t>b22048108</t>
  </si>
  <si>
    <t>A view of Victor Harbor War Memorial with Granite Island in the background, 4 January 1994.</t>
  </si>
  <si>
    <t>b20965217</t>
  </si>
  <si>
    <t>State Library's volleyball team</t>
  </si>
  <si>
    <t>The State Library's 1995 volleyball team: (from left) Julie Francis, Darren Baker, Regina Viergever, David Kite, Andrew Piper, Sharon Pearn and Mike Dunn, 6 July 1995.</t>
  </si>
  <si>
    <t>b20965229</t>
  </si>
  <si>
    <t>State Library's softball team</t>
  </si>
  <si>
    <t>The State Library's 1995 softball team: (standing, from left) Paul Shepherd, Geoff Driver, Gavin Wood, David Kite, Tony May, Mike Dunn, Mark Sigalis, Lew Chapman  (sitting, from left) Kylie Meakin, Sharon Pearn, Cheryl Edwards.</t>
  </si>
  <si>
    <t>b20965230</t>
  </si>
  <si>
    <t>The State Library's 1995 softball team: (standing, from left) Tony May, David Kite, Cheryl Edwards, Mark Sigalis, Sharon Pearn, Gavin Wood, Evelyn Cowell  (kneeling, from left) Narelle Karas, Paul Shepherd, Geoff Driver.</t>
  </si>
  <si>
    <t>b20965813</t>
  </si>
  <si>
    <t>State Library's soccer team</t>
  </si>
  <si>
    <t>The State library's 'five-a-side' soccer team, pictured 16 March 1995. Back row (from left): Marlow McKenzie-Smith, Regina Viergever, Lew Chapman, Elvio Pederzolli, David Kite. Front row (from left): Mike Dunn, Zoe Lewis, Sharon Pearn, Jenny Miholos.</t>
  </si>
  <si>
    <t>b22048133</t>
  </si>
  <si>
    <t>Morialta Falls area</t>
  </si>
  <si>
    <t>Walking along the dirt track below Morialta Falls with Adelaide visible in the distance through the valley, 19 August 1995.</t>
  </si>
  <si>
    <t>b22048182</t>
  </si>
  <si>
    <t>Morialta Falls</t>
  </si>
  <si>
    <t>The rocky hill-sides with Morialta Falls tumbling down the centre, taken from the boardwalk built over the viewing area, 19 August 1995.</t>
  </si>
  <si>
    <t>b22049526</t>
  </si>
  <si>
    <t>Taken from above and across the valley to show the rugged surroundings of Morialta Falls, 19 August 1995.</t>
  </si>
  <si>
    <t>b22906319</t>
  </si>
  <si>
    <t>Adelaide Grand Prix</t>
  </si>
  <si>
    <t>Classic MG cars racing at the Adelaide Grand Prix , 11 November 1995.</t>
  </si>
  <si>
    <t>b22906344</t>
  </si>
  <si>
    <t>Celebrity cars off the track at the Adelaide Grand Prix , 11 November 1995.</t>
  </si>
  <si>
    <t>b23639143</t>
  </si>
  <si>
    <t>Interior of St Ann's Chapel, Marion</t>
  </si>
  <si>
    <t>Inside St Ann's Chapel with a wedding about to start, 11 June 1995.</t>
  </si>
  <si>
    <t>Church architecture -- South Australia -- Marion</t>
  </si>
  <si>
    <t>b20753123</t>
  </si>
  <si>
    <t>Handover of the Once Upon a Wireless project</t>
  </si>
  <si>
    <t>MORTLOCK LIBRARY: Adelaide radio personalities Stella Guthrie and Nancy Flannery at the handover of the oral history recordings in the South Australian section of the Once Upon a Wireless project, 23 October 1996.</t>
  </si>
  <si>
    <t>Guthrie, Stella, 1922-2012;Flannery, Nancy, 1929-;Radio broadcasters -- South Australia</t>
  </si>
  <si>
    <t>b20753135</t>
  </si>
  <si>
    <t>MORTLOCK LIBRARY: Members of the South Australia Once Upon a Wireless Committee with Bruce Leonard, Chairman of Once Upon a Wireless Ltd. at the handover of the sound recordings in the South Australian section of the project, 23 October 1996. Left to right: Milton Howard  Rick Palmer  Beth Robertson, Convenor of the Committee and Oral History Officer, State Library of South Australia  Bryce Radford  Nancy Flannery  Bill Mudie  Alec MacAskill and Bruce Leonard.</t>
  </si>
  <si>
    <t>Robertson, Beth M, 1957-;Howard, Milton;Palmer, Rick, 1937-2016;Radford, Bryce;Flannery, Nancy, 1929-;Mudie, Bill, 1940-;MacAskill, Alec, 1921-2007;Leonard, Bruce;Radio broadcasters -- South Australia</t>
  </si>
  <si>
    <t>b20753147</t>
  </si>
  <si>
    <t>MORTLOCK LIBRARY: Invited guests at the handover of the sound recordings in the South Australian section of the Once Upon a Wireless project, 23 October 1996. Left to right: Ian Blythman, 5KA  Laurie Scheberg, 5DN and 5UV  John O'Neill, 5DN and ABC  Bert Day, 5AD  John Dick, writer and producer.</t>
  </si>
  <si>
    <t>Blythman, Ian;Scheberg, Laurie;O'Neil, John;Day, Bert;Dick, John, 1934-2007;Radio broadcasters -- South Australia</t>
  </si>
  <si>
    <t>b20753159</t>
  </si>
  <si>
    <t>MORTLOCK LIBRARY: Invited guests at the handover of the sound recordings in the South Australian section in the Once Upon a Wireless project, 23 October 1996. Left to right: Beryl Beard  Jenny Martin  Doreen Govett  Dulcie Davenport.</t>
  </si>
  <si>
    <t>Beard, Beryl;Martin, Jenny;Davenport, Dulcie;Govett, Doreen;Radio broadcasters -- South Australia;Women  -- South Australia</t>
  </si>
  <si>
    <t>b20753160</t>
  </si>
  <si>
    <t>MORTLOCK LIBRARY: Invited guests at the handover of the sound recordings in the South Australian section of the Once Upon a Wireless project, 23 October 1996. Left to right: Staunton McNamara  Kevin May  Cliff Moule  Malcolm Benger.</t>
  </si>
  <si>
    <t>McNamara, Staunton, -2000;May, Kevin, 1940-;Moule, Cliff, -1998;Benger, Malcolm</t>
  </si>
  <si>
    <t>b22050073</t>
  </si>
  <si>
    <t>Australia Day Parade</t>
  </si>
  <si>
    <t>RAAF Service members in a parade for Australia Day celebrations, 26 January 1996.</t>
  </si>
  <si>
    <t>b22050097</t>
  </si>
  <si>
    <t>Australia Day</t>
  </si>
  <si>
    <t>Cannons lined for a gun salute at the Torrens Parade Grounds for Australia Day celebrations, 26 January 1996.</t>
  </si>
  <si>
    <t>b22050103</t>
  </si>
  <si>
    <t>Eastend Market site</t>
  </si>
  <si>
    <t>New townhouses built at the old Eastend Market site, 28 January 1996.</t>
  </si>
  <si>
    <t>b22050139</t>
  </si>
  <si>
    <t>Townhouses at the old Eastend Market site</t>
  </si>
  <si>
    <t>b22050164</t>
  </si>
  <si>
    <t>The old Eastend Market site</t>
  </si>
  <si>
    <t>The facade of the old Eastend Market with the new townhouses standing at the back, 28 January 1996.</t>
  </si>
  <si>
    <t>b20746891</t>
  </si>
  <si>
    <t>Rubbish left on the Heysen Trail</t>
  </si>
  <si>
    <t>BRIDGEWATER: Vehicle parts and other scrap metal that has been dumped on the Heysen Trail, near Bridgewater, South Australia.</t>
  </si>
  <si>
    <t>Refuse and refuse disposal -- South Australia -- Bridgewater;Pollution -- Environmental aspects -- South Australia -- Bridgewater;Environmental degradation -- South Australia -- Bridgewater;Heysen Trail (S.A.)</t>
  </si>
  <si>
    <t>Bridgewater Collection</t>
  </si>
  <si>
    <t>b20746908</t>
  </si>
  <si>
    <t>Rubbish dumped on the Heysen Trail</t>
  </si>
  <si>
    <t>BRIDGEWATER: Rubbish which has been dumped on the Heysen Trail near Bridgewater, South Australia.</t>
  </si>
  <si>
    <t>Pollution -- Environmental aspects -- South Australia -- Bridgewater;Environmental degradation -- South Australia -- Bridgewater;Refuse and refuse disposal -- South Australia -- Bridgewater;Heysen Trail (S.A.)</t>
  </si>
  <si>
    <t>b21217221</t>
  </si>
  <si>
    <t>Lancelot Crompton</t>
  </si>
  <si>
    <t>Photograph (print)  16.1 cm x 11.6 cm</t>
  </si>
  <si>
    <t>Lancelot Crompton pictured in the Children's Literature Research Collection at the State Library of SA. He came into to the Library for an interview with librarian Juliana Bayfield (see OH 405/1).</t>
  </si>
  <si>
    <t>Crompton, Launcelot, 1896-1998</t>
  </si>
  <si>
    <t>b22035138</t>
  </si>
  <si>
    <t>Heysen Trail</t>
  </si>
  <si>
    <t>Tothill Rangers on the Heysen Trail on a misty day, 14 June 1997.</t>
  </si>
  <si>
    <t>b2203514x</t>
  </si>
  <si>
    <t>19th century plough in Tothill Rangers</t>
  </si>
  <si>
    <t>A 19th century plough on farming land inTothill Rangers on the Heysen Trail, 14 June 1997.</t>
  </si>
  <si>
    <t>b22035151</t>
  </si>
  <si>
    <t>Bush land in Tothill Rangers</t>
  </si>
  <si>
    <t>Bushland on a hill-side inTothill Rangers, 14 June 1997.</t>
  </si>
  <si>
    <t>b22038206</t>
  </si>
  <si>
    <t>Ruins of St Michael's at Mount Lofty</t>
  </si>
  <si>
    <t>What is left of St Michael's church after the 'Ash Wednesday fires in 1983 at Mt Lofty, 15 June 1997.</t>
  </si>
  <si>
    <t>b22038486</t>
  </si>
  <si>
    <t>Ruins of a farm-house atTothill Rangers on the Heysen Trail</t>
  </si>
  <si>
    <t>Sitting in the middle of an open field is the ruins of an old farm-house in Tothill Rangers on the Heysen Trail, 14 June 1997.</t>
  </si>
  <si>
    <t>b22038516</t>
  </si>
  <si>
    <t>St Michael's at Mount Lofty</t>
  </si>
  <si>
    <t>The top section of the ruins of St Michael's church outlined against a heavy sky at sunset at Mt Lofty, 15 June 1997.</t>
  </si>
  <si>
    <t>b22051715</t>
  </si>
  <si>
    <t>Gemmell</t>
  </si>
  <si>
    <t>A scene taken in Gemmell which about 11 km north of Strathalbyn, 2 January 1997.</t>
  </si>
  <si>
    <t>b22051740</t>
  </si>
  <si>
    <t>A small hillside with trees taken in Gemmell which about 11 km north of Strathalbyn, 2 January 1997.</t>
  </si>
  <si>
    <t>b22051806</t>
  </si>
  <si>
    <t>Summertown Graveyard</t>
  </si>
  <si>
    <t>Part of the Summertown Graveyard in the Adelaide hills, 5 April 1997.</t>
  </si>
  <si>
    <t>b22052276</t>
  </si>
  <si>
    <t>Showing part of the graveyard at Summertown and the hills beyond, 5 April 1997.</t>
  </si>
  <si>
    <t>b20735212</t>
  </si>
  <si>
    <t>Personalities at 'Stockwhip and Spur'</t>
  </si>
  <si>
    <t>photograph  12 x 18 cm</t>
  </si>
  <si>
    <t>PUBLIC LIBRARY: Robyn Collins, Director of the State Library of South Australia, photographed with Elizabeth Ho, Associate Director Library and Information Services, and South Australian personalities who performed the readings at the State Library's function of Australian bush ballads: 'Stockwhip and Spur'. Left to right: Ian Chesterman  Valmai Hankel  Robyn Collins  Keith Conlon  Elizabeth Ho  the Hon. John Bannon  Carol Whitelock.</t>
  </si>
  <si>
    <t>Collins, Robyn;Bannon, John, 1943-2015;Hankel, Valmai;Chesterman, Ian;Conlon, Keith;Whitelock, Carole;Ho, Elizabeth F. (Elizabeth Francesca);State Library of South Australia;Librarians -- South Australia -- Adelaide;Politicians -- South Australia;Radio broadcasters -- South Australia</t>
  </si>
  <si>
    <t>b20735601</t>
  </si>
  <si>
    <t>Sir Donald Bradman and Michael Brock</t>
  </si>
  <si>
    <t>photograph  17 x 12 cm</t>
  </si>
  <si>
    <t>PORTRAIT: Sir Donald Bradman and Michael Brock, Chairman of the Bradman Exhibition Appeal Committee, photographed during a private viewing by Sir Donald on February 25 1998 of the Bradman Collection Exhibition on display at the Institute Building, State Library of South Australia.</t>
  </si>
  <si>
    <t>Bradman, Donald, Sir, 1908-2001;Brock, Michael;State Library of South Australia -- Exhibitions;Cricket -- Collectibles -- South Australia -- Adelaide -- Exhibitions;Cricket players -- Australia</t>
  </si>
  <si>
    <t>b20735613</t>
  </si>
  <si>
    <t>Sir Donald Bradman</t>
  </si>
  <si>
    <t>photograph  11.5 x 17 cm</t>
  </si>
  <si>
    <t>PORTRAIT: Sir Donald Bradman photographed during a private viewing by Sir Donald on February 25 1998 of the Bradman Collection Exhibition on display at the Institute Building, State Library of South Australia.</t>
  </si>
  <si>
    <t>Bradman, Donald, Sir, 1908-2001;State Library of South Australia -- Exhibitions;Cricket players -- Australia</t>
  </si>
  <si>
    <t>b20735625</t>
  </si>
  <si>
    <t>PORTRAIT: Sir Donald Bradman photographed talking to Elizabeth Ho, Associate Director Library Services, during a private viewing by Sir Donald on February 25 1998 of the Bradman Collection Exhibition on display at the Institute Building, State Library of South Australia.</t>
  </si>
  <si>
    <t>Ho, Elizabeth F. (Elizabeth Francesca);Bradman, Donald, Sir, 1908-2001;State Library of South Australia -- Exhibitions;Cricket players -- Australia</t>
  </si>
  <si>
    <t>b20735637</t>
  </si>
  <si>
    <t>PORTRAIT: Sir Donald Bradman, photographed during a private viewing by Sir Donald on February 25 1998 of the Bradman Collection Exhibition on display at the Institute Building, State Library of South Australia  he is standing centre with, left to right: Elizabeth Ho  Robyn Collins  Michael Brock  John Bradsen, Jill Gauvin.</t>
  </si>
  <si>
    <t>Ho, Elizabeth F. (Elizabeth Francesca);Gauvin, Jill;Bradsen, John R.;Brock, Michael;Collins, Robyn;Bradman, Donald, Sir, 1908-2001;State Library of South Australia -- Exhibitions;Cricket players -- Australia</t>
  </si>
  <si>
    <t>b20746568</t>
  </si>
  <si>
    <t>Hallett Cove reserve</t>
  </si>
  <si>
    <t>Photograph (colour print)  10 cm x 14.7 cm;RESERVE 1</t>
  </si>
  <si>
    <t>HALLETT COVE: General view of the beach in the Hallett Cove reserve.</t>
  </si>
  <si>
    <t>National parks and reserves -- South Australia -- Hallett Cove;Beaches -- South Australia -- Hallett Cove</t>
  </si>
  <si>
    <t>Hallett Cove Collection</t>
  </si>
  <si>
    <t>b2074657x</t>
  </si>
  <si>
    <t>HALLETT COVE: The area known as the 'amphitheatre'at the Hallett Cove reserve, view taken from the bottom track.</t>
  </si>
  <si>
    <t>National parks and reserves -- South Australia -- Hallett Cove</t>
  </si>
  <si>
    <t>b20746623</t>
  </si>
  <si>
    <t>Memorial plaque at Mount Lofty</t>
  </si>
  <si>
    <t>MOUNT LOFTY: A plaque at Mount Lofty commemorating the Ash Wednesday fires in South Australia, 1983.</t>
  </si>
  <si>
    <t>Forest fires -- South Australia;Plaques, plaquettes -- South Australia -- Lofty, Mount</t>
  </si>
  <si>
    <t>b2074691x</t>
  </si>
  <si>
    <t>Bowman Park, Crystal Brook</t>
  </si>
  <si>
    <t>CRYSTAL BROOK: A sign at the entrance to Bowman Park, Crystal Brook Creek.</t>
  </si>
  <si>
    <t>Parks -- South Australia -- Crystal Brook;Signs and signboards -- South Australia -- Crystal Brook;Bowman Park (Crystal Brook, S.A.)</t>
  </si>
  <si>
    <t>Crystal Brook Collection</t>
  </si>
  <si>
    <t>b20746933</t>
  </si>
  <si>
    <t>A stone wall on the Heysen Trail</t>
  </si>
  <si>
    <t>GENERAL: An old stone wall on the Heysen Trail in the Brownhill Ranges, South Australia.</t>
  </si>
  <si>
    <t>Fences -- South Australia;Stone walls -- South Australia;Heysen Trail (S.A.)</t>
  </si>
  <si>
    <t>b20754334</t>
  </si>
  <si>
    <t>Alterations to Harris Scarfe facade</t>
  </si>
  <si>
    <t>ACRE 83: Alterations to the facade of Harris Scarfe Department Store in Rundle Mall, Adelaide.</t>
  </si>
  <si>
    <t>Harris Scarfe Limited;Department stores -- South Australia -- Adelaide</t>
  </si>
  <si>
    <t>b20754346</t>
  </si>
  <si>
    <t>ACRE 83: Alterations to the facade of Harris Scarfe Department Store in Rundle Mall, Adelaide: view 2.</t>
  </si>
  <si>
    <t>b20754358</t>
  </si>
  <si>
    <t>ACRE 83: Alterations to the facade of Harris Scarfe Department Store in Rundle Mall, Adelaide: view 3.</t>
  </si>
  <si>
    <t>b2075436x</t>
  </si>
  <si>
    <t>Demolition of John Martins store, Adelaide</t>
  </si>
  <si>
    <t>ACRE 41: Demolition work on John Martins Department Store, side view.</t>
  </si>
  <si>
    <t>John Martin &amp; Co;Department stores -- South Australia -- Adelaide;Wrecking -- South Australia -- Adelaide</t>
  </si>
  <si>
    <t>b20754371</t>
  </si>
  <si>
    <t>ACRE 41: Demolition work on John Martins Department Store, North Terrace side.</t>
  </si>
  <si>
    <t>b20754383</t>
  </si>
  <si>
    <t>b20754395</t>
  </si>
  <si>
    <t>John Martin &amp; Co;Department Stores -- South Australia -- Adelaide;Wrecking -- South Australia -- Adelaide</t>
  </si>
  <si>
    <t>b20754401</t>
  </si>
  <si>
    <t>b20754413</t>
  </si>
  <si>
    <t>b20754425</t>
  </si>
  <si>
    <t>ACRE 41: Demolition work on John Martins Department Store, Rundle Mall side.</t>
  </si>
  <si>
    <t>b20754449</t>
  </si>
  <si>
    <t>b20754450</t>
  </si>
  <si>
    <t>b20754735</t>
  </si>
  <si>
    <t>Participants in 'Max Fatchen Day'</t>
  </si>
  <si>
    <t>Photograph  17 cm x 12 cm</t>
  </si>
  <si>
    <t>PUBLIC LIBRARY: Participants in 'Max Fatchen Day' held in the Institute Building, 23 July 1998. Left to right: Anne Burrows, Manager of South Australian Published Collections  Elizabeth Ho, Associate Director of the State Library of South Australia  Ian Doyle  Maureen Sherlock  Rosie Love  Max Fatchen  Charlotte George  Rebecca Dowd  Stewart Cockburn  Robyn Collins, Director of the State Library of South Australia and Valmai Hankel, Rare Books Librarian.</t>
  </si>
  <si>
    <t>Fatchen, Max, 1920-2012;State Library of South Australia;Authors, Australian -- South Australia</t>
  </si>
  <si>
    <t>b20754747</t>
  </si>
  <si>
    <t>PUBLIC LIBRARY: Participants in 'Max Fatchen Day' held in the Institute Building, 23 July 1998. Left to right: Ian Doyle  Elizabeth Ho, Associate Director of the State Library of South Australia  Maureen Sherlock  Rosie Love  Max Fatchen  Charlotte George  Rebecca Dowd  Stewart Cockburn  Robyn Collins, Director of the State Library of South Australia.</t>
  </si>
  <si>
    <t>b20754759</t>
  </si>
  <si>
    <t>PUBLIC LIBRARY: Members of the Metropolitan Male Voice Choir of South Australia performing at 'Max Fatchen Day' held in the Institute Building, 23 July 1998. They sang two verses 'Rain on the Tracks' and ' Night on the Tracks' the words of which were written by Max Fatchen and the music composed by the late Henry Krips.</t>
  </si>
  <si>
    <t>Metropolitan Male Voice Choir (Adelaide, S.A.);Choirs (Music) -- South Australia;Singers -- South Australia</t>
  </si>
  <si>
    <t>b20755077</t>
  </si>
  <si>
    <t>ACRE 41: Demolition of John Martins department store, North Terrace view.</t>
  </si>
  <si>
    <t>John Martin &amp; Co;Wrecking -- South Australia -- Adelaide</t>
  </si>
  <si>
    <t>b20755089</t>
  </si>
  <si>
    <t>b20836831</t>
  </si>
  <si>
    <t>Demolition of John Martins</t>
  </si>
  <si>
    <t>ACRE 41: Demolition of John Martins, North Terrace view.</t>
  </si>
  <si>
    <t>John Martin &amp; Co;Wrecking -- South Australia -- Adelaide;Department stores -- South Australia -- Adelaide</t>
  </si>
  <si>
    <t>b20836843</t>
  </si>
  <si>
    <t>b20836855</t>
  </si>
  <si>
    <t>b20836867</t>
  </si>
  <si>
    <t>b20836879</t>
  </si>
  <si>
    <t>b20836880</t>
  </si>
  <si>
    <t>ACRE 41: Demolition of John Martins, Rundle Mall view.</t>
  </si>
  <si>
    <t>b20836892</t>
  </si>
  <si>
    <t>b20836909</t>
  </si>
  <si>
    <t>b20836910</t>
  </si>
  <si>
    <t>b20836922</t>
  </si>
  <si>
    <t>b20836934</t>
  </si>
  <si>
    <t>ACRE 41: Demolition of John Martins, side view.</t>
  </si>
  <si>
    <t>b20836946</t>
  </si>
  <si>
    <t>Advertising the State Library of South Australia</t>
  </si>
  <si>
    <t>PUBLIC LIBRARY: Newly installed banner advertising the State Library of South Australia, on North Terrace  the statue of Robert Burns is on the right.</t>
  </si>
  <si>
    <t>State Library of South Australia;Advertising -- South Australia -- Adelaide;Statues -- South Australia -- Adelaide</t>
  </si>
  <si>
    <t>b20836958</t>
  </si>
  <si>
    <t>PUBLIC LIBRARY: Newly installed banner advertising the State Library of South Australia, on North Terrace.</t>
  </si>
  <si>
    <t>State Library of South Australia;Advertising -- South Australia -- Adelaide</t>
  </si>
  <si>
    <t>b20841413</t>
  </si>
  <si>
    <t>Drinking fountain at Elder Park</t>
  </si>
  <si>
    <t>Photograph  25.5 x 20.5 cm</t>
  </si>
  <si>
    <t>ELDER PARK: The drinking fountain erected by public subscription in 1887 as a memorial to Fireman John Gardner who lost his life fighting a major fire in Rundle Street, Adelaide, South Australia.</t>
  </si>
  <si>
    <t>Gardner, John, -1886;Memorials -- South Australia -- Adelaide;Fire fighters -- South Australia -- Adelaide</t>
  </si>
  <si>
    <t>Elder Park Collection</t>
  </si>
  <si>
    <t>b20965242</t>
  </si>
  <si>
    <t>David Hoskins</t>
  </si>
  <si>
    <t>David Hoskins, the State Library's internet service officer, 29 Niovember 1998.</t>
  </si>
  <si>
    <t>b20965254</t>
  </si>
  <si>
    <t>Megha's farewell party</t>
  </si>
  <si>
    <t>Megha Padhe, the State Library's programmer, makes a speech at her farewell. Other staff are (from left) Caroline Moore, Peter Jenkins, Jenny Miholos, Martin Byrt, Megha and Sue Lewis.</t>
  </si>
  <si>
    <t>b22052306</t>
  </si>
  <si>
    <t>Hallet Cove Reserve</t>
  </si>
  <si>
    <t>Looking out from the Hallet Cove Reserve towards the sea, 19 April 1998.</t>
  </si>
  <si>
    <t>b22052379</t>
  </si>
  <si>
    <t>Lighthouse at Mt Lofty Summit</t>
  </si>
  <si>
    <t>The Lighthouse, standing tall in contrast to the site-seers at its base at Mt Lofty Summit, 17 May 1998.</t>
  </si>
  <si>
    <t>b22052392</t>
  </si>
  <si>
    <t>Falie at the Port Adelaide docks</t>
  </si>
  <si>
    <t>The tall ship Falie at the docks in Port Adelaide, 6 June 1998.</t>
  </si>
  <si>
    <t>Falie (Ship);Sailing Ships -- South Australia -- Port Adelaide</t>
  </si>
  <si>
    <t>b22062397</t>
  </si>
  <si>
    <t>Near Mt. Barker Railway Station</t>
  </si>
  <si>
    <t>Looking down the line, near Mt Barker Railaway Station, 8 June 1998. A researcher has added: Location is Mount Barker Junction station looking South East towards Nairne/Mt Barker.  The Victor Harbor line via Mt Barker branches off on the right.  Image is taken prior to duplication and gauge conversion.</t>
  </si>
  <si>
    <t>b22062403</t>
  </si>
  <si>
    <t>Platrform 1 at Heritage Farm</t>
  </si>
  <si>
    <t>The 'front door' Platform 1 at Heritage Farm, 8 June 1998.</t>
  </si>
  <si>
    <t>b22062609</t>
  </si>
  <si>
    <t>Platform 1 Heritage Farm Railway &amp; Liebelt House</t>
  </si>
  <si>
    <t>The owner of Platform 1 Heritage Farm standing in front of the 'smoking tree', 8 June 1998.</t>
  </si>
  <si>
    <t>b22202924</t>
  </si>
  <si>
    <t>A scene from the Platform 1 Heritage Farm with the tour train standing in the centre, 8 June 1998.</t>
  </si>
  <si>
    <t>b22202973</t>
  </si>
  <si>
    <t>Looking from the Platform 1 Heritage Farm, obove the tour train tracks towards Littlehampton, 8 June 1998.</t>
  </si>
  <si>
    <t>b22203059</t>
  </si>
  <si>
    <t>Creek near the Woodhouse Scout Campsite grounds</t>
  </si>
  <si>
    <t>Showing section of a creek near the Woodhouse Scouts Campsite in the Adelaide Hills, 8 August 1998.</t>
  </si>
  <si>
    <t>b31355778</t>
  </si>
  <si>
    <t>Sage, David, photographer</t>
  </si>
  <si>
    <t>Jane Lomax-Smith, Lord Mayor of Adelaide, at Feast Festival 1998</t>
  </si>
  <si>
    <t>1 photograph : colour   21 x 15.5 cm;RESERVE 1 b;still image sti rdacontent;unmediated n rdamedia;sheet nb rdacarrier</t>
  </si>
  <si>
    <t>Lomax-Smith, Jane Diane, 1950-;Feast Festival (1998 : Adelaide, S.A.)</t>
  </si>
  <si>
    <t>b31355821</t>
  </si>
  <si>
    <t>b31355833</t>
  </si>
  <si>
    <t>b20965266</t>
  </si>
  <si>
    <t>Dick Muelink</t>
  </si>
  <si>
    <t>[approximately 1998]</t>
  </si>
  <si>
    <t>Dick Muelink, the State Library's longtime stack attendant, on the day of his retirement.</t>
  </si>
  <si>
    <t>b20965291</t>
  </si>
  <si>
    <t>Dick Muelink's farewell</t>
  </si>
  <si>
    <t>Dick Muelink, the State Library's longtime stack attendant, on the day of his retirement, pictured with Liz Ho (left) and Valmai Hankel.</t>
  </si>
  <si>
    <t>b2096531x</t>
  </si>
  <si>
    <t>b20965618</t>
  </si>
  <si>
    <t>State Library IT staff</t>
  </si>
  <si>
    <t>Photograph  12.5 cm x 9.5 cm</t>
  </si>
  <si>
    <t>State Library IT staff at a social function (from left) Maureen Sweetman, Geoff Driver and Sharon Pearn.</t>
  </si>
  <si>
    <t>b20735418</t>
  </si>
  <si>
    <t>photograph  14.5 x 21.5 cm</t>
  </si>
  <si>
    <t>ACRE 41: Demolition work almost completed on the site of John Martins store.</t>
  </si>
  <si>
    <t>b2073542x</t>
  </si>
  <si>
    <t>b20735431</t>
  </si>
  <si>
    <t>b20735443</t>
  </si>
  <si>
    <t>ACRE 41: Scaffolding around the John Martins demolition site, looking west along North Terrace, Adelaide.</t>
  </si>
  <si>
    <t>John Martin &amp; Co;Department stores -- South Australia -- Adelaide;Scaffolding;Wrecking -- South Australia -- Adelaide</t>
  </si>
  <si>
    <t>b20735455</t>
  </si>
  <si>
    <t>ACRE 41: Looking west along North Terrace from the John Martins demolition site.</t>
  </si>
  <si>
    <t>b20735467</t>
  </si>
  <si>
    <t>ACRE 41: Demolition almost completed at the John Martins site in Adelaide, revealing the buildings on the south side of Rundle Mall.</t>
  </si>
  <si>
    <t>b20735479</t>
  </si>
  <si>
    <t>ACRE 41: Demolition almost completed at the John Martins department store site, a view taken from the northern side of North Terrace, Adelaide.</t>
  </si>
  <si>
    <t>b20739382</t>
  </si>
  <si>
    <t>Ruins of Marble Hill residence</t>
  </si>
  <si>
    <t>MARBLE HILL: The ruins of the Governor of South Australia's summer residence at Marble Hill in the Mount Lofty Ranges  the premises were built in 1879 and destroyed by bushfire in 1955.</t>
  </si>
  <si>
    <t>Marble Hill (Norton Summit, S.A. : House);Historic buildings -- South Australia -- Marble Hill;Ruins -- South Australia -- Marble Hill</t>
  </si>
  <si>
    <t>Marble Hill Collection</t>
  </si>
  <si>
    <t>b20739394</t>
  </si>
  <si>
    <t>Photograph (colour print)  10.1 cm x 15.1 cm;RESERVE 1</t>
  </si>
  <si>
    <t>MARBLE HILL: The ruins of the Governor of South Australia's summer residence at Marble Hill, Norton Summit, Mount Lofty Ranges  the premises were built in 1879 and destroyed by bushfire in 1955.</t>
  </si>
  <si>
    <t>Marble Hill (Norton Summit, S.A. : House);Historic buildings -- South Australia -- Norton Summit;Ruins -- South Australia -- Norton Summit</t>
  </si>
  <si>
    <t>b20739400</t>
  </si>
  <si>
    <t>MARBLE HILL: The ruins of the Governor of South Australia's summer residence at Marble Hill, Norton Summit, Mount Lofty Ranges, side and rear view  the premises were built in 1879 and destroyed by bushfire in 1955.</t>
  </si>
  <si>
    <t>b20739412</t>
  </si>
  <si>
    <t>MARBLE HILL: Overhead view of the ruins of the Governor of South Australia's summer residence at Marble Hill, Norton Summit, Mount Lofty Ranges, taken from the partly restored tower  the premises were built in 1879 and destroyed by bushfire in 1955.</t>
  </si>
  <si>
    <t>b20739424</t>
  </si>
  <si>
    <t>RESERVE 1;Photograph (colour print)  10 cm x 15.1 cm</t>
  </si>
  <si>
    <t>MARBLE HILL: The partly restored front entrance to the ruins of the Governor of South Australia's summer residence at Marble Hill, Norton Summit, Mount Lofty Ranges  the premises were built in 1879 and destroyed by bushfire in 1955.</t>
  </si>
  <si>
    <t>b20739436</t>
  </si>
  <si>
    <t>Photograph (colour print)  10 cm x 15.2 cm;RESERVE 1</t>
  </si>
  <si>
    <t>MARBLE HILL:Close view of the construction of the Governor of South Australia's summer residence at Marble Hill, Norton Summit, Mount Lofty Ranges  the premises were built in 1879 and destroyed by bushfire in 1955.</t>
  </si>
  <si>
    <t>b20739448</t>
  </si>
  <si>
    <t>Scenery from Marble Hill, Norton Summit</t>
  </si>
  <si>
    <t>MARBLE HILL: A scenic view taken from Marble Hill showing the northern Adelaide area in the distance.</t>
  </si>
  <si>
    <t>Marble Hill (Norton Summit, S.A. : House)</t>
  </si>
  <si>
    <t>b2073945x</t>
  </si>
  <si>
    <t>Scenic view from Marble Hill to Mount Lofty</t>
  </si>
  <si>
    <t>MARBLE HILL: Looking towards Mount Lofty from Marble Hill at Norton Summit in the Mount Lofty Ranges, South Australia  this view was taken from the partially restored tower of the Governor of South Australia's summer residence at Marble Hill which was destroyed by a bushfire in 1955.</t>
  </si>
  <si>
    <t>Lofty, Mount, Ranges (S.A.);Marble Hill (Norton Summit, S.A. : House)</t>
  </si>
  <si>
    <t>b20739461</t>
  </si>
  <si>
    <t>Cemetery at Norton Summit</t>
  </si>
  <si>
    <t>NORTON SUMMIT: Part of the cemetery at Norton Summit, South Australia.</t>
  </si>
  <si>
    <t>Cemeteries -- South Australia -- Norton Summit;Sepulchral monuments -- South Australia -- Norton Summit</t>
  </si>
  <si>
    <t>Norton Summit Collection</t>
  </si>
  <si>
    <t>b20739473</t>
  </si>
  <si>
    <t>Photograph (colour print)  10.1 cm x 15.2 cm;RESERVE 1</t>
  </si>
  <si>
    <t>NORTON SUMMIT: Partial view of the cemetery at Norton Summit, South Australia.</t>
  </si>
  <si>
    <t>b2074030x</t>
  </si>
  <si>
    <t>Elizabeth Ho at her farewell function</t>
  </si>
  <si>
    <t>PORTRAIT: Elizabeth Ho, Associate Director, Library and Information Services at the State Library of South Australia, photographed receiving gifts during her farewell function before her secondment to the Hawke Centre, University of South Australia.</t>
  </si>
  <si>
    <t>Ho, Elizabeth F. (Elizabeth Francesca);Librarians -- South Australia -- Adelaide</t>
  </si>
  <si>
    <t>b20744869</t>
  </si>
  <si>
    <t>Renovation work on the Museum in Adelaide</t>
  </si>
  <si>
    <t>MUSEUM: Renovation work in progress on the South Australian Museum in Adelaide, November 1999.</t>
  </si>
  <si>
    <t>South Australian Museum;Buildings -- South Australia -- Adelaide -- Repair and reconstruction;Historic buildings -- South Australia -- Adelaide -- Conservation and restoration</t>
  </si>
  <si>
    <t>Adelaide Views Collection;Museum Collection</t>
  </si>
  <si>
    <t>b20744870</t>
  </si>
  <si>
    <t>MUSEUM: Renovation and reconstruction work in progress on the South Australian Museum in Adelaide, November 1999: view two.</t>
  </si>
  <si>
    <t>b20744882</t>
  </si>
  <si>
    <t>MUSEUM: Renovation and reconstruction work in progress on the South Australian Museum in Adelaide, November 1999: view three.</t>
  </si>
  <si>
    <t>b20744894</t>
  </si>
  <si>
    <t>Barbara Hanrahan Community Tapestry</t>
  </si>
  <si>
    <t>Photograph (colour print)  9.8 cm x 15 cm;RESERVE 1</t>
  </si>
  <si>
    <t>PUBLIC LIBRARY: Teresa Aldersey (front) and Kay Lawrence, working on the Barbara Hanrahan Community Tapestry set up in the front foyer of the State Library of South Australia.</t>
  </si>
  <si>
    <t>Hanrahan, Barbara, 1939-1991;Lawrence, Kay;Aldersey, Teresa;Tapestry</t>
  </si>
  <si>
    <t>b20744900</t>
  </si>
  <si>
    <t>PUBLIC LIBRARY: Kay Lawrence (left) and Teresa Aldersey, working on the Barbara Hanrahan Community Tapestry set up in the foyer of the State Library of South Australia.</t>
  </si>
  <si>
    <t>Lawrence, Kay;Hanrahan, Barbara, 1939-1991;Tapestry;Aldersey, Teresa</t>
  </si>
  <si>
    <t>b2074495x</t>
  </si>
  <si>
    <t>Aldersey, Teresa;Lawrence, Kay;Hanrahan, Barbara, 1939-1991;Tapestry</t>
  </si>
  <si>
    <t>b20744961</t>
  </si>
  <si>
    <t>Construction of the new David Jones building</t>
  </si>
  <si>
    <t>ACRE 41:Construction of the new David Jones building in progress on North Terrace, Adelaide, November 1999.</t>
  </si>
  <si>
    <t>David Jones (Adelaide) Ltd;Building sites -- South Australia -- Adelaide;Department stores -- South Australia -- Adelaide</t>
  </si>
  <si>
    <t>b20744973</t>
  </si>
  <si>
    <t>ACRE 41: Construction of the new David Jones building in progress on North Terrace, Adelaide, November 1999.</t>
  </si>
  <si>
    <t>b20744997</t>
  </si>
  <si>
    <t>Redevelopment of the Museum in Adelaide</t>
  </si>
  <si>
    <t>Photograph (colour print)  9.6 cm x 12.2 cm</t>
  </si>
  <si>
    <t>MUSEUM: Earth moving equipment used during the redevelopment of the Museum in Adelaide, July 14 1999.</t>
  </si>
  <si>
    <t>South Australian Museum;Buildings -- South Australia -- Adelaide -- Repair and reconstruction;Historic buildings -- South Australia -- Adelaide -- Conservation and restoration;Building sites -- South Australia -- Adelaide</t>
  </si>
  <si>
    <t>Museum Collection;Adelaide Views Collection</t>
  </si>
  <si>
    <t>b2074500x</t>
  </si>
  <si>
    <t>Photograph (colour print)  15 cm x 10 cm</t>
  </si>
  <si>
    <t>MUSEUM: Reinforcing rods used during renovation work piled up outside the old wing of the South Australian Museum in Adelaide, July 14 1999.</t>
  </si>
  <si>
    <t>b20745011</t>
  </si>
  <si>
    <t>MUSEUM: Temporary buildings and screening used during the redevelopment of the South Australian Museum in Adelaide.</t>
  </si>
  <si>
    <t>South Australian Museum;Building sites -- South Australia -- Adelaide;Buildings -- South Australia -- Adelaide -- Repair and reconstruction;Historic buildings -- South Australia -- Adelaide -- Conservation and restoration</t>
  </si>
  <si>
    <t>b20745023</t>
  </si>
  <si>
    <t>Photograph (colour print)  9.9 cm x 15.1 cm;RESERVE 1</t>
  </si>
  <si>
    <t>MUSEUM: Temporary buildings and screening used during the redevelopment of the South Australian Museum, Adelaide.</t>
  </si>
  <si>
    <t>b20745035</t>
  </si>
  <si>
    <t>MUSEUM: Construction work in progress during the redevelopment of the South Australian Museum in Adelaide.</t>
  </si>
  <si>
    <t>b20745047</t>
  </si>
  <si>
    <t>MUSEUM: Construction work in progress during the redevelopment of the South Australian Museum, Adelaide.</t>
  </si>
  <si>
    <t>b20745059</t>
  </si>
  <si>
    <t>MUSEUM: Foundations being laid for an extension during the redevelopment of the South Australian Museum in Adelaide.</t>
  </si>
  <si>
    <t>b20745060</t>
  </si>
  <si>
    <t>MUSEUM: Reconstruction work in progress during the redevelopment of the South Australian Museum in Adelaide.</t>
  </si>
  <si>
    <t>b20745072</t>
  </si>
  <si>
    <t>Photograph (colour print)  9.9 cm x 15 cm;RESERVE 1</t>
  </si>
  <si>
    <t>ACRE 41: Construction of the new David Jones building in progress on North Terrace, Adelaide  a view taken from outside the South Australian Museum.</t>
  </si>
  <si>
    <t>b20745096</t>
  </si>
  <si>
    <t>ACRE 41: Construction of the new David Jones building in progress on North Terrace, Adelaide.</t>
  </si>
  <si>
    <t>David Jones (Adelaide) Ltd;Department stores -- South Australia -- Adelaide;Building sites -- South Australia -- Adelaide</t>
  </si>
  <si>
    <t>b20745102</t>
  </si>
  <si>
    <t>b20745114</t>
  </si>
  <si>
    <t>Redevelopment work on the Museum in Adelaide</t>
  </si>
  <si>
    <t>MUSEUM: Renovation work in progress during the redevelopment of the South Australian Museum in Adelaide.</t>
  </si>
  <si>
    <t>b20746441</t>
  </si>
  <si>
    <t>PUBLIC LIBRARY: The ramp leading up to the front entrance of the State Library of South Australia, North Terrace, Adelaide.</t>
  </si>
  <si>
    <t>State Library of South Australia;Libraries -- South Australia -- Adelaide</t>
  </si>
  <si>
    <t>b20746453</t>
  </si>
  <si>
    <t>PUBLIC LIBRARY: The ramp leading up to the entrance of the State Library of South Australia, North Terrace, Adelaide: view 2.</t>
  </si>
  <si>
    <t>b20746465</t>
  </si>
  <si>
    <t>b20746477</t>
  </si>
  <si>
    <t>b20746489</t>
  </si>
  <si>
    <t>MUSEUM: Fencing and earth moving equipment used during the redevelopment of the South Australian Museum in Adelaide.</t>
  </si>
  <si>
    <t>South Australian Museum;Building sites -- South Australia -- Adelaide;Historic buildings -- South Australia -- Adelaide -- Conservation and restoration;Buildings -- South Australia -- Adelaide -- Repair and reconstruction</t>
  </si>
  <si>
    <t>b20746490</t>
  </si>
  <si>
    <t>MUSEUM: Hoardings and a temporary building used during the redevelopment of the South Australian Museum in Adelaide.</t>
  </si>
  <si>
    <t>b20746507</t>
  </si>
  <si>
    <t>Photograph (colour print)   9.9 cm x 15.1 cm;RESERVE 1</t>
  </si>
  <si>
    <t>MUSEUM: Work progressing on the redevelopment of the South Australian Museum in Adelaide, with a close view of the Bonython fountain in the foreground.</t>
  </si>
  <si>
    <t>South Australian Museum;Building sites -- South Australia -- Adelaide;Buildings -- South Australia -- Adelaide -- Conservation and restoration;Historic buildings -- South Australia -- Adelaide -- Conservation and restoration;Fountains -- South Australia -- Adelaide</t>
  </si>
  <si>
    <t>b20746519</t>
  </si>
  <si>
    <t>MUSEUM: Hoardings and a portable building used during the redevelopment of the South Australian Museum in Adelaide.</t>
  </si>
  <si>
    <t>b20746520</t>
  </si>
  <si>
    <t>MUSEUM: A portable building used during the redevelopment of the South Australian Museum in Adelaide.</t>
  </si>
  <si>
    <t>South Australian Museum;Buildings -- South Australia -- Adelaide -- Repair and reconstruction;Building sites -- South Australia -- Adelaide;Historic buildings -- South Australia -- Adelaide -- Conservation and restoration</t>
  </si>
  <si>
    <t>b20746672</t>
  </si>
  <si>
    <t>St. Kilda mangrove trail</t>
  </si>
  <si>
    <t>ST. KILDA: A sign at the beginning of the St. Kilda mangrove trail explaining about the boardwalk and when it was established.</t>
  </si>
  <si>
    <t>Pedestrian areas -- South Australia -- St. Kilda;Signs and signboards -- South Australia -- St. Kilda;Nature trails -- South Australia -- St. Kilda;Mangrove swamps -- South Australia -- St. Kilda</t>
  </si>
  <si>
    <t>St. Kilda Collection</t>
  </si>
  <si>
    <t>b20746684</t>
  </si>
  <si>
    <t>Sign at the St. Kilda mangrove trail</t>
  </si>
  <si>
    <t>ST. KILDA: A native flora information sign erected on the mangrove trail at St. Kilda, South Australia.</t>
  </si>
  <si>
    <t>Signs and signboards -- South Australia -- St. Kilda;Nature trails -- South Australia -- St. Kilda;Pedestrian areas -- South Australia -- St. Kilda;Mangrove swamps -- South Australia -- St. Kilda</t>
  </si>
  <si>
    <t>b20746696</t>
  </si>
  <si>
    <t>ST. KILDA: The first section of the mangrove trail at St. Kilda, South Australia.</t>
  </si>
  <si>
    <t>Pedestrian areas -- South Australia -- St. Kilda;Nature trails -- South Australia -- St. Kilda;Mangrove swamps -- South Australia -- St. Kilda</t>
  </si>
  <si>
    <t>b20746702</t>
  </si>
  <si>
    <t>ST. KILDA: An information hut containing exhibits on the mangrove trail at St. Kilda, South Australia.</t>
  </si>
  <si>
    <t>Pedestrian areas -- South Australia -- St. Kilda;Mangrove swamps -- South Australia -- St. Kilda;Nature trails -- South Australia -- St. Kilda</t>
  </si>
  <si>
    <t>b20746714</t>
  </si>
  <si>
    <t>St. Kilda Tram Museum</t>
  </si>
  <si>
    <t>ST. KILDA: Part of the tram track which is part of the Tram Museum at St. Kilda, South Australia.</t>
  </si>
  <si>
    <t>Street-railroads -- South Australia -- St. Kilda</t>
  </si>
  <si>
    <t>b20746726</t>
  </si>
  <si>
    <t>ST. KILDA: Tram track which is part of the Tram Museum at St. Kilda, South Australia.</t>
  </si>
  <si>
    <t>b20746738</t>
  </si>
  <si>
    <t>Water channel at St. Kilda</t>
  </si>
  <si>
    <t>ST. KILDA: A man made water channel in the mangrove swamps at St. Kilda, South Australia.</t>
  </si>
  <si>
    <t>Water-supply -- South Australia -- St. Kilda.;Mangrove swamps -- South Australia -- St. Kilda.</t>
  </si>
  <si>
    <t>b2074674x</t>
  </si>
  <si>
    <t>Ship at St. Kilda playground</t>
  </si>
  <si>
    <t>ST. KILDA: A beached ship which is for use as part of the playground at St. Kilda, South Australia.</t>
  </si>
  <si>
    <t>Recreation areas -- South Australia -- St. Kilda</t>
  </si>
  <si>
    <t>b20746751</t>
  </si>
  <si>
    <t>A cargo ship leaving Outer Harbor</t>
  </si>
  <si>
    <t>OUTER HARBOR: The cargo ship 'River Torrens' leaving Outer Harbor, South Australia.</t>
  </si>
  <si>
    <t>River Torrens (Ship);Cargo ships -- South Australia -- Outer Harbor</t>
  </si>
  <si>
    <t>b20746763</t>
  </si>
  <si>
    <t>OUTER HARBOR: The cargo ship 'River Torrens' leaving the wharf at Outer Harbor, South Australia  a pilot boat can be seen in the foreground.</t>
  </si>
  <si>
    <t>River Torrens (Ship);Pilot boats -- South Australia -- Outer Harbor;Cargo ships -- South Australia -- Outer Harbor</t>
  </si>
  <si>
    <t>b20746787</t>
  </si>
  <si>
    <t>Torrens Island power station</t>
  </si>
  <si>
    <t>TORRENS ISLAND: A distant view of the Torrens Island power station, taken from across the Port River.</t>
  </si>
  <si>
    <t>Torrens Island Power Station;Electric power-plants -- South Australia -- Torrens Island</t>
  </si>
  <si>
    <t>Torrens Island Collection</t>
  </si>
  <si>
    <t>b20746799</t>
  </si>
  <si>
    <t>Oakbank Racing Carnival</t>
  </si>
  <si>
    <t>OAKBANK: Horses in the parade ring at the racing carnival held at Oakbank, South Australia.</t>
  </si>
  <si>
    <t>Race horses -- South Australia -- Oakbank;Horse racing -- South Australia -- Oakbank</t>
  </si>
  <si>
    <t>b20746805</t>
  </si>
  <si>
    <t>Horse racing -- South Australia -- Oakbank;Race horses -- South Australia -- Oakbank</t>
  </si>
  <si>
    <t>b20746817</t>
  </si>
  <si>
    <t>OAKBANK: A distant view of spectators and a horse drawn wagon loaded with beer barrels along side the race track at the horse racing carnival held at Oakbank, South Australia.</t>
  </si>
  <si>
    <t>Horse racing -- South Australia -- Oakbank</t>
  </si>
  <si>
    <t>b20746829</t>
  </si>
  <si>
    <t>OAKBANK: A small statue of a jockey erected near garden beds photographed at the racing carnival held at Oakbank, South Australia.</t>
  </si>
  <si>
    <t>Jockeys -- South Australia -- Oakbank;Statues -- South Australia -- Oakbank</t>
  </si>
  <si>
    <t>b20746830</t>
  </si>
  <si>
    <t>OAKBANK: Racegoers standing in front of the grandstand during the horse racing carnival held at Oakbank, South Australia.</t>
  </si>
  <si>
    <t>Grandstands -- South Australia -- Oakbank;Horse racing -- South Australia -- Oakbank</t>
  </si>
  <si>
    <t>b20746842</t>
  </si>
  <si>
    <t>OAKBANK: Race horses being ridden on the track before a race at a racing carnival held at Oakbank, South Australia.</t>
  </si>
  <si>
    <t>b20746854</t>
  </si>
  <si>
    <t>OAKBANK: Spectators watching a horse race from the grandstand at a racing carnival held at Oakbank, South Australia.</t>
  </si>
  <si>
    <t>b20746866</t>
  </si>
  <si>
    <t>Photograph (b&amp;w print)  10 cm x 15 cm;RESERVE 1</t>
  </si>
  <si>
    <t>OAKBANK: Spectators watching a horse race at a racing carnival held at Oakbank, South Australia.</t>
  </si>
  <si>
    <t>Crowds -- South Australia -- Oakbank;Horse racing -- South Australia -- Oakbank</t>
  </si>
  <si>
    <t>b20746878</t>
  </si>
  <si>
    <t>OAKBANK: A brass band playing during the racing carnival held at Oakbank, South Australia.</t>
  </si>
  <si>
    <t>Horse racing -- South Australia -- Oakbank;Brass bands -- South Australia -- Oakbank</t>
  </si>
  <si>
    <t>b2074688x</t>
  </si>
  <si>
    <t>Country Fire Service vehicles</t>
  </si>
  <si>
    <t>GENERAL: Two Country Fire Service vehicles, one from Woodside, left, and one from Oakbank/Balhannah.</t>
  </si>
  <si>
    <t>South Australia. Country Fire Services;Fire engines -- South Australia</t>
  </si>
  <si>
    <t>b22035187</t>
  </si>
  <si>
    <t>A kangaroo on a pet kangaroo farm in Coonalpyn</t>
  </si>
  <si>
    <t>A Kangaroo under a shady tree on a pet kangaroo farm outside the town of Coonalpyn, 1 January 1999.</t>
  </si>
  <si>
    <t>b22035205</t>
  </si>
  <si>
    <t>A pet emu on farmland, 'Cold and Wet' in Coonalpyn</t>
  </si>
  <si>
    <t>A pet emu on a farm outside the town of Coonalpyn, 1 January 1999.</t>
  </si>
  <si>
    <t>b22035217</t>
  </si>
  <si>
    <t>Shearing sheds on the 'Cold and Wet' farm in Coonalpyn</t>
  </si>
  <si>
    <t>A view of some shearing sheds and trees on 'Cold and Wet' farm outside the town of Coonalpyn, 1 January 1999.</t>
  </si>
  <si>
    <t>b22038188</t>
  </si>
  <si>
    <t>Part of the old house on 'Cold and Wet' farm in Coonalpyn</t>
  </si>
  <si>
    <t>Showing part of the old house on 'Cold and Wet' farm outside the town of Coonalpyn, 1 January 1999.</t>
  </si>
  <si>
    <t>b22203175</t>
  </si>
  <si>
    <t>Cold &amp; Wet, a property in Coonalpyn</t>
  </si>
  <si>
    <t>Letterbox with the signage for the property called Cold &amp; Wet outside the town of Coonalpyn, 1 January 1999.</t>
  </si>
  <si>
    <t>b22203242</t>
  </si>
  <si>
    <t>Cox Creek</t>
  </si>
  <si>
    <t>Cox Creek in this bushland setting near Bridgewater, 16 May 1999.</t>
  </si>
  <si>
    <t>b2220328x</t>
  </si>
  <si>
    <t>Cox Creek flowing by the Woodhouse Scouts camping grounds near Bridgewater, 16 May 1999.</t>
  </si>
  <si>
    <t>b22203369</t>
  </si>
  <si>
    <t>Woodhouse Scouts Camping Grounds</t>
  </si>
  <si>
    <t>Some tents visible in the shady areas of the Woodhouse Scouts camping grounds near Bridgewater, 16 May 1999.</t>
  </si>
  <si>
    <t>b3133989x</t>
  </si>
  <si>
    <t>Telstra Gay and Lesbian Community Awards</t>
  </si>
  <si>
    <t>1999 October 15</t>
  </si>
  <si>
    <t>1 photograph : colour   15 x 10 cm;RESERVE 1 a;still image sti rdacontent;unmediated n rdamedia;sheet nb rdacarrier</t>
  </si>
  <si>
    <t>Telstra Gay and Lesbian Community Awards held in the Banquet Room at the Adelaide Festival Centre, 15 October 1999.</t>
  </si>
  <si>
    <t>Adelaide Festival Centre Banquet Room;Award presentations -- South Australia -- Adelaide;Gay community -- South Australia -- Adelaide;Lesbian community -- South Australia -- Adelaide</t>
  </si>
  <si>
    <t>b31340131</t>
  </si>
  <si>
    <t>b31340143</t>
  </si>
  <si>
    <t>b31340155</t>
  </si>
  <si>
    <t>b31340167</t>
  </si>
  <si>
    <t>b31340179</t>
  </si>
  <si>
    <t>b31340180</t>
  </si>
  <si>
    <t>b31340192</t>
  </si>
  <si>
    <t>b31340209</t>
  </si>
  <si>
    <t>b31340210</t>
  </si>
  <si>
    <t>b31340222</t>
  </si>
  <si>
    <t>b31340234</t>
  </si>
  <si>
    <t>b31340246</t>
  </si>
  <si>
    <t>Adelaide Festival Centre Banquet Room;Royal, Simon Leith, 1963-;Award presentations -- South Australia -- Adelaide;Gay community -- South Australia -- Adelaide;Lesbian community -- South Australia -- Adelaide</t>
  </si>
  <si>
    <t>b31340258</t>
  </si>
  <si>
    <t>Royal, Simon Leith, 1963-;Adelaide Festival Centre Banquet Room;Award presentations -- South Australia -- Adelaide;Gay community -- South Australia -- Adelaide;Lesbian community -- South Australia -- Adelaide</t>
  </si>
  <si>
    <t>b3134026x</t>
  </si>
  <si>
    <t>b31340271</t>
  </si>
  <si>
    <t>b31340283</t>
  </si>
  <si>
    <t>Telstra Gay and Lesbian Community Awards held in the Banquet Room at the Adelaide Festival Centre, 15 October 1999. Julie Mitchell receiving the 'Sports Award - Individual'.</t>
  </si>
  <si>
    <t>Mitchell, Julie;Adelaide Festival Centre Banquet Room;Award presentations -- South Australia -- Adelaide;Gay community -- South Australia -- Adelaide;Lesbian community -- South Australia -- Adelaide</t>
  </si>
  <si>
    <t>b31340295</t>
  </si>
  <si>
    <t>Telstra Gay and Lesbian Community Awards held in the Banquet Room at the Adelaide Festival Centre, 15 October 1999. Members of Team Adelaide receiving the 'Sports Award - Group'</t>
  </si>
  <si>
    <t>b31340301</t>
  </si>
  <si>
    <t>b31340313</t>
  </si>
  <si>
    <t>b31340325</t>
  </si>
  <si>
    <t>b31340337</t>
  </si>
  <si>
    <t>b31340349</t>
  </si>
  <si>
    <t>Telstra Gay and Lesbian Community Awards held in the Banquet Room at the Adelaide Festival Centre, 15 October 1999. Queer of the Year - Male, Roderick Dahl.</t>
  </si>
  <si>
    <t>Dahl, Roderick;Adelaide Festival Centre Banquet Room;Award presentations -- South Australia -- Adelaide;Gay community -- South Australia -- Adelaide;Lesbian community -- South Australia -- Adelaide</t>
  </si>
  <si>
    <t>b31340350</t>
  </si>
  <si>
    <t>b31340362</t>
  </si>
  <si>
    <t>Telstra Gay and Lesbian Community Awards held in the Banquet Room at the Adelaide Festival Centre, 15 October 1999. Steven Cheng presenting Mary Lou Byrnes with the Don Dunstan Lifetime Achievement Award.</t>
  </si>
  <si>
    <t>Byrnes, Mary Lou;Cheng, Steven;Adelaide Festival Centre Banquet Room;Award presentations -- South Australia -- Adelaide;Gay community -- South Australia -- Adelaide;Lesbian community -- South Australia -- Adelaide</t>
  </si>
  <si>
    <t>b31340374</t>
  </si>
  <si>
    <t>Telstra Gay and Lesbian Community Awards held in the Banquet Room at the Adelaide Festival Centre, 15 October 1999. Mary Lou Byrnes receiving the Don Dunstan Lifetime Achievement Award.</t>
  </si>
  <si>
    <t>Byrnes, Mary Lou;Adelaide Festival Centre Banquet Room;Award presentations -- South Australia -- Adelaide;Gay community -- South Australia -- Adelaide;Lesbian community -- South Australia -- Adelaide</t>
  </si>
  <si>
    <t>b31340386</t>
  </si>
  <si>
    <t>b31340398</t>
  </si>
  <si>
    <t>b31340404</t>
  </si>
  <si>
    <t>b31340428</t>
  </si>
  <si>
    <t>b3134043x</t>
  </si>
  <si>
    <t>b31340441</t>
  </si>
  <si>
    <t>Stott Despoja, Natasha, 1969-;Adelaide Festival Centre Banquet Room;Award presentations -- South Australia -- Adelaide;Gay community -- South Australia -- Adelaide;Lesbian community -- South Australia -- Adelaide</t>
  </si>
  <si>
    <t>b31340453</t>
  </si>
  <si>
    <t>b31340465</t>
  </si>
  <si>
    <t>b31340477</t>
  </si>
  <si>
    <t>b31340490</t>
  </si>
  <si>
    <t>b31340507</t>
  </si>
  <si>
    <t>Harris, Samela;Adelaide Festival Centre Banquet Room;Award presentations -- South Australia -- Adelaide;Gay community -- South Australia -- Adelaide;Lesbian community -- South Australia -- Adelaide</t>
  </si>
  <si>
    <t>b31340519</t>
  </si>
  <si>
    <t>b31340520</t>
  </si>
  <si>
    <t>Telstra Gay and Lesbian Community Awards held in the Banquet Room at the Adelaide Festival Centre, 15 October 1999. Jack O'Connor with his Media - Individual Award.</t>
  </si>
  <si>
    <t>O'Connor, Jack;Adelaide Festival Centre Banquet Room;Award presentations -- South Australia -- Adelaide;Gay community -- South Australia -- Adelaide;Lesbian community -- South Australia -- Adelaide</t>
  </si>
  <si>
    <t>b31340532</t>
  </si>
  <si>
    <t>Telstra Gay and Lesbian Community Awards held in the Banquet Room at the Adelaide Festival Centre, 15 October 1999. Journalist, Samela Harris, presents the Media - Individual Award to Jack O'Connor.</t>
  </si>
  <si>
    <t>Harris, Samela;O'Connor, Jack;Adelaide Festival Centre Banquet Room;Award presentations -- South Australia -- Adelaide;Gay community -- South Australia -- Adelaide;Lesbian community -- South Australia -- Adelaide</t>
  </si>
  <si>
    <t>b31340556</t>
  </si>
  <si>
    <t>b31340568</t>
  </si>
  <si>
    <t>b3134057x</t>
  </si>
  <si>
    <t>b31340581</t>
  </si>
  <si>
    <t>b31340593</t>
  </si>
  <si>
    <t>b3134060x</t>
  </si>
  <si>
    <t>b31340623</t>
  </si>
  <si>
    <t>b31340635</t>
  </si>
  <si>
    <t>b31340647</t>
  </si>
  <si>
    <t>b31340659</t>
  </si>
  <si>
    <t>b31340660</t>
  </si>
  <si>
    <t>b31342309</t>
  </si>
  <si>
    <t>b31342346</t>
  </si>
  <si>
    <t>b31342358</t>
  </si>
  <si>
    <t>b3134236x</t>
  </si>
  <si>
    <t>b31342371</t>
  </si>
  <si>
    <t>Telstra Gay and Lesbian Community Awards held in the Banquet Room at the Adelaide Festival Centre, 15 October 1999. Recipient of the Care and Support Award, Leona Fitzgerald.</t>
  </si>
  <si>
    <t>Fitzgerald, Leona;Adelaide Festival Centre Banquet Room;Award presentations -- South Australia -- Adelaide;Gay community -- South Australia -- Adelaide;Lesbian community -- South Australia -- Adelaide</t>
  </si>
  <si>
    <t>b31342395</t>
  </si>
  <si>
    <t>b31342401</t>
  </si>
  <si>
    <t>b31342413</t>
  </si>
  <si>
    <t>b31342425</t>
  </si>
  <si>
    <t>b31342437</t>
  </si>
  <si>
    <t>Harris, Samela;Matthews, Linda;Stott Despoja, Natasha, 1969-;Adelaide Festival Centre Banquet Room;Award presentations -- South Australia -- Adelaide;Gay community -- South Australia -- Adelaide;Lesbian community -- South Australia -- Adelaide</t>
  </si>
  <si>
    <t>b31342449</t>
  </si>
  <si>
    <t>b31342450</t>
  </si>
  <si>
    <t>Lempens, Robert;Stott Despoja, Natasha, 1969-;Adelaide Festival Centre Banquet Room;Award presentations -- South Australia -- Adelaide;Gay community -- South Australia -- Adelaide;Lesbian community -- South Australia -- Adelaide</t>
  </si>
  <si>
    <t>b31342462</t>
  </si>
  <si>
    <t>b31342474</t>
  </si>
  <si>
    <t>b31342486</t>
  </si>
  <si>
    <t>b31342498</t>
  </si>
  <si>
    <t>b31342504</t>
  </si>
  <si>
    <t>b31342516</t>
  </si>
  <si>
    <t>Fischer, Margaret, 1952-;Adelaide Festival Centre Banquet Room;Award presentations -- South Australia -- Adelaide;Gay community -- South Australia -- Adelaide;Lesbian community -- South Australia -- Adelaide</t>
  </si>
  <si>
    <t>b31342528</t>
  </si>
  <si>
    <t>b3134253x</t>
  </si>
  <si>
    <t>Matthews, Linda;Adelaide Festival Centre Banquet Room;Award presentations -- South Australia -- Adelaide;Gay community -- South Australia -- Adelaide;Lesbian community -- South Australia -- Adelaide</t>
  </si>
  <si>
    <t>b31352182</t>
  </si>
  <si>
    <t>b31352194</t>
  </si>
  <si>
    <t>b31352200</t>
  </si>
  <si>
    <t>b31352212</t>
  </si>
  <si>
    <t>b31352236</t>
  </si>
  <si>
    <t>b31352248</t>
  </si>
  <si>
    <t>Telstra Gay and Lesbian Community Awards held in the Banquet Room at the Adelaide Festival Centre, 15 October 1999. Roger 'Rouge' Shepard, recipient of the Hall of Fame Award.</t>
  </si>
  <si>
    <t>Shepard, Roger;Adelaide Festival Centre Banquet Room;Award presentations -- South Australia -- Adelaide;Gay community -- South Australia -- Adelaide;Lesbian community -- South Australia -- Adelaide</t>
  </si>
  <si>
    <t>b3135225x</t>
  </si>
  <si>
    <t>b31352261</t>
  </si>
  <si>
    <t>b31352273</t>
  </si>
  <si>
    <t>b31352285</t>
  </si>
  <si>
    <t>Telstra Gay and Lesbian Community Awards held in the Banquet Room at the Adelaide Festival Centre, 15 October 1999. Recipient of the Arts Award - Individual, DJ Josh.</t>
  </si>
  <si>
    <t>b31352297</t>
  </si>
  <si>
    <t>b31352303</t>
  </si>
  <si>
    <t>b31352315</t>
  </si>
  <si>
    <t>b31352327</t>
  </si>
  <si>
    <t>b31352339</t>
  </si>
  <si>
    <t>b31352340</t>
  </si>
  <si>
    <t>b31352352</t>
  </si>
  <si>
    <t>b31352364</t>
  </si>
  <si>
    <t>b31352376</t>
  </si>
  <si>
    <t>b3135239x</t>
  </si>
  <si>
    <t>b31352406</t>
  </si>
  <si>
    <t>b31352418</t>
  </si>
  <si>
    <t>b3135242x</t>
  </si>
  <si>
    <t>b31352431</t>
  </si>
  <si>
    <t>b31352455</t>
  </si>
  <si>
    <t>b31352467</t>
  </si>
  <si>
    <t>b31352479</t>
  </si>
  <si>
    <t>b31352480</t>
  </si>
  <si>
    <t>b31352492</t>
  </si>
  <si>
    <t>b31352509</t>
  </si>
  <si>
    <t>b31352662</t>
  </si>
  <si>
    <t>b31352686</t>
  </si>
  <si>
    <t>b31352716</t>
  </si>
  <si>
    <t>b31352790</t>
  </si>
  <si>
    <t>b31352807</t>
  </si>
  <si>
    <t>b31352819</t>
  </si>
  <si>
    <t>b31352820</t>
  </si>
  <si>
    <t>b31352832</t>
  </si>
  <si>
    <t>b31352844</t>
  </si>
  <si>
    <t>b31352881</t>
  </si>
  <si>
    <t>b31352893</t>
  </si>
  <si>
    <t>b3135290x</t>
  </si>
  <si>
    <t>b31352911</t>
  </si>
  <si>
    <t>b31352923</t>
  </si>
  <si>
    <t>b20744092</t>
  </si>
  <si>
    <t>Storybook characters for the Adelaide Fringe Festival</t>
  </si>
  <si>
    <t>photograph  21.5 x 14 cm</t>
  </si>
  <si>
    <t>PUBLIC LIBRARY: Staff from the State Library of South Australia wearing storybook character costume for the Adelaide Fringe Festival opening parade held in Adelaide, February 2000.</t>
  </si>
  <si>
    <t>Adelaide Fringe Festival (2000);State Library of South Australia -- Officials and employees;Costume -- South Australia -- Adelaide;Librarians -- South Australia -- Adelaide;Festivals -- South Australia -- Adelaide</t>
  </si>
  <si>
    <t>b20744109</t>
  </si>
  <si>
    <t>Storybook characters for the Festival Fringe</t>
  </si>
  <si>
    <t>PUBLIC LIBRARY: Staff dressed as storybook characters for the Festival Fringe opening parade leaving the State Library for the event  left to right: Sue Lewis, French sailor  Sue Lear, Mary Poppins  Sue Ward and daughter, 101 Dalmatians  Sean Abel, Ginger Meggs  Cheryl Edwards, the White Witch  Anna Angelakis, the Sea Queen.</t>
  </si>
  <si>
    <t>State Library of South Australia -- Officials and employees;Adelaide Fringe Festival;Costume -- South Australia -- Adelaide;Librarians -- South Australia -- Adelaide;Festivals -- South Australia -- Adelaide</t>
  </si>
  <si>
    <t>b20744110</t>
  </si>
  <si>
    <t>photograph  21.5 x 14.5 cm</t>
  </si>
  <si>
    <t>PUBLIC LIBRARY:  Juliana Bayfield, Manager of the Children's Literature Research Collection, dressed as the 'Magic Pudding' and Anthony Laube, Serials Librarian in the Published Heritage Collections at the State Library, dressed as the 'Magic Pudding Thief' for the Festival Fringe opening parade held in Adelaide, February 2000.</t>
  </si>
  <si>
    <t>Laube, Anthony;Bayfield, Juliana, 1938-2011;Adelaide Fringe Festival (2000);State Library of South Australia -- Officials and employees;Costume -- South Australia -- Adelaide;Librarians -- South Australia -- Adelaide;Festivals -- South Australia -- Adelaide</t>
  </si>
  <si>
    <t>b20744122</t>
  </si>
  <si>
    <t>photograph  21.5 x 15.5 cm</t>
  </si>
  <si>
    <t>PUBLIC LIBRARY: Anne Burrows, Manager of the Published Heritage Collections at the State Library, dressed as 'Raggedy Ann' for the Festival Fringe opening parade held in Adelaide, February 2000.</t>
  </si>
  <si>
    <t>Burrows, Anne, 1953-;Adelaide Fringe Festival (2000);State Library of South Australia -- Officials and employees;Costume -- South Australia -- Adelaide;Librarians -- South Australia -- Adelaide;Festivals -- South Australia -- Adelaide</t>
  </si>
  <si>
    <t>b20744134</t>
  </si>
  <si>
    <t>PUBLIC LIBRARY: Three members of the State Library staff which include, left to right: Michael Talbot, Manager, Policy and Research, dressed as 'Dracula', Sue Lewis, Associate Director, Library and Information Services, dressed as a 'French sailor', and Carol Rowntree of the Collection Development team dressed as a collection of compact discs, waiting for the Festival Fringe opening parade to begin in Adelaide, February 2000.</t>
  </si>
  <si>
    <t>Rowntree, Carol;Talbot, Michael, 1951-;Lewis, Sue;Adelaide Fringe Festival (2000);State Library of South Australia -- Officials and employees;Costume -- South Australia -- Adelaide;Librarians -- South Australia -- Adelaide;Festivals -- South Australia -- Adelaide</t>
  </si>
  <si>
    <t>b20746544</t>
  </si>
  <si>
    <t>Glacial rock at Hallett Cove</t>
  </si>
  <si>
    <t>HALLETT COVE: Glacial rock on the beach at Hallett Cove, South Australia.</t>
  </si>
  <si>
    <t>Beaches -- South Australia -- Hallett Cove;Coasts -- South Australia -- Hallett Cove;Rocks -- South Australia -- Hallett Cove</t>
  </si>
  <si>
    <t>b20746556</t>
  </si>
  <si>
    <t>The 'sugarloaf' at Hallett Cove</t>
  </si>
  <si>
    <t>HALLETT COVE: A rock formation known as the 'sugarloaf' at Hallett Cove, South Australia.</t>
  </si>
  <si>
    <t>Rocks -- South Australia -- Hallett Cove</t>
  </si>
  <si>
    <t>b20746581</t>
  </si>
  <si>
    <t>HALLETT COVE: Part of the cliff face in the reserve at Hallett Cove, South Australia.</t>
  </si>
  <si>
    <t>b2074660x</t>
  </si>
  <si>
    <t>Lighthouse at Seacliff Park</t>
  </si>
  <si>
    <t>SEACLIFF PARK: Distant view of the lighthouse and its approach track at Seacliff Park, South Australia.</t>
  </si>
  <si>
    <t>Lighthouses -- South Australia -- Seacliff</t>
  </si>
  <si>
    <t>Seacliff Collection</t>
  </si>
  <si>
    <t>b20746611</t>
  </si>
  <si>
    <t>Fire damage at Seacliff Park</t>
  </si>
  <si>
    <t>SEACLIFF PARK: Fire damaged paddocks caused by flares that were let off to celebrate the millennium New Year's Eve at Seacliff Park, South Australia.</t>
  </si>
  <si>
    <t>Fires -- South Australia -- Seacliff</t>
  </si>
  <si>
    <t>Seacliff  Collection</t>
  </si>
  <si>
    <t>b20746970</t>
  </si>
  <si>
    <t>MUSEUM: The South Australian Museum, re-opened after closure for a major redevelopment programme involving conservation, restoration, and extension work, in March 2000.</t>
  </si>
  <si>
    <t>South Australian Museum;Historic buildings -- South Australia -- Adelaide -- Conservation and restoration;Buildings -- South Australia -- Adelaide -- Repair and reconstruction</t>
  </si>
  <si>
    <t>Museum Collection</t>
  </si>
  <si>
    <t>b20967032</t>
  </si>
  <si>
    <t>Elizabeth, Matthew and Christopher Moulton</t>
  </si>
  <si>
    <t>Photograph  24 cm x 15.5 cm</t>
  </si>
  <si>
    <t>Elizabeth Moulton and her twin sons dressed to take part in the Fringe Parade, 25 February 2000. Matthew (right) and Christopher, aged 12, dressed in cricket whites and Bradman caps, and carried Bradman placards  Elizabeth was dressed as Mother Goose.</t>
  </si>
  <si>
    <t>Moulton, Elizabeth;Moulton, Matthew;Moulton, Christopher</t>
  </si>
  <si>
    <t>b21216976</t>
  </si>
  <si>
    <t>Introduction to Colin Thiele Day</t>
  </si>
  <si>
    <t>Photograph (print)  10.1 cm x 15.2 cm</t>
  </si>
  <si>
    <t>State Library Director, Fran Awcock, introducing author Colin Thiele (centre) at the Mortlock Library's 'Colin Thiele Day' held on 14 September 2000. The woman on the left is believed to be Mrs Fatchen, wife of Max Fatchen.</t>
  </si>
  <si>
    <t>Thiele, Colin, 1920-2006;Awcock, Frances, 1940-</t>
  </si>
  <si>
    <t>b21216988</t>
  </si>
  <si>
    <t>Fran Awcock</t>
  </si>
  <si>
    <t>Photograph (print)  15.1 cm x 10.1 cm</t>
  </si>
  <si>
    <t>State Library Director, Fran Awcock, introducing author Colin Thiele (centre) at the Mortlock Library's 'Colin Thiele Day' held on 14 September 2000.</t>
  </si>
  <si>
    <t>Awcock, Frances, 1940-</t>
  </si>
  <si>
    <t>b21217026</t>
  </si>
  <si>
    <t>Colin Thiele</t>
  </si>
  <si>
    <t>Author Colin Thiele speaking at the Mortlock Library's 'Colin Thiele Day' held on 14 September 2000.</t>
  </si>
  <si>
    <t>Thiele, Colin, 1920-2006</t>
  </si>
  <si>
    <t>b21217038</t>
  </si>
  <si>
    <t>b2121704x</t>
  </si>
  <si>
    <t>Colin and Rhonnie Thiele</t>
  </si>
  <si>
    <t>Photograph (print)  15.2 cm x 10.1 cm</t>
  </si>
  <si>
    <t>Author Colin Thiele pictured with his wife Rhonnie at the Mortlock Library's 'Colin Thiele Day' held on 14 September 2000.</t>
  </si>
  <si>
    <t>Thiele, Colin, 1920-2006;Thiele, Rhonnie</t>
  </si>
  <si>
    <t>b21217051</t>
  </si>
  <si>
    <t>Colin and Rhonnie Thiele with Max Fatchen</t>
  </si>
  <si>
    <t>Author Colin Thiele pictured with his wife Rhonnie and author Max Fatchen at the Mortlock Library's 'Colin Thiele Day' held on 14 September 2000.</t>
  </si>
  <si>
    <t>Thiele, Colin, 1920-2006;Thiele, Rhonnie;Fatchen, Max, 1920-2012</t>
  </si>
  <si>
    <t>b21217075</t>
  </si>
  <si>
    <t>Colin Thiele and Joan Brewer</t>
  </si>
  <si>
    <t>Photograph (print)  10.1 cm x 15.1 cm</t>
  </si>
  <si>
    <t>Author Colin Thiele pictured with Joan Brewer at the Mortlock Library's 'Colin Thiele Day' held on 14 September 2000.</t>
  </si>
  <si>
    <t>Thiele, Colin, 1920-2006;Brewer, Joan, 1923-</t>
  </si>
  <si>
    <t>b21217099</t>
  </si>
  <si>
    <t>Colin and Rhonnie Thiele with others</t>
  </si>
  <si>
    <t>Author Colin Thiele pictured with his wife Rhonnie and two unidentified people at the Mortlock Library's 'Colin Thiele Day' held on 14 September 2000.</t>
  </si>
  <si>
    <t>b21217105</t>
  </si>
  <si>
    <t>Colin and Rhonnie Thiele with woman</t>
  </si>
  <si>
    <t>Author Colin Thiele pictured with his wife Rhonnie and an unidentified woman at the Mortlock Library's 'Colin Thiele Day' held on 14 September 2000.</t>
  </si>
  <si>
    <t>b21217142</t>
  </si>
  <si>
    <t>Colin Thiele with an unidentified man</t>
  </si>
  <si>
    <t>Author Colin Thiele pictured with an unidentified man at the Mortlock Library's 'Colin Thiele Day' held on 14 September 2000.</t>
  </si>
  <si>
    <t>b22038681</t>
  </si>
  <si>
    <t>Adelaide Clipsal 500</t>
  </si>
  <si>
    <t>Porsche racing cars in action at the Adelaide Clipsal 500, 8 April 2000.</t>
  </si>
  <si>
    <t>b22038693</t>
  </si>
  <si>
    <t>F-4 racing cars in action at the Adelaide Clipsal 500, 8 April 2000.</t>
  </si>
  <si>
    <t>b2203870x</t>
  </si>
  <si>
    <t>Holden Berlina racing cars in action at the Adelaide Clipsal 500, 8 April 2000.</t>
  </si>
  <si>
    <t>b22038735</t>
  </si>
  <si>
    <t>V-8 racing cars in action at the Adelaide Clipsal 500, 8 April 2000.</t>
  </si>
  <si>
    <t>b22039296</t>
  </si>
  <si>
    <t>V-8 sedan cars in action at the Adelaide Clipsal 500, 8 April 2000.</t>
  </si>
  <si>
    <t>b22039399</t>
  </si>
  <si>
    <t>Crowd near the track at Adelaide Clipsal 500</t>
  </si>
  <si>
    <t>A crowd in the foreground watching a Holden V-8 racing car that has stopped on the track with smoke pouring from its engine, at the Adelaide Clipsal 500, 8 April 2000.</t>
  </si>
  <si>
    <t>b22039430</t>
  </si>
  <si>
    <t>Holden Berlina race cars at Adelaide Clipsal 500</t>
  </si>
  <si>
    <t>Holden Berlina racing cars herding for the race-tracks at the Adelaide Clipsal 500, 8 April 2000.</t>
  </si>
  <si>
    <t>b22039454</t>
  </si>
  <si>
    <t>V-8 sedan cars at Adelaide Clipsal 500</t>
  </si>
  <si>
    <t>V-8 sedans cars herding for the race-tracks at the Adelaide Clipsal 500, 8 April 2000.</t>
  </si>
  <si>
    <t>b22039466</t>
  </si>
  <si>
    <t>Porsche racing cars at Adelaide Clipsal 500</t>
  </si>
  <si>
    <t>Porsche racing cars herding for the race-tracks at the Adelaide Clipsal 500, 8 April 2000.</t>
  </si>
  <si>
    <t>b2203948x</t>
  </si>
  <si>
    <t>A Ford V-8 racing car at Adelaide Clipsal 500</t>
  </si>
  <si>
    <t>A Ford V-8 racing car on display at the Adelaide Clipsal 500, 8 April 2000.</t>
  </si>
  <si>
    <t>b22039521</t>
  </si>
  <si>
    <t>A variety club bash car at Adelaide Clipsal 500</t>
  </si>
  <si>
    <t>A  variety club bash car in parklands at the Adelaide Clipsal 500, 8 April 2000.</t>
  </si>
  <si>
    <t>b22039557</t>
  </si>
  <si>
    <t>A Holden V-8 saloon racing car at Adelaide Clipsal 500</t>
  </si>
  <si>
    <t>A  Holden V-8 saloon racing car on display at the Adelaide Clipsal 500, 8 April 2000.</t>
  </si>
  <si>
    <t>b22039892</t>
  </si>
  <si>
    <t>Port River</t>
  </si>
  <si>
    <t>Port River near the Submarine Corp, 25 March 2000.</t>
  </si>
  <si>
    <t>b22039995</t>
  </si>
  <si>
    <t>Morialta Barns</t>
  </si>
  <si>
    <t>Morialta Barns on the Heysen Trail near Norton Summit, 12 October 1996.</t>
  </si>
  <si>
    <t>b22040006</t>
  </si>
  <si>
    <t>Giraffes at Monarto Zoological Park</t>
  </si>
  <si>
    <t>A Family of giraffes at the Monarto Zoological Park, 22 April 2000.</t>
  </si>
  <si>
    <t>b22040018</t>
  </si>
  <si>
    <t>Meerkats at Monarto Zoological Park</t>
  </si>
  <si>
    <t>Meerkats in an enclosure are being observed by keen visitors at the Monarto Zoological Park, 22 April 2000.</t>
  </si>
  <si>
    <t>b22041060</t>
  </si>
  <si>
    <t>The Oakbank Race</t>
  </si>
  <si>
    <t>A race horse being paraded at the Oakbank racetrack while the crowd looks on, 24 April 2000.</t>
  </si>
  <si>
    <t>b22041072</t>
  </si>
  <si>
    <t>Race horses being paraded at the Oakbank racetrack with the crowd in the background, 24 April 2000.</t>
  </si>
  <si>
    <t>b22041096</t>
  </si>
  <si>
    <t>Brass band at the Oakbank Races</t>
  </si>
  <si>
    <t>A Brass band ready to entertain the crowd at the Oakbank Races, 24 April 2000.</t>
  </si>
  <si>
    <t>b22041102</t>
  </si>
  <si>
    <t>Modes of transportation at the Oakbank Races</t>
  </si>
  <si>
    <t>A wagon loaded with beer barresl and a large horse transporting vehicle at the Oakbank Races, 24 April 2000.</t>
  </si>
  <si>
    <t>b22042398</t>
  </si>
  <si>
    <t>Oakbank Racetrack</t>
  </si>
  <si>
    <t>The racetrack and starting gate at the 800 metres mark at the Oakbank Races, 24 April 2000.</t>
  </si>
  <si>
    <t>b22042416</t>
  </si>
  <si>
    <t>Oakbank Races</t>
  </si>
  <si>
    <t>Racegoers crowded near the racetrack with  jockeys on their horses at the finishing post, Oakbank Races, 24 April 2000.</t>
  </si>
  <si>
    <t>b22203394</t>
  </si>
  <si>
    <t>Hallett Cove Beach &amp; Glacier Rock</t>
  </si>
  <si>
    <t>At Hallett Cove beach looking north with Glacier Rock in view, 1 January 2000.</t>
  </si>
  <si>
    <t>b2220345x</t>
  </si>
  <si>
    <t>Sugarloaf at Hallett Cove Reserve</t>
  </si>
  <si>
    <t>At close-up view of the Sugarloaf with the boardwalk around it in the Hallett Cove Reserve, 1 January 2000.</t>
  </si>
  <si>
    <t>b22203461</t>
  </si>
  <si>
    <t>Cliff-face at Hallett Cove Reserve</t>
  </si>
  <si>
    <t>Looking across to a section of the cliff-face in the Hallett Cove Reserve, 1 January 2000.</t>
  </si>
  <si>
    <t>b22203485</t>
  </si>
  <si>
    <t>The River Murray at Tailem Bend</t>
  </si>
  <si>
    <t>Looking up the River Murray at Tailem Bend, 13 January 2000.</t>
  </si>
  <si>
    <t>b22206425</t>
  </si>
  <si>
    <t>'Masterworks in Glass' an exhibition at the Jam Factory</t>
  </si>
  <si>
    <t>Artist, Dale Chihuly's masterwork in glass at the Jam Factory, 12 June 2000.</t>
  </si>
  <si>
    <t>b22206437</t>
  </si>
  <si>
    <t>b22206450</t>
  </si>
  <si>
    <t>b22206462</t>
  </si>
  <si>
    <t>Artist, Dale Chihuly's Masterworks in glass exhibition at the Jam Factory, 12 June 2000.</t>
  </si>
  <si>
    <t>b22206474</t>
  </si>
  <si>
    <t>Artist, Dale Chihuly's masterworks in glass exhibition at the Jam Factory, 12 June 2000.</t>
  </si>
  <si>
    <t>b22206498</t>
  </si>
  <si>
    <t>b22207004</t>
  </si>
  <si>
    <t>b22207028</t>
  </si>
  <si>
    <t>b2220703x</t>
  </si>
  <si>
    <t>b22207053</t>
  </si>
  <si>
    <t>b22207065</t>
  </si>
  <si>
    <t>b22207077</t>
  </si>
  <si>
    <t>b22207090</t>
  </si>
  <si>
    <t>b22207107</t>
  </si>
  <si>
    <t>b22207120</t>
  </si>
  <si>
    <t>b22207132</t>
  </si>
  <si>
    <t>b22207144</t>
  </si>
  <si>
    <t>b22207612</t>
  </si>
  <si>
    <t>River Torrens and the surrounding banks near Hackney Road Bridge.</t>
  </si>
  <si>
    <t>A view of River Torrens with the surrounding high banks on one side near the Hackney Road Bridge, 12 June 2000.</t>
  </si>
  <si>
    <t>b22208495</t>
  </si>
  <si>
    <t>Looking east along the River Torrens and the vegetation on the banks, taken near the Hackney Road Bridge, 12 June 2000.</t>
  </si>
  <si>
    <t>b22208501</t>
  </si>
  <si>
    <t>b22219602</t>
  </si>
  <si>
    <t>Cycle track along River Torrens at West Beach.</t>
  </si>
  <si>
    <t>Looking east over the cycle track that runs along the River Torrens which is on the right. We can see the surrounding banks and beyond, taken at West Beach, 17 June 2000.</t>
  </si>
  <si>
    <t>b22219705</t>
  </si>
  <si>
    <t>River Torrens at West Beach.</t>
  </si>
  <si>
    <t>Looking west over the banks of River Torrens and beyond, taken at West Beach, 17 June 2000.</t>
  </si>
  <si>
    <t>b22219717</t>
  </si>
  <si>
    <t>Looking east across the banks of River Torrens and beyond, taken at West Beach, 17 June 2000.</t>
  </si>
  <si>
    <t>b22220203</t>
  </si>
  <si>
    <t>'Tombstone' at Flinders University grounds</t>
  </si>
  <si>
    <t>This sculpture in the Flinders University grounds with the word 'DEARTH' on it, resembles a tombstone, 23 September 2000.</t>
  </si>
  <si>
    <t>b22220276</t>
  </si>
  <si>
    <t>Flinders University campus</t>
  </si>
  <si>
    <t>Trees in front of the lake in the Flinders University grounds, 23 September 2000.</t>
  </si>
  <si>
    <t>b2222029x</t>
  </si>
  <si>
    <t>Showing a section of the Flinders University campus with the lake and the mall buildings in the distance, 23 September 2000.</t>
  </si>
  <si>
    <t>b22220306</t>
  </si>
  <si>
    <t>Flinders University arts buildings in the background with the lake in the forefront, 23 September 2000.</t>
  </si>
  <si>
    <t>b22220318</t>
  </si>
  <si>
    <t>Flinders University science buildings in the background with the lake in the forefront, 23 September 2000.</t>
  </si>
  <si>
    <t>b22220355</t>
  </si>
  <si>
    <t>Showing asection of the Flinders University campus with the lake in the foreground, 23 September 2000.</t>
  </si>
  <si>
    <t>b22220380</t>
  </si>
  <si>
    <t>Looking over the lake towards the art buildings at the Flinders University campus, 23 September 2000.</t>
  </si>
  <si>
    <t>b22220409</t>
  </si>
  <si>
    <t>Looking south, over the bridge and towards the buildings at the Flinders University campus, 23 September 2000.</t>
  </si>
  <si>
    <t>b22220434</t>
  </si>
  <si>
    <t>Looking north, over the bridge and the surrounding area at the Flinders University campus, 23 September 2000.</t>
  </si>
  <si>
    <t>b22220446</t>
  </si>
  <si>
    <t>Looking south, over a pathway and the surrounding area at the Flinders University campus, 23 September 2000.</t>
  </si>
  <si>
    <t>b22220471</t>
  </si>
  <si>
    <t>Pathway, leading to the west from the northern side of the bridge and the surrounding trees at the Flinders University campus, 23 September 2000.</t>
  </si>
  <si>
    <t>b22222261</t>
  </si>
  <si>
    <t>This photo was taken standing on the bridge at Flinders University campus and looking towards the Flinders Medical Centre hence capturing the top section on the Medical Centre over the bushland, 23 September 2000.</t>
  </si>
  <si>
    <t>b22223320</t>
  </si>
  <si>
    <t>Cheltenham Cemetery</t>
  </si>
  <si>
    <t>Showing a section of the Cheltenham Cemetery, 2 October 2000.</t>
  </si>
  <si>
    <t>b2222340x</t>
  </si>
  <si>
    <t>Showing a section of the Cheltenham Cemetery in the background with the top half of a tombstone of 2 fire fighters in the foreground (see B 69282/116), 2 October 2000.</t>
  </si>
  <si>
    <t>b22223484</t>
  </si>
  <si>
    <t>Showing a section of the Cheltenham Cemetery in the background with the bottom half of the tombstone of 2 fire fighters in the foreground (see B 69282/115), 2 October 2000.</t>
  </si>
  <si>
    <t>b22223587</t>
  </si>
  <si>
    <t>Showing a section of the Cheltenham Cemetery that has some 20th century graves and one with a Russian cross in the centre. Houses along the Port Road Cheltenham can be seen in the background,  2 October 2000.</t>
  </si>
  <si>
    <t>b22223605</t>
  </si>
  <si>
    <t>Showing a section of the Cheltenham Cemetery that has some 20th century graves and houses along Port Road Cheltenham in the background, 2 October 2000.</t>
  </si>
  <si>
    <t>b22223630</t>
  </si>
  <si>
    <t>Showing a section of Cheltenham Cemetery with commercial propertis along Port Road Cheltenham in the background, 2 October 2000.</t>
  </si>
  <si>
    <t>b22226862</t>
  </si>
  <si>
    <t>Presentation of 'An Age of Prayer'</t>
  </si>
  <si>
    <t>Positive (colour print)  6 cm x 20.7 cm</t>
  </si>
  <si>
    <t>Jim Billingsley with State Library Director, Bronwyn Halliday, at the presentation of 'An Age of Prayer' by the Heritage Scriptors. [See D 7612(Misc) for details of the volume.]</t>
  </si>
  <si>
    <t>Billingsley, Jim;Halliday, Bronwyn Kaye, 1957-2013</t>
  </si>
  <si>
    <t>b22226898</t>
  </si>
  <si>
    <t>Presentation of the 'An Age of Prayer'</t>
  </si>
  <si>
    <t>Members of the Heritage Scriptors, taken at the presentation of 'An Age of Prayer' to State Library Director, Bronwyn Halliday. From left: Vanessa Nicholls, Keith Brown, Pat Billingsley, Eurfron Bookbinder, Jim Billingsley, Sister Barbara Specht. [See D 7612(Misc) for details of the volume.]</t>
  </si>
  <si>
    <t>Billingsley, Jim;Nicholls, Vanessa;Brown, Keith;Billingsley, Pat;Bookbinder, Eurfron;Specht, Barbara</t>
  </si>
  <si>
    <t>b22226941</t>
  </si>
  <si>
    <t>Cemetery, South of Kersbrook</t>
  </si>
  <si>
    <t>This small cemetery located south of Kersbrook, showing some recent graves with lush green pine trees lined in the background, 28 October 2000.</t>
  </si>
  <si>
    <t>b22227027</t>
  </si>
  <si>
    <t>Located south of Kersbrook, this small cemetery has some recent graves (no older than 20 years), in the foreground and trees lined in the background, 28 October 2000.</t>
  </si>
  <si>
    <t>b22227556</t>
  </si>
  <si>
    <t>Classic Cars Adelaide, Kersbrook</t>
  </si>
  <si>
    <t>Two 1950s vintage cars (left a Volvo &amp; right a Jaguar) from the Classic Cars Adelaide seen here in the centre, near the intersection of Forreston and Martin Hill roads in this country setting at Kersbrook,  28 October 2000.</t>
  </si>
  <si>
    <t>b2222757x</t>
  </si>
  <si>
    <t>A Ford GTS from the Classic Cars Adelaide, seen here in the centre at the intersection of Forreston and Martin Hill roads, in this country setting at Kersbrook,  28 October 2000.</t>
  </si>
  <si>
    <t>b22234640</t>
  </si>
  <si>
    <t>Cemetery north of Willunga</t>
  </si>
  <si>
    <t>This cemetery is situated north of the town of Willunga near Adelaide in SA, 29 October 2000.</t>
  </si>
  <si>
    <t>b2223472x</t>
  </si>
  <si>
    <t>Showing in the foreground a section of a cemetery that is situated north of the town of Willunga near Adelaide in SA, 29 October 2000.</t>
  </si>
  <si>
    <t>b22234779</t>
  </si>
  <si>
    <t>Showing a section of a cemetery that is situated north of the town of Willunga near Adelaide in SA, 29 October 2000.</t>
  </si>
  <si>
    <t>b22234846</t>
  </si>
  <si>
    <t>Classic Cars Adelaide</t>
  </si>
  <si>
    <t>Looking north-west  towards Willunga, a panoramic view taken during the Classic Car rally, 29 October 2000.</t>
  </si>
  <si>
    <t>b22234895</t>
  </si>
  <si>
    <t>Classic Car Rally near Willunga</t>
  </si>
  <si>
    <t>A view of the road near Willunga (with no cars), taken during the Classic Car rally, 29 October 2000.</t>
  </si>
  <si>
    <t>b22236429</t>
  </si>
  <si>
    <t>Adelaide Classic Car Rally near Willunga</t>
  </si>
  <si>
    <t>Pace car coming down Willunga Hill with on-lookers lined above the road on the right, taken during Adelaide Classic Car Rally, 29 October 2000.</t>
  </si>
  <si>
    <t>b22236478</t>
  </si>
  <si>
    <t>A Ford GTS coming down Willunga Hill with on-lookers lined above the road in the distance on the right, taken during Adelaide Classic Car Rally, 29 October 2000.</t>
  </si>
  <si>
    <t>b22236508</t>
  </si>
  <si>
    <t>A red Cobra coming down Willunga Hill with on-lookers lined above the road in the distance, on the right, taken during Adelaide Classic Car Rally, 29 October 2000.</t>
  </si>
  <si>
    <t>b22236557</t>
  </si>
  <si>
    <t>Panoramic view from Willunga Hill</t>
  </si>
  <si>
    <t>A panoramic view taken from Willunga Hill look-out, during Adelaide Classic Car Rally, 29 October 2000.</t>
  </si>
  <si>
    <t>b22236685</t>
  </si>
  <si>
    <t>Le mans Adelaide</t>
  </si>
  <si>
    <t>A view of the Le mans Adelaide, showing a section of city street circuit, 29 December 2000.</t>
  </si>
  <si>
    <t>b2223679x</t>
  </si>
  <si>
    <t>A view of the Le mans Adelaide city street circuit with a GTS/GT car on the track, 29 December 2000.</t>
  </si>
  <si>
    <t>b22236818</t>
  </si>
  <si>
    <t>A view of the Le mans Adelaide, city street circuit with a GTS/GT car on the track, 29 December 2000.</t>
  </si>
  <si>
    <t>b22237148</t>
  </si>
  <si>
    <t>Bartels Road</t>
  </si>
  <si>
    <t>A view of Bartels Road looking towards the city, taken during Le mans Adelaide, 29 December 2000.</t>
  </si>
  <si>
    <t>b22237665</t>
  </si>
  <si>
    <t>A Volkswagon Buggy racing car in the foreground, taken in the parklands during Le mans Adelaide, 29 December 2000.</t>
  </si>
  <si>
    <t>b22237707</t>
  </si>
  <si>
    <t>Three Volkswagon Buggy racing cars in a tent, taken during Le mans Adelaide, 29 December 2000.</t>
  </si>
  <si>
    <t>b22237756</t>
  </si>
  <si>
    <t>A Volkswagon Buggy racing cars in a tent, taken during Le mans Adelaide, 29 December 2000.</t>
  </si>
  <si>
    <t>b2223780x</t>
  </si>
  <si>
    <t>One of the Le mans cars on the race track seen through the safety wire fencing, taken during Le mans Adelaide, 29 December 2000.</t>
  </si>
  <si>
    <t>b22237963</t>
  </si>
  <si>
    <t>Grand touring European built racing car on the race track visible through the safety wire fencing, taken during Le mans Adelaide, 29 December 2000.</t>
  </si>
  <si>
    <t>b22238049</t>
  </si>
  <si>
    <t>Volkswagon buggies on the race tracks in the centre, seen here through the safety wire fencing, taken during Le mans Adelaide, 29 December 2000.</t>
  </si>
  <si>
    <t>b22238098</t>
  </si>
  <si>
    <t>A red Volkswagon buggy on the race tracks in the centre, seen here through the safety wire fencing, taken during Le mans Adelaide, 29 December 2000.</t>
  </si>
  <si>
    <t>b22238414</t>
  </si>
  <si>
    <t>The stage area for the Le mans Adelaide, seen here across the open parklands, in the background, photo taken during Le mans Adelaide, 29 December 2000.</t>
  </si>
  <si>
    <t>b22299233</t>
  </si>
  <si>
    <t>Volkswagon buggies on the race tracks in the centre, ready to race, taken during Le mans Adelaide, 29 December 2000.</t>
  </si>
  <si>
    <t>b22299245</t>
  </si>
  <si>
    <t>Two Volkswagon buggies on the race tracks in the centre, ready to race, taken during Le mans Adelaide, 29 December 2000.</t>
  </si>
  <si>
    <t>b22299270</t>
  </si>
  <si>
    <t>b22299324</t>
  </si>
  <si>
    <t>Front view of a c1950s to c1960s racing car off the tracks (it has broken-down),  taken during Le mans Adelaide, 29 December 2000.</t>
  </si>
  <si>
    <t>b22299403</t>
  </si>
  <si>
    <t>A c1950s to c1960s racing car off the tracks and broken-down, taken during Le mans Adelaide, 29 December 2000.</t>
  </si>
  <si>
    <t>b22299579</t>
  </si>
  <si>
    <t>Seen here through the wire fence some c1950s to c1960s MGs racing cars on the tracks, taken during Le mans Adelaide, 29 December 2000.</t>
  </si>
  <si>
    <t>b31361109</t>
  </si>
  <si>
    <t>Mars Bar nightclub, Adelaide</t>
  </si>
  <si>
    <t>1 photograph : colour;still image sti rdacontent;computer c rdamedia;online resource cr rdacarrier;image file TIFF 10000 x 7142 pixels rda</t>
  </si>
  <si>
    <t>Floor plan of the Mars Bar, 2000 to 2017</t>
  </si>
  <si>
    <t>Gay bars -- South Australia -- Adelaide;Nightclubs -- South Australia -- Adelaide</t>
  </si>
  <si>
    <t>b31361110</t>
  </si>
  <si>
    <t>Mars Bar Nightclub, Adelaide</t>
  </si>
  <si>
    <t>1 photograph : colour;still image sti rdacontent;computer c rdamedia;online resource cr rdacarrier;image file TIFF 10000 x 742 pixels rda</t>
  </si>
  <si>
    <t>b21061658</t>
  </si>
  <si>
    <t>Pioneer women's memorial</t>
  </si>
  <si>
    <t>[approximately 2000]</t>
  </si>
  <si>
    <t>Photograph  15.7 cm x 19.8 cm</t>
  </si>
  <si>
    <t>One of four views (B 69256 - B 69259) of the Pioneer Women's memorial off King William Street : designed by Miss E.M. Cornish, paid for by Women's Centenary Council of South Australia and modelled by Ola Cohn. It was unveiled by Lady Muriel Barclay-Harvey, 19 April 1941 in the 'garden of remembrance ... established in the centenary year 1936 by the women of South Australia as a tribute to the pioneer women of the state'.</t>
  </si>
  <si>
    <t>Pioneer Women's Memorial (Adelaide, S.A.);Women -- South Australia -- Adelaide -- Monuments</t>
  </si>
  <si>
    <t>b2106166x</t>
  </si>
  <si>
    <t>b21061671</t>
  </si>
  <si>
    <t>b21061683</t>
  </si>
  <si>
    <t>b21061695</t>
  </si>
  <si>
    <t>Detail from the pioneer women's memorial</t>
  </si>
  <si>
    <t>Photograph  19.8 cm x 15.5 cm</t>
  </si>
  <si>
    <t>A detail from the Pioneer Women's memorial off King William Street with the words 'the hours vanish yet are they recorded'.</t>
  </si>
  <si>
    <t>Pioneer Women's Memorial (Adelaide, S.A.)</t>
  </si>
  <si>
    <t>b21061701</t>
  </si>
  <si>
    <t>Fireman Gardner's memorial</t>
  </si>
  <si>
    <t>Photograph  15.6 cm x 19.7 cm</t>
  </si>
  <si>
    <t>One of eight photographs (B 69261 - B 69268) of Fireman Gardner's memorial drinking fountain. The memorial, located in Elder Park off King William Road, was erected in 1887 by public subscription, to honour  J.A.H. Gardner, a fireman who lost his life in a fire in Rundle Street, 24 December 1886.</t>
  </si>
  <si>
    <t>Gardner, John, -1886;Fireman Gardner's Memorial (Adelaide, S.A.);Monuments -- South Australia -- Adelaide</t>
  </si>
  <si>
    <t>b21061713</t>
  </si>
  <si>
    <t>Detail of Fireman Gardner's memorial</t>
  </si>
  <si>
    <t>Detail of the drinking fountain - one of eight photographs (B 69261 - B 69268) of Fireman Gardner's memorial. The memorial, located in Elder Park off King William Road, was erected in 1887 by public subscription, to honour  J.A.H. Gardner, a fireman who lost his life in a fire in Rundle Street, 24 December 1886.</t>
  </si>
  <si>
    <t>b21061725</t>
  </si>
  <si>
    <t>Detail of the arch - one of eight photographs (B 69261 - B 69268) of Fireman Gardner's memorial. The memorial, located in Elder Park off King William Road, was erected in 1887 by public subscription, to honour  J.A.H. Gardner, a fireman who lost his life in a fire in Rundle Street, 24 December 1886.</t>
  </si>
  <si>
    <t>b21061737</t>
  </si>
  <si>
    <t>b21061749</t>
  </si>
  <si>
    <t>b21061750</t>
  </si>
  <si>
    <t>b21061762</t>
  </si>
  <si>
    <t>b21061774</t>
  </si>
  <si>
    <t>Detail from Fireman Gardner's memorial</t>
  </si>
  <si>
    <t>Detail from of Fireman Gardner's memorial drinking fountain (one of eight photographs : B 69261 - B 69268). The detail is of the plaque which reads 'This drinking fountain commemorates the heroism of Fireman John Gardner who died whilst fighting a fire of large dimensions in Rundle Street near James Place, on Christmas Eve, 1886. Erected by public subscription 1887'. The memorial is located in Elder Park off King William Road.</t>
  </si>
  <si>
    <t>b29132897</t>
  </si>
  <si>
    <t>Basil and Anne Hetzel</t>
  </si>
  <si>
    <t>approximately 2000</t>
  </si>
  <si>
    <t>Photograph (colour print)  10 cm x 15 cm;RESERVE 1 a</t>
  </si>
  <si>
    <t>Basil and Anne Hetzel pictured at a social event. The Hetzels are library benefactors and the lecture theatre in the Institute Building has been named in their honour.</t>
  </si>
  <si>
    <t>Hetzel, Basil S. (Basil Stuart), 1922-2017;Hetzel, Anne</t>
  </si>
  <si>
    <t>b20965734</t>
  </si>
  <si>
    <t>Masters Apprentices function at the State Library</t>
  </si>
  <si>
    <t>Members of the Masters Apprentices at the function held at the State Library to mark the hand-over of the records by Graham Longley. From left: Rick Morrison, Gavin Webb, Peter Tilbrook, Bronwyn Halliday, Brian Vaughton, Mick Bower and Graham Longley. 6 July 2001.</t>
  </si>
  <si>
    <t>Morrison, Rick;Webb, Gavin;Tilbrook, Peter;Halliday, Bronwyn Kaye, 1957-2013;Vaughton, Brian;Bower, Mick;Longley, Graham</t>
  </si>
  <si>
    <t>b20965746</t>
  </si>
  <si>
    <t>b20965758</t>
  </si>
  <si>
    <t>The original members of the Masters Apprentices band at the function held at the State Library to mark the hand-over of the records by Graham Longley. Standing (from left): Brian Vaughton, Peter Tilbrook, Rick Morrison  (kneeling, from left) Gavin Webb and Mick Bower. 6 July 2001.</t>
  </si>
  <si>
    <t>Morrison, Rick;Webb, Gavin;Tilbrook, Peter;Vaughton, Brian;Bower, Mick</t>
  </si>
  <si>
    <t>b22300120</t>
  </si>
  <si>
    <t>A view of a city street that has been transformed into a racing track including the safety fencing, advertising etc. For  Formula Holden racing cars,  Adelaide Clipsal 500, 7 April 2001.</t>
  </si>
  <si>
    <t>b2230017x</t>
  </si>
  <si>
    <t>A view of a city street that has been transformed into a racing track including the safety fencing, advertising etc. Seen in the centre are 2 V8 Super cars,  Adelaide Clipsal 500, 7 April 2001.</t>
  </si>
  <si>
    <t>b2230020x</t>
  </si>
  <si>
    <t>A view of a city street that has been transformed into a racing track showing the safety fencing, safety barrier and advertising. Seen in the centre is a white V8 Super car, Adelaide Clipsal 500, 7 April 2001.</t>
  </si>
  <si>
    <t>b22300211</t>
  </si>
  <si>
    <t>b22300260</t>
  </si>
  <si>
    <t>A group of c1950s cars belonging to the Rebel Club parked here in the surrounding parklands with the city street circuit in the background during Formula Holden racing cars,  Adelaide Clipsal 500, 7 April 2001.</t>
  </si>
  <si>
    <t>b22300302</t>
  </si>
  <si>
    <t>A collection of cars from various makers ready to race in the Nation Cup on the city street circuit during Formula Holden racing cars,  Adelaide Clipsal 500, 7 April 2001.</t>
  </si>
  <si>
    <t>b22300326</t>
  </si>
  <si>
    <t>b22302037</t>
  </si>
  <si>
    <t>VW racing car (in the foreground) and other small cars by different makers on display as well in the parklands, Adelaide Clipsal 500, 7 April 2001.</t>
  </si>
  <si>
    <t>b22302177</t>
  </si>
  <si>
    <t>A sea of cars parked on the oval at the Oakbank Races, 14 April 2001.</t>
  </si>
  <si>
    <t>b22302189</t>
  </si>
  <si>
    <t>Showing in the foreground a long guest tent with hundreds of cars parked in the backgroung and also some in front of the guest tent at the Oakbank Races, 14 April 2001.</t>
  </si>
  <si>
    <t>b22302256</t>
  </si>
  <si>
    <t>Showing the back of the main stands (in green and silver) in the centre with some action captured in the foreground at the Oakbank Races, 14 April 2001.</t>
  </si>
  <si>
    <t>b22305063</t>
  </si>
  <si>
    <t>A couple of horses on parade in the centre with crowds watching from the side-lines at the Oakbank Races, 14 April 2001.</t>
  </si>
  <si>
    <t>b22305142</t>
  </si>
  <si>
    <t>A band playing in the centre with crowds in and arounds the tents in the background at the Oakbank Races, 14 April 2001.</t>
  </si>
  <si>
    <t>b2230521x</t>
  </si>
  <si>
    <t>A garden statue dressed as a jockey in the centre with some racegoers seen here on the left and behind the srubs in the back, Oakbank Races, 14 April 2001.</t>
  </si>
  <si>
    <t>b22305282</t>
  </si>
  <si>
    <t>A carnival seen with a couple of camels in the centre and two side-show rides seen here from behind the tracks at the Oakbank Races, 14 April 2001.</t>
  </si>
  <si>
    <t>b22305294</t>
  </si>
  <si>
    <t>A carnival seen with a couple of camels in the centre, some side-show rides (only just visible above the tents) and a 'Jungle Slide' on the right at the Oakbank Races, 14 April 2001.</t>
  </si>
  <si>
    <t>b22305300</t>
  </si>
  <si>
    <t>A carnival seen with a couple of camels sitting in the centre and captured in the background is a hive of activity, at the Oakbank Races, 14 April 2001.</t>
  </si>
  <si>
    <t>b22305348</t>
  </si>
  <si>
    <t>Creek near Oakbank Race Course</t>
  </si>
  <si>
    <t>A creek along the side of the Oakbank race course, taken 14 April 2001.</t>
  </si>
  <si>
    <t>b22307400</t>
  </si>
  <si>
    <t>Countryside near Oakbank Race Course</t>
  </si>
  <si>
    <t>A view of the countryside near the Oakbank race course, taken 14 April 2001.</t>
  </si>
  <si>
    <t>b22307436</t>
  </si>
  <si>
    <t>Belair National Park</t>
  </si>
  <si>
    <t>A view of a section of bushland in Belair National Park near the Belair railway station, taken 14 April 2001.</t>
  </si>
  <si>
    <t>b22307746</t>
  </si>
  <si>
    <t>b22307849</t>
  </si>
  <si>
    <t>Clare Valley</t>
  </si>
  <si>
    <t>A view of Queltaler Estate in the Clare Valley, taken 2 June 2001.</t>
  </si>
  <si>
    <t>b22307990</t>
  </si>
  <si>
    <t>Town of Clare</t>
  </si>
  <si>
    <t>The Town of Clare, looking from Billygoat Lookout in the Clare Valley, taken 3 June 2001.</t>
  </si>
  <si>
    <t>b22308064</t>
  </si>
  <si>
    <t>Mintaro</t>
  </si>
  <si>
    <t>The main street of Mintaro with the pub in full view on the left, taken 3 June 2001.</t>
  </si>
  <si>
    <t>b22308209</t>
  </si>
  <si>
    <t>Another view of the Town of Clare, looking from Billygoat Lookout in the Clare Valley, taken 3 June 2001.</t>
  </si>
  <si>
    <t>b22308222</t>
  </si>
  <si>
    <t>Mintaro Cemetery</t>
  </si>
  <si>
    <t>Showing a section of Mintaro cemetery, taken 3 June 2001.</t>
  </si>
  <si>
    <t>b22308234</t>
  </si>
  <si>
    <t>Second view of Mintaro cemetery showing another section of the cemetery, taken 3 June 2001.</t>
  </si>
  <si>
    <t>b22308246</t>
  </si>
  <si>
    <t>Third view of Mintaro cemetery showing a section of the cemetery, taken 3 June 2001.</t>
  </si>
  <si>
    <t>b22310654</t>
  </si>
  <si>
    <t>North Road Cemetery, Nailsworth</t>
  </si>
  <si>
    <t>A view of the North Road Cemetery in Nailsworth, taken 1 October 2001.</t>
  </si>
  <si>
    <t>b22310745</t>
  </si>
  <si>
    <t>North Road Cemetery in Nailsworth, taken 1 October 2001.</t>
  </si>
  <si>
    <t>b22310757</t>
  </si>
  <si>
    <t>North Road Cemetery Church, Nailsworth</t>
  </si>
  <si>
    <t>Church at North Road Cemetery in Nailsworth, taken 1 October 2001.</t>
  </si>
  <si>
    <t>b22310769</t>
  </si>
  <si>
    <t>Showing a section of the garden, Bell Tower and a part of the cemetery at the back of the Church at North Road Cemetery in Nailsworth, 1 October 2001.</t>
  </si>
  <si>
    <t>b22310794</t>
  </si>
  <si>
    <t>Koala in a tree at Piccadilly</t>
  </si>
  <si>
    <t>A koala in a tree at Woodhouse Scout Camp at Piccadilly, 20 October 2001.</t>
  </si>
  <si>
    <t>b22310897</t>
  </si>
  <si>
    <t>Classic Adelaide</t>
  </si>
  <si>
    <t>A Sunbeam Tiger that took part in the Classic Adelaide, 21 October 2001.</t>
  </si>
  <si>
    <t>b22310952</t>
  </si>
  <si>
    <t>Cemetery at Meadows</t>
  </si>
  <si>
    <t>A view of a cemetery at Meadows, taken 28 October 2001.</t>
  </si>
  <si>
    <t>b22310964</t>
  </si>
  <si>
    <t>A view showing a section of a cemetery at Meadows, taken 28 October 2001.</t>
  </si>
  <si>
    <t>b22310988</t>
  </si>
  <si>
    <t>b21151301</t>
  </si>
  <si>
    <t>State Library Open Day</t>
  </si>
  <si>
    <t>Photograph (photoprint)  15.2 cm x 10.1 cm</t>
  </si>
  <si>
    <t>Banner at the front of the State Library promoting an Open Day after the completion of the Library's redevelopment.</t>
  </si>
  <si>
    <t>State Library of South Australia;Libraries -- South Australia</t>
  </si>
  <si>
    <t>b21151313</t>
  </si>
  <si>
    <t>b21151325</t>
  </si>
  <si>
    <t>b22311002</t>
  </si>
  <si>
    <t>Glen Burnie near Mount Gambier</t>
  </si>
  <si>
    <t>At Glen Burnie, a cave site, outside Mount Gambier, 26 January 2002.</t>
  </si>
  <si>
    <t>b22311014</t>
  </si>
  <si>
    <t>Stonehaven Vineyards in the South East</t>
  </si>
  <si>
    <t>A signage indicating Stonehaven Vineyards, outside Naracoorte, 28 January 2002.</t>
  </si>
  <si>
    <t>b22316309</t>
  </si>
  <si>
    <t>Mount Gambier in the South East</t>
  </si>
  <si>
    <t>Showing a section of the railway line in Mt Gambier in South East of SA, 28 January 2002.</t>
  </si>
  <si>
    <t>b22316334</t>
  </si>
  <si>
    <t>Saint Michael's at Mt Lofty</t>
  </si>
  <si>
    <t>Saint Michael's: the remains after it was destroyed in the Ash Wednesday bushfires, 2 February 2002.</t>
  </si>
  <si>
    <t>b2231636x</t>
  </si>
  <si>
    <t>Marble Hill</t>
  </si>
  <si>
    <t>A view taken from above the front door, showing the side wall ,Billiard Room &amp; bedroom windows, 11 August 2002.</t>
  </si>
  <si>
    <t>b22316371</t>
  </si>
  <si>
    <t>A view taken from above the front door, showing the side wall &amp; the bedroom windows, 11 August 2002.</t>
  </si>
  <si>
    <t>b22316395</t>
  </si>
  <si>
    <t>A view of the courtyard at Marble Hill , 11 August 2002.</t>
  </si>
  <si>
    <t>b22316425</t>
  </si>
  <si>
    <t>The Morning room and the tower at Marble Hill , 11 August 2002.</t>
  </si>
  <si>
    <t>b22316449</t>
  </si>
  <si>
    <t>Looking in from a courtyard window over a passageway leading to the dinning room, at Marble Hill, 11 August 2002.</t>
  </si>
  <si>
    <t>b22316450</t>
  </si>
  <si>
    <t>Looking in from a courtyard window on to what was the Kitchen, at Marble Hill , 11 August 2002.</t>
  </si>
  <si>
    <t>b22316565</t>
  </si>
  <si>
    <t>Looking from a passageway towards what was a bathroom (notice some blue tiles on the facing wall) at Marble Hill, 11 August 2002.</t>
  </si>
  <si>
    <t>b22316577</t>
  </si>
  <si>
    <t>A window looking out from what was the Governor's Room, at Marble Hill , 11 August 2002.</t>
  </si>
  <si>
    <t>b22317818</t>
  </si>
  <si>
    <t>Looking in at what was a courtyard with the old building walls surrounding it, Marble Hill , 11 August 2002.</t>
  </si>
  <si>
    <t>b22317880</t>
  </si>
  <si>
    <t>Mount Lofty</t>
  </si>
  <si>
    <t>This view taken near the site of St Michael's main buiding that was destroyed in the ash wednesday bush fires Mount Lofty , 29 September 2002.</t>
  </si>
  <si>
    <t>b22317946</t>
  </si>
  <si>
    <t>Looking towards Adelaide from the site where St Michael's used to be before it was destroyed in the ash wednesday bush fires, 29 September 2002.</t>
  </si>
  <si>
    <t>b22317983</t>
  </si>
  <si>
    <t>Taken near the site where St Michael's used to be before it was destroyed in the ash wednesday bush fires in 1983, 29 September 2002.</t>
  </si>
  <si>
    <t>b22318008</t>
  </si>
  <si>
    <t>What is left of the main building of St Michael's after it was destroyed in the ash wednesday bush fires in 1983, 29 September 2002.</t>
  </si>
  <si>
    <t>b22319451</t>
  </si>
  <si>
    <t>Another view of what is left of the main building of St Michael's after it was destroyed in the ash wednesday bush fires in 1983, 29 September 2002.</t>
  </si>
  <si>
    <t>b22319578</t>
  </si>
  <si>
    <t>Side view showing the entrance of what is left of the main building of St. Michael's after it was destroyed in the ash wednesday bush fires in 1983, 29 September 2002.</t>
  </si>
  <si>
    <t>b22319591</t>
  </si>
  <si>
    <t>b22319608</t>
  </si>
  <si>
    <t>A view showing the front and side of the main building of St. Michael's after it was destroyed in the ash wednesday bush fires in 1983, 29 September 2002.</t>
  </si>
  <si>
    <t>b22319657</t>
  </si>
  <si>
    <t>Another view showing the entrance of the main building of St. Michael's after it was destroyed in the ash wednesday bush fires in 1983, 29 September 2002.</t>
  </si>
  <si>
    <t>b22319712</t>
  </si>
  <si>
    <t>Another view showing the entrance of the main building with the chimney of St. Michael's after it was destroyed in the ash wednesday bush fires in 1983, 29 September 2002.</t>
  </si>
  <si>
    <t>b22319803</t>
  </si>
  <si>
    <t>A view of the entrance of the main building of St. Michael's, looking towards Mt Lofty Summit, after it was destroyed in the ash wednesday bush fires in 1983, 29 September 2002.</t>
  </si>
  <si>
    <t>b22319827</t>
  </si>
  <si>
    <t>Another view showing the front and side of the main building of St. Michael's with the chimney, after it was destroyed in the ash wednesday bush fires in 1983, 29 September 2002.</t>
  </si>
  <si>
    <t>b22319840</t>
  </si>
  <si>
    <t>A view taken from some distance showing the main building of St. Michael's and  the surrounding landscape, as it is after it was destroyed in the ash wednesday bush fires in 1983, 29 September 2002.</t>
  </si>
  <si>
    <t>b22319864</t>
  </si>
  <si>
    <t>Another view taken from some distance showing the main building of St. Michael's and  the surrounding landscape. The building as it is after the ash wednesday bush fires in 1983, 29 September 2002.</t>
  </si>
  <si>
    <t>b22319888</t>
  </si>
  <si>
    <t>The remains of St Michael's seen here in the distance through the  trees, the building as it is after the ash wednesday bush fires in 1983, 29 September 2002.</t>
  </si>
  <si>
    <t>b2231989x</t>
  </si>
  <si>
    <t>The remains of St Michael's seen here in the distance against the trees lined in the background, the building as it is after the ash wednesday bush fires in 1983, 29 September 2002.</t>
  </si>
  <si>
    <t>b2232303x</t>
  </si>
  <si>
    <t>Summertown</t>
  </si>
  <si>
    <t>This cottage as seen from Piccadily Road in Summertown, taken 28 December 2002.</t>
  </si>
  <si>
    <t>b22323065</t>
  </si>
  <si>
    <t>Another view of this cottage as seen from Piccadily Road in Summertown, taken 28 December 2002.</t>
  </si>
  <si>
    <t>b22330598</t>
  </si>
  <si>
    <t>Summertown , Mount Lofty Cemetery and view of a miniature of a church that was there, taken 28 December 2002.</t>
  </si>
  <si>
    <t>b22330628</t>
  </si>
  <si>
    <t>Summertown in the background with Mount Lofty Cemetery in forefront, taken 28 December 2002.</t>
  </si>
  <si>
    <t>b22330975</t>
  </si>
  <si>
    <t>Summertown in the background with Mount Lofty Cemetery &amp; its sign board in forefront, taken 28 December 2002.</t>
  </si>
  <si>
    <t>b22331013</t>
  </si>
  <si>
    <t>Port Road Cemetery</t>
  </si>
  <si>
    <t>Graves with cross and angel from Port Road Cemetery seen here in the forefront, taken  December 2002.</t>
  </si>
  <si>
    <t>b22331165</t>
  </si>
  <si>
    <t>Graves with tombstones and angel from Port Road Cemetery seen here in the forefront, taken  December 2002.</t>
  </si>
  <si>
    <t>b22331189</t>
  </si>
  <si>
    <t>Tombstones at Port Road Cemetery, taken  December 2002.</t>
  </si>
  <si>
    <t>b2233421x</t>
  </si>
  <si>
    <t>Another view with more graves from Port Road Cemetery, taken  December 2002.</t>
  </si>
  <si>
    <t>b22906368</t>
  </si>
  <si>
    <t>Saint Michael's, the remains after it was destroyed in the Ash Wednesday bushfires in 1983, 29 September 2002.</t>
  </si>
  <si>
    <t>b22906393</t>
  </si>
  <si>
    <t>A Guard carriage at the Port Dock Rail Museum, December 2002.</t>
  </si>
  <si>
    <t>b22906447</t>
  </si>
  <si>
    <t>A 504-Class steam train at the Port Dock Rail Museum, December 2002.</t>
  </si>
  <si>
    <t>b22906460</t>
  </si>
  <si>
    <t>A 1950s country passenger train at the Port Dock Rail Museum, December 2002.</t>
  </si>
  <si>
    <t>b22906484</t>
  </si>
  <si>
    <t>A 409-Class steam train at the Port Dock Rail Museum, December 2002.</t>
  </si>
  <si>
    <t>b22906496</t>
  </si>
  <si>
    <t>A 253-Class steam train housed in the main building of the Port Dock Rail Museum, December 2002.</t>
  </si>
  <si>
    <t>b31352947</t>
  </si>
  <si>
    <t>Jane Lomax-Smith campaign launch</t>
  </si>
  <si>
    <t>Campaign office at 114A Prospect Road, Prospect, for ALP candidate for the state seat of Adelaide, Jane Lomax-Smith.</t>
  </si>
  <si>
    <t>Lomax-Smith, Jane;Political campaigns -- South Australia -- Adelaide</t>
  </si>
  <si>
    <t>b31352959</t>
  </si>
  <si>
    <t>Jane Lomax-Smith candidate for the state seat of Adelaide standing outside her campaign office at 114A Prospect Road, Prospect.</t>
  </si>
  <si>
    <t>b31352960</t>
  </si>
  <si>
    <t>b31352972</t>
  </si>
  <si>
    <t>Balloon with a cartoon image of Jane Lomax-Smith holding a sign that says 'RUN JANE RUN'.</t>
  </si>
  <si>
    <t>b31354907</t>
  </si>
  <si>
    <t>Three women standing in front of a portrait of Jane Lomax-Smith.</t>
  </si>
  <si>
    <t>b31354919</t>
  </si>
  <si>
    <t>b31354920</t>
  </si>
  <si>
    <t>Three women, left  Sue Clearihan, Adelaide City Councillor, and centre  Francene Connor, Adelaide City Councillor and Alderman, standing in front of a portrait of Jane Lomax-Smith.</t>
  </si>
  <si>
    <t>Clearihan, Sue;Connor, Francene Michele Goldie;Lomax-Smith, Jane;Political campaigns -- South Australia -- Adelaide</t>
  </si>
  <si>
    <t>b31354932</t>
  </si>
  <si>
    <t>Labor candidate for the state seat of Adelaide Jane Lomax-Smith speaks to media and gathered guests at her campaign office. Mike Rann, Premier of South Australia, is standing beside her.</t>
  </si>
  <si>
    <t>Lomax-Smith, Jane Diane, 1950-;Rann, Mike, 1953-;Political campaigns -- South Australia -- Adelaide</t>
  </si>
  <si>
    <t>b31354944</t>
  </si>
  <si>
    <t>Labor candidate for the state seat of Adelaide Jane Lomax-Smith speaks to a supporter at her campaign office. Mike Rann, Premier of South Australia, is standing beside her.</t>
  </si>
  <si>
    <t>b31354956</t>
  </si>
  <si>
    <t>Labor candidate for the state seat of Adelaide Jane Lomax-Smith speaks to supporters at her campaign office. Mike Rann, Premier of South Australia, is standing beside her.</t>
  </si>
  <si>
    <t>b31354968</t>
  </si>
  <si>
    <t>b3135497x</t>
  </si>
  <si>
    <t>b31354981</t>
  </si>
  <si>
    <t>Mike Rann, Premier of South Australia, speaks to supporters of Jane Lomax-Smith, Labor candidate for the state seat of Adelaide. Jane Lomax-Smith is standing nearest the camera.</t>
  </si>
  <si>
    <t>b3135502x</t>
  </si>
  <si>
    <t>Mike Rann, Premier of South Australia, speaks to supporters of Jane Lomax-Smith, Labor candidate for the state seat of Adelaide. Jane Lomax-Smith is standing on the Premier's left.</t>
  </si>
  <si>
    <t>b31355043</t>
  </si>
  <si>
    <t>Mike Rann, Premier of South Australia, speaks to supporters of Jane Lomax-Smith, Labor candidate for the state seat of Adelaide.</t>
  </si>
  <si>
    <t>b31355055</t>
  </si>
  <si>
    <t>b31355067</t>
  </si>
  <si>
    <t>Jane Lomax-Smith, Labor candidate for the state seat of Adelaide, addresses supporters at her campaign office. Mike Rann, Premier of South Australia, is standing beside her.</t>
  </si>
  <si>
    <t>b31355079</t>
  </si>
  <si>
    <t>b31355080</t>
  </si>
  <si>
    <t>Jane Lomax-Smith, Labor candidate for the state seat of Adelaide, cutting a red, white, and blue ribbon at her campaign office. Mike Rann, Premier of South Australia, is standing beside her.</t>
  </si>
  <si>
    <t>b31355092</t>
  </si>
  <si>
    <t>Jane Lomax-Smith, Labor candidate for the state seat of Adelaide, and Mike Rann, Premier of South Australia, outside Jane's campaign office at 114A Prospect Road, Prospect.</t>
  </si>
  <si>
    <t>b31355110</t>
  </si>
  <si>
    <t>Supporters of Jane Lomax-Smith, Labor candidate for the state seat of Adelaide, buying raffle tickets.</t>
  </si>
  <si>
    <t>Lomax-Smith, Jane Diane, 1950-;Political campaigns -- South Australia -- Adelaide</t>
  </si>
  <si>
    <t>b31355122</t>
  </si>
  <si>
    <t>Jane Lomax-Smith, Labor candidate for the state seat of Adelaide, talking with supporters at her campaign office.</t>
  </si>
  <si>
    <t>b31355134</t>
  </si>
  <si>
    <t>Jane Lomax-Smith, Labor candidate for the state seat of Adelaide, with supporters at her campaign office.</t>
  </si>
  <si>
    <t>b31355146</t>
  </si>
  <si>
    <t>Supporters of Jane Lomax-Smith, Labor candidate for the state seat of Adelaide, at her campaign office. Far left  Vicky Gregory, Centre  Anne Levy, near centre wearing glasses, Stewart Sweeney.</t>
  </si>
  <si>
    <t>Gregory, Vicky;Levy, Anne, 1934-;Lomax-Smith, Jane Diane, 1950-;Sweeney, Stewart;Political campaigns -- South Australia -- Adelaide</t>
  </si>
  <si>
    <t>b22045648</t>
  </si>
  <si>
    <t>Hallett Cove Reserve</t>
  </si>
  <si>
    <t>A view of Hallett Cove Reserve, looking towards the SugarLoaf, 1 January 2003.</t>
  </si>
  <si>
    <t>b22045673</t>
  </si>
  <si>
    <t>Sugar Loaf at the Hallett Cove Reserve</t>
  </si>
  <si>
    <t>A close-up of the Sugar Loaf in the Hallett Cove Reserve, 1 January 2003.</t>
  </si>
  <si>
    <t>b22045715</t>
  </si>
  <si>
    <t>Standing near the Sugar Loaf, looking towards the black cliffs and out to the sea, 1 January 2003.</t>
  </si>
  <si>
    <t>b22045776</t>
  </si>
  <si>
    <t>Wedding party at Beachport</t>
  </si>
  <si>
    <t>A wedding party on the rocky outcrop at Beachport, 25 January 2003. According to a researcher 'This photograph was not taken at Beachport. There are no rocky outcrops like this and if this image was taken at Glen's Point Beachport the jetty would be in the background. In my opinion this photograph was taken at Carpenter Rocks.'</t>
  </si>
  <si>
    <t>b22045806</t>
  </si>
  <si>
    <t>Kingston South East</t>
  </si>
  <si>
    <t>Signpost for the Analemmatic Sundial and the Sculpture Park at Kingston, 27 January 2003.</t>
  </si>
  <si>
    <t>b22045818</t>
  </si>
  <si>
    <t>Sculpture Park at Kingston South East</t>
  </si>
  <si>
    <t>A seal rock carving in the Analemmatic Sundial and the Sculpture Park at Kingston, 27 January 2003.</t>
  </si>
  <si>
    <t>b22334580</t>
  </si>
  <si>
    <t>Barossa Valley</t>
  </si>
  <si>
    <t>View of a vineyard at the Longmeil Winery in the Barossa Valley, taken  9 January 2003.</t>
  </si>
  <si>
    <t>b22334609</t>
  </si>
  <si>
    <t>Another view of the vineyard at the Longmeil Winery in the Barossa Valley, taken  9 January 2003.</t>
  </si>
  <si>
    <t>b22334695</t>
  </si>
  <si>
    <t>A side view of the Longmeil Winery building in the Barossa Valley, taken  9 January 2003.</t>
  </si>
  <si>
    <t>b22334737</t>
  </si>
  <si>
    <t>Seen here in the background is part of the Longmeil Winery building at Barossa Valley, taken  9 January 2003.</t>
  </si>
  <si>
    <t>b22334750</t>
  </si>
  <si>
    <t>View of the lake at Maggie Beer's farm shop in Barossa Valley, taken  9 January 2003.</t>
  </si>
  <si>
    <t>b22334762</t>
  </si>
  <si>
    <t>Showing the front entrance to Maggie Beer's farm shop, 'Pheasant Farm' in Barossa Valley, taken  9 January 2003.</t>
  </si>
  <si>
    <t>b22334774</t>
  </si>
  <si>
    <t>The rose garden at Grant Burge Winery, Jacob's Creek in Barossa Valley, taken  9 January 2003.</t>
  </si>
  <si>
    <t>b22334786</t>
  </si>
  <si>
    <t>Looking at the main building over the pathway &amp; the rose garden at Grant Burge Winery, Jacob's Creek in Barossa Valley, taken  9 January 2003.</t>
  </si>
  <si>
    <t>b22334798</t>
  </si>
  <si>
    <t>Showing a section of the museum at Wolf Blass Winery in Barossa Valley, taken  9 January 2003.</t>
  </si>
  <si>
    <t>b22337908</t>
  </si>
  <si>
    <t>A view of Wolf Blass Winery building in the background and surrounding vineyard in the foreground at Barossa Valley, taken  9 January 2003.</t>
  </si>
  <si>
    <t>b22337945</t>
  </si>
  <si>
    <t>A close-up view of the front section of Chateau Tanunda in the Barossa Valley, taken 9 January 2003.</t>
  </si>
  <si>
    <t>b22337957</t>
  </si>
  <si>
    <t>A view of the Chateau Tanunda as seen from the Bluebird train in the Barossa Valley, taken 9 January 2003.</t>
  </si>
  <si>
    <t>b22337970</t>
  </si>
  <si>
    <t>Taken inside the Chateau Tanunda showing lots of wine barrels in the background Barossa Valley, taken 9 January 2003.</t>
  </si>
  <si>
    <t>b22337982</t>
  </si>
  <si>
    <t>Looking at the section of the railway line that leads to Nuriootpa town in the Barossa Valley, taken 9 January 2003.</t>
  </si>
  <si>
    <t>b22337994</t>
  </si>
  <si>
    <t>This view of Jacob's Creek was taken from the Bluebird train in the Barossa Valley, taken 9 January 2003.</t>
  </si>
  <si>
    <t>b22754581</t>
  </si>
  <si>
    <t>Nuriootpa</t>
  </si>
  <si>
    <t>Railway line leading away from the town of Nuriootpa, taken 9 January 2003.</t>
  </si>
  <si>
    <t>b22754611</t>
  </si>
  <si>
    <t>Bluebird Train</t>
  </si>
  <si>
    <t>The Bluebird Train at Adelaide Railway Station, taken 9 January 2003.</t>
  </si>
  <si>
    <t>b22754623</t>
  </si>
  <si>
    <t>b22754635</t>
  </si>
  <si>
    <t>A side view of a Bluebird Train 'Merlot' at Adelaide Railway Station, taken 9 January 2003.</t>
  </si>
  <si>
    <t>b22754672</t>
  </si>
  <si>
    <t>The Bluebird Train at Adelaide Railway Station with 'Barossa Wine Train' written on its side, taken 9 January 2003.</t>
  </si>
  <si>
    <t>b22754702</t>
  </si>
  <si>
    <t>A side view of Bluebird Train at Adelaide Railway Station with the word 'Chardonnay' written on its side, taken 9 January 2003.</t>
  </si>
  <si>
    <t>b22754726</t>
  </si>
  <si>
    <t>Mount Gambier</t>
  </si>
  <si>
    <t>A view of the signage for Engelbrecht Cave at Mt Gambier, taken 25 January 2003.</t>
  </si>
  <si>
    <t>b2275474x</t>
  </si>
  <si>
    <t>A view taken from across the road of the Mt GambierTourist Information Centre, taken 26 January 2003.</t>
  </si>
  <si>
    <t>b22754775</t>
  </si>
  <si>
    <t>A closer view showing the sign in front of the Mt GambierTourist Information Centre in Lady Nelson Park, taken 26 January 2003.</t>
  </si>
  <si>
    <t>b22754799</t>
  </si>
  <si>
    <t>The giant crayfish is the icon of Kingston town in the south east of SA, taken 27 January 2003.</t>
  </si>
  <si>
    <t>b22756012</t>
  </si>
  <si>
    <t>Engelbrook Reserve, Bridgewater</t>
  </si>
  <si>
    <t>A signage for the Engelbrook Reserve in Bridgewater which has a small section of Heyson Trail running through it, following the circuit trail,  13 April 2003.</t>
  </si>
  <si>
    <t>b22756048</t>
  </si>
  <si>
    <t>Cox's Creek south of Bridgewater and close to the Heyson Trail, 13 April 2003.</t>
  </si>
  <si>
    <t>b2275605x</t>
  </si>
  <si>
    <t>Bridgewater Mill</t>
  </si>
  <si>
    <t>Bridgewater Mill with the wheel in full view in this lovely bushland surrounding, 13 April 2003.</t>
  </si>
  <si>
    <t>b22756073</t>
  </si>
  <si>
    <t>Bridgewater Mill seen here surrounded by lovely tall trees, some in their autumn colours, 13 April 2003.</t>
  </si>
  <si>
    <t>b22756140</t>
  </si>
  <si>
    <t>The Bridgewater Mill sign attached to a wheel in the parking area in a lovely bushland surrounding, 13 April 2003.</t>
  </si>
  <si>
    <t>b22756309</t>
  </si>
  <si>
    <t>Saint Michael's -all that remains after it was destroyed in the Ash Wednesday bushfires, 13 April 2003.</t>
  </si>
  <si>
    <t>b22756449</t>
  </si>
  <si>
    <t>Ruins north of Mylor</t>
  </si>
  <si>
    <t>Some ruins, north of Mylor near the Heysen Trail, 13 April 2003.</t>
  </si>
  <si>
    <t>b22869402</t>
  </si>
  <si>
    <t>Cox's Creek</t>
  </si>
  <si>
    <t>Cox's Creek on Heysen Trail in Engelbrook Reserve, Bridgewater, 13 April 2003.</t>
  </si>
  <si>
    <t>b22906265</t>
  </si>
  <si>
    <t>Carclew at North Adelaide</t>
  </si>
  <si>
    <t>Carclew mansion at North Adelaide with the tower in view, 20 May 2003.</t>
  </si>
  <si>
    <t>b21282080</t>
  </si>
  <si>
    <t>Beachfront at Glenelg</t>
  </si>
  <si>
    <t>Site at Glenelg following the demolition of entertainment venue 'Magic Mountain', 24 October 2004.</t>
  </si>
  <si>
    <t>b21282109</t>
  </si>
  <si>
    <t>Site at Glenelg following the demolition of entertainment venue 'Magic Mountain', 24 October 2004. Building equipment is visible in the middle distance with a stone retaining wall in the foreground.</t>
  </si>
  <si>
    <t>b21282134</t>
  </si>
  <si>
    <t>Site at Glenelg following the demolition of entertainment venue, 'Magic Mountain', 24 October 2004, with a stone retaining wall behind the wire fence. High rise apartments are visible in the background.</t>
  </si>
  <si>
    <t>b21282304</t>
  </si>
  <si>
    <t>Site at Glenelg following the demolition of entertainment venue 'Magic Mountain', 24 October 2004, with a stone retaining wall behind the wire fence in the foreground. High rise apartments are visible in the background through the tall Norfalk Island pine trees.</t>
  </si>
  <si>
    <t>b2128233x</t>
  </si>
  <si>
    <t>Site at Glenelg following the demolition of entertainment venue 'Magic Mountain', 24 October 2004, with levelled ground and heavy machinery in the foreground. High rise apartments are barely visible in the background through the tall Norfalk Island pine trees.</t>
  </si>
  <si>
    <t>b21282407</t>
  </si>
  <si>
    <t>Waterfront at Glenelg</t>
  </si>
  <si>
    <t>Looking across the water towards Glenelg foreshore after the demolition of the entertainment venue 'Magic Mountain', 24 October 2004. In view, is the beach front with the high rise apartment buildings and the Norfalk Island pine trees beyond that.</t>
  </si>
  <si>
    <t>b21283102</t>
  </si>
  <si>
    <t>Waterfront at Port Adelaide</t>
  </si>
  <si>
    <t>Looking across the water towards Port Adelaide, 24 October 2004. In view, are various boats with the storage sheds in the background.</t>
  </si>
  <si>
    <t>b21283114</t>
  </si>
  <si>
    <t>Man-made lake at Tanunda</t>
  </si>
  <si>
    <t>A section of Maggie Beer's restaurant  over-looking the man-made lake and the surrounding bushland in the background, 13 November 2004.</t>
  </si>
  <si>
    <t>b21283618</t>
  </si>
  <si>
    <t>Barossa Valley near Tanunda</t>
  </si>
  <si>
    <t>A view of the open country-side with  railway track running along the road in the  Barossa Valley near Chateau Dorrien Winery, Tanunda, 13 November 2004.</t>
  </si>
  <si>
    <t>b21283667</t>
  </si>
  <si>
    <t>Cemetery near Chateau Dorrien in Tanunda, Barossa Valley</t>
  </si>
  <si>
    <t>View of cemetery in the foreground with Chateau Dorrien Winery in the background, at Tanunda in the Barossa Valley, 13 November 2004.</t>
  </si>
  <si>
    <t>b21286115</t>
  </si>
  <si>
    <t>Barn at Smithfield</t>
  </si>
  <si>
    <t>A picturesque view of an old brick barn with bright red doors, gable and roofline which is set off by the blue sky above and the green bushy grassland in the foreground, 13 November 2004.</t>
  </si>
  <si>
    <t>b21287478</t>
  </si>
  <si>
    <t>A view of the area known as the 'Amphitheatre' in the Hallett Cove Reserve with an over-caste sky, 8  December 2004.</t>
  </si>
  <si>
    <t>b2128748x</t>
  </si>
  <si>
    <t>Sugarloaf, Hallett Cove Reserve</t>
  </si>
  <si>
    <t>A close-up of the 'Sugarloaf' in the Hallett Cove Reserve with the boardwalk partly visible on the right under an over-caste sky, 8  December 2004.</t>
  </si>
  <si>
    <t>b2129348x</t>
  </si>
  <si>
    <t>A wedding in Tanunda</t>
  </si>
  <si>
    <t>The wedding of Heather Salter and Jay Snowden: the bride &amp; groom seated at a table with the official/marriage celebrant (conducting some formality) and standing nearby are the witnesses and members of their families, 13  November 2004.</t>
  </si>
  <si>
    <t>Snowden, Jay;Snowden, Heather</t>
  </si>
  <si>
    <t>b22906642</t>
  </si>
  <si>
    <t>'Cold &amp; Wet' Farm</t>
  </si>
  <si>
    <t>A letter box at the front of this Farming property named 'Cold &amp; Wet', taken 10 January 2004.</t>
  </si>
  <si>
    <t>b2290668x</t>
  </si>
  <si>
    <t>Saint Michael's, the remains after it was destroyed in the Ash Wednesday bushfires, 16 January 2004.</t>
  </si>
  <si>
    <t>b22906721</t>
  </si>
  <si>
    <t>Australia Day parade on King William Road, looking north, 26 January 2004.</t>
  </si>
  <si>
    <t>b22906757</t>
  </si>
  <si>
    <t>During Australia Day celebration Premier Rann giving a speech in Victoria Square, 26 January 2004.</t>
  </si>
  <si>
    <t>b22906769</t>
  </si>
  <si>
    <t>During Australia Day celebrations the crowd listening to Premier Rann giving a speech in Victoria Square, 26 January 2004.</t>
  </si>
  <si>
    <t>b22906770</t>
  </si>
  <si>
    <t>During Australia Day celebrations a large crowd watching 'daylight' fireworks in Victoria Square, 26 January 2004.</t>
  </si>
  <si>
    <t>b22906897</t>
  </si>
  <si>
    <t>North Brighton Cemetery</t>
  </si>
  <si>
    <t>A section of North Brighton Cemetery with some late 20th century graves, 7 February 2004.</t>
  </si>
  <si>
    <t>b22906915</t>
  </si>
  <si>
    <t>A section of North Brighton Cemetery with some early 20th century graves, 7 February 2004.</t>
  </si>
  <si>
    <t>b22906940</t>
  </si>
  <si>
    <t>A section of North Brighton Cemetery with some early 20th century graves and a family plot (the grey grave), 7 February 2004.</t>
  </si>
  <si>
    <t>b22906976</t>
  </si>
  <si>
    <t>A section of North Brighton Cemetery with more of early 20th century graves, 7 February 2004.</t>
  </si>
  <si>
    <t>b2290699x</t>
  </si>
  <si>
    <t>A view of North Brighton Cemetery with an early 20th century grave in the foreground, 7 February 2004.</t>
  </si>
  <si>
    <t>b22907026</t>
  </si>
  <si>
    <t>A view of North Brighton Cemetery with a grave of an Australian Service man in the foreground, 7 February 2004.</t>
  </si>
  <si>
    <t>b22907063</t>
  </si>
  <si>
    <t>A close-up view taken at North Brighton Cemetery of headstones of an Australian Service man and his wife's combined grave, 7 February 2004.</t>
  </si>
  <si>
    <t>b22907981</t>
  </si>
  <si>
    <t>In the promotion area this young lady is with Peter Jackson's team at the Adelaide Clipsal 500, 20 March 2004.</t>
  </si>
  <si>
    <t>b2290802x</t>
  </si>
  <si>
    <t>In the promotions area Stephen Giles with this young lady who works in Peter Jackson's team at the Adelaide Clipsal 500, 20 March 2004.</t>
  </si>
  <si>
    <t>b22908092</t>
  </si>
  <si>
    <t>In the promotion area these girls are working for Coopers Brewery at the Adelaide Clipsal 500, 20 March 2004.</t>
  </si>
  <si>
    <t>b22908134</t>
  </si>
  <si>
    <t>A carnival seen with crowds watching race-horses on parade in the centre, at the Oakbank Races, 10 April 2004.</t>
  </si>
  <si>
    <t>b2290816x</t>
  </si>
  <si>
    <t>A view of the starting gate near the grandstands at the Oakbank Races, 10 April 2004.</t>
  </si>
  <si>
    <t>b22908286</t>
  </si>
  <si>
    <t>Crowds along the track watching a horse-race in progress at the Oakbank Races, 10 April 2004.</t>
  </si>
  <si>
    <t>b22908328</t>
  </si>
  <si>
    <t>Crowds watching horses being paraded at the Oakbank Races, 10 April 2004.</t>
  </si>
  <si>
    <t>b22908377</t>
  </si>
  <si>
    <t>Crowds along the track watching horses in a hurdle-race at the Oakbank Races, 10 April 2004.</t>
  </si>
  <si>
    <t>b22908456</t>
  </si>
  <si>
    <t>A carnival seen with some people riding on camels in the foreground and a side-show ride visible above the trailer-vans at the Oakbank Races, 10 April 2004.</t>
  </si>
  <si>
    <t>b22908596</t>
  </si>
  <si>
    <t>Taken behind the main stands (in green and silver) with some action captured between the parking area and the racetracks at Oakbank Races, 10 April 2004.</t>
  </si>
  <si>
    <t>b22909187</t>
  </si>
  <si>
    <t>A panoramic view of Oakbank showing a large area occupied by the racegoers during Oakbank Races, taken 10 April 2004.</t>
  </si>
  <si>
    <t>b22909199</t>
  </si>
  <si>
    <t>Another panoramic view of Oakbank showing a large area occupied by the racegoers away from the race-tracks during Oakbank Races, taken 10 April 2004.</t>
  </si>
  <si>
    <t>b22985372</t>
  </si>
  <si>
    <t>A large crowd watching horses in a hurdle-race at the Oakbank Races, 10 April 2004.</t>
  </si>
  <si>
    <t>b22985384</t>
  </si>
  <si>
    <t>Oakbank House</t>
  </si>
  <si>
    <t>The Oakbank House built in 19th century near the Oakbank Race track, 10 April 2004.</t>
  </si>
  <si>
    <t>b22985402</t>
  </si>
  <si>
    <t>The Oakbank House seen in the distance through an avenue of trees, 10 April 2004.</t>
  </si>
  <si>
    <t>b22985426</t>
  </si>
  <si>
    <t>A SA Ambulance vehicle on the track in front of the stands at Oakbank Races, 10 April 2004.</t>
  </si>
  <si>
    <t>b22985517</t>
  </si>
  <si>
    <t>A horse being paraded on the track and crowds milling about in the background, Oakbank Races, 10 April 2004.</t>
  </si>
  <si>
    <t>b22985578</t>
  </si>
  <si>
    <t>Disused tram</t>
  </si>
  <si>
    <t>A disused tram sitting under a tree, not far from the parking area at Oakbank Races, 10 April 2004. A researcher has provided the following information: This is half of the body of an MTT Adelaide, D class electric tram 137.</t>
  </si>
  <si>
    <t>b22985669</t>
  </si>
  <si>
    <t>Saint Michael's, the remains after it was destroyed in the Ash Wednesday bushfires, 10 April 2004.</t>
  </si>
  <si>
    <t>b22986121</t>
  </si>
  <si>
    <t>Saint Michael's entrance building, the remains after it was destroyed in the Ash Wednesday bushfires, 10 April 2004.</t>
  </si>
  <si>
    <t>b22986169</t>
  </si>
  <si>
    <t>River Torrens at West Beach</t>
  </si>
  <si>
    <t>Looking east River Torrens and surrounding banks at West Beach, 18 April 2004.</t>
  </si>
  <si>
    <t>b22986200</t>
  </si>
  <si>
    <t>Banks of River Torrens &amp; Tapley Hill Road Bridge</t>
  </si>
  <si>
    <t>Looking east along the banks of River Torrens with Tapley Hill Road bridge seen in the distance, 18 April 2004.</t>
  </si>
  <si>
    <t>b22986212</t>
  </si>
  <si>
    <t>Looking east along River Torrens and the surrounding banks at West Beach, 18 April 2004.</t>
  </si>
  <si>
    <t>b2298625x</t>
  </si>
  <si>
    <t>Looking west along the bank of River Torrens at West Beach, 18 April 2004.</t>
  </si>
  <si>
    <t>b22986261</t>
  </si>
  <si>
    <t>River Torrens at Tapley Hill Road Bridge</t>
  </si>
  <si>
    <t>Looking south, across the River Torrens and under Tapley Hill Road bridge, 18 April 2004.</t>
  </si>
  <si>
    <t>b22986273</t>
  </si>
  <si>
    <t>Tapley Hill Road Bridge over River Torrens</t>
  </si>
  <si>
    <t>Looking east and a closer view of Tapley Hill Road bridge as it sits over the Torrens, 18 April 2004.</t>
  </si>
  <si>
    <t>b22989158</t>
  </si>
  <si>
    <t>Banks and River Torrens nearTapleys Hill Road Bridge</t>
  </si>
  <si>
    <t>Looking west at the banks and River Torrens near the Tapley Hill Road bridge, 18 April 2004.</t>
  </si>
  <si>
    <t>b22989213</t>
  </si>
  <si>
    <t>Sea at Glenelg</t>
  </si>
  <si>
    <t>At Glenelg a party of 4 men with a BBQ on the 'blocks' in the sea, 18 April 2004.</t>
  </si>
  <si>
    <t>b22989304</t>
  </si>
  <si>
    <t>Banks of River Torrens at West Beach</t>
  </si>
  <si>
    <t>At West Beach looking at the walking trail along the banks of River Torrens, 18 April 2004.</t>
  </si>
  <si>
    <t>b22989341</t>
  </si>
  <si>
    <t>'Magic Mountain' at Glenelg</t>
  </si>
  <si>
    <t>Car park and entertainment venue 'Magic Mountain' with the big water slide at Glenelg, 8 August 2004.</t>
  </si>
  <si>
    <t>b22990446</t>
  </si>
  <si>
    <t>Partly hidden from view the entrance doos to the entertainment venue 'Magic Mountain' at Glenelg, 8 August 2004.</t>
  </si>
  <si>
    <t>b2299046x</t>
  </si>
  <si>
    <t>More of Glenelg's 'Magic Mountain' entertainment behind the fence, a mini-golf area and above it the structure for chair lift, 8 August 2004.</t>
  </si>
  <si>
    <t>b22990495</t>
  </si>
  <si>
    <t>More of Glenelg's 'Magic Mountain' entertainment behind the fence, a mini-golf area and above it  the structure for chair lift, 8 August 2004.</t>
  </si>
  <si>
    <t>b22990562</t>
  </si>
  <si>
    <t>Taken from Glenelg jetty, the beachfront reveals part of an apartment block on the left, the 'Magic Mountain' with the tall pine trees growing everywhere, 8 August 2004.</t>
  </si>
  <si>
    <t>b22990641</t>
  </si>
  <si>
    <t>Looking across the water from Glenelg jetty at the sandy beach with the Surf Club and apartment blocks on the left, the 'Magic Mountain' and tall pine trees complete the landscape, 8 August 2004.</t>
  </si>
  <si>
    <t>b22990781</t>
  </si>
  <si>
    <t>As seen from the car park the 'Magic Mountain' looming in the background at Glenelg, 8 August 2004.</t>
  </si>
  <si>
    <t>b22990847</t>
  </si>
  <si>
    <t>As seen from Glenelg jetty, past the water and the sandy beach with the apartment blocks on the left, the 'Magic Mountain' and tall pine trees, 8 August 2004.</t>
  </si>
  <si>
    <t>b22991050</t>
  </si>
  <si>
    <t>Looking across the water towards the beachfront at Glenelg with the the highrise apartment blocks,  pine trees, the 'Magic Mountain' and buildings nearJetty Road, 8 August 2004.</t>
  </si>
  <si>
    <t>b22991116</t>
  </si>
  <si>
    <t>Looking across the water towards the beachfront at Glenelg with the the highrise apartment blocks, pine trees, the 'Magic Mountain' in the centre and buildings nearJetty Road, 8 August 2004.</t>
  </si>
  <si>
    <t>b22991190</t>
  </si>
  <si>
    <t>b21059457</t>
  </si>
  <si>
    <t>Nathan and Miriam Solomon Centre</t>
  </si>
  <si>
    <t>15.2 cm x 10.2 cm</t>
  </si>
  <si>
    <t>Nathan and Miriam Solomon Centre, an Orthodox Synagogue built in 1990.</t>
  </si>
  <si>
    <t>Nathan and Miriam Solomon Centre (Glenside, S.A.);Synagogues -- South Australia -- Glenside</t>
  </si>
  <si>
    <t>Glenside Collection</t>
  </si>
  <si>
    <t>b21059469</t>
  </si>
  <si>
    <t>Black and white photograph of the Nathan and Miriam Solomon Centre, an Orthodox Synagogue built in 1990.</t>
  </si>
  <si>
    <t>b21059470</t>
  </si>
  <si>
    <t>Knoxville Jubilee Bible Church</t>
  </si>
  <si>
    <t>Front view of the Knoxville Jubilee Bible Church, built in Glenside in 1887.</t>
  </si>
  <si>
    <t>Knoxville Jubilee Bible Church (Glenside, S.A.);Congregational churches -- South Australia -- Glenside</t>
  </si>
  <si>
    <t>b21059482</t>
  </si>
  <si>
    <t>Side view of Knoxville Jubilee Bible Church, built in Glenside in 1887.</t>
  </si>
  <si>
    <t>b21059494</t>
  </si>
  <si>
    <t>Salvation Army Hostel</t>
  </si>
  <si>
    <t>Salvation Army Hostel in Whitmore Square, built in 1898.</t>
  </si>
  <si>
    <t>Salvation Army Hostel (Adelaide, S.A.);Salvation Army -- South Australia -- Charities</t>
  </si>
  <si>
    <t>b21059500</t>
  </si>
  <si>
    <t>Black and white photograph of the Salvation Army Hostel in Whitmore Square, built in 1898.</t>
  </si>
  <si>
    <t>b21059524</t>
  </si>
  <si>
    <t>Baha'I Information Office</t>
  </si>
  <si>
    <t>Baha'I Information Office on Brighton Road.</t>
  </si>
  <si>
    <t>Baha'I Information Office (Brighton, S.A.);Bahai faith -- South Australia -- Brighton</t>
  </si>
  <si>
    <t>b21059536</t>
  </si>
  <si>
    <t>Black and white photograph of the Baha'I Information Office on Brighton Road.</t>
  </si>
  <si>
    <t>Baha'I Information Office (Brighton, S.A.);Bahai Faith -- South Australia -- Brighton</t>
  </si>
  <si>
    <t>b21059548</t>
  </si>
  <si>
    <t>Unitarian Church of South Australia, Norwood</t>
  </si>
  <si>
    <t>Black and white photograph of the Unitarian Church of South Australia on Osmond Terrace, Norwood.</t>
  </si>
  <si>
    <t>Unitarian Church of South Australia;Unitarian church buildings -- South Australia -- Norwood</t>
  </si>
  <si>
    <t>b2105955x</t>
  </si>
  <si>
    <t>Unitarian Church of South Australia, Norwood with the Rev Don Beaudreault</t>
  </si>
  <si>
    <t>Black and white photograph of the Unitarian Church of South Australia on Osmond Terrace, Norwood with the Rev Don Beaudreault standing on the verandah.</t>
  </si>
  <si>
    <t>Beaudreault, Don;Unitarian Church of South Australia;Unitarian church buildings -- South Australia -- Norwood</t>
  </si>
  <si>
    <t>b21059561</t>
  </si>
  <si>
    <t>Interior of the Unitarian Church of South Australia, Norwood</t>
  </si>
  <si>
    <t>The interior of the Unitarian church, showing the altar and a painting depicting the history of Unitarian faith by John Dowie, who is a member of this church.</t>
  </si>
  <si>
    <t>Dowie, John, 1915-2008;Unitarian Church of South Australia;Unitarian church buildings -- South Australia -- Norwood</t>
  </si>
  <si>
    <t>b21059573</t>
  </si>
  <si>
    <t>Russian Orthodox Church of St Nicholas (Abroad) Inc</t>
  </si>
  <si>
    <t>Front view of the Russian Orthodox Church of St Nicholas (Abroad) Inc. on Greenhill Road.</t>
  </si>
  <si>
    <t>Russian Orthodox Church (Wayville, S.A.);Orthodox Eastern Church -- South Australia -- Wayville</t>
  </si>
  <si>
    <t>b21059585</t>
  </si>
  <si>
    <t>Gate of the mosque, Little Gilbert Street</t>
  </si>
  <si>
    <t>Gate of the mosque on Little Gilbert Street in Adelaide.</t>
  </si>
  <si>
    <t>Mosques -- South Australia -- Adelaide</t>
  </si>
  <si>
    <t>Acre 619 Collection</t>
  </si>
  <si>
    <t>b21059597</t>
  </si>
  <si>
    <t>Gate and minarets of the mosque, Little Gilbert Street</t>
  </si>
  <si>
    <t>Gate and minarets of the mosque on Little Gilbert Street in Adelaide.</t>
  </si>
  <si>
    <t>b21059603</t>
  </si>
  <si>
    <t>Black and white photograph of the gate and minarets of the mosque on Little Gilbert Street in Adelaide.</t>
  </si>
  <si>
    <t>b21059627</t>
  </si>
  <si>
    <t>Southern Cross Retirement Home</t>
  </si>
  <si>
    <t>Southern Cross Retirement Home on Marion Road, built in 2005.</t>
  </si>
  <si>
    <t>Southern Cross Retirement Home (Plympton, S.A.);Older people -- Dwellings -- South Australia</t>
  </si>
  <si>
    <t>b21059639</t>
  </si>
  <si>
    <t>Southern Cross Retirement Home on Marion Road, showing the original home.</t>
  </si>
  <si>
    <t>b21059640</t>
  </si>
  <si>
    <t>Monument of the grave of the Gilbert family</t>
  </si>
  <si>
    <t>Monument of the grave of the Gilbert family of Hay Road, Linden Park at St Saviour's Anglican Cemetery, Glen Osmond.</t>
  </si>
  <si>
    <t>Gilbert (Family);St. Saviour's Anglican Cemetery (Glen Osmond, S.A.)</t>
  </si>
  <si>
    <t>b21059652</t>
  </si>
  <si>
    <t>Black and white photograph of the monument of the grave of the Gilbert family of Hay Road, Linden Park at St. Saviour's Anglican Cemetery, Glen Osmond.</t>
  </si>
  <si>
    <t>b21059676</t>
  </si>
  <si>
    <t>Inscription on the monument of the grave of the Gilbert family</t>
  </si>
  <si>
    <t>Inscription on the monument of the grave of the Gilbert family of Hay Road, Linden Park at St. Saviour's Anglican Cemetery, Glen Osmond.</t>
  </si>
  <si>
    <t>b21059688</t>
  </si>
  <si>
    <t>New Church and Swedenborg Theological Centre</t>
  </si>
  <si>
    <t>New Church and Swedenborg Theological Centre, Oaklands Road, Warradale.</t>
  </si>
  <si>
    <t>New Church and Swedenborg Theological Centre (Warradale, S.A.);Swedish churches -- South Australia -- Warradale</t>
  </si>
  <si>
    <t>b2105969x</t>
  </si>
  <si>
    <t>Sign for the New Church and Swedenborg Theological Centre</t>
  </si>
  <si>
    <t>Sign for the New Church and Swedenborg Theological Centre, Oaklands Road, Warradale.</t>
  </si>
  <si>
    <t>b21059706</t>
  </si>
  <si>
    <t>Front gate and sign for the Adelaide Day Centre for Homeless Persons</t>
  </si>
  <si>
    <t>Black and white photograph of the front gate and sign for the Adelaide Day Centre for Homeless Persons at 32 Moore Street, Adelaide.</t>
  </si>
  <si>
    <t>Adelaide Day Centre for Homeless Persons;Homelessness -- South Australia -- Adelaide</t>
  </si>
  <si>
    <t>b21059718</t>
  </si>
  <si>
    <t>Chapel of the Julian Centre for Spirituality</t>
  </si>
  <si>
    <t>Chapel of the Julian Centre for Spirituality at 133 A Henley Beach Road, Mile End.</t>
  </si>
  <si>
    <t>Julian Centre for Spirituality (Mile End, S.A.)</t>
  </si>
  <si>
    <t>b21061026</t>
  </si>
  <si>
    <t>The Rev Philip Carter and Maxine in the office of the Julian Centre for Spirituality</t>
  </si>
  <si>
    <t>The Rev Philip Carter and Maxine in the office of the Julian Centre for Spirituality at 133 A Henley Beach Road, Mile End.</t>
  </si>
  <si>
    <t>Carter, Philip;Julian Centre for Spirituality (Mile End, S.A.)</t>
  </si>
  <si>
    <t>b2106104x</t>
  </si>
  <si>
    <t>Black and white photograph of the Rev Philip Carter and Maxine in the office of the Julian Centre for Spirituality at 133 A Henley Beach Road, Mile End.</t>
  </si>
  <si>
    <t>b21061051</t>
  </si>
  <si>
    <t>The Rev Philip Carter and Maxine standing in the doorway of the office of the Julian Centre for Spirituality</t>
  </si>
  <si>
    <t>Black and white photograph of the Rev Philip Carter and Maxine standing in the doorway of the office of the Julian Centre for Spirituality at 133 A Henley Beach Road, Mile End.</t>
  </si>
  <si>
    <t>b21061063</t>
  </si>
  <si>
    <t>Pastor Jude Noble</t>
  </si>
  <si>
    <t>Photograph  5.2 cm x 10.2 cm</t>
  </si>
  <si>
    <t>Pastor Jude Noble of the Vine and Olive Branch Metropolitan Community Church, Pennington Terrace, North Adelaide.</t>
  </si>
  <si>
    <t>Noble, Jude</t>
  </si>
  <si>
    <t>b21061075</t>
  </si>
  <si>
    <t>Laube, Anthony, photographer</t>
  </si>
  <si>
    <t>Truffy and Desmond of the Bfriend support service</t>
  </si>
  <si>
    <t>Truffy Maginnis and Desmond Ford of the Bfriend LGBTIQ peer support service, Uniting Care Wesley, Pitt Street, Adelaide.</t>
  </si>
  <si>
    <t>Ford, Desmond;Maginnis, Truffy;Bfriend Project (Adelaide, S.A.);Uniting Church in Australia -- South Australia -- Adelaide;UnitingCare Wesley;Lesbians -- Services for -- South Australia;Gay men -- Services for -- South Australia;Intersex people -- Services for -- South Australia;Transgender people -- Services for -- South Australia;Sexual minorities -- Services for -- South Australia</t>
  </si>
  <si>
    <t>b21061099</t>
  </si>
  <si>
    <t>Black and white photograph of Truffy Maginnis and Desmond Ford of the Bfriend LGBTIQ peer support service, Uniting Care Wesley, Pitt Street, Adelaide.</t>
  </si>
  <si>
    <t>b21061105</t>
  </si>
  <si>
    <t>b21286255</t>
  </si>
  <si>
    <t>Sunset Cove Marina at Second Valley</t>
  </si>
  <si>
    <t>A view across the water with boats anchored on either side in the dockage area of the Marina and looming across in the background are the barren hills with a section of the Sunset Cove (formerly the Wirrina Cove) visible in the centre, under a patchy blue sky, 29 November 2005.</t>
  </si>
  <si>
    <t>b21287466</t>
  </si>
  <si>
    <t>Looking down from the Sugarloaf across the Hallett Cove Reserve towards the sea, 29 November 2005.</t>
  </si>
  <si>
    <t>b21287491</t>
  </si>
  <si>
    <t>Flinders University, Artwork</t>
  </si>
  <si>
    <t>An artwork in stone with the word, "DEARTH" inscribed on it in a bushland setting at the Flinders University, 6  February 2005.</t>
  </si>
  <si>
    <t>b21287557</t>
  </si>
  <si>
    <t>Australian Army Tank at Adelaide Clipsal 500</t>
  </si>
  <si>
    <t>An Australian Army Tank, a M-1113 armoured troop carrier on display at the Adelaide Clipsal 500, 19  March 2005.</t>
  </si>
  <si>
    <t>b21287582</t>
  </si>
  <si>
    <t>Night time celebrations to conclude Adelaide Clipsal 500</t>
  </si>
  <si>
    <t>A large, brightly coloured balloon floating above the crowd during the night time celebrations to conclude the big race, Adelaide Clipsal 500, 19  March 2005.</t>
  </si>
  <si>
    <t>b21287624</t>
  </si>
  <si>
    <t>Wayville Showgrounds during Adelaide Clipsal 500</t>
  </si>
  <si>
    <t>A large, brightly coloured balloon in the centre that stands out in the darkness above the crowd during the celebrations to conclude the Adelaide Clipsal 500, 19  March 2005.</t>
  </si>
  <si>
    <t>b21287661</t>
  </si>
  <si>
    <t>A crowd in the foreground enjoying the celebrations and a brightly lit ride, sky diver looms out of the darkness in the background during the celebrations to conclude the Adelaide Clipsal 500, 19  March 2005.</t>
  </si>
  <si>
    <t>b21288306</t>
  </si>
  <si>
    <t>Adelaide Clipsal 500 East Parklands</t>
  </si>
  <si>
    <t>5 young women in orange jumpsuits 'representing Barter cards' are standing in the foreground under a structure seen in the bacground and the track barely visible further away, 19  March 2005.</t>
  </si>
  <si>
    <t>b21288318</t>
  </si>
  <si>
    <t>Two young women in short black promotional outfit, posing in front of a temporary fencing. Visible in the background is the workers tents lined up on the left, under the trees, 19  March 2005.</t>
  </si>
  <si>
    <t>b21290556</t>
  </si>
  <si>
    <t>J &amp; A G Johnston Brewery in Oakbank</t>
  </si>
  <si>
    <t>Showing a section of the J &amp; A G Johnston Brewery building that was also known as the Oakland Cordial &amp; Winery and is said to be the oldest family business in SA, 26  March 2005.</t>
  </si>
  <si>
    <t>b21290775</t>
  </si>
  <si>
    <t>J &amp; A G Johnston Brewery at Oakbank</t>
  </si>
  <si>
    <t>View of a section of the building showing the old chimney and the tower. It is now  the J &amp; A G Johnston Brewery which was also known as the Oakbank Cordial &amp; Brewery, that is said to be the oldest known family business in SA, 26  March 2005.</t>
  </si>
  <si>
    <t>b21290787</t>
  </si>
  <si>
    <t>A jockey garden statue at the Oakbank Races</t>
  </si>
  <si>
    <t>A view of a garden section showing a garden statue of a jockey, 26  March 2005.</t>
  </si>
  <si>
    <t>Gardens -- South Australia</t>
  </si>
  <si>
    <t>b21291123</t>
  </si>
  <si>
    <t>A carnival scene with a girl riding a small horse in the foreground and people, vehicles and tents in the background at the Oakbank Easter Racing Carnival, 26  March 2005.</t>
  </si>
  <si>
    <t>b21292292</t>
  </si>
  <si>
    <t>A Jazz band playing near a staircase in the foreground with some people under a shady tree on the far right in the background at the Oakbank Easter Racing Carnival, 26  March 2005.</t>
  </si>
  <si>
    <t>b21292309</t>
  </si>
  <si>
    <t>A band, ('Rich..?') playing under a tree in the centre with a yellow building providing a backdrop on the right, a scene from the Oakbank Easter Racing Carnival, 26  March 2005.</t>
  </si>
  <si>
    <t>b21293466</t>
  </si>
  <si>
    <t>The cross-bench half of the MTT Adelaide's D class tram 137 abandoned under a big gum tree in a paddock at Oakbank Racecourse, with vehicles parked in the next paddock during the Oakbank Easter Racing Carnival, 26 March 2005.</t>
  </si>
  <si>
    <t>Oakbank Easter Racing Carnival;Trams -- South Australia;Oakbank (S.A.)</t>
  </si>
  <si>
    <t>b21293478</t>
  </si>
  <si>
    <t>A so called "walking band" (of 3 men dressed in white hats, coats and black &amp; white checked trousers) playing in the foreground with the race track and crowds in the background, taken during from the Oakbank Easter Racing Carnival, 26  March 2005.</t>
  </si>
  <si>
    <t>b22027075</t>
  </si>
  <si>
    <t>Repatriation General Hospital at Daw Park</t>
  </si>
  <si>
    <t>The Repatriation General Hospital at Daw Park. Some of the new buildings near the Springbank Cafe, 11 August 2005.</t>
  </si>
  <si>
    <t>b22027099</t>
  </si>
  <si>
    <t>b22027130</t>
  </si>
  <si>
    <t>The Repatriation General Hospital at Daw Park. At Ward 17 looking at Ward 21, 10 August 2005.</t>
  </si>
  <si>
    <t>b22027154</t>
  </si>
  <si>
    <t>Glenelg to City Tram</t>
  </si>
  <si>
    <t>Glenelg to City Tram at Morphett Road level crossing, 7 August 2005.</t>
  </si>
  <si>
    <t>b2202783x</t>
  </si>
  <si>
    <t>Glenelg to City Tram being tested at Morphett Road race track, 7 August 2005.</t>
  </si>
  <si>
    <t>b22027865</t>
  </si>
  <si>
    <t>Glenelg to City Tram at Morphett Road, 7 August 2005.</t>
  </si>
  <si>
    <t>b22027920</t>
  </si>
  <si>
    <t>The remains of St. Michael's at Mt Lofty, 6 August 2005.</t>
  </si>
  <si>
    <t>b2202797x</t>
  </si>
  <si>
    <t>A side view of the remains of St. Michael's at Mt Lofty, 6 August 2005.</t>
  </si>
  <si>
    <t>b22028043</t>
  </si>
  <si>
    <t>Rainbow Warrior at Port Adelaide</t>
  </si>
  <si>
    <t>A view of Greenpeace- Rainbow Warrior docked at Pt Adelaide, 27 August 2005.</t>
  </si>
  <si>
    <t>b21169329</t>
  </si>
  <si>
    <t>Backyard cricket</t>
  </si>
  <si>
    <t>A game of backyard cricket underway at the Kernick family reunion in Adelaide, 26 December 2006. Daniel Congedi (left, with bat) and Thomas Giles.</t>
  </si>
  <si>
    <t>Giles, Thomas;Congedi, Daniel;Cricket -- South Australia -- Adelaide</t>
  </si>
  <si>
    <t>b21169330</t>
  </si>
  <si>
    <t>Belair Railway Station</t>
  </si>
  <si>
    <t>Photograph, looking west, of the tracks running through the Belair Railway Station, with part of the shelter shed (waiting room) for travellers to Belair National Park on the left.</t>
  </si>
  <si>
    <t>b21169342</t>
  </si>
  <si>
    <t>View of Belair Railway Station, looking east along the tracks, with the remains of the fire-damaged signal box and station master's office on the right.</t>
  </si>
  <si>
    <t>b21169354</t>
  </si>
  <si>
    <t>View of Belair Railway Station's fire-damaged signal box on the southern platform.</t>
  </si>
  <si>
    <t>b21169366</t>
  </si>
  <si>
    <t>View (looking north-east) of Belair Railway Station's fire-damaged signal box on the southern platform, with the remains of the station master's office beyond.</t>
  </si>
  <si>
    <t>b21169378</t>
  </si>
  <si>
    <t>View of the collection of railway signals at the Belair Railway Station (taken looking east).</t>
  </si>
  <si>
    <t>Belair Railway Station;Railroads -- South Australia -- Belair -- signal towers</t>
  </si>
  <si>
    <t>b2116938x</t>
  </si>
  <si>
    <t>View of the collection of railway signals at the Belair Railway Station (taken looking west).</t>
  </si>
  <si>
    <t>Belair Railway Station;Railroad signal towers -- South Australia -- Belair</t>
  </si>
  <si>
    <t>b22028067</t>
  </si>
  <si>
    <t>Wallaroo Railway Station</t>
  </si>
  <si>
    <t>A view of the Wallaroo Railway Station, 29 January, 2006.</t>
  </si>
  <si>
    <t>b22030426</t>
  </si>
  <si>
    <t>F-4 cars at the Adelaide Clipsal 500, 25 March, 2006.</t>
  </si>
  <si>
    <t>b2203044x</t>
  </si>
  <si>
    <t>Ute racing cars at the Adelaide Clipsal 500, 25 March, 2006.</t>
  </si>
  <si>
    <t>b22030463</t>
  </si>
  <si>
    <t>A race truck on display at the Adelaide Clipsal 500, 25 March, 2006.</t>
  </si>
  <si>
    <t>b22030487</t>
  </si>
  <si>
    <t>An off-road race car on display at the Adelaide Clipsal 500, 25 March, 2006.</t>
  </si>
  <si>
    <t>b22030517</t>
  </si>
  <si>
    <t>An 'Aussie race car' at the Adelaide Clipsal 500, 25 March, 2006.</t>
  </si>
  <si>
    <t>b22030530</t>
  </si>
  <si>
    <t>A V-8 racing car at the Adelaide Clipsal 500, 25 March, 2006.</t>
  </si>
  <si>
    <t>b22030657</t>
  </si>
  <si>
    <t>A garden statue dressed as a jockey at the Oakbank Races, 15 April, 2006.</t>
  </si>
  <si>
    <t>b22030670</t>
  </si>
  <si>
    <t>Girls promoting the races at the Oakbank Races, 15 April, 2006.</t>
  </si>
  <si>
    <t>b22030682</t>
  </si>
  <si>
    <t>Woodside CFS  truck in the foreground at the Oakbank Races, 15 April, 2006.</t>
  </si>
  <si>
    <t>b22030736</t>
  </si>
  <si>
    <t>A carnival scene showing camels resting in the foreground with crowds of people and a colourfull tent in the background, at the Oakbank Races, 15 April, 2006.</t>
  </si>
  <si>
    <t>b22032046</t>
  </si>
  <si>
    <t>Naracoorte Girl Guides Hall</t>
  </si>
  <si>
    <t>Naracoorte Girl Guides Hall, 3 June, 2006.</t>
  </si>
  <si>
    <t>b22032058</t>
  </si>
  <si>
    <t>Bryant and Elva Giles</t>
  </si>
  <si>
    <t>Wedding of Bryant and Elva Giles at Naracoorte Unity Church, 3 June, 2006.</t>
  </si>
  <si>
    <t>b2203206x</t>
  </si>
  <si>
    <t>South Australian Police 4 wheel drive vehicle and horse trailer</t>
  </si>
  <si>
    <t>SA Police 4 wheel drive vehicle and horse trailer at Glenelg, 4 June, 2006.</t>
  </si>
  <si>
    <t>b22032083</t>
  </si>
  <si>
    <t>Paddle Boat at Renmark</t>
  </si>
  <si>
    <t>P. S. Industry paddle boat at Renmark, 30 June, 2006.</t>
  </si>
  <si>
    <t>b22032095</t>
  </si>
  <si>
    <t>Argo a 19th century river cargo boat at Renmark</t>
  </si>
  <si>
    <t>Argo: a 19th century river cargo boat on the River Murray at Renmark, 30 June, 2006.</t>
  </si>
  <si>
    <t>b22032101</t>
  </si>
  <si>
    <t>The Big Orange in the Riverland</t>
  </si>
  <si>
    <t>The Big Orange in the Riverland, 30 June, 2006.</t>
  </si>
  <si>
    <t>b22032125</t>
  </si>
  <si>
    <t>Girl Guide and Scout Hall at Waikerie</t>
  </si>
  <si>
    <t>Girl Guide and Scout Hall at Waikerie in the Riverland, 1 July, 2006.</t>
  </si>
  <si>
    <t>b22032137</t>
  </si>
  <si>
    <t>Bredl's Wonder World of Wildlife</t>
  </si>
  <si>
    <t>A signpost for Bredl's reptiles and animals wildlife park at Renmark, 30 June, 2006.</t>
  </si>
  <si>
    <t>b22032150</t>
  </si>
  <si>
    <t>Cemetery at Waikerie</t>
  </si>
  <si>
    <t>A view of the cemetery with the rock grave for still born babies in the foreground, 30 June, 2006.</t>
  </si>
  <si>
    <t>b22032162</t>
  </si>
  <si>
    <t>Wheat silos at Waikerie</t>
  </si>
  <si>
    <t>Wheat silos stand where the Waikerie Railway yard used to be, 29 June, 2006.</t>
  </si>
  <si>
    <t>b22032174</t>
  </si>
  <si>
    <t>Dead trees on the bank of River Murray at Waikerie</t>
  </si>
  <si>
    <t>A veiw of dead trees on the river bank, opposite to Waikerie town , 30 June, 2006.</t>
  </si>
  <si>
    <t>b31823853</t>
  </si>
  <si>
    <t>Pre-polling at the Marion Cultural Centre</t>
  </si>
  <si>
    <t>1 photograph : colour   10.2 x 15.1 cm;RESERVE 1 a;still image sti rdacontent;unmediated n rdamedia;sheet nb rdacarrier</t>
  </si>
  <si>
    <t>View of the pre-polling at the Marion Cultural Centre, showing placards from different political groups.</t>
  </si>
  <si>
    <t>Polling places -- South Australia -- Marion</t>
  </si>
  <si>
    <t>Marion Collection</t>
  </si>
  <si>
    <t>b31338914</t>
  </si>
  <si>
    <t>Let's Get Equal protest</t>
  </si>
  <si>
    <t>2006 October 14</t>
  </si>
  <si>
    <t>1 photograph : colour;still image sti rdacontent;computer c rdamedia;online resource cr rdacarrier;image file JPEG 2508 x 1917 pixels rda</t>
  </si>
  <si>
    <t>Group of protesters from the Let's Get Equal campaign at the Adelaide Festival Centre during the state ALP conference.</t>
  </si>
  <si>
    <t>Lesbian activists -- South Australia -- Adelaide;Gay activists -- South Australia -- Adelaide</t>
  </si>
  <si>
    <t>b21180234</t>
  </si>
  <si>
    <t>Australia Day celebrations at Elder Park</t>
  </si>
  <si>
    <t>The sign at the entrance to the Elder Park Australia Day celebrations with some of the marquees and crowd in the background.</t>
  </si>
  <si>
    <t>Australia Day -- South Australia -- Adelaide;Recreation areas -- South Australia -- Adelaide;Elder Park (Adelaide, S.A.)</t>
  </si>
  <si>
    <t>b21180246</t>
  </si>
  <si>
    <t>Two women at Elder Park</t>
  </si>
  <si>
    <t>Two women of African descent, both wearing traditional costume, and one of them holding an Australian and another flag, pictured at Elder Park on 26 January 2007 as part of the Australia Day celebrations. The Torrens Lake can be seen in the background.</t>
  </si>
  <si>
    <t>Australia Day -- South Australia -- Adelaide;Elder Park (Adelaide, S.A.)</t>
  </si>
  <si>
    <t>b21180258</t>
  </si>
  <si>
    <t>Australia Day parade</t>
  </si>
  <si>
    <t>Representatives from the Navy, Army and Air Force on parade at the Torrens Parade Ground as part of the Australia Day celebrations.</t>
  </si>
  <si>
    <t>Australia Day -- South Australia -- Adelaide</t>
  </si>
  <si>
    <t>b21185670</t>
  </si>
  <si>
    <t>At the Barossa Air Show</t>
  </si>
  <si>
    <t>Official group standing on the back of a restored antique truck at the Barossa Air Show at Rowland Flat, 15 April 2007. Squadron leader Bob Cowper is third from left.</t>
  </si>
  <si>
    <t>Antique and classic cars -- South Australia -- Rowland Flat</t>
  </si>
  <si>
    <t>b21185682</t>
  </si>
  <si>
    <t>Steam driven agricultural machinery in working order at the Barossa Air Show at Rowland Flat, 15 April 2007.</t>
  </si>
  <si>
    <t>Agricultural machinery</t>
  </si>
  <si>
    <t>b21185694</t>
  </si>
  <si>
    <t>Two antique vehicles on display at the Barossa Air Show at Rowland Flat (15 April 2007): a Chevrolet Biscayne on the left, and a 1920s Dodge sedan on the right.</t>
  </si>
  <si>
    <t>b21185700</t>
  </si>
  <si>
    <t>Balhannah Railway Station</t>
  </si>
  <si>
    <t>View of the lines running past the delipidated Balhannah Railway Station buildings, 7 April 2007.</t>
  </si>
  <si>
    <t>b21185712</t>
  </si>
  <si>
    <t>View of an old cargo crane on the platform of the delipidated Balhannah Railway Station, 7 April 2007.</t>
  </si>
  <si>
    <t>b21186388</t>
  </si>
  <si>
    <t>Goolwa train</t>
  </si>
  <si>
    <t>View of the Goolwa Railway engine at the station, 25 February 2007.</t>
  </si>
  <si>
    <t>Goolwa Railway Station;Railroads -- South Australia -- Goolwa -- Trains</t>
  </si>
  <si>
    <t>b2118639x</t>
  </si>
  <si>
    <t>View of the Goolwa-Victor Harbor train at the Goolwa station, 25 February 2007.</t>
  </si>
  <si>
    <t>b21186418</t>
  </si>
  <si>
    <t>Paddlesteamer 'Oscar W' at Goolwa</t>
  </si>
  <si>
    <t>The paddlesteamer, 'Oscar W', tied to the wharf at Goolwa, 25 February 2007.</t>
  </si>
  <si>
    <t>Oscar W (Paddle steamer);Paddle steamers -- South Australia -- Goolwa</t>
  </si>
  <si>
    <t>b21186431</t>
  </si>
  <si>
    <t>b21186455</t>
  </si>
  <si>
    <t>Peterborough Rail Museum</t>
  </si>
  <si>
    <t>Train turntable at the Peterborough Rail Museum, 10 March 2007.</t>
  </si>
  <si>
    <t>Steamtown Peterborough Railway Preservation Society;Railroad museums -- South Australia -- Peterborough</t>
  </si>
  <si>
    <t>b21186467</t>
  </si>
  <si>
    <t>Rail car at Peterborough Rail Museum</t>
  </si>
  <si>
    <t>Rail car used for rail crews in one of the sheds at the Peterborough Rail Museum, 10 March 2007.</t>
  </si>
  <si>
    <t>b21186480</t>
  </si>
  <si>
    <t>Gladstone Gaol Museum</t>
  </si>
  <si>
    <t>View looking over the buildings of the former Gladstone Prison, now a museum, 10 March 2007.</t>
  </si>
  <si>
    <t>Gladstone Gaol Museum (Gladstone, S.A.);Historic buildings -- South Australia -- Gladstone</t>
  </si>
  <si>
    <t>b21186492</t>
  </si>
  <si>
    <t>Entrance to the former Gladstone Prison, now a museum, 10 March 2007.</t>
  </si>
  <si>
    <t>b21186510</t>
  </si>
  <si>
    <t>b21186534</t>
  </si>
  <si>
    <t>Horrock's monument</t>
  </si>
  <si>
    <t>Stone cairn at Horrock's Pass near Wilmington in the Flinders Ranges. Taken 1 March 2007.</t>
  </si>
  <si>
    <t>Horrock's Monument (Horrocks Pass, S.A.);Monuments -- South Australia -- Flinders Ranges</t>
  </si>
  <si>
    <t>b21186558</t>
  </si>
  <si>
    <t>Missile at Wilmington</t>
  </si>
  <si>
    <t>Missile stationed outside the Wilmington Museum, 11 March 2007.</t>
  </si>
  <si>
    <t>b21217257</t>
  </si>
  <si>
    <t>Moonta Scout Hall</t>
  </si>
  <si>
    <t>View of the corrugated iron scout hall of the 1st Moonta Scout Group.</t>
  </si>
  <si>
    <t>Halls -- South Australia -- Moonta;Architecture -- South Australia -- Moonta</t>
  </si>
  <si>
    <t>b21217269</t>
  </si>
  <si>
    <t>Maitland Scout Hall</t>
  </si>
  <si>
    <t>View of the corrugated iron scout hall of the 1st Maitland Scout Group.</t>
  </si>
  <si>
    <t>Halls -- South Australia -- Maitland;Architecture -- South Australia -- Maitland</t>
  </si>
  <si>
    <t>b21236070</t>
  </si>
  <si>
    <t>Moonta Methodist Church</t>
  </si>
  <si>
    <t>View of the Moonta Methodist Church building which was constructed in 1865.</t>
  </si>
  <si>
    <t>Moonta Methodist Church;Church architecture -- South Australia -- Moonta</t>
  </si>
  <si>
    <t>b21236082</t>
  </si>
  <si>
    <t>Moonta Town Hall</t>
  </si>
  <si>
    <t>View of the Moonta Town Hall.</t>
  </si>
  <si>
    <t>Moonta Town Hall;Historic buildings -- South Australia -- Moonta;Municipal buildings -- South Australia -- Moonta</t>
  </si>
  <si>
    <t>b21236094</t>
  </si>
  <si>
    <t>1938 fire engine</t>
  </si>
  <si>
    <t>A restored 1938 Diamond T fire engine housed at the Kadina Farm Museum.</t>
  </si>
  <si>
    <t>b21236100</t>
  </si>
  <si>
    <t>Kulpara Primary School</t>
  </si>
  <si>
    <t>View of the weatherboard building of a schoolroom from Kulpara Primary School. It was built in 1957, and was relocated to this location at the Farm Shed Museum, Kadina, in 2001.</t>
  </si>
  <si>
    <t>Kulpara Primary School (Kulpara, S.A.);Schools -- South Australia -- Kulpara;Buildings -- South Australia -- Kulpara</t>
  </si>
  <si>
    <t>Album Collection;Kadina Collection</t>
  </si>
  <si>
    <t>b21236112</t>
  </si>
  <si>
    <t>Minlaton airstrip</t>
  </si>
  <si>
    <t>View of the gate into the Minlaton aerodrome and the stone mounted plaque commemorating the establishment of the airstrip in 1944.</t>
  </si>
  <si>
    <t>Minlaton Aerodrome (S.A.)</t>
  </si>
  <si>
    <t>b21236124</t>
  </si>
  <si>
    <t>View of the gate into the Minlaton aerodrome and the stone mounted plaque to 'The Neil Edwards Memorial Aerodrome' which was dedicated by F. John Schwarz on 12 August 1979.</t>
  </si>
  <si>
    <t>b21236136</t>
  </si>
  <si>
    <t>Gordon's Light, Port Victoria</t>
  </si>
  <si>
    <t>Gordon's Light at Port Victoria. This was erected in recognition of Gordon Dutschke.</t>
  </si>
  <si>
    <t>Gordon's Light (Port Victoria, S.A.)</t>
  </si>
  <si>
    <t>b21236148</t>
  </si>
  <si>
    <t>Cemetery at Port Victoria</t>
  </si>
  <si>
    <t>View of some 20th century graves in the Port Victoria cemetery.</t>
  </si>
  <si>
    <t>Cemeteries -- South Australia -- Port Victoria</t>
  </si>
  <si>
    <t>b2123615x</t>
  </si>
  <si>
    <t>Disused guard's van at Keswick</t>
  </si>
  <si>
    <t>View of a disused guard's van parked in the rail yards at Keswick, and partially covered in graffiti.</t>
  </si>
  <si>
    <t>Railroads -- South Australia -- Rolling-stock;Graffiti -- South Australia</t>
  </si>
  <si>
    <t>b21252543</t>
  </si>
  <si>
    <t>HMAS 'Adelaide' at Port Adelaide</t>
  </si>
  <si>
    <t>Navy ship HMAS 'Adelaide', pictured at Port Adelaide shortly before it was decommissioned. 2 December 2007.</t>
  </si>
  <si>
    <t>Adelaide (Ship);Warships -- Australia;Port Adelaide (S.A.)</t>
  </si>
  <si>
    <t>b21252555</t>
  </si>
  <si>
    <t>Inflatable boat at Port Adelaide</t>
  </si>
  <si>
    <t>One of the Australian Navy's '7.2m rigid hull inflatable boats' on display at Port Adelaide, 2 December 2007 Two crew members are on board, with an explanatory board beside the boat.</t>
  </si>
  <si>
    <t>Boats and boating;Port Adelaide (S.A.)</t>
  </si>
  <si>
    <t>b21252567</t>
  </si>
  <si>
    <t>Coast Guard boat at Port Adelaide</t>
  </si>
  <si>
    <t>One of the small, yellow volunteer Coast Guard boats on the water at Port Adelaide, 2 December 2007.</t>
  </si>
  <si>
    <t>Boats and boating</t>
  </si>
  <si>
    <t>b21252579</t>
  </si>
  <si>
    <t>'Mel Cebee' at Port Adelaide</t>
  </si>
  <si>
    <t>View from the deck of HMAS 'Adelaide' of the ship 'Mel Cebee' in dry dock at Port Adelaide, 2 December 2007.</t>
  </si>
  <si>
    <t>Mel Cebee (Ship)</t>
  </si>
  <si>
    <t>b21252580</t>
  </si>
  <si>
    <t>Holdfast Shores at Glenelg</t>
  </si>
  <si>
    <t>View of the Holdfast Shores building complex at Glenelg, viewed from the water, 26 December 2007.</t>
  </si>
  <si>
    <t>Real estate development -- South Australia -- Glenelg;Waterfronts -- South Australia -- Glenelg;Holdfast Shores (Glenelg, S.A.)</t>
  </si>
  <si>
    <t>b21252592</t>
  </si>
  <si>
    <t>'Investigator' at Port Adelaide</t>
  </si>
  <si>
    <t>View of the Australian Navy's small boat 'Investigator' at Port Adelaide, 2 December 2007.</t>
  </si>
  <si>
    <t>Investigator (Ship)</t>
  </si>
  <si>
    <t>b21252609</t>
  </si>
  <si>
    <t>Sand sculptures at Port Adelaide</t>
  </si>
  <si>
    <t>One of a series of sand sculptures at Port Adelaide forming part of the 'Dino story' featuring dinosaurs. This one forms the starting point for the series. Taken 26 December 2007.</t>
  </si>
  <si>
    <t>Sand sculpture -- South Australia -- Port Adelaide</t>
  </si>
  <si>
    <t>b21252610</t>
  </si>
  <si>
    <t>One of a series of sand sculptures at Port Adelaide forming part of the 'Dino story' featuring dinosaurs. This one shows the sculptures in progress. Taken 26 December 2007.</t>
  </si>
  <si>
    <t>b21252622</t>
  </si>
  <si>
    <t>One of a series of sand sculptures at Port Adelaide forming part of the 'Dino story' featuring dinosaurs. This one shows two dinosaurs fighting. Taken 26 December 2007.</t>
  </si>
  <si>
    <t>b21252634</t>
  </si>
  <si>
    <t>One of a series of sand sculptures at Port Adelaide forming part of the 'Dino story' featuring dinosaurs. This one shows a partially completed dinosaur. Taken 26 December 2007.</t>
  </si>
  <si>
    <t>b21253535</t>
  </si>
  <si>
    <t>One of a series of sand sculptures at Port Adelaide forming part of the 'Dino story' featuring dinosaurs. This one shows a dinosaur resting on rocks. Taken 26 October 2007.</t>
  </si>
  <si>
    <t>b21253559</t>
  </si>
  <si>
    <t>One of a series of sand sculptures at Port Adelaide forming part of the 'Dino story' featuring dinosaurs. This one shows a long view of the sculptures. Taken 26 October 2007.</t>
  </si>
  <si>
    <t>b21253560</t>
  </si>
  <si>
    <t>One of a series of sand sculptures at Port Adelaide forming part of the 'Dino story' featuring dinosaurs. This one shows a horned dinosaur with eggs. Taken 26 October 2007.</t>
  </si>
  <si>
    <t>b21253596</t>
  </si>
  <si>
    <t>Country mailbox</t>
  </si>
  <si>
    <t>A country mailbox for R.L &amp; R.M. Kernick beside a road: the 'box' is a 44 gallon drum suspended between two posts, with a number plate (878 447), the Kernick's name plate and a faded 'Cold &amp; Wet' [the farm's name] sign all attached above the 'box'.</t>
  </si>
  <si>
    <t>Mailboxes -- South Australia</t>
  </si>
  <si>
    <t>b21253626</t>
  </si>
  <si>
    <t>Cannon at Coomandook</t>
  </si>
  <si>
    <t>An old cannon, previously used by the Australian Army, in a vacant block at Coomandook.</t>
  </si>
  <si>
    <t>Artillery -- South Australia -- Coomandook</t>
  </si>
  <si>
    <t>b21254229</t>
  </si>
  <si>
    <t>St Luke's Anglican Church, Tailem Bend</t>
  </si>
  <si>
    <t>View of St Luke's Anglican Church ar Tailem Bend, SA. It shows a stone building with octagonal entry and attached room.</t>
  </si>
  <si>
    <t>St Luke's Church (Tailem Bend, S.A.);Anglican Church -- South Australia -- Tailem Bend;Church Architecture -- South Australia -- Tailem Bend</t>
  </si>
  <si>
    <t>b21254230</t>
  </si>
  <si>
    <t>'Red Hen' at Old Tailem Town</t>
  </si>
  <si>
    <t>View of one of the old SA Railway's passenger carriages known 'red hens', now located as part of the historical display at Old Tailem Town, Tailem Bend.</t>
  </si>
  <si>
    <t>Railroads -- South Australia -- Trains;Railroads -- South Australia -- Rolling-stock</t>
  </si>
  <si>
    <t>b21254242</t>
  </si>
  <si>
    <t>The Adelaide Pie Cart at Tailem Bend</t>
  </si>
  <si>
    <t>View of an old Adelaide pie cart, now located as part of the historical display at Old Tailem Town, Tailem Bend.</t>
  </si>
  <si>
    <t>b21254254</t>
  </si>
  <si>
    <t>Old trucks at Tailem Bend</t>
  </si>
  <si>
    <t>A line-up of old lorries and trucks forming part of the historical display at Old Tailem Town, Tailem Bend.</t>
  </si>
  <si>
    <t>Trucks -- South Australia -- Tailem Bend</t>
  </si>
  <si>
    <t>b21254266</t>
  </si>
  <si>
    <t>b21258582</t>
  </si>
  <si>
    <t>Silvers Circus tent</t>
  </si>
  <si>
    <t>View of the yellow and white striped tent of Silvers Circus, set up near the Marion shopping centre, 2 February 2008.</t>
  </si>
  <si>
    <t>Silvers Circus;Circus - Australia</t>
  </si>
  <si>
    <t>b21258594</t>
  </si>
  <si>
    <t>b21258600</t>
  </si>
  <si>
    <t>Silvers Circus vehicles</t>
  </si>
  <si>
    <t>View of some of the trucks and caravans belonging to Silvers Circus, parked near the Marion shopping centre, 2 February 2008.</t>
  </si>
  <si>
    <t>Silvers Circus;Circus - Australia;Trucks -- Australia</t>
  </si>
  <si>
    <t>b21258612</t>
  </si>
  <si>
    <t>View of one of the trucks and caravans belonging to Silvers Circus, parked near the Marion shopping centre, 2 February 2008.</t>
  </si>
  <si>
    <t>Silvers Circus;Circus - Australia;Caravans -- Australia;Trucks -- Australia</t>
  </si>
  <si>
    <t>b21292322</t>
  </si>
  <si>
    <t>HMAS 'Ballarat' at Outer Harbor</t>
  </si>
  <si>
    <t>View of the Navy's 'Anzac' class frigate, HMAS 'Ballarat' at Outer Harbor.</t>
  </si>
  <si>
    <t>Ballarat (Ship);Frigates -- Australia -- 21st century</t>
  </si>
  <si>
    <t>b21292334</t>
  </si>
  <si>
    <t>Life buoy on HMAS 'Ballarat'</t>
  </si>
  <si>
    <t>View of the one of the life buoys on the Australian Navy's 'Anzac' class frigate, HMAS 'Ballarat' at Outer Harbor.</t>
  </si>
  <si>
    <t>b21292346</t>
  </si>
  <si>
    <t>Information board on HMAS 'Ballarat'</t>
  </si>
  <si>
    <t>View of an information board on the Australian Navy's 'Anzac' class frigate, HMAS 'Ballarat' at Outer Harbor.</t>
  </si>
  <si>
    <t>b21292358</t>
  </si>
  <si>
    <t>Badges and honours on HMAS 'Ballarat'</t>
  </si>
  <si>
    <t>View of the badges and honours board on the Navy frigate HMAS 'Ballarat'.</t>
  </si>
  <si>
    <t>b21260242</t>
  </si>
  <si>
    <t>Leconfield Winery, Coonawarra</t>
  </si>
  <si>
    <t>View of the Leconfield Winery, Coonawarra, showing the building and sign. Taken 28 January 2008.</t>
  </si>
  <si>
    <t>Leconfield Winery (Coonawarra, S.A.);Wineries -- South Australia -- Coonawarra</t>
  </si>
  <si>
    <t>b21260254</t>
  </si>
  <si>
    <t>1st Mount Gambier Scout Group hall</t>
  </si>
  <si>
    <t>View of the 1st Mount Gambier Scout Group hall, a large concrete clock and steel structure. A white station wagon is parked in front. Taken 26 January 2008.</t>
  </si>
  <si>
    <t>Scouting (Youth activity) -- South Australia -- Mount Gambier;Architecture -- South Australia -- Mount Gambier</t>
  </si>
  <si>
    <t>b21260266</t>
  </si>
  <si>
    <t>Fountain, Mount Gambier</t>
  </si>
  <si>
    <t>View of an ornate, 19th century water fountain, set in public gardens at Mount Gambier. Taken 26 January 2008.</t>
  </si>
  <si>
    <t>Fountains -- South Australia -- Mount Gambier</t>
  </si>
  <si>
    <t>b21260278</t>
  </si>
  <si>
    <t>Maritime Museum, Port Macdonnell</t>
  </si>
  <si>
    <t>Partial view of the Maritime Museum building at Port Macdonnell, with a WWII German sea mine on display in the foreground. The building was originally the Customs House. Taken 26 January 2008.</t>
  </si>
  <si>
    <t>b21274435</t>
  </si>
  <si>
    <t>Northern Lights exhibition : Institute Building</t>
  </si>
  <si>
    <t>The Institute Building on North Terrace, as it appeared during the 'Northern Lights' exhibition, part of the 2008 Festival of Arts. 15 March 2008.</t>
  </si>
  <si>
    <t>Institute Building (Adelaide, S.A.);Historic buildings -- South Australia -- Adelaide</t>
  </si>
  <si>
    <t>b21274447</t>
  </si>
  <si>
    <t>Northern Lights exhibition : South Australian Museum</t>
  </si>
  <si>
    <t>South Australian Museum on North Terrace, as it appeared during the 'Northern Lights' exhibition, part of the 2008 Festival of Arts. 15 March 2008.</t>
  </si>
  <si>
    <t>South Australian Museum;Historic buildings -- South Australia -- Adelaide</t>
  </si>
  <si>
    <t>b21274459</t>
  </si>
  <si>
    <t>Northern Lights exhibition : Mitchell Building</t>
  </si>
  <si>
    <t>The Mitchell Building on North Terrace, as it appeared during the 'Northern Lights' exhibition, part of the 2008 Festival of Arts. 15 March 2008.</t>
  </si>
  <si>
    <t>Mitchell Building (University of Adelaide);Historic buildings -- South Australia -- Adelaide</t>
  </si>
  <si>
    <t>b21274460</t>
  </si>
  <si>
    <t>Northern Lights exhibition : Elder Hall</t>
  </si>
  <si>
    <t>Elder Hall on North Terrace, as it appeared during the 'Northern Lights' exhibition, part of the 2008 Festival of Arts. 15 March 2008.</t>
  </si>
  <si>
    <t>Elder Hall (Adelaide, S.A.);Historic buildings -- South Australia -- Adelaide</t>
  </si>
  <si>
    <t>b21274472</t>
  </si>
  <si>
    <t>Repair vehicle at Balhannah Railway Station</t>
  </si>
  <si>
    <t>A track maintenance vehicle at Balhannah Railway Station, 22 March 2008.</t>
  </si>
  <si>
    <t>Railroad stations -- South Australia -- Balhannah</t>
  </si>
  <si>
    <t>b21274484</t>
  </si>
  <si>
    <t>Musicians at Oakbank racecourse</t>
  </si>
  <si>
    <t>A jazz trio, comprising snare drum, double bass and electronic keyboard, at the Oakbank Easter Racing Carnival, 22 March 2008.</t>
  </si>
  <si>
    <t>Jazz musicians -- South Australia</t>
  </si>
  <si>
    <t>b21274496</t>
  </si>
  <si>
    <t>CFS fire truck at Oakbank racecourse</t>
  </si>
  <si>
    <t>A CFS fire truck at the Oakbank Easter Racing Carnival, 22 March 2008.</t>
  </si>
  <si>
    <t>b21274514</t>
  </si>
  <si>
    <t>Vehicle and pony at Oakbank</t>
  </si>
  <si>
    <t>A former ambulance (Ford F-250) converted for private use parked at the Oakbank Easter Racing Carnival, 22 March 2008. A saddled Shetland pony is tethered to the bull bar, a visitor can be seen reflected in the windscreen, and other racegoers' cars and tents can be seen in the distance.</t>
  </si>
  <si>
    <t>b21274526</t>
  </si>
  <si>
    <t>HQ Holden at the Adelaide Clipsal 500</t>
  </si>
  <si>
    <t>View of a yellow HQ Holden on the track at the Adelaide Clipsal 500, 23 February 2008. This 'race did not happen'.</t>
  </si>
  <si>
    <t>Automobile racing -- South Australia -- Adelaide</t>
  </si>
  <si>
    <t>b21274538</t>
  </si>
  <si>
    <t>Car being towed at the Adelaide Clipsal 500</t>
  </si>
  <si>
    <t>A V8 Falcon car being towed along the track at the Adelaide Clipsal 500, 23 February 2008.</t>
  </si>
  <si>
    <t>b2128832x</t>
  </si>
  <si>
    <t>Pathway at Hallett Cove reserve</t>
  </si>
  <si>
    <t>Wooden walkway through Hallett Cove Reserve, part of the 7.2 km coastal boardwalk which starts at the Marino Esplanade and finishes at the Hallett Cove Headland Reserve. Taken 7 June 2008.</t>
  </si>
  <si>
    <t>Trails -- South Australia -- Hallett Cove</t>
  </si>
  <si>
    <t>b21288331</t>
  </si>
  <si>
    <t>Ruins in the Tothill Ranges</t>
  </si>
  <si>
    <t>Ruins of a stone building in the Tothill Ranges, near Robertstown. Taken 31 May 2008.</t>
  </si>
  <si>
    <t>b2200242x</t>
  </si>
  <si>
    <t>TS 'Adelaide' at Port Adelaide</t>
  </si>
  <si>
    <t>A model of TS 'Adelaide' on a Navy Cadets' trailer, at Dock 2, Port Adelaide. 13 July 2008.</t>
  </si>
  <si>
    <t>b22002431</t>
  </si>
  <si>
    <t>HMAS 'Ballarat' at Port Adelaide</t>
  </si>
  <si>
    <t>The Australian Navy's Anzac class frigate, 'HMAS 'Ballarat', moored at Dock 2, Port Adelaide. 13 July 2008.</t>
  </si>
  <si>
    <t>Ballarat (Ship);Warships -- Australia</t>
  </si>
  <si>
    <t>b22002443</t>
  </si>
  <si>
    <t>Circus Royale at Marion</t>
  </si>
  <si>
    <t>Tent and booking office of Circus Royale, set up near the Marion shopping complex. 13 July 2008.</t>
  </si>
  <si>
    <t>Circus Royale;Circus -- South Australia -- Marion</t>
  </si>
  <si>
    <t>b22002455</t>
  </si>
  <si>
    <t>Circus Royale booking office at Marion</t>
  </si>
  <si>
    <t>The Circus Royale's booking office, set up near the Marion shopping complex. 13 July 2008.</t>
  </si>
  <si>
    <t>b22002467</t>
  </si>
  <si>
    <t>Circus Royale tent at Marion</t>
  </si>
  <si>
    <t>Rear of the Circus Royale's tent, set up near the Marion shopping complex, 13 July 2008. Several vehicles and trailers are visible.</t>
  </si>
  <si>
    <t>b22002479</t>
  </si>
  <si>
    <t>Vehicles and animals belonging to Circus Royale</t>
  </si>
  <si>
    <t>Truck and caravan belonging to the Circus Royale, set up near the Marion shopping complex, 13 July 2008. Some of the animals - cattle and camels - are visible in the foreground.</t>
  </si>
  <si>
    <t>b22039004</t>
  </si>
  <si>
    <t>Masonic Hall in Moonta.</t>
  </si>
  <si>
    <t>Taken 18 August 2008.</t>
  </si>
  <si>
    <t>b22039028</t>
  </si>
  <si>
    <t>St Alban's Anglican Church, Port Victoria</t>
  </si>
  <si>
    <t>b2203903x</t>
  </si>
  <si>
    <t>Port Victoria viewed from the bay</t>
  </si>
  <si>
    <t>Port Victoria from the jetty, looking towards the shore. Taken 18 August 2008.</t>
  </si>
  <si>
    <t>b22039041</t>
  </si>
  <si>
    <t>Building at Wanraltee</t>
  </si>
  <si>
    <t>One surviving building restored. Taken 19 August 2008.</t>
  </si>
  <si>
    <t>b22039053</t>
  </si>
  <si>
    <t>Remains of the wreck of the 'Ethel' at Innes National Park</t>
  </si>
  <si>
    <t>Taken 20 August 2008.</t>
  </si>
  <si>
    <t>b22039065</t>
  </si>
  <si>
    <t>Windfarm near Edithburgh</t>
  </si>
  <si>
    <t>b22039077</t>
  </si>
  <si>
    <t>Restored building at Innes National Park</t>
  </si>
  <si>
    <t>b22039089</t>
  </si>
  <si>
    <t>Inneston 'ghost town' at Innes National Park</t>
  </si>
  <si>
    <t>b22039090</t>
  </si>
  <si>
    <t>Scout hall at Yorketown</t>
  </si>
  <si>
    <t>b22039107</t>
  </si>
  <si>
    <t>Anchor of the 'Ethel' at Innes National Park</t>
  </si>
  <si>
    <t>b22039120</t>
  </si>
  <si>
    <t>Inneston cricket ground sign at Inneston National Park</t>
  </si>
  <si>
    <t>b22039132</t>
  </si>
  <si>
    <t>Edithburgh Museum</t>
  </si>
  <si>
    <t>b22039144</t>
  </si>
  <si>
    <t>Edithburgh Hotel</t>
  </si>
  <si>
    <t>Taken 21 August 2008.</t>
  </si>
  <si>
    <t>b22039156</t>
  </si>
  <si>
    <t>Institute Hall at Edithburgh</t>
  </si>
  <si>
    <t>b22039181</t>
  </si>
  <si>
    <t>The garage diner at Edithburgh</t>
  </si>
  <si>
    <t>b22039193</t>
  </si>
  <si>
    <t>Troubridge Hotel at Edithburgh</t>
  </si>
  <si>
    <t>b2203920x</t>
  </si>
  <si>
    <t>Windfarm from Wattle Park lookout, Edithburgh</t>
  </si>
  <si>
    <t>b22039223</t>
  </si>
  <si>
    <t>St Margaret Mary's Catholic Church, Edithburgh</t>
  </si>
  <si>
    <t>b22039235</t>
  </si>
  <si>
    <t>Former 'Red hen' rail cars in Wallaroo railyard.</t>
  </si>
  <si>
    <t>Taken 22 August 2008.</t>
  </si>
  <si>
    <t>b22039247</t>
  </si>
  <si>
    <t>Two building at Weetula</t>
  </si>
  <si>
    <t>b22047645</t>
  </si>
  <si>
    <t>Rover event at Walker Flat</t>
  </si>
  <si>
    <t>'Walky [sic] Flat - Rover event - sand blast - offroad car in the event'.Taken 4 October 2008.</t>
  </si>
  <si>
    <t>b22047657</t>
  </si>
  <si>
    <t>'Walky [sic] Flat - Rover event - sand blast - a car leaving a dust cloud'.Taken 4 October 2008.</t>
  </si>
  <si>
    <t>b22047669</t>
  </si>
  <si>
    <t>'Walky [sic] Flat - Rover event - sand blast - some of the cars in the event'.Taken 4 October 2008.</t>
  </si>
  <si>
    <t>b22047670</t>
  </si>
  <si>
    <t>'Walky [sic] Flat - the buildings on site'.Taken 4 October 2008.</t>
  </si>
  <si>
    <t>b22226138</t>
  </si>
  <si>
    <t>Christmas decorations at Westminster School, Adelaide</t>
  </si>
  <si>
    <t>'Christmas light display - Westminster School front gate.' 19 December 2008.</t>
  </si>
  <si>
    <t>b22226151</t>
  </si>
  <si>
    <t>'Christmas display at Westminster School - first Christmas.' 19 December 2008.</t>
  </si>
  <si>
    <t>b22226187</t>
  </si>
  <si>
    <t>b22226199</t>
  </si>
  <si>
    <t>'Christmas display at Westminster School - window displays and "trees".' 19 December 2008.</t>
  </si>
  <si>
    <t>b22226205</t>
  </si>
  <si>
    <t>'Christmas display at Westminster School.' 19 December 2008.</t>
  </si>
  <si>
    <t>b22226217</t>
  </si>
  <si>
    <t>'Christmas display at Westminster School "snowman".' 19 December 2008.</t>
  </si>
  <si>
    <t>b22226230</t>
  </si>
  <si>
    <t>Christmas decorations at Glenelg</t>
  </si>
  <si>
    <t>Christmas decoration on the near the marina at Glenelg, with moored boats and 'Holdfast Shores' building in the background. 26 December 2008.</t>
  </si>
  <si>
    <t>b22226242</t>
  </si>
  <si>
    <t>19th century graves at Brighton Cemetery</t>
  </si>
  <si>
    <t>Taken 29 December 2008.</t>
  </si>
  <si>
    <t>St. Jude's Cemetery, Brighton;Cemeteries -- South Australia -- Brighton</t>
  </si>
  <si>
    <t>b22226254</t>
  </si>
  <si>
    <t>b22226266</t>
  </si>
  <si>
    <t>20th century graves at Brighton Cemetery</t>
  </si>
  <si>
    <t>b31273336</t>
  </si>
  <si>
    <t>Frank Ford and Ian Purcell</t>
  </si>
  <si>
    <t>2008 August 16</t>
  </si>
  <si>
    <t>1 photograph : colour;still image sti rdacontent;computer c rdamedia;online resource cr rdacarrier;image file TIFF 2958 x 2304 pixels rda</t>
  </si>
  <si>
    <t>Frank Ford AM and Ian Purcell AM at 'Binge' described as a Feast Festival gala event in the Norwood Concert Hall.</t>
  </si>
  <si>
    <t>Purcell, Ian, 1946-2016;Ford, Frank John, 1936-;Gay pride celebrations -- South Australia -- Adelaide</t>
  </si>
  <si>
    <t>b22310927</t>
  </si>
  <si>
    <t>Fountain at Victor Harbor</t>
  </si>
  <si>
    <t>Whale tail fountain in the town square at Victor Harbor.</t>
  </si>
  <si>
    <t>Fountains -- South Australia -- Victor Harbor</t>
  </si>
  <si>
    <t>b22311397</t>
  </si>
  <si>
    <t>Sign relating to sculpture at Victor Harbor</t>
  </si>
  <si>
    <t>Sign identifying a sculpture (see B 69282/505) at Granite Island.</t>
  </si>
  <si>
    <t>b22311403</t>
  </si>
  <si>
    <t>Sculpture on Granite Island</t>
  </si>
  <si>
    <t>Sculpture of a sea lion on Granite Island, created by South Australian artist Sylvio Apponyi.</t>
  </si>
  <si>
    <t>b22311439</t>
  </si>
  <si>
    <t>House at Victor Harbor</t>
  </si>
  <si>
    <t>A 19th century house at Victor Harbor (located near the railway station). Once occupied by the Madigan family, in the early fifties including Pat Madigan, known locally as Paddy or PJ and Gwen Madigan. A son Mark Madigan, fell from this balcony as a toddler but sustained no injuries.</t>
  </si>
  <si>
    <t>Architecture, Domestic -- 19th Century -- South Australia -- Victor Harbor</t>
  </si>
  <si>
    <t>b22330677</t>
  </si>
  <si>
    <t>One of several photos of the Australia Day parade on North Terrace, Adelaide, 26 January 2009, featuring the lead banner.</t>
  </si>
  <si>
    <t>Australia Day Parade (Adelaide, S.A. : 2009)</t>
  </si>
  <si>
    <t>b22330689</t>
  </si>
  <si>
    <t>One of several photos of the Australia Day parade on North Terrace,  Adelaide, 26 January 2009, featuring vintage cars.</t>
  </si>
  <si>
    <t>b22330690</t>
  </si>
  <si>
    <t>One of several photos of the Australia Day parade on North Terrace,  Adelaide, 26 January 2009, featuring vintage cars built by Fiat.</t>
  </si>
  <si>
    <t>b22330707</t>
  </si>
  <si>
    <t>b22330719</t>
  </si>
  <si>
    <t>One of several photos of the Australia Day parade on North Terrace,  Adelaide, 26 January 2009, featuring a vintage fire  engine.</t>
  </si>
  <si>
    <t>b22330720</t>
  </si>
  <si>
    <t>One of several photos of the Australia Day parade on North Terrace,  Adelaide, 26 January 2009, featuring a vintage RAA van.</t>
  </si>
  <si>
    <t>b22330732</t>
  </si>
  <si>
    <t>One of several photos of the Australia Day parade on North Terrace,  Adelaide, 26 January 2009, featuring a poster advertising the Lee Kernaghan concert in the parklands.</t>
  </si>
  <si>
    <t>b22996199</t>
  </si>
  <si>
    <t>Garden of Unearthly Delights</t>
  </si>
  <si>
    <t>Part of the Garden of Unearthly Delights, which operated during Adelaide's Fringe Festival.</t>
  </si>
  <si>
    <t>b22996217</t>
  </si>
  <si>
    <t>Grid girls at the Clipsal 500</t>
  </si>
  <si>
    <t>Grid girls at the Clipsal 500 event in Adelaide.</t>
  </si>
  <si>
    <t>b22996230</t>
  </si>
  <si>
    <t>Stephen Giles at the Clipsal 500</t>
  </si>
  <si>
    <t>Stephen Giles at the Clipsal 500 event in Adelaide, pictured at a military display.</t>
  </si>
  <si>
    <t>b22996242</t>
  </si>
  <si>
    <t>1970s charger at the Clipsal 500</t>
  </si>
  <si>
    <t>1970s charger about to take part in a race at the Clipsal 500 event in Adelaide.</t>
  </si>
  <si>
    <t>b22996266</t>
  </si>
  <si>
    <t>Australian cars at the Clipsal 500</t>
  </si>
  <si>
    <t>Cars ready to race at the Clipsal 500 event in Adelaide.</t>
  </si>
  <si>
    <t>b2299628x</t>
  </si>
  <si>
    <t>Across country rally cars at the Clipsal 500</t>
  </si>
  <si>
    <t>Across country rally cars at the Clipsal 500 event in Adelaide, with a Holden Commodore on the left and a Datsun Stanza on the right.</t>
  </si>
  <si>
    <t>b23006286</t>
  </si>
  <si>
    <t>Race at Oakbank</t>
  </si>
  <si>
    <t>Horses coming over a jump at the Oakbank Races.</t>
  </si>
  <si>
    <t>b23131950</t>
  </si>
  <si>
    <t>Victor Harbor seen from the Bluff</t>
  </si>
  <si>
    <t>Victor Harbor seen from the Bluff, with 'Chinaman's Hat' in the foreground, and Granite Island between the two.</t>
  </si>
  <si>
    <t>Victor Harbor (S.A.)</t>
  </si>
  <si>
    <t>b23161401</t>
  </si>
  <si>
    <t>Main entrance to Dudley Park Cemetery</t>
  </si>
  <si>
    <t>Main entrance to Dudley Park Cemetery, 1 August 2009.</t>
  </si>
  <si>
    <t>Dudley Park Cemetery (S.A.);Cemeteries -- South Australia -- Dudley Park</t>
  </si>
  <si>
    <t>b23161425</t>
  </si>
  <si>
    <t>Russian graves at Dudley Park Cemetery</t>
  </si>
  <si>
    <t>Russian graves at Dudley Park Cemetery, 1 August 2009.</t>
  </si>
  <si>
    <t>b23161437</t>
  </si>
  <si>
    <t>Memorial plaques at Dudley Park Cemetery</t>
  </si>
  <si>
    <t>Memorial plaques at Dudley Park Cemetery, 1 August 2009.</t>
  </si>
  <si>
    <t>b23161449</t>
  </si>
  <si>
    <t>Military and Australian graves at Dudley Park Cemetery</t>
  </si>
  <si>
    <t>Military and Australian graves at Dudley Park Cemetery, 1 August 2009.</t>
  </si>
  <si>
    <t>b23161462</t>
  </si>
  <si>
    <t>Greek grave at Dudley Park Cemetery</t>
  </si>
  <si>
    <t>Greek grave at Dudley Park Cemetery, 1 August 2009.</t>
  </si>
  <si>
    <t>b23161486</t>
  </si>
  <si>
    <t>Italian graves at Dudley Park Cemetery</t>
  </si>
  <si>
    <t>Italian graves at Dudley Park Cemetery, 1 August 2009.</t>
  </si>
  <si>
    <t>b23161498</t>
  </si>
  <si>
    <t>Early 20th century graves at Dudley Park Cemetery</t>
  </si>
  <si>
    <t>Early 20th century graves at Dudley Park Cemetery, 1 August 2009.</t>
  </si>
  <si>
    <t>b23161504</t>
  </si>
  <si>
    <t>b23639118</t>
  </si>
  <si>
    <t>St James Catholic Church, Jamestown</t>
  </si>
  <si>
    <t>St James Catholic Church, Cockburn Road, Jamestown, 17 October 2009.</t>
  </si>
  <si>
    <t>Church architecture -- South Australia -- Jamestown</t>
  </si>
  <si>
    <t>b23639167</t>
  </si>
  <si>
    <t>Jamestown Railway Station</t>
  </si>
  <si>
    <t>View of the Jamestown Railway Station. [See also B 61414 for 1890 view.]</t>
  </si>
  <si>
    <t>b23639490</t>
  </si>
  <si>
    <t>Tarlee Railway Station</t>
  </si>
  <si>
    <t>View of the Tarlee Railway Station.</t>
  </si>
  <si>
    <t>b23639507</t>
  </si>
  <si>
    <t>Jamestown Museum</t>
  </si>
  <si>
    <t>View of the Jamestown Museum, housed in part of the old railway station.</t>
  </si>
  <si>
    <t>b23639519</t>
  </si>
  <si>
    <t>Behind the Jamestown Railway Station</t>
  </si>
  <si>
    <t>View at the rear of the Jamestown Railway Station, showing where the rail tracks used to be, and the silos of ACB. [See B 45664 for earlier view.]</t>
  </si>
  <si>
    <t>b29134225</t>
  </si>
  <si>
    <t>Aboriginal and Torres Strait Islander War Memorial</t>
  </si>
  <si>
    <t>Photograph (digital)  3456 x 2304 pixels</t>
  </si>
  <si>
    <t>Planning for a Aboriginal and Torres Strait Islander War Memorial, Torrens Parade Ground, Adelaide. 24 September 2009.</t>
  </si>
  <si>
    <t>Memorials -- South Australia -- Adelaide;War memorials -- South Australia -- Adelaide</t>
  </si>
  <si>
    <t>b26640211</t>
  </si>
  <si>
    <t>Rail track rebuilding at Warradale</t>
  </si>
  <si>
    <t>Photograph  10 cm x 15 cm;OUTSIZE 1</t>
  </si>
  <si>
    <t>Photograph of a rail vehicle undertaking line upgrade work on the suburban line near Warradale, 13 June 2011.</t>
  </si>
  <si>
    <t>b29136969</t>
  </si>
  <si>
    <t>Motor bikes at Rowland Flat Airshow</t>
  </si>
  <si>
    <t>Part of a collection of photographs taken over time of various places and events in South Australia by Stephen Giles, this features motor bikes used by the Australian Imperial Forces in earlier times, and on display at the Rowland Flat Airshow.</t>
  </si>
  <si>
    <t>Motorcycles -- South Australia -- Rowland Flat;World War, 1914-1918 -- Australia -- Transportation</t>
  </si>
  <si>
    <t>b29136970</t>
  </si>
  <si>
    <t>Army vehicles at Rowland Flat Airshow</t>
  </si>
  <si>
    <t>Part of a collection of photographs taken over time of various places and events in South Australia by Stephen Giles, this features an Australian Army Bushmaster vehicle on display at the Rowland Flat Airshow, 6 November 2011.</t>
  </si>
  <si>
    <t>World War, 1939-1945 -- Australia -- Transportation</t>
  </si>
  <si>
    <t>b29136982</t>
  </si>
  <si>
    <t>World War II jeeps at Rowland Flat Airshow</t>
  </si>
  <si>
    <t>Part of a collection of photographs taken over time of various places and events in South Australia by Stephen Giles, this features two WWI Jeeps on display at the Rowland Flat Airshow, 6 November 2011.</t>
  </si>
  <si>
    <t>b29136994</t>
  </si>
  <si>
    <t>World War II German truck at Rowland Flat Airshow</t>
  </si>
  <si>
    <t>Part of a collection of photographs taken over time of various places and events in South Australia by Stephen Giles, this features a WWI German truck on display at the Rowland Flat Airshow, 6 November 2011.</t>
  </si>
  <si>
    <t>b29137020</t>
  </si>
  <si>
    <t>25 pounder gun at Rowland Flat Airshow</t>
  </si>
  <si>
    <t>Part of a collection of photographs taken over time of various places and events in South Australia by Stephen Giles, this features a WWII 25 pounder gun on display at the Rowland Flat Airshow, 6 November 2011.</t>
  </si>
  <si>
    <t>World War, 1939-1945 Equipment and supplies</t>
  </si>
  <si>
    <t>b31948340</t>
  </si>
  <si>
    <t>International Women's Day</t>
  </si>
  <si>
    <t>2011 March 10</t>
  </si>
  <si>
    <t>1 photograph : colour;still image sti rdacontent;computer c rdamedia;online resource cr rdacarrier;image file TIFF 3504 x 2336 pixels rda</t>
  </si>
  <si>
    <t>Hon. Steph Key MP writing a note prior to the 2011 International Women's Day event on the steps of Parliament House, Adelaide. After the speeches attendees marched to the State Library where another event was held.</t>
  </si>
  <si>
    <t>Key, Stephanie Wendy, 1954-;International Women's Day -- 2011 -- South Australia -- Adelaide</t>
  </si>
  <si>
    <t>Parliament House Collection</t>
  </si>
  <si>
    <t>b31948352</t>
  </si>
  <si>
    <t>Janet Giles and the Hon. Steph Key MP talking with another woman prior to the 2011 International Women's Day event on the steps of Parliament House, Adelaide. After the speeches attendees marched to the State Library where another event was held.</t>
  </si>
  <si>
    <t>Giles, Janet;Key, Stephanie Wendy, 1954-;International Women's Day -- 2011 -- South Australia -- Adelaide</t>
  </si>
  <si>
    <t>b31948364</t>
  </si>
  <si>
    <t>Janet Giles and the Hon. Steph Key MP talking prior to the 2011 International Women's Day event on the steps of Parliament House, Adelaide. After the speeches attendees marched to the State Library where another event was held.</t>
  </si>
  <si>
    <t>b31948388</t>
  </si>
  <si>
    <t>Two unidentified people talking prior to the 2011 International Women's Day event on the steps of Parliament House, Adelaide. One is holding a copy of the 'Socialist Alternative' and the other a pamphlet titled 'Why you should be a socialist'. After the speeches attendees marched to the State Library where another event was held.</t>
  </si>
  <si>
    <t>International Women's Day -- 2011 -- South Australia -- Adelaide</t>
  </si>
  <si>
    <t>b3194839x</t>
  </si>
  <si>
    <t>Janet Giles speaking at International Women's Day</t>
  </si>
  <si>
    <t>S.A. Unions secretary, Janet Giles, speaking at the 2011 International Women's Day event on the steps of Parliament House, Adelaide. After the speeches attendees marched to the State Library where another event was held.</t>
  </si>
  <si>
    <t>Giles, Janet;International Women's Day -- 2011 -- South Australia -- Adelaide</t>
  </si>
  <si>
    <t>b31948406</t>
  </si>
  <si>
    <t>Eileen Darley and Aunty Josie Agius at International Women's Day</t>
  </si>
  <si>
    <t>Actor, Eileen Darley, and Narungga, Kaurna, Ngarrindjeri and Ngadjuri woman, Aunty Josie Agius, at the 2011 International Women's Day event on the steps of Parliament House, Adelaide. After the speeches attendees marched to the State Library where another event was held.</t>
  </si>
  <si>
    <t>Agius, Josie;Darley, Eileen;International Women's Day -- 2011 -- South Australia -- Adelaide</t>
  </si>
  <si>
    <t>b31948418</t>
  </si>
  <si>
    <t>Aunty Josie Agius at International Women's Day</t>
  </si>
  <si>
    <t>Narungga, Kaurna, Ngarrindjeri and Ngadjuri woman, Aunty Josie Agius, at the 2011 International Women's Day event on the steps of Parliament House, Adelaide. After the speeches attendees marched to the State Library where another event was held.</t>
  </si>
  <si>
    <t>Agius, Josie;International Women's Day -- 2011 -- South Australia -- Adelaide</t>
  </si>
  <si>
    <t>b3194842x</t>
  </si>
  <si>
    <t>Women at International Women's Day</t>
  </si>
  <si>
    <t>Women at the 2011 International Women's Day event on the steps of Parliament House, Adelaide. After the speeches attendees marched to the State Library where another event was held.</t>
  </si>
  <si>
    <t>b31948431</t>
  </si>
  <si>
    <t>Hon. Steph Key MP at International Women's Day</t>
  </si>
  <si>
    <t>Hon. Steph Key MP at the 2011 International Women's Day event on the steps of Parliament House, Adelaide. After the speeches attendees marched to the State Library where another event was held.</t>
  </si>
  <si>
    <t>b31948443</t>
  </si>
  <si>
    <t>Jude Price at International Women's Day</t>
  </si>
  <si>
    <t>Jude Price, Administration Team Leader of the Australian Services Union taking photographs at the International Women's Day event on the steps of Parliament House, Adelaide. After the speeches attendees marched to the State Library where another event was held.</t>
  </si>
  <si>
    <t>Price, Judith, 1961-;International Women's Day -- 2011 -- South Australia -- Adelaide</t>
  </si>
  <si>
    <t>b31948467</t>
  </si>
  <si>
    <t>Women, four carrying Australian services Union flags, at the International Women's Day event on the steps of Parliament House, Adelaide. After the speeches attendees marched to the State Library where another event was held.</t>
  </si>
  <si>
    <t>b31948479</t>
  </si>
  <si>
    <t>Hon. Steph Key MP, Lowitja O'Donoghue AC CBE DSG, and Ngunnawal Elder, Matilda House, sitting on the steps of Parliament House, Adelaide, at the 2011 International Women's Day event. After the speeches attendees marched to the State Library where another event was held.</t>
  </si>
  <si>
    <t>Key, Stephanie Wendy, 1954-;O'Donoghue, Lowitja, 1932-;International Women's Day -- 2011 -- South Australia -- Adelaide</t>
  </si>
  <si>
    <t>b31948480</t>
  </si>
  <si>
    <t>International Women's Day march</t>
  </si>
  <si>
    <t>After gathering on the steps of Parliament House, Adelaide, International Women's Day attendees led by four Aboriginal women carrying a large Aboriginal flag march east on North Terrace to the State Library.</t>
  </si>
  <si>
    <t>b31948492</t>
  </si>
  <si>
    <t>After gathering on the steps of Parliament House, Adelaide, International Women's Day attendees march east on North Terrace to the State Library.</t>
  </si>
  <si>
    <t>b31948509</t>
  </si>
  <si>
    <t>b31948510</t>
  </si>
  <si>
    <t>Janet Giles at International Women's Day</t>
  </si>
  <si>
    <t>Janet Giles, Unions SA Secretary, addressing International Women's Day attendees on North Terrace near the State Library of South Australia.</t>
  </si>
  <si>
    <t>Giles, Janet;Franks, Tammy Anne, 1968-;International Women's Day -- 2011 -- South Australia -- Adelaide</t>
  </si>
  <si>
    <t>b31948522</t>
  </si>
  <si>
    <t>Giles, Janet;Bedford, Frances Ellen, 1953-;International Women's Day -- 2011 -- South Australia -- Adelaide</t>
  </si>
  <si>
    <t>General Collection;State Library Collection</t>
  </si>
  <si>
    <t>b31948534</t>
  </si>
  <si>
    <t>Giles, Janet;O'Donoghue, Lowitja, 1932-;International Women's Day -- 2011 -- South Australia -- Adelaide</t>
  </si>
  <si>
    <t>b31948546</t>
  </si>
  <si>
    <t>Tammy Franks and Leesa Vlahos at International Women's Day</t>
  </si>
  <si>
    <t>Leesa Vlahos MP (left) and Hon. Tammy Franks MLC at International Women's Day event on North Terrace, Adelaide.</t>
  </si>
  <si>
    <t>Franks, Tammy Anne, 1968-;Vlahos, Leesa Anne, 1966-;International Women's Day -- 2011 -- South Australia -- Adelaide</t>
  </si>
  <si>
    <t>b31948558</t>
  </si>
  <si>
    <t>At an International Women's Day centenary event on North Terrace, Adelaide, two women unveil a National Aboriginal and Torres Strait Islander Women's Alliance poster celebrating 100 women. Janet Giles is taking a photograph with her phone.</t>
  </si>
  <si>
    <t>National Aboriginal and Torres Strait Islander Women's Alliance;International Women's Day -- 2011 -- South Australia -- Adelaide</t>
  </si>
  <si>
    <t>b3194856x</t>
  </si>
  <si>
    <t>At an International Women's Day centenary event on North Terrace, Adelaide, six women stand next to a National Aboriginal and Torres Strait Islander Women's Alliance poster celebrating 100 women. L-R: Sharon Barnes (Victoria), Doris Eaton (Port Hedland), Nyapura Margaret Rose (Nyangumarta woman - Port Hedland), Matilda House (Ngambri-Ngunnawal Elder, Canberra), Nellie Flagg (Wemba Wemba, near Swan Hill), and Professor Lowitja O'Donoghue (South Australia).</t>
  </si>
  <si>
    <t>Barnes, Sharon;Eaton, Doris;Flagg, Nellie;House, Matilda, 1945-;O'Donoghue, Lowitja, 1932-;Rose, Nyapura Margaret;National Aboriginal and Torres Strait Islander Women's Alliance;International Women's Day -- 2011 -- South Australia -- Adelaide</t>
  </si>
  <si>
    <t>b31948571</t>
  </si>
  <si>
    <t>Purple and green ballons decorate bollards at the State Library of South Australia for a International Women's Day centenary event.</t>
  </si>
  <si>
    <t>b29391039</t>
  </si>
  <si>
    <t>Smith, Ryan, photographer</t>
  </si>
  <si>
    <t>Pedestrian overpass across Smith Street, Walkerville.</t>
  </si>
  <si>
    <t>2011 November 24</t>
  </si>
  <si>
    <t>1 photograph : colour;still image sti rdacontent;computer c rdamedia;online resource cr rdacarrier;image file JPEG 1920 x 1080 pixels rda</t>
  </si>
  <si>
    <t>Pedestrian overpass across Smith Street, Walkerville. The overpass serves students of St. Andrew's School.</t>
  </si>
  <si>
    <t>St. Andrew's School (Walkerville, S.A.);Footbridges -- South Australia -- Walkerville</t>
  </si>
  <si>
    <t>Walkerville Collection;Flickr Collection</t>
  </si>
  <si>
    <t>b29292992</t>
  </si>
  <si>
    <t>Phillips, Daryle, photographer</t>
  </si>
  <si>
    <t>Ferry at Mannum</t>
  </si>
  <si>
    <t>2011 September 11</t>
  </si>
  <si>
    <t>1 photograph : colour;still image sti rdacontent;computer c rdamedia;online resource cr rdacarrier;image file JPEG 1280 x 960 pixels rda</t>
  </si>
  <si>
    <t>Ferry on the River Murray at Mannum, South Australia.</t>
  </si>
  <si>
    <t>Mannum (S.A.);Ferries -- South Australia -- Mannum</t>
  </si>
  <si>
    <t>Mannum Collection;Flickr Collection</t>
  </si>
  <si>
    <t>b28927667</t>
  </si>
  <si>
    <t>Cemetery at Lyndoch</t>
  </si>
  <si>
    <t>Part of a collection of photographs taken over time of various places and events in South Australia by Stephen Giles, this features a view of the Lyndoch Cemetery in the Barossa Valley, 30th September 2012.</t>
  </si>
  <si>
    <t>Lyndoch (S.A.)</t>
  </si>
  <si>
    <t>b28927679</t>
  </si>
  <si>
    <t>Livestock carriage near Williamstown</t>
  </si>
  <si>
    <t>Photograph  10 cm x 15 cm;RESERVE 1 a</t>
  </si>
  <si>
    <t>Part of a collection of photographs taken over time of various places and events in South Australia by Stephen Giles, this features an old livestock carriage in the middle of a paddock near Williamstown.</t>
  </si>
  <si>
    <t>b29125303</t>
  </si>
  <si>
    <t>Pathway of Honour, Adelaide</t>
  </si>
  <si>
    <t>Photograph (digital)  5184 x 3456 pixels</t>
  </si>
  <si>
    <t>The Pathway of Honour viewed from the western end running alongside the northern boundary of Government House, Adelaide, includes 36 memorials to military and associated units and events, 12 July 2012.</t>
  </si>
  <si>
    <t>Memorials -- South Australia -- Adelaide;War memorials -- South Australia -- Adelaide;Pathway of Honour (Adelaide, S.A.)</t>
  </si>
  <si>
    <t>b29125315</t>
  </si>
  <si>
    <t>Ex-Servicewomen's Memorial, Adelaide</t>
  </si>
  <si>
    <t>Photograph (digital)  3456 x 5184 pixels</t>
  </si>
  <si>
    <t>The Ex-Servicewomen's Memorial dedicated to the women of South Australia who served in the defence of Australia during World War II, 1939 - 1945. The memorial is adjacent to the western end of the Pathway of Honour which runs along the northern boundary of Government House, 12 July 2012.</t>
  </si>
  <si>
    <t>b29125327</t>
  </si>
  <si>
    <t>The Pathway of Honour viewed from the eastern end running alongside the northern boundary of Government House, Adelaide, includes 36 memorials to military and associated units and events, 12 July 2012.</t>
  </si>
  <si>
    <t>b29125340</t>
  </si>
  <si>
    <t>b29125352</t>
  </si>
  <si>
    <t>The reverse side of the Ex-Servicewomen's Memorial dedicated to the women of South Australia who served in the defence of Australia during World War II, 1939 - 1945. The memorial is adjacent to the western end of the Pathway of Honour which runs along the northern boundary of Government House, 12 July 2012.</t>
  </si>
  <si>
    <t>b29125376</t>
  </si>
  <si>
    <t>10th Infantry Battalion Memorial, Adelaide</t>
  </si>
  <si>
    <t>The 10th Infantry Battalion (Adelaide Rifles) Memorial commemorating all who served with the Adelaide Rifles, Boer War 1899-1902, World War I 1914-1918, World War II 19139-1945. The memorial is adjacent to the western end of the Pathway of Honour which runs along the northern boundary of Government House, 12 July 2012.</t>
  </si>
  <si>
    <t>Australia. Army. Battalion, 10th;Memorials -- South Australia -- Adelaide;War memorials -- South Australia -- Adelaide;Pathway of Honour (Adelaide, S.A.)</t>
  </si>
  <si>
    <t>b29125686</t>
  </si>
  <si>
    <t>Japan Occupation Forces Memorial, Adelaide</t>
  </si>
  <si>
    <t>British Commonwealth Occupation Forces, Australian Contingent, Veterans Memorial,in honour of those who served in the occupation of Japan, 1945-1952, on the Pathway of Honour which runs along the northern boundary of Government House, 12 July 2012.</t>
  </si>
  <si>
    <t>b29125753</t>
  </si>
  <si>
    <t>The Rats of Tobruk Memorial, Adelaide</t>
  </si>
  <si>
    <t>The Rats of Tobruk Memorial in memory of all who suffered the siege of Tobruk, 1 April 1941 to 12 December 1941. The memorial is on the Pathway of Honour which runs along the northern boundary of Government House, 12 July 2012.</t>
  </si>
  <si>
    <t>Rats of Tobruk Association. South Australian State Branch;Memorials -- South Australia -- Adelaide;War memorials -- South Australia -- Adelaide;Pathway of Honour (Adelaide, S.A.)</t>
  </si>
  <si>
    <t>b29125765</t>
  </si>
  <si>
    <t>Reserve Forces of South Australia Memorial, Adelaide</t>
  </si>
  <si>
    <t>Reserve Forces of South Australia Memorial commemorating the loyal service given to the nation by the Reserve Forces of South Australia in peace and war. The memorial is on the Pathway of Honour which runs along the northern boundary of Government House, 12 July 2012.</t>
  </si>
  <si>
    <t>b29125777</t>
  </si>
  <si>
    <t>7th Australian Division, A.I.F., Memorial, Adelaide</t>
  </si>
  <si>
    <t>7th Australian Division, A.I.F. Memorial commemorating the memory of all who served with the 7th Australian Division AIF in world War II, 1939-1945. The memorial is on the Pathway of Honour which runs along the northern boundary of Government House, 12 July 2012.</t>
  </si>
  <si>
    <t>Australia. Army. Division, 7th;Memorials -- South Australia -- Adelaide;War memorials -- South Australia -- Adelaide;Pathway of Honour (Adelaide, S.A.)</t>
  </si>
  <si>
    <t>b29125807</t>
  </si>
  <si>
    <t>Darwin defenders SA Memorial, Adelaide</t>
  </si>
  <si>
    <t>Darwin defenders SA Memorial in memory of all veterans who served defending Darwin, 1942 - 1945. The memorial is on the Pathway of Honour which runs along the northern boundary of Government House, 12 July 2012.</t>
  </si>
  <si>
    <t>b29125820</t>
  </si>
  <si>
    <t>Medical services World War II memorial, Adelaide</t>
  </si>
  <si>
    <t>Medical services World War II memorial commemorating the service given by all members of the medical units formed in South Australia during World War II. 105 General Hospital, 2/9 General Hospital, 110 Casualty Clearing Station, 2/6th Field Ambulance, 2/8th Field Ambulance. The memorial is on the Pathway of Honour which runs along the northern boundary of Government House, 12 July 2012.</t>
  </si>
  <si>
    <t>Australia. Army. Australian General Hospital, 105;Australia. Army. Australian General Hospital, 2/9th;Australia. Army. Casualty Clearing Station, 110;Australia. Army. Field Ambulance, 2/6;Australia. Army. Field Ambulance, 2/8;Memorials -- South Australia -- Adelaide;War memorials -- South Australia -- Adelaide;Pathway of Honour (Adelaide, S.A.)</t>
  </si>
  <si>
    <t>b29125856</t>
  </si>
  <si>
    <t>Malaya, Borneo and Indonesia memorial, Adelaide</t>
  </si>
  <si>
    <t>Memorial dedicated to the memory of the Australian and Commonwealth servicemen and women who paid the supreme sacrifice, and to those who served during World War II Malaya and Borneo campaigns, 1941-1945, the Malayan emergency, 1948-1960, and the Indonesian confrontation, 1962-1966. The memorial is on the Pathway of Honour which runs along the northern boundary of Government House, 12 July 2012.</t>
  </si>
  <si>
    <t>b29125881</t>
  </si>
  <si>
    <t>2/3rd Australian Machine Gun Battalion memorial, Adelaide</t>
  </si>
  <si>
    <t>2/3rd Australian Machine Gun Battalion memorial. The memorial is on the Pathway of Honour which runs along the northern boundary of Government House, 12 July 2012.</t>
  </si>
  <si>
    <t>Australia. Army. Australian Machine Gun Battalion, 2/3rd;Memorials -- South Australia -- Adelaide;War memorials -- South Australia -- Adelaide;Pathway of Honour (Adelaide, S.A.)</t>
  </si>
  <si>
    <t>b29125911</t>
  </si>
  <si>
    <t>2/4th Australian Machine Gun Battalion memorial, Adelaide</t>
  </si>
  <si>
    <t>2/4th Australian Machine Gun Battalion memorial. The memorial is on the Pathway of Honour which runs along the northern boundary of Government House, 12 July 2012.</t>
  </si>
  <si>
    <t>Australia. Army. Australian Machine Gun Battalion, 2/4th;Memorials -- South Australia -- Adelaide;War memorials -- South Australia -- Adelaide;Pathway of Honour (Adelaide, S.A.)</t>
  </si>
  <si>
    <t>b29125923</t>
  </si>
  <si>
    <t>32nd Infantry Battalion memorial, Adelaide</t>
  </si>
  <si>
    <t>32nd Infantry Battalion memorial. The memorial is on the Pathway of Honour which runs along the northern boundary of Government House, 12 July 2012.</t>
  </si>
  <si>
    <t>Australia. Army. Battalion, 32nd;Memorials -- South Australia -- Adelaide;War memorials -- South Australia -- Adelaide;Pathway of Honour (Adelaide, S.A.)</t>
  </si>
  <si>
    <t>b29125935</t>
  </si>
  <si>
    <t>b29125947</t>
  </si>
  <si>
    <t>3rd Battalion, Royal Australian Regiment, memorial, Adelaide</t>
  </si>
  <si>
    <t>3rd Battalion, Royal Australian Regiment, memorial dedicated to all members who served in the Battalion. The memorial is on the Pathway of Honour which runs along the northern boundary of Government House, 12 July 2012.</t>
  </si>
  <si>
    <t>Australia. Army. Battalion, 3rd;Memorials -- South Australia -- Adelaide;War memorials -- South Australia -- Adelaide;Pathway of Honour (Adelaide, S.A.)</t>
  </si>
  <si>
    <t>b29125972</t>
  </si>
  <si>
    <t>43rd Infantry Battalion memorial, Adelaide</t>
  </si>
  <si>
    <t>43rd Infantry Battalion, A.I.F., memorial. The memorial is on the Pathway of Honour which runs along the northern boundary of Government House, 12 July 2012.</t>
  </si>
  <si>
    <t>Australia. Army. Battalion, 43rd;Memorials -- South Australia -- Adelaide;War memorials -- South Australia -- Adelaide;Pathway of Honour (Adelaide, S.A.)</t>
  </si>
  <si>
    <t>b29125984</t>
  </si>
  <si>
    <t>27th Infantry Battalion memorial, Adelaide</t>
  </si>
  <si>
    <t>27th Infantry Battalion, A.I.F., memorial. The memorial is on the Pathway of Honour which runs along the northern boundary of Government House, 12 July 2012.</t>
  </si>
  <si>
    <t>Australia. Army. Battalion, 27th;Memorials -- South Australia -- Adelaide;War memorials -- South Australia -- Adelaide;Pathway of Honour (Adelaide, S.A.)</t>
  </si>
  <si>
    <t>b29125996</t>
  </si>
  <si>
    <t>Dutch community memorial, Adelaide</t>
  </si>
  <si>
    <t>Dutch community memorial dedicated to the Dutch servicemen and women who joined the Australian forces in defending Australia in 1942-1945. The memorial is on the Pathway of Honour which runs along the northern boundary of Government House, 12 July 2012.</t>
  </si>
  <si>
    <t>b29126526</t>
  </si>
  <si>
    <t>Association of Arctic Convoys Veterans SA memorial</t>
  </si>
  <si>
    <t>Association of Arctic Convoys Veterans, South Australia, memorial. The memorial is on the Pathway of Honour which runs along the northern boundary of Government House, 12 July 2012.</t>
  </si>
  <si>
    <t>b2912654x</t>
  </si>
  <si>
    <t>South Australian Dam Busters memorial, Adelaide</t>
  </si>
  <si>
    <t>South Australian Dam Busters memorial commemorates the bravery and heroism of three South Australian airmen who participated in the dam busters raid on 17 May 1943, Squadron Leader David Shannon DSO &amp; Bar, DFC &amp; Bar, Flight Lieutenant Robert Hay DFC &amp; Bar, and Flying Officer Frederick Spafford DFC DFM. The memorial is on the Pathway of Honour which runs along the northern boundary of Government House, 12 July 2012.</t>
  </si>
  <si>
    <t>Hay, Robert Claude, 1913-1944;Shannon, David John, 1922-1993;Spafford, Frederick Michael, 1918-1943;Memorials -- South Australia -- Adelaide;War memorials -- South Australia -- Adelaide;Pathway of Honour (Adelaide, S.A.)</t>
  </si>
  <si>
    <t>b29131960</t>
  </si>
  <si>
    <t>RAAF Ubon memorial, Adelaide</t>
  </si>
  <si>
    <t>79 Squadron, Base Squadron and No. 5 Airfield Construction Squadron RAAF Ubon, Thailand, memorial. "To commemorate all who served with the RAAF Contingent at Ubon,1962 to 1968". The memorial is on the Pathway of Honour which runs along the northern boundary of Government House, 12 July 2012.</t>
  </si>
  <si>
    <t>Australia. Royal Australian Air Force. Squadron, 79;Australia. Royal Australian Air Force. Airfield Construction Squadron, 5;Memorials -- South Australia -- Adelaide;War memorials -- South Australia -- Adelaide;Pathway of Honour (Adelaide, S.A.)</t>
  </si>
  <si>
    <t>b29132010</t>
  </si>
  <si>
    <t>8th Battalion, Royal Australian Regiment, memorial, Adelaide</t>
  </si>
  <si>
    <t>8th Battalion, Royal Australian Regiment, memorial. "Dedicated to the memory of the  members of the 8th Battalion, the Royal Australian Regiment, who died whilst serving: Malaysia 1967 - 1969, Vietnam 1969 - 1970". The memorial is on the Pathway of Honour which runs along the northern boundary of Government House, 12 July 2012.</t>
  </si>
  <si>
    <t>Australia. Army. Battalion, 8th;Memorials -- South Australia -- Adelaide;War memorials -- South Australia -- Adelaide;Pathway of Honour (Adelaide, S.A.)</t>
  </si>
  <si>
    <t>b29132034</t>
  </si>
  <si>
    <t>2/27th Infantry Battalion memorial, Adelaide</t>
  </si>
  <si>
    <t>2/27th Infantry Battalion, A.I.F., memorial. "In memory of all who served in the Battalion". The memorial is on the Pathway of Honour which runs along the northern boundary of Government House, 12 July 2012.</t>
  </si>
  <si>
    <t>Australia. Army. Battalion, 2/27th;Memorials -- South Australia -- Adelaide;War memorials -- South Australia -- Adelaide;Pathway of Honour (Adelaide, S.A.)</t>
  </si>
  <si>
    <t>b29132046</t>
  </si>
  <si>
    <t>9th Battalion R.A.R. memorial, Adelaide</t>
  </si>
  <si>
    <t>9th Battalion, R.A.R., memorial with the names of 35 members who paid the supreme sacrifice. "The 9th Battalion, The Royal Australian Regiment,was raised at Keswick Barracks, Adelaide, on the 13th of November 1967. From late November 1967 until its departure for South Vietnam on the 9th of November 1968, the Battalion was based at Woodside. On return from South Vietnam on the 10th of December 1969 the Battalion was relocated to Enoggera, Queensland". The memorial is on the Pathway of Honour which runs along the northern boundary of Government House, 12 July 2012.</t>
  </si>
  <si>
    <t>Australia. Army. Battalion, 9th;Memorials -- South Australia -- Adelaide;War memorials -- South Australia -- Adelaide;Pathway of Honour (Adelaide, S.A.)</t>
  </si>
  <si>
    <t>b29132150</t>
  </si>
  <si>
    <t>Special Air Service Regiment memorial, Adelaide</t>
  </si>
  <si>
    <t>Special Air Service Regiment memorial. "This memorial is dedicated to all members of the Australian Special Air Service Regiment past and present and to those members who have been injured or killed in training and on operational service. These soldiers dedicated themselves to defending our democratic way of life". Unveiled on 19 July 2003 the memorial is on the Pathway of Honour which runs along the northern boundary of Government House, 12 July 2012.</t>
  </si>
  <si>
    <t>Australia. Army. Special Air Service Regiment;Memorials -- South Australia -- Adelaide;War memorials -- South Australia -- Adelaide;Pathway of Honour (Adelaide, S.A.)</t>
  </si>
  <si>
    <t>b29132174</t>
  </si>
  <si>
    <t>4th Battalion memorial, Adelaide</t>
  </si>
  <si>
    <t>4th Battalion, R.A.R., memorial. "4th Battalion, The Royal Australian Regiment, raised at woodside S.A. on the 1st of February 1964, was the first regular army infantry battalion raised on Australian soil. The Battalion served with distinction in  Malaysia, Borneo, South Vietnam, Cambodia, Somalia, Rwanda, East Timor, Timor Leste, Iraq and Afghanistan". Unveiled on 1st February 2009, the memorial is on the Pathway of Honour which runs along the northern boundary of Government House, 12 July 2012.</t>
  </si>
  <si>
    <t>Australia. Army. Battalion, 4th;Memorials -- South Australia -- Adelaide;War memorials -- South Australia -- Adelaide;Pathway of Honour (Adelaide, S.A.)</t>
  </si>
  <si>
    <t>b29132228</t>
  </si>
  <si>
    <t>Royal Australian Artillery memorial, Adelaide</t>
  </si>
  <si>
    <t>Royal Australian Artillery memorial. "This plaque commemorates all gunners who served with the Royal Australian Artillery in defence of our country". Unveiled on 26th October 1997, the memorial is on the Pathway of Honour which runs along the northern boundary of Government House, 12 July 2012.</t>
  </si>
  <si>
    <t>Australia. Army. -- Artillery;Memorials -- South Australia -- Adelaide;War memorials -- South Australia -- Adelaide;Pathway of Honour (Adelaide, S.A.)</t>
  </si>
  <si>
    <t>b29132253</t>
  </si>
  <si>
    <t>Peacetime Memorial, Adelaide</t>
  </si>
  <si>
    <t>Peacetime Memorial. "This memorial is dedicated to the memory of all service personnel who have lost their lives or were injured whilst on peacetime duty in the Australian Defence Forces." The memorial is on the Pathway of Honour which runs along the northern boundary of Government House, 12 July 2012.</t>
  </si>
  <si>
    <t>Australia. Royal Australian Air Force;Australia. Army;Australia. Navy;Memorials -- South Australia -- Adelaide;War memorials -- South Australia -- Adelaide;Pathway of Honour (Adelaide, S.A.)</t>
  </si>
  <si>
    <t>b29132277</t>
  </si>
  <si>
    <t>Liberation of Normandy memorial, Adelaide</t>
  </si>
  <si>
    <t>Liberation of Normandy memorial. "This memorial is dedicated to all personnel who took part in the liberation of Normandy D-Day June 6th 1944 to August 20th 1944." The memorial is on the Pathway of Honour which runs along the northern boundary of Government House, 12 July 2012.</t>
  </si>
  <si>
    <t>World War, 1939-1945 -- Campaigns -- France -- Normandy;Memorials -- South Australia -- Adelaide;War memorials -- South Australia -- Adelaide;Pathway of Honour (Adelaide, S.A.)</t>
  </si>
  <si>
    <t>b29132289</t>
  </si>
  <si>
    <t>Royal Australian Survey Corps memorial, Adelaide</t>
  </si>
  <si>
    <t>Royal Australian Survey Corps memorial. "To commemorate eighty one years of service to Australia and to honour the men and women of the Corps who served our nation with dedication at home and abroad in peace and war." The memorial is on the Pathway of Honour which runs along the northern boundary of Government House, 12 July 2012.</t>
  </si>
  <si>
    <t>Australia. Army. Royal Australian Survey Corps;Memorials -- South Australia -- Adelaide;War memorials -- South Australia -- Adelaide;Pathway of Honour (Adelaide, S.A.)</t>
  </si>
  <si>
    <t>b29132290</t>
  </si>
  <si>
    <t>2/48th Infantry Battalion memorial, Adelaide</t>
  </si>
  <si>
    <t>2/48th Infantry Battalion memorial. "In memory of all members who served in 2/48th Infantry Battalion 2nd A.I.F., 1940 - 1945. Battle Honours: Tobruk, The Salient, To commemorate eighty one years of service to Australia and to honour the men and women of the Corps who served our nation with dedication at home and abroad in peace and war." The memorial includes the names of four Victoria Cross winners  WX9858 Stan Gurney, WX10426 Percy Gratwick, SX7089 Bill Kibby and SX7964 Tom Derrick, DCM. The memorial is on the Pathway of Honour which runs along the northern boundary of Government House, 12 July 2012.</t>
  </si>
  <si>
    <t>Derrick, Thomas Currie, 1914-1945;Gratwick, Percival Eric, 1902-1942;Gurney, Arthur Stanley, 1908-1942;Kibby, William Henry, 1905-1942;Australia. Army. Infantry Battalion, 2/48th;Memorials -- South Australia -- Adelaide;War memorials -- South Australia -- Adelaide;Pathway of Honour (Adelaide, S.A.)</t>
  </si>
  <si>
    <t>b29132319</t>
  </si>
  <si>
    <t>Australian Army Ordnance Corps memorial, Adelaide</t>
  </si>
  <si>
    <t>Australian Army Ordnance Corps memorial. "In remembrance of all A.A.O.C. / R.A.A.O.C. personnel who have supported army engagements in all areas of conflict". The memorial is on the Pathway of Honour which runs along the northern boundary of Government House, 12 July 2012.</t>
  </si>
  <si>
    <t>Australia. Army. Royal Australian Army Ordnance Corps;Memorials -- South Australia -- Adelaide;War memorials -- South Australia -- Adelaide;Pathway of Honour (Adelaide, S.A.)</t>
  </si>
  <si>
    <t>b29132320</t>
  </si>
  <si>
    <t>Sandakan memorial, Adelaide</t>
  </si>
  <si>
    <t>Sandakan memorial. "In memory of our South Australian Prisoners of War and all those who suffered and died in Sandakan, and on the death marches to and at Ranau, North Borneo (Sabah) 18th July 1942 - 27th August 1945". The memorial is on the Pathway of Honour which runs along the northern boundary of Government House, 12 July 2012.</t>
  </si>
  <si>
    <t>Australia. Army. Royal Australian Army Ordnance Corps;Memorials -- South Australia -- Adelaide;War memorials -- South Australia -- Adelaide;Pathway of Honour (Adelaide, S.A.);Prisoners of war -- Borneo -- Sandakan (Sabah)</t>
  </si>
  <si>
    <t>b29132332</t>
  </si>
  <si>
    <t>2/43th Infantry Battalion memorial, Adelaide</t>
  </si>
  <si>
    <t>2/43th Infantry Battalion memorial. "In memory of all who served 2/43th Battalion, 1940 - 1945". Battle Honours: North Africa 1941-1942, Tobruk, El Alamein  New Guinea 1943, Lae, Finschhafen  Borneo 1945, Labuan, Beaufort. The memorial is on the Pathway of Honour which runs along the northern boundary of Government House, 12 July 2012.</t>
  </si>
  <si>
    <t>Australia. Army. Infantry Battalion, 2/43rd;Memorials -- South Australia -- Adelaide;War memorials -- South Australia -- Adelaide;Pathway of Honour (Adelaide, S.A.)</t>
  </si>
  <si>
    <t>b29132344</t>
  </si>
  <si>
    <t>Sikh soldiers memorial, Adelaide</t>
  </si>
  <si>
    <t>Sikh soldiers memorial. "In memory of all Sikh soldiers who gave their lives or were wounded in World Wars 1 &amp; 2 and all other wars for the British Raj from 1849 to 1947 including the epic battle of Saragarhi on 12th of September, 1897. The saga of their valour, undaunted spirit and sacrifices is written in golden letters in the annals of military history of the world." The memorial which was unveiled by the Hon. Mike Rann on 25 April 2011 is on the Pathway of Honour which runs along the northern boundary of Government House, 12 July 2012.</t>
  </si>
  <si>
    <t>b29133191</t>
  </si>
  <si>
    <t>Pioneer Battalions memorial, Adelaide</t>
  </si>
  <si>
    <t>Pioneer Battalions memorial. "In memory of all members who served in the 2/1st Australian Pioneer Battalion, 2/2nd Australian Pioneer Battalion, 2/3rd Australian Pioneer Battalion, 2/4th Australian Pioneer Battalion, during World War 2 1940 - 1945. Battle Honours: Middle East, Palestine, Tobruk, Syria, El Alamein, Java, New Guinea, Kokoda, Milne Bay, Lae, Finschhafen, Nadzab, Shaggy Ridge, Morotai, Tarakan, Balikpapan, Labuan, Darwin. The memorial which was unveiled by Brigadier J.G. McKinna C.M.G., C.B.E., D.S.O., L.V.O., ED. on 31 May 1998 is on the Pathway of Honour which runs along the northern boundary of Government House, 12 July 2012.</t>
  </si>
  <si>
    <t>Australia. Army. Pioneer Battalion, 2/1st;Australia. Army. Pioneer Battalion, 2/2nd;Australia. Army. Pioneer Battalion, 2/3rd;Australia. Army. Pioneer Battalion, 2/4th;Memorials -- South Australia -- Adelaide;War memorials -- South Australia -- Adelaide;Pathway of Honour (Adelaide, S.A.)</t>
  </si>
  <si>
    <t>b29133208</t>
  </si>
  <si>
    <t>South Australian Association of the Most Excellent Order of the British Empire plaque, Adelaide</t>
  </si>
  <si>
    <t>South Australian Association of the Most Excellent Order of the British Empire plaque. "The drinking fountain situated near the State War Memorial in North Terrace, Adelaide was presented to the City of Adelaide by the South Australian Association of the Most Excellent Order of the British Empire in 1988 to mark Australia's bicentenary. The plaque commemorating this event was re-located to this site and unveiled by Her Excellency Marjorie Jackson-Nelson AC, CVO, MBE, Governor of South Australia, on 4 December 2003 to mark the 25th anniversary of the formation of the Association. It is on the Pathway of Honour which runs along the northern boundary of Government House, 12 July 2012.</t>
  </si>
  <si>
    <t>South Australian Association of the Most Excellent Order of the British Empire;Memorials -- South Australia -- Adelaide;War memorials -- South Australia -- Adelaide;Pathway of Honour (Adelaide, S.A.)</t>
  </si>
  <si>
    <t>b29137032</t>
  </si>
  <si>
    <t>Payneham Cemetery</t>
  </si>
  <si>
    <t>Part of a collection of photographs taken over time of various places and events in South Australia by Stephen Giles, this features some of the 19th and 20th century graves at Payneham Cemetery on Marian Road, 8 January 2012.</t>
  </si>
  <si>
    <t>Cemeteries -- South Australia -- Payneham</t>
  </si>
  <si>
    <t>b29137044</t>
  </si>
  <si>
    <t>Part of a collection of photographs taken over time of various places and events in South Australia by Stephen Giles, this features some late 20th century graves at Payneham Cemetery on Marian Road, 8 January 2012.</t>
  </si>
  <si>
    <t>b29137056</t>
  </si>
  <si>
    <t>b31897903</t>
  </si>
  <si>
    <t>New Royal Adelaide Hospital construction</t>
  </si>
  <si>
    <t>2012 December 10</t>
  </si>
  <si>
    <t>1 photograph : colour;still image sti rdacontent;computer c rdamedia;online resource cr rdacarrier;image file TIFF 5184 x 3456 pixels rda</t>
  </si>
  <si>
    <t>A tram is stopped at the West Terrace tram stop with construction work on the new Royal Adelaide Hospital going on behind.</t>
  </si>
  <si>
    <t>Royal Adelaide Hospital (S.A.);Building sites -- South Australia -- Adelaide;Trams -- South Australia -- North Adelaide</t>
  </si>
  <si>
    <t>New Adelaide Hospital Precinct;Adelaide Views</t>
  </si>
  <si>
    <t>b31898026</t>
  </si>
  <si>
    <t>Construction cranes tower over the new Royal Adelaide Hospital construction site.</t>
  </si>
  <si>
    <t>Royal Adelaide Hospital (S.A.);Building sites -- South Australia -- Adelaide;Cranes, derricks, etc. -- South Australia -- Adelaide</t>
  </si>
  <si>
    <t>b31898038</t>
  </si>
  <si>
    <t>b3189804x</t>
  </si>
  <si>
    <t>Preliminary earth works on the site of the new Royal Adelaide Hospital.</t>
  </si>
  <si>
    <t>Royal Adelaide Hospital (S.A.);Building sites -- South Australia -- Adelaide;Earthmoving machinery -- South Australia -- Adelaide</t>
  </si>
  <si>
    <t>b31898051</t>
  </si>
  <si>
    <t>An Adelaide Metro bus travelling east along North Terrace passes the site of the new Royal Adelaide Hospital.</t>
  </si>
  <si>
    <t>Royal Adelaide Hospital (S.A.);Building sites -- South Australia -- Adelaide;Earthmoving machinery -- South Australia -- Adelaide;Buses -- South Australia -- Adelaide</t>
  </si>
  <si>
    <t>b31898063</t>
  </si>
  <si>
    <t>b31898075</t>
  </si>
  <si>
    <t>b31898087</t>
  </si>
  <si>
    <t>Tram at West Terrace tram stop</t>
  </si>
  <si>
    <t>View along North Terrace and Port Road. A tram is departing the West Terrace tram stop and work on the new Royal Adelaide Hospital has begun.</t>
  </si>
  <si>
    <t>Royal Adelaide Hospital (S.A.);Building sites -- South Australia -- Adelaide;Cranes, derricks, etc. -- South Australia -- Adelaide;Trams -- South Australia -- Adelaide</t>
  </si>
  <si>
    <t>b31898117</t>
  </si>
  <si>
    <t>South Australian Health and Medical Research Institute building under construction</t>
  </si>
  <si>
    <t>View looking north east from the third floor of the Adelaide Day Surgery Building, 18 North Terrace, of the South Australian Health and Medical Research Institute (SAHMRI) building under construction.</t>
  </si>
  <si>
    <t>South Australian Health and Medical Research Institute;Building sites -- South Australia -- Adelaide;Cranes, derricks, etc. -- South Australia -- Adelaide</t>
  </si>
  <si>
    <t>b31898129</t>
  </si>
  <si>
    <t>South Australian Health and Medical Research Institute building construction</t>
  </si>
  <si>
    <t>1 photograph : colour;still image sti rdacontent;computer c rdamedia;online resource cr rdacarrier;image file TIFF 3456 x 5184 pixels rda</t>
  </si>
  <si>
    <t>The South Australian Health and Medical Research Institute (SAHMRI) building under construction.</t>
  </si>
  <si>
    <t>b31898130</t>
  </si>
  <si>
    <t>1 photograph : colour;still image sti rdacontent;computer c rdamedia;online resource cr rdacarrier;image file TIFF 5184x 3456 pixels rda</t>
  </si>
  <si>
    <t>b31898142</t>
  </si>
  <si>
    <t>North Terrace from the Morphett Street Bridge</t>
  </si>
  <si>
    <t>View west from the Morphett Street Bridge along North Terrace toward the South Australian Health and Medical Research Institute (SAHMRI) building under construction. A tram is at the City West tram stop and the Adelaide Skate Park is behind the trees on the right.</t>
  </si>
  <si>
    <t>South Australian Health and Medical Research Institute;Building sites -- South Australia -- Adelaide;Cranes, derricks, etc. -- South Australia -- Adelaide;Trams -- South Australia -- Adelaide</t>
  </si>
  <si>
    <t>b31898166</t>
  </si>
  <si>
    <t>Morphett Street Bridge</t>
  </si>
  <si>
    <t>View west of the Morphett Street Bridge, Construction cranes tower over the Adelaide Convention Centre west building expansion. Holy Trinity Church is on the opposite side of the road.</t>
  </si>
  <si>
    <t>Adelaide Convention Centre;Building sites -- South Australia -- Adelaide;Cranes, derricks, etc. -- South Australia -- Adelaide;Bridges -- South Australia -- Adelaide</t>
  </si>
  <si>
    <t>b29292694</t>
  </si>
  <si>
    <t>Jenkins, Adam, photographer</t>
  </si>
  <si>
    <t>Torrens Island Quarantine Station</t>
  </si>
  <si>
    <t>2012 January 29</t>
  </si>
  <si>
    <t>1 photograph : colour;still image sti rdacontent;computer c rdamedia;online resource cr rdacarrier;image file JPEG 4672 x 3104 pixels rda</t>
  </si>
  <si>
    <t>Torrens Island Quarantine Station bathing block interior.</t>
  </si>
  <si>
    <t>Quarantine -- South Australia -- Torrens Island</t>
  </si>
  <si>
    <t>Torrens Island Collection;Flickr Collection</t>
  </si>
  <si>
    <t>b29292785</t>
  </si>
  <si>
    <t>1 photograph : colour;still image sti rdacontent;computer c rdamedia;online resource cr rdacarrier;image file JPEG 2932 x 4398 pixels rda</t>
  </si>
  <si>
    <t>Torrens Island Quarantine Station morgue.</t>
  </si>
  <si>
    <t>b29292797</t>
  </si>
  <si>
    <t>1 photograph : colour;still image sti rdacontent;computer c rdamedia;online resource cr rdacarrier;image file JPEG 4000 x 2666 pixels rda</t>
  </si>
  <si>
    <t>Torrens Island Quarantine Station jetty.</t>
  </si>
  <si>
    <t>b29292827</t>
  </si>
  <si>
    <t>1 photograph : colour;still image sti rdacontent;computer c rdamedia;online resource cr rdacarrier;image file JPEG 4000 x 2000 pixels rda</t>
  </si>
  <si>
    <t>Torrens Island Quarantine Station accommodation. Built in the 1950s each unit had a bedroom / living room with an attached bathroom.</t>
  </si>
  <si>
    <t>b29292852</t>
  </si>
  <si>
    <t>1 photograph : colour;still image sti rdacontent;computer c rdamedia;online resource cr rdacarrier;image file JPEG 3000 x 2000 pixels rda</t>
  </si>
  <si>
    <t>Torrens Island Quarantine Station.</t>
  </si>
  <si>
    <t>b29292864</t>
  </si>
  <si>
    <t>1 photograph : colour;still image sti rdacontent;computer c rdamedia;online resource cr rdacarrier;image file JPEG 3580 x 2387 pixels rda</t>
  </si>
  <si>
    <t>b29331742</t>
  </si>
  <si>
    <t>Dolman, Scott, photographer</t>
  </si>
  <si>
    <t>Festival Centre Plaza</t>
  </si>
  <si>
    <t>2012 June 6</t>
  </si>
  <si>
    <t>1 photograph : colour;still image sti rdacontent;computer c rdamedia;online resource cr rdacarrier;image file JPEG 3264 x 2448 pixels rda</t>
  </si>
  <si>
    <t>People, some with telescopes, gather on the Festival Theatre Plaza near the Otto Hajek sculpture to view the transit of Venus across the Sun. The Adelaide Railway Station building is in the background.</t>
  </si>
  <si>
    <t>Astronomers -- South Australia -- Adelaide;Public sculpture -- South Australia -- Adelaide</t>
  </si>
  <si>
    <t>Festival Theatre Collection;Flickr Collection</t>
  </si>
  <si>
    <t>b29329152</t>
  </si>
  <si>
    <t>Thompson, Gary Sauer, photographer</t>
  </si>
  <si>
    <t>Port Adelaide Wool Store</t>
  </si>
  <si>
    <t>2012 October 17</t>
  </si>
  <si>
    <t>1 photograph : colour;still image sti rdacontent;computer c rdamedia;online resource cr rdacarrier;image file JPEG 1500 x 1231 pixels rda</t>
  </si>
  <si>
    <t>ISA Maritime Pty Ltd offices located in wool stores building, 7 Santo Parade, Port Adelaide.</t>
  </si>
  <si>
    <t>Wool industry -- South Australia;Architecture -- South Australia -- Port Adelaide</t>
  </si>
  <si>
    <t>Port Adelaide Collection;Flickr Collection</t>
  </si>
  <si>
    <t>b2909091x</t>
  </si>
  <si>
    <t>John Dowie sculpture of Sir Robert Helpmann</t>
  </si>
  <si>
    <t>Bronze sculpture of Sir Robert Helpmann CBE completed by John Dowie AM in 1986 in the Adelaide Festival Theatre foyer.</t>
  </si>
  <si>
    <t>Helpmann, Robert, Sir, 1909-1986 -- Monuments;Dowie, John, 1915-2008;Statues -- South Australia -- Adelaide</t>
  </si>
  <si>
    <t>Festival Theatre Collection</t>
  </si>
  <si>
    <t>b29110191</t>
  </si>
  <si>
    <t>Helpmann, Robert, Sir, 1909-1986 -- Monuments;Dowie, John, 1915-2008;Adelaide Festival Theatre;Statues -- South Australia -- Adelaide;Theaters -- South Australia -- Adelaide</t>
  </si>
  <si>
    <t>b29110208</t>
  </si>
  <si>
    <t>Bronze sculpture of Sir Robert Helpmann CBE completed by John Dowie AM in 1986 located next to the staircase in the Adelaide Festival Theatre foyer.</t>
  </si>
  <si>
    <t>b29110233</t>
  </si>
  <si>
    <t>John Dowie sculpture of John Bishop</t>
  </si>
  <si>
    <t>Bronze sculpture of John Bishop, Elder Professor of Music at the University of Adelaide and Co-founder of the Adelaide Festival, completed by John Dowie AM in 1986, in the Adelaide Festival Theatre foyer.</t>
  </si>
  <si>
    <t>Bishop, John, 1903-1964 -- Monuments;Dowie, John, 1915-2008;Adelaide Festival Theatre;Statues -- South Australia -- Adelaide;Theaters -- South Australia -- Adelaide</t>
  </si>
  <si>
    <t>b29110257</t>
  </si>
  <si>
    <t>b29110282</t>
  </si>
  <si>
    <t>Adelaide Festival Theatre foyer</t>
  </si>
  <si>
    <t>Adelaide Festival Theatre foyer.</t>
  </si>
  <si>
    <t>Adelaide Festival Theatre;Theaters -- South Australia -- Adelaide</t>
  </si>
  <si>
    <t>b29110294</t>
  </si>
  <si>
    <t>b29110312</t>
  </si>
  <si>
    <t>Photograph (digital)  6784 x 3392 pixels</t>
  </si>
  <si>
    <t>b2911035x</t>
  </si>
  <si>
    <t>b29110361</t>
  </si>
  <si>
    <t>b29110464</t>
  </si>
  <si>
    <t>Adelaide rail yard redevelopment</t>
  </si>
  <si>
    <t>Photograph (digital)  13456 x 3376 pixels</t>
  </si>
  <si>
    <t>Panorama of Adelaide rail yard during redevelopment looking west from the Morphett Street Bridge toward the South Australian Health and Medical Research Institute building under construction, 8 January 2013.</t>
  </si>
  <si>
    <t>Railway station Collection</t>
  </si>
  <si>
    <t>b29110506</t>
  </si>
  <si>
    <t>Adelaide rail yard during redevelopment looking west from the Morphett Street Bridge toward the South Australian Health and Medical Research Institute building under construction, 8 January 2013.</t>
  </si>
  <si>
    <t>Adelaide Railway Station;South Australian Health and Medical Research Institute;Railroad stations -- South Australia -- Adelaide</t>
  </si>
  <si>
    <t>b29110518</t>
  </si>
  <si>
    <t>b29112242</t>
  </si>
  <si>
    <t>The Rundle Mall bronze pig sculpture, officially known as 'A day out', by Marguerite Derricourt, in front of Kiosk 2 selling fruit juice and yoghurt. Only three of the four pigs are visible, they are Truffles (the standing pig), Horatio (the sitting pig) and Oliver (the pig at the bin). Augusta (the trotting pig) is hidden by the bin. 2012 Christmas decorations are still in place.</t>
  </si>
  <si>
    <t>Sculpture -- South Australia -- Adelaide;Shopping centers -- South Australia -- Adelaide;Shopping Malls -- South Australia -- Adelaide;Rundle Mall (Adelaide, S.A.)</t>
  </si>
  <si>
    <t>b29112266</t>
  </si>
  <si>
    <t>FringeTIX Rundle Mall</t>
  </si>
  <si>
    <t>The FringeTIX Box Office in Rundle Mall.</t>
  </si>
  <si>
    <t>Shopping centers -- South Australia -- Adelaide;Shopping Malls -- South Australia -- Adelaide;Rundle Mall (Adelaide, S.A.)</t>
  </si>
  <si>
    <t>b29112278</t>
  </si>
  <si>
    <t>Fruit kiosk in Rundle Mall.</t>
  </si>
  <si>
    <t>b2911228x</t>
  </si>
  <si>
    <t>Rundle Mall fountain</t>
  </si>
  <si>
    <t>Rundle Mall fountain in front of the Adelaide Arcade where a sign states "Save the Rundle Mall Fountain".</t>
  </si>
  <si>
    <t>Fountains -- South Australia -- Adelaide;Shopping Malls -- South Australia -- Adelaide;Rundle Mall (Adelaide, S.A.)</t>
  </si>
  <si>
    <t>b29112291</t>
  </si>
  <si>
    <t>View looking west along Rundle Mall with the Rundle Mall fountain in the foreground.</t>
  </si>
  <si>
    <t>b29112308</t>
  </si>
  <si>
    <t>b29114792</t>
  </si>
  <si>
    <t>Adelaide Railway Station redevelopment</t>
  </si>
  <si>
    <t>Redevelopment of tracks in the Adelaide Railway Station yards, 14 January 2013.</t>
  </si>
  <si>
    <t>Adelaide Railway Station Collection</t>
  </si>
  <si>
    <t>b29116247</t>
  </si>
  <si>
    <t>Austral Hotel, Rundle Street</t>
  </si>
  <si>
    <t>View looking east along Rundle Street with the Austral Hotel in the foreground.</t>
  </si>
  <si>
    <t>b29116260</t>
  </si>
  <si>
    <t>Rundle Street and Frome Street intersection.</t>
  </si>
  <si>
    <t>View of the south east corner of the Rundle Street and Frome Street intersection.</t>
  </si>
  <si>
    <t>b29116272</t>
  </si>
  <si>
    <t>Stag Hotel, Rundle Street</t>
  </si>
  <si>
    <t>Stag Hotel at the intersection of Rundle Street and East Terrace.</t>
  </si>
  <si>
    <t>b29116284</t>
  </si>
  <si>
    <t>Stag Hotel, East Terrace, Adelaide</t>
  </si>
  <si>
    <t>View along East Terrace, Adelaide, with the Stag Hotel at the intersection with Rundle Street in the foreground.</t>
  </si>
  <si>
    <t>b29116302</t>
  </si>
  <si>
    <t>Statue of Alice</t>
  </si>
  <si>
    <t>Statue of Alice in Rymill Park, Adelaide.</t>
  </si>
  <si>
    <t>Statues -- South Australia -- Adelaide</t>
  </si>
  <si>
    <t>Rymill Park Collection;Adelaide Views Collection</t>
  </si>
  <si>
    <t>b29116314</t>
  </si>
  <si>
    <t>b29116326</t>
  </si>
  <si>
    <t>Rymill Park, Adelaide</t>
  </si>
  <si>
    <t>Rymill Park, Adelaide.</t>
  </si>
  <si>
    <t>Parks -- South Australia -- Adelaide</t>
  </si>
  <si>
    <t>b29116338</t>
  </si>
  <si>
    <t>Piccaninny drinking fountain</t>
  </si>
  <si>
    <t>Piccaninny drinking fountain, Rymill Park, Adelaide.</t>
  </si>
  <si>
    <t>Drinking fountains -- South Australia -- Adelaide</t>
  </si>
  <si>
    <t>b2911634x</t>
  </si>
  <si>
    <t>Light Horse Memorial</t>
  </si>
  <si>
    <t>Photograph (digital)  4100 x 3325 pixels</t>
  </si>
  <si>
    <t>Light Horse Memorial near intersection of North Terrace and East Terrace, Adelaide.</t>
  </si>
  <si>
    <t>War memorials -- South Australia -- Adelaide;Australian Light Horse War Memorial (Adelaide, S.A.)</t>
  </si>
  <si>
    <t>Light Horse Memorial Collection;Adelaide Views Collection</t>
  </si>
  <si>
    <t>b29116429</t>
  </si>
  <si>
    <t>b29116430</t>
  </si>
  <si>
    <t>Royal Adelaide Hospital</t>
  </si>
  <si>
    <t>Royal Adelaide Hospital, North Terrace, Adelaide.</t>
  </si>
  <si>
    <t>Royal Adelaide Hospital (S.A.);Hospitals -- South Australia -- Adelaide</t>
  </si>
  <si>
    <t>Adelaide Hospital Collection;Adelaide Views Collection</t>
  </si>
  <si>
    <t>b29116442</t>
  </si>
  <si>
    <t>Photograph (digital)  3456 x 4332 pixels</t>
  </si>
  <si>
    <t>b29116466</t>
  </si>
  <si>
    <t>University of Adelaide, North Terrace, Adelaide.</t>
  </si>
  <si>
    <t>University of Adelaide;Universities and colleges -- South Australia</t>
  </si>
  <si>
    <t>University of Adelaide Collection;Adelaide Views Collection</t>
  </si>
  <si>
    <t>b29116478</t>
  </si>
  <si>
    <t>University of South Australia</t>
  </si>
  <si>
    <t>Photograph (digital)  3456 x 4968 pixels</t>
  </si>
  <si>
    <t>University of South Australia, City East Campus, North Terrace, Adelaide.</t>
  </si>
  <si>
    <t>University of South Australia;Universities and colleges -- South Australia</t>
  </si>
  <si>
    <t>University of South Australia (City East Campus) Collection;Adelaide Views Collection</t>
  </si>
  <si>
    <t>b2911648x</t>
  </si>
  <si>
    <t>Photograph (digital)  3456 x 4680 pixels</t>
  </si>
  <si>
    <t>b29116491</t>
  </si>
  <si>
    <t>Grand Lodge of Freemasons</t>
  </si>
  <si>
    <t>Grand Lodge of Freemasons, North Terrace, Adelaide.</t>
  </si>
  <si>
    <t>Freemasons -- South Australia -- Adelaide</t>
  </si>
  <si>
    <t>Acre 26 Collection</t>
  </si>
  <si>
    <t>b29118840</t>
  </si>
  <si>
    <t>Bust of Dr. John Dowie AM</t>
  </si>
  <si>
    <t>Photograph (digital)  3520 x 3450 pixels</t>
  </si>
  <si>
    <t>Bust of Dr John Dowie AM located on the lawns between the State Library and North Terrace.</t>
  </si>
  <si>
    <t>Dowie, John, 1915-2008 -- Monuments;Busts -- South Australia -- Adelaide</t>
  </si>
  <si>
    <t>b29118852</t>
  </si>
  <si>
    <t>Sculpture 'Girl on a slide'</t>
  </si>
  <si>
    <t>Photograph (digital)  3456 x 4476 pixels</t>
  </si>
  <si>
    <t>Sculpture 'Girl on a slide' 1977 by John Dowie AM in Rundle Mall, Adelaide.</t>
  </si>
  <si>
    <t>Sculpture -- South Australia -- Adelaide;Rundle Mall (Adelaide, S.A.)</t>
  </si>
  <si>
    <t>b2911892x</t>
  </si>
  <si>
    <t>Adelaide City Council Bike Expo</t>
  </si>
  <si>
    <t>Adelaide City Council Bike Expo, Victoria Square, Adelaide, held in conjunction with the Santos Tour Down Under, January 20 to 27.</t>
  </si>
  <si>
    <t>Tour Down Under (Bicycle race);Cycling -- South Australia -- Adelaide;Exhibitions -- South Australia -- Adelaide</t>
  </si>
  <si>
    <t>b29118992</t>
  </si>
  <si>
    <t>b29119005</t>
  </si>
  <si>
    <t>Victoria Square fountain at the centre of the Adelaide City Council Bike Expo, Victoria Square, Adelaide, held in conjunction with the Santos Tour Down Under, January 20 to 27.</t>
  </si>
  <si>
    <t>Tour Down Under (Bicycle race);Cycling -- South Australia -- Adelaide;Exhibitions -- South Australia -- Adelaide;Fountains -- South Australia -- Adelaide</t>
  </si>
  <si>
    <t>b29119017</t>
  </si>
  <si>
    <t>Photograph (digital)  3456 x 4164 pixels</t>
  </si>
  <si>
    <t>b29119029</t>
  </si>
  <si>
    <t>Entrance to the Adelaide City Council Bike Expo, Victoria Square, Adelaide, held in conjunction with the Santos Tour Down Under, January 20 to 27. The Tour Village can be seen across Wakefield Street and behind the statue of Queen Victoria.</t>
  </si>
  <si>
    <t>Tour Down Under (Bicycle race);Cycling -- South Australia -- Adelaide;Exhibitions -- South Australia -- Adelaide;Statues -- South Australia -- Adelaide;Queen Victoria Statue (Adelaide, S.A.)</t>
  </si>
  <si>
    <t>b29119030</t>
  </si>
  <si>
    <t>Adelaide City Council Tour Village, Victoria Square, Adelaide, for the Santos Tour Down Under, January 20 to 27. Statue of Queen Victoria is in the foreground.</t>
  </si>
  <si>
    <t>b29119042</t>
  </si>
  <si>
    <t>Motor Accident Commission inflatable bike</t>
  </si>
  <si>
    <t>Photograph (digital)  3456 x 4146 pixels</t>
  </si>
  <si>
    <t>Motor Accident Commission inflatable bike at the Adelaide City Council Bike Expo, Victoria Square, Adelaide, held in conjunction with the Santos Tour Down Under, January 20 to 27.</t>
  </si>
  <si>
    <t>South Australia. Motor Accident Commission;Tour Down Under (Bicycle race);Cycling -- South Australia -- Adelaide;Exhibitions -- South Australia -- Adelaide</t>
  </si>
  <si>
    <t>b29119066</t>
  </si>
  <si>
    <t>b29119078</t>
  </si>
  <si>
    <t>UniSA Mobile Allied Health Clinic</t>
  </si>
  <si>
    <t>University of South Australia Mobile Allied Health Clinic at the Adelaide City Council Bike Expo, Victoria Square, Adelaide, held in conjunction with the Santos Tour Down Under, January 20 to 27.</t>
  </si>
  <si>
    <t>University of South Australia;Tour Down Under (Bicycle race);Cycling -- South Australia -- Adelaide;Exhibitions -- South Australia -- Adelaide</t>
  </si>
  <si>
    <t>b29121528</t>
  </si>
  <si>
    <t>Adelaide railyard redevelopment</t>
  </si>
  <si>
    <t>Electrification and redevelopment of tracks in progress in the Adelaide Railway Station yards, 22 January 2013.</t>
  </si>
  <si>
    <t>b2912153x</t>
  </si>
  <si>
    <t>Photograph (digital)  9392 x 3328 pixels</t>
  </si>
  <si>
    <t>Panorama looking west from the Morphett Street bridge of electrification and redevelopment of tracks in progress in the Adelaide Railway Station yards, 22 January 2013. University of South Australia City West Campus is to the left and the South Australian Health and Medical Research Institute is under construction.</t>
  </si>
  <si>
    <t>University of South Australia. City West Campus;South Australian Health and Medical Research Institute;Adelaide Railway Station;Railroad stations -- South Australia -- Adelaide</t>
  </si>
  <si>
    <t>b29121541</t>
  </si>
  <si>
    <t>Adelaide city skate park</t>
  </si>
  <si>
    <t>Adelaide city skate (SK8) park viewed from the Morphett Street bridge, 22 January 2013.</t>
  </si>
  <si>
    <t>Skateboarding -- South Australia -- Adelaide;Skateboarding parks -- South Australia -- Adelaide</t>
  </si>
  <si>
    <t>b29121565</t>
  </si>
  <si>
    <t>Haigh's Chocolates</t>
  </si>
  <si>
    <t>Haigh's Chocolates Rundle Mall store Valentine's Day window display, 24 January 2013.</t>
  </si>
  <si>
    <t>Haigh's Pty. Ltd.;Chocolate industry -- South Australia -- Adelaide</t>
  </si>
  <si>
    <t>b29121590</t>
  </si>
  <si>
    <t>Imprints Booksellers</t>
  </si>
  <si>
    <t>Photograph (digital)  3366 x 4368 pixels</t>
  </si>
  <si>
    <t>Interior of Imprints Booksellers, Hindley Street, Adelaide.</t>
  </si>
  <si>
    <t>Imprints Booksellers (Adelaide, S.A.);Booksellers and bookselling -- South Australia -- Adelaide;Bookstores -- South Australia -- Adelaide</t>
  </si>
  <si>
    <t>b29121619</t>
  </si>
  <si>
    <t>b29121632</t>
  </si>
  <si>
    <t>Imprints Booksellers (Adelaide, S.A.);Booksellers and bookselling -- South Australia -- Adelaide;Bookstores -- South Australia -- Adelaide;Stores, Retail -- South Australia -- Adelaide</t>
  </si>
  <si>
    <t>b29121644</t>
  </si>
  <si>
    <t>View of Hindley Street through the window of Imprints Booksellers, Hindley Street, Adelaide.</t>
  </si>
  <si>
    <t>b29121668</t>
  </si>
  <si>
    <t>McDonald's restaurant</t>
  </si>
  <si>
    <t>McDonald's restaurant, corner Hindley Street and Bank Street, Adelaide.</t>
  </si>
  <si>
    <t>McDonald's Family Restaurants;Fast food restaurants -- South Australia -- Adelaide;Bookstores -- South Australia -- Adelaide;Stores, Retail -- South Australia -- Adelaide</t>
  </si>
  <si>
    <t>b2912167x</t>
  </si>
  <si>
    <t>The Hindley Street entrance to Peel Street with signs identifying businesses located in Peel Street, Adelaide, 8 January 2013.</t>
  </si>
  <si>
    <t>b29121681</t>
  </si>
  <si>
    <t>The Original Pancake Kitchen restaurant</t>
  </si>
  <si>
    <t>Entrance door to The Original Pancake Kitchen restaurant, 13 Gilbert Place, Adelaide.</t>
  </si>
  <si>
    <t>Pancake Kitchen (Restaurant : Gilbert Place, Adelaide, S.A.);Restaurants -- South Australia -- Adelaide</t>
  </si>
  <si>
    <t>b29121693</t>
  </si>
  <si>
    <t>Photograph (digital)  3456 x 4398 pixels</t>
  </si>
  <si>
    <t>Exterior view of the Original Pancake Kitchen restaurant, 13 Gilbert Place, Adelaide.</t>
  </si>
  <si>
    <t>b29121711</t>
  </si>
  <si>
    <t>Interior view of the Original Pancake Kitchen restaurant, 13 Gilbert Place, Adelaide, 8 January 2013.</t>
  </si>
  <si>
    <t>b29121723</t>
  </si>
  <si>
    <t>b29121747</t>
  </si>
  <si>
    <t>b29121760</t>
  </si>
  <si>
    <t>Gilbert Place, Adelaide</t>
  </si>
  <si>
    <t>Photograph (digital)  3456 x 4224 pixels</t>
  </si>
  <si>
    <t>View of Gilbert Place, Adelaide, showing The Original Pancake Kitchen restaurant at No. 13 Gilbert Place, and Madame Josephine hairdressers at No. 19 Gilbert Place, 8 January 2013.</t>
  </si>
  <si>
    <t>Pancake Kitchen (Restaurant : Gilbert Place, Adelaide, S.A.);Madame Josephine's;Restaurants -- South Australia -- Adelaide;Beauty operators -- South Australia -- Adelaide</t>
  </si>
  <si>
    <t>b29133221</t>
  </si>
  <si>
    <t>World War II Honour Roll, Adelaide</t>
  </si>
  <si>
    <t>World War II Honour Roll located to the west of the National War Memorial, North Terrace, Adelaide. "On these tablets are recorded the names of those men and women who enlisted in the state of South Australia to serve their King and country in the Second World War 1939 - 1945 and who paid the supreme sacrifice". It lists the names of 3,275 South Australians killed in all services during World War II. They include 20 women of all services, 1,861 men who served in the Army, 1,171 men who served in the Air Force and 216 men who served in the Navy.  The memorial was unveiled by the Governor of South Australia, Sir Robert George, on Remembrance Day, 11 November 1956.</t>
  </si>
  <si>
    <t>b29133233</t>
  </si>
  <si>
    <t>b29133269</t>
  </si>
  <si>
    <t>Photograph (digital)  2454 x 4878 pixels</t>
  </si>
  <si>
    <t>Central panel of the World War II Honour Roll which is located to the west of the National War Memorial, North Terrace, Adelaide. "On these tablets are recorded the names of those men and women who enlisted in the state of South Australia to serve their king and country in the Second World War 1939 - 1945 and who paid the supreme sacrifice". The memorial was unveiled by the Governor of South Australia, Sir Robert George, on Remembrance Day, 11 November 1956.</t>
  </si>
  <si>
    <t>b29133300</t>
  </si>
  <si>
    <t>Section of the World War II Honour Roll, which is located to the west of the National War Memorial, North Terrace, Adelaide, naming the women of South Australia who enlisted in South Australia during the Second World War and who paid the supreme sacrifice. The memorial was unveiled by the Governor of South Australia, Sir Robert George, on Remembrance Day, 11 November 1956.</t>
  </si>
  <si>
    <t>b29133397</t>
  </si>
  <si>
    <t>Section of the World War II Honour Roll, which is located to the west of the National War Memorial, North Terrace, Adelaide. The memorial was unveiled by the Governor of South Australia, Sir Robert George, on Remembrance Day, 11 November 1956.</t>
  </si>
  <si>
    <t>b29133415</t>
  </si>
  <si>
    <t>National War Memorial, Adelaide</t>
  </si>
  <si>
    <t>National War Memorial, North Terrace, Adelaide. View showing the reverse or west facing side of the memorial. The relief carved in marble depicts the Spirit of Compassion carrying the body of a dead soldier.</t>
  </si>
  <si>
    <t>b29133439</t>
  </si>
  <si>
    <t>National War Memorial, North Terrace, Adelaide. View showing interior panel of the memorial.</t>
  </si>
  <si>
    <t>b29133452</t>
  </si>
  <si>
    <t>b29133464</t>
  </si>
  <si>
    <t>b29133488</t>
  </si>
  <si>
    <t>Adelaide Railway Station Honour Roll</t>
  </si>
  <si>
    <t>Adelaide Railway Station Honour Roll. On the western wall toward the northern end of the concourse is the Honour Roll bearing the names of 3601 employees of South Australian Railways who served in World War I and World War II.</t>
  </si>
  <si>
    <t>b29133506</t>
  </si>
  <si>
    <t>Adelaide Railway Station Honour Roll. On the eastern wall toward the northern end of the concourse is an alphabetical listing of those included in the World War I Honour Roll on the opposite wall. (See B 72962).</t>
  </si>
  <si>
    <t>b29133695</t>
  </si>
  <si>
    <t>Cross of Memory, Tobruk memorial</t>
  </si>
  <si>
    <t>Cross of Memory to the Siege of Tobruk, 1941. "To those who fell". The memorial is one of six Crosses of Memory that are located on the wall to the west and north of the National War Memorial, North Terrace, Adelaide.</t>
  </si>
  <si>
    <t>b29133713</t>
  </si>
  <si>
    <t>Cross of Memory, 10th Battalion memorial</t>
  </si>
  <si>
    <t>Cross of Memory to the 10th Battalion, A.I.F., Pozi├¿res, 1916. "Sacred in the memory Killed in action". The memorial is one of six Crosses of Memory that are located on the wall to the west and north of the National War Memorial, North Terrace, Adelaide.</t>
  </si>
  <si>
    <t>Australia. Army. Battalion, 10th;Memorials -- South Australia -- Adelaide;War memorials -- South Australia -- Adelaide</t>
  </si>
  <si>
    <t>b29133725</t>
  </si>
  <si>
    <t>Cross of Memory, 27th Battalion memorial</t>
  </si>
  <si>
    <t>Cross of Memory to the 27th Battalion. "In memory of the Officers, NCOs and Men of the 27th Battalion who fell at Pozi├¿res, 1916". The memorial is one of six Crosses of Memory that are located on the wall to the west and north of the National War Memorial, North Terrace, Adelaide.</t>
  </si>
  <si>
    <t>Australia. Army. Battalion, 27th;Memorials -- South Australia -- Adelaide;War memorials -- South Australia -- Adelaide</t>
  </si>
  <si>
    <t>b29133737</t>
  </si>
  <si>
    <t>Cross of Memory, 48th Battalion memorial</t>
  </si>
  <si>
    <t>Cross of Memory to the 48th Battalion. "In loving memory of our comrades 48th Battalion A.I.F. They died 5th &amp; 15th August 1916 at Pozi├¿res". The memorial is one of six Crosses of Memory that are located on the wall to the west and north of the National War Memorial, North Terrace, Adelaide.</t>
  </si>
  <si>
    <t>Australia. Army. Battalion, 48th;Memorials -- South Australia -- Adelaide;War memorials -- South Australia -- Adelaide</t>
  </si>
  <si>
    <t>b29133749</t>
  </si>
  <si>
    <t>Cross of Memory, 50th Battalion memorial</t>
  </si>
  <si>
    <t>Cross of Memory to the 50th Battalion. "In memory of Officers, NCOs &amp; Men of the 50th Battalion who fell at Villers Brettoneux on 24-25 April 1918". The memorial is one of six Crosses of Memory that are located on the wall to the west and north of the National War Memorial, North Terrace, Adelaide.</t>
  </si>
  <si>
    <t>Australia. Army. Battalion, 50th;Memorials -- South Australia -- Adelaide;War memorials -- South Australia -- Adelaide</t>
  </si>
  <si>
    <t>b29133750</t>
  </si>
  <si>
    <t>Cross of Memory, Royal Australia Regiment memorial</t>
  </si>
  <si>
    <t>Cross of Memory to the Royal Australia Regiment. "In memory of those who have given their lives for their nation". The memorial is one of six Crosses of Memory that are located on the wall to the west and north of the National War Memorial, North Terrace, Adelaide.</t>
  </si>
  <si>
    <t>Australia. Army. Royal Australian Regiment;Memorials -- South Australia -- Adelaide;War memorials -- South Australia -- Adelaide</t>
  </si>
  <si>
    <t>b29133774</t>
  </si>
  <si>
    <t>Lone Pine tree</t>
  </si>
  <si>
    <t>Photograph (digital)  3456 x 3858 pixels</t>
  </si>
  <si>
    <t>Lone Pine tree. The tree was grown as a seedling from the original Lone Pine at Gallipoli and planted on Remembrance Day, 11 November 1991. It replaced a Tasmanian Blue Gum brought from Villers-Bretonneux, France, which had become dangerous and had to be removed. The plaque next to the tree says, "This pine is a seedling related to the original Lone Pine on Gallipoli and was planted to commemorate the brave deeds and sacrifices of the ANZACs." The tree and its accompanying plaque are located to the west of the National War Memorial, North Terrace, Adelaide.</t>
  </si>
  <si>
    <t>Australia. Army. Royal Australian Regiment;Memorials -- South Australia -- Adelaide;Trees -- South Australia -- Adelaide;War memorials -- South Australia -- Adelaide;Lone Pine Tree Memorial (Adelaide, S.A.)</t>
  </si>
  <si>
    <t>b29133786</t>
  </si>
  <si>
    <t>8th Australian Division Memorial</t>
  </si>
  <si>
    <t>8th Australian Division Memorial. The three panels on the memorial record the 2/2 Reserve Motor Transport Company formed at Wayville on 7 January 1941, the 8 Division Salvage Unit formed at Wayville on 10 December 1940, and the 8 Division Ammunition Sub Park formed at Wayville on 25 October 1940.  The 8th Division was formed in 1940 as part of the 2nd A.I.F.  The Division was deployed in the Asia Pacific region, where most members became prisoners of war and many died in captivity. The memorial was unveiled on 8 December 1995 by Henry Ninio, Lord Mayor of Adelaide. It is located to the west of the National War Memorial, North Terrace, Adelaide.</t>
  </si>
  <si>
    <t>Australia. Army. Division, 8th;Australia. Army. Division, 8th Ammunition Sub Park;Australia. Army. Division, 8th Reserve Motor Transport Company, 2/2;Australia. Army. Division, 8th Salvage Unit;Memorials -- South Australia -- Adelaide;War memorials -- South Australia -- Adelaide</t>
  </si>
  <si>
    <t>b29133798</t>
  </si>
  <si>
    <t>Malay Peninsula, Korea, Borneo and Vietnam Memorial</t>
  </si>
  <si>
    <t>Malay Peninsula, Korea, Borneo and Vietnam Memorial. "This memorial commemorates those servicemen who enlisted in South Australia and who paid the supreme sacrifice in a theatre of conflict involving the Australian armed forces. Malay Peninsula 1948 - 1960 and 1964 - 1965, Korea 1950 - 1954, Borneo 1962 - 1966, Vietnam 1962 - 1973. The memorial records the names of 72 men. It is located to the west of the National War Memorial, North Terrace, Adelaide.</t>
  </si>
  <si>
    <t>Australia. Royal Australian Air Force;Australia. Army;Australia. Royal Australian Navy;Memorials -- South Australia -- Adelaide;War memorials -- South Australia -- Adelaide</t>
  </si>
  <si>
    <t>b29133841</t>
  </si>
  <si>
    <t>French Memorial</t>
  </si>
  <si>
    <t>French Memorial. "To honour the men and women of South Australia who gave their lives in France during World War I 1914-1918 and World War II 1939-1945". The memorial was unveiled by Isabelle Costa de Beauregard K.O.M., Consul General of France, and Henry Jean Loustau Cmdr. L.H., President F├®d├®ration Nationale des Anciens Combattants, on 11 November 1993. It is located to the west of the National War Memorial, North Terrace, Adelaide.</t>
  </si>
  <si>
    <t>b29133890</t>
  </si>
  <si>
    <t>Women's War Memorial, Adelaide</t>
  </si>
  <si>
    <t>Photograph (digital)  7896 x 3414 pixels</t>
  </si>
  <si>
    <t>Panoramic view of Women's War Memorial, Adelaide, looking north west from the Stone of Remembrance toward the Cross of Sacrifice and St. Peter's Cathedral. 9 February 2013.</t>
  </si>
  <si>
    <t>Memorials -- South Australia -- Adelaide;War memorials -- South Australia -- Adelaide;Women's War Memorial (Adelaide, S.A.);Cross of Sacrifice (Adelaide, S.A.);Gardens -- South Australia -- Adelaide;Pennington Gardens (Adelaide, S.A.)</t>
  </si>
  <si>
    <t>Adelaide Views Collection;Cross of Sacrifice Collection;Pennington Gardens Collection</t>
  </si>
  <si>
    <t>b29133932</t>
  </si>
  <si>
    <t>Photograph (digital)  8424 x 3380 pixels</t>
  </si>
  <si>
    <t>Panoramic view of Women's War Memorial, Adelaide, looking south east from Pennington Terrace with the Cross of Sacrifice in the foreground. 9 February 2013.</t>
  </si>
  <si>
    <t>b29134055</t>
  </si>
  <si>
    <t>Women's War Memorial Stone of Remembrance, Adelaide.</t>
  </si>
  <si>
    <t>Memorials -- South Australia -- Adelaide;War memorials -- South Australia -- Adelaide;Women's War Memorial (Adelaide, S.A.);Stone of Remembrance (Adelaide, S.A.);Gardens -- South Australia -- Adelaide;Pennington Gardens (Adelaide, S.A.)</t>
  </si>
  <si>
    <t>b29134146</t>
  </si>
  <si>
    <t>Women's War Memorial Seat of Remembrance, Adelaide, forming a crescent shaped seat behind the Stone of Remembrance. 9 February 2013.</t>
  </si>
  <si>
    <t>Memorials -- South Australia -- Adelaide;War memorials -- South Australia -- Adelaide;Women's War Memorial (Adelaide, S.A.);Seat of Remembrance (Adelaide, S.A.);Gardens -- South Australia -- Adelaide;Pennington Gardens (Adelaide, S.A.)</t>
  </si>
  <si>
    <t>b2913416x</t>
  </si>
  <si>
    <t>Ataturk's Tribute Memorial, Adelaide</t>
  </si>
  <si>
    <t>Ataturk's Tribute Memorial, Pennington Gardens, Adelaide. Penned by Turkish military commander and first President of Turkey, Mustafa Kemal 'Ataturk', in 1934 as a tribute to the ANZACs killed at Gallipoli.The memorial was dedicated on 11 November 2008. 9 February 2013.</t>
  </si>
  <si>
    <t>Memorials -- South Australia -- Adelaide;War memorials -- South Australia -- Adelaide;Pennington Gardens (Adelaide, S.A.)</t>
  </si>
  <si>
    <t>Adelaide Views Collection;Pennington Gardens Collection</t>
  </si>
  <si>
    <t>b29134183</t>
  </si>
  <si>
    <t>South Australian Naval Memorial Garden, Adelaide</t>
  </si>
  <si>
    <t>South Australian Naval Memorial Garden, Adelaide. Two curved garden beds containing 17 plaques that commemorate Royal Australian Navy ships and events. 10 February 2013.</t>
  </si>
  <si>
    <t>b29134705</t>
  </si>
  <si>
    <t>Crosses of Memory, Adelaide</t>
  </si>
  <si>
    <t>Pathway that runs behind the National War Memorial, Adelaide, beside which are located the six Crosses of Memory.</t>
  </si>
  <si>
    <t>b29163109</t>
  </si>
  <si>
    <t>Woolley, Toby, photographer</t>
  </si>
  <si>
    <t>Intersection of Hindley Street and King William Street</t>
  </si>
  <si>
    <t>Photograph (digital)  2880 x 1978 pixels</t>
  </si>
  <si>
    <t>Looking west along Hindley Street from the intersection of Hindley Street and King William Street.</t>
  </si>
  <si>
    <t>Hindley Street (Adelaide, S.A.)</t>
  </si>
  <si>
    <t>Acre 47 Collection;Acre 78 Collection</t>
  </si>
  <si>
    <t>b29163110</t>
  </si>
  <si>
    <t>Car park in Hindley Street</t>
  </si>
  <si>
    <t>Photograph (digital)  5760 x 3840 pixels</t>
  </si>
  <si>
    <t>Car park on the north side of Hindley Street.</t>
  </si>
  <si>
    <t>b29163122</t>
  </si>
  <si>
    <t>Restaurant in Hindley Street.</t>
  </si>
  <si>
    <t>Photograph (digital)  5020 x 3519 pixels</t>
  </si>
  <si>
    <t>Restaurant on the east corner of Hindley and Peel Street.</t>
  </si>
  <si>
    <t>Restaurants -- South Australia -- Adelaide -- Hindley Street</t>
  </si>
  <si>
    <t>b29163158</t>
  </si>
  <si>
    <t>Motel on Hindley Street</t>
  </si>
  <si>
    <t>Photograph (digital)  2835 x 4653 pixels</t>
  </si>
  <si>
    <t>Motel on the north intersection of Hindley Street and Bank Street, Adelaide.</t>
  </si>
  <si>
    <t>Motels -- South Australia -- Adelaide;Hindley Street (Adelaide, S.A.) -- Buildings</t>
  </si>
  <si>
    <t>b2916316x</t>
  </si>
  <si>
    <t>Student accommodation and fast food outlet on Hindley Street</t>
  </si>
  <si>
    <t>Photograph (digital)  3057 x 2753 pixels</t>
  </si>
  <si>
    <t>Student accommodation and fast food outlet on the north intersection of Hindley Street and Victoria Street, Adelaide.</t>
  </si>
  <si>
    <t>b29163171</t>
  </si>
  <si>
    <t>Grainger Studio of the ASO</t>
  </si>
  <si>
    <t>Photograph (digital)  3938 x 3245 pixels</t>
  </si>
  <si>
    <t>Grainger Studio of the ASO, located on the south side of Hindley Street, east of Rosina Street, Adelaide.</t>
  </si>
  <si>
    <t>Grainger Studio (Adelaide, S.A.);Hindley Street (Adelaide, S.A.)</t>
  </si>
  <si>
    <t>b29163183</t>
  </si>
  <si>
    <t>Close-up of model car wall on Rosina Street</t>
  </si>
  <si>
    <t>Close-up of model car wall on Rosina Street, Adelaide.</t>
  </si>
  <si>
    <t>Rosina Street (Adelaide, S.A.)</t>
  </si>
  <si>
    <t>b29163201</t>
  </si>
  <si>
    <t>Model car wall on Rosina Street</t>
  </si>
  <si>
    <t>Photograph (digital)  3426 x 4290 pixels</t>
  </si>
  <si>
    <t>Model car wall on Rosina Street, Adelaide.</t>
  </si>
  <si>
    <t>b29163213</t>
  </si>
  <si>
    <t>North side of Hindley Street</t>
  </si>
  <si>
    <t>Photograph (digital)  5308 x 2963 pixels</t>
  </si>
  <si>
    <t>North side of Hindley Street, west of Victoria Street, Adelaide.</t>
  </si>
  <si>
    <t>Acre 53 Collection</t>
  </si>
  <si>
    <t>b29163225</t>
  </si>
  <si>
    <t>South side of Hindley Street</t>
  </si>
  <si>
    <t>Photograph (digital)  5201 x 3083 pixels</t>
  </si>
  <si>
    <t>South side of Hindley Street between Clarendon and Register Street, Adelaide.</t>
  </si>
  <si>
    <t>b29163286</t>
  </si>
  <si>
    <t>South side of Hindley Street, east of Gray Street</t>
  </si>
  <si>
    <t>Photograph (digital)  5319 x 2869 pixels</t>
  </si>
  <si>
    <t>South side of Hindley Street, east of Gray Street, Adelaide.</t>
  </si>
  <si>
    <t>b29163316</t>
  </si>
  <si>
    <t>Fast food outlet, Adelaide</t>
  </si>
  <si>
    <t>Photograph (digital)  5475 x 3002 pixels</t>
  </si>
  <si>
    <t>Fast food outlet on the north corner of West Terrace and Hindley Street, Adelaide.</t>
  </si>
  <si>
    <t>b29163328</t>
  </si>
  <si>
    <t>Bond, Iain, photographer</t>
  </si>
  <si>
    <t>Adelaide Motors on West Terrace</t>
  </si>
  <si>
    <t xml:space="preserve">Photograph (digital) </t>
  </si>
  <si>
    <t>Adelaide Motors, east side of West Terrace and south of Philip Street, Adelaide.</t>
  </si>
  <si>
    <t>West Terrace (Adelaide, S.A.)</t>
  </si>
  <si>
    <t>Acre 124 Collection</t>
  </si>
  <si>
    <t>b2916333x</t>
  </si>
  <si>
    <t>Close-up of plaque on East side of West Terrace</t>
  </si>
  <si>
    <t>Photograph (digital)  5136 x 3305 pixels</t>
  </si>
  <si>
    <t>Close-up of plaque on east side of West Terrace, south of Philip Street, Adelaide.</t>
  </si>
  <si>
    <t>b29163341</t>
  </si>
  <si>
    <t>Adelaide High School</t>
  </si>
  <si>
    <t>Photograph (digital)  5370 x 3423 pixels</t>
  </si>
  <si>
    <t>Adelaide High School, on West Terrace.</t>
  </si>
  <si>
    <t>Adelaide High School (1977- );Schools -- South Australia -- Adelaide -- Buildings</t>
  </si>
  <si>
    <t>Adelaide Views Collection;Adelaide High School Collection</t>
  </si>
  <si>
    <t>b29163353</t>
  </si>
  <si>
    <t>Closeup of plaque inside Adelaide High School</t>
  </si>
  <si>
    <t>Photograph (digital)  4379 x 3441 pixels</t>
  </si>
  <si>
    <t>Closeup of plaque inside Adelaide High School, acknowledging the site of the Adelaide Observatory.</t>
  </si>
  <si>
    <t>Adelaide High School (1977- )</t>
  </si>
  <si>
    <t>b29163365</t>
  </si>
  <si>
    <t>Student apartments on West Terrace</t>
  </si>
  <si>
    <t>Photograph (digital)  4622 x 3068 pixels</t>
  </si>
  <si>
    <t>Student apartments, located on the east side of West Terrace and on the north corner of Waymouth Street, Adelaide.</t>
  </si>
  <si>
    <t>b29163377</t>
  </si>
  <si>
    <t>Adelaide Remand Centre</t>
  </si>
  <si>
    <t>Photograph (digital)  5455 x 2929 pixels</t>
  </si>
  <si>
    <t>Adelaide Remand Centre, located on the north side of Currie Street, east of Gray Street, Adelaide.</t>
  </si>
  <si>
    <t>Adelaide Remand Centre;Currie Street (Adelaide, S.A.)</t>
  </si>
  <si>
    <t>Acre 120 Collection;Acre 121 Collection</t>
  </si>
  <si>
    <t>b29163389</t>
  </si>
  <si>
    <t>Adelaide TAFE on Light Square</t>
  </si>
  <si>
    <t>Photograph (digital)  5730 x 2085 pixels</t>
  </si>
  <si>
    <t>Adelaide TAFE on Light Square, located on the north east corner.</t>
  </si>
  <si>
    <t>TAFE -- South Australia</t>
  </si>
  <si>
    <t>b29163390</t>
  </si>
  <si>
    <t>Adelaide TAFE on Currie Street</t>
  </si>
  <si>
    <t>Photograph (digital)  4289 x 3456 pixels</t>
  </si>
  <si>
    <t>Adelaide TAFE on Currie Street, at the corner with Rosina Street.</t>
  </si>
  <si>
    <t>b29163407</t>
  </si>
  <si>
    <t>MTAA House, Adelaide</t>
  </si>
  <si>
    <t>Photograph (digital)  3852 x 2736 pixels</t>
  </si>
  <si>
    <t>MTAA House, located on the south side of Currie Street, between Bloor Court and Topham Mall, Adelaide.</t>
  </si>
  <si>
    <t>Currie Street (Adelaide, S.A.)</t>
  </si>
  <si>
    <t>b29163419</t>
  </si>
  <si>
    <t>Sun Microsystems House, Adelaide</t>
  </si>
  <si>
    <t>Photograph (digital)  4082 x 3284 pixels</t>
  </si>
  <si>
    <t>Sun Microsystems House, located on the southern side of Currie Street, on corner of Topham Mall.</t>
  </si>
  <si>
    <t>b29163432</t>
  </si>
  <si>
    <t>Elder House, Adelaide</t>
  </si>
  <si>
    <t>Photograph (digital)  3219 x 3011 pixels</t>
  </si>
  <si>
    <t>Elder House, located on the southern side of Currie Street, opposite Peel Street.</t>
  </si>
  <si>
    <t>Acre 139 Collection</t>
  </si>
  <si>
    <t>b29163444</t>
  </si>
  <si>
    <t>Westpac House, Adelaide</t>
  </si>
  <si>
    <t>Photograph (digital)  3530 x 2792 pixels</t>
  </si>
  <si>
    <t>Westpac House, loated on the southern side of Currie Street ,east of Topham Mall.</t>
  </si>
  <si>
    <t>b29170606</t>
  </si>
  <si>
    <t>Rosina Street, Adelaide</t>
  </si>
  <si>
    <t>1 photograph : colour, digital;still image sti rdacontent;other x rdamedia;online resource cr rdacarrier;image file TIFF 55.17 MB 4786 x 3840 pixels</t>
  </si>
  <si>
    <t>Rosina Street, looking north to Hindley Street, in the centre of Town Acre 114, with Solomon Street branching off to the right.</t>
  </si>
  <si>
    <t>b2917062x</t>
  </si>
  <si>
    <t>1 photograph : colour, digital;still image sti rdacontent;other x rdamedia;online resource cr rdacarrier;image file TIFF 24.38 MB 2984 x 2719 pixels</t>
  </si>
  <si>
    <t>Rosina St, facing north to Hindley Street. The red brick building on the left is part of the TAFESA city campus on the Currie Street and Rosina Street corner. This section of Rosina Street is the centre of Town Acre 114, with Solomon Street branching off to the right.</t>
  </si>
  <si>
    <t>b29170631</t>
  </si>
  <si>
    <t>1 photograph : colour, digital;still image sti rdacontent;other x rdamedia;online resource cr rdacarrier;image file TIFF 17.5 MB 2139 x 2721 pixels</t>
  </si>
  <si>
    <t>Rosina Street, facing north to West's Coffee Palace building on Hindley Street. The black building on the left is the Palace Bar, once known as the Kalgoorlie Hotel.</t>
  </si>
  <si>
    <t>b29170643</t>
  </si>
  <si>
    <t>1 photograph : colour, digital;still image sti rdacontent;other x rdamedia;online resource cr rdacarrier;image file TIFF 66.39 MB 5760 x 3840 pixels</t>
  </si>
  <si>
    <t>Rosina Street, facing north to Hindley St, showing part of the TAFESA city campus and on the north-west corner of Rosina Street, the Palace Bar, in the centre of Town Acre 114, with Solomon Street branching off to the right.</t>
  </si>
  <si>
    <t>b29170655</t>
  </si>
  <si>
    <t>Photograph (digital)  3602 x 2860 pixels</t>
  </si>
  <si>
    <t>Push Pin Boutique at 8 Compton Street, Adelaide.</t>
  </si>
  <si>
    <t>Compton Street (Adelaide, S.A.)</t>
  </si>
  <si>
    <t>b29170667</t>
  </si>
  <si>
    <t>Push Pin Boutique, Adelaide</t>
  </si>
  <si>
    <t>Photograph (digital)  5635 x 3236 pixels</t>
  </si>
  <si>
    <t>Sign on the wall to the left of the door on the building currently occupied by Push Pin Boutique at 8 Compton Streeet, Adelaide. The sign details the history of the little shop.</t>
  </si>
  <si>
    <t>b29172251</t>
  </si>
  <si>
    <t>Dardanelles obelisk</t>
  </si>
  <si>
    <t>Dardanelles obelisk in the Lundie Gardens, Adelaide. Unveiled by Sir Ronald Munro Ferguson, Governor-General of Australia, on Wattle Day, 7 September 1915. Cut from a block of granite, it was erected to commemorate the first landing of ANZAC forces on the Gallipoli Peninsula. It was relocated to Lundie Gardens in October 1940. It bears the inscription "Australasian soldiers Dardanelles April 25 1915".</t>
  </si>
  <si>
    <t>War memorials -- South Australia -- Adelaide</t>
  </si>
  <si>
    <t>Lundie Gardens Collection;Adelaide Views Collection</t>
  </si>
  <si>
    <t>b29172287</t>
  </si>
  <si>
    <t>b29172299</t>
  </si>
  <si>
    <t>Photograph (digital)  6735 x 3357 pixels</t>
  </si>
  <si>
    <t>b29172305</t>
  </si>
  <si>
    <t>War Memorial Cross, St. Peter's Cathedral</t>
  </si>
  <si>
    <t>War Memorial Cross in the grounds of St. Peter's Cathedral, Adelaide. Dedicated by the Bishop of Adelaide, Right Rev. Dr. Thomas, on 5 September 1922. It bears the inscription "In memory of all those who served in the Great War".</t>
  </si>
  <si>
    <t>St. Peter's Cathedral (Adelaide, S.A.);War memorials -- South Australia -- Adelaide</t>
  </si>
  <si>
    <t>b29172329</t>
  </si>
  <si>
    <t>b29172330</t>
  </si>
  <si>
    <t>Base of the War Memorial Cross in the grounds of St. Peter's Cathedral, Adelaide. Dedicated by the Bishop of Adelaide, Right Rev. Dr. Thomas, on 5 September 1922. It bears the inscription "In memory of all those who served in the Great War".</t>
  </si>
  <si>
    <t>b29172342</t>
  </si>
  <si>
    <t>Detail of the War Memorial Cross in the grounds of St. Peter's Cathedral, Adelaide. Dedicated by the Bishop of Adelaide, Right Rev. Dr. Thomas, on 5 September 1922. Its base bears the inscription "In memory of all those who served in the Great War".</t>
  </si>
  <si>
    <t>b29172354</t>
  </si>
  <si>
    <t>b29172366</t>
  </si>
  <si>
    <t>Photograph (digital)  3456 x 4710 pixels</t>
  </si>
  <si>
    <t>War Memorial Cross in the grounds of St. Peter's Cathedral, Adelaide. Dedicated by the Bishop of Adelaide, Right Rev. Dr. Thomas, on 5 September 1922. It's base bears the inscription "In memory of all those who served in the Great War".</t>
  </si>
  <si>
    <t>b2918888x</t>
  </si>
  <si>
    <t>Piccaninnie Ponds</t>
  </si>
  <si>
    <t>Part of a collection of photographs taken over time of various places and events in South Australia by Stephen Giles, this features Piccaninnie Ponds, 25 January 2013.</t>
  </si>
  <si>
    <t>Piccaninnie Ponds Conservation Park (S.A.)</t>
  </si>
  <si>
    <t>b29188908</t>
  </si>
  <si>
    <t>Swimming in Piccaninnie Ponds</t>
  </si>
  <si>
    <t>Part of a collection of photographs taken over time of various places and events in South Australia by Stephen Giles, this features two B.P. Guild sub branch members snorkelling in Piccaninnie Ponds, 26 January 2013.</t>
  </si>
  <si>
    <t>b2918891x</t>
  </si>
  <si>
    <t>Ewens Ponds</t>
  </si>
  <si>
    <t>Part of a collection of photographs taken over time of various places and events in South Australia by Stephen Giles, this features a view over Ewens Pond, 26 January 2013.</t>
  </si>
  <si>
    <t>Ewens Ponds Conservation Park (S.A.)</t>
  </si>
  <si>
    <t>b29188945</t>
  </si>
  <si>
    <t>Ewens Pond</t>
  </si>
  <si>
    <t>b29188957</t>
  </si>
  <si>
    <t>Little Blue Lake, Mount Gambier</t>
  </si>
  <si>
    <t>Part of a collection of photographs taken over time of various places and events in South Australia by Stephen Giles, this features a view over the Little Blue Lake at Mount Gambier, 26 January 2013.</t>
  </si>
  <si>
    <t>b29188970</t>
  </si>
  <si>
    <t>b29188982</t>
  </si>
  <si>
    <t>Old Gaol, Mount Gambier</t>
  </si>
  <si>
    <t>Part of a collection of photographs taken over time of various places and events in South Australia by Stephen Giles, this features a view of the old gaol at Mount Gambier, 27 January 2013.</t>
  </si>
  <si>
    <t>Jails -- South Australia -- Mount Gambier</t>
  </si>
  <si>
    <t>b29189044</t>
  </si>
  <si>
    <t>Rock art at the Old Gaol, Mount Gambier</t>
  </si>
  <si>
    <t>Part of a collection of photographs taken over time of various places and events in South Australia by Stephen Giles, this features a view of art in the grounds of the old gaol at Mount Gambier, 27 January 2013.</t>
  </si>
  <si>
    <t>b29189056</t>
  </si>
  <si>
    <t>Railway construction at Edwardstown</t>
  </si>
  <si>
    <t>Part of a collection of photographs taken over time of various places and events in South Australia by Stephen Giles, this features a view along the railway lines at Edwardstown during reconstruction prior to electrification, 28 January 2013.</t>
  </si>
  <si>
    <t>Railroads -- South Australia -- Design and construction</t>
  </si>
  <si>
    <t>b29189068</t>
  </si>
  <si>
    <t>b2918907x</t>
  </si>
  <si>
    <t>Part of a collection of photographs taken over time of various places and events in South Australia by Stephen Giles, this features him with the grid girls at Adelaide's Clipsal 500, 2 March 2013.</t>
  </si>
  <si>
    <t>Clipsal 500 Adelaide 2013</t>
  </si>
  <si>
    <t>b29189081</t>
  </si>
  <si>
    <t>Bus in the Garden of Unearthly Delights</t>
  </si>
  <si>
    <t>Part of a collection of photographs taken over time of various places and events in South Australia by Stephen Giles, this features an Adelaide bus, repurposed as an op shop and pictured in the Garden of Unearthly Delights during the Adelaide Fringe festival, 2 March 2013.</t>
  </si>
  <si>
    <t>Garden of Unearthly Delights (Venue : Adelaide, S.A.);Buses -- South Australia</t>
  </si>
  <si>
    <t>b29189093</t>
  </si>
  <si>
    <t>Part of a collection of photographs taken over time of various places and events in South Australia by Stephen Giles, this features some grid girls in the 'Holden heaven' area at Adelaide's Clipsal 500, 2 March 2013.</t>
  </si>
  <si>
    <t>b2918910x</t>
  </si>
  <si>
    <t>Ute racing cars at the Clipsal 500</t>
  </si>
  <si>
    <t>Part of a collection of photographs taken over time of various places and events in South Australia by Stephen Giles, this features ute [utility] racing cars at Adelaide's Clipsal 500, 2 March 2013.</t>
  </si>
  <si>
    <t>b29189111</t>
  </si>
  <si>
    <t>Australian race cars at the Clipsal 500</t>
  </si>
  <si>
    <t>Part of a collection of photographs taken over time of various places and events in South Australia by Stephen Giles, this features Aussie racing cars at Adelaide's Clipsal 500, 2 March 2013.</t>
  </si>
  <si>
    <t>b31896492</t>
  </si>
  <si>
    <t>Adelaide Showground Railway Station</t>
  </si>
  <si>
    <t>2013 April 25</t>
  </si>
  <si>
    <t>Adelaide Showground Railway Station under construction</t>
  </si>
  <si>
    <t>Railroad stations -- South Australia -- Adelaide Showground;Earthmoving machinery -- South Australia -- Wayville;Construction projects -- South Australia -- Wayville</t>
  </si>
  <si>
    <t>b31896509</t>
  </si>
  <si>
    <t>Construction projects -- South Australia -- Wayville;Earthmoving machinery -- South Australia -- Wayville;Railroad stations -- South Australia -- Adelaide Showground</t>
  </si>
  <si>
    <t>b31896510</t>
  </si>
  <si>
    <t>b29264467</t>
  </si>
  <si>
    <t>Dutch musical group</t>
  </si>
  <si>
    <t>2013 August 31</t>
  </si>
  <si>
    <t>1 photograph : positive, colour   10 x 15 cm;RESERVE 1 a;still image sti rdacontent;unmediated n rdamedia;sheet nb rdacarrier</t>
  </si>
  <si>
    <t>Part of a collection of photographs taken over time of various places and events in South Australia by Stephen Giles, this features an group of Dutch musicians performing at Port Adelaide as part of the 'Festival of Sail' event. The Lighthouse Inn can be seen in the background.</t>
  </si>
  <si>
    <t>Musical groups -- South Australia</t>
  </si>
  <si>
    <t>b29265150</t>
  </si>
  <si>
    <t>Part of a collection of photographs taken over time of various places and events in South Australia by Stephen Giles, this features an group of Dutch musicians parading at Port Adelaide as part of the 'Festival of Sail' event. The lighthouse can be seen in the background.</t>
  </si>
  <si>
    <t>b29265174</t>
  </si>
  <si>
    <t>'Falie' at Port Adelaide</t>
  </si>
  <si>
    <t>1 photograph : positive, colour   15 x 10 cm;RESERVE 1 a;still image sti rdacontent;unmediated n rdamedia;sheet nb rdacarrier</t>
  </si>
  <si>
    <t>Part of a collection of photographs taken over time of various places and events in South Australia by Stephen Giles, this features the 'Falie' tied up at a wharf at Port Adelaide (view of the stern).</t>
  </si>
  <si>
    <t>Falie (Ship);Sailing ships -- South Australia -- Port Adelaide</t>
  </si>
  <si>
    <t>b29265186</t>
  </si>
  <si>
    <t>Part of a collection of photographs taken over time of various places and events in South Australia by Stephen Giles, this features the 'Falie' tied up at a wharf at Port Adelaide (view of the bow).</t>
  </si>
  <si>
    <t>b29265198</t>
  </si>
  <si>
    <t>'One and All' at Port Adelaide</t>
  </si>
  <si>
    <t>Part of a collection of photographs taken over time of various places and events in South Australia by Stephen Giles, this features the 'One and All' tied up at a wharf at Port Adelaide (view of the stern).</t>
  </si>
  <si>
    <t>One and All (Ship);Sailing ships -- South Australia -- Port Adelaide</t>
  </si>
  <si>
    <t>b29265204</t>
  </si>
  <si>
    <t>'Tecla' at Port Adelaide</t>
  </si>
  <si>
    <t>Part of a collection of photographs taken over time of various places and events in South Australia by Stephen Giles, this features the Dutch sailing ship 'Tecla' tied up at a wharf at Port Adelaide (view of the bow).</t>
  </si>
  <si>
    <t>Tecla (Ship);Sailing ships -- South Australia -- Port Adelaide</t>
  </si>
  <si>
    <t>b29265216</t>
  </si>
  <si>
    <t>Part of a collection of photographs taken over time of various places and events in South Australia by Stephen Giles, this features the Dutch sailing ship 'Tecla' tied up at a wharf at Port Adelaide (view of the stern).</t>
  </si>
  <si>
    <t>b29265228</t>
  </si>
  <si>
    <t>'Europa' at Port Adelaide</t>
  </si>
  <si>
    <t>Part of a collection of photographs taken over time of various places and events in South Australia by Stephen Giles, this features the Dutch sailing ship 'Europa' tied up at a wharf at Port Adelaide.</t>
  </si>
  <si>
    <t>Europa (Ship);Sailing ships -- South Australia -- Port Adelaide</t>
  </si>
  <si>
    <t>b2926523x</t>
  </si>
  <si>
    <t>Part of a collection of photographs taken over time of various places and events in South Australia by Stephen Giles, this features the Dutch sailing ship 'Europa' tied up at a wharf at Port Adelaide (view of bow).</t>
  </si>
  <si>
    <t>b29265241</t>
  </si>
  <si>
    <t>Part of a collection of photographs taken over time of various places and events in South Australia by Stephen Giles, this features the Dutch sailing ship 'Europa' tied up at a wharf at Port Adelaide (view of stern).</t>
  </si>
  <si>
    <t>b29265253</t>
  </si>
  <si>
    <t>'Lord Nelson' at Port Adelaide</t>
  </si>
  <si>
    <t>Part of a collection of photographs taken over time of various places and events in South Australia by Stephen Giles, this features the sailing ship 'Lord Nelson' tied up at a wharf at Port Adelaide (viewed from the 'Yelta').</t>
  </si>
  <si>
    <t>Lord Nelson (Ship);Sailing ships -- South Australia -- Port Adelaide</t>
  </si>
  <si>
    <t>b29265265</t>
  </si>
  <si>
    <t>Part of a collection of photographs taken over time of various places and events in South Australia by Stephen Giles, this features the sailing ship 'Lord Nelson' tied up at a wharf at Port Adelaide (view of stern).</t>
  </si>
  <si>
    <t>b29265277</t>
  </si>
  <si>
    <t>Part of a collection of photographs taken over time of various places and events in South Australia by Stephen Giles, this features the sailing ship 'Lord Nelson' tied up at a wharf at Port Adelaide (view of name plate).</t>
  </si>
  <si>
    <t>b29265289</t>
  </si>
  <si>
    <t>'Oosterschelde' at Port Adelaide</t>
  </si>
  <si>
    <t>Part of a collection of photographs taken over time of various places and events in South Australia by Stephen Giles, this features the Dutch sailing ship 'Oosterschelde' tied up at a wharf at Port Adelaide (view of bow).</t>
  </si>
  <si>
    <t>Oosterschelde (Ship);Sailing ships -- South Australia -- Port Adelaide</t>
  </si>
  <si>
    <t>b29265290</t>
  </si>
  <si>
    <t>Part of a collection of photographs taken over time of various places and events in South Australia by Stephen Giles, this features the Dutch sailing ship 'Oosterschelde' tied up at a wharf at Port Adelaide (view of stern).</t>
  </si>
  <si>
    <t>b29265307</t>
  </si>
  <si>
    <t>'Oosterschelde' and 'One and All' at Port Adelaide</t>
  </si>
  <si>
    <t>Part of a collection of photographs taken over time of various places and events in South Australia by Stephen Giles, this features the Dutch sailing ship 'Oosterschelde' and the South Australian 'One and All'  tied up at a wharf at Port Adelaide.</t>
  </si>
  <si>
    <t>Oosterschelde (Ship);One and All (Ship);Sailing ships -- South Australia -- Port Adelaide</t>
  </si>
  <si>
    <t>b29265320</t>
  </si>
  <si>
    <t>Model of HMAS 'Tobruk' at Port Adelaide Club</t>
  </si>
  <si>
    <t>Part of a collection of photographs taken over time of various places and events in South Australia by Stephen Giles, this features a scale model of the warship HMAS 'Tobrk', on show at the Port Adelaide Club.</t>
  </si>
  <si>
    <t>Warships -- Models</t>
  </si>
  <si>
    <t>b29265332</t>
  </si>
  <si>
    <t>Ex-military Landrover at Port Adelaide</t>
  </si>
  <si>
    <t>Part of a collection of photographs taken over time of various places and events in South Australia by Stephen Giles, this features an ex-military Landrover 101 converted for private use.</t>
  </si>
  <si>
    <t>b29265344</t>
  </si>
  <si>
    <t>Road and rail bridge at Port Adelaide</t>
  </si>
  <si>
    <t>Part of a collection of photographs taken over time of various places and events in South Australia by Stephen Giles, this features a view across the water to the Port Adelaide rail and road bridge, with one span open.</t>
  </si>
  <si>
    <t>Bridges -- South Australia -- Port Adelaide</t>
  </si>
  <si>
    <t>b29375678</t>
  </si>
  <si>
    <t>Interior of Adelaide Railway Station</t>
  </si>
  <si>
    <t>2013 December 1</t>
  </si>
  <si>
    <t>1 photograph : colour;still image sti rdacontent;computer c rdamedia;online resource cr rdacarrier;image file JPEG 1600 x 600 pixels rda</t>
  </si>
  <si>
    <t>Two photographs of the interior of the Adelaide Railway Station placed side by side to illustrate changes as a result of the station's redevelopment. The first photograph is dated 19th July 2013 and the second is dated 1st December 2013. The staircase to North Terrace has been moved to a more central position and a new escalator has been installed beside it.</t>
  </si>
  <si>
    <t>Adelaide Railway Station;Interior architecture -- South Australia -- Adelaide;Escalators -- South Australia -- Adelaide;Staircases -- South Australia -- Adelaide;Railroad stations -- South Australia -- Adelaide</t>
  </si>
  <si>
    <t>Railway Station Collection;Flickr Collection</t>
  </si>
  <si>
    <t>b2937568x</t>
  </si>
  <si>
    <t>1 photograph : colour;still image sti rdacontent;computer c rdamedia;online resource cr rdacarrier;image file JPEG 4000 x 3000 pixels rda</t>
  </si>
  <si>
    <t>Photograph of the interior of the Adelaide Railway Station following the station's redevelopment. The staircase to North Terrace has been moved to a more central position and a new escalator has been installed beside it.</t>
  </si>
  <si>
    <t>b29374376</t>
  </si>
  <si>
    <t>Park 'n' Ride</t>
  </si>
  <si>
    <t>2013 December 12</t>
  </si>
  <si>
    <t>Tea Tree Plaza Interchange Park 'n' Ride 700 space carpark opened on 13 January 2014.</t>
  </si>
  <si>
    <t>Automobile parking -- South Australia -- Modbury;Modbury (S.A.)</t>
  </si>
  <si>
    <t>Modbury Collection;Flickr Collection</t>
  </si>
  <si>
    <t>b29375630</t>
  </si>
  <si>
    <t>1 photograph : colour;still image sti rdacontent;computer c rdamedia;online resource cr rdacarrier;image file JPEG 1600 x 1200 pixels rda</t>
  </si>
  <si>
    <t>Men on scaffolding installing signage on the Tea Tree Plaza Interchange Park 'n' Ride 700 space carpark opened on 13 January 2014.</t>
  </si>
  <si>
    <t>Automobile parking -- South Australia -- Modbury;Scaffolding -- South Australia -- Modbury;Signs and signboards -- South Australia -- Modbury;Modbury (S.A.)</t>
  </si>
  <si>
    <t>b29375642</t>
  </si>
  <si>
    <t>Men installing sign</t>
  </si>
  <si>
    <t>b29375654</t>
  </si>
  <si>
    <t>b29375666</t>
  </si>
  <si>
    <t>b29391015</t>
  </si>
  <si>
    <t>Sauer-Thompson, Gary, photographer</t>
  </si>
  <si>
    <t>South Australian Health and Medical Research Institute</t>
  </si>
  <si>
    <t>2013 December 15</t>
  </si>
  <si>
    <t>1 photograph : colour;still image sti rdacontent;computer c rdamedia;online resource cr rdacarrier;image file JPEG 2000 x 1366 pixels rda</t>
  </si>
  <si>
    <t>South Australian Health and Medical Research Institute building on North Terrace, Adelaide.</t>
  </si>
  <si>
    <t>New Adelaide Hospital Precinct Collection;Adelaide Views Collection;Flickr Collection</t>
  </si>
  <si>
    <t>b29378291</t>
  </si>
  <si>
    <t>Doyle, Bill, photographer</t>
  </si>
  <si>
    <t>Wreck of the Excelsior</t>
  </si>
  <si>
    <t>2013 December 3</t>
  </si>
  <si>
    <t>1 photograph : colour;still image sti rdacontent;computer c rdamedia;online resource cr rdacarrier;image file JPEG 1920 x 915 pixels rda</t>
  </si>
  <si>
    <t>Wreck of the ship Excelsior, Mutton Cove, Le Fevre Peninsula, South Australia.</t>
  </si>
  <si>
    <t>Excelsior (Ship);Shipwrecks -- South Australia</t>
  </si>
  <si>
    <t>b29374364</t>
  </si>
  <si>
    <t>Sauer Thompson, Gary, photographer</t>
  </si>
  <si>
    <t>The Bluff Resort apartments</t>
  </si>
  <si>
    <t>2013 December 31</t>
  </si>
  <si>
    <t>1 photograph : colour;still image sti rdacontent;computer c rdamedia;online resource cr rdacarrier;image file JPEG 2000 x 1246 pixels rda</t>
  </si>
  <si>
    <t>View of the rear of The Bluff Resort apartments, looking toward Encounter Bay, South Australia.</t>
  </si>
  <si>
    <t>Bluff Resort (S.A.);Encounter Bay (S.A.)</t>
  </si>
  <si>
    <t>Encounter Bay Collection;Flickr Collection</t>
  </si>
  <si>
    <t>b29375691</t>
  </si>
  <si>
    <t>Jetty Road, Glenelg</t>
  </si>
  <si>
    <t>Motor vehicles and people passing the Jackman Building on Jetty Road, Glenelg. Shops include Witchery and Ghanda fashion outlets, the shop between them is vacant.</t>
  </si>
  <si>
    <t>Witchery Fashions Pty Ltd;Ghanda Clothing;Glenelg (S.A.)</t>
  </si>
  <si>
    <t>Glenelg Collection;Flickr Collection</t>
  </si>
  <si>
    <t>b29375733</t>
  </si>
  <si>
    <t>1 photograph : colour;still image sti rdacontent;computer c rdamedia;online resource cr rdacarrier;image file JPEG 1024 x 768 pixels rda</t>
  </si>
  <si>
    <t>Motor vehicles and people on Jetty Road, Glenelg. Shops are on the south side opposite the junction with Waterloo Street. They include Fassina Liquor Merchants at 104 Jetty Road, Grundy's Shoes at 102 Jetty Road, Caruso's Fresh Foods at 100 Jetty Road and The Reject Shop at 98 Jetty Road.</t>
  </si>
  <si>
    <t>Caruso's Fresh Foods (Glenelg, S.A.);Fassina Liquor Merchants (Glenelg, S.A.);Grundy's Shoes (Glenelg, S.A.);Reject Shop (Glenelg, S.A.);Glenelg (S.A.)</t>
  </si>
  <si>
    <t>b29375800</t>
  </si>
  <si>
    <t>Moseley Square, Glenelg</t>
  </si>
  <si>
    <t>Children's bungee trampoline in Moseley Square, Glenelg, South Australia. The Bay Discovery Centre and a Nando's restaurant are in the background.</t>
  </si>
  <si>
    <t>Trampolining -- South Australia;Glenelg (S.A.)</t>
  </si>
  <si>
    <t>b29378230</t>
  </si>
  <si>
    <t>Rotolo, Adriano, photographer</t>
  </si>
  <si>
    <t>Adelaide Oval footbridge</t>
  </si>
  <si>
    <t>2013 December 6</t>
  </si>
  <si>
    <t>1 photograph : colour;still image sti rdacontent;computer c rdamedia;online resource cr rdacarrier;image file JPEG 4608 x 3072 pixels rda</t>
  </si>
  <si>
    <t>At stumps on day two of the 2nd Ashes Test at the Adelaide Oval people return across the Torrens Lake footbridge to the city. Although unfinished the footbridge was opened temporarily for the duration of the test.</t>
  </si>
  <si>
    <t>Adelaide Oval;Footbridges -- South Australia -- Adelaide;Crowds -- South Australia -- Adelaide</t>
  </si>
  <si>
    <t>Adelaide Oval Collection;Torrens Lake Collection;Flickr Collection</t>
  </si>
  <si>
    <t>b29329115</t>
  </si>
  <si>
    <t>Woods, Richard, photographer</t>
  </si>
  <si>
    <t>Willunga Hotel</t>
  </si>
  <si>
    <t>2013 February 19</t>
  </si>
  <si>
    <t>1 photograph : colour;still image sti rdacontent;computer c rdamedia;online resource cr rdacarrier;image file JPEG 3888 x 2592 pixels rda</t>
  </si>
  <si>
    <t>Willunga Hotel bottle shop, Willunga, South Australia.</t>
  </si>
  <si>
    <t>Willunga Hotel (Willunga, S.A.);Hotels -- South Australia -- Willunga</t>
  </si>
  <si>
    <t>Willunga Collection;Flickr Collection</t>
  </si>
  <si>
    <t>b29329139</t>
  </si>
  <si>
    <t>Willunga Hotel, Willunga, South Australia.</t>
  </si>
  <si>
    <t>b29330580</t>
  </si>
  <si>
    <t>National Railway museum</t>
  </si>
  <si>
    <t>2013 February 9</t>
  </si>
  <si>
    <t>Broken Hill Associated Smelters, Port Pirie locomotive, Peronne, at the National Railway Museum, Port Adelaide.</t>
  </si>
  <si>
    <t>National Railway Museum Port Adelaide;Locomotives -- South Australia -- Port Adelaide</t>
  </si>
  <si>
    <t>b29330622</t>
  </si>
  <si>
    <t>Australian National Railways diesel electric locomotive 801 hauling Bluebird diesel railcar number 257, Kestrel, Red Hen Trailer Class 860 carriage Number 875 and Model 55 class railcar Number 8.</t>
  </si>
  <si>
    <t>b31898099</t>
  </si>
  <si>
    <t>2013 January 14</t>
  </si>
  <si>
    <t>View looking west at six cranes towering over the new Royal Adelaide Hospital construction site from the still under construction South Australian Health and Medical Research Institute (SAHMRI) building.</t>
  </si>
  <si>
    <t>Royal Adelaide Hospital (S.A.);Building sites -- South Australia -- Adelaide;Cranes, derricks, etc. -- South Australia -- Adelaide;Earthmoving machinery -- South Australia -- Adelaide</t>
  </si>
  <si>
    <t>b31898105</t>
  </si>
  <si>
    <t>View looking south west toward the Newmarket Hotel, Adelaide Day Surgery, and other buildings along North Terrace from the still under construction South Australian Health and Medical Research Institute (SAHMRI) building. A section of the new Royal Adelaide Hospital construction site is in the bottom right hand corner.</t>
  </si>
  <si>
    <t>Royal Adelaide Hospital (S.A.);Building sites -- South Australia -- Adelaide;Buses -- South Australia -- Adelaide;Hotels -- South Australia -- Adelaide</t>
  </si>
  <si>
    <t>New Adelaide Hospital Precinct;Acre 2 Collection</t>
  </si>
  <si>
    <t>b31898154</t>
  </si>
  <si>
    <t>View west from the Morphett Street Bridge along North Terrace toward the South Australian Health and Medical Research Institute (SAHMRI) building under construction. Two trams are at the City West tram stop and the Adelaide Skate Park is behind the trees on the right.</t>
  </si>
  <si>
    <t>b3189818x</t>
  </si>
  <si>
    <t>View looking north west toward the River Torrens from the SAHMRI building of Adelaide railyard redevelopment work.</t>
  </si>
  <si>
    <t>Adelaide Railway Station;Railroad yards -- South Australia -- Adelaide;Cranes, derricks, etc. -- South Australia -- Adelaide</t>
  </si>
  <si>
    <t>Adelaide Views Collection;Adelaide Railway Station Collection</t>
  </si>
  <si>
    <t>b31898208</t>
  </si>
  <si>
    <t>View looking east toward Adelaide from the SAHMRI building of Adelaide railyard redevelopment and electrification work.</t>
  </si>
  <si>
    <t>Adelaide Railway Station;Railroad yards -- South Australia -- Adelaide</t>
  </si>
  <si>
    <t>b3189821x</t>
  </si>
  <si>
    <t>View from the SAHMRI building of Adelaide railyard redevelopment and electrification work.</t>
  </si>
  <si>
    <t>b31898221</t>
  </si>
  <si>
    <t>View looking north from the SAHMRI building toward the Adelaide Oval where reconstruction work is happening.</t>
  </si>
  <si>
    <t>b29292955</t>
  </si>
  <si>
    <t>Rotolo, Adriano photographer</t>
  </si>
  <si>
    <t>Australia Day fireworks</t>
  </si>
  <si>
    <t>2013 January 26</t>
  </si>
  <si>
    <t>Australia Day fireworks viewed from Montefiore Hill.</t>
  </si>
  <si>
    <t>Fireworks -- Adelaide</t>
  </si>
  <si>
    <t>Adelaide Views Collection;Flickr Collection</t>
  </si>
  <si>
    <t>b29330774</t>
  </si>
  <si>
    <t>South Australian Sports Institute</t>
  </si>
  <si>
    <t>2013 March 14</t>
  </si>
  <si>
    <t>The South Australian Sports Institute building that prior to 1993 housed the Kidman Park High School, 27 Valetta Road, Kidman Park, South Australia.</t>
  </si>
  <si>
    <t>Kidman Park High School (Kidman Park, S.A.);High schools -- South Australia -- Kidman Park</t>
  </si>
  <si>
    <t>Kidman Park Collection;Flickr Collection</t>
  </si>
  <si>
    <t>b29331729</t>
  </si>
  <si>
    <t>b2932919x</t>
  </si>
  <si>
    <t>Hollywood Plaza</t>
  </si>
  <si>
    <t>2013 May 23</t>
  </si>
  <si>
    <t>1 photograph : colour;still image sti rdacontent;computer c rdamedia;online resource cr rdacarrier;image file JPEG 1920x1080 pixels rda</t>
  </si>
  <si>
    <t>Large sign at Hollywood Plaza shopping centre. Built on the site of the Salisbury Downs drive in theatre, the centre's sign is on the frame that previously held the theatre's screen.</t>
  </si>
  <si>
    <t>Hollywood Plaza (Salisbury Downs, S.A.);Signs and signboards -- South Australia -- Salisbury Downs</t>
  </si>
  <si>
    <t>Salisbury Downs Collection;Flickr Collection</t>
  </si>
  <si>
    <t>b29329188</t>
  </si>
  <si>
    <t>Buckingham Arms Hotel</t>
  </si>
  <si>
    <t>2013 May 24</t>
  </si>
  <si>
    <t>Buckingham Arms Hotel at the intersection of Northcote Terrace and Walkerville Terrace, Gilberton, South Australia.</t>
  </si>
  <si>
    <t>Buckingham Arms Hotel (Gilberton, S.A.);Hotels -- South Australia -- Gilberton</t>
  </si>
  <si>
    <t>Gilberton Collection;Flickr Collection</t>
  </si>
  <si>
    <t>b29378151</t>
  </si>
  <si>
    <t>Adelaide Oval footbridge construction</t>
  </si>
  <si>
    <t>2013 May 7</t>
  </si>
  <si>
    <t>Cat hydraulic excavator with earthworks beside The Dunstan Playhouse preparing for the construction of the Adelaide Oval footbridge across the Torrens Lake.</t>
  </si>
  <si>
    <t>Adelaide Oval;Earthwork -- South Australia -- Adelaide;Excavating machinery -- South Australia -- Adelaide</t>
  </si>
  <si>
    <t>Torrens Lake Collection;Flickr Collection</t>
  </si>
  <si>
    <t>b29271228</t>
  </si>
  <si>
    <t>2013 November 11</t>
  </si>
  <si>
    <t>The Aboriginal and Torres Strait Islander War Memorial adjacent to the Torrens Parade Ground, Adelaide.</t>
  </si>
  <si>
    <t>Aboriginal and Torres Strait Islander War Memorial (Adelaide, S.A.);War memorials -- South Australia -- Adelaide</t>
  </si>
  <si>
    <t>Adelaide Views Collection;Torrens Parade Ground Collection</t>
  </si>
  <si>
    <t>b29271812</t>
  </si>
  <si>
    <t>b29271824</t>
  </si>
  <si>
    <t>b29271836</t>
  </si>
  <si>
    <t>Descriptive plaque of the Aboriginal and Torres Strait Islander War Memorial</t>
  </si>
  <si>
    <t>Descriptive plaque of the Aboriginal and Torres Strait Islander War Memorial that is located near the north boundary of the Torrens Parade Ground, Adelaide.</t>
  </si>
  <si>
    <t>Aboriginal and Torres Strait Islander War Memorial (Adelaide, S.A.);War memorials -- South Australia -- Adelaide;Plaques, plaquettes -- South Australia -- Adelaide</t>
  </si>
  <si>
    <t>b29272671</t>
  </si>
  <si>
    <t>River Torrens footbridge</t>
  </si>
  <si>
    <t>1 photograph : colour;still image sti rdacontent;computer c rdamedia;online resource cr rdacarrier;image file TIFF 11696 x 2928 pixels rda</t>
  </si>
  <si>
    <t>Panoramic view from Elder Park looking west toward the Torrens Lake, Adelaide, and the footbridge under construction.</t>
  </si>
  <si>
    <t>Torrens, Lake (Adelaide, S.A.)</t>
  </si>
  <si>
    <t>b2939207x</t>
  </si>
  <si>
    <t>Marschall, Tom, photographer</t>
  </si>
  <si>
    <t>A-City Class 4000 electric train</t>
  </si>
  <si>
    <t>2013 November 12</t>
  </si>
  <si>
    <t>1 photograph : colour;still image sti rdacontent;computer c rdamedia;online resource cr rdacarrier;image file JPEG 4512 x 3008 pixels rda</t>
  </si>
  <si>
    <t>A-City Class 4000 electric train number 4001 on the track between Brighton and Seaford during testing on 12 November 2013.</t>
  </si>
  <si>
    <t>Railroad trains;Railroads -- South Australia</t>
  </si>
  <si>
    <t>General Collection;Flickr Collection</t>
  </si>
  <si>
    <t>b29392081</t>
  </si>
  <si>
    <t>1 photograph : colour;still image sti rdacontent;computer c rdamedia;online resource cr rdacarrier;image file JPEG 5090 x 3393 pixels rda</t>
  </si>
  <si>
    <t>New A-City Class 4000 electric train number 4001 crosses Edward Street at Brighton during testing on 12 November 2013.  A N3 train substitute bus waits at the crossing. Train substitute buses provided public transport services between Adelaide and Noarlunga from 1 January 2013 during the Noarlunga track electrification and upgrade.</t>
  </si>
  <si>
    <t>b29391040</t>
  </si>
  <si>
    <t>Senator Sarah Hanson-Young</t>
  </si>
  <si>
    <t>2013 November 17</t>
  </si>
  <si>
    <t>1 photograph : colour;still image sti rdacontent;computer c rdamedia;online resource cr rdacarrier;image file JPEG 1920 x 1280 pixels rda</t>
  </si>
  <si>
    <t>Senator Sarah Hanson-Young and supporters of The Greens in Elder Park, Adelaide, to support the National Day of Climate Action on 17 November 2013.</t>
  </si>
  <si>
    <t>Hanson-Young, Sarah.;Politicians -- South Australia</t>
  </si>
  <si>
    <t>Elder Park Collection;Flickr Collection</t>
  </si>
  <si>
    <t>b29393115</t>
  </si>
  <si>
    <t>Whyalla steelworks</t>
  </si>
  <si>
    <t>2013 November 6</t>
  </si>
  <si>
    <t>Night photograph of the OneSteel Whyalla Steelworks.</t>
  </si>
  <si>
    <t>Whyalla (S.A.);Steel industry and trade -- South Australia -- Whyalla</t>
  </si>
  <si>
    <t>Whyalla Collection;Flickr Collection</t>
  </si>
  <si>
    <t>b31273294</t>
  </si>
  <si>
    <t>Ian Purcell and Margie Fischer</t>
  </si>
  <si>
    <t>Ian Purcell AM and Margie Fischer in the Institute Building of the State Library during the set up of the 'Gay Times are here again' exhibition.</t>
  </si>
  <si>
    <t>Purcell, Ian, 1946-2016;Fischer, Margaret, 1952-;Gay pride celebrations -- South Australia -- Adelaide</t>
  </si>
  <si>
    <t>b29292979</t>
  </si>
  <si>
    <t>Venice, John, photographer</t>
  </si>
  <si>
    <t>North Star Hotel, Melrose</t>
  </si>
  <si>
    <t>2013 October 24</t>
  </si>
  <si>
    <t>1 photograph : colour;still image sti rdacontent;computer c rdamedia;online resource cr rdacarrier;image file JPEG 4032 x 3024 pixels rda</t>
  </si>
  <si>
    <t>The North Star Hotel, Melrose, South Australia.</t>
  </si>
  <si>
    <t>North Star Hotel (Melrose, S.A.);Hotels -- South Australia -- Melrose</t>
  </si>
  <si>
    <t>Melrose Collection;Flickr Collection</t>
  </si>
  <si>
    <t>b29494941</t>
  </si>
  <si>
    <t>Sculpture at Brighton</t>
  </si>
  <si>
    <t>2013 October 27</t>
  </si>
  <si>
    <t>Part of a collection of photographs taken over time of various places and events in South Australia by Stephen Giles, this features a scuplture of metal figures at the Bighton jetty.</t>
  </si>
  <si>
    <t>Sculpture -- South Australia -- Brighton</t>
  </si>
  <si>
    <t>b29494953</t>
  </si>
  <si>
    <t>Part of a collection of photographs taken over time of various places and events in South Australia by Stephen Giles, this features the Brighton jetty, as viewed from the shore.</t>
  </si>
  <si>
    <t>Jetties -- South Australia -- Brighton</t>
  </si>
  <si>
    <t>b29494965</t>
  </si>
  <si>
    <t>Part of a collection of photographs taken over time of various places and events in South Australia by Stephen Giles, this features the former hotel on the corner of the Esplanade and Jetty Road, Brighton.</t>
  </si>
  <si>
    <t>Brighton (S.A.)</t>
  </si>
  <si>
    <t>b29396785</t>
  </si>
  <si>
    <t>Graalman, Henk, photographer</t>
  </si>
  <si>
    <t>Clipper ship 'City of Adelaide'</t>
  </si>
  <si>
    <t>2014 February 6</t>
  </si>
  <si>
    <t>1 photograph : colour;still image sti rdacontent;computer c rdamedia;online resource cr rdacarrier;image file JPEG 3696 x 2448 pixels rda</t>
  </si>
  <si>
    <t>The clipper ship 'City of Adelaide' being unloaded onto a barge from the heavy lift vessel, 'Palanpur', following its arrival at Port Adelaide from Scotland.</t>
  </si>
  <si>
    <t>City of Adelaide (Ship);Palanpur (Ship);Historic ships;Sailing ships</t>
  </si>
  <si>
    <t>b2939711x</t>
  </si>
  <si>
    <t>1 photograph : colour;still image sti rdacontent;computer c rdamedia;online resource cr rdacarrier;image file JPEG 3008 x 2000 pixels rda</t>
  </si>
  <si>
    <t>b29397923</t>
  </si>
  <si>
    <t>The clipper ship 'City of Adelaide' aboard the heavy lift vessel 'Palanpur' prior to being unloaded onto a barge following its arrival at Port Adelaide from Scotland.</t>
  </si>
  <si>
    <t>b29397935</t>
  </si>
  <si>
    <t>1 photograph : colour;still image sti rdacontent;computer c rdamedia;online resource cr rdacarrier;image file JPEG 2448 x 3696 pixels rda</t>
  </si>
  <si>
    <t>The clipper ship 'City of Adelaide' aboard the heavy lift vessel 'Palanpur' being unloaded onto a barge following its arrival at Port Adelaide from Scotland.</t>
  </si>
  <si>
    <t>b29397947</t>
  </si>
  <si>
    <t>b29536704</t>
  </si>
  <si>
    <t>Eldridge, Grant, photographer</t>
  </si>
  <si>
    <t>Tom 'Diver' Derrick bridge</t>
  </si>
  <si>
    <t>The Tom Diver Derrick Bridge opening to allow the clipper ship 'City of Adelaide' on the barge 'Bradley' to pass through on its arrival at Port Adelaide. 'City of Adelaide' had earlier been transferred onto the barge from the heavy lift ship 'Palanpur'.</t>
  </si>
  <si>
    <t>Bridges -- South Australia -- Port Adelaide;Tom 'Diver' Derrick Bridge (Port Adelaide, S.A.)</t>
  </si>
  <si>
    <t>b29536741</t>
  </si>
  <si>
    <t>Clipper 'City of Adelaide' arriving Port Adelaide</t>
  </si>
  <si>
    <t>Under tow by the tug 'Svitzer Heron' the barge 'Bradley' carrying the clipper ship 'City of Adelaide' passes through the open Tom 'Diver' Derrick Bridge. 'City of Adelaide' had earlier been transferred onto the barge from the heavy lift ship 'Palanpur'.</t>
  </si>
  <si>
    <t>Bradley (Barge);City of Adelaide (Ship);Svitzer Heron (Tugboat);Barges -- South Australia -- Port Adelaide;Bridges -- South Australia -- Port Adelaide;Tugboats -- South Australia -- Port Adelaide;Tom 'Diver' Derrick Bridge (Port Adelaide, S.A.)</t>
  </si>
  <si>
    <t>b29536789</t>
  </si>
  <si>
    <t>b29536790</t>
  </si>
  <si>
    <t>Bagpiper welcoming the 'City of Adelaide' on its arrival at Port Adelaide</t>
  </si>
  <si>
    <t>1 photograph : colour;still image sti rdacontent;computer c rdamedia;online resource cr rdacarrier;image file JPEG 2592 x 3888 pixels rda</t>
  </si>
  <si>
    <t>St. Andrew's Lodge bagpiper welcoming the clipper ship 'City of Adelaide' on its arrival at Port Adelaide.</t>
  </si>
  <si>
    <t>Bagpipers -- South Australia -- Port Adelaide</t>
  </si>
  <si>
    <t>b29536868</t>
  </si>
  <si>
    <t>The barge 'Bradley' carrying the clipper ship 'City of Adelaide' after passing through the open Tom 'Diver' Derrick Bridge. 'City of Adelaide' had earlier been transferred onto the barge from the heavy lift ship 'Palanpur'.</t>
  </si>
  <si>
    <t>Bradley (Barge);City of Adelaide (Ship);Barges -- South Australia -- Port Adelaide</t>
  </si>
  <si>
    <t>b29536881</t>
  </si>
  <si>
    <t>b29536893</t>
  </si>
  <si>
    <t>b29536911</t>
  </si>
  <si>
    <t>Stern section of the clipper ship 'City of Adelaide' at Port Adelaide</t>
  </si>
  <si>
    <t>Stern section of the clipper ship 'City of Adelaide' photographed while on the barge 'Bradley' following its arrival at Port Adelaide.</t>
  </si>
  <si>
    <t>City of Adelaide (Ship)</t>
  </si>
  <si>
    <t>b29418756</t>
  </si>
  <si>
    <t>St. Ann's Anglican Church, Aldinga</t>
  </si>
  <si>
    <t>2014 January 27</t>
  </si>
  <si>
    <t>Part of a collection of photographs taken over time of various places and events in South Australia by Stephen Giles, this features St Ann's Anglican Church at Aldinga.</t>
  </si>
  <si>
    <t>St Ann's Church (Aldinga, S.A.)</t>
  </si>
  <si>
    <t>b29418768</t>
  </si>
  <si>
    <t>b29418781</t>
  </si>
  <si>
    <t>Cemetery at St. Ann's Anglican Church, Aldinga</t>
  </si>
  <si>
    <t>Part of a collection of photographs taken over time of various places and events in South Australia by Stephen Giles, this features part of the cemetery behind St Ann's Anglican Church at Aldinga.</t>
  </si>
  <si>
    <t>St. Ann's Church (Aldinga, S.A.);Cemeteries -- South Australia -- Aldinga</t>
  </si>
  <si>
    <t>b29418793</t>
  </si>
  <si>
    <t>b29369708</t>
  </si>
  <si>
    <t>Save our Sharks rally</t>
  </si>
  <si>
    <t>2014 January 4</t>
  </si>
  <si>
    <t>People with a banner that says 'Respect Protect Sharks' at a Save our Sharks rally held at Glenelg Beach on 4 January 2014.</t>
  </si>
  <si>
    <t>Glenelg (S.A.);Protest movements -- South Australia</t>
  </si>
  <si>
    <t>b2936971x</t>
  </si>
  <si>
    <t>Mark Parnell MLC</t>
  </si>
  <si>
    <t>Greens MLC Mark Parnell at a Save our Sharks rally held at Glenelg Beach on 4 January 2014.</t>
  </si>
  <si>
    <t>Parnell, Mark;Glenelg (S.A.);Protest movements -- South Australia</t>
  </si>
  <si>
    <t>b29369733</t>
  </si>
  <si>
    <t>Greens MLC Mark Parnell addressing the media at a Save our Sharks rally held at Glenelg Beach on 4 January 2014.</t>
  </si>
  <si>
    <t>b29369745</t>
  </si>
  <si>
    <t>Leon Bignell MP</t>
  </si>
  <si>
    <t>Leon Bignell MP addressing a Save our Sharks rally held at Glenelg Beach on 4 January 2014.</t>
  </si>
  <si>
    <t>Bignell, Leon;Glenelg (S.A.);Protest movements -- South Australia</t>
  </si>
  <si>
    <t>b29369770</t>
  </si>
  <si>
    <t>Protesters gather at a Save our Sharks rally held at Glenelg Beach on 4 January 2014.</t>
  </si>
  <si>
    <t>b31897824</t>
  </si>
  <si>
    <t>Women's Health Statewide</t>
  </si>
  <si>
    <t>2014 July 17</t>
  </si>
  <si>
    <t>Sculpture titled El Globa that had been part of a women's art exhibition prior to being housed in the Women's Health Statewide premises at 64 Pennington Terrace, North Adelaide.</t>
  </si>
  <si>
    <t>Women's health services -- South Australia -- North Adelaide;Art -- South Australia -- North Adelaide;Sculpture -- South Australia -- North Adelaide</t>
  </si>
  <si>
    <t>b3189785x</t>
  </si>
  <si>
    <t>b31897861</t>
  </si>
  <si>
    <t>Banner created at a joint women's health planning day. It includes the names of the South Australian women's health regions and is hanging beneath the window in the stairwell of the Women's Health Statewide premises at 64 Pennington Terrace, North Adelaide.</t>
  </si>
  <si>
    <t>Women's health services -- South Australia -- North Adelaide;Banners -- South Australia -- North Adelaide;Windows -- South Australia -- North Adelaide</t>
  </si>
  <si>
    <t>b31897885</t>
  </si>
  <si>
    <t>b29493031</t>
  </si>
  <si>
    <t>Chrysler with 1936 caravan</t>
  </si>
  <si>
    <t>2014 March 1</t>
  </si>
  <si>
    <t>Part of a collection of photographs taken over time of various places and events in South Australia by Stephen Giles, this features a vintage Chrysler car with a 1936 caravan attached, on show at the Clipsal 500 in Adelaide.</t>
  </si>
  <si>
    <t>Caravans -- South Australia -- Adelaide;Antique and classic cars -- South Australia -- Adelaide</t>
  </si>
  <si>
    <t>b29493043</t>
  </si>
  <si>
    <t>FJ Holden van with caravan</t>
  </si>
  <si>
    <t>Part of a collection of photographs taken over time of various places and events in South Australia by Stephen Giles, this features an FJ Holden van with an early caravan attached, on show at the Clipsal 500 in Adelaide.</t>
  </si>
  <si>
    <t>b29493055</t>
  </si>
  <si>
    <t>New Yorker with caravan</t>
  </si>
  <si>
    <t>Part of a collection of photographs taken over time of various places and events in South Australia by Stephen Giles, this features a 'New Yorker' (American) car with a caravan attached, on show at the Clipsal 500 in Adelaide.</t>
  </si>
  <si>
    <t>b30110774</t>
  </si>
  <si>
    <t>First showdown at Adelaide Oval</t>
  </si>
  <si>
    <t>2014 March 29</t>
  </si>
  <si>
    <t>Debut Australian Football League (AFL) showdown match played at the Adelaide Oval, between Port Adelaide and Adelaide. The photograph has been taken from high in the stands and shows a view of the crowd, the oval and the players, the scoreboards and the Adelaide city buildings beyond.</t>
  </si>
  <si>
    <t>Adelaide Oval;Port Adelaide Football Club (AFL);Adelaide Football Club;Australian football matches -- South Australia;Australian football -- South Australia</t>
  </si>
  <si>
    <t>Adelaide Oval Collection;Flickr Collection</t>
  </si>
  <si>
    <t>b30112242</t>
  </si>
  <si>
    <t>Historic crane at Paskeville</t>
  </si>
  <si>
    <t>2014 September 1</t>
  </si>
  <si>
    <t>Part of a collection of photographs taken over time of various places and events in South Australia by Stephen Giles, this features an old railway crane, with houses in the background.</t>
  </si>
  <si>
    <t>Wallaroo (S.A.)</t>
  </si>
  <si>
    <t>Paskeville Collection</t>
  </si>
  <si>
    <t>b30112175</t>
  </si>
  <si>
    <t>Building with tower at Clare</t>
  </si>
  <si>
    <t>2014 September 2</t>
  </si>
  <si>
    <t>Part of a collection of photographs taken over time of various places and events in South Australia by Stephen Giles, this features a single storey stone building with a tower (presumably to be used as a clock tower).</t>
  </si>
  <si>
    <t>Historic buildings -- South Australia -- Clare;Architecture -- South Australia -- Clare -- 19th century</t>
  </si>
  <si>
    <t>b30112187</t>
  </si>
  <si>
    <t>Plaque at Clare</t>
  </si>
  <si>
    <t>Part of a collection of photographs taken over time of various places and events in South Australia by Stephen Giles, this features a plaque bearing the Masonic emblem and celebrating 150 years for Fremasonary in Clare.</t>
  </si>
  <si>
    <t>Plaques, plaquettes -- South Australia -- Adelaide;Freemasons -- South Australia -- Clare</t>
  </si>
  <si>
    <t>b30112199</t>
  </si>
  <si>
    <t>Brickwork ruins at Armagh</t>
  </si>
  <si>
    <t>Part of a collection of photographs taken over time of various places and events in South Australia by Stephen Giles, this features the ruins of the brickyard buildings at Armagh.</t>
  </si>
  <si>
    <t>Armagh (S.A.)</t>
  </si>
  <si>
    <t>Armagh Collection</t>
  </si>
  <si>
    <t>b30112205</t>
  </si>
  <si>
    <t>General store and house at Lochiel</t>
  </si>
  <si>
    <t>Part of a collection of photographs taken over time of various places and events in South Australia by Stephen Giles, this features the general store, with attached residence in the main street of Lochiel.</t>
  </si>
  <si>
    <t>General stores -- South Australia -- Lochiel;Architecture, Domestic -- South Australia -- Lochiel</t>
  </si>
  <si>
    <t>b30112217</t>
  </si>
  <si>
    <t>Hall at Lochiel</t>
  </si>
  <si>
    <t>Part of a collection of photographs taken over time of various places and events in South Australia by Stephen Giles, this features Lochiel Hall, built 1919.</t>
  </si>
  <si>
    <t>Halls -- South Australia -- Lochiel;Lochiel -- Buildings, structures, etc.</t>
  </si>
  <si>
    <t>b30112229</t>
  </si>
  <si>
    <t>Wallaroo Institute</t>
  </si>
  <si>
    <t>Part of a collection of photographs taken over time of various places and events in South Australia by Stephen Giles, this features the Institute building at Wallaroo.</t>
  </si>
  <si>
    <t>Institute Building (Wallaroo, S.A.);Wallarool -- Buildings, structures, etc.;Historic buildings -- South Australia -- Wallaroo</t>
  </si>
  <si>
    <t>b30112230</t>
  </si>
  <si>
    <t>Mine ruins at Wallaroo</t>
  </si>
  <si>
    <t>Part of a collection of photographs taken over time of various places and events in South Australia by Stephen Giles, this features an old stone tower which forms part of the mine ruins at Wallaroo.</t>
  </si>
  <si>
    <t>Wallaroo (S.A.) -- Buildings, structures, etc.;Historic buildings -- South Australia -- Wallaroo</t>
  </si>
  <si>
    <t>b31897721</t>
  </si>
  <si>
    <t>Protest for Kobani</t>
  </si>
  <si>
    <t>2014 September 26</t>
  </si>
  <si>
    <t>Protest by members of South Australia's Kurdish community in support of Kobani (Ayn al-Arab) in northern Syria. Two women are holding a banner of the Adelaide Kurdish Youth Society.</t>
  </si>
  <si>
    <t>Kurds -- South Australia -- Adelaide;Demonstrations -- South Australia -- Adelaide</t>
  </si>
  <si>
    <t>General Collection;Parliament House Collection</t>
  </si>
  <si>
    <t>b31897757</t>
  </si>
  <si>
    <t>Protest by members of South Australia's Kurdish community in support of Kobani (Ayn al-Arab) in northern Syria. Two men are holding a banner that says "We say no to ISIS terrorism".</t>
  </si>
  <si>
    <t>b31897769</t>
  </si>
  <si>
    <t>A television news cameraman films members of South Australia's Kurdish community on the steps of Parliament House protesting in support of Kobani (Ayn al-Arab) in northern Syria.</t>
  </si>
  <si>
    <t>Kurds -- South Australia -- Adelaide;Demonstrations -- South Australia -- Adelaide;Television camera operators -- South Australia -- Adelaide</t>
  </si>
  <si>
    <t>b3011214x</t>
  </si>
  <si>
    <t>Fashion parade at Balaklava races</t>
  </si>
  <si>
    <t>2014 September 3</t>
  </si>
  <si>
    <t>Part of a collection of photographs taken over time of various places and events in South Australia by Stephen Giles, this features a number of women taking part in a fashion parade at the Balaklava races.</t>
  </si>
  <si>
    <t>Parades -- South Australia -- Balaklava;Costume -- South Australia -- Balaklava;Women -- South Australia -- Balaklava</t>
  </si>
  <si>
    <t>b30112151</t>
  </si>
  <si>
    <t>Men's fashion parade at Balaklava races</t>
  </si>
  <si>
    <t>Part of a collection of photographs taken over time of various places and events in South Australia by Stephen Giles, this features a number of men, with partners, taking part in a fashion parade at the Balaklava races.</t>
  </si>
  <si>
    <t>Parades -- South Australia -- Balaklava;Costume -- South Australia -- Balaklava</t>
  </si>
  <si>
    <t>b30112163</t>
  </si>
  <si>
    <t>b30112096</t>
  </si>
  <si>
    <t>Martindale Hall, Mintaro</t>
  </si>
  <si>
    <t>2014 September 4</t>
  </si>
  <si>
    <t>Part of a collection of photographs taken over time of various places and events in South Australia by Stephen Giles, this features Martindale Hall at Mintaro.</t>
  </si>
  <si>
    <t>Martindale Hall (Mintaro, S.A.);Architecture, Domestic -- South Australia -- Mintaro</t>
  </si>
  <si>
    <t>b30112102</t>
  </si>
  <si>
    <t>b30112126</t>
  </si>
  <si>
    <t>Part of a collection of photographs taken over time of various places and events in South Australia by Stephen Giles, this features the Methodist Church at Mintaro.</t>
  </si>
  <si>
    <t>Mintaro Methodist Church;Church architecture -- South Australia -- Kapunda</t>
  </si>
  <si>
    <t>b30112138</t>
  </si>
  <si>
    <t>Methodist Church Hall at Mintaro</t>
  </si>
  <si>
    <t>Part of a collection of photographs taken over time of various places and events in South Australia by Stephen Giles, this features the Methodist Church Hall at Mintaro with a bell tower.</t>
  </si>
  <si>
    <t>Methodist Church (Mintaro, S.A.);Church architecture -- South Australia -- Kapunda</t>
  </si>
  <si>
    <t>b30276706</t>
  </si>
  <si>
    <t>Gable Ends</t>
  </si>
  <si>
    <t>1 photograph : colour;still image sti rdacontent;computer c rdamedia;online resource cr rdacarrier;image file TIFF 5126 x 3402 pixels rda</t>
  </si>
  <si>
    <t>Front view of Gable Ends, 27 Carrick Hill Drive, Mitcham.</t>
  </si>
  <si>
    <t>b30276718</t>
  </si>
  <si>
    <t>1 photograph : colour;still image sti rdacontent;computer c rdamedia;online resource cr rdacarrier;image file TIFF 5184 x 3402 pixels rda</t>
  </si>
  <si>
    <t>View of the rear of Gable Ends, 27 Carrick Hill Drive, Mitcham.</t>
  </si>
  <si>
    <t>b31896200</t>
  </si>
  <si>
    <t>Repatriation General Hospital</t>
  </si>
  <si>
    <t>2015 April 5</t>
  </si>
  <si>
    <t>Main entrance to the Repatriation General Hospital, Daw Park, viewed from across Daws Road.</t>
  </si>
  <si>
    <t>Repatriation General Hospital (Daw Park, S.A.);Hospitals -- South Australia -- Daw Park;Veterans' hospitals -- South Australia -- Daw Park</t>
  </si>
  <si>
    <t>Daw Park Collection</t>
  </si>
  <si>
    <t>b31896236</t>
  </si>
  <si>
    <t>b31896248</t>
  </si>
  <si>
    <t>Administration Building, Repatriation General Hospital, Daw Park.</t>
  </si>
  <si>
    <t>b3189625x</t>
  </si>
  <si>
    <t>View toward main entrance of the  Repatriation General Hospital, Daw Park, and Daws Road.</t>
  </si>
  <si>
    <t>b31896273</t>
  </si>
  <si>
    <t>View from near the Administration Building toward main entrance of the Repatriation General Hospital, Daw Park, and Daws Road.</t>
  </si>
  <si>
    <t>b31896297</t>
  </si>
  <si>
    <t>The Administration Building of the Repatriation General Hospital, Daw Park.</t>
  </si>
  <si>
    <t>b31896303</t>
  </si>
  <si>
    <t>b31896315</t>
  </si>
  <si>
    <t>The Repatriation General Hospital, Daw Park.</t>
  </si>
  <si>
    <t>b31896340</t>
  </si>
  <si>
    <t>b31896364</t>
  </si>
  <si>
    <t>b31896376</t>
  </si>
  <si>
    <t>The Repatriation General Hospital, Daw Park, Ward 17.</t>
  </si>
  <si>
    <t>b31896406</t>
  </si>
  <si>
    <t>b31896418</t>
  </si>
  <si>
    <t>The 'Repat Clinics', Repatriation General Hospital, Daw Park.</t>
  </si>
  <si>
    <t>b3189642x</t>
  </si>
  <si>
    <t>b31896431</t>
  </si>
  <si>
    <t>b31896443</t>
  </si>
  <si>
    <t>b31896455</t>
  </si>
  <si>
    <t>Rehabilitation and Aged Care, The Repatriation General Hospital, Daw Park.</t>
  </si>
  <si>
    <t>b31896479</t>
  </si>
  <si>
    <t>C Block, The Repatriation General Hospital, Daw Park.</t>
  </si>
  <si>
    <t>b31896480</t>
  </si>
  <si>
    <t>Gate 3, the Repatriation General Hospital, Daw Park.</t>
  </si>
  <si>
    <t>b30582374</t>
  </si>
  <si>
    <t>B.S.A. Owners Club banner</t>
  </si>
  <si>
    <t>2015 August 16</t>
  </si>
  <si>
    <t>Part of a collection of photographs taken over time of various places and events in South Australia by Stephen Giles, this features the banner of the B.S.A. Owners Club of South Australia at  a 'classic &amp; vintage motorcycle display'.</t>
  </si>
  <si>
    <t>B.S.A. Owners Club of South Australia;Motorcycles -- South Australia</t>
  </si>
  <si>
    <t>b30582398</t>
  </si>
  <si>
    <t>'Police Special Thunderbolt' motorcycle</t>
  </si>
  <si>
    <t>Part of a collection of photographs taken over time of various places and events in South Australia by Stephen Giles, this features a 'Police Special Thunderbolt' on display at the 'classic &amp; vintage motorcycle display' under the auspices of the B.S.A. Owners Club of South Australia.</t>
  </si>
  <si>
    <t>Motorcycles -- South Australia;B.S.A. motorcycle</t>
  </si>
  <si>
    <t>b30582404</t>
  </si>
  <si>
    <t>BSA M21 motorcycle operated by the RAA</t>
  </si>
  <si>
    <t>Part of a collection of photographs taken over time of various places and events in South Australia by Stephen Giles. This features a 1939 BSA M21 (600cc side valve) used by the RAA, on display at the 'classic &amp; vintage motorcycle display' under the auspices of the B.S.A. Owners Club of South Australia. The side box on the motorbike is a copy of one that the RAA used. The old bike to the left is a BSA C11 1939 (250cc OHV) as found.</t>
  </si>
  <si>
    <t>Royal Automobile Association of South Australia -- History;Motorcycles -- South Australia;B.S.A. motorcycle;Transportation, Automotive -- South Australia -- History</t>
  </si>
  <si>
    <t>b30582507</t>
  </si>
  <si>
    <t>1957 Dandy motorcycle</t>
  </si>
  <si>
    <t>Part of a collection of photographs taken over time of various places and events in South Australia by Stephen Giles, this features a 1957 Dandy motorbike, marketed at students and young women.This was on display at the 'classic &amp; vintage motorcycle display' under the auspices of the B.S.A. Owners Club of South Australia.</t>
  </si>
  <si>
    <t>b30582520</t>
  </si>
  <si>
    <t>Bantam motorcycle</t>
  </si>
  <si>
    <t>Part of a collection of photographs taken over time of various places and events in South Australia by Stephen Giles, this features a Bantam motorcycle on display at the 'classic &amp; vintage motorcycle display' under the auspices of the B.S.A. Owners Club of South Australia.</t>
  </si>
  <si>
    <t>b30582532</t>
  </si>
  <si>
    <t>Dustin motorcycle with side car</t>
  </si>
  <si>
    <t>Part of a collection of photographs taken over time of various places and events in South Australia by Stephen Giles, this features a Dustin M-33/21 motorcycle with side car, on display at the 'classic &amp; vintage motorcycle display' under the auspices of the B.S.A. Owners Club of South Australia.</t>
  </si>
  <si>
    <t>b31264657</t>
  </si>
  <si>
    <t>Radio Adelaide, North Terrace, Adelaide</t>
  </si>
  <si>
    <t>2015 December 8</t>
  </si>
  <si>
    <t>Elizabeth House at No. 231 North Terrace, and the adjacent building at No. 228 - 230 North Terrace, Adelaide. Radio Adelaide studios were located on the ground floor of No.228 - 230 North Terrace, Adelaide. See also B 75206, B75207 and B75208.</t>
  </si>
  <si>
    <t>Radio stations -- South Australia -- Adelaide;Public radio -- South Australia -- Adelaide</t>
  </si>
  <si>
    <t>b31264682</t>
  </si>
  <si>
    <t>Elizabeth House, North Terrace, Adelaide</t>
  </si>
  <si>
    <t>Elizabeth House at No. 231 North Terrace, and the adjacent building at No. 228 - 230 North Terrace, Adelaide. Radio Adelaide studios were located on the ground floor of No.228 - 230 North Terrace, Adelaide. See also B 75205, B75207 and B75208.</t>
  </si>
  <si>
    <t>b31264700</t>
  </si>
  <si>
    <t>Building at No. 228 - 230 North Terrace, Adelaide. Radio Adelaide studios were located on the ground floor of No.228 - 230 North Terrace, Adelaide. See also B 75205, B75206 and B75208.</t>
  </si>
  <si>
    <t>b31264712</t>
  </si>
  <si>
    <t>Man sitting at bus stop T1 next to building at No. 228 - 230 North Terrace, Adelaide. Radio Adelaide studios were located on the ground floor. See also B 75205, B75206 and B75208.</t>
  </si>
  <si>
    <t>b30240530</t>
  </si>
  <si>
    <t>Ford car and Roadmaster caravan</t>
  </si>
  <si>
    <t>2015 February 21</t>
  </si>
  <si>
    <t>Part of a collection of photographs taken over time of various places and events in South Australia by Stephen Giles, this features a 1967 Ford Galaxie 500 with a 1964 Roadmaster caravan at the Caravan and Camping Show at Wayville Showground.</t>
  </si>
  <si>
    <t>Ford Galaxie automobile;Roadmaster Caravans;Caravans -- South Australia -- Wayville</t>
  </si>
  <si>
    <t>b30240554</t>
  </si>
  <si>
    <t>Fargo truck with caravan</t>
  </si>
  <si>
    <t>Part of a collection of photographs taken over time of various places and events in South Australia by Stephen Giles, this features a 'Fargo' truck with a caravan at the Caravan and Camping Show at Wayville Showground.</t>
  </si>
  <si>
    <t>Fargo trucks;Caravans -- South Australia -- Wayville</t>
  </si>
  <si>
    <t>b30240578</t>
  </si>
  <si>
    <t>Dodge car with caravan</t>
  </si>
  <si>
    <t>Part of a collection of photographs taken over time of various places and events in South Australia by Stephen Giles, this features a 1935 Dodge with caravan at the Caravan and Camping Show at Wayville Showground.</t>
  </si>
  <si>
    <t>Dodge automobile;Caravans -- South Australia -- Wayville</t>
  </si>
  <si>
    <t>b30240608</t>
  </si>
  <si>
    <t>Chrysler car with caravan</t>
  </si>
  <si>
    <t>Part of a collection of photographs taken over time of various places and events in South Australia by Stephen Giles, this features a Chrysler Royal V8 car with caravan at the Caravan and Camping Show at Wayville Showground.</t>
  </si>
  <si>
    <t>Chrysler Royal automobile;Caravans -- South Australia -- Wayville</t>
  </si>
  <si>
    <t>b3024061x</t>
  </si>
  <si>
    <t>Dodge Phoenix with caravan</t>
  </si>
  <si>
    <t>Part of a collection of photographs taken over time of various places and events in South Australia by Stephen Giles, this features a Dodge Phoenix car with caravan at the Caravan and Camping Show at Wayville Showground.</t>
  </si>
  <si>
    <t>b30240621</t>
  </si>
  <si>
    <t>Part of a collection of photographs taken over time of various places and events in South Australia by Stephen Giles, this features a 1935 Dodge car with caravan at the Caravan and Camping Show at Wayville Showground.</t>
  </si>
  <si>
    <t>b30240657</t>
  </si>
  <si>
    <t>Part of a collection of photographs taken over time of various places and events in South Australia by Stephen Giles, this features a Vixtory 6 Dodge car with early caravan at the Caravan and Camping Show at Wayville Showground.</t>
  </si>
  <si>
    <t>b30240670</t>
  </si>
  <si>
    <t>V8 super car at Wayville</t>
  </si>
  <si>
    <t>Part of a collection of photographs taken over time of various places and events in South Australia by Stephen Giles, this features a V8 super car at the Caravan and Camping Show at Wayville Showground.</t>
  </si>
  <si>
    <t>Automobiles -- South Australia -- Wayville</t>
  </si>
  <si>
    <t>b30240682</t>
  </si>
  <si>
    <t>Quadbike at Wayville</t>
  </si>
  <si>
    <t>Part of a collection of photographs taken over time of various places and events in South Australia by Stephen Giles, this features a quad bike at the Caravan and Camping Show at Wayville Showground.</t>
  </si>
  <si>
    <t>All terrain vehicles -- South Australia -- Wayville;All terrain vehicles -- South Australia -- Exhibitions</t>
  </si>
  <si>
    <t>b30240712</t>
  </si>
  <si>
    <t>Chevrolet 'Camaro' at Wayville</t>
  </si>
  <si>
    <t>Part of a collection of photographs taken over time of various places and events in South Australia by Stephen Giles, this features a Chevrolet Camaro 'muscle car' at the Caravan and Camping Show at Wayville Showground.</t>
  </si>
  <si>
    <t>General Motors automobiles;Chevrolet automobile</t>
  </si>
  <si>
    <t>b30240669</t>
  </si>
  <si>
    <t>Giles, Stephen, photographer.</t>
  </si>
  <si>
    <t>Mercedes Holiday campervan.</t>
  </si>
  <si>
    <t>2015 February 21.</t>
  </si>
  <si>
    <t>1 photograph : positive, colour   10 x 15 cm.;RESERVE 1 a;still image sti rdacontent;unmediated n rdamedia;sheet nb rdacarrier</t>
  </si>
  <si>
    <t>Part of a collection of photographs taken over time of various places and events in South Australia by Stephen Giles, this features a Mercedes 'Holiday' campervan at the Caravan and Camping Show at Wayville Showground.</t>
  </si>
  <si>
    <t>Mercedes automobile.;Truck campers -- South Australia -- Wayville.</t>
  </si>
  <si>
    <t>b30193795</t>
  </si>
  <si>
    <t>Institute Building</t>
  </si>
  <si>
    <t>2015 February 27</t>
  </si>
  <si>
    <t>The Institute Building of the State Library of South Australia, North Terrace, Adelaide, shortly after completion of the restoration project that returned the building to the first unified colour scheme of 1908.</t>
  </si>
  <si>
    <t>Institute Building (Adelaide, S.A.);State Library of South Australia -- Buildings;Historic buildings -- South Australia -- Adelaide</t>
  </si>
  <si>
    <t>b31896674</t>
  </si>
  <si>
    <t>Marriage Equality Rally</t>
  </si>
  <si>
    <t>2015 July 25</t>
  </si>
  <si>
    <t>Marriage equality advocate being interviewed by journalists in Victoria Square ahead of a marriage equality rally.</t>
  </si>
  <si>
    <t>Same-sex marriage -- Law and legislation -- South Australia -- Adelaide;Demonstrations -- South Australia -- Adelaide;Mass media -- South Australia -- Adelaide</t>
  </si>
  <si>
    <t>General Collection;Victoria Square Collection</t>
  </si>
  <si>
    <t>b31896704</t>
  </si>
  <si>
    <t>Young people snap a selfie ahead of a marriage equality as it proceeds north on King William Street, Adelaide.</t>
  </si>
  <si>
    <t>Same-sex marriage -- Law and legislation -- South Australia -- Adelaide;Demonstrations -- South Australia -- Adelaide</t>
  </si>
  <si>
    <t>b31896716</t>
  </si>
  <si>
    <t>Led by dancing girls, marchers hold "Love is Love" posters at the front of a marriage equality as it proceeds north on King William Street, Adelaide.</t>
  </si>
  <si>
    <t>b31896728</t>
  </si>
  <si>
    <t>Marchers hold "Love is Love" posters at a marriage equality as it proceeds north on King William Street, Adelaide.</t>
  </si>
  <si>
    <t>b3189673x</t>
  </si>
  <si>
    <t>Ian Hunter MLC at marriage equality rally</t>
  </si>
  <si>
    <t>Australian Labor Party politician, Ian Hunter MLC, addressing protesters at a marriage equality rally from the steps of Parliament House, Adelaide.</t>
  </si>
  <si>
    <t>Hunter, Ian Keith, 1960-;Politicians -- South Australia -- Adelaide;Same-sex marriage -- Law and legislation -- South Australia -- Adelaide;Demonstrations -- South Australia -- Adelaide</t>
  </si>
  <si>
    <t>b31896741</t>
  </si>
  <si>
    <t>Speaker at marriage equality rally</t>
  </si>
  <si>
    <t>A young woman addressing protesters at a marriage equality rally from the steps of Parliament House, Adelaide. Standing behind her are politicians  Ian Hunter MLC, Tammy Franks MLC, and David Pisoni MP.</t>
  </si>
  <si>
    <t>Franks, Tammy Anne, 1968-;Hunter, Ian Keith, 1960-;Pisoni, David Gregory, 1963-;Politicians -- South Australia -- Adelaide;Same-sex marriage -- Law and legislation -- South Australia -- Adelaide;Demonstrations -- South Australia -- Adelaide</t>
  </si>
  <si>
    <t>b31896753</t>
  </si>
  <si>
    <t>David Pisoni MP at a marriage equality rally</t>
  </si>
  <si>
    <t>Liberal Member for Unley, David Pisoni, addressing protesters at a marriage equality rally. Greens MLC Tammy Franks is standing beside him..</t>
  </si>
  <si>
    <t>Franks, Tammy Anne, 1968-;Pisoni, David Gregory, 1963-;Politicians -- South Australia -- Adelaide;Same-sex marriage -- Law and legislation -- South Australia -- Adelaide;Demonstrations -- South Australia -- Adelaide</t>
  </si>
  <si>
    <t>b31896789</t>
  </si>
  <si>
    <t>Mahamati at a marriage equality rally</t>
  </si>
  <si>
    <t>Adelaide lesbian and human rights advocate Mahamati Anutosh (Valerie Tassell) holding a 'Love is Love' poster on the steps of Parliament House during a marriage equality rally.</t>
  </si>
  <si>
    <t>Anutosh, Mahamati;Same-sex marriage -- Law and legislation -- South Australia -- Adelaide;Human rights workers -- South Australia -- Adelaide;Demonstrations -- South Australia -- Adelaide</t>
  </si>
  <si>
    <t>b31896911</t>
  </si>
  <si>
    <t>Marriage equality rally, Adelaide</t>
  </si>
  <si>
    <t>Liberal Member for Unley, David Pisoni, addressing protesters at a marriage equality rally. Also in the photo are  Ian Hunter MLC (left), Tammy Franks MLC (behind David Pisoni), City of Adelaide Councillor Robert Simms, and Senator Sarah Hanson-Young.</t>
  </si>
  <si>
    <t>Hanson-Young, Sarah, 1981-;Hunter, Ian Keith, 1960-;Franks, Tammy Anne, 1968-;Pisoni, David Gregory, 1963-;Simms, Robert Andrew, 1984-;Politicians -- South Australia -- Adelaide;Same-sex marriage -- Law and legislation -- South Australia -- Adelaide;Demonstrations -- South Australia -- Adelaide</t>
  </si>
  <si>
    <t>b31896972</t>
  </si>
  <si>
    <t>Senator Sarah Hanson Young addressing protesters at a marriage equality rally. Also in the photo are  Tammy Franks MLC (left), Liberal Member for Unley, David Pisoni, (behind Sarah Hanson-Young) and City of Adelaide Councillor Robert Simms. A news cameraman is filming.</t>
  </si>
  <si>
    <t>Hanson-Young, Sarah, 1981-;Franks, Tammy Anne, 1968-;Pisoni, David Gregory, 1963-;Simms, Robert Andrew, 1984-;Politicians -- South Australia -- Adelaide;Same-sex marriage -- Law and legislation -- South Australia -- Adelaide;Demonstrations -- South Australia -- Adelaide;Television camera operators -- South Australia -- Adelaide</t>
  </si>
  <si>
    <t>b31897010</t>
  </si>
  <si>
    <t>City of Adelaide Councillor Robert Simms addressing protesters at a marriage equality rally. Also in the photo are  Ian Hunter MLC, Tammy Franks MLC, and the Liberal Member for Unley, David Pisoni.</t>
  </si>
  <si>
    <t>Franks, Tammy Anne, 1968-;Hunter, Ian Keith, 1960-;Pisoni, David Gregory, 1963-;Simms, Robert Andrew, 1984-;Politicians -- South Australia -- Adelaide;Same-sex marriage -- Law and legislation -- South Australia -- Adelaide;Demonstrations -- South Australia -- Adelaide</t>
  </si>
  <si>
    <t>b31897083</t>
  </si>
  <si>
    <t>Australian Marriage Equality activists addressing protesters at a marriage equality rally. Also in the photo are  Liberal Member for Unley, David Pisoni and Tammy Franks MLC.</t>
  </si>
  <si>
    <t>b31897198</t>
  </si>
  <si>
    <t>Australian Marriage Equality activists addressing protesters at a marriage equality rally. Also in the photo are  Ian Hunter MLC and Liberal Member for Unley, David Pisoni.</t>
  </si>
  <si>
    <t>Hunter, Ian Keith, 1960-;Pisoni, David Gregory, 1963-;Politicians -- South Australia -- Adelaide;Same-sex marriage -- Law and legislation -- South Australia -- Adelaide;Demonstrations -- South Australia -- Adelaide</t>
  </si>
  <si>
    <t>b31897228</t>
  </si>
  <si>
    <t>Tammy Franks MLC at Marriage equality rally, Adelaide</t>
  </si>
  <si>
    <t>Greens MLC Tammy Franks on the steps of Parliament House, Adelaide, during a marriage equality rally.</t>
  </si>
  <si>
    <t>Franks, Tammy Anne, 1968-;Politicians -- South Australia -- Adelaide;Same-sex marriage -- Law and legislation -- South Australia -- Adelaide;Demonstrations -- South Australia -- Adelaide</t>
  </si>
  <si>
    <t>b31897265</t>
  </si>
  <si>
    <t>David Pisoni MP at a Marriage equality rally, Adelaide</t>
  </si>
  <si>
    <t>Liberal MP, David Pisoni on the steps of Parliament House, Adelaide, during a marriage equality rally.</t>
  </si>
  <si>
    <t>Pisoni, David Gregory, 1963-;Politicians -- South Australia -- Adelaide;Same-sex marriage -- Law and legislation -- South Australia -- Adelaide;Demonstrations -- South Australia -- Adelaide;Television camera operators -- South Australia -- Adelaide</t>
  </si>
  <si>
    <t>b3189737x</t>
  </si>
  <si>
    <t>Protesters holding up signs that read 'LOVE IS LOVE' at a Marriage equality rally, North Terrace, Adelaide.</t>
  </si>
  <si>
    <t>b31897381</t>
  </si>
  <si>
    <t>Protesters holding signs that read 'LOVE IS LOVE' listen to a marriage equality advocate speaking from the steps of Parliament House, North Terrace, Adelaide.</t>
  </si>
  <si>
    <t>b3189740x</t>
  </si>
  <si>
    <t>b31897411</t>
  </si>
  <si>
    <t>Protesters hold their hands over their heads to make the shape of a heart during a marriage equality rally at Parliament House, North Terrace, Adelaide.</t>
  </si>
  <si>
    <t>b31897435</t>
  </si>
  <si>
    <t>Marriage equality advocates address protesters during a marriage equality rally at Parliament House, North Terrace, Adelaide.</t>
  </si>
  <si>
    <t>b31897447</t>
  </si>
  <si>
    <t>Marriage equality rally at Parliament House, North Terrace, Adelaide.</t>
  </si>
  <si>
    <t>b31897770</t>
  </si>
  <si>
    <t>Police car</t>
  </si>
  <si>
    <t>South Australian Police officer sitting in a patrol car parked in Victoria Square waiting to escourt a marriage equality march north along King William Street to Parliament House.</t>
  </si>
  <si>
    <t>Police -- South Australia -- Adelaide;Police vehicles -- South Australia -- Adelaide</t>
  </si>
  <si>
    <t>b31898233</t>
  </si>
  <si>
    <t>University of Adelaide Health and Medical Sciences Building under construction</t>
  </si>
  <si>
    <t>2015 November 24</t>
  </si>
  <si>
    <t>1 photograph : colour;still image sti rdacontent;computer c rdamedia;online resource cr rdacarrier;image file TIFF 3456 x 4230 pixels rda</t>
  </si>
  <si>
    <t>View west along North Terrace from below the Morphett Street Bridge to the University of Adelaide Health and Medical Sciences Building under construction.</t>
  </si>
  <si>
    <t>University of Adelaide;Building sites -- South Australia -- Adelaide;Cranes, derricks, etc. -- South Australia -- Adelaide</t>
  </si>
  <si>
    <t>Adelaide Views Collection;New Adelaide Hospital Precinct</t>
  </si>
  <si>
    <t>b31898245</t>
  </si>
  <si>
    <t>View west along North Terrace from the Morphett Street Bridge to the University of Adelaide Health and Medical Sciences Building under construction.</t>
  </si>
  <si>
    <t>b31898257</t>
  </si>
  <si>
    <t>University of South Australia Health Innovation Building</t>
  </si>
  <si>
    <t>Preliminary earth works on the site of the new University of South Australia Health Innovation Building viewed from the Morphett Street Bridge.</t>
  </si>
  <si>
    <t>University of South Australia;Building sites -- South Australia -- Adelaide;Earthmoving machinery -- South Australia -- Adelaide</t>
  </si>
  <si>
    <t>b31898269</t>
  </si>
  <si>
    <t>Preliminary earth works on the site of the new University of South Australia Health Innovation Building viewed from the Morphett Street Bridge. Behind is the University of Adelaide Health and Medical Sciences Building under construction, the South Australian Health and Medical Research Institute (SAHMRI) Building and the new Royal Adelaide Hospital.</t>
  </si>
  <si>
    <t>Royal Adelaide Hospital (S.A.);South Australian Health and Medical Research Institute;University of Adelaide;University of South Australia;Building sites -- South Australia -- Adelaide;Earthmoving machinery -- South Australia -- Adelaide</t>
  </si>
  <si>
    <t>b31898270</t>
  </si>
  <si>
    <t>Preliminary earth works on the site of the new University of South Australia Health Innovation Building viewed from the Morphett Street Bridge. Across North Terrace is the University of South Australia Yungondi Building and to the right the University of Adelaide Health and Medical Sciences Building under construction.</t>
  </si>
  <si>
    <t>University of Adelaide;University of South Australia;Building sites -- South Australia -- Adelaide;Earthmoving machinery -- South Australia -- Adelaide</t>
  </si>
  <si>
    <t>b31898282</t>
  </si>
  <si>
    <t>b31898300</t>
  </si>
  <si>
    <t>Preliminary earth works on the site of the new University of South Australia Health Innovation Building viewed from the Morphett Street Bridge. Behind is the University of Adelaide Health and Medical Sciences Building under construction, the South Australian Health and Medical Research Institute (SAHMRI) Building and the new Royal Adelaide Hospital. A new Adelaide Metro 4000 Class electric train is arriving from Seaford.</t>
  </si>
  <si>
    <t>Royal Adelaide Hospital (S.A.);South Australian Health and Medical Research Institute;University of Adelaide;University of South Australia;Building sites -- South Australia -- Adelaide;Earthmoving machinery -- South Australia -- Adelaide;Railroads -- South Australia -- Adelaide -- Trains</t>
  </si>
  <si>
    <t>b3027610x</t>
  </si>
  <si>
    <t>40th Anniversary of the decriminalistion of homosexuality</t>
  </si>
  <si>
    <t>2015 September 10</t>
  </si>
  <si>
    <t>A group photo of those who attended the celebration of the 40th anniversary of decriminalistion of homosexuality in South Australia held at Parliament House, Adelaide, South Australia. Among those present are the Premier, Hon. Jay Weatherill MP, Leader of the Opposition, Mr. Steven Marshall MP, retired MLC Ms. Anne Levy, Mr. David Pisoni MP, Ms. Katrine Hildyard MP, Hon. Michelle Lensink MLC, Hon. Tammy Franks MLC, Mr. Ian Purcell AM, Mr. Alan Smith and Professor John Williams.</t>
  </si>
  <si>
    <t>Politicians -- South Australia -- Adelaide;Parliament House (Adelaide, S.A.)</t>
  </si>
  <si>
    <t>b30276184</t>
  </si>
  <si>
    <t>1 photograph : colour;still image sti rdacontent;computer c rdamedia;online resource cr rdacarrier;image file TIFF 4686 x 3300 pixels rda</t>
  </si>
  <si>
    <t>Anne Levy, Will Sergeant, Jenny Scott and Tim Reeves at the celebration to mark the 40th anniversary of decriminalistion of homosexuality in South Australia held at Parliament House, Adelaide, South Australia.</t>
  </si>
  <si>
    <t>b30276196</t>
  </si>
  <si>
    <t>1 photograph : colour;still image sti rdacontent;computer c rdamedia;online resource cr rdacarrier;image file TIFF 4732 x 3050 pixels rda</t>
  </si>
  <si>
    <t>Ms. Katrine Hildyard MP, Premier of South Australia, Hon. Jay Weatherill MP, and Mr. David Pisoni MP at the celebration to mark the 40th anniversary of decriminalistion of homosexuality in South Australia held at Parliament House, Adelaide, South Australia.</t>
  </si>
  <si>
    <t>Politicians -- South Australia -- Adelaide;Parliament House (Adelaide, S.A.);Hildyard, Katrine;Pisoni, David Gregory, 1963-;Weatherill, Jay</t>
  </si>
  <si>
    <t>b30276226</t>
  </si>
  <si>
    <t>1 photograph : colour;still image sti rdacontent;computer c rdamedia;online resource cr rdacarrier;image file TIFF 3075 x 3923 pixels rda</t>
  </si>
  <si>
    <t>Mr. David Pisoni MP at the celebration to mark the 40th anniversary of decriminalistion of homosexuality in South Australia held at Parliament House, Adelaide, South Australia.</t>
  </si>
  <si>
    <t>Politicians -- South Australia -- Adelaide;Parliament House (Adelaide, S.A.);Pisoni, David Gregory, 1963-</t>
  </si>
  <si>
    <t>b30276238</t>
  </si>
  <si>
    <t>1 photograph : colour;still image sti rdacontent;computer c rdamedia;online resource cr rdacarrier;image file TIFF 3432 x 4863 pixels rda</t>
  </si>
  <si>
    <t>The Premier of South Australia, Hon. Jay Weatherill MP, at the celebration to mark the 40th anniversary of decriminalistion of homosexuality in South Australia held at Parliament House, Adelaide, South Australia.</t>
  </si>
  <si>
    <t>Politicians -- South Australia -- Adelaide;Parliament House (Adelaide, S.A.);Weatherill, Jay</t>
  </si>
  <si>
    <t>b3027624x</t>
  </si>
  <si>
    <t>1 photograph : colour;still image sti rdacontent;computer c rdamedia;online resource cr rdacarrier;image file TIFF 4753 x 3512 pixels rda</t>
  </si>
  <si>
    <t>Ms. Katrine Hildyard MP, Mr. David Pisoni MP, and the Premier of South Australia, Hon. Jay Weatherill MP, at the celebration to mark the 40th anniversary of decriminalistion of homosexuality in South Australia held at Parliament House, Adelaide, South Australia.</t>
  </si>
  <si>
    <t>Politicians -- South Australia -- Adelaide;Parliament House (Adelaide, S.A.);Hildyard, Katrine;Pisoni, David Gregory, 1963-;Weatherill, Jay.</t>
  </si>
  <si>
    <t>b30276251</t>
  </si>
  <si>
    <t>1 photograph : colour;still image sti rdacontent;computer c rdamedia;online resource cr rdacarrier;image file TIFF 3312 x 3642 pixels rda</t>
  </si>
  <si>
    <t>Leader of the Opposition, Mr. Steven Marshall MP, at the celebration to mark the 40th anniversary of decriminalistion of homosexuality in South Australia held at Parliament House, Adelaide, South Australia.</t>
  </si>
  <si>
    <t>Politicians -- South Australia -- Adelaide;Parliament House (Adelaide, S.A.);Marshall, Steven, 1968-</t>
  </si>
  <si>
    <t>b30276305</t>
  </si>
  <si>
    <t>ABC journalist Simon Royal interviewing the Leader of the Opposition, Mr. Steven Marshall MP, at the celebration to mark the 40th anniversary of decriminalistion of homosexuality in South Australia held at Parliament House, Adelaide, South Australia. Mr. John Gardner MP is to the left and the ABC cameraman is Simon Christie.</t>
  </si>
  <si>
    <t>Parliament House (Adelaide, S.A.);Marshall, Steven, 1968-;Royal, Simon Leith, 1963-;Gardner, John Anthony William.;Christie, Simon;Politicians -- South Australia -- Adelaide;Journalists -- South Australia -- Adelaide</t>
  </si>
  <si>
    <t>b30276330</t>
  </si>
  <si>
    <t>Adelaide Festival Theatre</t>
  </si>
  <si>
    <t>Adelaide Festival Theatre viewed from the Balcony Room of Parliament House, Adelaide.</t>
  </si>
  <si>
    <t>b30276366</t>
  </si>
  <si>
    <t>b30276378</t>
  </si>
  <si>
    <t>b30276391</t>
  </si>
  <si>
    <t>Adelaide Festival Theatre Plaza</t>
  </si>
  <si>
    <t>Adelaide Festival Plaza viewed from the Balcony Room of Parliament House, Adelaide.</t>
  </si>
  <si>
    <t>Adelaide Festival Theatre;Theaters -- South Australia -- Adelaide;Plazas -- South Australia -- Adelaide</t>
  </si>
  <si>
    <t>b30276408</t>
  </si>
  <si>
    <t>Adelaide Festival Theatre;Plazas -- South Australia -- Adelaide</t>
  </si>
  <si>
    <t>b30276652</t>
  </si>
  <si>
    <t>Adelaide Law School Dr. George Duncan Commemoration</t>
  </si>
  <si>
    <t>2015 September 11</t>
  </si>
  <si>
    <t>1 photograph : colour;still image sti rdacontent;computer c rdamedia;online resource cr rdacarrier;image file TIFF 3235 x 4063 pixels rda</t>
  </si>
  <si>
    <t>Deborah McCulloch (left) and Sandra Kanck at the Adelaide Law School Dr. George Duncan commemoration event.</t>
  </si>
  <si>
    <t>Kanck, Sandra, 1950-;McCulloch, Deborah, 1939-</t>
  </si>
  <si>
    <t>University of Adelaide Collection</t>
  </si>
  <si>
    <t>b30276664</t>
  </si>
  <si>
    <t>1 photograph : colour;still image sti rdacontent;computer c rdamedia;online resource cr rdacarrier;image file TIFF 4416 x 3396 pixels rda</t>
  </si>
  <si>
    <t>The Hon. Michael Kirby AC CMG unveils the Dr. George Duncan commemorative plaque at the University of Adelaide Law School.</t>
  </si>
  <si>
    <t>Kirby, Michael, 1939-</t>
  </si>
  <si>
    <t>b30276676</t>
  </si>
  <si>
    <t>1 photograph : colour;still image sti rdacontent;computer c rdamedia;online resource cr rdacarrier;image file TIFF 4182 x 3144 pixels rda</t>
  </si>
  <si>
    <t>The Hon. Michael Kirby AC CMG addresses the guests at the Dr. George Duncan commemorative ceremony at the University of Adelaide Law School.</t>
  </si>
  <si>
    <t>b3027669x</t>
  </si>
  <si>
    <t>1 photograph : colour;still image sti rdacontent;computer c rdamedia;online resource cr rdacarrier;image file TIFF 4464 x 3168 pixels rda</t>
  </si>
  <si>
    <t>Professor John Williams, The Hon. Michael Kirby AC CMG, Tim Reeves, Ian Purcell AM and Rhiannon Black at the Dr. George Duncan commemorative ceremony at the University of Adelaide Law School.</t>
  </si>
  <si>
    <t>Black, Rhiannon;Kirby, Michael,  1939-;Purcell, Ian, 1946-2016;Reeves, Tim;Williams, John</t>
  </si>
  <si>
    <t>b31338781</t>
  </si>
  <si>
    <t>Ian Purcell AM</t>
  </si>
  <si>
    <t>2015 September 17</t>
  </si>
  <si>
    <t>Ian Purcell AM speaking at the launch of 'An Open and Shut Case' exhibition at the State Library of South Australia.</t>
  </si>
  <si>
    <t>Purcell, Ian, 1946-2016;Social reformers -- South Australia</t>
  </si>
  <si>
    <t>b30270649</t>
  </si>
  <si>
    <t>Earth moving equipment</t>
  </si>
  <si>
    <t>2015 September 5</t>
  </si>
  <si>
    <t>Earth moving equipment belonging to Royal Park Salvage on the site of the new University of Adelaide Medical and Nursing School.</t>
  </si>
  <si>
    <t>Earthmoving machinery -- South Australia -- Adelaide;Building sites -- South Australia -- Adelaide</t>
  </si>
  <si>
    <t>b30270674</t>
  </si>
  <si>
    <t>University of Adelaide Medical and Nursing School</t>
  </si>
  <si>
    <t>Construction site for the new University of Adelaide Medical and Nursing School viewed from the Morphett Street Bridge. In the distance is the University of South Australia City West Campus, the South Australian Health and Medical Research Institute and the still under construction Royal Adelaide Hospital.</t>
  </si>
  <si>
    <t>University of South Australia. City West Campus;South Australian Health and Medical Research Institute;Royal Adelaide Hospital (S.A.);Building sites -- South Australia -- Adelaide</t>
  </si>
  <si>
    <t>b30270686</t>
  </si>
  <si>
    <t>Construction site for the new University of Adelaide Medical and Nursing School viewed from the Morphett Street Bridge. In the distance is the University of South Australia City West Campus.</t>
  </si>
  <si>
    <t>University of South Australia. City West Campus;Building sites -- South Australia -- Adelaide</t>
  </si>
  <si>
    <t>b30270698</t>
  </si>
  <si>
    <t>Construction site for the new University of Adelaide Medical and Nursing School viewed from the Morphett Street Bridge. In the distance is the South Australian Health and Medical Research Institute and behind it the still under construction Royal Adelaide Hospital.</t>
  </si>
  <si>
    <t>South Australian Health and Medical Research Institute;Royal Adelaide Hospital (S.A.);Building sites -- South Australia -- Adelaide</t>
  </si>
  <si>
    <t>b30270704</t>
  </si>
  <si>
    <t>b30270716</t>
  </si>
  <si>
    <t>Light Square from the Morphett Street Bridge</t>
  </si>
  <si>
    <t>Looking south toward Light Square from the Morphett Street Bridge. A high rise block of apartments is under construction in the distance and the appliancesonline blimp is flying above.</t>
  </si>
  <si>
    <t>Light Square (Adelaide, S.A.)</t>
  </si>
  <si>
    <t>b3027073x</t>
  </si>
  <si>
    <t>Dardanelles Cenotaph</t>
  </si>
  <si>
    <t>Australian Soldiers Dardanelles Cenotaph, Lundie Gardens, Adelaide, South Australia.  The appliancesonline blimp is flying above.</t>
  </si>
  <si>
    <t>Adelaide Views Collection;Lundie Gardens Collection</t>
  </si>
  <si>
    <t>b30270741</t>
  </si>
  <si>
    <t>Vinrace Street, Adelaide</t>
  </si>
  <si>
    <t>Hope Church, Vinrace Street, Adelaide.</t>
  </si>
  <si>
    <t>Church buildings -- South Australia -- Adelaide</t>
  </si>
  <si>
    <t>b30270480</t>
  </si>
  <si>
    <t>Centenary of the Dardanelles Cenotaph</t>
  </si>
  <si>
    <t>2015 September 6</t>
  </si>
  <si>
    <t>Members of the Catafalque Party at the ceremony commemorating the centenary of the unveiling of the Australian Soldiers Dardanelles Cenotaph, Lundie Gardens, Adelaide, South Australia.</t>
  </si>
  <si>
    <t>b30270418</t>
  </si>
  <si>
    <t>People gathering for the ceremony commemorating the centenary of the unveiling of the Australian Soldiers Dardanelles Cenotaph, Lundie Gardens, Adelaide, South Australia. The tree in the foreground was planted during the ceremony by Mrs. Le, wife of the His Excellency, The Hon. Hieu Van Le AO, Governor of South Australia.</t>
  </si>
  <si>
    <t>Tree planting -- South Australia -- Adelaide;War memorials -- South Australia -- Adelaide</t>
  </si>
  <si>
    <t>b30270443</t>
  </si>
  <si>
    <t>1 photograph : colour;still image sti rdacontent;computer c rdamedia;online resource cr rdacarrier;image file TIFF 3456 x 3978 pixels rda</t>
  </si>
  <si>
    <t>Members of the catafalque party prior to the ceremony commemorating the centenary of the unveiling of the Australian Soldiers Dardanelles Cenotaph, Lundie Gardens, Adelaide, South Australia.</t>
  </si>
  <si>
    <t>b30270455</t>
  </si>
  <si>
    <t>People gathering for the ceremony commemorating the centenary of the unveiling of the Australian Soldiers Dardanelles Cenotaph, Lundie Gardens, Adelaide, South Australia.</t>
  </si>
  <si>
    <t>b30270467</t>
  </si>
  <si>
    <t>The arrival of the Catafalque Party for the ceremony commemorating the centenary of the unveiling of the Australian Soldiers Dardanelles Cenotaph, Lundie Gardens, Adelaide, South Australia.</t>
  </si>
  <si>
    <t>b30270479</t>
  </si>
  <si>
    <t>The Catafalque Party for the ceremony commemorating the centenary of the unveiling of the Australian Soldiers Dardanelles Cenotaph, Lundie Gardens, Adelaide, South Australia.</t>
  </si>
  <si>
    <t>b30270492</t>
  </si>
  <si>
    <t>His Excellency, The Hon. Hieu Van Le AO, Governor of South Australia, addressing the ceremony commemorating the centenary of the unveiling of the Australian Soldiers Dardanelles Cenotaph, Lundie Gardens, Adelaide, South Australia.</t>
  </si>
  <si>
    <t>Le, Hieu Van;Governors -- South Australia;War memorials -- South Australia -- Adelaide</t>
  </si>
  <si>
    <t>b30270509</t>
  </si>
  <si>
    <t>b30270510</t>
  </si>
  <si>
    <t>His Excellency, The Hon. Hieu Van Le AO, Governor of South Australia and Mrs. Lan Lee lay a tribute at the ceremony commemorating the centenary of the unveiling of the Australian Soldiers Dardanelles Cenotaph, Lundie Gardens, Adelaide, South Australia.</t>
  </si>
  <si>
    <t>Le, Hieu Van, 1954-;Le, Lan, 1957-;Governors -- South Australia;War memorials -- South Australia -- Adelaide</t>
  </si>
  <si>
    <t>b30270522</t>
  </si>
  <si>
    <t>His Excellency, The Hon. Hieu Van Le AO, Governor of South Australia, and Mrs. Lan Lee pause after laying a tribute at the ceremony commemorating the centenary of the unveiling of the Australian Soldiers Dardanelles Cenotaph, Lundie Gardens, Adelaide, South Australia.</t>
  </si>
  <si>
    <t>b30270534</t>
  </si>
  <si>
    <t>Frances Bedford MP laying a tribute at the ceremony commemorating the centenary of the unveiling of the Australian Soldiers Dardanelles Cenotaph, Lundie Gardens, Adelaide, South Australia.</t>
  </si>
  <si>
    <t>Bedford, Frances Ellen, 1953-;Legislators -- South Australia;Politicians -- South Australia;War memorials -- South Australia -- Adelaide</t>
  </si>
  <si>
    <t>b30270546</t>
  </si>
  <si>
    <t>Representatives of the Royal Australian Navy, Australian Army and Royal Australian Air Force salute after laying tributes during the ceremony commemorating the centenary of the unveiling of the Australian Soldiers Dardanelles Cenotaph, Lundie Gardens, Adelaide, South Australia.</t>
  </si>
  <si>
    <t>b30270558</t>
  </si>
  <si>
    <t>Bill Denny at the ceremony commemorating the centenary of the unveiling of the Australian Soldiers Dardanelles Cenotaph, Lundie Gardens, Adelaide, South Australia.</t>
  </si>
  <si>
    <t>b3027056x</t>
  </si>
  <si>
    <t>b30270571</t>
  </si>
  <si>
    <t>At the ceremony commemorating the centenary of the unveiling of the Australian Soldiers Dardanelles Cenotaph, Lundie Gardens, Adelaide, South Australia.</t>
  </si>
  <si>
    <t>b30270583</t>
  </si>
  <si>
    <t>Mrs Le, wife of His Excellency, The Hon. Hieu Van Le AO, Governor of South Australia, planting a tree to mark the centenary of the unveiling of the Australian Soldiers Dardanelles Cenotaph, Lundie Gardens, Adelaide, South Australia.</t>
  </si>
  <si>
    <t>Le, Lan, 1957-;Tree planting -- South Australia -- Adelaide;War memorials -- South Australia -- Adelaide</t>
  </si>
  <si>
    <t>b30270595</t>
  </si>
  <si>
    <t>b30270601</t>
  </si>
  <si>
    <t>Photographers gather to photograph Mrs Le, wife of His Excellency, The Hon. Hieu Van Le AO, Governor of South Australia, after she planted a tree to mark the centenary of the unveiling of the Australian Soldiers Dardanelles Cenotaph, Lundie Gardens, Adelaide, South Australia.</t>
  </si>
  <si>
    <t>Le, Lan, 1957-;Photographers -- South Australia -- Adelaide;Tree planting -- South Australia -- Adelaide;War memorials -- South Australia -- Adelaide</t>
  </si>
  <si>
    <t>b30270613</t>
  </si>
  <si>
    <t>At the ceremony to mark the centenary of the unveiling of the Australian Soldiers Dardanelles Cenotaph, Lundie Gardens, Adelaide, South Australia.</t>
  </si>
  <si>
    <t>b30270625</t>
  </si>
  <si>
    <t>After the ceremony to mark the centenary of the unveiling of the Australian Soldiers Dardanelles Cenotaph, Lundie Gardens, Adelaide, South Australia.</t>
  </si>
  <si>
    <t>b30270637</t>
  </si>
  <si>
    <t>b31303365</t>
  </si>
  <si>
    <t>Disability Pride Parade</t>
  </si>
  <si>
    <t>2016 December 2</t>
  </si>
  <si>
    <t>1 photograph : colour;still image sti rdacontent;computer c rdamedia;online resource cr rdacarrier;image file TIFF 3840 x 5760 pixels rda</t>
  </si>
  <si>
    <t>Disability rights activist Nick Schumi wearing a 'Dignity for Disability' T-shirt at Parliament House, North Terrace, Adelaide, prior to the 2016 Disability Pride Parade.</t>
  </si>
  <si>
    <t>Schumi, Nick;People with disabilities -- South Australia -- Adelaide;People with disabilities -- South Australia</t>
  </si>
  <si>
    <t>b31303389</t>
  </si>
  <si>
    <t>Kelly Vincent MLC entertaining Charlotte Mann in a pram at Parliament House, North Terrace, Adelaide, prior to the 2016 Disability Pride Parade. Ryan Mann is beside the pram and Jennifer Mann is standing behind. Lord Mayor Martin Haese is partially turned away from the camera talking with a young woman.</t>
  </si>
  <si>
    <t>Vincent, Kelly, 1988-;Haese, Martin Kinnear, 1965-;Mann, Charlotte;Mann, Jennifer;Mann, Ryan;People with disabilities -- South Australia -- Adelaide;People with disabilities -- South Australia</t>
  </si>
  <si>
    <t>b3130347x</t>
  </si>
  <si>
    <t>Kelly Vincent MLC (right) with Ryan Mann holding Charlotte Mann and Jennifer Mann at Parliament House, North Terrace, Adelaide, before the 2016 Disability Pride Parade.</t>
  </si>
  <si>
    <t>Mann, Charlotte;Mann, Jennifer;Mann, Ryan;Vincent, Kelly, 1988-;People with disabilities -- South Australia -- Adelaide;People with disabilities -- South Australia</t>
  </si>
  <si>
    <t>b31303481</t>
  </si>
  <si>
    <t>Disability advocate, Tiffany Littler at Parliament House, North Terrace, Adelaide, before the 2016 Disability Pride Parade.</t>
  </si>
  <si>
    <t>Littler, Tiffany;People with disabilities -- South Australia -- Adelaide;People with disabilities -- South Australia</t>
  </si>
  <si>
    <t>b31303493</t>
  </si>
  <si>
    <t>Phillip Beddall at Parliament House, North Terrace, Adelaide, before the 2016 Disability Pride Parade.</t>
  </si>
  <si>
    <t>Beddall, Phillip;People with disabilities -- South Australia -- Adelaide;People with disabilities -- South Australia</t>
  </si>
  <si>
    <t>b3130350x</t>
  </si>
  <si>
    <t>1 photograph : colour;still image sti rdacontent;computer c rdamedia;online resource cr rdacarrier;image file TIFF 3729 x 5449 pixels rda</t>
  </si>
  <si>
    <t>Disability rights advocate Esther Simbi with Lord Mayor, Martin Haese, at Parliament House, North Terrace, Adelaide, before the 2016 Disability Pride Parade.</t>
  </si>
  <si>
    <t>Haese, Martin Kinnear, 1965-;Simbi, Esther;People with disabilities -- South Australia -- Adelaide;People with disabilities -- South Australia</t>
  </si>
  <si>
    <t>b31303523</t>
  </si>
  <si>
    <t>Cucu Saidah at Parliament House, North Terrace, Adelaide, before the 2016 Disability Pride Parade.</t>
  </si>
  <si>
    <t>Saidah, Cucu;People with disabilities -- South Australia -- Adelaide;People with disabilities -- South Australia</t>
  </si>
  <si>
    <t>b31303535</t>
  </si>
  <si>
    <t>Cathi Tucker at Parliament House, North Terrace, Adelaide, before the 2016 Disability Pride Parade.</t>
  </si>
  <si>
    <t>Tucker, Cathi;People with disabilities -- South Australia -- Adelaide;People with disabilities -- South Australia</t>
  </si>
  <si>
    <t>b31303547</t>
  </si>
  <si>
    <t>Photographer Fernando M. Gon├ºalves photographing participants at Parliament House, North Terrace, Adelaide, before the 2016 Disability Pride Parade. L-R: Kelly Vincent MLC, Cucu Saidah, and Faisal Rusdi.</t>
  </si>
  <si>
    <t>Gon├ºalves, Fernando M.;Vincent, Kelly, 1988-;Rusdi, Faisal;Saidah, Cucu;People with disabilities -- South Australia -- Adelaide;People with disabilities -- South Australia;Photographers -- South Australia -- Adelaide</t>
  </si>
  <si>
    <t>b31303559</t>
  </si>
  <si>
    <t>Duncan McFetridge MP, Shadow Minister for Disabilities, stands beside Phillip Beddall at Parliament House, North Terrace, Adelaide, before the 2016 Disability Pride Parade.</t>
  </si>
  <si>
    <t>Beddall, Phillip;McFetridge, Duncan;People with disabilities -- South Australia -- Adelaide;People with disabilities -- South Australia</t>
  </si>
  <si>
    <t>b31303572</t>
  </si>
  <si>
    <t>Participants listening to Cathi Tucker speaking at Parliament House, North Terrace, Adelaide, before the 2016 Disability Pride Parade.</t>
  </si>
  <si>
    <t>Beddall, Phillip;Saidah, Cucu;Schumi, Nick;Simbi, Esther;Tucker, Cathi;People with disabilities -- South Australia -- Adelaide;People with disabilities -- South Australia</t>
  </si>
  <si>
    <t>b31303584</t>
  </si>
  <si>
    <t>1 photograph : colour;still image sti rdacontent;computer c rdamedia;online resource cr rdacarrier;image file TIFF 3722 x 5211 pixels rda</t>
  </si>
  <si>
    <t>At Parliament House, North Terrace, Adelaide, Cathi Tucker holds the microphone while Kelly Vincent MLC sings before the 2016 Disability Pride Parade. In the background Lord Mayor, Martin Haese, is talking with Mark Parnell MLC.</t>
  </si>
  <si>
    <t>Vincent, Kelly, 1988-;Haese, Martin Kinnear, 1965-;Tucker, Cathi;Parnell, Mark;People with disabilities -- South Australia -- Adelaide;People with disabilities -- South Australia</t>
  </si>
  <si>
    <t>b31303596</t>
  </si>
  <si>
    <t>At Parliament House, North Terrace, Adelaide, Lord Mayor, Martin Haese, addresses participants before the 2016 Disability Pride Parade.</t>
  </si>
  <si>
    <t>Vincent, Kelly, 1988-;Haese, Martin Kinnear, 1965-;Saidah, Cucu;Simbi, Esther;Schumi, Nick;Beddall, Phillip;People with disabilities -- South Australia -- Adelaide;People with disabilities -- South Australia</t>
  </si>
  <si>
    <t>b31303602</t>
  </si>
  <si>
    <t>1 photograph : colour;still image sti rdacontent;computer c rdamedia;online resource cr rdacarrier;image file TIFF 5760 x 3840 pixels rda</t>
  </si>
  <si>
    <t>Disability activist, Esther Simbi, addresses participants at Parliament House, Adelaide, before the 2016 Disability Pride Parade.</t>
  </si>
  <si>
    <t>Simbi, Esther;Schumi, Nick;Mann, Ryan;Beddall, Phillip;People with disabilities -- South Australia -- Adelaide;People with disabilities -- South Australia</t>
  </si>
  <si>
    <t>b31303626</t>
  </si>
  <si>
    <t>Kelly Vincent MLC addressing participants at Parliament House, Adelaide, before the 2016 Disability Pride Parade.</t>
  </si>
  <si>
    <t>Vincent, Kelly, 1988-;Simbi, Esther;Schumi, Nick;Mann, Ryan;Beddall, Phillip;People with disabilities -- South Australia -- Adelaide;People with disabilities -- South Australia</t>
  </si>
  <si>
    <t>b31303638</t>
  </si>
  <si>
    <t>Lord Mayor, Martin Haese, leading the way as participants make their way along North Terrace toward the start of the 2016 Disability Pride Parade. Disability activist Jo Blessing is in the centre of the photograph.</t>
  </si>
  <si>
    <t>Haese, Martin Kinnear, 1965-;Blesing, Jo;Beddall, Phillip;People with disabilities -- South Australia -- Adelaide;People with disabilities -- South Australia</t>
  </si>
  <si>
    <t>b3130364x</t>
  </si>
  <si>
    <t>Disability activists, Quentin Kenihan and Nick Schumi lead the way as participants make their way across the North Terrace and King William Street intersection at the start of the 2016 Disability Pride Parade. Parliament House is in the background.</t>
  </si>
  <si>
    <t>Schumi, Nick;Kenihan, Quentin, 1975-;Parades -- South Australia -- Adelaide;People with disabilities -- South Australia -- Adelaide;People with disabilities -- South Australia</t>
  </si>
  <si>
    <t>b31303651</t>
  </si>
  <si>
    <t>Tiffany Littler with a sign that says 'Disability is Diversity' in the 2016 Adelaide Disability Pride Parade.</t>
  </si>
  <si>
    <t>b31303675</t>
  </si>
  <si>
    <t>Ryan Mann has Charlotte on his knee while Jennifer Mann talks with him while pushing the empty pram along King William Street during Disability Pride Parade, Adelaide. Jo Blesing is behind.</t>
  </si>
  <si>
    <t>Blesing, Jo;Mann, Charlotte;Mann, Jennifer;Mann, Ryan;People with disabilities -- South Australia -- Adelaide;People with disabilities -- South Australia</t>
  </si>
  <si>
    <t>b31303699</t>
  </si>
  <si>
    <t>Disability activist, Jo Blesing, in the Adelaide 2016 Disability Pride Parade. Photographer, Fernando M. Gon├ºalves is to the right of the photo.</t>
  </si>
  <si>
    <t>Blesing, Jo;Gon├ºalves, Fernando M.;People with disabilities -- South Australia -- Adelaide;People with disabilities -- South Australia;Photographers -- South Australia</t>
  </si>
  <si>
    <t>b31303717</t>
  </si>
  <si>
    <t>2016 Disability Pride Parade, King William Street, Adelaide.</t>
  </si>
  <si>
    <t>People with disabilities -- South Australia -- Adelaide;People with disabilities -- South Australia</t>
  </si>
  <si>
    <t>b31303730</t>
  </si>
  <si>
    <t>Disability Pride Parade, King William Street, Adelaide.</t>
  </si>
  <si>
    <t>Beddall, Phillip;Parades -- South Australia -- Adelaide;People with disabilities -- South Australia -- Adelaide;People with disabilities -- South Australia;Television camera operators -- South Australia -- Adelaide</t>
  </si>
  <si>
    <t>b31303742</t>
  </si>
  <si>
    <t>Kenihan, Quentin, 1975-;People with disabilities -- South Australia -- Adelaide;People with disabilities -- South Australia;Television camera operators -- South Australia -- Adelaide</t>
  </si>
  <si>
    <t>b31303754</t>
  </si>
  <si>
    <t>b31303766</t>
  </si>
  <si>
    <t>Parades -- South Australia -- Adelaide;People with disabilities -- South Australia -- Adelaide;People with disabilities -- South Australia</t>
  </si>
  <si>
    <t>b31303778</t>
  </si>
  <si>
    <t>Disability Pride Parade, King William Street, Adelaide. The Lord Mayor, Martin Haese, is walking beside Cucu Saidah who is carring a sign that says 'Disability is Beautiful'.</t>
  </si>
  <si>
    <t>Blesing, Jo;Haese, Martin Kinnear, 1965-;Saidah, Cucu;Simbi, Esther;People with disabilities -- South Australia -- Adelaide;People with disabilities -- South Australia;Television camera operators -- South Australia -- Adelaide</t>
  </si>
  <si>
    <t>b3130378x</t>
  </si>
  <si>
    <t>Kelly Vincent MLC and Quentin Kenihan signal to the camera at the end of the 2016 Adelaide Disability Pride Parade, Victoria Square, Adelaide.</t>
  </si>
  <si>
    <t>Kenihan, Quentin, 1975-;Vincent, Kelly, 1988-;People with disabilities -- South Australia -- Adelaide;People with disabilities -- South Australia</t>
  </si>
  <si>
    <t>b3130381x</t>
  </si>
  <si>
    <t>The end of the 2016 Adelaide Disability Pride Parade, Victoria Square, Adelaide.</t>
  </si>
  <si>
    <t>Blesing, Jo;Kenihan, Quentin, 1975-;Vincent, Kelly, 1988-;People with disabilities -- South Australia -- Adelaide;People with disabilities -- South Australia</t>
  </si>
  <si>
    <t>b31303821</t>
  </si>
  <si>
    <t>At the end of the 2016 Adelaide Disability Pride Parade, Kelly Vincent MLC is interviewed for Channel 7. Photographer Fernando M. Gon├ºalves is photographing the scene.</t>
  </si>
  <si>
    <t>Gon├ºalves, Fernando M.;Vincent, Kelly, 1988-;Channel 7 (Television station : Adelaide, S.A.);People with disabilities -- South Australia -- Adelaide;People with disabilities -- South Australia;Photographers -- South Australia, Adelaide;Television camera operators -- South Australia -- Adelaide</t>
  </si>
  <si>
    <t>b31303833</t>
  </si>
  <si>
    <t>At the end of the 2016 Adelaide Disability Pride Parade, Kelly Vincent MLC and disability activist Quentin Kenihan are interviewed for Channel 7.</t>
  </si>
  <si>
    <t>Vincent, Kelly, 1988-;Kenihan, Quentin, 1975-;Channel 7 (Television station : Adelaide, S.A.);People with disabilities -- South Australia -- Adelaide;People with disabilities -- South Australia;Television camera operators -- South Australia -- Adelaide</t>
  </si>
  <si>
    <t>b31303857</t>
  </si>
  <si>
    <t>Government House entrance</t>
  </si>
  <si>
    <t>Christmas decorations on the entrance gates to Government House, Adelaide. The Jacaranda is in flower and a Protective Security car is parked near the guard house.</t>
  </si>
  <si>
    <t>Government House (Adelaide, S.A.)</t>
  </si>
  <si>
    <t>b31144433</t>
  </si>
  <si>
    <t>Gunn, Lynne, photographer</t>
  </si>
  <si>
    <t>Headstone of Wagner 'An Aboriginee'</t>
  </si>
  <si>
    <t>2016 February 21</t>
  </si>
  <si>
    <t>1 photograph : colour;still image sti rdacontent;computer c rdamedia;online resource cr rdacarrier;image file TIFF 5472 x 3648 pixels rda</t>
  </si>
  <si>
    <t>Headstone 'In memoriam of Wagner an Aboriginee everybody's friend'.</t>
  </si>
  <si>
    <t>Wagner;Sepulchral monuments -- South Australia -- Victor Harbor;Cemeteries -- South Australia -- Victor Harbor</t>
  </si>
  <si>
    <t>b31144470</t>
  </si>
  <si>
    <t>Headstone of Ephriam Tripp</t>
  </si>
  <si>
    <t>Headstone 'In memoriam Ephriam Tripp'. South Australian Births Deaths and Marriages Register's Death Index lists the spelling as Ephraim.</t>
  </si>
  <si>
    <t>Tripp, Ephraim;Sepulchral monuments -- South Australia -- Victor Harbor;Cemeteries -- South Australia -- Victor Harbor</t>
  </si>
  <si>
    <t>b31144494</t>
  </si>
  <si>
    <t>Headstone of Sarah Last</t>
  </si>
  <si>
    <t>Headstone of Sarah Last nee Boggis, Victor Harbor Cemetery.</t>
  </si>
  <si>
    <t>Last, Sarah, 1834-1871;Sepulchral monuments -- South Australia -- Victor Harbor;Cemeteries -- South Australia -- Victor Harbor</t>
  </si>
  <si>
    <t>b31144524</t>
  </si>
  <si>
    <t>Headstones at Victor Harbor Cemetery</t>
  </si>
  <si>
    <t>Headstones of Wagner, Ephriam Tripp and Sarah Last at Victor Harbor Cemetery. South Australian Births Deaths and Marriages Register's Death Index lists the spelling as Ephraim.</t>
  </si>
  <si>
    <t>Last, Sarah, 1834-1871;Tripp, Ephraim;Sepulchral monuments -- South Australia -- Victor Harbor;Cemeteries -- South Australia -- Victor Harbor</t>
  </si>
  <si>
    <t>b3114455x</t>
  </si>
  <si>
    <t>View of Victor Harbor Cemetery with headstones of Wagner, Ephriam Tripp and Sarah Last in the distance. South Australian Births Deaths and Marriages Register's Death Index lists the spelling as Ephraim.</t>
  </si>
  <si>
    <t>b31138767</t>
  </si>
  <si>
    <t>Pink fire truck</t>
  </si>
  <si>
    <t>2016 January 21</t>
  </si>
  <si>
    <t>Australia's first fully operational pink fire truck, appliance 203, attending an incident near the corner of North Terrace and Gawler Place. The pink Combination Aerial Pumping Appliance (CAPA) was in aid of the Mother's Day Classic event on 8 May 2016.</t>
  </si>
  <si>
    <t>South Australian Metropolitan Fire Service;Mothers Day Classic (Adelaide, S.A.);Fire engines -- South Australia -- Adelaide</t>
  </si>
  <si>
    <t>b31138780</t>
  </si>
  <si>
    <t>b31149108</t>
  </si>
  <si>
    <t>2016 March 21</t>
  </si>
  <si>
    <t>1 photograph : colour;still image sti rdacontent;computer c rdamedia;online resource cr rdacarrier;image file TIFF 11148 x 3730 pixels rda</t>
  </si>
  <si>
    <t>View across the Torrens Lake from King William Road toward the Torrens Footbridge and the Adelaide Convention Centre.</t>
  </si>
  <si>
    <t>b31145292</t>
  </si>
  <si>
    <t>"Let us be up and doing" public art piece</t>
  </si>
  <si>
    <t>2016 March 7</t>
  </si>
  <si>
    <t>1 photograph : colour;still image sti rdacontent;computer c rdamedia;online resource cr rdacarrier;image file TIFF 3944 x 3840 pixels rda</t>
  </si>
  <si>
    <t>Melissa Bailey opening "Let us be up and doing", a public art piece celebrating South Australia's history of women in government, on the pillars of Parliament House. Standing to her right are the Hon. Jing Lee MLC and the Hon. Steph Key MP.</t>
  </si>
  <si>
    <t>Bailey, Melissa;Lee, Jing;Key, Stephanie Wendy, 1954-;Parliament House (Adelaide, S.A.);Politicians -- South Australia -- Adelaide</t>
  </si>
  <si>
    <t>b31145309</t>
  </si>
  <si>
    <t>1 photograph : colour;still image sti rdacontent;computer c rdamedia;online resource cr rdacarrier;image file TIFF 5504 x 3840 pixels rda</t>
  </si>
  <si>
    <t>Melissa Bailey opening "Let us be up and doing", a public art piece on the pillars of Parliament House celebrating South Australia's history of women in government.</t>
  </si>
  <si>
    <t>Bailey, Melissa;Parliament House (Adelaide, S.A.);Politicians -- South Australia -- Adelaide</t>
  </si>
  <si>
    <t>b31145310</t>
  </si>
  <si>
    <t>1 photograph : colour;still image sti rdacontent;computer c rdamedia;online resource cr rdacarrier;image file TIFF 3840 x 3840 pixels rda</t>
  </si>
  <si>
    <t>The Hon. Jing Lee MLC addressing the audience attending the opening of "Let us be up and doing", a public art piece celebrating South Australia's history of women in government, on the pillars of Parliament House. Standing to her right are Melissa Bailey and the Hon. Steph Key MP.</t>
  </si>
  <si>
    <t>b31145322</t>
  </si>
  <si>
    <t>Photographer Jennie Groom being photographed while addressing the audience attending the opening of "Let us be up and doing", a public art piece celebrating South Australia's history of women in government, on the pillars of Parliament House. Standing to her right are Melissa Bailey, the Hon. Jing Lee MLC, and the Hon. Steph Key MP.</t>
  </si>
  <si>
    <t>Bailey, Melissa;Groom, Jennie;Key, Stephanie Wendy, 1954-;Lee, Jing;Parliament House (Adelaide, S.A.);Politicians -- South Australia -- Adelaide</t>
  </si>
  <si>
    <t>b31145334</t>
  </si>
  <si>
    <t>1 photograph : colour;still image sti rdacontent;computer c rdamedia;online resource cr rdacarrier;image file TIFF 5488 x 3642 pixels rda</t>
  </si>
  <si>
    <t>Photographer Jennie Groom addressing the audience attending the opening of "Let us be up and doing", a public art piece celebrating South Australia's history of women in government, on the pillars of Parliament House. Standing to her right are Melissa Bailey, the Hon. Jing Lee MLC, and the Hon. Steph Key MP.</t>
  </si>
  <si>
    <t>b31145346</t>
  </si>
  <si>
    <t>Photographer Jennie Groom addressing the audience attending the opening of "Let us be up and doing", a public art piece celebrating South Australia's history of women in government, on the pillars of Parliament House. Standing behind her left to right are Melissa Bailey, the Hon. Jing Lee MLC, and the Hon. Steph Key MP.</t>
  </si>
  <si>
    <t>b31145358</t>
  </si>
  <si>
    <t>Following the opening by Melissa Bailey of "Let us be up and doing", a public art piece celebrating South Australia's history of women in government, the Hon. Jay Weatherill MP, Premier of South Australia, stands with women who participated in the project. Photographer Jennie Groom is at the back.</t>
  </si>
  <si>
    <t>Bailey, Melissa;Byrne, Molly, 1928-;Crowley, Rosemary;Gago, Gail;Groom, Jennie;Harvey, Elizabeth;Key, Stephanie Wendy, 1954-;Lee, Jing;Levy, Anne, 1934-;Lewis, Felicity-Ann;Stott Despoja, Natasha, 1969-;Weatherill, Jay.;Parliament House (Adelaide, S.A.);Politicians -- South Australia -- Adelaide</t>
  </si>
  <si>
    <t>b3114536x</t>
  </si>
  <si>
    <t>Following the opening of "Let us be up and doing", a public art piece celebrating South Australia's history of women in government, Natasha Stott Despoja stands next to her photograph on a pillar of Parliament House, Adelaide.</t>
  </si>
  <si>
    <t>Stott Despoja, Natasha, 1969-;Parliament House (Adelaide, S.A.);Politicians -- South Australia -- Adelaide</t>
  </si>
  <si>
    <t>b31145371</t>
  </si>
  <si>
    <t>1 photograph : colour;still image sti rdacontent;computer c rdamedia;online resource cr rdacarrier;image file TIFF 3712 x 5683 pixels rda</t>
  </si>
  <si>
    <t>The Hon. Kelly Vincent MLC in front of Parliament House, Adelaide, following the opening of "Let us be up and doing", a public art piece celebrating South Australia's history of women in government.</t>
  </si>
  <si>
    <t>Vincent, Kelly, 1988-;Parliament House (Adelaide, S.A.);Politicians -- South Australia -- Adelaide</t>
  </si>
  <si>
    <t>b31145383</t>
  </si>
  <si>
    <t>The Hon. Jay Weatherill, Premier of South Australia, with Melissa Bailey (left) and Jennie Groom, following the opening of "Let us be up and doing", a public art piece celebrating South Australia's history of women in government.</t>
  </si>
  <si>
    <t>Bailey, Melissa;Groom, Jennie;Weatherill, Jay;Parliament House (Adelaide, S.A.);Politicians -- South Australia -- Adelaide</t>
  </si>
  <si>
    <t>b3114570x</t>
  </si>
  <si>
    <t>1 photograph : colour;still image sti rdacontent;computer c rdamedia;online resource cr rdacarrier;image file TIFF 3768 x 3768 pixels rda</t>
  </si>
  <si>
    <t>South Australian women politicians in front of Parliament House following the opening by Melissa Bailey of "Let us be up and doing", a public art piece celebrating South Australia's history of women in government.</t>
  </si>
  <si>
    <t>Byrne, Molly, 1928-;Digance, Annabel;Gago, Gail;Groom, Jennie;Key, Stephanie Wendy, 1954-;Vincent, Kelly, 1988-;Parliament House (Adelaide, S.A.);Politicians -- South Australia -- Adelaide</t>
  </si>
  <si>
    <t>b31342280</t>
  </si>
  <si>
    <t>Crowd at the No Dumps Anti-Nuclear Waste Rally in Adelaide</t>
  </si>
  <si>
    <t>2016 October 15</t>
  </si>
  <si>
    <t>1 photograph : black and white;still image sti rdacontent;computer c rdamedia;online resource cr rdacarrier;image file JPEG 4608 x 3072 pixels rda</t>
  </si>
  <si>
    <t>Crowd of protesters outside Parliament House in Adelaide, during a rally protesting the proposal by the South Australian and Federal governments to create a national disposal facility for nuclear waste in South Australia. The rally was part of a National Day of Action against the proposed nuclear waste storage and disposal program.</t>
  </si>
  <si>
    <t>Protest movements -- South Australia -- Adelaide;Demonstrations -- South Australia -- Adelaide;Antinuclear movement -- South Australia;Nuclear energy -- Political aspects -- South Australia;Nuclear energy -- Environmental aspects -- South Australia;Nuclear energy -- Moral and ethical aspects -- South Australia;Radioactive waste repositories -- South Australia;Radioactive waste disposal in the ground -- South Australia</t>
  </si>
  <si>
    <t>Adelaide Collection;Flickr Collection</t>
  </si>
  <si>
    <t>b31342310</t>
  </si>
  <si>
    <t>Women speaking at the No Dumps Anti-Nuclear Waste Rally in Adelaide</t>
  </si>
  <si>
    <t>A woman speaking to the crowd at a rally protesting the proposal by the South Australian and Federal governments to create a national disposal facility for nuclear waste in South Australia. The rally was part of a National Day of Action against the proposed nuclear waste storage and disposal program, and was held at Parliament House in Adelaide.</t>
  </si>
  <si>
    <t>Protest movements -- South Australia -- Adelaide;Demonstrations -- South Australia -- Adelaide;Antinuclear movement -- South Australia;Nuclear energy -- Environmental aspects -- South Australia;Nuclear energy -- Moral and ethical aspects -- South Australia;Nuclear energy -- Political aspects -- South Australia;Radioactive waste repositories -- South Australia;Radioactive waste disposal in the ground -- South Australia</t>
  </si>
  <si>
    <t>b31356035</t>
  </si>
  <si>
    <t>Joe Szakacs speaking at the No Dumps Anti-Nuclear Waste Rally in Adelaide</t>
  </si>
  <si>
    <t>1 photograph : black and white;still image sti rdacontent;computer c rdamedia;online resource cr rdacarrier;image file JPEG 4608 x 3456 pixels rda</t>
  </si>
  <si>
    <t>Secretary of SA Unions, Joe Szakacs, speaking to the crowd at a rally protesting the proposal, by the South Australian and Federal governments, to create a national disposal facility for nuclear waste in South Australia. The rally was part of a National Day of Action against the proposed nuclear waste storage and disposal program, and was held at Parliament House in Adelaide.</t>
  </si>
  <si>
    <t>Szakacs, Joe;Protest movements -- South Australia -- Adelaide;Demonstrations -- South Australia -- Adelaide;Antinuclear movement -- South Australia;Nuclear energy -- Environmental aspects -- South Australia;Nuclear energy -- Moral and ethical aspects -- South Australia;Nuclear energy -- Political aspects -- South Australia;Radioactive waste repositories -- South Australia;Radioactive waste disposal in the ground -- South Australia</t>
  </si>
  <si>
    <t>b31272708</t>
  </si>
  <si>
    <t>Bfriend at Pride March Adelaide</t>
  </si>
  <si>
    <t>2016 October 22</t>
  </si>
  <si>
    <t>Supporters of Uniting Communities Bfriend Project at Light Square before Pride March Adelaide.</t>
  </si>
  <si>
    <t>Bfriend Project (Adelaide, S.A.);Uniting Communities (Adelaide, S.A.);Gay pride celebrations -- South Australia -- Adelaide;Gay pride parades -- South Australia -- Adelaide</t>
  </si>
  <si>
    <t>b3127271x</t>
  </si>
  <si>
    <t>Pride March Adelaide</t>
  </si>
  <si>
    <t>The front of Pride March Adelaide prior to setting off from Light Square to move south on Morphett Street, Adelaide. Marshalls are Helen Bock (left) and Margie Fischer.</t>
  </si>
  <si>
    <t>Bock, Helen, 1956-;Fischer, Margaret, 1952-;Uniting Communities (Adelaide, S.A.);Gay pride celebrations -- South Australia -- Adelaide;Gay pride parades -- South Australia -- Adelaide;Police vehicles -- South Australia -- Adelaide;Police -- South Australia -- Adelaide</t>
  </si>
  <si>
    <t>b31272745</t>
  </si>
  <si>
    <t>Gertrude Glossip at Pride March Adelaide</t>
  </si>
  <si>
    <t>Dr. Gertrude Glossip PhD (Formal Drapery, Curtain University), the alter ego of Will Sergeant, on Morphett Street, Adelaide, during Pride March.</t>
  </si>
  <si>
    <t>Glossip, Gertrude;Sergeant, Will, (William), 1950-;Gay pride celebrations -- South Australia -- Adelaide;Gay pride parades -- South Australia -- Adelaide</t>
  </si>
  <si>
    <t>b31272769</t>
  </si>
  <si>
    <t>Cathy Bell (left) and Helena Young at Light Square before Pride March Adelaide.</t>
  </si>
  <si>
    <t>Young, Helena, 1971-;Bell, Catherine Terese, 1975-;Gay pride celebrations -- South Australia -- Adelaide;Gay pride parades -- South Australia -- Adelaide</t>
  </si>
  <si>
    <t>b31272885</t>
  </si>
  <si>
    <t>Jodi Brabon, Lillian Squire, Mergho Ray, and Anthea Smith at Light Square, Adelaide, prior to the Pride March.</t>
  </si>
  <si>
    <t>Brabon, Jodi;Ray, Mergho;Smith, Anthea, 1948-;Squire, Lillian;Gay pride celebrations -- South Australia -- Adelaide;Gay pride parades -- South Australia -- Adelaide</t>
  </si>
  <si>
    <t>b31272903</t>
  </si>
  <si>
    <t>'Dykes on Bikes' lead the Pride March on Morphett Street, Adelaide.</t>
  </si>
  <si>
    <t>Gay pride celebrations -- South Australia -- Adelaide;Gay pride parades -- South Australia -- Adelaide;Lesbians -- South Australia -- Adelaide;Motorcycles -- South Australia -- Adelaide</t>
  </si>
  <si>
    <t>b31272940</t>
  </si>
  <si>
    <t>Dr. Gertrude Glossip PhD (Formal Drapery, Curtain University), the alter ego of Will Sergeant, is interviewed on Gouger Street, Adelaide, during Pride March.</t>
  </si>
  <si>
    <t>b31272952</t>
  </si>
  <si>
    <t>Andrew Birtwistle-Smith on Gouger Street, Adelaide, during Pride March.</t>
  </si>
  <si>
    <t>Birtwistle-Smith, Andrew, 1972-;Gay pride celebrations -- South Australia -- Adelaide;Gay pride parades -- South Australia -- Adelaide</t>
  </si>
  <si>
    <t>b31272964</t>
  </si>
  <si>
    <t>The Pride March Adelaide banner on Gouger Street, Adelaide, during Pride March.</t>
  </si>
  <si>
    <t>Banners -- South Australia -- Adelaide;Gay pride celebrations -- South Australia -- Adelaide;Gay pride parades -- South Australia -- Adelaide</t>
  </si>
  <si>
    <t>b31272976</t>
  </si>
  <si>
    <t>First Australians at Pride March Adelaide</t>
  </si>
  <si>
    <t>1 photograph : colour;still image sti rdacontent;computer c rdamedia;online resource cr rdacarrier;image file TIFF 4384 x 3456 pixels rda</t>
  </si>
  <si>
    <t>First Australians supporting Pride March on Gouger Street, Adelaide.</t>
  </si>
  <si>
    <t>b31272988</t>
  </si>
  <si>
    <t>SA Metropolitan Fire Service at Pride March Adelaide</t>
  </si>
  <si>
    <t>South Australian Metropolitan Fire Service truck participating in the Pride March.</t>
  </si>
  <si>
    <t>South Australian Metropolitan Fire Service;Fire engines -- South Australia -- Adelaide;Gay pride celebrations -- South Australia -- Adelaide;Gay pride parades -- South Australia -- Adelaide</t>
  </si>
  <si>
    <t>b3127299x</t>
  </si>
  <si>
    <t>Pink Parents, Pride March Adelaide</t>
  </si>
  <si>
    <t>Pink Parents participating in the Pride March.</t>
  </si>
  <si>
    <t>Pink Parents;Banners -- South Australia -- Adelaide;Gay pride celebrations -- South Australia -- Adelaide;Gay pride parades -- South Australia -- Adelaide</t>
  </si>
  <si>
    <t>b31273014</t>
  </si>
  <si>
    <t>Catalyst Foundation, Pride March Adelaide</t>
  </si>
  <si>
    <t>Catalyst Foundation participating in the Pride March.</t>
  </si>
  <si>
    <t>Catalyst Foundation;Banners -- South Australia -- Adelaide;Gay pride celebrations -- South Australia -- Adelaide;Gay pride parades -- South Australia -- Adelaide</t>
  </si>
  <si>
    <t>b31273026</t>
  </si>
  <si>
    <t>Bear Men of Adelaide, Pride March Adelaide</t>
  </si>
  <si>
    <t>Bear Men of Adelaide participating in the Pride March.</t>
  </si>
  <si>
    <t>Bear Men of Adelaide;Banners -- South Australia -- Adelaide;Gay pride celebrations -- South Australia -- Adelaide;Gay pride parades -- South Australia -- Adelaide</t>
  </si>
  <si>
    <t>b31273038</t>
  </si>
  <si>
    <t>Mitchell-Smith family at Pride March Adelaide</t>
  </si>
  <si>
    <t>Terri and Jo Mitchell-Smith with their children Harrison and Madison participating in the Pride March.</t>
  </si>
  <si>
    <t>Mitchell-Smith, Harrison;Mitchell-Smith, Jo;Mitchell-Smith, Madison;Mitchell-Smith, Terri;Families -- South Australia -- Adelaide;Gay pride celebrations -- South Australia -- Adelaide;Gay pride parades -- South Australia -- Adelaide</t>
  </si>
  <si>
    <t>b31273063</t>
  </si>
  <si>
    <t>South Australian Ambulance Service, Pride March Adelaide</t>
  </si>
  <si>
    <t>South Australian Ambulance Service ambulance participating in the Pride March.</t>
  </si>
  <si>
    <t>South Australian Ambulance Service;Ambulances -- South Australia -- Adelaide;Gay pride celebrations -- South Australia -- Adelaide;Gay pride parades -- South Australia -- Adelaide</t>
  </si>
  <si>
    <t>b31273075</t>
  </si>
  <si>
    <t>Sisters of Perpetual Indulgence, Pride March Adelaide</t>
  </si>
  <si>
    <t>The Sisters of Perpetual Indulgence carrying a large rainbow flag participating in the Pride March.</t>
  </si>
  <si>
    <t>Sisters of Perpetual Indulgence;Gay pride celebrations -- South Australia -- Adelaide;Gay pride parades -- South Australia -- Adelaide</t>
  </si>
  <si>
    <t>b31273087</t>
  </si>
  <si>
    <t>Emergency Services at Pride March Adelaide</t>
  </si>
  <si>
    <t>Group photo of Police, Ambulance and Fire emergency services members in Victoria Square after the Adelaide Pride March.</t>
  </si>
  <si>
    <t>SA Ambulance Service;South Australian Metropolitan Fire Service;Police -- South Australia;Gay pride celebrations -- South Australia -- Adelaide;Gay pride parades -- South Australia -- Adelaide</t>
  </si>
  <si>
    <t>b31273099</t>
  </si>
  <si>
    <t>After Pride March Adelaide</t>
  </si>
  <si>
    <t>Group of women holding placards saying 'Black lives matter', 'Unite against LGBTIQ hate crimes', and 'Orlando 12-6-2016' in Victoria Square, Adelaide, after the Adelaide Pride March.</t>
  </si>
  <si>
    <t>Gay pride celebrations -- South Australia -- Adelaide;Gay pride parades -- South Australia -- Adelaide</t>
  </si>
  <si>
    <t>b31272307</t>
  </si>
  <si>
    <t>Signing of licence between The Libraries Board of South Australia and the Royal Geographical Society of South Australia</t>
  </si>
  <si>
    <t>2016 October 27</t>
  </si>
  <si>
    <t>Signing of licence between The Libraries Board of South Australia and the Royal Geographical Society of South Australia. Left to right Stephanie McCarthy (back to camera), Alan Smith, Director State Library, Margaret Duggan, Rod Shearing OAM, President of the Royal Geographical Society, Paul Hayes, Secretary of the Royal Geographical Society, and James Bruce AM, Chairman of The Libraries Board of South Australia (back to camera).</t>
  </si>
  <si>
    <t>Bruce, James Frederic Baines, 1957-;Duggan, Margaret;Hayes, Paul;McCarthy, Stephanie;Shearing, Roderick James, 1946-;Smith, Alan Bruce, 1956-;Libraries Board of South Australia;Royal Geographical Society of South Australia;License agreements -- South Australia -- Adelaide</t>
  </si>
  <si>
    <t>b31272332</t>
  </si>
  <si>
    <t>Signing of licence between The Libraries Board of South Australia and the Royal Geographical Society of South Australia. Left to right: James Bruce AM, Chairman of The Libraries Board of South Australia, Stephanie McCarthy, Dick Wilson, Treasurer of the Royal Geographical Society, Frances Bedford MP JP, representing the Premier, Kath Button, Group Manager Customers, State Library, Alan Smith, Director State Library, Rod Shearing OAM, President of the Royal Geographical Society, and Margaret Duggan, Royal Geographical Society office manager. Bob Clisby, Royal Geographical Society Councillor, and Paul Hayes, Secretary of the Royal Geographical Society, are seated with their backs to the camera.</t>
  </si>
  <si>
    <t>Bedford, Frances Ellen, 1953-;Bruce, James Frederic Baines, 1957-;Button, Kathleen Marie, 1959-;Clisby, Bob;Duggan, Margaret;Hayes, Paul;McCarthy, Stephanie;Shearing, Roderick James, 1946-;Smith, Alan Bruce, 1956-;Wilson, Dick;Libraries Board of South Australia;Royal Geographical Society of South Australia;License agreements -- South Australia -- Adelaide</t>
  </si>
  <si>
    <t>b31272356</t>
  </si>
  <si>
    <t>Signing of licence between The Libraries Board of South Australia and the Royal Geographical Society of South Australia. Left to right: Rod Shearing OAM, President of the Royal Geographical Society (facing away from camera), James Bruce AM, Chairman of The Libraries Board of South Australia, Stephanie McCarthy, Dick Wilson, Treasurer of the Royal Geographical Society, Frances Bedford MP JP, representing the Premier, Alan Smith, Director State Library, Kath Button, Group Manager Customers, State Library.</t>
  </si>
  <si>
    <t>Bedford, Frances Ellen, 1953-;Bruce, James Frederic Baines, 1957-;Button, Kathleen Marie, 1959-;Duggan, Margaret;McCarthy, Stephanie;Shearing, Roderick James, 1946-;Smith, Alan Bruce, 1956-;Wilson, Dick;Libraries Board of South Australia;Royal Geographical Society of South Australia;License agreements -- South Australia -- Adelaide</t>
  </si>
  <si>
    <t>b3127237x</t>
  </si>
  <si>
    <t>Signing of licence between The Libraries Board of South Australia and the Royal Geographical Society of South Australia. Left to right: Paul Hayes, Secretary of the Royal Geographical Society, Kath Button, Group Manager Customers, State Library, Rod Shearing OAM, President of the Royal Geographical Society, James Bruce AM, Chairman of The Libraries Board of South Australia, signing the licence, Alan Smith, Director State Library, Stephanie McCarthy, and Dick Wilson, Treasurer of the Royal Geographical Society.</t>
  </si>
  <si>
    <t>Bruce, James Frederic Baines, 1957-;Button, Kathleen Marie, 1959-;Hayes, Paul;McCarthy, Stephanie;Shearing, Roderick James, 1946-;Smith, Alan Bruce, 1956-;Wilson, Dick;Libraries Board of South Australia;Royal Geographical Society of South Australia;License agreements -- South Australia -- Adelaide</t>
  </si>
  <si>
    <t>b31272381</t>
  </si>
  <si>
    <t>1 photograph : colour;still image sti rdacontent;computer c rdamedia;online resource cr rdacarrier;image file TIFF 4788 x 3480 pixels rda</t>
  </si>
  <si>
    <t>Signing of licence between The Libraries Board of South Australia and the Royal Geographical Society of South Australia. Alan Smith, Director of the State Library of South Australia, witnesses the signature of James Bruce AM, Chairman of The Libraries Board of South Australia, on the licence. Paul Hayes, Secretary of the Royal Geographical Society, Rod Shearing OAM, President of the Royal Geographical Society, and James Bruce AM, are standing behind.</t>
  </si>
  <si>
    <t>Bruce, James Frederic Baines, 1957-;Hayes, Paul;Shearing, Roderick James, 1946-;Smith, Alan Bruce, 1956-;Libraries Board of South Australia;Royal Geographical Society of South Australia;License agreements -- South Australia -- Adelaide</t>
  </si>
  <si>
    <t>b3127240x</t>
  </si>
  <si>
    <t>1 photograph : colour;still image sti rdacontent;computer c rdamedia;online resource cr rdacarrier;image file TIFF 5202 x 3840 pixels rda</t>
  </si>
  <si>
    <t>Signing of licence between The Libraries Board of South Australia and the Royal Geographical Society of South Australia. Rod Shearing OAM, President of the Royal Geographical Society, signs the licence while Alan Smith, Director of the State Library of South Australia, James Bruce AM, Chairman of The Libraries Board of South Australia, Stephanie McCarthy, Dick Wilson, Treasurer of the Royal Geographical Society, and Frances Bedford MP JP look on.</t>
  </si>
  <si>
    <t>Bedford, Frances Ellen, 1953-;Bruce, James Frederic Baines, 1957-;McCarthy, Stephanie;Shearing, Roderick James, 1946-;Smith, Alan Bruce, 1956-;Wilson, Dick;Libraries Board of South Australia;Royal Geographical Society of South Australia;License agreements -- South Australia -- Adelaide</t>
  </si>
  <si>
    <t>b31272423</t>
  </si>
  <si>
    <t>1 photograph : colour;still image sti rdacontent;computer c rdamedia;online resource cr rdacarrier;image file TIFF 5586 x 3642 pixels rda</t>
  </si>
  <si>
    <t>Signing of licence between The Libraries Board of South Australia and the Royal Geographical Society of South Australia. Rod Shearing OAM, President of the Royal Geographical Society, (left) and James Bruce AM, Chairman of The Libraries Board of South Australia, (right) sign the licence while Alan Smith, Director of the State Library of South Australia, Stephanie McCarthy, Dick Wilson, Treasurer of the Royal Geographical Society, and Frances Bedford MP JP look on.</t>
  </si>
  <si>
    <t>b31272435</t>
  </si>
  <si>
    <t>1 photograph : colour;still image sti rdacontent;computer c rdamedia;online resource cr rdacarrier;image file TIFF 4848 x 3084 pixels rda</t>
  </si>
  <si>
    <t>Signing of licence between The Libraries Board of South Australia and the Royal Geographical Society of South Australia. Paul Hayes, Secretary of the Royal Geographical Society, witnesses the signature of Rod Shearing OAM, President of the Royal Geographical Society, and James Bruce AM, Chairman of The Libraries Board of South Australia, signs the licence while Rod Shearing, Alan Smith, Director of the State Library of South Australia, and Stephanie McCarthy look on.</t>
  </si>
  <si>
    <t>Bruce, James Frederic Baines, 1957-;Hayes, Paul;McCarthy, Stephanie;Shearing, Roderick James, 1946-;Smith, Alan Bruce, 1956-;Libraries Board of South Australia;Royal Geographical Society of South Australia;License agreements -- South Australia -- Adelaide</t>
  </si>
  <si>
    <t>b31272459</t>
  </si>
  <si>
    <t>1 photograph : colour;still image sti rdacontent;computer c rdamedia;online resource cr rdacarrier;image file TIFF 5280 x 3840 pixels rda</t>
  </si>
  <si>
    <t>Signing of licence between The Libraries Board of South Australia and the Royal Geographical Society of South Australia. Paul Hayes, Secretary of the Royal Geographical Society, witnesses the signature of Rod Shearing OAM, President of the Royal Geographical Society, and Alan Smith, Director of the State Library of South Australia, witnesses the signature of James Bruce AM, Chairman of The Libraries Board of South Australia, while Rod Shearing, James Bruce, Stephanie McCarthy, Dick Wilson, Treasurer of the Royal Geographical Society, and Frances Bedford MP JP look on.</t>
  </si>
  <si>
    <t>Bedford, Frances Ellen, 1953-;Bruce, James Frederic Baines, 1957-;Hayes, Paul;McCarthy, Stephanie;Shearing, Roderick James, 1946-;Smith, Alan Bruce, 1956-;Wilson, Dick;Libraries Board of South Australia;Royal Geographical Society of South Australia;License agreements -- South Australia -- Adelaide</t>
  </si>
  <si>
    <t>b31272460</t>
  </si>
  <si>
    <t>1 photograph : colour;still image sti rdacontent;computer c rdamedia;online resource cr rdacarrier;image file TIFF 3870 x 3846 pixels rda</t>
  </si>
  <si>
    <t>Signing of licence between The Libraries Board of South Australia and the Royal Geographical Society of South Australia. Rod Shearing OAM, President of the Royal Geographical Society, hands the $1.00 licence fee to James Bruce AM, Chairman of The Libraries Board of South Australia.</t>
  </si>
  <si>
    <t>Bruce, James Frederic Baines, 1957-;Shearing, Roderick James, 1946-;Libraries Board of South Australia;Royal Geographical Society of South Australia;License agreements -- South Australia -- Adelaide</t>
  </si>
  <si>
    <t>b31272484</t>
  </si>
  <si>
    <t>1 photograph : colour;still image sti rdacontent;computer c rdamedia;online resource cr rdacarrier;image file TIFF 4308 x 3840 pixels rda</t>
  </si>
  <si>
    <t>Signing of licence between The Libraries Board of South Australia and the Royal Geographical Society of South Australia. The two copies of the signed agreement with the $1.00 licence fee.</t>
  </si>
  <si>
    <t>License agreements -- South Australia -- Adelaide;Libraries Board of South Australia;Royal Geographical Society of South Australia</t>
  </si>
  <si>
    <t>b31272496</t>
  </si>
  <si>
    <t>Signing of licence between The Libraries Board of South Australia and the Royal Geographical Society of South Australia. Rod Shearing OAM, President of the Royal Geographical Society (left) and James Bruce AM, Chairman of The Libraries Board of South Australia, following the signing of the licence.</t>
  </si>
  <si>
    <t>b31272514</t>
  </si>
  <si>
    <t>1 photograph : colour;still image sti rdacontent;computer c rdamedia;online resource cr rdacarrier;image file TIFF 5112 x 3941 pixels rda</t>
  </si>
  <si>
    <t>Signing of licence between The Libraries Board of South Australia and the Royal Geographical Society of South Australia. Left to right: James Bruce AM, Chairman of The Libraries Board of South Australia, Frances Bedford MP JP, representing the Premier, Dick Wilson, Treasurer of the Royal Geographical Society,  Alan Smith, Director State Library of South Australia, Kath Button, Group Manager Customers, State Library, Bob Clisby, Royal Geographical Society Councillor, Rod Shearing OAM, President of the Royal Geographical Society, Stephanie McCarthy, Paul Hayes, Secretary of the Royal Geograhical Society and Margaret Duggan, Royal Geographical Society Office Manager.</t>
  </si>
  <si>
    <t>b31260159</t>
  </si>
  <si>
    <t>Demolition of Elizabeth House</t>
  </si>
  <si>
    <t>2016 September 22</t>
  </si>
  <si>
    <t>1 photograph : colour;still image sti rdacontent;computer c rdamedia;online resource cr rdacarrier;image file TIFF 3840 x 4376 pixels rda</t>
  </si>
  <si>
    <t>A workman wearing personal protective equipment (PPE) walks in front of a Royal Park Salvage excavator clearing debris from the site of the newly demolished Elizabeth House on North Terrace, Adelaide. The west facing wall of Security House, formerly Kelvin House, a inter-war commercial palazzo style building designed by architect, Eric H. McMichael, and built in 1926, acts as a back drop.</t>
  </si>
  <si>
    <t>Security House (Adelaide, S.A.);Building sites -- South Australia -- Adelaide;Construction and demolition debris -- South Australia -- Adelaide;Earthmoving machinery -- South Australia -- Adelaide</t>
  </si>
  <si>
    <t>b31260196</t>
  </si>
  <si>
    <t>Demolition of Elizabeth House, North Terrace, Adelaide</t>
  </si>
  <si>
    <t>1 photograph : colour;still image sti rdacontent;computer c rdamedia;online resource cr rdacarrier;image file TIFF 3840 x 4400 pixels rda</t>
  </si>
  <si>
    <t>A Royal Park Salvage excavator clears debris from the site of the newly demolished Elizabeth House on North Terrace, Adelaide. The west facing wall of Security House, formerly Kelvin House, a inter-war commercial palazzo style building designed by architect, Eric H. McMichael, and built in 1926, acts as a back drop.</t>
  </si>
  <si>
    <t>b31260202</t>
  </si>
  <si>
    <t>1 photograph : colour;still image sti rdacontent;computer c rdamedia;online resource cr rdacarrier;image file TIFF 3840 x 4475 pixels rda</t>
  </si>
  <si>
    <t>b31260214</t>
  </si>
  <si>
    <t>1 photograph : colour;still image sti rdacontent;computer c rdamedia;online resource cr rdacarrier;image file TIFF 3847 x 4760 pixels rda</t>
  </si>
  <si>
    <t>b31260226</t>
  </si>
  <si>
    <t>1 photograph : colour;still image sti rdacontent;computer c rdamedia;online resource cr rdacarrier;image file TIFF 5760 x 3848 pixels rda</t>
  </si>
  <si>
    <t>Two Royal Park Salvage excavators clear debris from the site of the newly demolished Elizabeth House at number 231 North Terrace, and the adjacent building at number 228 - 230 North Terrace, Adelaide, which housed Radio Adelaide studios on the ground floor.</t>
  </si>
  <si>
    <t>Building sites -- South Australia -- Adelaide;Construction and demolition debris -- South Australia -- Adelaide;Earthmoving machinery -- South Australia -- Adelaide</t>
  </si>
  <si>
    <t>b31260238</t>
  </si>
  <si>
    <t>1 photograph : colour;still image sti rdacontent;computer c rdamedia;online resource cr rdacarrier;image file TIFF 3840 x 4697 pixels rda</t>
  </si>
  <si>
    <t>A Royal Park Salvage excavator loads debris from the site of the newly demolished Elizabeth House on North Terrace, Adelaide, into the back of a dump truck. The west facing wall of Security House, formerly Kelvin House, a inter-war commercial palazzo style building designed by architect, Eric H. McMichael, and built in 1926, acts as a back drop.</t>
  </si>
  <si>
    <t>Security House (Adelaide, S.A.);Building sites -- South Australia -- Adelaide;Construction and demolition debris -- South Australia -- Adelaide;Earthmoving machinery -- South Australia -- Adelaide;Trucks -- South Australia -- Adelaide</t>
  </si>
  <si>
    <t>b31260263</t>
  </si>
  <si>
    <t>A Royal Park Salvage truck in the foreground as an excavator clears debris from the site of the newly demolished Elizabeth House at number 231 North Terrace, and the adjacent building at number 228 - 230 North Terrace, Adelaide, which housed Radio Adelaide studios on the ground floor.</t>
  </si>
  <si>
    <t>Building sites -- South Australia -- Adelaide;Construction and demolition debris -- South Australia -- Adelaide;Earthmoving machinery -- South Australia -- Adelaide;Trucks -- South Australia -- Adelaide</t>
  </si>
  <si>
    <t>b31260275</t>
  </si>
  <si>
    <t>1 photograph : colour;still image sti rdacontent;computer c rdamedia;online resource cr rdacarrier;image file TIFF 3840 x 4680 pixels rda</t>
  </si>
  <si>
    <t>A Royal Park Salvage excavator loads debris from the site of the newly demolished Elizabeth House at No. 231 North Terrace, and the adjacent building at No. 228 - 230 North Terrace, Adelaide, into the back of a dump truck. Radio Adelaide studios had been on the ground floor of No.228 - 230 North Terrace, Adelaide. The east facing wall behind the excavator has a sign for Crescent Printery Limited which operated in Austin Street from 1911.</t>
  </si>
  <si>
    <t>b31260287</t>
  </si>
  <si>
    <t>1 photograph : colour;still image sti rdacontent;computer c rdamedia;online resource cr rdacarrier;image file TIFF 3840 x 4746 pixels rda</t>
  </si>
  <si>
    <t>b31260299</t>
  </si>
  <si>
    <t>1 photograph : colour;still image sti rdacontent;computer c rdamedia;online resource cr rdacarrier;image file TIFF 3840 x 4764 pixels rda</t>
  </si>
  <si>
    <t>b31260548</t>
  </si>
  <si>
    <t>b3126055x</t>
  </si>
  <si>
    <t>b31260561</t>
  </si>
  <si>
    <t>1 photograph : colour;still image sti rdacontent;computer c rdamedia;online resource cr rdacarrier;image file TIFF 3840 x 4352 pixels rda</t>
  </si>
  <si>
    <t>A construction site on north east corner of Hindley Street and Blyth Street, Adelaide.</t>
  </si>
  <si>
    <t>Building sites -- South Australia -- Adelaide;BMW automobiles</t>
  </si>
  <si>
    <t>b31260573</t>
  </si>
  <si>
    <t>KFC restaurant, Hindley Street, Adelaide</t>
  </si>
  <si>
    <t>1 photograph : colour;still image sti rdacontent;computer c rdamedia;online resource cr rdacarrier;image file TIFF 3840 x 4878 pixels rda</t>
  </si>
  <si>
    <t>A KFC restaurant on north east corner of Hindley Street and Victoria Street, Adelaide.</t>
  </si>
  <si>
    <t>KFC Restaurants;Fast food restaurants -- South Australia -- Adelaide</t>
  </si>
  <si>
    <t>b31260597</t>
  </si>
  <si>
    <t>Laneway Bar, Hindley Street, Adelaide</t>
  </si>
  <si>
    <t>1 photograph : colour;still image sti rdacontent;computer c rdamedia;online resource cr rdacarrier;image file TIFF 3840 x 4590 pixels rda</t>
  </si>
  <si>
    <t>Laneway Bar at 121 Hindley Street, Adelaide.</t>
  </si>
  <si>
    <t>Bars (Drinking establishments) -- South Australia -- Adelaide</t>
  </si>
  <si>
    <t>b31260627</t>
  </si>
  <si>
    <t>1 photograph : colour;still image sti rdacontent;computer c rdamedia;online resource cr rdacarrier;image file TIFF 4758 x 3840 pixels rda</t>
  </si>
  <si>
    <t>Hindley Street, Adelaide. The Crazy Horse Revue building is undergoing renovations.</t>
  </si>
  <si>
    <t>Night clubs -- South Australia -- Adelaide</t>
  </si>
  <si>
    <t>b31260639</t>
  </si>
  <si>
    <t>1 photograph : colour;still image sti rdacontent;computer c rdamedia;online resource cr rdacarrier;image file TIFF 5310 x 3853 pixels rda</t>
  </si>
  <si>
    <t>Horus Egyptian Cafe &amp; Shisha House and the Jerusalem Sheshkabab House restaurants, Hindley Street, Adelaide.</t>
  </si>
  <si>
    <t>b31260652</t>
  </si>
  <si>
    <t>The Jerusalem Sheshkabab House restaurant, Hindley Street, Adelaide.</t>
  </si>
  <si>
    <t>b31260664</t>
  </si>
  <si>
    <t>Dog &amp; Duck hotel, Hindley Street, Adelaide</t>
  </si>
  <si>
    <t>Dog &amp; Duck hotel, 125 Hindley Street, Adelaide.</t>
  </si>
  <si>
    <t>Hotels -- South Australia -- Adelaide -- Hindley Street</t>
  </si>
  <si>
    <t>b31260676</t>
  </si>
  <si>
    <t>Hindley Street and Rosina Street, Adelaide</t>
  </si>
  <si>
    <t>1 photograph : colour;still image sti rdacontent;computer c rdamedia;online resource cr rdacarrier;image file TIFF 5760 x 3224 pixels rda</t>
  </si>
  <si>
    <t>Building at south east corner of Hindley Street and Rosina Street, Adelaide.</t>
  </si>
  <si>
    <t>b31260688</t>
  </si>
  <si>
    <t>1 photograph : colour;still image sti rdacontent;computer c rdamedia;online resource cr rdacarrier;image file TIFF 5760 x 3367 pixels rda</t>
  </si>
  <si>
    <t>The Palace "adult entertainment club" on the south west corner of Hindley Street and Rosina Street, Adelaide.</t>
  </si>
  <si>
    <t>Nightclubs -- South Australia -- Adelaide -- Hindley Street</t>
  </si>
  <si>
    <t>b31260718</t>
  </si>
  <si>
    <t>Ma's Thai Massage, Hindley Street, Adelaide</t>
  </si>
  <si>
    <t>1 photograph : colour;still image sti rdacontent;computer c rdamedia;online resource cr rdacarrier;image file TIFF 3840 x 5009 pixels rda</t>
  </si>
  <si>
    <t>Ma's Thai Massage, Hindley Street, Adelaide.</t>
  </si>
  <si>
    <t>Massage parlours -- South Australia -- Adelaide -- Hindley Street</t>
  </si>
  <si>
    <t>b31260731</t>
  </si>
  <si>
    <t>Plaza Hotel, Hindley Street, Adelaide</t>
  </si>
  <si>
    <t>1 photograph : colour;still image sti rdacontent;computer c rdamedia;online resource cr rdacarrier;image file TIFF 5760 x 3358 pixels rda</t>
  </si>
  <si>
    <t>Plaza Hotel on the south west corner of Hindley Street and Clubhouse Lane, Adelaide.</t>
  </si>
  <si>
    <t>Plaza Hotel (Adelaide, S.A.);Hotels -- South Australia -- Adelaide -- Hindley Street;Massage parlours -- South Australia -- Adelaide -- Hindley Street</t>
  </si>
  <si>
    <t>b31367070</t>
  </si>
  <si>
    <t>Dye, Kimberley, photographer</t>
  </si>
  <si>
    <t>Torrens River weir gate overflow</t>
  </si>
  <si>
    <t>2016 September 27</t>
  </si>
  <si>
    <t>1 photograph : colour, digital;DOS;still image sti rdacontent;computer c rdamedia;online resource ncr rdacarrier;image files JPEG 5760 x 3240 pixels</t>
  </si>
  <si>
    <t>Photograph taken from the Torrens River weir gate after the flooding in Adelaide 27 September 2017.</t>
  </si>
  <si>
    <t>Floods -- South Australia -- Adelaide;Torrens River (Adelaide, S.A.)</t>
  </si>
  <si>
    <t>b31913040</t>
  </si>
  <si>
    <t>Meryl Tankard and Regis Lansac</t>
  </si>
  <si>
    <t>2017 April 12</t>
  </si>
  <si>
    <t>1 photograph : colour;still image sti rdacontent;computer c rdamedia;online resource cr rdacarrier;image file TIFF 3432 x 4964 pixels rda</t>
  </si>
  <si>
    <t>Choreographer and director, Meryl Tankard with her husband, photographer, Regis Lansac, at the State Library of South Australia.</t>
  </si>
  <si>
    <t>Tankard, Meryl, 1955-;Lansac, Regis, 1947-;Choreographers -- South Australia -- Adelaide;Photographers -- South Australia -- Adelaide</t>
  </si>
  <si>
    <t>b31913052</t>
  </si>
  <si>
    <t>1 photograph : colour;still image sti rdacontent;computer c rdamedia;online resource cr rdacarrier;image file TIFF 4356 x 3841 pixels rda</t>
  </si>
  <si>
    <t>Choreographer and director, Meryl Tankard with her husband, photographer, Regis Lansac, viewing a photography exhibition in the Institute Building at the State Library of South Australia.</t>
  </si>
  <si>
    <t>b31919777</t>
  </si>
  <si>
    <t>Guide Dogs Parade</t>
  </si>
  <si>
    <t>2017 April 26</t>
  </si>
  <si>
    <t>The Band of the South Australian Police lead the International Guide Dog Day parade across the intersection of King william Street and North Terrace. The parade ended in the grounds of Government House.</t>
  </si>
  <si>
    <t>Guide Dogs Association of S.A. and N.T.;South Australian Police Band;Bandsmen -- South Australia -- Adelaide;Police -- South Australia -- Adelaide</t>
  </si>
  <si>
    <t>b31919789</t>
  </si>
  <si>
    <t>b31919790</t>
  </si>
  <si>
    <t>b31919807</t>
  </si>
  <si>
    <t>The Governor His Excellency the Honourable Hieu Van Le AC and Mrs. Lan Le at the front of the International Guide Dog Day parade as it crosses the intersection of King William Street and North Terrace. The parade ended in the grounds of Government House.</t>
  </si>
  <si>
    <t>Le, Hieu Van, 1954-;Le, Lan, 1957-;Guide Dogs Association of S.A. and N.T.;Governors -- South Australia</t>
  </si>
  <si>
    <t>b31919819</t>
  </si>
  <si>
    <t>b31919820</t>
  </si>
  <si>
    <t>b31919832</t>
  </si>
  <si>
    <t>The International Guide Dog Day parade as it crosses the intersection of King William Street and North Terrace. The parade ended in the grounds of Government House.</t>
  </si>
  <si>
    <t>Guide Dogs Association of S.A. and N.T.</t>
  </si>
  <si>
    <t>b31919844</t>
  </si>
  <si>
    <t>b31337363</t>
  </si>
  <si>
    <t>Shirley Peisley AM</t>
  </si>
  <si>
    <t>2017 February 27</t>
  </si>
  <si>
    <t>1 photograph : colour;still image sti rdacontent;computer c rdamedia;online resource cr rdacarrier;image file TIFF 3612 x 4392 pixels rda</t>
  </si>
  <si>
    <t>Shirley Peisley AM at Tandanya, Adelaide.</t>
  </si>
  <si>
    <t>Peisley, Shirley, 1941-;Women social reformers -- South Australia</t>
  </si>
  <si>
    <t>b31913088</t>
  </si>
  <si>
    <t>Laura Hill</t>
  </si>
  <si>
    <t>2017 February 3</t>
  </si>
  <si>
    <t>1 photograph : colour;still image sti rdacontent;computer c rdamedia;online resource cr rdacarrier;image file TIFF 3840 x 4448 pixels rda</t>
  </si>
  <si>
    <t>Singer / songwriter, Laura Hill, playing at the State Library of South Australia.</t>
  </si>
  <si>
    <t>Hill, Laura, 1982-;Musicians -- South Australia -- Adelaide</t>
  </si>
  <si>
    <t>b31919352</t>
  </si>
  <si>
    <t>Women's March, Adelaide</t>
  </si>
  <si>
    <t>2017 January 21</t>
  </si>
  <si>
    <t>Two women holding placards in Light Square prior to the Women's March. The march left Light Square proceeded down Currie Street and King William Street to Parliament House.</t>
  </si>
  <si>
    <t>Demonstrations -- South Australia -- Adelaide</t>
  </si>
  <si>
    <t>Light Square Collection</t>
  </si>
  <si>
    <t>b31919364</t>
  </si>
  <si>
    <t>1 photograph : colour;still image sti rdacontent;computer c rdamedia;online resource cr rdacarrier;image file TIFF 5183 x 3456 pixels rda</t>
  </si>
  <si>
    <t>Women's March participants start to move from Light Square, Adelaide. After leaving Light Square they proceeded down Currie Street and King William Street to Parliament House.</t>
  </si>
  <si>
    <t>b31919376</t>
  </si>
  <si>
    <t>Women's March participants start to move from Light Square, Adelaide. Sarah Pinkie is holding the megaphone and Ethan Joel is walking on her right. After leaving Light Square they proceeded down Currie Street and King William Street to Parliament House.</t>
  </si>
  <si>
    <t>Pinkie, Sarah, 1982-;Demonstrations -- South Australia -- Adelaide</t>
  </si>
  <si>
    <t>b31919388</t>
  </si>
  <si>
    <t>Women's March participants holding placards on Currie Street, Adelaide. After leaving Light Square they proceeded down Currie Street and King William Street to Parliament House.</t>
  </si>
  <si>
    <t>b3191939x</t>
  </si>
  <si>
    <t>b31919406</t>
  </si>
  <si>
    <t>b31919418</t>
  </si>
  <si>
    <t>b3191942x</t>
  </si>
  <si>
    <t>Women's March participants holding placards on King William Street, Adelaide. After leaving Light Square they proceeded down Currie Street and King William Street to Parliament House.</t>
  </si>
  <si>
    <t>b31919431</t>
  </si>
  <si>
    <t>b31919443</t>
  </si>
  <si>
    <t>Women's March participants on King William Street, Adelaide. After leaving Light Square they proceeded down Currie Street and King William Street to Parliament House.</t>
  </si>
  <si>
    <t>b31919455</t>
  </si>
  <si>
    <t>b31919522</t>
  </si>
  <si>
    <t>A woman addressing marchers with a megaphone from the steps of Parliament House, Adelaide, following the Women's March. Sarah Pinkie is standing behind her.</t>
  </si>
  <si>
    <t>b31919534</t>
  </si>
  <si>
    <t>Anthea Smith at Women's March, Adelaide</t>
  </si>
  <si>
    <t>Anthea Smith sitting on the steps of Parliament House, Adelaide, listening to speakers following the Women's March from Light Square.</t>
  </si>
  <si>
    <t>Smith, Anthea, 1948-;Demonstrations -- South Australia -- Adelaide</t>
  </si>
  <si>
    <t>b31919546</t>
  </si>
  <si>
    <t>A woman holds a placard that reads 'We stand with you American sisters! Equality for all #Trump hate with heart' standing on the steps of Parliament House, Adelaide, listening to speakers following the Women's March from Light Square.</t>
  </si>
  <si>
    <t>b31919558</t>
  </si>
  <si>
    <t>Sarah Pinkie at Women's March, Adelaide</t>
  </si>
  <si>
    <t>Sarah Pinkie standing on the steps of Parliament House, Adelaide, addressing marchers with a megaphone following the Women's March from Light Square.</t>
  </si>
  <si>
    <t>b3191956x</t>
  </si>
  <si>
    <t>Sarah Pinkie standing on the steps of Parliament House, Adelaide, holding a megaphone following the Women's March from Light Square.</t>
  </si>
  <si>
    <t>b31919571</t>
  </si>
  <si>
    <t>Women on the steps of Parliament House, Adelaide, applauding speakers following the Women's March from Light Square. Anthea Smith is wearing a wide brimmed cream hat.</t>
  </si>
  <si>
    <t>b31919595</t>
  </si>
  <si>
    <t>Terese Edwards at Women's March, Adelaide</t>
  </si>
  <si>
    <t>Terese Edwards standing on the steps of Parliament House, Adelaide, addressing marchers with a megaphone following the Women's March from Light Square.</t>
  </si>
  <si>
    <t>Edwards, Terese;Demonstrations -- South Australia -- Adelaide</t>
  </si>
  <si>
    <t>b31919601</t>
  </si>
  <si>
    <t>b31919613</t>
  </si>
  <si>
    <t>Sarah Pinkie with her back to the camera confers with other marchers on the steps of Parliament House, Adelaide, following the Women's March from Light Square.</t>
  </si>
  <si>
    <t>b31919625</t>
  </si>
  <si>
    <t>Zita Ngor at Women's March, Adelaide</t>
  </si>
  <si>
    <t>Women's Legal Service Chief Executive, Zita Ngor standing on the steps of Parliament House, Adelaide, addressing marchers with a megaphone following the Women's March from Light Square.</t>
  </si>
  <si>
    <t>Ngor, Zita Adut Deng;Demonstrations -- South Australia -- Adelaide</t>
  </si>
  <si>
    <t>b31919716</t>
  </si>
  <si>
    <t>A woman standing on the steps of Parliament House, Adelaide, addressing marchers with a megaphone following the Women's March from Light Square.</t>
  </si>
  <si>
    <t>b31919728</t>
  </si>
  <si>
    <t>Women standing on the steps of Parliament House, Adelaide, listening to a speaker following the Women's March from Light Square. One is holding a placard that says 'We stand with you American sisters'.</t>
  </si>
  <si>
    <t>b3191973x</t>
  </si>
  <si>
    <t>A woman standing on the steps of Parliament House, Adelaide, using a megaphone to address the marchers following the Women's March from Light Square.</t>
  </si>
  <si>
    <t>b31919741</t>
  </si>
  <si>
    <t>Assisted by Sarah Pinkie (left) a woman standing on the steps of Parliament House, Adelaide, uses a megaphone to address the marchers following the Women's March from Light Square.</t>
  </si>
  <si>
    <t>b31919753</t>
  </si>
  <si>
    <t>Following the Women's March from Light Square two women stand on the steps of Parliament House, Adelaide. One is using a megaphone to address the marchers while the other holds a red umbrella.</t>
  </si>
  <si>
    <t>b31919765</t>
  </si>
  <si>
    <t>Tanya Hunter at Adelaide Women's March</t>
  </si>
  <si>
    <t>Following the Women's March from Light Square Tanya Hunter holds the Aboriginal Flag on the steps of Parliament House, Adelaide.</t>
  </si>
  <si>
    <t>Hunter, Tanya;Demonstrations -- South Australia -- Adelaide</t>
  </si>
  <si>
    <t>b31356084</t>
  </si>
  <si>
    <t>Volunteers assembling seedling packs for new Australian citizens</t>
  </si>
  <si>
    <t>2017 January 25</t>
  </si>
  <si>
    <t>1 photograph : colour;still image sti rdacontent;computer c rdamedia;online resource cr rdacarrier;image file JPEG 3000 x 1987 pixels rda</t>
  </si>
  <si>
    <t>Members of the Playford Greening Volunteers assemble bundles of local, native seedlings, to give to each family of new Australian citizens at the Australia Day citizenship ceremony, held in Playford. The volunteers are working at the Playford Operations Centre, part of the City of Playford Council, South Australia. Names not provided.</t>
  </si>
  <si>
    <t>Volunteers -- South Australia -- Playford.;Voluntarism -- South Australia -- Playford.;Tree planting -- South Australia.;Seedlings -- South Australia.;Australia Day -- South Australia -- Playford.;Local government -- South Australia -- Playford.;Citizenship -- South Australia.</t>
  </si>
  <si>
    <t>Playford Collection;Flickr Collection</t>
  </si>
  <si>
    <t>b3135614x</t>
  </si>
  <si>
    <t>Volunteers gathering native seedlings for new Australian citizens</t>
  </si>
  <si>
    <t>Members of the Playford Greening Volunteers gathering local, native seedlings that will be given to each family of new Australian citizens at the Australia Day citizenship ceremony, held in Playford. The volunteers are working at the Playford Operations Centre, part of the City of Playford Council, South Australia. Names not provided.</t>
  </si>
  <si>
    <t>b31913064</t>
  </si>
  <si>
    <t>Joanna Sassoon</t>
  </si>
  <si>
    <t>2017 March 27</t>
  </si>
  <si>
    <t>1 photograph : colour;still image sti rdacontent;computer c rdamedia;online resource cr rdacarrier;image file TIFF 3768 x 5032 pixels rda</t>
  </si>
  <si>
    <t>Author, Joanna Sassoon, with her book, 'Agents of Empire : How E.L. Mitchell's photographs shaped Australia', at the State Library of South Australia.</t>
  </si>
  <si>
    <t>Sassoon, Joanna;Authors -- South Australia -- Adelaide</t>
  </si>
  <si>
    <t>b31360269</t>
  </si>
  <si>
    <t>2017 May 13</t>
  </si>
  <si>
    <t>Mars bar, mopping the stage before opening.</t>
  </si>
  <si>
    <t>b31360324</t>
  </si>
  <si>
    <t>Mars Bar, mirror balls above the dance floor.</t>
  </si>
  <si>
    <t>b31360336</t>
  </si>
  <si>
    <t>1 photograph : colour;still image sti rdacontent;computer c rdamedia;online resource cr rdacarrier;image file TIFF 5644 x 3710 pixels rda</t>
  </si>
  <si>
    <t>Mars Bar, cloaking area with stairs leading to Gouger Street.</t>
  </si>
  <si>
    <t>b31360348</t>
  </si>
  <si>
    <t>1 photograph : colour;still image sti rdacontent;computer c rdamedia;online resource cr rdacarrier;image file TIFF 5760 x 3648 pixels rda</t>
  </si>
  <si>
    <t>Mars Bar, Area 4 at the base of the stairs leading to Gouger Street.</t>
  </si>
  <si>
    <t>b3136035x</t>
  </si>
  <si>
    <t>1 photograph : colour;still image sti rdacontent;computer c rdamedia;online resource cr rdacarrier;image file TIFF 3841 x 5760 pixels rda</t>
  </si>
  <si>
    <t>Mars Bar, stair case leading to Gouger Street from the cloaking area.</t>
  </si>
  <si>
    <t>b31360361</t>
  </si>
  <si>
    <t>b31360373</t>
  </si>
  <si>
    <t>b31360385</t>
  </si>
  <si>
    <t>b31360397</t>
  </si>
  <si>
    <t>b31360403</t>
  </si>
  <si>
    <t>b31360415</t>
  </si>
  <si>
    <t>1 photograph : colour;still image sti rdacontent;computer c rdamedia;online resource cr rdacarrier;image file TIFF 4472 x 3840 pixels rda</t>
  </si>
  <si>
    <t>Mars Bar, chandelier in the cloaking area.</t>
  </si>
  <si>
    <t>b31360427</t>
  </si>
  <si>
    <t>1 photograph : colour;still image sti rdacontent;computer c rdamedia;online resource cr rdacarrier;image file TIFF 5442 x 3844 pixels rda</t>
  </si>
  <si>
    <t>Mars Bar, the cloaking area.</t>
  </si>
  <si>
    <t>b31360439</t>
  </si>
  <si>
    <t>1 photograph : colour;still image sti rdacontent;computer c rdamedia;online resource cr rdacarrier;image file TIFF 5760 x 3680 pixels rda</t>
  </si>
  <si>
    <t>Mars Bar, the cloaking area and stair case leading to Gouger Street.</t>
  </si>
  <si>
    <t>b31360440</t>
  </si>
  <si>
    <t>1 photograph : colour;still image sti rdacontent;computer c rdamedia;online resource cr rdacarrier;image file TIFF 5919 x 3570 pixels rda</t>
  </si>
  <si>
    <t>Mars Bar, the main bar.</t>
  </si>
  <si>
    <t>b31360452</t>
  </si>
  <si>
    <t>Mars Bar, the main bar viewed from the pool table in Area 2</t>
  </si>
  <si>
    <t>b31360464</t>
  </si>
  <si>
    <t>1 photograph : colour;still image sti rdacontent;computer c rdamedia;online resource cr rdacarrier;image file TIFF 5012 x 3417 pixels rda</t>
  </si>
  <si>
    <t>Mars Bar, the beer taps on main bar.</t>
  </si>
  <si>
    <t>b31360476</t>
  </si>
  <si>
    <t>1 photograph : colour;still image sti rdacontent;computer c rdamedia;online resource cr rdacarrier;image file TIFF 5504 x 3841 pixels rda</t>
  </si>
  <si>
    <t>b31360488</t>
  </si>
  <si>
    <t>1 photograph : colour;still image sti rdacontent;computer c rdamedia;online resource cr rdacarrier;image file TIFF 3091 x 3904 pixels rda</t>
  </si>
  <si>
    <t>Mars Bar, sign advertising 'Dragnation'</t>
  </si>
  <si>
    <t>b3136049x</t>
  </si>
  <si>
    <t>1 photograph : colour;still image sti rdacontent;computer c rdamedia;online resource cr rdacarrier;image file TIFF 2819 x 3992 pixels rda</t>
  </si>
  <si>
    <t>Mars Bar, sign advertising "Mojito Cocktail Jug" for $30 "available till 2AM"</t>
  </si>
  <si>
    <t>b31360506</t>
  </si>
  <si>
    <t>1 photograph : colour;still image sti rdacontent;computer c rdamedia;online resource cr rdacarrier;image file TIFF 3840 x 5631 pixels rda</t>
  </si>
  <si>
    <t>Mars Bar, looking from the main bar toward the staircase in Area 4 leading to Gouger Street.</t>
  </si>
  <si>
    <t>b31360518</t>
  </si>
  <si>
    <t>1 photograph : colour;still image sti rdacontent;computer c rdamedia;online resource cr rdacarrier;image file TIFF 5180 x 3840 pixels rda</t>
  </si>
  <si>
    <t>Mars Bar, diagonal display wall in Area 6</t>
  </si>
  <si>
    <t>b3136052x</t>
  </si>
  <si>
    <t>Mars Bar, the main stage and dance floor in Area 1 viewed from Area 6.</t>
  </si>
  <si>
    <t>b31360531</t>
  </si>
  <si>
    <t>Mars Bar, the view from the main stage and dance floor toward the main bar and DJ location in Area 1.</t>
  </si>
  <si>
    <t>b31360543</t>
  </si>
  <si>
    <t>Mars Bar, the dressing room behind the main stage.</t>
  </si>
  <si>
    <t>b31360555</t>
  </si>
  <si>
    <t>1 photograph : colour;still image sti rdacontent;computer c rdamedia;online resource cr rdacarrier;image file TIFF 5315 x 3842 pixels rda</t>
  </si>
  <si>
    <t>b31360567</t>
  </si>
  <si>
    <t>Mars Bar, Sebastian the cat having a rest in Area 6. The location of the diagonal display wall in B 76228 can be the seen as can Sebastian's food bowls.</t>
  </si>
  <si>
    <t>b31360579</t>
  </si>
  <si>
    <t>Mars Bar, View from within Area 6 toward the DJ location in Area 1.</t>
  </si>
  <si>
    <t>b31360580</t>
  </si>
  <si>
    <t>Mars Bar, View from within Area 6 toward the dance floor and DJ location in Area 1.</t>
  </si>
  <si>
    <t>b31360592</t>
  </si>
  <si>
    <t>1 photograph : colour;still image sti rdacontent;computer c rdamedia;online resource cr rdacarrier;image file TIFF 5348 x 3873 pixels rda</t>
  </si>
  <si>
    <t>Mars Bar, Sebastian the cat resting in Area 6.</t>
  </si>
  <si>
    <t>b31360609</t>
  </si>
  <si>
    <t>Mars Bar, DJ's mixing consol in Area 1.</t>
  </si>
  <si>
    <t>b31360610</t>
  </si>
  <si>
    <t>b31360622</t>
  </si>
  <si>
    <t>1 photograph : colour;still image sti rdacontent;computer c rdamedia;online resource cr rdacarrier;image file TIFF 5296 x 3843 pixels rda</t>
  </si>
  <si>
    <t>Mars Bar, the pool table in Area 2.</t>
  </si>
  <si>
    <t>b31360634</t>
  </si>
  <si>
    <t>1 photograph : colour;still image sti rdacontent;computer c rdamedia;online resource cr rdacarrier;image file TIFF 5421 x 3843 pixels rda</t>
  </si>
  <si>
    <t>Mars Bar, sign directing patrons to the "Garden and Chill Area" in Area 5.</t>
  </si>
  <si>
    <t>b31360646</t>
  </si>
  <si>
    <t>1 photograph : colour;still image sti rdacontent;computer c rdamedia;online resource cr rdacarrier;image file TIFF 5760 x 3948 pixels rda</t>
  </si>
  <si>
    <t>Mars Bar, behind the main bar between Area 1 and Area 2.</t>
  </si>
  <si>
    <t>b31360658</t>
  </si>
  <si>
    <t>Mars Bar, the "Garden and Chill Area" in Area 5.</t>
  </si>
  <si>
    <t>b3136066x</t>
  </si>
  <si>
    <t>b31360683</t>
  </si>
  <si>
    <t>b31360695</t>
  </si>
  <si>
    <t>1 photograph : colour;still image sti rdacontent;computer c rdamedia;online resource cr rdacarrier;image file TIFF 3840 x 5216 pixels rda</t>
  </si>
  <si>
    <t>Mars Bar, the stairs leading away from the "Garden and Chill Area" in Area 5 toward Area 1.</t>
  </si>
  <si>
    <t>b31360701</t>
  </si>
  <si>
    <t>Mars Bar, view across the dance floor in Area 1 toward Area 6.</t>
  </si>
  <si>
    <t>b31360713</t>
  </si>
  <si>
    <t>Mars Bar, view across the dance floor in Area 1 toward the DJ's mixing console.</t>
  </si>
  <si>
    <t>b31360725</t>
  </si>
  <si>
    <t>1 photograph : colour;still image sti rdacontent;computer c rdamedia;online resource cr rdacarrier;image file TIFF 5700 x 3846 pixels rda</t>
  </si>
  <si>
    <t>Mars Bar, view from the entrance to Area 3 toward the dance floor and stage.</t>
  </si>
  <si>
    <t>b31360737</t>
  </si>
  <si>
    <t>1 photograph : colour;still image sti rdacontent;computer c rdamedia;online resource cr rdacarrier;image file TIFF 5756 x 3879 pixels rda</t>
  </si>
  <si>
    <t>Mars Bar, view of Area 3 and the Area 3 bar.</t>
  </si>
  <si>
    <t>b31360749</t>
  </si>
  <si>
    <t>1 photograph : colour;still image sti rdacontent;computer c rdamedia;online resource cr rdacarrier;image file TIFF 5760 x 3841 pixels rda</t>
  </si>
  <si>
    <t>b31360750</t>
  </si>
  <si>
    <t>1 photograph : colour;still image sti rdacontent;computer c rdamedia;online resource cr rdacarrier;image file TIFF 5760 x 3846 pixels rda</t>
  </si>
  <si>
    <t>Mars Bar, view of the dance floor and stage in Area 3.</t>
  </si>
  <si>
    <t>b31360762</t>
  </si>
  <si>
    <t>1 photograph : colour;still image sti rdacontent;computer c rdamedia;online resource cr rdacarrier;image file TIFF 3840 x 5762 pixels rda</t>
  </si>
  <si>
    <t>Mars Bar, view behind the bar in Area 3.</t>
  </si>
  <si>
    <t>b31360774</t>
  </si>
  <si>
    <t>Mars Bar, view toward the entrance from within Area 3.</t>
  </si>
  <si>
    <t>b31360786</t>
  </si>
  <si>
    <t>1 photograph : colour;still image sti rdacontent;computer c rdamedia;online resource cr rdacarrier;image file TIFF 5758 x 3765 pixels rda</t>
  </si>
  <si>
    <t>Mars Bar, view of the bar in Area 3.</t>
  </si>
  <si>
    <t>b31360798</t>
  </si>
  <si>
    <t>Mars Bar, Sebastian the cat in Area 6</t>
  </si>
  <si>
    <t>b31360804</t>
  </si>
  <si>
    <t>Mars Bar, the passageway behind the Area 1 DJ Console with the entrance to Area 3 on the right.</t>
  </si>
  <si>
    <t>b31360816</t>
  </si>
  <si>
    <t>Mars Bar, a mirror reflecting the wallpaper pattern in Area 6</t>
  </si>
  <si>
    <t>b31360828</t>
  </si>
  <si>
    <t>Mars Bar, looking across the dance floor in Area 1 toward Area 6.</t>
  </si>
  <si>
    <t>b3136083x</t>
  </si>
  <si>
    <t>Mars Bar, Bickford's cordial on the main bar.</t>
  </si>
  <si>
    <t>b31360841</t>
  </si>
  <si>
    <t>1 photograph : colour;still image sti rdacontent;computer c rdamedia;online resource cr rdacarrier;image file TIFF 3330 x 4874 pixels rda</t>
  </si>
  <si>
    <t>Mars Bar, sign near the main bar advertising "Adelaide's BDSM Club event 'Switch' drinks specials"</t>
  </si>
  <si>
    <t>b31360853</t>
  </si>
  <si>
    <t>1 photograph : colour;still image sti rdacontent;computer c rdamedia;online resource cr rdacarrier;image file TIFF 5760 x 3844 pixels rda</t>
  </si>
  <si>
    <t>Mars Bar, the pool table in Area 2</t>
  </si>
  <si>
    <t>b31360889</t>
  </si>
  <si>
    <t>1 photograph : colour;still image sti rdacontent;computer c rdamedia;online resource cr rdacarrier;image file TIFF 3840 x 4926 pixels rda</t>
  </si>
  <si>
    <t>b31360890</t>
  </si>
  <si>
    <t>1 photograph : colour;still image sti rdacontent;computer c rdamedia;online resource cr rdacarrier;image file TIFF 5056 x 3840 pixels rda</t>
  </si>
  <si>
    <t>Mars Bar, the view from near the main bar toward the stairs that lead to the beer garden.</t>
  </si>
  <si>
    <t>b31360919</t>
  </si>
  <si>
    <t>1 photograph : colour;still image sti rdacontent;computer c rdamedia;online resource cr rdacarrier;image file TIFF 2843 x 4852 pixels rda</t>
  </si>
  <si>
    <t>The Gouger Street entrance to Mars Bar.</t>
  </si>
  <si>
    <t>b31360944</t>
  </si>
  <si>
    <t>Mars Bar on Gouger Street, Adelaide</t>
  </si>
  <si>
    <t>1 photograph : colour;still image sti rdacontent;computer c rdamedia;online resource cr rdacarrier;image file TIFF 4840 x 3188 pixels rda</t>
  </si>
  <si>
    <t>Looking east along Gouger Street toward Mars Bar.</t>
  </si>
  <si>
    <t>b31360968</t>
  </si>
  <si>
    <t>High rise apartment block under construction on corner of Morphett Street and Wright Street, Adelaide. Nearest the camera is a Cash Converters store on the south east corner of Morphett Street and Gouger Street, next to that at 300 Morphett Street is the Austral-Asian Chinese Church.</t>
  </si>
  <si>
    <t>b31361134</t>
  </si>
  <si>
    <t>1 photograph : colour;still image sti rdacontent;computer c rdamedia;online resource cr rdacarrier;image file TIFF 5411 x 3793 pixels rda</t>
  </si>
  <si>
    <t>Mars bar, the main bar.</t>
  </si>
  <si>
    <t>b31945879</t>
  </si>
  <si>
    <t>2017 September 16</t>
  </si>
  <si>
    <t>Yes campaign supporter, Justin Ratcliff, on his way to the Marriage Equality Rally, North Terrace, Adelaide.</t>
  </si>
  <si>
    <t>Ratcliff, Justin;Same-sex marriage -- Law and legislation -- South Australia -- Adelaide</t>
  </si>
  <si>
    <t>b3194601x</t>
  </si>
  <si>
    <t>Yes campaign supporters sitting on the steps of Parliament House, Adelaide, at the beginning of the Marriage Equality Rally.</t>
  </si>
  <si>
    <t>Same-sex marriage -- Law and legislation -- South Australia -- Adelaide</t>
  </si>
  <si>
    <t>b31946215</t>
  </si>
  <si>
    <t>b31946227</t>
  </si>
  <si>
    <t>Yes campaign supporters gather on the steps of Parliament House, Adelaide, at the beginning of the Marriage Equality Rally.</t>
  </si>
  <si>
    <t>b31946240</t>
  </si>
  <si>
    <t>b31946264</t>
  </si>
  <si>
    <t>Yes campaign supporters, Steph Key MP and Deborah McCulloch holding a 'YES EQUALITY' poster near the steps of Parliament House, Adelaide, at the beginning of the Marriage Equality Rally.</t>
  </si>
  <si>
    <t>McCulloch, Deborah, 1939-;Key, Stephanie Wendy, 1954-;Same-sex marriage -- Law and legislation -- South Australia -- Adelaide</t>
  </si>
  <si>
    <t>b31946276</t>
  </si>
  <si>
    <t>Yes campaign supporters, L-R: Malakai Yeomans, Arlen Kelly, Lauren Pearce and Craig Middleton, near the steps of Parliament House, Adelaide, at the beginning of the Marriage Equality Rally.</t>
  </si>
  <si>
    <t>Kelly, Arlen;Middleton, Craig;Pearce, Lauren;Yeomans, Malakai;Same-sex marriage -- Law and legislation -- South Australia -- Adelaide</t>
  </si>
  <si>
    <t>b31946288</t>
  </si>
  <si>
    <t>Yes campaign supporter, Greens MLC Mark Parnell, on the steps of Parliament House, Adelaide, at the beginning of the Marriage Equality Rally.</t>
  </si>
  <si>
    <t>Parnell, Mark;Same-sex marriage -- Law and legislation -- South Australia -- Adelaide</t>
  </si>
  <si>
    <t>b31946306</t>
  </si>
  <si>
    <t>Yes campaign supporters, Will Sergeant and Tim Reeves, near the steps of Parliament House, Adelaide, at the beginning of the Marriage Equality Rally.</t>
  </si>
  <si>
    <t>Reeves, Tim;Sergeant, Will, (William), 1950-;Same-sex marriage -- Law and legislation -- South Australia -- Adelaide</t>
  </si>
  <si>
    <t>b31946318</t>
  </si>
  <si>
    <t>Yes campaign supporters near the steps of Parliament House, Adelaide, at the beginning of the Marriage Equality Rally.</t>
  </si>
  <si>
    <t>Sisters of Perpetual Indulgence;Same-sex marriage -- Law and legislation -- South Australia -- Adelaide</t>
  </si>
  <si>
    <t>b3194632x</t>
  </si>
  <si>
    <t>b31946331</t>
  </si>
  <si>
    <t>b31946343</t>
  </si>
  <si>
    <t>Yes and No campaign supporters on the footpath opposite Parliament House, Adelaide, prior to the beginning of the Marriage Equality Rally.</t>
  </si>
  <si>
    <t>b31947128</t>
  </si>
  <si>
    <t>During the Marriage Equality Rally, Yes campaign supporters, David Panter and Desmond Ford, hold affirmative signs high above their heads, on the footpath opposite Parliament House, Adelaide.</t>
  </si>
  <si>
    <t>Ford, Desmond;Panter, David;Same-sex marriage -- Law and legislation -- South Australia -- Adelaide</t>
  </si>
  <si>
    <t>b3194713x</t>
  </si>
  <si>
    <t>On the footpath opposite Parliament House, Adelaide, during the Marriage Equality Rally an unidentified no campaign supporter holds a sign high above his head that reads "I'm voting no".</t>
  </si>
  <si>
    <t>b31947141</t>
  </si>
  <si>
    <t>Rhythms of Resistance Adelaide members on the footpath opposite Parliament House, Adelaide, during the Marriage Equality Rally. L-R: Grace Marigold (with whistle), Alyssia Ciccarello (behind with green drum), Ellen Pickle (in front with drum), David Mazzarelli (standing behind wearing dark glasses), Ali Ried (with tambourine).</t>
  </si>
  <si>
    <t>Rhythms of Resistance Adelaide (Musical group);Same-sex marriage -- Law and legislation -- South Australia -- Adelaide</t>
  </si>
  <si>
    <t>b31947177</t>
  </si>
  <si>
    <t>Supporters of marriage equality, Rosalie Grace Dow-Schmidt and Kat Evans, on North Terrace, Adelaide, during the Marriage Equality Rally. Rosalie is holding a sign that reads, "Queer, Christian, and Proud!</t>
  </si>
  <si>
    <t>Dow-Schmidt, Rosalie Grace;Evans, Kat;Same-sex marriage -- Law and legislation -- South Australia -- Adelaide</t>
  </si>
  <si>
    <t>b31947189</t>
  </si>
  <si>
    <t>A supporter of marriage equality on North Terrace, Adelaide, during the Marriage Equality Rally. She is holding a sign that reads, "Love is a terrible thing to hate"</t>
  </si>
  <si>
    <t>b31947190</t>
  </si>
  <si>
    <t>Supporters of marriage equality at Parliament House, Adelaide, during the Marriage Equality Rally. Many are holding up signs that reads, "Vote Yes" and "Yes Equality".</t>
  </si>
  <si>
    <t>b31947207</t>
  </si>
  <si>
    <t>A yes campaign supporter wearing a rainbow flag as a cape climbs a lamp post at Parliament House, Adelaide, during the Marriage Equality Rally.</t>
  </si>
  <si>
    <t>b31947219</t>
  </si>
  <si>
    <t>Three young supporters of the marriage equality campaign at Parliament House, Adelaide, during the Marriage Equality Rally. One holds an Amnesty International sign that reads, "Every Aussie should be free to marry".</t>
  </si>
  <si>
    <t>b31947220</t>
  </si>
  <si>
    <t>Supporters of the marriage equality campaign gather on the steps of Parliament House, Adelaide, during the Marriage Equality Rally. Many are holding up signs.</t>
  </si>
  <si>
    <t>b31947232</t>
  </si>
  <si>
    <t>Marriage equality campaign supporter, Llewellyn Jones, at Parliament House, Adelaide, during the Marriage Equality Rally.</t>
  </si>
  <si>
    <t>Jones, Llewellyn;Same-sex marriage -- Law and legislation -- South Australia -- Adelaide</t>
  </si>
  <si>
    <t>b31947244</t>
  </si>
  <si>
    <t>Marriage equality campaign supporters, Petra Meredith, Vonni Brit Watkins, and Matt Gilbertson, at Parliament House, Adelaide, during the Marriage Equality Rally.</t>
  </si>
  <si>
    <t>Gilbertson, Matt;Meredith, Petra;Watkins, Vonni Brit;Same-sex marriage -- Law and legislation -- South Australia -- Adelaide</t>
  </si>
  <si>
    <t>b31947256</t>
  </si>
  <si>
    <t>Marriage equality campaign supporters after leaving Parliament House walk south on King William Street, Adelaide, to Victoria Square / Tarntantangga.</t>
  </si>
  <si>
    <t>b3194727x</t>
  </si>
  <si>
    <t>b31947281</t>
  </si>
  <si>
    <t>b3194730x</t>
  </si>
  <si>
    <t>Members of the Sisters of Perpetual Indulgence carrying a large rainbow flag after leaving Parliament House walk south on King William Street, Adelaide, to Victoria Square / Tarntantangga.</t>
  </si>
  <si>
    <t>b31947311</t>
  </si>
  <si>
    <t>1 photograph : colour;still image sti rdacontent;computer c rdamedia;online resource cr rdacarrier;image file TIFF 2416 x 3256 pixels rda</t>
  </si>
  <si>
    <t>b31947323</t>
  </si>
  <si>
    <t>b31945818</t>
  </si>
  <si>
    <t>Marriage Equality campaign office</t>
  </si>
  <si>
    <t>2017 September 20</t>
  </si>
  <si>
    <t>Interior of the Marriage Equality 'Yes' campaign office, Gay's Arcade, Adelaide</t>
  </si>
  <si>
    <t>b3194582x</t>
  </si>
  <si>
    <t>b31945831</t>
  </si>
  <si>
    <t>Marriage Equality campaign office, Gay's Arcade</t>
  </si>
  <si>
    <t>Exterior view of the Marriage Equality 'Yes' campaign office, Gay's Arcade, Adelaide. The Battery Bar is next door and people are sitting at tables in the arcade drinking coffee and eating food.</t>
  </si>
  <si>
    <t>b31945843</t>
  </si>
  <si>
    <t>1 photograph : colour;still image sti rdacontent;computer c rdamedia;online resource cr rdacarrier;image file TIFF 3840 x 5764 pixels rda</t>
  </si>
  <si>
    <t>Exterior view of the Marriage Equality 'Yes' campaign office, Gay's Arcade, Adelaide.</t>
  </si>
  <si>
    <t>b31945855</t>
  </si>
  <si>
    <t>1 photograph : colour;still image sti rdacontent;computer c rdamedia;online resource cr rdacarrier;image file TIFF 3840 x 4979 pixels rda</t>
  </si>
  <si>
    <t>View looking into the Marriage Equality 'Yes' campaign office, Gay's Arcade, Adelaide.</t>
  </si>
  <si>
    <t>b31946355</t>
  </si>
  <si>
    <t>Gay's Arcade, Adelaide</t>
  </si>
  <si>
    <t>Gay's Arcade, Adelaide.</t>
  </si>
  <si>
    <t>b31911705</t>
  </si>
  <si>
    <t>Helen Oxenham</t>
  </si>
  <si>
    <t>2018 April 29</t>
  </si>
  <si>
    <t>Oxenham, Helen, 1930-</t>
  </si>
  <si>
    <t>b31997752</t>
  </si>
  <si>
    <t>Coca Cola Amatil factory</t>
  </si>
  <si>
    <t>2018 December 4</t>
  </si>
  <si>
    <t>1 photograph : colour;still image sti rdacontent;computer c rdamedia;online resource cr rdacarrier;image file TIFF 8688 x 5160 pixels rda</t>
  </si>
  <si>
    <t>Coca Cola Amatil factory, Port Road, Thebarton.</t>
  </si>
  <si>
    <t>Coca-Cola Amatil (Firm);Factories -- South Australia -- Thebarton;Soft drink industry -- South Australia -- Thebarton</t>
  </si>
  <si>
    <t>b31997764</t>
  </si>
  <si>
    <t>1 photograph : colour;still image sti rdacontent;computer c rdamedia;online resource cr rdacarrier;image file TIFF 8688 x 5344 pixels rda</t>
  </si>
  <si>
    <t>Coca Cola Amatil factory, corner of Port Road and Light Terrace, Thebarton.</t>
  </si>
  <si>
    <t>b31997788</t>
  </si>
  <si>
    <t>Coca Cola vending machines</t>
  </si>
  <si>
    <t>1 photograph : colour;still image sti rdacontent;computer c rdamedia;online resource cr rdacarrier;image file TIFF 5792 x 8388 pixels rda</t>
  </si>
  <si>
    <t>Coca Cola vending machines outside the Coca Cola Amatil factory, Port Road, Thebarton.</t>
  </si>
  <si>
    <t>Coca-Cola Amatil (Firm);Factories -- South Australia -- Thebarton;Soft drink industry -- South Australia -- Thebarton;Vending machines -- South Australia -- Thebarton</t>
  </si>
  <si>
    <t>b31997806</t>
  </si>
  <si>
    <t>Coca Cola factory, Thebarton</t>
  </si>
  <si>
    <t>1 photograph : colour;still image sti rdacontent;computer c rdamedia;online resource cr rdacarrier;image file TIFF 8688 x 5792 pixels rda</t>
  </si>
  <si>
    <t>Merry Christmas sign advertising Coca Cola Amatil's financial support for the Salvation Army on the Coca Cola Amatil factory, Port Road, Thebarton.</t>
  </si>
  <si>
    <t>Coca-Cola Amatil (Firm);Salvation Army;Factories -- South Australia -- Thebarton;Soft drink industry -- South Australia -- Thebarton;Signs and signboards -- South Australia -- Thebarton</t>
  </si>
  <si>
    <t>b31997818</t>
  </si>
  <si>
    <t>Coca Cola Amatil sign on the factory, Port Road, Thebarton.</t>
  </si>
  <si>
    <t>Coca-Cola Amatil (Firm);Factories -- South Australia -- Thebarton;Soft drink industry -- South Australia -- Thebarton;Signs and signboards -- South Australia -- Thebarton</t>
  </si>
  <si>
    <t>b3199782x</t>
  </si>
  <si>
    <t>Shell Coles Express service station, Thebarton</t>
  </si>
  <si>
    <t>1 photograph : colour;still image sti rdacontent;computer c rdamedia;online resource cr rdacarrier;image file TIFF 8688 x 5304 pixels rda</t>
  </si>
  <si>
    <t>Shell Coles Express service station on the north west corner of Port Road and Smith Street, Thebarton.</t>
  </si>
  <si>
    <t>Coles Express (Firm);Shell Company of Australia Ltd. (S.A.);Service stations -- South Australia -- Thebarton</t>
  </si>
  <si>
    <t>b3189558x</t>
  </si>
  <si>
    <t>Government House, Adelaide</t>
  </si>
  <si>
    <t>2018 February 15</t>
  </si>
  <si>
    <t>Looking across the garden toward the entrance to Government House, Adelaide, with a bed of brightly flowering Petunias in the foreground.</t>
  </si>
  <si>
    <t>Government House (Adelaide, S.A.);Architecture -- 19th century -- South Australia -- Adelaide;Historic buildings -- South Australia -- Adelaide;Gardens -- South Australia -- Adelaide;Flowers -- South Australia -- Adelaide;Petunias -- South Australia -- Adelaide</t>
  </si>
  <si>
    <t>Government House Collection</t>
  </si>
  <si>
    <t>b31895645</t>
  </si>
  <si>
    <t>View of the Adelaide Railway Station concourse from the steps leading to North Terrace.</t>
  </si>
  <si>
    <t>Adelaide Railway Station;Interior architecture -- South Australia -- Adelaide;Railroad stations -- South Australia -- Adelaide</t>
  </si>
  <si>
    <t>Railway Station Collection</t>
  </si>
  <si>
    <t>b31895669</t>
  </si>
  <si>
    <t>View of the Adelaide Railway Station concourse looking toward the platforms from near the ramp leading to North Terrace.</t>
  </si>
  <si>
    <t>b31895670</t>
  </si>
  <si>
    <t>South African War Memorial, Adelaide</t>
  </si>
  <si>
    <t>1 photograph : colour;still image sti rdacontent;computer c rdamedia;online resource cr rdacarrier;image file TIFF 3840 x 4904 pixels rda</t>
  </si>
  <si>
    <t>View of the South African War Memorial, corner of North Terrace and King William Street, Adelaide.</t>
  </si>
  <si>
    <t>South African War, 1899-1902 -- Monuments -- South Australia -- Adelaide;War memorials -- South Australia -- Adelaide</t>
  </si>
  <si>
    <t>b31895694</t>
  </si>
  <si>
    <t>Responsible government plaque on Parliament House, Adelaide</t>
  </si>
  <si>
    <t>1 photograph : colour;still image sti rdacontent;computer c rdamedia;online resource cr rdacarrier;image file TIFF 4811 x 3887 pixels rda</t>
  </si>
  <si>
    <t>Plaque on Parliament House, Adelaide. The plaque reads  "This plaque marks the site of the first sittings of Parliament under responsible government on April 22nd. 1857. Unveiled by His Excellency The Governor Air Vice-Marshal Sir Robert George K.C.V.O., K.B.E., C.B., M.C. on April 26th 1957 to mark the Centenary of Responsible Government. Presented by the Pioneers Association of South Australia."</t>
  </si>
  <si>
    <t>Parliament House (Adelaide, S.A.);Historic sites -- South Australia -- Adelaide;Plaques, plaquettes -- South Australia -- Adelaide</t>
  </si>
  <si>
    <t>b31895724</t>
  </si>
  <si>
    <t>Women's suffrage centenary time capsule plaque on Parliament House, Adelaide</t>
  </si>
  <si>
    <t>1 photograph : colour;still image sti rdacontent;computer c rdamedia;online resource cr rdacarrier;image file TIFF 6103 x 4007 pixels rda</t>
  </si>
  <si>
    <t>Ventilation grating and adjacent time capsule plaque on Parliament House, Adelaide. The plaque reads  "Women's suffrage centenary time capsule lies in the vaults of this Parliament. To be opened in 2094 on the bicentenary of the granting of parliamentary franchise to South Australian women.".</t>
  </si>
  <si>
    <t>b31895736</t>
  </si>
  <si>
    <t>1 photograph : colour;still image sti rdacontent;computer c rdamedia;online resource cr rdacarrier;image file TIFF 2896 x 2194 pixels rda</t>
  </si>
  <si>
    <t>Women's suffrage centenary time capsule plaque on Parliament House, Adelaide. The plaque reads  "Women's suffrage centenary time capsule lies in the vaults of this Parliament. To be opened in 2094 on the bicentenary of the granting of parliamentary franchise to South Australian women.".</t>
  </si>
  <si>
    <t>b31895748</t>
  </si>
  <si>
    <t>Australasian Federal Convention Adelaide Meeting plaque on Parliament House, Adelaide</t>
  </si>
  <si>
    <t>1 photograph : colour;still image sti rdacontent;computer c rdamedia;online resource cr rdacarrier;image file TIFF 4024 x 2772 pixels rda</t>
  </si>
  <si>
    <t>Australasian Federal Convention Adelaide Meeting plaque on Parliament House, Adelaide. The plaque reads  "Australasian Federal Convention Adelaide Meeting March 22nd - May 5th 1897. President - Hon. Charles Cameron Kingston, Q.C., M.P. Chairman - Hon. Sir Richard Chaffey Baker K.C.M.G., M.L.C. Clerk - Edwin Gordon Blackmore. This tablet was erected to commemorate the framing and the adoption by the Convention of the Draft Bill for a Federal Constitution for Australasia. The Drafting Committee consisted of - Edmund Barton, Q.C. Hon. Sir John William Downer, Q.C., K.C.M.G., M.P. Hon. Richard Edqard O'Connor, Q.C., M.L.C. Unveiled March 22nd 1951".</t>
  </si>
  <si>
    <t>b31895773</t>
  </si>
  <si>
    <t>Commemorative stone, Parliament House, Adelaide</t>
  </si>
  <si>
    <t>1 photograph : colour;still image sti rdacontent;computer c rdamedia;online resource cr rdacarrier;image file TIFF 3031 x 3073 pixels rda</t>
  </si>
  <si>
    <t>One of two commemorative stones at Parliament House, Adelaide. The wording on this stone reads  ""The Promise ... His Majesty's subjects of the Province of South Australia are to receive a constitution of self government as soon as the colony shall be in a state fit to enjoy that inestimable advantage." Edward Gibbon Wakefield Founder of South Australia 1834".</t>
  </si>
  <si>
    <t>b31895785</t>
  </si>
  <si>
    <t>1 photograph : colour;still image sti rdacontent;computer c rdamedia;online resource cr rdacarrier;image file TIFF 3080 x 3252 pixels rda</t>
  </si>
  <si>
    <t>One of two commemorative stones at Parliament House, Adelaide. The wording on this stone reads  "The Fulfilment ... This House of Parliament was completed as an expression of faith in the parliamentary institutions. In appreciation of the benefits wrought by eighty years of self government, and in commemoration of the centenary of the state. Unveiled by His Excellency the Governor Major General Sir Winston Dugan K.C.M.G., C.B., D.S.O. 23rd December 1936".</t>
  </si>
  <si>
    <t>Parliament House (Adelaide, S.A.);Historic sites -- South Australia -- Adelaide</t>
  </si>
  <si>
    <t>b31895797</t>
  </si>
  <si>
    <t>Commemorative plaque, Parliament House, Adelaide</t>
  </si>
  <si>
    <t>Bronze memorial plaque in honour of Edward Gibbon Wakefield on Parliament House, Adelaide. The wording on the plaque reads  "In honour of Edward Gibbon Wakefield 1796-1862 The author of the system of land-sales colonization upon which the Province of South Australia was founded for free settlers with freehold lands and resultant self-government 1952". The plaque modelled by Joseph Choate and caste by S.A. Brass Founders was unveiled by the Governor, Sir Willougby Norrie, on 18 April 1952.</t>
  </si>
  <si>
    <t>Parliament House (Adelaide, S.A.);Plaques, plaquettes -- South Australia -- Adelaide</t>
  </si>
  <si>
    <t>b31895803</t>
  </si>
  <si>
    <t>Stone Lion, Parliament House, Adelaide</t>
  </si>
  <si>
    <t>1 photograph : colour;still image sti rdacontent;computer c rdamedia;online resource cr rdacarrier;image file TIFF 2047 x 2867 pixels rda</t>
  </si>
  <si>
    <t>Stone Lion which had been part of a Royal Coat-of-Arms on the Palace of Westminster, London. The lion was removed from the United Kingdom Houses of Parliament during renovations and transferred to Adelaide in 1938. It was located on Parliament House, Adelaide, in November 1939.</t>
  </si>
  <si>
    <t>Parliament House (Adelaide, S.A.)</t>
  </si>
  <si>
    <t>b31895839</t>
  </si>
  <si>
    <t>Government House wall, Adelaide</t>
  </si>
  <si>
    <t>1 photograph : colour;still image sti rdacontent;computer c rdamedia;online resource cr rdacarrier;image file TIFF 3840 x 5384 pixels rda</t>
  </si>
  <si>
    <t>Pieces of broken glass embedded in the top of the stone wall near the Government House gate house, Adelaide.</t>
  </si>
  <si>
    <t>b31895906</t>
  </si>
  <si>
    <t>Statue of Venus, Adelaide</t>
  </si>
  <si>
    <t>White marble copy of Antonio Canova's statue of Venus that was acquired by Mr. W.A. Horn, M.P., in Florence and presented to the City of Adelaide in 1892.</t>
  </si>
  <si>
    <t>b31839587</t>
  </si>
  <si>
    <t>Tour Down Under village</t>
  </si>
  <si>
    <t>2018 January 15</t>
  </si>
  <si>
    <t>1 photograph : colour;still image sti rdacontent;computer c rdamedia;online resource cr rdacarrier;image file TIFF 3840 x 5256 pixels rda</t>
  </si>
  <si>
    <t>Scott Sports stand in the City of Adelaide Tour Village, Victoria Square, Adelaide.</t>
  </si>
  <si>
    <t>Tour Down Under (Bicycle race);Cycling -- South Australia -- Adelaide.</t>
  </si>
  <si>
    <t>b31839599</t>
  </si>
  <si>
    <t>1 photograph : colour;still image sti rdacontent;computer c rdamedia;online resource cr rdacarrier;image file TIFF 5418 x 3840 pixels rda</t>
  </si>
  <si>
    <t>The City of Adelaide Tour Village, Victoria Square, Adelaide.</t>
  </si>
  <si>
    <t>b31839654</t>
  </si>
  <si>
    <t>The Cannondale stand in the City of Adelaide Tour Village, Victoria Square, Adelaide.</t>
  </si>
  <si>
    <t>b31839666</t>
  </si>
  <si>
    <t>b31839678</t>
  </si>
  <si>
    <t>Grinders coffee bar at the City of Adelaide Tour Village, Victoria Square, Adelaide. Two men and a woman concentrate on their smartphones.</t>
  </si>
  <si>
    <t>Tour Down Under (Bicycle race);Cycling -- South Australia -- Adelaide.;Coffeehouses -- South Australia -- Adelaide.;Coffee drinking -- South Australia -- Adelaide.;Smartphones -- South Australia -- Adelaide.</t>
  </si>
  <si>
    <t>b3183968x</t>
  </si>
  <si>
    <t>1 photograph : colour;still image sti rdacontent;computer c rdamedia;online resource cr rdacarrier;image file TIFF 3840 x 4456 pixels rda</t>
  </si>
  <si>
    <t>The Cerv├®lo Cycles test centre in the City of Adelaide Tour Village, Victoria Square, Adelaide.</t>
  </si>
  <si>
    <t>b31839691</t>
  </si>
  <si>
    <t>Installation in the Tour Down Under village on the western side of Victoria Square facing Grote Street celebrating 20 years of the Tour Down Under, "Australia's Greatest Cycling Race".</t>
  </si>
  <si>
    <t>b31839721</t>
  </si>
  <si>
    <t>1 photograph : colour;still image sti rdacontent;computer c rdamedia;online resource cr rdacarrier;image file TIFF 5502 x 3702 pixels rda</t>
  </si>
  <si>
    <t>A section of the Tour Down Under village on the western side of Victoria Square.</t>
  </si>
  <si>
    <t>b31839770</t>
  </si>
  <si>
    <t>1 photograph : colour;still image sti rdacontent;computer c rdamedia;online resource cr rdacarrier;image file TIFF 5760 x 3455 pixels rda</t>
  </si>
  <si>
    <t>The BMC Switzerland stand in the City of Adelaide Tour Village, Victoria Square, Adelaide.</t>
  </si>
  <si>
    <t>b31839800</t>
  </si>
  <si>
    <t>1 photograph : colour;still image sti rdacontent;computer c rdamedia;online resource cr rdacarrier;image file TIFF 5762 x 3330 pixels rda</t>
  </si>
  <si>
    <t>The Bianchi stand in the City of Adelaide Tour Village, Victoria Square, Adelaide.</t>
  </si>
  <si>
    <t>b31839812</t>
  </si>
  <si>
    <t>1 photograph : colour;still image sti rdacontent;computer c rdamedia;online resource cr rdacarrier;image file TIFF 3840 x 4392 pixels rda</t>
  </si>
  <si>
    <t>The City of Adelaide Tour Down Under Village, Victoria Square, Adelaide. The Hilton hotel is in the background.</t>
  </si>
  <si>
    <t>Hilton International Adelaide (Hotel);Tour Down Under (Bicycle race);Cycling -- South Australia -- Adelaide.</t>
  </si>
  <si>
    <t>b31839885</t>
  </si>
  <si>
    <t>1 photograph : colour;still image sti rdacontent;computer c rdamedia;online resource cr rdacarrier;image file TIFF 5761 x 3840 pixels rda</t>
  </si>
  <si>
    <t>The City of Adelaide Tour Down Under Village, Victoria Square, Adelaide. The Hilton hotel is on the right of the photograph.</t>
  </si>
  <si>
    <t>b31839903</t>
  </si>
  <si>
    <t>Program information stand in the City of Adelaide Tour Down Under Village, Victoria Square, Adelaide.</t>
  </si>
  <si>
    <t>b31839915</t>
  </si>
  <si>
    <t>1 photograph : colour;still image sti rdacontent;computer c rdamedia;online resource cr rdacarrier;image file TIFF 3840 x 4512 pixels rda</t>
  </si>
  <si>
    <t>Entrance to the Family Zone in the City of Adelaide Tour Down Under Village, Victoria Square, Adelaide.</t>
  </si>
  <si>
    <t>b31839927</t>
  </si>
  <si>
    <t>"I Choose SA" local business stands in the City of Adelaide Tour Down Under Village, Victoria Square, Adelaide.</t>
  </si>
  <si>
    <t>b31839939</t>
  </si>
  <si>
    <t>Santos Tour Down Under information board in the City of Adelaide Tour Down Under Village, Victoria Square, Adelaide.</t>
  </si>
  <si>
    <t>b31839940</t>
  </si>
  <si>
    <t>1 photograph : colour;still image sti rdacontent;computer c rdamedia;online resource cr rdacarrier;image file TIFF 3840 x 4560 pixels rda</t>
  </si>
  <si>
    <t>Riley Redford of Cycling Australia in the City of Adelaide Tour Down Under Village, Victoria Square, Adelaide.</t>
  </si>
  <si>
    <t>Redford, Riley;Tour Down Under (Bicycle race);Cycling -- South Australia -- Adelaide.</t>
  </si>
  <si>
    <t>b31839964</t>
  </si>
  <si>
    <t>1 photograph : colour;still image sti rdacontent;computer c rdamedia;online resource cr rdacarrier;image file TIFF 5448 x 3642 pixels rda</t>
  </si>
  <si>
    <t>Trek Bikes stand in the City of Adelaide Tour Down Under Village, Victoria Square, Adelaide.</t>
  </si>
  <si>
    <t>b31839988</t>
  </si>
  <si>
    <t>1 photograph : colour;still image sti rdacontent;computer c rdamedia;online resource cr rdacarrier;image file TIFF 3840 x 5080 pixels rda</t>
  </si>
  <si>
    <t>b3183999x</t>
  </si>
  <si>
    <t>b31840012</t>
  </si>
  <si>
    <t>National flags fly along the western border of the City of Adelaide Tour Village, Victoria Square, Adelaide.</t>
  </si>
  <si>
    <t>Tour Down Under (Bicycle race);Cycling -- South Australia -- Adelaide.;Flags -- South Australia -- Adelaide.</t>
  </si>
  <si>
    <t>b31840024</t>
  </si>
  <si>
    <t>Motor Accident Commission's large inflatable bike advertising cycling safety on the eastern side of the City of Adelaide Tour Village, Victoria Square, Adelaide.</t>
  </si>
  <si>
    <t>South Australia. Motor Accident Commission;Tour Down Under (Bicycle race);Cycling -- South Australia -- Adelaide.;Flags -- South Australia -- Adelaide.</t>
  </si>
  <si>
    <t>b31840085</t>
  </si>
  <si>
    <t>b31840097</t>
  </si>
  <si>
    <t>Adelaide Smart City Studio</t>
  </si>
  <si>
    <t>Adelaide Smart City Studio, ground floor of the Colonel Light Centre, 25 Pirie Street, Adelaide.</t>
  </si>
  <si>
    <t>b31840127</t>
  </si>
  <si>
    <t>City of Adelaide Art Pod</t>
  </si>
  <si>
    <t>1 photograph : colour;still image sti rdacontent;computer c rdamedia;online resource cr rdacarrier;image file TIFF 5172 x 3426 pixels rda</t>
  </si>
  <si>
    <t>'Resistance' by Megan Cope in the City of Adelaide Art Pod, the Colonel Light Centre, 25 Pirie Street, Adelaide.</t>
  </si>
  <si>
    <t>Art, Australian -- 21st century -- Exhibitions</t>
  </si>
  <si>
    <t>b31840164</t>
  </si>
  <si>
    <t>Blackeby's Old Sweet Shop</t>
  </si>
  <si>
    <t>1 photograph : colour;still image sti rdacontent;computer c rdamedia;online resource cr rdacarrier;image file TIFF 3840 x 5600 pixels rda</t>
  </si>
  <si>
    <t>Blackeby's Old Sweet Shop, James Place, Adelaide.</t>
  </si>
  <si>
    <t>Confectioners -- South Australia -- Adelaide;Stores, Retail -- South Australia -- Adelaide</t>
  </si>
  <si>
    <t>b31840176</t>
  </si>
  <si>
    <t>b31838923</t>
  </si>
  <si>
    <t>Tramline extension, Adelaide</t>
  </si>
  <si>
    <t>2018 January 9</t>
  </si>
  <si>
    <t>1 photograph : colour;still image sti rdacontent;computer c rdamedia;online resource cr rdacarrier;image file TIFF 5760 x 3522 pixels rda</t>
  </si>
  <si>
    <t>Work on the North Terrace tramline extension. View looking east from near the intersection with Kintore Avenue.</t>
  </si>
  <si>
    <t>Street-railroads -- South Australia -- Adelaide -- Design and construction;North Terrace (Adelaide, S.A.)</t>
  </si>
  <si>
    <t>b31839137</t>
  </si>
  <si>
    <t>1 photograph : colour;still image sti rdacontent;computer c rdamedia;online resource cr rdacarrier;image file TIFF 5760 x 2964 pixels rda</t>
  </si>
  <si>
    <t>Work on the North Terrace tramline extension. View looking west from near the intersection with Kintore Avenue.</t>
  </si>
  <si>
    <t>b31839149</t>
  </si>
  <si>
    <t>1 photograph : colour;still image sti rdacontent;computer c rdamedia;online resource cr rdacarrier;image file TIFF 5628 x 3174 pixels rda</t>
  </si>
  <si>
    <t>Work on the North Terrace tramline extension. View looking west from west of the intersection with Kintore Avenue.</t>
  </si>
  <si>
    <t>b31839150</t>
  </si>
  <si>
    <t>Tramline extension storage and construction workers amenities on North Terrace east of the intersection with King William Street.</t>
  </si>
  <si>
    <t>b31839162</t>
  </si>
  <si>
    <t>View looking west of tramline extension work on the intersection of North Terrace and King William Street. The intersection was closed to all traffic from 10pm Monday 1 January to 6am Monday 15 January.</t>
  </si>
  <si>
    <t>Street-railroads -- South Australia -- Adelaide -- Design and construction;Concrete -- Pump placing;North Terrace (Adelaide, S.A.)</t>
  </si>
  <si>
    <t>b31839186</t>
  </si>
  <si>
    <t>1 photograph : colour;still image sti rdacontent;computer c rdamedia;online resource cr rdacarrier;image file TIFF 3840 x 4408 pixels rda</t>
  </si>
  <si>
    <t>View looking south west of tramline extension work on the intersection of North Terrace and King William Street. The intersection was closed to all traffic from 10pm Monday 1 January to 6am Monday 15 January.</t>
  </si>
  <si>
    <t>South African War Memorial (Adelaide, S.A.);Street-railroads -- South Australia -- Adelaide -- Design and construction;Concrete -- Pump placing;North Terrace (Adelaide, S.A.)</t>
  </si>
  <si>
    <t>b31839198</t>
  </si>
  <si>
    <t>View looking south from King William Road of tramline extension work on the intersection of North Terrace and King William Street. The intersection was closed to all traffic from 10pm Monday 1 January to 6am Monday 15 January.</t>
  </si>
  <si>
    <t>Street-railroads -- South Australia -- Adelaide -- Design and construction</t>
  </si>
  <si>
    <t>b31839204</t>
  </si>
  <si>
    <t>View looking south east from Parliament House of tramline extension work on the intersection of North Terrace and King William Street. The intersection was closed to all traffic from 10pm Monday 1 January to 6am Monday 15 January.</t>
  </si>
  <si>
    <t>b31839216</t>
  </si>
  <si>
    <t>1 photograph : colour;still image sti rdacontent;computer c rdamedia;online resource cr rdacarrier;image file TIFF 5466 x 3717 pixels rda</t>
  </si>
  <si>
    <t>b3183923x</t>
  </si>
  <si>
    <t>1 photograph : colour;still image sti rdacontent;computer c rdamedia;online resource cr rdacarrier;image file TIFF 3840 x 4634 pixels rda</t>
  </si>
  <si>
    <t>b31839241</t>
  </si>
  <si>
    <t>View looking south east from King William Road of tramline extension work on the intersection of North Terrace and King William Street. The intersection was closed to all traffic from 10pm Monday 1 January to 6am Monday 15 January.</t>
  </si>
  <si>
    <t>b31839253</t>
  </si>
  <si>
    <t>1 photograph : colour;still image sti rdacontent;computer c rdamedia;online resource cr rdacarrier;image file TIFF 5148 x 2904 pixels rda</t>
  </si>
  <si>
    <t>b31839265</t>
  </si>
  <si>
    <t>1 photograph : colour;still image sti rdacontent;computer c rdamedia;online resource cr rdacarrier;image file TIFF 5760 x 3102 pixels rda</t>
  </si>
  <si>
    <t>b31839277</t>
  </si>
  <si>
    <t>b31839289</t>
  </si>
  <si>
    <t>Street-railroads -- South Australia -- Adelaide -- Design and construction;King William Road (Adelaide, S.A.)</t>
  </si>
  <si>
    <t>b31839290</t>
  </si>
  <si>
    <t>1 photograph : colour;still image sti rdacontent;computer c rdamedia;online resource cr rdacarrier;image file TIFF 5496 x 3844 pixels rda</t>
  </si>
  <si>
    <t>b31839307</t>
  </si>
  <si>
    <t>1 photograph : colour;still image sti rdacontent;computer c rdamedia;online resource cr rdacarrier;image file TIFF 3840 x 4224 pixels rda</t>
  </si>
  <si>
    <t>View looking east from near the Adelaide Railway Station of tramline extension work on the intersection of North Terrace and King William Street. The intersection was closed to all traffic from 10pm Monday 1 January to 6am Monday 15 January.</t>
  </si>
  <si>
    <t>b31839319</t>
  </si>
  <si>
    <t>View looking south east toward Parliament House of tramline extension work on the intersection of North Terrace and King William Street. The intersection was closed to all traffic from 10pm Monday 1 January to 6am Monday 15 January.</t>
  </si>
  <si>
    <t>Parliament House (Adelaide, S.A.);Street-railroads -- South Australia -- Adelaide -- Design and construction;North Terrace (Adelaide, S.A.)</t>
  </si>
  <si>
    <t>b31839320</t>
  </si>
  <si>
    <t>View looking north east across the intersection of North Terrace and King William Street toward Government House of tramline extension work. The blue boom is used for delivering pumped concrete. The intersection was closed to all traffic from 10pm Monday 1 January to 6am Monday 15 January.</t>
  </si>
  <si>
    <t>Concrete -- Pump placing;Street-railroads -- South Australia -- Adelaide -- Design and construction;North Terrace (Adelaide, S.A.)</t>
  </si>
  <si>
    <t>b3183940x</t>
  </si>
  <si>
    <t>View from the KW2 bar and restaurant, 2 King William Street, Adelaide, looking north along King William Road with tramline extension work in progress. Parliament House (left) and the entrance to Government House (right) are in the foreground. In the distance are the Adelaide Festival Centre and Adelaide Oval. The intersection with North Terrace was closed to all traffic from 10pm Monday 1 January to 6am Monday 15 January.</t>
  </si>
  <si>
    <t>Adelaide Festival Centre.;Adelaide Oval.;Parliament House (Adelaide, S.A.);Street-railroads -- South Australia -- Adelaide -- Design and construction.;King William Road (Adelaide, S.A.)</t>
  </si>
  <si>
    <t>b31839423</t>
  </si>
  <si>
    <t>View from the KW2 bar and restaurant, 2 King William Street, Adelaide, looking north along King William Road with tramline extension work in progress. The Adelaide Railway Station (left), Parliament House (centre) and the entrance to Government House (right) are in the foreground. In the distance are the Adelaide Festival Centre and Adelaide Oval. The intersection with North Terrace was closed to all traffic from 10pm Monday 1 January to 6am Monday 15 January.</t>
  </si>
  <si>
    <t>Adelaide Festival Centre.;Adelaide Oval.;Adelaide Railway Station.;Parliament House (Adelaide, S.A.);Street-railroads -- South Australia -- Adelaide -- Design and construction.;King William Road (Adelaide, S.A.)</t>
  </si>
  <si>
    <t>b31839435</t>
  </si>
  <si>
    <t>View from the KW2 bar and restaurant, 2 King William Street, Adelaide, looking west along North Terrace with tramline extension work in progress. Parliament House is in the foreground with the Adelaide Railway Station behind. The intersection with King William street was closed to all traffic from 10pm Monday 1 January to 6am Monday 15 January.</t>
  </si>
  <si>
    <t>Adelaide Railway Station.;Parliament House (Adelaide, S.A.);Street-railroads -- South Australia -- Adelaide -- Design and construction.;North Terrace (Adelaide, S.A.)</t>
  </si>
  <si>
    <t>b31839459</t>
  </si>
  <si>
    <t>View across the intersection of North Terrace and King William Street to Parliament House with tramline extension work in progress in the foreground. The blue boom is used for delivering pumped concrete. The intersection with King William Street was closed to all traffic from 10pm Monday 1 January to 6am Monday 15 January.</t>
  </si>
  <si>
    <t>Parliament House (Adelaide, S.A.);Concrete -- Pump placing.;Street-railroads -- South Australia -- Adelaide -- Design and construction.;North Terrace (Adelaide, S.A.)</t>
  </si>
  <si>
    <t>b31839526</t>
  </si>
  <si>
    <t>View across the intersection of North Terrace and Kintore Avenue to the Institute Building with tramline extension work in progress.</t>
  </si>
  <si>
    <t>Institute Building (Adelaide, S.A.);State Library of South Australia -- Buildings;Street-railroads -- South Australia -- Adelaide -- Design and construction.;North Terrace (Adelaide, S.A.)</t>
  </si>
  <si>
    <t>Institute Building Collection</t>
  </si>
  <si>
    <t>b31839538</t>
  </si>
  <si>
    <t>View east across the intersection of North Terrace and Kintore Avenue to tramline extension work in progress.</t>
  </si>
  <si>
    <t>Street-railroads -- South Australia -- Adelaide -- Design and construction.;North Terrace (Adelaide, S.A.)</t>
  </si>
  <si>
    <t>b31839551</t>
  </si>
  <si>
    <t>Adelaide Plaza redevelopment</t>
  </si>
  <si>
    <t>View from King William Road to the Adelaide Railway Station building and Adelaide Festival Centre with Adelaide plaza redevelopment work in progress. Richard OÔÇÖBrienÔÇÖs The Rocky Horror Show is playing at the Festival Theatre.</t>
  </si>
  <si>
    <t>O'Brien, Richard, 1942- . Rocky Horror show;Adelaide Festival Centre.;Adelaide Casino.</t>
  </si>
  <si>
    <t>b31950619</t>
  </si>
  <si>
    <t>Adelaide vigil in memory of Eurydice Dixon</t>
  </si>
  <si>
    <t>2018 June 18</t>
  </si>
  <si>
    <t>1 photograph : colour;still image sti rdacontent;computer c rdamedia;online resource cr rdacarrier;image file TIFF 5184 x 3056 pixels rda</t>
  </si>
  <si>
    <t>Adelaide vigil in memory of Eurydice Dixon. This was one of many vigils that were held nationwide to honour the memory of 22 year old comedian Eurydice Dixon who was raped and murdered at Princes Park, Melbourne, on the night of 12 June 2018.</t>
  </si>
  <si>
    <t>Memorial Services -- South Australia -- Adelaide</t>
  </si>
  <si>
    <t>b31950620</t>
  </si>
  <si>
    <t>1 photograph : colour;still image sti rdacontent;computer c rdamedia;online resource cr rdacarrier;image file TIFF 5184 x 2912 pixels rda</t>
  </si>
  <si>
    <t>Liz Nowell is interviewed by a ABC Television journalist Claire Campbell and cameraman Ben Pettit prior to the Adelaide vigil in memory of Eurydice Dixon. This was one of many vigils that were held nationwide to honour the memory of 22 year old comedian Eurydice Dixon who was raped and murdered at Princes Park, Melbourne, on the night of 12 June 2018.</t>
  </si>
  <si>
    <t>Memorial Services -- South Australia -- Adelaide;Journalists -- South Australia -- Adelaide;Television camera operators -- South Australia -- Adelaide</t>
  </si>
  <si>
    <t>b31950632</t>
  </si>
  <si>
    <t>1 photograph : colour;still image sti rdacontent;computer c rdamedia;online resource cr rdacarrier;image file TIFF 5184 x 2488 pixels rda</t>
  </si>
  <si>
    <t>People gather at Elder Park prior to the Adelaide vigil in memory of Eurydice Dixon. This was one of many vigils that were held nationwide to honour the memory of 22 year old comedian Eurydice Dixon who was raped and murdered at Princes Park, Melbourne, on the night of 12 June 2018.</t>
  </si>
  <si>
    <t>b31950644</t>
  </si>
  <si>
    <t>1 photograph : colour;still image sti rdacontent;computer c rdamedia;online resource cr rdacarrier;image file TIFF 5184 x 2652 pixels rda</t>
  </si>
  <si>
    <t>b31950656</t>
  </si>
  <si>
    <t>b31950668</t>
  </si>
  <si>
    <t>1 photograph : colour;still image sti rdacontent;computer c rdamedia;online resource cr rdacarrier;image file TIFF 5184 x 2644 pixels rda</t>
  </si>
  <si>
    <t>b31950589</t>
  </si>
  <si>
    <t>Phil Cummings</t>
  </si>
  <si>
    <t>2018 June 19</t>
  </si>
  <si>
    <t>1 photograph : colour;still image sti rdacontent;computer c rdamedia;online resource cr rdacarrier;image file TIFF 3840 x 4598 pixels rda</t>
  </si>
  <si>
    <t>South Australian children's fiction author Phil Cummings at the State Library holding a copy of his book, Boy, published in 2017.</t>
  </si>
  <si>
    <t>Cummings, Phil, 1957-;Authors -- South Australia -- Adelaide;Children's literature, -- South Australia</t>
  </si>
  <si>
    <t>b31950590</t>
  </si>
  <si>
    <t>1 photograph : colour;still image sti rdacontent;computer c rdamedia;online resource cr rdacarrier;image file TIFF 3840 x 4712 pixels rda</t>
  </si>
  <si>
    <t>South Australian children's fiction author Phil Cummings at the State Library holding a copy of his book, Wilbur, Grace and Joe, published in 2017, and standing next to a selection of his other works.</t>
  </si>
  <si>
    <t>b31899614</t>
  </si>
  <si>
    <t>State Library of South Australia, Adelaide</t>
  </si>
  <si>
    <t>2018 March 15</t>
  </si>
  <si>
    <t>1 photograph : colour;still image sti rdacontent;computer c rdamedia;online resource cr rdacarrier;image file TIFF 3840 x 3832 pixels rda</t>
  </si>
  <si>
    <t>State Library of South Australia, North Terrace, Adelaide. Bill's Fountain in memory of William Scammell, AO, CBE, is in the foreground, the Institute Building (1861) is to the left, the glass foyer of the Spence Wing (2003) is central, and the Mortlock Wing (1884) is to the right.</t>
  </si>
  <si>
    <t>Libraries -- South Australia -- Adelaide;Library architecture -- South Australia -- Adelaide</t>
  </si>
  <si>
    <t>b31911997</t>
  </si>
  <si>
    <t>Patricia Sumerling</t>
  </si>
  <si>
    <t>2018 May 1</t>
  </si>
  <si>
    <t>1 photograph : colour;still image sti rdacontent;computer c rdamedia;online resource cr rdacarrier;image file TIFF 5792 x 8688 pixels rda</t>
  </si>
  <si>
    <t>Historian and author Patricia Sumerling in the State Library holding a copy of her book, 'The Adelaide Park Lands : a social history'.</t>
  </si>
  <si>
    <t>Sumerling, Patricia, 1945-;Authors -- South Australia -- Adelaide;Historians -- South Australia -- Adelaide</t>
  </si>
  <si>
    <t>b3191276x</t>
  </si>
  <si>
    <t>Darryl J. Thompson</t>
  </si>
  <si>
    <t>2018 May 2</t>
  </si>
  <si>
    <t>1 photograph : colour;still image sti rdacontent;computer c rdamedia;online resource cr rdacarrier;image file TIFF 5792 x 7320 pixels rda</t>
  </si>
  <si>
    <t>Historian and author Darryl J. Thompson in the State Library holding a copy of his book, 'Traces : Where Adelaide ate out 1836 - 1960'.</t>
  </si>
  <si>
    <t>Thompson, Darryl J., 1950 -;Authors -- South Australia -- Adelaide;Historians -- South Australia -- Adelaide</t>
  </si>
  <si>
    <t>b3191309x</t>
  </si>
  <si>
    <t>Chris Brodsky and Allison Murchie</t>
  </si>
  <si>
    <t>2018 May 5</t>
  </si>
  <si>
    <t>CFMEU union official Chris Brodsky and Adelaide May Day Collective member Allison Murchie at Victoria Square, Adelaide, before the May Day march to Light Square.</t>
  </si>
  <si>
    <t>Brodsky, Chris, 1974-;Murchie, Allison, 1952-;May Day Collective;Labor union members -- South Australia -- Adelaide;Labor unions -- Officials and employees;May Day (Labor holiday) -- South Australia -- Adelaide</t>
  </si>
  <si>
    <t>b31913350</t>
  </si>
  <si>
    <t>May Day march, Adelaide</t>
  </si>
  <si>
    <t>1 photograph : colour;still image sti rdacontent;computer c rdamedia;online resource cr rdacarrier;image file TIFF 7912 x 5792 pixels rda</t>
  </si>
  <si>
    <t>Union members at Victoria Square, Adelaide, prior to the May Day march.</t>
  </si>
  <si>
    <t>May Day Collective;Labor union members -- South Australia -- Adelaide;May Day (Labor holiday) -- South Australia -- Adelaide</t>
  </si>
  <si>
    <t>b31913362</t>
  </si>
  <si>
    <t>Russell Wortley MLC, Allison Murchie, and Gus Story at Victoria Square prior to the May Day march.</t>
  </si>
  <si>
    <t>Murchie, Allison, 1952-;Wortley, Russell;May Day Collective;Labor union members -- South Australia -- Adelaide;May Day (Labor holiday) -- South Australia -- Adelaide</t>
  </si>
  <si>
    <t>b31913386</t>
  </si>
  <si>
    <t>Australian Services Union members wearing 'Change the Rules' T-shirts at Victoria Square prior to the May Day march.</t>
  </si>
  <si>
    <t>Australian Services Union;May Day Collective;Labor union members -- South Australia -- Adelaide;May Day (Labor holiday) -- South Australia -- Adelaide</t>
  </si>
  <si>
    <t>b31913398</t>
  </si>
  <si>
    <t>Two women holding a banner that says 'Stolen Land Children Language Culture Lives Future' at Victoria Square prior to the May Day march.</t>
  </si>
  <si>
    <t>May Day Collective;Banners -- South Australia -- Adelaide;Labor union members -- South Australia -- Adelaide;May Day (Labor holiday) -- South Australia -- Adelaide</t>
  </si>
  <si>
    <t>b31913404</t>
  </si>
  <si>
    <t>Unions SA Secretary, Joe Szakacs, being interviewed by media journalists including ABC journalist Isadora Bogle (left) and Channel 9 journalist Chelsea Carey (right) at Victoria Square prior to the May Day march.</t>
  </si>
  <si>
    <t>Szakacs, Joe;Bogle, Isadora;Carey, Chelsea;SA Unions;May Day Collective;Journalists -- South Australia -- Adelaide;Labor union members -- South Australia -- Adelaide;May Day (Labor holiday) -- South Australia -- Adelaide</t>
  </si>
  <si>
    <t>b31913428</t>
  </si>
  <si>
    <t>Drum band at Victoria Square prior to the May Day march.</t>
  </si>
  <si>
    <t>May Day Collective;Drummers (Musicians) -- South Australia -- Adelaide;May Day (Labor holiday) -- South Australia -- Adelaide</t>
  </si>
  <si>
    <t>b3191343x</t>
  </si>
  <si>
    <t>Marchers gather at Victoria Square prior to the May Day march.</t>
  </si>
  <si>
    <t>b31913441</t>
  </si>
  <si>
    <t>b31913623</t>
  </si>
  <si>
    <t>Maritime Union of Australia South Australian Branch Secretary Jamie Newlyn standing on the back of a utility in Victoria Square addressing marchers prior to the May Day march.</t>
  </si>
  <si>
    <t>Newlyn, Jamie;Maritime Union of Australia;May Day Collective;Labor union members -- South Australia -- Adelaide;May Day (Labor holiday) -- South Australia -- Adelaide</t>
  </si>
  <si>
    <t>b31913647</t>
  </si>
  <si>
    <t>Maritime Union of Australia South Australian Branch Secretary Jamie Newlyn standing on the back of a utility in Victoria Square addressing marchers prior to the May Day march. Luke Heffernan is standing to the right holding the Eureka Flag.</t>
  </si>
  <si>
    <t>Heffernan, Luke, 1937-;Newlyn, Jamie;Maritime Union of Australia;May Day Collective;Labor union members -- South Australia -- Adelaide;May Day (Labor holiday) -- South Australia -- Adelaide</t>
  </si>
  <si>
    <t>b31913659</t>
  </si>
  <si>
    <t>SA Unions Secretary Joe Szakacs standing on the back of a utility in Victoria Square, Adelaide, addressing marchers prior to the May Day march. Luke Heffernan is standing to the right holding the Eureka Flag.</t>
  </si>
  <si>
    <t>Heffernan, Luke, 1937-;Szakacs, Joe;SA Unions;May Day Collective;Labor union members -- South Australia -- Adelaide;May Day (Labor holiday) -- South Australia -- Adelaide</t>
  </si>
  <si>
    <t>b31913660</t>
  </si>
  <si>
    <t>As the Adelaide May Day marchers move onto King William Street, Adelaide, from Victoria Square / Tarntanyangga, May Day Collective member Allison Murchie leads the way.</t>
  </si>
  <si>
    <t>Murchie, Allison, 1952-;South Australian Metropolitan Fire Service;May Day Collective;Labor union members -- South Australia -- Adelaide;May Day (Labor holiday) -- South Australia -- Adelaide</t>
  </si>
  <si>
    <t>b31913696</t>
  </si>
  <si>
    <t>Adelaide May Day marchers led by unionists holding a 'Change the Rules' banner move onto King William Street, Adelaide, from Victoria Square / Tarntanyangga.</t>
  </si>
  <si>
    <t>Brodsky, Chris, 1974-;South Australian Metropolitan Fire Service;May Day Collective;Banners -- South Australia -- Adelaide;Labor union members -- South Australia -- Adelaide;May Day (Labor holiday) -- South Australia -- Adelaide</t>
  </si>
  <si>
    <t>b31913714</t>
  </si>
  <si>
    <t>A South Australian Metropolitan Fire Service pumper leads Adelaide May Day marchers north along King William Street from Victoria Square. Carolyn 'Max' Adlam, Industrial Officer of the United Firefighters Union of SA, is walking behind the pumper carrying a union flag.</t>
  </si>
  <si>
    <t>Adlam, Max, 1957-;South Australian Metropolitan Fire Service;May Day Collective;Labor union members -- South Australia -- Adelaide;May Day (Labor holiday) -- South Australia -- Adelaide</t>
  </si>
  <si>
    <t>b3191374x</t>
  </si>
  <si>
    <t>Being led by Carolyn 'Max' Adlam, Industrial Officer of the United Firefighters Union of SA, carrying a union flag, Adelaide May Day marchers proceed north along King William Street from Victoria Square.</t>
  </si>
  <si>
    <t>Adlam, Max, 1957-;May Day Collective;United Fire Fighters Union of S.A.;Labor union members -- South Australia -- Adelaide;May Day (Labor holiday) -- South Australia -- Adelaide</t>
  </si>
  <si>
    <t>b31913751</t>
  </si>
  <si>
    <t>Adelaide May Day marchers proceeding north along King William Street from Victoria Square.</t>
  </si>
  <si>
    <t>May Day Collective;Australian Services Union;Labor union members -- South Australia -- Adelaide;May Day (Labor holiday) -- South Australia -- Adelaide</t>
  </si>
  <si>
    <t>b31913763</t>
  </si>
  <si>
    <t>May Day Collective;United Fire Fighters Union of S.A.;Labor union members -- South Australia -- Adelaide;May Day (Labor holiday) -- South Australia -- Adelaide</t>
  </si>
  <si>
    <t>b31913775</t>
  </si>
  <si>
    <t>A group called 'Anti-Imperialists for Syria' in the Adelaide May Day march proceeding north along King William Street. Photographer Fernando Gon├ºalves is to the left of the photograph.</t>
  </si>
  <si>
    <t>Gon├ºalves, Fernando M.;May Day Collective;Anti-war demonstrations -- South Australia -- Adelaide;May Day (Labor holiday) -- South Australia -- Adelaide</t>
  </si>
  <si>
    <t>b31913799</t>
  </si>
  <si>
    <t>Adelaide May Day marchers carrying a Maritime Union of Australia banner proceeding north along King William Street from Victoria Square. The banner commemorates the 20th anniversary of the Patrick dispute.</t>
  </si>
  <si>
    <t>May Day Collective;Maritime Union of Australia;Banners -- South Australia -- Adelaide;Labor union members -- South Australia -- Adelaide;May Day (Labor holiday) -- South Australia -- Adelaide</t>
  </si>
  <si>
    <t>b31913933</t>
  </si>
  <si>
    <t>Adelaide May Day marchers carrying Transport Worker's Union flags proceeding north along King William Street from Victoria Square. Wearing a black coat Russell Wortley MLC is carrying a TWU flag near the centre right of the photograph.</t>
  </si>
  <si>
    <t>Wortley, Russell;May Day Collective;Transport Workers Union;Labor union members -- South Australia -- Adelaide;May Day (Labor holiday) -- South Australia -- Adelaide</t>
  </si>
  <si>
    <t>b31913945</t>
  </si>
  <si>
    <t>Adelaide May Day marchers including a man walking a dog, another man wearing a 'Change the Rules' T-shirt pushing a pram with a baby in it, and a woman guiding a boy on a scooter, proceeding north along King William Street from Victoria Square.</t>
  </si>
  <si>
    <t>b31913969</t>
  </si>
  <si>
    <t>b31913982</t>
  </si>
  <si>
    <t>Two women in the Adelaide May Day march carrying a banner that reads 'All we want is a fair go!' proceeding north along King William Street from Victoria Square.</t>
  </si>
  <si>
    <t>b31913994</t>
  </si>
  <si>
    <t>Adelaide May Day march proceeding north along King William Street from Victoria Square. Two women carry Australian Nursing and Midwifery Federation flags, one is holding a smart phone to take a photo, and two men hold a 'Student Representative Council' banner.</t>
  </si>
  <si>
    <t>May Day Collective;Australian Nursing and Midwifery Federation;Labor union members -- South Australia -- Adelaide;May Day (Labor holiday) -- South Australia -- Adelaide</t>
  </si>
  <si>
    <t>b31914093</t>
  </si>
  <si>
    <t>Adelaide May Day march proceeding north along King William Street from Victoria Square. Two men carry a banner that read's 'Unionists say: No Nuclear Waste Dump!'</t>
  </si>
  <si>
    <t>b31918803</t>
  </si>
  <si>
    <t>Adelaide May Day marchers wearing United Voice t-shirts proceeding north along King William Street from Victoria Square.</t>
  </si>
  <si>
    <t>May Day Collective;United Voice;Labor union members -- South Australia -- Adelaide;May Day (Labor holiday) -- South Australia -- Adelaide</t>
  </si>
  <si>
    <t>b31918815</t>
  </si>
  <si>
    <t>Australian Greens members in the Adelaide May Day march wearing 'The Greens' t-shirts proceeding north along King William Street from Victoria Square. Robert Simms is near the centre of the photo carrying a National Tertiary Education Union 'Change the Rules' sign.</t>
  </si>
  <si>
    <t>May Day Collective;Australian Greens SA;Labor union members -- South Australia -- Adelaide;May Day (Labor holiday) -- South Australia -- Adelaide</t>
  </si>
  <si>
    <t>b31918839</t>
  </si>
  <si>
    <t>Adelaide May Day marchers proceeding north along King William Street from Victoria Square. Two men are carrying a banner of the Independent and Peaceful Australia Network S.A. The Member for Port Adelaide, Hon. Mark Butler M.P. is towards the right of the photo wearing a dark jacket and denim jeans.</t>
  </si>
  <si>
    <t>Butler, Mark, 1971-;May Day Collective;Independent and Peaceful Australia Network S.A.;Banners -- South Australia -- Adelaide;Labor union members -- South Australia -- Adelaide;May Day (Labor holiday) -- South Australia -- Adelaide</t>
  </si>
  <si>
    <t>b31918840</t>
  </si>
  <si>
    <t>Adelaide May Day marchers arriving at Light Square after marching from Victoria Square via King William and Currie Streets. A large banner that read's 'Unionists say: No Nuclear Waste Dump!' is being displayed so that it can be seen by passing motorists on Currie Street.</t>
  </si>
  <si>
    <t>May Day Collective;Labor union members -- South Australia -- Adelaide;May Day (Labor holiday) -- South Australia -- Adelaide;Banners -- South Australia -- Adelaide</t>
  </si>
  <si>
    <t>b31918852</t>
  </si>
  <si>
    <t>Lenin and the Dreamers playing in light Square, Adelaide, as May Day marchers arrive from Victoria Square.</t>
  </si>
  <si>
    <t>May Day Collective;Labor union members -- South Australia -- Adelaide;May Day (Labor holiday) -- South Australia -- Adelaide;Bands (Music) -- South Australia -- Adelaide</t>
  </si>
  <si>
    <t>b31918876</t>
  </si>
  <si>
    <t>Public Service Association of S.A. union member Tonia Bradstreet at Light Square after marching in the May Day march.</t>
  </si>
  <si>
    <t>Bradstreet, Tonia;May Day Collective;Labor union members -- South Australia -- Adelaide;May Day (Labor holiday) -- South Australia -- Adelaide</t>
  </si>
  <si>
    <t>b31918888</t>
  </si>
  <si>
    <t>ABC TV journalist, Isadora Bogle, and cameraman, Carl Saville, record an interview with A.M.W.U. union member, Hilton Gumbys, in Light Square after the May Day march.</t>
  </si>
  <si>
    <t>Bogle, Isadora;Saville, Carl;Gumbys, Hilton;Australian Manufacturing Workers Union;May Day Collective;Journalists -- South Australia -- Adelaide;Television camera operators -- South Australia -- Adelaide;Labor union members -- South Australia -- Adelaide;May Day (Labor holiday) -- South Australia -- Adelaide</t>
  </si>
  <si>
    <t>b31918906</t>
  </si>
  <si>
    <t>ABC TV journalist, Isadora Bogle, records an interview with A.M.W.U. union member, Hilton Gumbys, in Light Square after the May Day march.</t>
  </si>
  <si>
    <t>Bogle, Isadora;Gumbys, Hilton;Australian Manufacturing Workers Union;May Day Collective;Journalists -- South Australia -- Adelaide;Labor union members -- South Australia -- Adelaide;May Day (Labor holiday) -- South Australia -- Adelaide</t>
  </si>
  <si>
    <t>b31918918</t>
  </si>
  <si>
    <t>b31995901</t>
  </si>
  <si>
    <t>Centenary of the First World War Armistice</t>
  </si>
  <si>
    <t>2018 November 11</t>
  </si>
  <si>
    <t>Man up a ladder which is being held by Warrant Officer Ross Chavasse, RAAF, adjusts the flags on the National War Memorial, Adelaide, prior to the ceremony marking the centenary of the First World War Armistice</t>
  </si>
  <si>
    <t>War memorials -- South Australia -- Adelaide;World War, 1914-1918 -- Anniversaries, etc. -- South Australia -- Adelaide</t>
  </si>
  <si>
    <t>War Memorial Collection</t>
  </si>
  <si>
    <t>b31995913</t>
  </si>
  <si>
    <t>Members of the catafalque party at the National War Memorial, Adelaide, prior to the ceremony marking the centenary of the First World War Armistice.</t>
  </si>
  <si>
    <t>b31995925</t>
  </si>
  <si>
    <t>Members of the public begin to gather at the National War Memorial, Adelaide, prior to the ceremony marking the centenary of the First World War Armistice.</t>
  </si>
  <si>
    <t>b31996012</t>
  </si>
  <si>
    <t>b31996024</t>
  </si>
  <si>
    <t>b31996334</t>
  </si>
  <si>
    <t>Mounting of the Catafalque Party at the National War Memorial, Adelaide, prior to the ceremony marking the centenary of the First World War Armistice.</t>
  </si>
  <si>
    <t>b31996371</t>
  </si>
  <si>
    <t>Mounting of the Catafalque Party at the National War Memorial, Adelaide, prior to the ceremony marking the centenary of the First World War Armistice. Bronson Horan, President of the Returned and Services League of South Australia and the Northern Territory, is at the podium.</t>
  </si>
  <si>
    <t>Horan, Bronson;War memorials -- South Australia -- Adelaide;World War, 1914-1918 -- Anniversaries, etc. -- South Australia -- Adelaide</t>
  </si>
  <si>
    <t>b31996425</t>
  </si>
  <si>
    <t>President of the Returned and Services League of South Australia and the Northern Territory, Bronson Horan, addressing the attendees at the National War Memorial, Adelaide, at the beginning of the ceremony marking the centenary of the First World War Armistice.</t>
  </si>
  <si>
    <t>b31996474</t>
  </si>
  <si>
    <t>b31996486</t>
  </si>
  <si>
    <t>President of the Returned and Services League of South Australia and the Northern Territory, Bronson Horan, addressing the attendees at the National War Memorial, Adelaide, during the ceremony marking the centenary of the First World War Armistice.</t>
  </si>
  <si>
    <t>b31996498</t>
  </si>
  <si>
    <t>b31996504</t>
  </si>
  <si>
    <t>Chaplain Carl Aiken gives the scripture reading at the National War Memorial, Adelaide, during the ceremony marking the centenary of the First World War Armistice.</t>
  </si>
  <si>
    <t>Aiken, Carl;War memorials -- South Australia -- Adelaide;World War, 1914-1918 -- Anniversaries, etc. -- South Australia -- Adelaide</t>
  </si>
  <si>
    <t>b31996516</t>
  </si>
  <si>
    <t>b31996528</t>
  </si>
  <si>
    <t>b3199653x</t>
  </si>
  <si>
    <t>A section of the crowd at the National War Memorial, Adelaide, during the ceremony marking the centenary of the First World War Armistice.</t>
  </si>
  <si>
    <t>b31996541</t>
  </si>
  <si>
    <t>His Excellency Governor of South Australia, The Honourable Hieu Van Le AC, and Mrs. Le, lay a wreath at the National War Memorial, Adelaide, during the ceremony marking the centenary of the First World War Armistice.</t>
  </si>
  <si>
    <t>Le, Hieu Van, 1954-;Le, Lan, 1957-;Governors -- South Australia;War memorials -- South Australia -- Adelaide;World War, 1914-1918 -- Anniversaries, etc. -- South Australia -- Adelaide</t>
  </si>
  <si>
    <t>b31996553</t>
  </si>
  <si>
    <t>His Excellency Governor of South Australia, The Honourable Hieu Van Le AC, and Mrs. Le, after laying a wreath at the National War Memorial, Adelaide, during the ceremony marking the centenary of the First World War Armistice.</t>
  </si>
  <si>
    <t>b31996565</t>
  </si>
  <si>
    <t>The Premier of South Australia, Steven Marshall, laying a wreath at the National War Memorial, Adelaide, during the ceremony marking the centenary of the First World War Armistice.</t>
  </si>
  <si>
    <t>Marshall, Steven, 1968-;Premiers -- South Australia -- Adelaide;War memorials -- South Australia -- Adelaide;World War, 1914-1918 -- Anniversaries, etc. -- South Australia -- Adelaide</t>
  </si>
  <si>
    <t>b31996577</t>
  </si>
  <si>
    <t>The Premier of South Australia, Steven Marshall, after laying a wreath at the National War Memorial, Adelaide, during the ceremony marking the centenary of the First World War Armistice.</t>
  </si>
  <si>
    <t>b31996590</t>
  </si>
  <si>
    <t>The Leader of the Opposition, Peter Malinauskas, (left) and The Honourable Justice Blue representing the Chief Justice laying wreaths at the National War Memorial, Adelaide, during the ceremony marking the centenary of the First World War Armistice.</t>
  </si>
  <si>
    <t>Blue, Malcolm, 1954-;Malinauskas, Peter, 1980-;Politicians -- South Australia -- Adelaide;War memorials -- South Australia -- Adelaide;World War, 1914-1918 -- Anniversaries, etc. -- South Australia -- Adelaide</t>
  </si>
  <si>
    <t>b31996607</t>
  </si>
  <si>
    <t>Senators for South Australia, Simon Birmingham (left), and Penny Wong after laying wreaths at the National War Memorial, Adelaide, during the ceremony marking the centenary of the First World War Armistice. Senator Birmingham is accompanied by his daughters, Matilda and Amelia.</t>
  </si>
  <si>
    <t>Birmingham, Simon, 1974-;Wong, Penny, 1968-;Politicians -- South Australia -- Adelaide;War memorials -- South Australia -- Adelaide;World War, 1914-1918 -- Anniversaries, etc. -- South Australia -- Adelaide</t>
  </si>
  <si>
    <t>b31996619</t>
  </si>
  <si>
    <t>Adelaide Lord Mayor, Martin Haese (right) and Genevieve Theseira-Haese, and Andreas Gouras, Dean of the Consular Corp, after laying wreaths at the National War Memorial, Adelaide, during the ceremony marking the centenary of the First World War Armistice.</t>
  </si>
  <si>
    <t>Gouras, Andreas, 1972-;Haese, Martin Kinnear, 1965-;Theseira-Haese, Genevieve, 1964-;Mayors -- South Australia -- Adelaide;War memorials -- South Australia -- Adelaide;World War, 1914-1918 -- Anniversaries, etc. -- South Australia -- Adelaide</t>
  </si>
  <si>
    <t>b31996656</t>
  </si>
  <si>
    <t>Brigadier Damien Cantwell, Group Captain Brendan Rogers, and Commander Andrew Burnett, laying wreaths at the National War Memorial, Adelaide, during the ceremony marking the centenary of the First World War Armistice.</t>
  </si>
  <si>
    <t>Burnett, Andrew;Cantwell, Damien;Rogers, Brendan;Armed Forces -- Officers;War memorials -- South Australia -- Adelaide;World War, 1914-1918 -- Anniversaries, etc. -- South Australia -- Adelaide</t>
  </si>
  <si>
    <t>b3199667x</t>
  </si>
  <si>
    <t>Brigadier Damien Cantwell, Group Captain Brendan Rogers, and Commander Andrew Burnett, salute after laying wreaths at the National War Memorial, Adelaide, during the ceremony marking the centenary of the First World War Armistice.</t>
  </si>
  <si>
    <t>b31996681</t>
  </si>
  <si>
    <t>Commissioner of Police, Grant Stevens, salutes after laying a wreath at the National War Memorial, Adelaide, during the ceremony marking the centenary of the First World War Armistice.</t>
  </si>
  <si>
    <t>Stevens, Grant;Police -- South Australia -- Adelaide;War memorials -- South Australia -- Adelaide;World War, 1914-1918 -- Anniversaries, etc. -- South Australia -- Adelaide</t>
  </si>
  <si>
    <t>b31996693</t>
  </si>
  <si>
    <t>Vice President of the Returned and Services League of South Australia and the Northern Territory, Cheryl Cates, recites The Ode at the National War Memorial, Adelaide, during the ceremony marking the centenary of the First World War Armistice.</t>
  </si>
  <si>
    <t>Cates, Cheryl;Returned Services League of Australia. South Australian Branch;War memorials -- South Australia -- Adelaide;World War, 1914-1918 -- Anniversaries, etc. -- South Australia -- Adelaide</t>
  </si>
  <si>
    <t>b31996747</t>
  </si>
  <si>
    <t>Bugler plays The Last Post while the Catafalque Party stand at Present Arms at the National War Memorial, Adelaide, during the ceremony marking the centenary of the First World War Armistice.</t>
  </si>
  <si>
    <t>Buglers -- South Australia -- Adelaide;War memorials -- South Australia -- Adelaide;World War, 1914-1918 -- Anniversaries, etc. -- South Australia -- Adelaide</t>
  </si>
  <si>
    <t>b31996772</t>
  </si>
  <si>
    <t>b31996796</t>
  </si>
  <si>
    <t>People stand in silence at the National War Memorial, Adelaide, during the ceremony marking the centenary of the First World War Armistice. The bugler is playing The Last Post and the Catafalque Party is standing at Present Arms. Cheryl Cates, in red, is standing at the podium and standing behind her is Bronson Horan.</t>
  </si>
  <si>
    <t>Cates, Cheryl;Horan, Bronson;Buglers -- South Australia -- Adelaide;War memorials -- South Australia -- Adelaide;World War, 1914-1918 -- Anniversaries, etc. -- South Australia -- Adelaide</t>
  </si>
  <si>
    <t>b31996814</t>
  </si>
  <si>
    <t>People stand in silence at the National War Memorial, Adelaide, during the ceremony marking the centenary of the First World War Armistice. Cheryl Cates, in red, is standing at the podium and standing behind her is Bronson Horan.</t>
  </si>
  <si>
    <t>Cates, Cheryl;Horan, Bronson;War memorials -- South Australia -- Adelaide;World War, 1914-1918 -- Anniversaries, etc. -- South Australia -- Adelaide</t>
  </si>
  <si>
    <t>b31996826</t>
  </si>
  <si>
    <t>1 photograph : colour;still image sti rdacontent;computer c rdamedia;online resource cr rdacarrier;image file TIFF 8160 x 5792 pixels rda</t>
  </si>
  <si>
    <t>View looking west from the Institute Building, Kintore Avenue, toward North Terrace and the National War Memorial, Adelaide. People are gathered during the ceremony marking the centenary of the First World War Armistice.</t>
  </si>
  <si>
    <t>Acre 19 Collection;War Memorial Collection</t>
  </si>
  <si>
    <t>b3199684x</t>
  </si>
  <si>
    <t>View looking west from the Institute Building, Kintore Avenue, toward the National War Memorial, Adelaide. The bugler is playing The Rouse and people are gathered during the ceremony marking the centenary of the First World War Armistice.</t>
  </si>
  <si>
    <t>b31996863</t>
  </si>
  <si>
    <t>View looking west from the Institute Building, Kintore Avenue, toward the National War Memorial, Adelaide. The bugler is playing The Rouse and people are gathered on Kintore Avenue during the ceremony marking the centenary of the First World War Armistice.</t>
  </si>
  <si>
    <t>b31996875</t>
  </si>
  <si>
    <t>Actors from the Therry Dramatic Company depict the words and emotions of South Australians before and after World War One. The farmer and dead soldier played by Peter Davies (in blue shirt), the young woman and nurse played by Ashley Penny, and the student and returned soldier played by Robert Bell.</t>
  </si>
  <si>
    <t>Bell, Robert;Davies, Peter;Penny, Ashley;Therry Dramatic Society -- Performances;Actors -- South Australia -- Adelaide;War memorials -- South Australia -- Adelaide;World War, 1914-1918 -- Anniversaries, etc. -- South Australia -- Adelaide</t>
  </si>
  <si>
    <t>b31996991</t>
  </si>
  <si>
    <t>b31997004</t>
  </si>
  <si>
    <t>b31997016</t>
  </si>
  <si>
    <t>b3199703x</t>
  </si>
  <si>
    <t>Chaplain Carl Aiken gives the benediction at the National War Memorial, Adelaide, during the ceremony marking the centenary of the First World War Armistice.</t>
  </si>
  <si>
    <t>b31997041</t>
  </si>
  <si>
    <t>President of the Returned and Services League of South Australia and the Northern Territory, Bronson Horan, addressing the attendees at the National War Memorial, Adelaide, at the end of the ceremony marking the centenary of the First World War Armistice.</t>
  </si>
  <si>
    <t>b31997065</t>
  </si>
  <si>
    <t>b31997223</t>
  </si>
  <si>
    <t>Rededication of the Dardanelles Memorial</t>
  </si>
  <si>
    <t>Following its transfer from the South Parklands to Kintore Avenue the Dardanelles Memorial was rededicated on 11 November 2018 by Chaplain Carl Aiken and Rob Manton, Director of Veterans SA.</t>
  </si>
  <si>
    <t>Aiken, Carl;Manton, Robert;War memorials -- South Australia -- Adelaide;World War, 1914-1918 -- Anniversaries, etc. -- South Australia -- Adelaide</t>
  </si>
  <si>
    <t>b31997272</t>
  </si>
  <si>
    <t>b31997284</t>
  </si>
  <si>
    <t>Following its transfer from the South Parklands to Kintore Avenue the Dardanelles Memorial was rededicated on 11 November 2018 by Chaplain Carl Aiken and Rob Manton, Director of Veterans SA. War Widows' Guild SA President, Mrs Jan Milham, (left) and Past President, Mrs Brenda Fergusson, after laying a wreath at the memorial.</t>
  </si>
  <si>
    <t>Aiken, Carl;Fergusson, Brenda;Manton, Robert;Milham, Jan;War memorials -- South Australia -- Adelaide;World War, 1914-1918 -- Anniversaries, etc. -- South Australia -- Adelaide</t>
  </si>
  <si>
    <t>b31997302</t>
  </si>
  <si>
    <t>Following its transfer from the South Parklands to Kintore Avenue the Dardanelles Memorial was rededicated on 11 November 2018 by Chaplain Carl Aiken and Rob Manton, Director of Veterans SA. War Widows' Guild SA wreath on the memorial after it was placed there by Guild President, Mrs Jan Milham, and Past President, Mrs Brenda Fergusson.</t>
  </si>
  <si>
    <t>b31997326</t>
  </si>
  <si>
    <t>Following its transfer from the South Parklands to Kintore Avenue the Dardanelles Memorial was rededicated on 11 November 2018 by Chaplain Carl Aiken and Rob Manton, Director of Veterans SA. L-R: The Premier of South Australia, Steven Marshall, War Widows' Guild SA Past President Mrs Brenda Fergusson, His Excellency Governor of South Australia, The Honourable Hieu Van Le AC, and Mrs. Le.</t>
  </si>
  <si>
    <t>Fergusson, Brenda;Le, Hieu Van, 1954-;Le, Lan, 1957-;Marshall, Steven, 1968-;War memorials -- South Australia -- Adelaide;World War, 1914-1918 -- Anniversaries, etc. -- South Australia -- Adelaide</t>
  </si>
  <si>
    <t>b3199734x</t>
  </si>
  <si>
    <t>Following its transfer from the South Parklands to Kintore Avenue the Dardanelles Memorial was rededicated on 11 November 2018 by Chaplain Carl Aiken and Rob Manton, Director of Veterans SA. L-R: Thelma Zimmernan, War Widows' Guild SA President, Jan Milham, the Premier of South Australia, Steven Marshall, and Helen Adamson in front of the memorial.</t>
  </si>
  <si>
    <t>Adamson, Helen;Marshall, Steven, 1968-;Milham, Jan;Zimmernan, Thelma;War memorials -- South Australia -- Adelaide;World War, 1914-1918 -- Anniversaries, etc. -- South Australia -- Adelaide</t>
  </si>
  <si>
    <t>b31997363</t>
  </si>
  <si>
    <t>b31997375</t>
  </si>
  <si>
    <t>View across Kintore Avenue to the Dardanelles Memorial. Following its transfer from the South Parklands to Kintore Avenue the Dardanelles Memorial was rededicated on 11 November 2018 by Chaplain Carl Aiken and Rob Manton, Director of Veterans SA.</t>
  </si>
  <si>
    <t>b32034647</t>
  </si>
  <si>
    <t>Cottage at 151 Gilbert Street</t>
  </si>
  <si>
    <t>2019 January 18</t>
  </si>
  <si>
    <t>Cottage at 151 Gilbert Street, south side east of Morphett Street.</t>
  </si>
  <si>
    <t>Architecture, Domestic -- South Australia -- Adelaide;Dwellings -- South Australia -- Adelaide</t>
  </si>
  <si>
    <t>b32034672</t>
  </si>
  <si>
    <t>Cottage at 151 Gilbert Street, south side east of Morphett Street. A sign on the footpath is advertising a new development planned for the site.</t>
  </si>
  <si>
    <t>b32034684</t>
  </si>
  <si>
    <t>b32034696</t>
  </si>
  <si>
    <t>Cottages in Wakeham Street, Adelaide</t>
  </si>
  <si>
    <t>2019 January 25</t>
  </si>
  <si>
    <t>Cottages in Wakeham Street, Adelaide.</t>
  </si>
  <si>
    <t>b32034702</t>
  </si>
  <si>
    <t>Cottages in Wakeham Street (east side), Adelaide.</t>
  </si>
  <si>
    <t>b32034726</t>
  </si>
  <si>
    <t>Cottages in Wakeham Street (west side), Adelaide.</t>
  </si>
  <si>
    <t>b32034738</t>
  </si>
  <si>
    <t>b32034751</t>
  </si>
  <si>
    <t>Two storey residence at 171 Halifax Street, Adelaide.</t>
  </si>
  <si>
    <t>Two storey residence at 171 Halifax Street, Adelaide, on the south east corner with Wakeham Street.</t>
  </si>
  <si>
    <t>b32034787</t>
  </si>
  <si>
    <t>Cottages at 166 and 168 Halifax Street, Adelaide.</t>
  </si>
  <si>
    <t>Cottages at 166 and 168 Halifax Street, Adelaide..</t>
  </si>
  <si>
    <t>b32034799</t>
  </si>
  <si>
    <t>Commercial building at 170 Halifax Street, Adelaide.</t>
  </si>
  <si>
    <t>Architecture -- 20th century -- South Australia -- Adelaide</t>
  </si>
  <si>
    <t>Acre 517 Collection</t>
  </si>
  <si>
    <t>b32034842</t>
  </si>
  <si>
    <t>Wakeham Street, Adelaide.</t>
  </si>
  <si>
    <t>View looking south along Wakeham Street, Adelaide. The multi storey building is on the north side of South Terrace.</t>
  </si>
  <si>
    <t>b32034854</t>
  </si>
  <si>
    <t>Cottages on Wakeham Street, Adelaide.</t>
  </si>
  <si>
    <t>Cottages on the west side of Wakeham Street, Adelaide.</t>
  </si>
  <si>
    <t>Architecture -- South Australia -- Adelaide;Dwellings -- South Australia -- Adelaide</t>
  </si>
  <si>
    <t>b32034866</t>
  </si>
  <si>
    <t>Cottages on the west side of Wakeham Street, Adelaide. The multy storey building in the distance is on the north side of South Terrace.</t>
  </si>
  <si>
    <t>b3203488x</t>
  </si>
  <si>
    <t>Residence at 228 Gilles Street, Adelaide</t>
  </si>
  <si>
    <t>Residence on the north side of Gilles Street, Adelaide.</t>
  </si>
  <si>
    <t>Acre 595 Collection</t>
  </si>
  <si>
    <t>b32034891</t>
  </si>
  <si>
    <t>Beresford Arms Inn</t>
  </si>
  <si>
    <t>The recently restored former Beresford Arms Inn on the north side of Gilles Street, Adelaide, is the oldest surviving hotel building in Adelaide. Constructed in 1839 it was first licensed in March 1840. Known as the Oddfellows' Arms from late 1856 to 1861. Subsequently an office with a recently constructed rammed earth private cottage behind.</t>
  </si>
  <si>
    <t>Architecture -- South Australia -- Adelaide;Hotels -- South Australia -- Adelaide</t>
  </si>
  <si>
    <t>Acre 597 Collection</t>
  </si>
  <si>
    <t>b32034908</t>
  </si>
  <si>
    <t>b3203491x</t>
  </si>
  <si>
    <t>Shops on Gilles Street, Adelaide</t>
  </si>
  <si>
    <t>Shops on the south side of Gilles Street, Adelaide, between Cromwell and Pulteney Streets.</t>
  </si>
  <si>
    <t>b32034933</t>
  </si>
  <si>
    <t>Shop on corner of Pulteney and Gilles Streets, Adelaide</t>
  </si>
  <si>
    <t>Shop on the south east corner of Pulteney and Gilles Streets, Adelaide.</t>
  </si>
  <si>
    <t>b32034945</t>
  </si>
  <si>
    <t>431 Pulteney Street, Adelaide</t>
  </si>
  <si>
    <t>431 Pulteney Street, Adelaide.</t>
  </si>
  <si>
    <t>b32035019</t>
  </si>
  <si>
    <t>The Astor, Pulteney Street, Adelaide</t>
  </si>
  <si>
    <t>1 photograph : colour;still image sti rdacontent;computer c rdamedia;online resource cr rdacarrier;image file TIFF 5760 x 3258 pixels rda</t>
  </si>
  <si>
    <t>The Astor hotel on the north west corner of Gilles and Pulteney Streets, Adelaide</t>
  </si>
  <si>
    <t>Hotel Astor (Adelaide, S.A.);Architecture -- South Australia -- Adelaide;Hotels -- South Australia -- Adelaide</t>
  </si>
  <si>
    <t>b32035068</t>
  </si>
  <si>
    <t>North east corner of Pulteney and Gilles Streets, Adelaide</t>
  </si>
  <si>
    <t>1 photograph : colour;still image sti rdacontent;computer c rdamedia;online resource cr rdacarrier;image file TIFF 5760 x 3318 pixels rda</t>
  </si>
  <si>
    <t>Shops and apartments on the north east corner of Gilles and Pulteney Streets, Adelaide</t>
  </si>
  <si>
    <t>b32035081</t>
  </si>
  <si>
    <t>1 photograph : colour;still image sti rdacontent;computer c rdamedia;online resource cr rdacarrier;image file TIFF 5760 x 3450 pixels rda</t>
  </si>
  <si>
    <t>b3203510x</t>
  </si>
  <si>
    <t>Cromwell Street, Adelaide</t>
  </si>
  <si>
    <t>b32035147</t>
  </si>
  <si>
    <t>Harriett Street, Adelaide</t>
  </si>
  <si>
    <t>Houses on east side of Harriett Street, Adelaide</t>
  </si>
  <si>
    <t>b32035160</t>
  </si>
  <si>
    <t>32 Harriett Street, Adelaide</t>
  </si>
  <si>
    <t>b32035172</t>
  </si>
  <si>
    <t>21 Harriett Street, Adelaide</t>
  </si>
  <si>
    <t>b32035184</t>
  </si>
  <si>
    <t>16 Harriett Street, Adelaide</t>
  </si>
  <si>
    <t>Acre 570 Collection</t>
  </si>
  <si>
    <t>b32035202</t>
  </si>
  <si>
    <t>14 Harriett Street, Adelaide</t>
  </si>
  <si>
    <t>b32035226</t>
  </si>
  <si>
    <t>Cottage in Harriett Street, Adelaide, undergoing renovation</t>
  </si>
  <si>
    <t>b3203524x</t>
  </si>
  <si>
    <t>1 photograph : colour;still image sti rdacontent;computer c rdamedia;online resource cr rdacarrier;image file TIFF 5766 x 3612 pixels rda</t>
  </si>
  <si>
    <t>b32035251</t>
  </si>
  <si>
    <t>House at 218 Gilles Street, Adelaide.</t>
  </si>
  <si>
    <t>b32035263</t>
  </si>
  <si>
    <t>b32035275</t>
  </si>
  <si>
    <t>221 Gilles Street, Adelaide</t>
  </si>
  <si>
    <t>House at 221 Gilles Street, Adelaide.</t>
  </si>
  <si>
    <t>b32035299</t>
  </si>
  <si>
    <t>City of Adelaide sign on the frnce of 221 Gilles Street, Adelaide.</t>
  </si>
  <si>
    <t>b32035305</t>
  </si>
  <si>
    <t>233 Gilles Street, Adelaide</t>
  </si>
  <si>
    <t>House at 233 Gilles Street, Adelaide.</t>
  </si>
  <si>
    <t>b32035329</t>
  </si>
  <si>
    <t>253 Gilles Street, Adelaide</t>
  </si>
  <si>
    <t>House at 253 Gilles Street, Adelaide.</t>
  </si>
  <si>
    <t>b32035330</t>
  </si>
  <si>
    <t>Residence on corner of Gilles Street and Ely Place, Adelaide</t>
  </si>
  <si>
    <t>Two storey residence on the north east corner of Gilles Street and Ely Place, Adelaide.</t>
  </si>
  <si>
    <t>b32035342</t>
  </si>
  <si>
    <t>House at 256 Gilles Street, Adelaide</t>
  </si>
  <si>
    <t>House at 256 Gilles Street, on north west corner with Ely Place, Adelaide.</t>
  </si>
  <si>
    <t>b32035378</t>
  </si>
  <si>
    <t>Southcott Walk, Adelaide</t>
  </si>
  <si>
    <t>1 photograph : colour;still image sti rdacontent;computer c rdamedia;online resource cr rdacarrier;image file TIFF 3840 x 4818 pixels rda</t>
  </si>
  <si>
    <t>Southcott Walk, Adelaide.</t>
  </si>
  <si>
    <t>b3203538x</t>
  </si>
  <si>
    <t>14 Ely Place, Adelaide</t>
  </si>
  <si>
    <t>1 photograph : colour;still image sti rdacontent;computer c rdamedia;online resource cr rdacarrier;image file TIFF 3696 x 4524 pixels rda</t>
  </si>
  <si>
    <t>b32035391</t>
  </si>
  <si>
    <t>House on Castle Street, Adelaide</t>
  </si>
  <si>
    <t>1 photograph : colour;still image sti rdacontent;computer c rdamedia;online resource cr rdacarrier;image file TIFF 3760 x 3252 pixels rda</t>
  </si>
  <si>
    <t>House on the north west corner of Castle Street and Ely Place, Adelaide</t>
  </si>
  <si>
    <t>b32035408</t>
  </si>
  <si>
    <t>Gilbert Street Hotel, Adelaide</t>
  </si>
  <si>
    <t>Gilbert Street Hotel on the north east corner of Gilbert and Russell Streets, Adelaide</t>
  </si>
  <si>
    <t>b3203541x</t>
  </si>
  <si>
    <t>Hotel Wright Street, Adelaide</t>
  </si>
  <si>
    <t>Hotel Wright Street on the north east corner of Wright and Compton Streets, Adelaide, undergoing renovations.</t>
  </si>
  <si>
    <t>b32035433</t>
  </si>
  <si>
    <t>Intersection of Wright and Russell Streets, Adelaide</t>
  </si>
  <si>
    <t>Office of A.K. Reeves &amp; Associates, lawyers, at 93 Wright Street on the corner with Russell Street.</t>
  </si>
  <si>
    <t>Architecture -- South Australia -- Adelaide;Lawyers -- South Australia -- Adelaide</t>
  </si>
  <si>
    <t>b32035445</t>
  </si>
  <si>
    <t>Kappy's, Compton Street, Adelaide</t>
  </si>
  <si>
    <t>Kappy's Tea &amp; Coffee on Compton Street, Adelaide.</t>
  </si>
  <si>
    <t>Coffeehouses -- South Australia -- Adelaide</t>
  </si>
  <si>
    <t>b32035469</t>
  </si>
  <si>
    <t>Noodle Kitchen, Wright Street, Adelaide</t>
  </si>
  <si>
    <t>Noodle Kitchen, on the north west corner of Wright amd Field Streets, Adelaide.</t>
  </si>
  <si>
    <t>Chinese restaurants -- South Australia -- Adelaide</t>
  </si>
  <si>
    <t>b32035470</t>
  </si>
  <si>
    <t>103 Wright Street, Adelaide</t>
  </si>
  <si>
    <t>Office of Warwick Fabricks on the corner of Wright Street and Hobsons Place, Adelaide.</t>
  </si>
  <si>
    <t>Acre 479 Collection</t>
  </si>
  <si>
    <t>b32035500</t>
  </si>
  <si>
    <t>102 and 104 Wright Street, Adelaide</t>
  </si>
  <si>
    <t>1 photograph : colour;still image sti rdacontent;computer c rdamedia;online resource cr rdacarrier;image file TIFF 5737 x 3362 pixels rda</t>
  </si>
  <si>
    <t>'I Darts Adelaide' on Wright Street, Adelaide.</t>
  </si>
  <si>
    <t>b32035512</t>
  </si>
  <si>
    <t>Salvation Army, Whitmore Square, Adelaide</t>
  </si>
  <si>
    <t>Salvation Army 'Salvos' store on the south east corner of Whitmore Square and Morphett Street, Adelaide.</t>
  </si>
  <si>
    <t>Architecture -- South Australia -- Adelaide;Salvation Army -- South Australia -- Adelaide</t>
  </si>
  <si>
    <t>b32035524</t>
  </si>
  <si>
    <t>View south from Whitmore Square toward the Salvation Army 'Salvos' store on the south east corner of Whitmore Square and Morphett Street, Adelaide. The large building behind is at 430 Morphett Street.</t>
  </si>
  <si>
    <t>b32035536</t>
  </si>
  <si>
    <t>Whitmore Hotel, Whitmore Square, Adelaide</t>
  </si>
  <si>
    <t>Whitmore Hotel on the north west corner of Wright Street and Morphett Street, Adelaide. The hotel is undergoing major renovations in preparation for the opening of Sparkke at the Whitmore, a brewpub opened in February 2019.</t>
  </si>
  <si>
    <t>Architecture -- South Australia -- Adelaide;Hotels -- South Australia -- Adelaide;Whitmore Hotel (Adelaide, S.A.)</t>
  </si>
  <si>
    <t>b32035548</t>
  </si>
  <si>
    <t>Prince Albert Hotel, Adelaide</t>
  </si>
  <si>
    <t>Prince Albert Hotel on the north west corner of Wright and Lowe Streets, Adelaide.</t>
  </si>
  <si>
    <t>Architecture -- South Australia -- Adelaide;Hotels -- South Australia -- Adelaide;Prince Albert Hotel (Adelaide, S.A.)</t>
  </si>
  <si>
    <t>Acre 465 Collection</t>
  </si>
  <si>
    <t>b3203555x</t>
  </si>
  <si>
    <t>1 photograph : colour;still image sti rdacontent;computer c rdamedia;online resource cr rdacarrier;image file TIFF 3840 x 4056 pixels rda</t>
  </si>
  <si>
    <t>View south from Lowe Street of the Prince Albert Hotel on the north west corner of Wright and Lowe Streets, Adelaide.</t>
  </si>
  <si>
    <t>b32035561</t>
  </si>
  <si>
    <t>Row house, 261 Wright Street, Adelaide</t>
  </si>
  <si>
    <t>One of six bluestone houses built on Wright Street, Adelaide, by John White between 1879 and 1880.</t>
  </si>
  <si>
    <t>b32035573</t>
  </si>
  <si>
    <t>My Wok Story Chinese Restaurant, Grote Street, Adelaide</t>
  </si>
  <si>
    <t>2019 January 28</t>
  </si>
  <si>
    <t>1 photograph : colour;still image sti rdacontent;computer c rdamedia;online resource cr rdacarrier;image file TIFF 3840 x 4380 pixels rda</t>
  </si>
  <si>
    <t>My Wok Story Chinese Restaurant on the north west corner of Grote and Morphett Streets, Adelaide. The recently constructed apartment block behind is at 152 - 160 Grote Street.</t>
  </si>
  <si>
    <t>Architecture -- South Australia -- Adelaide;Chinese Restaurants -- South Australia -- Adelaide</t>
  </si>
  <si>
    <t>b32035585</t>
  </si>
  <si>
    <t>Kennards Hire, Grote Street, Adelaide</t>
  </si>
  <si>
    <t>1 photograph : colour;still image sti rdacontent;computer c rdamedia;online resource cr rdacarrier;image file TIFF 5760 x 3270 pixels rda</t>
  </si>
  <si>
    <t>Kennards Hire on the south west corner of Grote and Morphett Streets, Adelaide. A United Australia billboard is on the wall behind Kennards Hire.</t>
  </si>
  <si>
    <t>b32035597</t>
  </si>
  <si>
    <t>1 photograph : colour;still image sti rdacontent;computer c rdamedia;online resource cr rdacarrier;image file TIFF 3840 x 4968 pixels rda</t>
  </si>
  <si>
    <t>Heritage entrance on Grote Street to buildings that had been the Adelaide Model Schools constructed in 1873.</t>
  </si>
  <si>
    <t>Architecture -- South Australia -- Adelaide;Schools -- South Australia -- Adelaide</t>
  </si>
  <si>
    <t>Acre 329 Collection</t>
  </si>
  <si>
    <t>b32035615</t>
  </si>
  <si>
    <t>1 photograph : colour;still image sti rdacontent;computer c rdamedia;online resource cr rdacarrier;image file TIFF 3840 x 5388 pixels rda</t>
  </si>
  <si>
    <t>Entrance on Grote Street to the central building that had been the Adelaide High School. The second storey was added in 1910.</t>
  </si>
  <si>
    <t>Acre 330 Collection</t>
  </si>
  <si>
    <t>b32035639</t>
  </si>
  <si>
    <t>Hampshire Hotel, Adelaide</t>
  </si>
  <si>
    <t>Hampshire Hotel, Grote Street, Adelaide.</t>
  </si>
  <si>
    <t>Hampshire Hotel (Adelaide, S.A.);Architecture -- South Australia -- Adelaide;Hotels -- South Australia -- Adelaide</t>
  </si>
  <si>
    <t>b32035640</t>
  </si>
  <si>
    <t>b32035652</t>
  </si>
  <si>
    <t>View behind the Hampshire Hotel looking west along Andrew Street toward Morphett Street, Adelaide. The recently constructed apartment block in the distance is at 152 - 160 Grote Street.</t>
  </si>
  <si>
    <t>b32035664</t>
  </si>
  <si>
    <t>Chinatown, Adelaide</t>
  </si>
  <si>
    <t>1 photograph : colour;still image sti rdacontent;computer c rdamedia;online resource cr rdacarrier;image file TIFF 3840 x 4140 pixels rda</t>
  </si>
  <si>
    <t>Gateway to Chinatown at the Adelaide Central Market, Grote Street.</t>
  </si>
  <si>
    <t>b32035676</t>
  </si>
  <si>
    <t>Edinburgh Castle Hotel, Adelaide</t>
  </si>
  <si>
    <t>1 photograph : colour;still image sti rdacontent;computer c rdamedia;online resource cr rdacarrier;image file TIFF 3840 x 5040 pixels rda</t>
  </si>
  <si>
    <t>Edinburgh Castle Hotel on the south west corner of Currie and Gray Streets, Adelaide. The high rise under construction on Gray Street is student accomodation.</t>
  </si>
  <si>
    <t>Edinburgh Castle Hotel (Adelaide, S.A.);Architecture -- South Australia -- Adelaide;Hotels -- South Australia -- Adelaide</t>
  </si>
  <si>
    <t>b32035706</t>
  </si>
  <si>
    <t>b32035718</t>
  </si>
  <si>
    <t>1 photograph : colour;still image sti rdacontent;computer c rdamedia;online resource cr rdacarrier;image file TIFF 3843 x 4880 pixels rda</t>
  </si>
  <si>
    <t>Windows and advertising board on the Edinburgh Castle Hotel, Currie Street, Adelaide.</t>
  </si>
  <si>
    <t>b32036358</t>
  </si>
  <si>
    <t>H.M.S. Buffalo replica</t>
  </si>
  <si>
    <t>2019 January 31</t>
  </si>
  <si>
    <t>Replica of H.M.S. Buffalo that served as a restaurant on the Patawalonga.</t>
  </si>
  <si>
    <t>Buffalo (Ship : Replica);Restaurants -- South Australia -- Adelaide;Patawalonga, The (S.A.)</t>
  </si>
  <si>
    <t>b32036371</t>
  </si>
  <si>
    <t>b32036383</t>
  </si>
  <si>
    <t>b32036401</t>
  </si>
  <si>
    <t>Replica of H.M.S. Buffalo that served as a restaurant on the Patawalonga. Adelphi Terrace is behind the replica.</t>
  </si>
  <si>
    <t>b32036413</t>
  </si>
  <si>
    <t>Pleasure boats at their marina berths in front of the replica of H.M.S. Buffalo that served as a restaurant on the Patawalonga. Adelphi Terrace is behind the replica.</t>
  </si>
  <si>
    <t>Buffalo (Ship : Replica);Restaurants -- South Australia -- Adelaide;Boats and boating -- South Australia -- Glenelg;Patawalonga, The (S.A.)</t>
  </si>
  <si>
    <t>b32036425</t>
  </si>
  <si>
    <t>Apartments beside The Patawalonga</t>
  </si>
  <si>
    <t>Block of apartments on the southern side of The Patawalonga beside the weir.</t>
  </si>
  <si>
    <t>Architecture, Domestic -- South Australia -- Adelaide;Barrages -- South Australia -- Glenelg;Patawalonga, The (S.A.)</t>
  </si>
  <si>
    <t>b32036450</t>
  </si>
  <si>
    <t>Holdfast Shores, Glenelg</t>
  </si>
  <si>
    <t>Marina Pier restaurants, apartments, and boat moorings at Holdfast Shores, Glenelg. The Patawalonga barrage is to the left of the photograph.</t>
  </si>
  <si>
    <t>Architecture -- South Australia -- Glenelg;Boats and boating -- South Australia -- Glenelg;Barrages -- South Australia -- Glenelg;Holdfast Shores (Glenelg, S.A.)</t>
  </si>
  <si>
    <t>b32036462</t>
  </si>
  <si>
    <t>Dredging, Glenelg, South Australia</t>
  </si>
  <si>
    <t>Dredging the entrance to Holdfast Shores marina, Glenelg. The Patawalonga barrage is to the right of the photograph. A Dolphin is between the barrage and the dredge.</t>
  </si>
  <si>
    <t>Architecture -- South Australia -- Glenelg;Dredges -- South Australia -- Glenelg;Barrages -- South Australia -- Glenelg</t>
  </si>
  <si>
    <t>b32036474</t>
  </si>
  <si>
    <t>The Patawalonga barrage, Glenelg, South Australia</t>
  </si>
  <si>
    <t>The seaward side of The Patawalonga barrage, Glenelg, South Australia.</t>
  </si>
  <si>
    <t>Barrages -- South Australia -- Glenelg</t>
  </si>
  <si>
    <t>b32036504</t>
  </si>
  <si>
    <t>Marina Pier restaurants, apartments, and boat moorings at Holdfast Shores, Glenelg.</t>
  </si>
  <si>
    <t>Architecture -- South Australia -- Glenelg;Boats and boating -- South Australia -- Glenelg;Holdfast Shores (Glenelg, S.A.)</t>
  </si>
  <si>
    <t>b32036516</t>
  </si>
  <si>
    <t>House at 19 Cygnet Court, Glenelg North</t>
  </si>
  <si>
    <t>House at 19 Cygnet Court, Glenelg North, South Australia.</t>
  </si>
  <si>
    <t>Architecture, domestic -- South Australia -- Glenelg</t>
  </si>
  <si>
    <t>b32036528</t>
  </si>
  <si>
    <t>Wigley Reserve Playspace and Fitness Hub</t>
  </si>
  <si>
    <t>Wigley Reserve Playspace and Fitness Hub, Glenelg, South Australia.</t>
  </si>
  <si>
    <t>Playgrounds -- South Australia -- Glenelg</t>
  </si>
  <si>
    <t>b32195722</t>
  </si>
  <si>
    <t>Anzac Centenary Memorial Walk, Adelaide</t>
  </si>
  <si>
    <t>2019 May 20</t>
  </si>
  <si>
    <t>1 photograph : colour;still image sti rdacontent;computer c rdamedia;online resource cr rdacarrier;image file TIFF 6240 x 4161 pixels rda</t>
  </si>
  <si>
    <t>Anzac Centenary Memorial Walk, Adelaide, South Australia.</t>
  </si>
  <si>
    <t>b32195734</t>
  </si>
  <si>
    <t>Dardanelles Memorial, Adelaide</t>
  </si>
  <si>
    <t>1 photograph : colour;still image sti rdacontent;computer c rdamedia;online resource cr rdacarrier;image file TIFF 4160 x 6240 pixels rda</t>
  </si>
  <si>
    <t>Dardanelles Memorial, Adelaide, South Australia.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</si>
</sst>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 x14ac:knownFonts="1">
    <font>
      <sz val="11"/>
      <color theme="1"/>
      <name val="Calibri"/>
      <family val="2"/>
      <scheme val="minor"/>
    </font>
    <font>
      <u/>
      <sz val="11"/>
      <color theme="10"/>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3">
    <xf numFmtId="0" fontId="0" fillId="0" borderId="0" xfId="0"/>
    <xf numFmtId="0" fontId="0" fillId="0" borderId="0" xfId="0" applyFont="1"/>
    <xf numFmtId="0" fontId="1" fillId="0" borderId="0" xfId="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841"/>
  <sheetViews>
    <sheetView tabSelected="1" workbookViewId="0">
      <pane ySplit="1" topLeftCell="A12819" activePane="bottomLeft" state="frozen"/>
      <selection pane="bottomLeft" activeCell="G1" sqref="G1:G1048576"/>
    </sheetView>
  </sheetViews>
  <sheetFormatPr defaultRowHeight="15" x14ac:dyDescent="0.25"/>
  <sheetData>
    <row r="1" spans="1:11" x14ac:dyDescent="0.25">
      <c r="A1" t="s">
        <v>0</v>
      </c>
      <c r="B1" t="s">
        <v>1</v>
      </c>
      <c r="C1" t="s">
        <v>2</v>
      </c>
      <c r="D1" t="s">
        <v>3</v>
      </c>
      <c r="E1" t="s">
        <v>4</v>
      </c>
      <c r="F1" t="s">
        <v>5</v>
      </c>
      <c r="G1" t="s">
        <v>6</v>
      </c>
      <c r="H1" t="s">
        <v>7</v>
      </c>
      <c r="I1" t="s">
        <v>8</v>
      </c>
      <c r="J1" t="s">
        <v>9</v>
      </c>
      <c r="K1" t="s">
        <v>10</v>
      </c>
    </row>
    <row r="2" spans="1:11" x14ac:dyDescent="0.25">
      <c r="A2" t="s">
        <v>11</v>
      </c>
      <c r="B2" s="1" t="str">
        <f>HYPERLINK("https://www.catalog.slsa.sa.gov.au/record=b2107219")</f>
        <v>https://www.catalog.slsa.sa.gov.au/record=b2107219</v>
      </c>
      <c r="C2" s="1" t="str">
        <f>HYPERLINK("https://www.catalog.slsa.sa.gov.au/xrecord=b2107219")</f>
        <v>https://www.catalog.slsa.sa.gov.au/xrecord=b2107219</v>
      </c>
      <c r="E2" t="s">
        <v>12</v>
      </c>
      <c r="F2">
        <v>1950</v>
      </c>
      <c r="G2" t="s">
        <v>13</v>
      </c>
      <c r="H2" t="s">
        <v>14</v>
      </c>
      <c r="I2" t="s">
        <v>15</v>
      </c>
      <c r="J2" t="s">
        <v>16</v>
      </c>
      <c r="K2" s="2" t="str">
        <f>HYPERLINK("http://collections.slsa.sa.gov.au/arbonlem/00250/PRG1324_118.htm")</f>
        <v>http://collections.slsa.sa.gov.au/arbonlem/00250/PRG1324_118.htm</v>
      </c>
    </row>
    <row r="3" spans="1:11" x14ac:dyDescent="0.25">
      <c r="A3" t="s">
        <v>17</v>
      </c>
      <c r="B3" s="1" t="str">
        <f>HYPERLINK("https://www.catalog.slsa.sa.gov.au/record=b2107446")</f>
        <v>https://www.catalog.slsa.sa.gov.au/record=b2107446</v>
      </c>
      <c r="C3" s="1" t="str">
        <f>HYPERLINK("https://www.catalog.slsa.sa.gov.au/xrecord=b2107446")</f>
        <v>https://www.catalog.slsa.sa.gov.au/xrecord=b2107446</v>
      </c>
      <c r="E3" t="s">
        <v>18</v>
      </c>
      <c r="F3">
        <v>1950</v>
      </c>
      <c r="G3" t="s">
        <v>19</v>
      </c>
      <c r="H3" t="s">
        <v>14</v>
      </c>
      <c r="I3" t="s">
        <v>20</v>
      </c>
      <c r="J3" t="s">
        <v>16</v>
      </c>
      <c r="K3" s="2" t="str">
        <f>HYPERLINK("http://collections.slsa.sa.gov.au/arbonlem/00250/PRG1324_169.htm")</f>
        <v>http://collections.slsa.sa.gov.au/arbonlem/00250/PRG1324_169.htm</v>
      </c>
    </row>
    <row r="4" spans="1:11" x14ac:dyDescent="0.25">
      <c r="A4" t="s">
        <v>21</v>
      </c>
      <c r="B4" s="1" t="str">
        <f>HYPERLINK("https://www.catalog.slsa.sa.gov.au/record=b2107493")</f>
        <v>https://www.catalog.slsa.sa.gov.au/record=b2107493</v>
      </c>
      <c r="C4" s="1" t="str">
        <f>HYPERLINK("https://www.catalog.slsa.sa.gov.au/xrecord=b2107493")</f>
        <v>https://www.catalog.slsa.sa.gov.au/xrecord=b2107493</v>
      </c>
      <c r="E4" t="s">
        <v>22</v>
      </c>
      <c r="F4">
        <v>1950</v>
      </c>
      <c r="G4" t="s">
        <v>23</v>
      </c>
      <c r="H4" t="s">
        <v>14</v>
      </c>
      <c r="I4" t="s">
        <v>24</v>
      </c>
      <c r="J4" t="s">
        <v>16</v>
      </c>
      <c r="K4" s="2" t="str">
        <f>HYPERLINK("http://collections.slsa.sa.gov.au/arbonlem/00250/PRG1324_189.htm")</f>
        <v>http://collections.slsa.sa.gov.au/arbonlem/00250/PRG1324_189.htm</v>
      </c>
    </row>
    <row r="5" spans="1:11" x14ac:dyDescent="0.25">
      <c r="A5" t="s">
        <v>25</v>
      </c>
      <c r="B5" s="1" t="str">
        <f>HYPERLINK("https://www.catalog.slsa.sa.gov.au/record=b2107634")</f>
        <v>https://www.catalog.slsa.sa.gov.au/record=b2107634</v>
      </c>
      <c r="C5" s="1" t="str">
        <f>HYPERLINK("https://www.catalog.slsa.sa.gov.au/xrecord=b2107634")</f>
        <v>https://www.catalog.slsa.sa.gov.au/xrecord=b2107634</v>
      </c>
      <c r="E5" t="s">
        <v>26</v>
      </c>
      <c r="F5">
        <v>1950</v>
      </c>
      <c r="G5" t="s">
        <v>27</v>
      </c>
      <c r="H5" t="s">
        <v>14</v>
      </c>
      <c r="I5" t="s">
        <v>28</v>
      </c>
      <c r="J5" t="s">
        <v>16</v>
      </c>
      <c r="K5" s="2" t="str">
        <f>HYPERLINK("http://collections.slsa.sa.gov.au/arbonlem/00750/PRG1324_717.htm")</f>
        <v>http://collections.slsa.sa.gov.au/arbonlem/00750/PRG1324_717.htm</v>
      </c>
    </row>
    <row r="6" spans="1:11" x14ac:dyDescent="0.25">
      <c r="A6" t="s">
        <v>29</v>
      </c>
      <c r="B6" s="1" t="str">
        <f>HYPERLINK("https://www.catalog.slsa.sa.gov.au/record=b2107362")</f>
        <v>https://www.catalog.slsa.sa.gov.au/record=b2107362</v>
      </c>
      <c r="C6" s="1" t="str">
        <f>HYPERLINK("https://www.catalog.slsa.sa.gov.au/xrecord=b2107362")</f>
        <v>https://www.catalog.slsa.sa.gov.au/xrecord=b2107362</v>
      </c>
      <c r="E6" t="s">
        <v>30</v>
      </c>
      <c r="F6">
        <v>1950</v>
      </c>
      <c r="G6" t="s">
        <v>31</v>
      </c>
      <c r="H6" t="s">
        <v>14</v>
      </c>
      <c r="I6" t="s">
        <v>32</v>
      </c>
      <c r="J6" t="s">
        <v>16</v>
      </c>
      <c r="K6" s="2" t="str">
        <f>HYPERLINK("http://collections.slsa.sa.gov.au/arbonlem/01000/PRG1324_924.htm")</f>
        <v>http://collections.slsa.sa.gov.au/arbonlem/01000/PRG1324_924.htm</v>
      </c>
    </row>
    <row r="7" spans="1:11" x14ac:dyDescent="0.25">
      <c r="A7" t="s">
        <v>33</v>
      </c>
      <c r="B7" s="1" t="str">
        <f>HYPERLINK("https://www.catalog.slsa.sa.gov.au/record=b2107455")</f>
        <v>https://www.catalog.slsa.sa.gov.au/record=b2107455</v>
      </c>
      <c r="C7" s="1" t="str">
        <f>HYPERLINK("https://www.catalog.slsa.sa.gov.au/xrecord=b2107455")</f>
        <v>https://www.catalog.slsa.sa.gov.au/xrecord=b2107455</v>
      </c>
      <c r="E7" t="s">
        <v>34</v>
      </c>
      <c r="F7">
        <v>1950</v>
      </c>
      <c r="G7" t="s">
        <v>35</v>
      </c>
      <c r="H7" t="s">
        <v>14</v>
      </c>
      <c r="I7" t="s">
        <v>36</v>
      </c>
      <c r="J7" t="s">
        <v>16</v>
      </c>
      <c r="K7" s="2" t="str">
        <f>HYPERLINK("http://collections.slsa.sa.gov.au/arbonlem/01000/PRG1324_983.htm")</f>
        <v>http://collections.slsa.sa.gov.au/arbonlem/01000/PRG1324_983.htm</v>
      </c>
    </row>
    <row r="8" spans="1:11" x14ac:dyDescent="0.25">
      <c r="A8" t="s">
        <v>37</v>
      </c>
      <c r="B8" s="1" t="str">
        <f>HYPERLINK("https://www.catalog.slsa.sa.gov.au/record=b2107110")</f>
        <v>https://www.catalog.slsa.sa.gov.au/record=b2107110</v>
      </c>
      <c r="C8" s="1" t="str">
        <f>HYPERLINK("https://www.catalog.slsa.sa.gov.au/xrecord=b2107110")</f>
        <v>https://www.catalog.slsa.sa.gov.au/xrecord=b2107110</v>
      </c>
      <c r="E8" t="s">
        <v>38</v>
      </c>
      <c r="F8">
        <v>1950</v>
      </c>
      <c r="G8" t="s">
        <v>19</v>
      </c>
      <c r="H8" t="s">
        <v>14</v>
      </c>
      <c r="I8" t="s">
        <v>39</v>
      </c>
      <c r="J8" t="s">
        <v>16</v>
      </c>
      <c r="K8" s="2" t="str">
        <f>HYPERLINK("http://collections.slsa.sa.gov.au/arbonlem/01250/PRG1324_1166.htm")</f>
        <v>http://collections.slsa.sa.gov.au/arbonlem/01250/PRG1324_1166.htm</v>
      </c>
    </row>
    <row r="9" spans="1:11" x14ac:dyDescent="0.25">
      <c r="A9" t="s">
        <v>40</v>
      </c>
      <c r="B9" s="1" t="str">
        <f>HYPERLINK("https://www.catalog.slsa.sa.gov.au/record=b2107789")</f>
        <v>https://www.catalog.slsa.sa.gov.au/record=b2107789</v>
      </c>
      <c r="C9" s="1" t="str">
        <f>HYPERLINK("https://www.catalog.slsa.sa.gov.au/xrecord=b2107789")</f>
        <v>https://www.catalog.slsa.sa.gov.au/xrecord=b2107789</v>
      </c>
      <c r="E9" t="s">
        <v>41</v>
      </c>
      <c r="F9">
        <v>1950</v>
      </c>
      <c r="G9" t="s">
        <v>42</v>
      </c>
      <c r="H9" t="s">
        <v>14</v>
      </c>
      <c r="I9" t="s">
        <v>43</v>
      </c>
      <c r="J9" t="s">
        <v>16</v>
      </c>
      <c r="K9" s="2" t="str">
        <f>HYPERLINK("http://collections.slsa.sa.gov.au/arbonlem/01500/PRG1324_1288.htm")</f>
        <v>http://collections.slsa.sa.gov.au/arbonlem/01500/PRG1324_1288.htm</v>
      </c>
    </row>
    <row r="10" spans="1:11" x14ac:dyDescent="0.25">
      <c r="A10" t="s">
        <v>44</v>
      </c>
      <c r="B10" s="1" t="str">
        <f>HYPERLINK("https://www.catalog.slsa.sa.gov.au/record=b2108085")</f>
        <v>https://www.catalog.slsa.sa.gov.au/record=b2108085</v>
      </c>
      <c r="C10" s="1" t="str">
        <f>HYPERLINK("https://www.catalog.slsa.sa.gov.au/xrecord=b2108085")</f>
        <v>https://www.catalog.slsa.sa.gov.au/xrecord=b2108085</v>
      </c>
      <c r="E10" t="s">
        <v>45</v>
      </c>
      <c r="F10">
        <v>1950</v>
      </c>
      <c r="G10" t="s">
        <v>46</v>
      </c>
      <c r="H10" t="s">
        <v>14</v>
      </c>
      <c r="I10" t="s">
        <v>47</v>
      </c>
      <c r="J10" t="s">
        <v>16</v>
      </c>
      <c r="K10" s="2" t="str">
        <f>HYPERLINK("http://collections.slsa.sa.gov.au/arbonlem/01500/PRG1324_1341.htm")</f>
        <v>http://collections.slsa.sa.gov.au/arbonlem/01500/PRG1324_1341.htm</v>
      </c>
    </row>
    <row r="11" spans="1:11" x14ac:dyDescent="0.25">
      <c r="A11" t="s">
        <v>48</v>
      </c>
      <c r="B11" s="1" t="str">
        <f>HYPERLINK("https://www.catalog.slsa.sa.gov.au/record=b2108096")</f>
        <v>https://www.catalog.slsa.sa.gov.au/record=b2108096</v>
      </c>
      <c r="C11" s="1" t="str">
        <f>HYPERLINK("https://www.catalog.slsa.sa.gov.au/xrecord=b2108096")</f>
        <v>https://www.catalog.slsa.sa.gov.au/xrecord=b2108096</v>
      </c>
      <c r="E11" t="s">
        <v>49</v>
      </c>
      <c r="F11">
        <v>1950</v>
      </c>
      <c r="G11" t="s">
        <v>50</v>
      </c>
      <c r="H11" t="s">
        <v>14</v>
      </c>
      <c r="I11" t="s">
        <v>51</v>
      </c>
      <c r="J11" t="s">
        <v>16</v>
      </c>
      <c r="K11" s="2" t="str">
        <f>HYPERLINK("http://collections.slsa.sa.gov.au/arbonlem/01500/PRG1324_1351.htm")</f>
        <v>http://collections.slsa.sa.gov.au/arbonlem/01500/PRG1324_1351.htm</v>
      </c>
    </row>
    <row r="12" spans="1:11" x14ac:dyDescent="0.25">
      <c r="A12" t="s">
        <v>52</v>
      </c>
      <c r="B12" s="1" t="str">
        <f>HYPERLINK("https://www.catalog.slsa.sa.gov.au/record=b2108155")</f>
        <v>https://www.catalog.slsa.sa.gov.au/record=b2108155</v>
      </c>
      <c r="C12" s="1" t="str">
        <f>HYPERLINK("https://www.catalog.slsa.sa.gov.au/xrecord=b2108155")</f>
        <v>https://www.catalog.slsa.sa.gov.au/xrecord=b2108155</v>
      </c>
      <c r="E12" t="s">
        <v>53</v>
      </c>
      <c r="F12">
        <v>1950</v>
      </c>
      <c r="G12" t="s">
        <v>19</v>
      </c>
      <c r="H12" t="s">
        <v>14</v>
      </c>
      <c r="I12" t="s">
        <v>54</v>
      </c>
      <c r="J12" t="s">
        <v>16</v>
      </c>
      <c r="K12" s="2" t="str">
        <f>HYPERLINK("http://collections.slsa.sa.gov.au/arbonlem/01500/PRG1324_1410.htm")</f>
        <v>http://collections.slsa.sa.gov.au/arbonlem/01500/PRG1324_1410.htm</v>
      </c>
    </row>
    <row r="13" spans="1:11" x14ac:dyDescent="0.25">
      <c r="A13" t="s">
        <v>55</v>
      </c>
      <c r="B13" s="1" t="str">
        <f>HYPERLINK("https://www.catalog.slsa.sa.gov.au/record=b2108432")</f>
        <v>https://www.catalog.slsa.sa.gov.au/record=b2108432</v>
      </c>
      <c r="C13" s="1" t="str">
        <f>HYPERLINK("https://www.catalog.slsa.sa.gov.au/xrecord=b2108432")</f>
        <v>https://www.catalog.slsa.sa.gov.au/xrecord=b2108432</v>
      </c>
      <c r="E13" t="s">
        <v>56</v>
      </c>
      <c r="F13">
        <v>1950</v>
      </c>
      <c r="G13" t="s">
        <v>57</v>
      </c>
      <c r="H13" t="s">
        <v>14</v>
      </c>
      <c r="I13" t="s">
        <v>58</v>
      </c>
      <c r="J13" t="s">
        <v>16</v>
      </c>
      <c r="K13" s="2" t="str">
        <f>HYPERLINK("http://collections.slsa.sa.gov.au/arbonlem/01750/PRG1324_1562.htm")</f>
        <v>http://collections.slsa.sa.gov.au/arbonlem/01750/PRG1324_1562.htm</v>
      </c>
    </row>
    <row r="14" spans="1:11" x14ac:dyDescent="0.25">
      <c r="A14" t="s">
        <v>59</v>
      </c>
      <c r="B14" s="1" t="str">
        <f>HYPERLINK("https://www.catalog.slsa.sa.gov.au/record=b2108433")</f>
        <v>https://www.catalog.slsa.sa.gov.au/record=b2108433</v>
      </c>
      <c r="C14" s="1" t="str">
        <f>HYPERLINK("https://www.catalog.slsa.sa.gov.au/xrecord=b2108433")</f>
        <v>https://www.catalog.slsa.sa.gov.au/xrecord=b2108433</v>
      </c>
      <c r="E14" t="s">
        <v>56</v>
      </c>
      <c r="F14">
        <v>1950</v>
      </c>
      <c r="G14" t="s">
        <v>60</v>
      </c>
      <c r="H14" t="s">
        <v>14</v>
      </c>
      <c r="I14" t="s">
        <v>58</v>
      </c>
      <c r="J14" t="s">
        <v>16</v>
      </c>
      <c r="K14" s="2" t="str">
        <f>HYPERLINK("http://collections.slsa.sa.gov.au/arbonlem/01750/PRG1324_1563.htm")</f>
        <v>http://collections.slsa.sa.gov.au/arbonlem/01750/PRG1324_1563.htm</v>
      </c>
    </row>
    <row r="15" spans="1:11" x14ac:dyDescent="0.25">
      <c r="A15" t="s">
        <v>61</v>
      </c>
      <c r="B15" s="1" t="str">
        <f>HYPERLINK("https://www.catalog.slsa.sa.gov.au/record=b2108438")</f>
        <v>https://www.catalog.slsa.sa.gov.au/record=b2108438</v>
      </c>
      <c r="C15" s="1" t="str">
        <f>HYPERLINK("https://www.catalog.slsa.sa.gov.au/xrecord=b2108438")</f>
        <v>https://www.catalog.slsa.sa.gov.au/xrecord=b2108438</v>
      </c>
      <c r="E15" t="s">
        <v>56</v>
      </c>
      <c r="F15">
        <v>1950</v>
      </c>
      <c r="G15" t="s">
        <v>62</v>
      </c>
      <c r="H15" t="s">
        <v>14</v>
      </c>
      <c r="I15" t="s">
        <v>58</v>
      </c>
      <c r="J15" t="s">
        <v>16</v>
      </c>
      <c r="K15" s="2" t="str">
        <f>HYPERLINK("http://collections.slsa.sa.gov.au/arbonlem/01750/PRG1324_1568.htm")</f>
        <v>http://collections.slsa.sa.gov.au/arbonlem/01750/PRG1324_1568.htm</v>
      </c>
    </row>
    <row r="16" spans="1:11" x14ac:dyDescent="0.25">
      <c r="A16" t="s">
        <v>63</v>
      </c>
      <c r="B16" s="1" t="str">
        <f>HYPERLINK("https://www.catalog.slsa.sa.gov.au/record=b2108441")</f>
        <v>https://www.catalog.slsa.sa.gov.au/record=b2108441</v>
      </c>
      <c r="C16" s="1" t="str">
        <f>HYPERLINK("https://www.catalog.slsa.sa.gov.au/xrecord=b2108441")</f>
        <v>https://www.catalog.slsa.sa.gov.au/xrecord=b2108441</v>
      </c>
      <c r="E16" t="s">
        <v>56</v>
      </c>
      <c r="F16">
        <v>1950</v>
      </c>
      <c r="G16" t="s">
        <v>64</v>
      </c>
      <c r="H16" t="s">
        <v>14</v>
      </c>
      <c r="I16" t="s">
        <v>58</v>
      </c>
      <c r="J16" t="s">
        <v>16</v>
      </c>
      <c r="K16" s="2" t="str">
        <f>HYPERLINK("http://collections.slsa.sa.gov.au/arbonlem/01750/PRG1324_1571.htm")</f>
        <v>http://collections.slsa.sa.gov.au/arbonlem/01750/PRG1324_1571.htm</v>
      </c>
    </row>
    <row r="17" spans="1:11" x14ac:dyDescent="0.25">
      <c r="A17" t="s">
        <v>65</v>
      </c>
      <c r="B17" s="1" t="str">
        <f>HYPERLINK("https://www.catalog.slsa.sa.gov.au/record=b2106937")</f>
        <v>https://www.catalog.slsa.sa.gov.au/record=b2106937</v>
      </c>
      <c r="C17" s="1" t="str">
        <f>HYPERLINK("https://www.catalog.slsa.sa.gov.au/xrecord=b2106937")</f>
        <v>https://www.catalog.slsa.sa.gov.au/xrecord=b2106937</v>
      </c>
      <c r="D17" t="s">
        <v>66</v>
      </c>
      <c r="E17" t="s">
        <v>67</v>
      </c>
      <c r="F17">
        <v>1950</v>
      </c>
      <c r="G17" t="s">
        <v>68</v>
      </c>
      <c r="H17" t="s">
        <v>69</v>
      </c>
      <c r="I17" t="s">
        <v>70</v>
      </c>
      <c r="J17" t="s">
        <v>71</v>
      </c>
      <c r="K17" s="2" t="str">
        <f>HYPERLINK("http://collections.slsa.sa.gov.au/arthur/00250/BRG347_100.htm")</f>
        <v>http://collections.slsa.sa.gov.au/arthur/00250/BRG347_100.htm</v>
      </c>
    </row>
    <row r="18" spans="1:11" x14ac:dyDescent="0.25">
      <c r="A18" t="s">
        <v>72</v>
      </c>
      <c r="B18" s="1" t="str">
        <f>HYPERLINK("https://www.catalog.slsa.sa.gov.au/record=b2106868")</f>
        <v>https://www.catalog.slsa.sa.gov.au/record=b2106868</v>
      </c>
      <c r="C18" s="1" t="str">
        <f>HYPERLINK("https://www.catalog.slsa.sa.gov.au/xrecord=b2106868")</f>
        <v>https://www.catalog.slsa.sa.gov.au/xrecord=b2106868</v>
      </c>
      <c r="D18" t="s">
        <v>66</v>
      </c>
      <c r="E18" t="s">
        <v>73</v>
      </c>
      <c r="F18">
        <v>1950</v>
      </c>
      <c r="G18" t="s">
        <v>74</v>
      </c>
      <c r="H18" t="s">
        <v>75</v>
      </c>
      <c r="I18" t="s">
        <v>76</v>
      </c>
      <c r="J18" t="s">
        <v>71</v>
      </c>
      <c r="K18" s="2" t="str">
        <f>HYPERLINK("http://collections.slsa.sa.gov.au/arthur/00250/BRG347_33.htm")</f>
        <v>http://collections.slsa.sa.gov.au/arthur/00250/BRG347_33.htm</v>
      </c>
    </row>
    <row r="19" spans="1:11" x14ac:dyDescent="0.25">
      <c r="A19" t="s">
        <v>77</v>
      </c>
      <c r="B19" s="1" t="str">
        <f>HYPERLINK("https://www.catalog.slsa.sa.gov.au/record=b2106869")</f>
        <v>https://www.catalog.slsa.sa.gov.au/record=b2106869</v>
      </c>
      <c r="C19" s="1" t="str">
        <f>HYPERLINK("https://www.catalog.slsa.sa.gov.au/xrecord=b2106869")</f>
        <v>https://www.catalog.slsa.sa.gov.au/xrecord=b2106869</v>
      </c>
      <c r="D19" t="s">
        <v>66</v>
      </c>
      <c r="E19" t="s">
        <v>78</v>
      </c>
      <c r="F19">
        <v>1950</v>
      </c>
      <c r="G19" t="s">
        <v>74</v>
      </c>
      <c r="H19" t="s">
        <v>79</v>
      </c>
      <c r="I19" t="s">
        <v>80</v>
      </c>
      <c r="J19" t="s">
        <v>71</v>
      </c>
      <c r="K19" s="2" t="str">
        <f>HYPERLINK("http://collections.slsa.sa.gov.au/arthur/00250/BRG347_34.htm")</f>
        <v>http://collections.slsa.sa.gov.au/arthur/00250/BRG347_34.htm</v>
      </c>
    </row>
    <row r="20" spans="1:11" x14ac:dyDescent="0.25">
      <c r="A20" t="s">
        <v>81</v>
      </c>
      <c r="B20" s="1" t="str">
        <f>HYPERLINK("https://www.catalog.slsa.sa.gov.au/record=b2106920")</f>
        <v>https://www.catalog.slsa.sa.gov.au/record=b2106920</v>
      </c>
      <c r="C20" s="1" t="str">
        <f>HYPERLINK("https://www.catalog.slsa.sa.gov.au/xrecord=b2106920")</f>
        <v>https://www.catalog.slsa.sa.gov.au/xrecord=b2106920</v>
      </c>
      <c r="D20" t="s">
        <v>66</v>
      </c>
      <c r="E20" t="s">
        <v>82</v>
      </c>
      <c r="F20">
        <v>1950</v>
      </c>
      <c r="G20" t="s">
        <v>68</v>
      </c>
      <c r="H20" t="s">
        <v>83</v>
      </c>
      <c r="I20" t="s">
        <v>84</v>
      </c>
      <c r="J20" t="s">
        <v>71</v>
      </c>
      <c r="K20" s="2" t="str">
        <f>HYPERLINK("http://collections.slsa.sa.gov.au/arthur/00250/BRG347_83.htm")</f>
        <v>http://collections.slsa.sa.gov.au/arthur/00250/BRG347_83.htm</v>
      </c>
    </row>
    <row r="21" spans="1:11" x14ac:dyDescent="0.25">
      <c r="A21" t="s">
        <v>85</v>
      </c>
      <c r="B21" s="1" t="str">
        <f>HYPERLINK("https://www.catalog.slsa.sa.gov.au/record=b2106921")</f>
        <v>https://www.catalog.slsa.sa.gov.au/record=b2106921</v>
      </c>
      <c r="C21" s="1" t="str">
        <f>HYPERLINK("https://www.catalog.slsa.sa.gov.au/xrecord=b2106921")</f>
        <v>https://www.catalog.slsa.sa.gov.au/xrecord=b2106921</v>
      </c>
      <c r="D21" t="s">
        <v>66</v>
      </c>
      <c r="E21" t="s">
        <v>82</v>
      </c>
      <c r="F21">
        <v>1950</v>
      </c>
      <c r="G21" t="s">
        <v>68</v>
      </c>
      <c r="H21" t="s">
        <v>86</v>
      </c>
      <c r="I21" t="s">
        <v>84</v>
      </c>
      <c r="J21" t="s">
        <v>71</v>
      </c>
      <c r="K21" s="2" t="str">
        <f>HYPERLINK("http://collections.slsa.sa.gov.au/arthur/00250/BRG347_84.htm")</f>
        <v>http://collections.slsa.sa.gov.au/arthur/00250/BRG347_84.htm</v>
      </c>
    </row>
    <row r="22" spans="1:11" x14ac:dyDescent="0.25">
      <c r="A22" t="s">
        <v>87</v>
      </c>
      <c r="B22" s="1" t="str">
        <f>HYPERLINK("https://www.catalog.slsa.sa.gov.au/record=b2106922")</f>
        <v>https://www.catalog.slsa.sa.gov.au/record=b2106922</v>
      </c>
      <c r="C22" s="1" t="str">
        <f>HYPERLINK("https://www.catalog.slsa.sa.gov.au/xrecord=b2106922")</f>
        <v>https://www.catalog.slsa.sa.gov.au/xrecord=b2106922</v>
      </c>
      <c r="D22" t="s">
        <v>66</v>
      </c>
      <c r="E22" t="s">
        <v>67</v>
      </c>
      <c r="F22">
        <v>1950</v>
      </c>
      <c r="G22" t="s">
        <v>68</v>
      </c>
      <c r="H22" t="s">
        <v>88</v>
      </c>
      <c r="I22" t="s">
        <v>89</v>
      </c>
      <c r="J22" t="s">
        <v>71</v>
      </c>
      <c r="K22" s="2" t="str">
        <f>HYPERLINK("http://collections.slsa.sa.gov.au/arthur/00250/BRG347_85.htm")</f>
        <v>http://collections.slsa.sa.gov.au/arthur/00250/BRG347_85.htm</v>
      </c>
    </row>
    <row r="23" spans="1:11" x14ac:dyDescent="0.25">
      <c r="A23" t="s">
        <v>90</v>
      </c>
      <c r="B23" s="1" t="str">
        <f>HYPERLINK("https://www.catalog.slsa.sa.gov.au/record=b2106923")</f>
        <v>https://www.catalog.slsa.sa.gov.au/record=b2106923</v>
      </c>
      <c r="C23" s="1" t="str">
        <f>HYPERLINK("https://www.catalog.slsa.sa.gov.au/xrecord=b2106923")</f>
        <v>https://www.catalog.slsa.sa.gov.au/xrecord=b2106923</v>
      </c>
      <c r="D23" t="s">
        <v>66</v>
      </c>
      <c r="E23" t="s">
        <v>67</v>
      </c>
      <c r="F23">
        <v>1950</v>
      </c>
      <c r="G23" t="s">
        <v>68</v>
      </c>
      <c r="H23" t="s">
        <v>91</v>
      </c>
      <c r="I23" t="s">
        <v>89</v>
      </c>
      <c r="J23" t="s">
        <v>71</v>
      </c>
      <c r="K23" s="2" t="str">
        <f>HYPERLINK("http://collections.slsa.sa.gov.au/arthur/00250/BRG347_86.htm")</f>
        <v>http://collections.slsa.sa.gov.au/arthur/00250/BRG347_86.htm</v>
      </c>
    </row>
    <row r="24" spans="1:11" x14ac:dyDescent="0.25">
      <c r="A24" t="s">
        <v>92</v>
      </c>
      <c r="B24" s="1" t="str">
        <f>HYPERLINK("https://www.catalog.slsa.sa.gov.au/record=b2106924")</f>
        <v>https://www.catalog.slsa.sa.gov.au/record=b2106924</v>
      </c>
      <c r="C24" s="1" t="str">
        <f>HYPERLINK("https://www.catalog.slsa.sa.gov.au/xrecord=b2106924")</f>
        <v>https://www.catalog.slsa.sa.gov.au/xrecord=b2106924</v>
      </c>
      <c r="D24" t="s">
        <v>66</v>
      </c>
      <c r="E24" t="s">
        <v>67</v>
      </c>
      <c r="F24">
        <v>1950</v>
      </c>
      <c r="G24" t="s">
        <v>68</v>
      </c>
      <c r="H24" t="s">
        <v>93</v>
      </c>
      <c r="I24" t="s">
        <v>89</v>
      </c>
      <c r="J24" t="s">
        <v>71</v>
      </c>
      <c r="K24" s="2" t="str">
        <f>HYPERLINK("http://collections.slsa.sa.gov.au/arthur/00250/BRG347_87.htm")</f>
        <v>http://collections.slsa.sa.gov.au/arthur/00250/BRG347_87.htm</v>
      </c>
    </row>
    <row r="25" spans="1:11" x14ac:dyDescent="0.25">
      <c r="A25" t="s">
        <v>94</v>
      </c>
      <c r="B25" s="1" t="str">
        <f>HYPERLINK("https://www.catalog.slsa.sa.gov.au/record=b2106925")</f>
        <v>https://www.catalog.slsa.sa.gov.au/record=b2106925</v>
      </c>
      <c r="C25" s="1" t="str">
        <f>HYPERLINK("https://www.catalog.slsa.sa.gov.au/xrecord=b2106925")</f>
        <v>https://www.catalog.slsa.sa.gov.au/xrecord=b2106925</v>
      </c>
      <c r="D25" t="s">
        <v>66</v>
      </c>
      <c r="E25" t="s">
        <v>67</v>
      </c>
      <c r="F25">
        <v>1950</v>
      </c>
      <c r="G25" t="s">
        <v>68</v>
      </c>
      <c r="H25" t="s">
        <v>95</v>
      </c>
      <c r="I25" t="s">
        <v>89</v>
      </c>
      <c r="J25" t="s">
        <v>71</v>
      </c>
      <c r="K25" s="2" t="str">
        <f>HYPERLINK("http://collections.slsa.sa.gov.au/arthur/00250/BRG347_88.htm")</f>
        <v>http://collections.slsa.sa.gov.au/arthur/00250/BRG347_88.htm</v>
      </c>
    </row>
    <row r="26" spans="1:11" x14ac:dyDescent="0.25">
      <c r="A26" t="s">
        <v>96</v>
      </c>
      <c r="B26" s="1" t="str">
        <f>HYPERLINK("https://www.catalog.slsa.sa.gov.au/record=b2106926")</f>
        <v>https://www.catalog.slsa.sa.gov.au/record=b2106926</v>
      </c>
      <c r="C26" s="1" t="str">
        <f>HYPERLINK("https://www.catalog.slsa.sa.gov.au/xrecord=b2106926")</f>
        <v>https://www.catalog.slsa.sa.gov.au/xrecord=b2106926</v>
      </c>
      <c r="D26" t="s">
        <v>66</v>
      </c>
      <c r="E26" t="s">
        <v>67</v>
      </c>
      <c r="F26">
        <v>1950</v>
      </c>
      <c r="G26" t="s">
        <v>68</v>
      </c>
      <c r="H26" t="s">
        <v>95</v>
      </c>
      <c r="I26" t="s">
        <v>89</v>
      </c>
      <c r="J26" t="s">
        <v>71</v>
      </c>
      <c r="K26" s="2" t="str">
        <f>HYPERLINK("http://collections.slsa.sa.gov.au/arthur/00250/BRG347_89.htm")</f>
        <v>http://collections.slsa.sa.gov.au/arthur/00250/BRG347_89.htm</v>
      </c>
    </row>
    <row r="27" spans="1:11" x14ac:dyDescent="0.25">
      <c r="A27" t="s">
        <v>97</v>
      </c>
      <c r="B27" s="1" t="str">
        <f>HYPERLINK("https://www.catalog.slsa.sa.gov.au/record=b2106927")</f>
        <v>https://www.catalog.slsa.sa.gov.au/record=b2106927</v>
      </c>
      <c r="C27" s="1" t="str">
        <f>HYPERLINK("https://www.catalog.slsa.sa.gov.au/xrecord=b2106927")</f>
        <v>https://www.catalog.slsa.sa.gov.au/xrecord=b2106927</v>
      </c>
      <c r="D27" t="s">
        <v>66</v>
      </c>
      <c r="E27" t="s">
        <v>67</v>
      </c>
      <c r="F27">
        <v>1950</v>
      </c>
      <c r="G27" t="s">
        <v>68</v>
      </c>
      <c r="H27" t="s">
        <v>98</v>
      </c>
      <c r="I27" t="s">
        <v>89</v>
      </c>
      <c r="J27" t="s">
        <v>71</v>
      </c>
      <c r="K27" s="2" t="str">
        <f>HYPERLINK("http://collections.slsa.sa.gov.au/arthur/00250/BRG347_90.htm")</f>
        <v>http://collections.slsa.sa.gov.au/arthur/00250/BRG347_90.htm</v>
      </c>
    </row>
    <row r="28" spans="1:11" x14ac:dyDescent="0.25">
      <c r="A28" t="s">
        <v>99</v>
      </c>
      <c r="B28" s="1" t="str">
        <f>HYPERLINK("https://www.catalog.slsa.sa.gov.au/record=b2106928")</f>
        <v>https://www.catalog.slsa.sa.gov.au/record=b2106928</v>
      </c>
      <c r="C28" s="1" t="str">
        <f>HYPERLINK("https://www.catalog.slsa.sa.gov.au/xrecord=b2106928")</f>
        <v>https://www.catalog.slsa.sa.gov.au/xrecord=b2106928</v>
      </c>
      <c r="D28" t="s">
        <v>66</v>
      </c>
      <c r="E28" t="s">
        <v>67</v>
      </c>
      <c r="F28">
        <v>1950</v>
      </c>
      <c r="G28" t="s">
        <v>68</v>
      </c>
      <c r="H28" t="s">
        <v>100</v>
      </c>
      <c r="I28" t="s">
        <v>89</v>
      </c>
      <c r="J28" t="s">
        <v>71</v>
      </c>
      <c r="K28" s="2" t="str">
        <f>HYPERLINK("http://collections.slsa.sa.gov.au/arthur/00250/BRG347_91.htm")</f>
        <v>http://collections.slsa.sa.gov.au/arthur/00250/BRG347_91.htm</v>
      </c>
    </row>
    <row r="29" spans="1:11" x14ac:dyDescent="0.25">
      <c r="A29" t="s">
        <v>101</v>
      </c>
      <c r="B29" s="1" t="str">
        <f>HYPERLINK("https://www.catalog.slsa.sa.gov.au/record=b2106929")</f>
        <v>https://www.catalog.slsa.sa.gov.au/record=b2106929</v>
      </c>
      <c r="C29" s="1" t="str">
        <f>HYPERLINK("https://www.catalog.slsa.sa.gov.au/xrecord=b2106929")</f>
        <v>https://www.catalog.slsa.sa.gov.au/xrecord=b2106929</v>
      </c>
      <c r="D29" t="s">
        <v>66</v>
      </c>
      <c r="E29" t="s">
        <v>67</v>
      </c>
      <c r="F29">
        <v>1950</v>
      </c>
      <c r="G29" t="s">
        <v>68</v>
      </c>
      <c r="H29" t="s">
        <v>102</v>
      </c>
      <c r="I29" t="s">
        <v>89</v>
      </c>
      <c r="J29" t="s">
        <v>71</v>
      </c>
      <c r="K29" s="2" t="str">
        <f>HYPERLINK("http://collections.slsa.sa.gov.au/arthur/00250/BRG347_92.htm")</f>
        <v>http://collections.slsa.sa.gov.au/arthur/00250/BRG347_92.htm</v>
      </c>
    </row>
    <row r="30" spans="1:11" x14ac:dyDescent="0.25">
      <c r="A30" t="s">
        <v>103</v>
      </c>
      <c r="B30" s="1" t="str">
        <f>HYPERLINK("https://www.catalog.slsa.sa.gov.au/record=b2106930")</f>
        <v>https://www.catalog.slsa.sa.gov.au/record=b2106930</v>
      </c>
      <c r="C30" s="1" t="str">
        <f>HYPERLINK("https://www.catalog.slsa.sa.gov.au/xrecord=b2106930")</f>
        <v>https://www.catalog.slsa.sa.gov.au/xrecord=b2106930</v>
      </c>
      <c r="D30" t="s">
        <v>66</v>
      </c>
      <c r="E30" t="s">
        <v>67</v>
      </c>
      <c r="F30">
        <v>1950</v>
      </c>
      <c r="G30" t="s">
        <v>68</v>
      </c>
      <c r="H30" t="s">
        <v>104</v>
      </c>
      <c r="I30" t="s">
        <v>89</v>
      </c>
      <c r="J30" t="s">
        <v>71</v>
      </c>
      <c r="K30" s="2" t="str">
        <f>HYPERLINK("http://collections.slsa.sa.gov.au/arthur/00250/BRG347_93.htm")</f>
        <v>http://collections.slsa.sa.gov.au/arthur/00250/BRG347_93.htm</v>
      </c>
    </row>
    <row r="31" spans="1:11" x14ac:dyDescent="0.25">
      <c r="A31" t="s">
        <v>105</v>
      </c>
      <c r="B31" s="1" t="str">
        <f>HYPERLINK("https://www.catalog.slsa.sa.gov.au/record=b2106931")</f>
        <v>https://www.catalog.slsa.sa.gov.au/record=b2106931</v>
      </c>
      <c r="C31" s="1" t="str">
        <f>HYPERLINK("https://www.catalog.slsa.sa.gov.au/xrecord=b2106931")</f>
        <v>https://www.catalog.slsa.sa.gov.au/xrecord=b2106931</v>
      </c>
      <c r="D31" t="s">
        <v>66</v>
      </c>
      <c r="E31" t="s">
        <v>67</v>
      </c>
      <c r="F31">
        <v>1950</v>
      </c>
      <c r="G31" t="s">
        <v>68</v>
      </c>
      <c r="H31" t="s">
        <v>106</v>
      </c>
      <c r="I31" t="s">
        <v>89</v>
      </c>
      <c r="J31" t="s">
        <v>71</v>
      </c>
      <c r="K31" s="2" t="str">
        <f>HYPERLINK("http://collections.slsa.sa.gov.au/arthur/00250/BRG347_94.htm")</f>
        <v>http://collections.slsa.sa.gov.au/arthur/00250/BRG347_94.htm</v>
      </c>
    </row>
    <row r="32" spans="1:11" x14ac:dyDescent="0.25">
      <c r="A32" t="s">
        <v>107</v>
      </c>
      <c r="B32" s="1" t="str">
        <f>HYPERLINK("https://www.catalog.slsa.sa.gov.au/record=b2106932")</f>
        <v>https://www.catalog.slsa.sa.gov.au/record=b2106932</v>
      </c>
      <c r="C32" s="1" t="str">
        <f>HYPERLINK("https://www.catalog.slsa.sa.gov.au/xrecord=b2106932")</f>
        <v>https://www.catalog.slsa.sa.gov.au/xrecord=b2106932</v>
      </c>
      <c r="D32" t="s">
        <v>66</v>
      </c>
      <c r="E32" t="s">
        <v>67</v>
      </c>
      <c r="F32">
        <v>1950</v>
      </c>
      <c r="G32" t="s">
        <v>68</v>
      </c>
      <c r="H32" t="s">
        <v>108</v>
      </c>
      <c r="I32" t="s">
        <v>109</v>
      </c>
      <c r="J32" t="s">
        <v>71</v>
      </c>
      <c r="K32" s="2" t="str">
        <f>HYPERLINK("http://collections.slsa.sa.gov.au/arthur/00250/BRG347_95.htm")</f>
        <v>http://collections.slsa.sa.gov.au/arthur/00250/BRG347_95.htm</v>
      </c>
    </row>
    <row r="33" spans="1:11" x14ac:dyDescent="0.25">
      <c r="A33" t="s">
        <v>110</v>
      </c>
      <c r="B33" s="1" t="str">
        <f>HYPERLINK("https://www.catalog.slsa.sa.gov.au/record=b2106933")</f>
        <v>https://www.catalog.slsa.sa.gov.au/record=b2106933</v>
      </c>
      <c r="C33" s="1" t="str">
        <f>HYPERLINK("https://www.catalog.slsa.sa.gov.au/xrecord=b2106933")</f>
        <v>https://www.catalog.slsa.sa.gov.au/xrecord=b2106933</v>
      </c>
      <c r="D33" t="s">
        <v>66</v>
      </c>
      <c r="E33" t="s">
        <v>67</v>
      </c>
      <c r="F33">
        <v>1950</v>
      </c>
      <c r="G33" t="s">
        <v>68</v>
      </c>
      <c r="H33" t="s">
        <v>111</v>
      </c>
      <c r="I33" t="s">
        <v>109</v>
      </c>
      <c r="J33" t="s">
        <v>71</v>
      </c>
      <c r="K33" s="2" t="str">
        <f>HYPERLINK("http://collections.slsa.sa.gov.au/arthur/00250/BRG347_96.htm")</f>
        <v>http://collections.slsa.sa.gov.au/arthur/00250/BRG347_96.htm</v>
      </c>
    </row>
    <row r="34" spans="1:11" x14ac:dyDescent="0.25">
      <c r="A34" t="s">
        <v>112</v>
      </c>
      <c r="B34" s="1" t="str">
        <f>HYPERLINK("https://www.catalog.slsa.sa.gov.au/record=b2106934")</f>
        <v>https://www.catalog.slsa.sa.gov.au/record=b2106934</v>
      </c>
      <c r="C34" s="1" t="str">
        <f>HYPERLINK("https://www.catalog.slsa.sa.gov.au/xrecord=b2106934")</f>
        <v>https://www.catalog.slsa.sa.gov.au/xrecord=b2106934</v>
      </c>
      <c r="D34" t="s">
        <v>66</v>
      </c>
      <c r="E34" t="s">
        <v>67</v>
      </c>
      <c r="F34">
        <v>1950</v>
      </c>
      <c r="G34" t="s">
        <v>68</v>
      </c>
      <c r="H34" t="s">
        <v>113</v>
      </c>
      <c r="I34" t="s">
        <v>109</v>
      </c>
      <c r="J34" t="s">
        <v>71</v>
      </c>
      <c r="K34" s="2" t="str">
        <f>HYPERLINK("http://collections.slsa.sa.gov.au/arthur/00250/BRG347_97.htm")</f>
        <v>http://collections.slsa.sa.gov.au/arthur/00250/BRG347_97.htm</v>
      </c>
    </row>
    <row r="35" spans="1:11" x14ac:dyDescent="0.25">
      <c r="A35" t="s">
        <v>114</v>
      </c>
      <c r="B35" s="1" t="str">
        <f>HYPERLINK("https://www.catalog.slsa.sa.gov.au/record=b2106935")</f>
        <v>https://www.catalog.slsa.sa.gov.au/record=b2106935</v>
      </c>
      <c r="C35" s="1" t="str">
        <f>HYPERLINK("https://www.catalog.slsa.sa.gov.au/xrecord=b2106935")</f>
        <v>https://www.catalog.slsa.sa.gov.au/xrecord=b2106935</v>
      </c>
      <c r="D35" t="s">
        <v>66</v>
      </c>
      <c r="E35" t="s">
        <v>115</v>
      </c>
      <c r="F35">
        <v>1950</v>
      </c>
      <c r="G35" t="s">
        <v>68</v>
      </c>
      <c r="H35" t="s">
        <v>116</v>
      </c>
      <c r="I35" t="s">
        <v>117</v>
      </c>
      <c r="J35" t="s">
        <v>71</v>
      </c>
      <c r="K35" s="2" t="str">
        <f>HYPERLINK("http://collections.slsa.sa.gov.au/arthur/00250/BRG347_98.htm")</f>
        <v>http://collections.slsa.sa.gov.au/arthur/00250/BRG347_98.htm</v>
      </c>
    </row>
    <row r="36" spans="1:11" x14ac:dyDescent="0.25">
      <c r="A36" t="s">
        <v>118</v>
      </c>
      <c r="B36" s="1" t="str">
        <f>HYPERLINK("https://www.catalog.slsa.sa.gov.au/record=b2106936")</f>
        <v>https://www.catalog.slsa.sa.gov.au/record=b2106936</v>
      </c>
      <c r="C36" s="1" t="str">
        <f>HYPERLINK("https://www.catalog.slsa.sa.gov.au/xrecord=b2106936")</f>
        <v>https://www.catalog.slsa.sa.gov.au/xrecord=b2106936</v>
      </c>
      <c r="D36" t="s">
        <v>66</v>
      </c>
      <c r="E36" t="s">
        <v>67</v>
      </c>
      <c r="F36">
        <v>1950</v>
      </c>
      <c r="G36" t="s">
        <v>68</v>
      </c>
      <c r="H36" t="s">
        <v>69</v>
      </c>
      <c r="I36" t="s">
        <v>70</v>
      </c>
      <c r="J36" t="s">
        <v>71</v>
      </c>
      <c r="K36" s="2" t="str">
        <f>HYPERLINK("http://collections.slsa.sa.gov.au/arthur/00250/BRG347_99.htm")</f>
        <v>http://collections.slsa.sa.gov.au/arthur/00250/BRG347_99.htm</v>
      </c>
    </row>
    <row r="37" spans="1:11" x14ac:dyDescent="0.25">
      <c r="A37" t="s">
        <v>119</v>
      </c>
      <c r="B37" s="1" t="str">
        <f>HYPERLINK("https://www.catalog.slsa.sa.gov.au/record=b2109774")</f>
        <v>https://www.catalog.slsa.sa.gov.au/record=b2109774</v>
      </c>
      <c r="C37" s="1" t="str">
        <f>HYPERLINK("https://www.catalog.slsa.sa.gov.au/xrecord=b2109774")</f>
        <v>https://www.catalog.slsa.sa.gov.au/xrecord=b2109774</v>
      </c>
      <c r="D37" t="s">
        <v>66</v>
      </c>
      <c r="E37" t="s">
        <v>120</v>
      </c>
      <c r="F37">
        <v>1950</v>
      </c>
      <c r="G37" t="s">
        <v>121</v>
      </c>
      <c r="H37" t="s">
        <v>122</v>
      </c>
      <c r="I37" t="s">
        <v>123</v>
      </c>
      <c r="J37" t="s">
        <v>71</v>
      </c>
      <c r="K37" s="2" t="str">
        <f>HYPERLINK("http://collections.slsa.sa.gov.au/arthur/00750/BRG347_655.htm")</f>
        <v>http://collections.slsa.sa.gov.au/arthur/00750/BRG347_655.htm</v>
      </c>
    </row>
    <row r="38" spans="1:11" x14ac:dyDescent="0.25">
      <c r="A38" t="s">
        <v>124</v>
      </c>
      <c r="B38" s="1" t="str">
        <f>HYPERLINK("https://www.catalog.slsa.sa.gov.au/record=b2111278")</f>
        <v>https://www.catalog.slsa.sa.gov.au/record=b2111278</v>
      </c>
      <c r="C38" s="1" t="str">
        <f>HYPERLINK("https://www.catalog.slsa.sa.gov.au/xrecord=b2111278")</f>
        <v>https://www.catalog.slsa.sa.gov.au/xrecord=b2111278</v>
      </c>
      <c r="D38" t="s">
        <v>66</v>
      </c>
      <c r="E38" t="s">
        <v>125</v>
      </c>
      <c r="F38">
        <v>1950</v>
      </c>
      <c r="G38" t="s">
        <v>121</v>
      </c>
      <c r="H38" t="s">
        <v>126</v>
      </c>
      <c r="I38" t="s">
        <v>127</v>
      </c>
      <c r="J38" t="s">
        <v>71</v>
      </c>
      <c r="K38" s="2" t="str">
        <f>HYPERLINK("http://collections.slsa.sa.gov.au/arthur/02000/BRG347_1949.htm")</f>
        <v>http://collections.slsa.sa.gov.au/arthur/02000/BRG347_1949.htm</v>
      </c>
    </row>
    <row r="39" spans="1:11" x14ac:dyDescent="0.25">
      <c r="A39" t="s">
        <v>128</v>
      </c>
      <c r="B39" s="1" t="str">
        <f>HYPERLINK("https://www.catalog.slsa.sa.gov.au/record=b2118033")</f>
        <v>https://www.catalog.slsa.sa.gov.au/record=b2118033</v>
      </c>
      <c r="C39" s="1" t="str">
        <f>HYPERLINK("https://www.catalog.slsa.sa.gov.au/xrecord=b2118033")</f>
        <v>https://www.catalog.slsa.sa.gov.au/xrecord=b2118033</v>
      </c>
      <c r="D39" t="s">
        <v>66</v>
      </c>
      <c r="E39" t="s">
        <v>129</v>
      </c>
      <c r="F39">
        <v>1950</v>
      </c>
      <c r="G39" t="s">
        <v>121</v>
      </c>
      <c r="H39" t="s">
        <v>130</v>
      </c>
      <c r="I39" t="s">
        <v>131</v>
      </c>
      <c r="J39" t="s">
        <v>71</v>
      </c>
      <c r="K39" s="2" t="str">
        <f>HYPERLINK("http://collections.slsa.sa.gov.au/arthur/02750/BRG347_2697.htm")</f>
        <v>http://collections.slsa.sa.gov.au/arthur/02750/BRG347_2697.htm</v>
      </c>
    </row>
    <row r="40" spans="1:11" x14ac:dyDescent="0.25">
      <c r="A40" t="s">
        <v>132</v>
      </c>
      <c r="B40" s="1" t="str">
        <f>HYPERLINK("https://www.catalog.slsa.sa.gov.au/record=b2112441")</f>
        <v>https://www.catalog.slsa.sa.gov.au/record=b2112441</v>
      </c>
      <c r="C40" s="1" t="str">
        <f>HYPERLINK("https://www.catalog.slsa.sa.gov.au/xrecord=b2112441")</f>
        <v>https://www.catalog.slsa.sa.gov.au/xrecord=b2112441</v>
      </c>
      <c r="D40" t="s">
        <v>66</v>
      </c>
      <c r="E40" t="s">
        <v>133</v>
      </c>
      <c r="F40">
        <v>1950</v>
      </c>
      <c r="G40" t="s">
        <v>121</v>
      </c>
      <c r="H40" t="s">
        <v>134</v>
      </c>
      <c r="I40" t="s">
        <v>135</v>
      </c>
      <c r="J40" t="s">
        <v>71</v>
      </c>
      <c r="K40" s="2" t="str">
        <f>HYPERLINK("http://collections.slsa.sa.gov.au/arthur/02750/BRG347_2717.htm")</f>
        <v>http://collections.slsa.sa.gov.au/arthur/02750/BRG347_2717.htm</v>
      </c>
    </row>
    <row r="41" spans="1:11" x14ac:dyDescent="0.25">
      <c r="A41" t="s">
        <v>136</v>
      </c>
      <c r="B41" s="1" t="str">
        <f>HYPERLINK("https://www.catalog.slsa.sa.gov.au/record=b2112442")</f>
        <v>https://www.catalog.slsa.sa.gov.au/record=b2112442</v>
      </c>
      <c r="C41" s="1" t="str">
        <f>HYPERLINK("https://www.catalog.slsa.sa.gov.au/xrecord=b2112442")</f>
        <v>https://www.catalog.slsa.sa.gov.au/xrecord=b2112442</v>
      </c>
      <c r="D41" t="s">
        <v>66</v>
      </c>
      <c r="E41" t="s">
        <v>137</v>
      </c>
      <c r="F41">
        <v>1950</v>
      </c>
      <c r="G41" t="s">
        <v>121</v>
      </c>
      <c r="H41" t="s">
        <v>138</v>
      </c>
      <c r="I41" t="s">
        <v>139</v>
      </c>
      <c r="J41" t="s">
        <v>71</v>
      </c>
      <c r="K41" s="2" t="str">
        <f>HYPERLINK("http://collections.slsa.sa.gov.au/arthur/02750/BRG347_2718.htm")</f>
        <v>http://collections.slsa.sa.gov.au/arthur/02750/BRG347_2718.htm</v>
      </c>
    </row>
    <row r="42" spans="1:11" x14ac:dyDescent="0.25">
      <c r="A42" t="s">
        <v>140</v>
      </c>
      <c r="B42" s="1" t="str">
        <f>HYPERLINK("https://www.catalog.slsa.sa.gov.au/record=b2112443")</f>
        <v>https://www.catalog.slsa.sa.gov.au/record=b2112443</v>
      </c>
      <c r="C42" s="1" t="str">
        <f>HYPERLINK("https://www.catalog.slsa.sa.gov.au/xrecord=b2112443")</f>
        <v>https://www.catalog.slsa.sa.gov.au/xrecord=b2112443</v>
      </c>
      <c r="D42" t="s">
        <v>66</v>
      </c>
      <c r="E42" t="s">
        <v>141</v>
      </c>
      <c r="F42">
        <v>1950</v>
      </c>
      <c r="G42" t="s">
        <v>121</v>
      </c>
      <c r="H42" t="s">
        <v>142</v>
      </c>
      <c r="I42" t="s">
        <v>143</v>
      </c>
      <c r="J42" t="s">
        <v>71</v>
      </c>
      <c r="K42" s="2" t="str">
        <f>HYPERLINK("http://collections.slsa.sa.gov.au/arthur/02750/BRG347_2719.htm")</f>
        <v>http://collections.slsa.sa.gov.au/arthur/02750/BRG347_2719.htm</v>
      </c>
    </row>
    <row r="43" spans="1:11" x14ac:dyDescent="0.25">
      <c r="A43" t="s">
        <v>144</v>
      </c>
      <c r="B43" s="1" t="str">
        <f>HYPERLINK("https://www.catalog.slsa.sa.gov.au/record=b2112444")</f>
        <v>https://www.catalog.slsa.sa.gov.au/record=b2112444</v>
      </c>
      <c r="C43" s="1" t="str">
        <f>HYPERLINK("https://www.catalog.slsa.sa.gov.au/xrecord=b2112444")</f>
        <v>https://www.catalog.slsa.sa.gov.au/xrecord=b2112444</v>
      </c>
      <c r="D43" t="s">
        <v>66</v>
      </c>
      <c r="E43" t="s">
        <v>145</v>
      </c>
      <c r="F43">
        <v>1950</v>
      </c>
      <c r="G43" t="s">
        <v>121</v>
      </c>
      <c r="H43" t="s">
        <v>146</v>
      </c>
      <c r="I43" t="s">
        <v>147</v>
      </c>
      <c r="J43" t="s">
        <v>71</v>
      </c>
      <c r="K43" s="2" t="str">
        <f>HYPERLINK("http://collections.slsa.sa.gov.au/arthur/02750/BRG347_2720.htm")</f>
        <v>http://collections.slsa.sa.gov.au/arthur/02750/BRG347_2720.htm</v>
      </c>
    </row>
    <row r="44" spans="1:11" x14ac:dyDescent="0.25">
      <c r="A44" t="s">
        <v>148</v>
      </c>
      <c r="B44" s="1" t="str">
        <f>HYPERLINK("https://www.catalog.slsa.sa.gov.au/record=b2112445")</f>
        <v>https://www.catalog.slsa.sa.gov.au/record=b2112445</v>
      </c>
      <c r="C44" s="1" t="str">
        <f>HYPERLINK("https://www.catalog.slsa.sa.gov.au/xrecord=b2112445")</f>
        <v>https://www.catalog.slsa.sa.gov.au/xrecord=b2112445</v>
      </c>
      <c r="D44" t="s">
        <v>66</v>
      </c>
      <c r="E44" t="s">
        <v>149</v>
      </c>
      <c r="F44">
        <v>1950</v>
      </c>
      <c r="G44" t="s">
        <v>121</v>
      </c>
      <c r="H44" t="s">
        <v>150</v>
      </c>
      <c r="I44" t="s">
        <v>151</v>
      </c>
      <c r="J44" t="s">
        <v>71</v>
      </c>
      <c r="K44" s="2" t="str">
        <f>HYPERLINK("http://collections.slsa.sa.gov.au/arthur/02750/BRG347_2721.htm")</f>
        <v>http://collections.slsa.sa.gov.au/arthur/02750/BRG347_2721.htm</v>
      </c>
    </row>
    <row r="45" spans="1:11" x14ac:dyDescent="0.25">
      <c r="A45" t="s">
        <v>152</v>
      </c>
      <c r="B45" s="1" t="str">
        <f>HYPERLINK("https://www.catalog.slsa.sa.gov.au/record=b2112446")</f>
        <v>https://www.catalog.slsa.sa.gov.au/record=b2112446</v>
      </c>
      <c r="C45" s="1" t="str">
        <f>HYPERLINK("https://www.catalog.slsa.sa.gov.au/xrecord=b2112446")</f>
        <v>https://www.catalog.slsa.sa.gov.au/xrecord=b2112446</v>
      </c>
      <c r="D45" t="s">
        <v>66</v>
      </c>
      <c r="E45" t="s">
        <v>153</v>
      </c>
      <c r="F45">
        <v>1950</v>
      </c>
      <c r="G45" t="s">
        <v>121</v>
      </c>
      <c r="H45" t="s">
        <v>154</v>
      </c>
      <c r="I45" t="s">
        <v>155</v>
      </c>
      <c r="J45" t="s">
        <v>71</v>
      </c>
      <c r="K45" s="2" t="str">
        <f>HYPERLINK("http://collections.slsa.sa.gov.au/arthur/02750/BRG347_2722.htm")</f>
        <v>http://collections.slsa.sa.gov.au/arthur/02750/BRG347_2722.htm</v>
      </c>
    </row>
    <row r="46" spans="1:11" x14ac:dyDescent="0.25">
      <c r="A46" t="s">
        <v>156</v>
      </c>
      <c r="B46" s="1" t="str">
        <f>HYPERLINK("https://www.catalog.slsa.sa.gov.au/record=b2112447")</f>
        <v>https://www.catalog.slsa.sa.gov.au/record=b2112447</v>
      </c>
      <c r="C46" s="1" t="str">
        <f>HYPERLINK("https://www.catalog.slsa.sa.gov.au/xrecord=b2112447")</f>
        <v>https://www.catalog.slsa.sa.gov.au/xrecord=b2112447</v>
      </c>
      <c r="D46" t="s">
        <v>66</v>
      </c>
      <c r="E46" t="s">
        <v>157</v>
      </c>
      <c r="F46">
        <v>1950</v>
      </c>
      <c r="G46" t="s">
        <v>121</v>
      </c>
      <c r="H46" t="s">
        <v>158</v>
      </c>
      <c r="I46" t="s">
        <v>159</v>
      </c>
      <c r="J46" t="s">
        <v>71</v>
      </c>
      <c r="K46" s="2" t="str">
        <f>HYPERLINK("http://collections.slsa.sa.gov.au/arthur/02750/BRG347_2723.htm")</f>
        <v>http://collections.slsa.sa.gov.au/arthur/02750/BRG347_2723.htm</v>
      </c>
    </row>
    <row r="47" spans="1:11" x14ac:dyDescent="0.25">
      <c r="A47" t="s">
        <v>160</v>
      </c>
      <c r="B47" s="1" t="str">
        <f>HYPERLINK("https://www.catalog.slsa.sa.gov.au/record=b2112448")</f>
        <v>https://www.catalog.slsa.sa.gov.au/record=b2112448</v>
      </c>
      <c r="C47" s="1" t="str">
        <f>HYPERLINK("https://www.catalog.slsa.sa.gov.au/xrecord=b2112448")</f>
        <v>https://www.catalog.slsa.sa.gov.au/xrecord=b2112448</v>
      </c>
      <c r="D47" t="s">
        <v>66</v>
      </c>
      <c r="E47" t="s">
        <v>161</v>
      </c>
      <c r="F47">
        <v>1950</v>
      </c>
      <c r="G47" t="s">
        <v>121</v>
      </c>
      <c r="H47" t="s">
        <v>162</v>
      </c>
      <c r="I47" t="s">
        <v>163</v>
      </c>
      <c r="J47" t="s">
        <v>71</v>
      </c>
      <c r="K47" s="2" t="str">
        <f>HYPERLINK("http://collections.slsa.sa.gov.au/arthur/02750/BRG347_2724.htm")</f>
        <v>http://collections.slsa.sa.gov.au/arthur/02750/BRG347_2724.htm</v>
      </c>
    </row>
    <row r="48" spans="1:11" x14ac:dyDescent="0.25">
      <c r="A48" t="s">
        <v>164</v>
      </c>
      <c r="B48" s="1" t="str">
        <f>HYPERLINK("https://www.catalog.slsa.sa.gov.au/record=b2112449")</f>
        <v>https://www.catalog.slsa.sa.gov.au/record=b2112449</v>
      </c>
      <c r="C48" s="1" t="str">
        <f>HYPERLINK("https://www.catalog.slsa.sa.gov.au/xrecord=b2112449")</f>
        <v>https://www.catalog.slsa.sa.gov.au/xrecord=b2112449</v>
      </c>
      <c r="D48" t="s">
        <v>66</v>
      </c>
      <c r="E48" t="s">
        <v>165</v>
      </c>
      <c r="F48">
        <v>1950</v>
      </c>
      <c r="G48" t="s">
        <v>121</v>
      </c>
      <c r="H48" t="s">
        <v>166</v>
      </c>
      <c r="I48" t="s">
        <v>167</v>
      </c>
      <c r="J48" t="s">
        <v>71</v>
      </c>
      <c r="K48" s="2" t="str">
        <f>HYPERLINK("http://collections.slsa.sa.gov.au/arthur/02750/BRG347_2725.htm")</f>
        <v>http://collections.slsa.sa.gov.au/arthur/02750/BRG347_2725.htm</v>
      </c>
    </row>
    <row r="49" spans="1:11" x14ac:dyDescent="0.25">
      <c r="A49" t="s">
        <v>168</v>
      </c>
      <c r="B49" s="1" t="str">
        <f>HYPERLINK("https://www.catalog.slsa.sa.gov.au/record=b2112450")</f>
        <v>https://www.catalog.slsa.sa.gov.au/record=b2112450</v>
      </c>
      <c r="C49" s="1" t="str">
        <f>HYPERLINK("https://www.catalog.slsa.sa.gov.au/xrecord=b2112450")</f>
        <v>https://www.catalog.slsa.sa.gov.au/xrecord=b2112450</v>
      </c>
      <c r="D49" t="s">
        <v>66</v>
      </c>
      <c r="E49" t="s">
        <v>169</v>
      </c>
      <c r="F49">
        <v>1950</v>
      </c>
      <c r="G49" t="s">
        <v>121</v>
      </c>
      <c r="H49" t="s">
        <v>170</v>
      </c>
      <c r="I49" t="s">
        <v>171</v>
      </c>
      <c r="J49" t="s">
        <v>71</v>
      </c>
      <c r="K49" s="2" t="str">
        <f>HYPERLINK("http://collections.slsa.sa.gov.au/arthur/02750/BRG347_2726.htm")</f>
        <v>http://collections.slsa.sa.gov.au/arthur/02750/BRG347_2726.htm</v>
      </c>
    </row>
    <row r="50" spans="1:11" x14ac:dyDescent="0.25">
      <c r="A50" t="s">
        <v>172</v>
      </c>
      <c r="B50" s="1" t="str">
        <f>HYPERLINK("https://www.catalog.slsa.sa.gov.au/record=b2112451")</f>
        <v>https://www.catalog.slsa.sa.gov.au/record=b2112451</v>
      </c>
      <c r="C50" s="1" t="str">
        <f>HYPERLINK("https://www.catalog.slsa.sa.gov.au/xrecord=b2112451")</f>
        <v>https://www.catalog.slsa.sa.gov.au/xrecord=b2112451</v>
      </c>
      <c r="D50" t="s">
        <v>66</v>
      </c>
      <c r="E50" t="s">
        <v>173</v>
      </c>
      <c r="F50">
        <v>1950</v>
      </c>
      <c r="G50" t="s">
        <v>121</v>
      </c>
      <c r="H50" t="s">
        <v>174</v>
      </c>
      <c r="I50" t="s">
        <v>175</v>
      </c>
      <c r="J50" t="s">
        <v>71</v>
      </c>
      <c r="K50" s="2" t="str">
        <f>HYPERLINK("http://collections.slsa.sa.gov.au/arthur/02750/BRG347_2727.htm")</f>
        <v>http://collections.slsa.sa.gov.au/arthur/02750/BRG347_2727.htm</v>
      </c>
    </row>
    <row r="51" spans="1:11" x14ac:dyDescent="0.25">
      <c r="A51" t="s">
        <v>176</v>
      </c>
      <c r="B51" s="1" t="str">
        <f>HYPERLINK("https://www.catalog.slsa.sa.gov.au/record=b2112452")</f>
        <v>https://www.catalog.slsa.sa.gov.au/record=b2112452</v>
      </c>
      <c r="C51" s="1" t="str">
        <f>HYPERLINK("https://www.catalog.slsa.sa.gov.au/xrecord=b2112452")</f>
        <v>https://www.catalog.slsa.sa.gov.au/xrecord=b2112452</v>
      </c>
      <c r="D51" t="s">
        <v>66</v>
      </c>
      <c r="E51" t="s">
        <v>177</v>
      </c>
      <c r="F51">
        <v>1950</v>
      </c>
      <c r="G51" t="s">
        <v>121</v>
      </c>
      <c r="H51" t="s">
        <v>178</v>
      </c>
      <c r="I51" t="s">
        <v>179</v>
      </c>
      <c r="J51" t="s">
        <v>71</v>
      </c>
      <c r="K51" s="2" t="str">
        <f>HYPERLINK("http://collections.slsa.sa.gov.au/arthur/02750/BRG347_2728.htm")</f>
        <v>http://collections.slsa.sa.gov.au/arthur/02750/BRG347_2728.htm</v>
      </c>
    </row>
    <row r="52" spans="1:11" x14ac:dyDescent="0.25">
      <c r="A52" t="s">
        <v>180</v>
      </c>
      <c r="B52" s="1" t="str">
        <f>HYPERLINK("https://www.catalog.slsa.sa.gov.au/record=b2112453")</f>
        <v>https://www.catalog.slsa.sa.gov.au/record=b2112453</v>
      </c>
      <c r="C52" s="1" t="str">
        <f>HYPERLINK("https://www.catalog.slsa.sa.gov.au/xrecord=b2112453")</f>
        <v>https://www.catalog.slsa.sa.gov.au/xrecord=b2112453</v>
      </c>
      <c r="D52" t="s">
        <v>66</v>
      </c>
      <c r="E52" t="s">
        <v>181</v>
      </c>
      <c r="F52">
        <v>1950</v>
      </c>
      <c r="G52" t="s">
        <v>121</v>
      </c>
      <c r="H52" t="s">
        <v>182</v>
      </c>
      <c r="I52" t="s">
        <v>183</v>
      </c>
      <c r="J52" t="s">
        <v>71</v>
      </c>
      <c r="K52" s="2" t="str">
        <f>HYPERLINK("http://collections.slsa.sa.gov.au/arthur/02750/BRG347_2729.htm")</f>
        <v>http://collections.slsa.sa.gov.au/arthur/02750/BRG347_2729.htm</v>
      </c>
    </row>
    <row r="53" spans="1:11" x14ac:dyDescent="0.25">
      <c r="A53" t="s">
        <v>184</v>
      </c>
      <c r="B53" s="1" t="str">
        <f>HYPERLINK("https://www.catalog.slsa.sa.gov.au/record=b2112454")</f>
        <v>https://www.catalog.slsa.sa.gov.au/record=b2112454</v>
      </c>
      <c r="C53" s="1" t="str">
        <f>HYPERLINK("https://www.catalog.slsa.sa.gov.au/xrecord=b2112454")</f>
        <v>https://www.catalog.slsa.sa.gov.au/xrecord=b2112454</v>
      </c>
      <c r="D53" t="s">
        <v>66</v>
      </c>
      <c r="E53" t="s">
        <v>185</v>
      </c>
      <c r="F53">
        <v>1950</v>
      </c>
      <c r="G53" t="s">
        <v>121</v>
      </c>
      <c r="H53" t="s">
        <v>186</v>
      </c>
      <c r="I53" t="s">
        <v>187</v>
      </c>
      <c r="J53" t="s">
        <v>71</v>
      </c>
      <c r="K53" s="2" t="str">
        <f>HYPERLINK("http://collections.slsa.sa.gov.au/arthur/02750/BRG347_2730.htm")</f>
        <v>http://collections.slsa.sa.gov.au/arthur/02750/BRG347_2730.htm</v>
      </c>
    </row>
    <row r="54" spans="1:11" x14ac:dyDescent="0.25">
      <c r="A54" t="s">
        <v>188</v>
      </c>
      <c r="B54" s="1" t="str">
        <f>HYPERLINK("https://www.catalog.slsa.sa.gov.au/record=b2112455")</f>
        <v>https://www.catalog.slsa.sa.gov.au/record=b2112455</v>
      </c>
      <c r="C54" s="1" t="str">
        <f>HYPERLINK("https://www.catalog.slsa.sa.gov.au/xrecord=b2112455")</f>
        <v>https://www.catalog.slsa.sa.gov.au/xrecord=b2112455</v>
      </c>
      <c r="D54" t="s">
        <v>66</v>
      </c>
      <c r="E54" t="s">
        <v>189</v>
      </c>
      <c r="F54">
        <v>1950</v>
      </c>
      <c r="G54" t="s">
        <v>121</v>
      </c>
      <c r="H54" t="s">
        <v>190</v>
      </c>
      <c r="I54" t="s">
        <v>191</v>
      </c>
      <c r="J54" t="s">
        <v>71</v>
      </c>
      <c r="K54" s="2" t="str">
        <f>HYPERLINK("http://collections.slsa.sa.gov.au/arthur/02750/BRG347_2731.htm")</f>
        <v>http://collections.slsa.sa.gov.au/arthur/02750/BRG347_2731.htm</v>
      </c>
    </row>
    <row r="55" spans="1:11" x14ac:dyDescent="0.25">
      <c r="A55" t="s">
        <v>192</v>
      </c>
      <c r="B55" s="1" t="str">
        <f>HYPERLINK("https://www.catalog.slsa.sa.gov.au/record=b2112457")</f>
        <v>https://www.catalog.slsa.sa.gov.au/record=b2112457</v>
      </c>
      <c r="C55" s="1" t="str">
        <f>HYPERLINK("https://www.catalog.slsa.sa.gov.au/xrecord=b2112457")</f>
        <v>https://www.catalog.slsa.sa.gov.au/xrecord=b2112457</v>
      </c>
      <c r="D55" t="s">
        <v>66</v>
      </c>
      <c r="E55" t="s">
        <v>193</v>
      </c>
      <c r="F55">
        <v>1950</v>
      </c>
      <c r="G55" t="s">
        <v>121</v>
      </c>
      <c r="H55" t="s">
        <v>194</v>
      </c>
      <c r="I55" t="s">
        <v>195</v>
      </c>
      <c r="J55" t="s">
        <v>71</v>
      </c>
      <c r="K55" s="2" t="str">
        <f>HYPERLINK("http://collections.slsa.sa.gov.au/arthur/02750/BRG347_2733.htm")</f>
        <v>http://collections.slsa.sa.gov.au/arthur/02750/BRG347_2733.htm</v>
      </c>
    </row>
    <row r="56" spans="1:11" x14ac:dyDescent="0.25">
      <c r="A56" t="s">
        <v>196</v>
      </c>
      <c r="B56" s="1" t="str">
        <f>HYPERLINK("https://www.catalog.slsa.sa.gov.au/record=b2112460")</f>
        <v>https://www.catalog.slsa.sa.gov.au/record=b2112460</v>
      </c>
      <c r="C56" s="1" t="str">
        <f>HYPERLINK("https://www.catalog.slsa.sa.gov.au/xrecord=b2112460")</f>
        <v>https://www.catalog.slsa.sa.gov.au/xrecord=b2112460</v>
      </c>
      <c r="D56" t="s">
        <v>66</v>
      </c>
      <c r="E56" t="s">
        <v>197</v>
      </c>
      <c r="F56">
        <v>1950</v>
      </c>
      <c r="G56" t="s">
        <v>121</v>
      </c>
      <c r="H56" t="s">
        <v>198</v>
      </c>
      <c r="I56" t="s">
        <v>199</v>
      </c>
      <c r="J56" t="s">
        <v>71</v>
      </c>
      <c r="K56" s="2" t="str">
        <f>HYPERLINK("http://collections.slsa.sa.gov.au/arthur/02750/BRG347_2736.htm")</f>
        <v>http://collections.slsa.sa.gov.au/arthur/02750/BRG347_2736.htm</v>
      </c>
    </row>
    <row r="57" spans="1:11" x14ac:dyDescent="0.25">
      <c r="A57" t="s">
        <v>200</v>
      </c>
      <c r="B57" s="1" t="str">
        <f>HYPERLINK("https://www.catalog.slsa.sa.gov.au/record=b2112461")</f>
        <v>https://www.catalog.slsa.sa.gov.au/record=b2112461</v>
      </c>
      <c r="C57" s="1" t="str">
        <f>HYPERLINK("https://www.catalog.slsa.sa.gov.au/xrecord=b2112461")</f>
        <v>https://www.catalog.slsa.sa.gov.au/xrecord=b2112461</v>
      </c>
      <c r="D57" t="s">
        <v>66</v>
      </c>
      <c r="E57" t="s">
        <v>201</v>
      </c>
      <c r="F57">
        <v>1950</v>
      </c>
      <c r="G57" t="s">
        <v>121</v>
      </c>
      <c r="H57" t="s">
        <v>202</v>
      </c>
      <c r="I57" t="s">
        <v>203</v>
      </c>
      <c r="J57" t="s">
        <v>71</v>
      </c>
      <c r="K57" s="2" t="str">
        <f>HYPERLINK("http://collections.slsa.sa.gov.au/arthur/02750/BRG347_2737.htm")</f>
        <v>http://collections.slsa.sa.gov.au/arthur/02750/BRG347_2737.htm</v>
      </c>
    </row>
    <row r="58" spans="1:11" x14ac:dyDescent="0.25">
      <c r="A58" t="s">
        <v>204</v>
      </c>
      <c r="B58" s="1" t="str">
        <f>HYPERLINK("https://www.catalog.slsa.sa.gov.au/record=b2112852")</f>
        <v>https://www.catalog.slsa.sa.gov.au/record=b2112852</v>
      </c>
      <c r="C58" s="1" t="str">
        <f>HYPERLINK("https://www.catalog.slsa.sa.gov.au/xrecord=b2112852")</f>
        <v>https://www.catalog.slsa.sa.gov.au/xrecord=b2112852</v>
      </c>
      <c r="D58" t="s">
        <v>66</v>
      </c>
      <c r="E58" t="s">
        <v>205</v>
      </c>
      <c r="F58">
        <v>1950</v>
      </c>
      <c r="G58" t="s">
        <v>121</v>
      </c>
      <c r="H58" t="s">
        <v>206</v>
      </c>
      <c r="I58" t="s">
        <v>207</v>
      </c>
      <c r="J58" t="s">
        <v>71</v>
      </c>
      <c r="K58" s="2" t="str">
        <f>HYPERLINK("http://collections.slsa.sa.gov.au/arthur/03250/BRG347_3088.htm")</f>
        <v>http://collections.slsa.sa.gov.au/arthur/03250/BRG347_3088.htm</v>
      </c>
    </row>
    <row r="59" spans="1:11" x14ac:dyDescent="0.25">
      <c r="A59" t="s">
        <v>208</v>
      </c>
      <c r="B59" s="1" t="str">
        <f>HYPERLINK("https://www.catalog.slsa.sa.gov.au/record=b2113606")</f>
        <v>https://www.catalog.slsa.sa.gov.au/record=b2113606</v>
      </c>
      <c r="C59" s="1" t="str">
        <f>HYPERLINK("https://www.catalog.slsa.sa.gov.au/xrecord=b2113606")</f>
        <v>https://www.catalog.slsa.sa.gov.au/xrecord=b2113606</v>
      </c>
      <c r="D59" t="s">
        <v>66</v>
      </c>
      <c r="E59" t="s">
        <v>209</v>
      </c>
      <c r="F59">
        <v>1950</v>
      </c>
      <c r="G59" t="s">
        <v>121</v>
      </c>
      <c r="H59" t="s">
        <v>210</v>
      </c>
      <c r="I59" t="s">
        <v>211</v>
      </c>
      <c r="J59" t="s">
        <v>71</v>
      </c>
      <c r="K59" s="2" t="str">
        <f>HYPERLINK("http://collections.slsa.sa.gov.au/arthur/03750/BRG347_3673.htm")</f>
        <v>http://collections.slsa.sa.gov.au/arthur/03750/BRG347_3673.htm</v>
      </c>
    </row>
    <row r="60" spans="1:11" x14ac:dyDescent="0.25">
      <c r="A60" t="s">
        <v>212</v>
      </c>
      <c r="B60" s="1" t="str">
        <f>HYPERLINK("https://www.catalog.slsa.sa.gov.au/record=b2113607")</f>
        <v>https://www.catalog.slsa.sa.gov.au/record=b2113607</v>
      </c>
      <c r="C60" s="1" t="str">
        <f>HYPERLINK("https://www.catalog.slsa.sa.gov.au/xrecord=b2113607")</f>
        <v>https://www.catalog.slsa.sa.gov.au/xrecord=b2113607</v>
      </c>
      <c r="D60" t="s">
        <v>66</v>
      </c>
      <c r="E60" t="s">
        <v>213</v>
      </c>
      <c r="F60">
        <v>1950</v>
      </c>
      <c r="G60" t="s">
        <v>121</v>
      </c>
      <c r="H60" t="s">
        <v>214</v>
      </c>
      <c r="I60" t="s">
        <v>215</v>
      </c>
      <c r="J60" t="s">
        <v>71</v>
      </c>
      <c r="K60" s="2" t="str">
        <f>HYPERLINK("http://collections.slsa.sa.gov.au/arthur/03750/BRG347_3674.htm")</f>
        <v>http://collections.slsa.sa.gov.au/arthur/03750/BRG347_3674.htm</v>
      </c>
    </row>
    <row r="61" spans="1:11" x14ac:dyDescent="0.25">
      <c r="A61" t="s">
        <v>216</v>
      </c>
      <c r="B61" s="1" t="str">
        <f>HYPERLINK("https://www.catalog.slsa.sa.gov.au/record=b2113608")</f>
        <v>https://www.catalog.slsa.sa.gov.au/record=b2113608</v>
      </c>
      <c r="C61" s="1" t="str">
        <f>HYPERLINK("https://www.catalog.slsa.sa.gov.au/xrecord=b2113608")</f>
        <v>https://www.catalog.slsa.sa.gov.au/xrecord=b2113608</v>
      </c>
      <c r="D61" t="s">
        <v>66</v>
      </c>
      <c r="E61" t="s">
        <v>217</v>
      </c>
      <c r="F61">
        <v>1950</v>
      </c>
      <c r="G61" t="s">
        <v>121</v>
      </c>
      <c r="H61" t="s">
        <v>218</v>
      </c>
      <c r="I61" t="s">
        <v>219</v>
      </c>
      <c r="J61" t="s">
        <v>71</v>
      </c>
      <c r="K61" s="2" t="str">
        <f>HYPERLINK("http://collections.slsa.sa.gov.au/arthur/03750/BRG347_3675.htm")</f>
        <v>http://collections.slsa.sa.gov.au/arthur/03750/BRG347_3675.htm</v>
      </c>
    </row>
    <row r="62" spans="1:11" x14ac:dyDescent="0.25">
      <c r="A62" t="s">
        <v>220</v>
      </c>
      <c r="B62" s="1" t="str">
        <f>HYPERLINK("https://www.catalog.slsa.sa.gov.au/record=b2117787")</f>
        <v>https://www.catalog.slsa.sa.gov.au/record=b2117787</v>
      </c>
      <c r="C62" s="1" t="str">
        <f>HYPERLINK("https://www.catalog.slsa.sa.gov.au/xrecord=b2117787")</f>
        <v>https://www.catalog.slsa.sa.gov.au/xrecord=b2117787</v>
      </c>
      <c r="D62" t="s">
        <v>66</v>
      </c>
      <c r="E62" t="s">
        <v>221</v>
      </c>
      <c r="F62">
        <v>1950</v>
      </c>
      <c r="G62" t="s">
        <v>121</v>
      </c>
      <c r="H62" t="s">
        <v>222</v>
      </c>
      <c r="I62" t="s">
        <v>223</v>
      </c>
      <c r="J62" t="s">
        <v>71</v>
      </c>
      <c r="K62" s="2" t="str">
        <f>HYPERLINK("http://collections.slsa.sa.gov.au/arthur/03750/BRG347_3676.htm")</f>
        <v>http://collections.slsa.sa.gov.au/arthur/03750/BRG347_3676.htm</v>
      </c>
    </row>
    <row r="63" spans="1:11" x14ac:dyDescent="0.25">
      <c r="A63" t="s">
        <v>224</v>
      </c>
      <c r="B63" s="1" t="str">
        <f>HYPERLINK("https://www.catalog.slsa.sa.gov.au/record=b2113609")</f>
        <v>https://www.catalog.slsa.sa.gov.au/record=b2113609</v>
      </c>
      <c r="C63" s="1" t="str">
        <f>HYPERLINK("https://www.catalog.slsa.sa.gov.au/xrecord=b2113609")</f>
        <v>https://www.catalog.slsa.sa.gov.au/xrecord=b2113609</v>
      </c>
      <c r="D63" t="s">
        <v>66</v>
      </c>
      <c r="E63" t="s">
        <v>225</v>
      </c>
      <c r="F63">
        <v>1950</v>
      </c>
      <c r="G63" t="s">
        <v>121</v>
      </c>
      <c r="H63" t="s">
        <v>226</v>
      </c>
      <c r="I63" t="s">
        <v>227</v>
      </c>
      <c r="J63" t="s">
        <v>71</v>
      </c>
      <c r="K63" s="2" t="str">
        <f>HYPERLINK("http://collections.slsa.sa.gov.au/arthur/03750/BRG347_3677.htm")</f>
        <v>http://collections.slsa.sa.gov.au/arthur/03750/BRG347_3677.htm</v>
      </c>
    </row>
    <row r="64" spans="1:11" x14ac:dyDescent="0.25">
      <c r="A64" t="s">
        <v>228</v>
      </c>
      <c r="B64" s="1" t="str">
        <f>HYPERLINK("https://www.catalog.slsa.sa.gov.au/record=b2113610")</f>
        <v>https://www.catalog.slsa.sa.gov.au/record=b2113610</v>
      </c>
      <c r="C64" s="1" t="str">
        <f>HYPERLINK("https://www.catalog.slsa.sa.gov.au/xrecord=b2113610")</f>
        <v>https://www.catalog.slsa.sa.gov.au/xrecord=b2113610</v>
      </c>
      <c r="D64" t="s">
        <v>66</v>
      </c>
      <c r="E64" t="s">
        <v>229</v>
      </c>
      <c r="F64">
        <v>1950</v>
      </c>
      <c r="G64" t="s">
        <v>121</v>
      </c>
      <c r="H64" t="s">
        <v>230</v>
      </c>
      <c r="I64" t="s">
        <v>231</v>
      </c>
      <c r="J64" t="s">
        <v>71</v>
      </c>
      <c r="K64" s="2" t="str">
        <f>HYPERLINK("http://collections.slsa.sa.gov.au/arthur/03750/BRG347_3678.htm")</f>
        <v>http://collections.slsa.sa.gov.au/arthur/03750/BRG347_3678.htm</v>
      </c>
    </row>
    <row r="65" spans="1:11" x14ac:dyDescent="0.25">
      <c r="A65" t="s">
        <v>232</v>
      </c>
      <c r="B65" s="1" t="str">
        <f>HYPERLINK("https://www.catalog.slsa.sa.gov.au/record=b2113612")</f>
        <v>https://www.catalog.slsa.sa.gov.au/record=b2113612</v>
      </c>
      <c r="C65" s="1" t="str">
        <f>HYPERLINK("https://www.catalog.slsa.sa.gov.au/xrecord=b2113612")</f>
        <v>https://www.catalog.slsa.sa.gov.au/xrecord=b2113612</v>
      </c>
      <c r="D65" t="s">
        <v>66</v>
      </c>
      <c r="E65" t="s">
        <v>233</v>
      </c>
      <c r="F65">
        <v>1950</v>
      </c>
      <c r="G65" t="s">
        <v>121</v>
      </c>
      <c r="H65" t="s">
        <v>234</v>
      </c>
      <c r="I65" t="s">
        <v>235</v>
      </c>
      <c r="J65" t="s">
        <v>71</v>
      </c>
      <c r="K65" s="2" t="str">
        <f>HYPERLINK("http://collections.slsa.sa.gov.au/arthur/03750/BRG347_3680.htm")</f>
        <v>http://collections.slsa.sa.gov.au/arthur/03750/BRG347_3680.htm</v>
      </c>
    </row>
    <row r="66" spans="1:11" x14ac:dyDescent="0.25">
      <c r="A66" t="s">
        <v>236</v>
      </c>
      <c r="B66" s="1" t="str">
        <f>HYPERLINK("https://www.catalog.slsa.sa.gov.au/record=b2113613")</f>
        <v>https://www.catalog.slsa.sa.gov.au/record=b2113613</v>
      </c>
      <c r="C66" s="1" t="str">
        <f>HYPERLINK("https://www.catalog.slsa.sa.gov.au/xrecord=b2113613")</f>
        <v>https://www.catalog.slsa.sa.gov.au/xrecord=b2113613</v>
      </c>
      <c r="D66" t="s">
        <v>66</v>
      </c>
      <c r="E66" t="s">
        <v>237</v>
      </c>
      <c r="F66">
        <v>1950</v>
      </c>
      <c r="G66" t="s">
        <v>121</v>
      </c>
      <c r="H66" t="s">
        <v>238</v>
      </c>
      <c r="I66" t="s">
        <v>239</v>
      </c>
      <c r="J66" t="s">
        <v>71</v>
      </c>
      <c r="K66" s="2" t="str">
        <f>HYPERLINK("http://collections.slsa.sa.gov.au/arthur/03750/BRG347_3681.htm")</f>
        <v>http://collections.slsa.sa.gov.au/arthur/03750/BRG347_3681.htm</v>
      </c>
    </row>
    <row r="67" spans="1:11" x14ac:dyDescent="0.25">
      <c r="A67" t="s">
        <v>240</v>
      </c>
      <c r="B67" s="1" t="str">
        <f>HYPERLINK("https://www.catalog.slsa.sa.gov.au/record=b2113614")</f>
        <v>https://www.catalog.slsa.sa.gov.au/record=b2113614</v>
      </c>
      <c r="C67" s="1" t="str">
        <f>HYPERLINK("https://www.catalog.slsa.sa.gov.au/xrecord=b2113614")</f>
        <v>https://www.catalog.slsa.sa.gov.au/xrecord=b2113614</v>
      </c>
      <c r="D67" t="s">
        <v>66</v>
      </c>
      <c r="E67" t="s">
        <v>241</v>
      </c>
      <c r="F67">
        <v>1950</v>
      </c>
      <c r="G67" t="s">
        <v>121</v>
      </c>
      <c r="H67" t="s">
        <v>242</v>
      </c>
      <c r="I67" t="s">
        <v>243</v>
      </c>
      <c r="J67" t="s">
        <v>71</v>
      </c>
      <c r="K67" s="2" t="str">
        <f>HYPERLINK("http://collections.slsa.sa.gov.au/arthur/03750/BRG347_3682.htm")</f>
        <v>http://collections.slsa.sa.gov.au/arthur/03750/BRG347_3682.htm</v>
      </c>
    </row>
    <row r="68" spans="1:11" x14ac:dyDescent="0.25">
      <c r="A68" t="s">
        <v>244</v>
      </c>
      <c r="B68" s="1" t="str">
        <f>HYPERLINK("https://www.catalog.slsa.sa.gov.au/record=b2113615")</f>
        <v>https://www.catalog.slsa.sa.gov.au/record=b2113615</v>
      </c>
      <c r="C68" s="1" t="str">
        <f>HYPERLINK("https://www.catalog.slsa.sa.gov.au/xrecord=b2113615")</f>
        <v>https://www.catalog.slsa.sa.gov.au/xrecord=b2113615</v>
      </c>
      <c r="D68" t="s">
        <v>66</v>
      </c>
      <c r="E68" t="s">
        <v>241</v>
      </c>
      <c r="F68">
        <v>1950</v>
      </c>
      <c r="G68" t="s">
        <v>121</v>
      </c>
      <c r="H68" t="s">
        <v>245</v>
      </c>
      <c r="I68" t="s">
        <v>243</v>
      </c>
      <c r="J68" t="s">
        <v>71</v>
      </c>
      <c r="K68" s="2" t="str">
        <f>HYPERLINK("http://collections.slsa.sa.gov.au/arthur/03750/BRG347_3683.htm")</f>
        <v>http://collections.slsa.sa.gov.au/arthur/03750/BRG347_3683.htm</v>
      </c>
    </row>
    <row r="69" spans="1:11" x14ac:dyDescent="0.25">
      <c r="A69" t="s">
        <v>246</v>
      </c>
      <c r="B69" s="1" t="str">
        <f>HYPERLINK("https://www.catalog.slsa.sa.gov.au/record=b2113616")</f>
        <v>https://www.catalog.slsa.sa.gov.au/record=b2113616</v>
      </c>
      <c r="C69" s="1" t="str">
        <f>HYPERLINK("https://www.catalog.slsa.sa.gov.au/xrecord=b2113616")</f>
        <v>https://www.catalog.slsa.sa.gov.au/xrecord=b2113616</v>
      </c>
      <c r="D69" t="s">
        <v>66</v>
      </c>
      <c r="E69" t="s">
        <v>247</v>
      </c>
      <c r="F69">
        <v>1950</v>
      </c>
      <c r="G69" t="s">
        <v>121</v>
      </c>
      <c r="H69" t="s">
        <v>248</v>
      </c>
      <c r="I69" t="s">
        <v>249</v>
      </c>
      <c r="J69" t="s">
        <v>71</v>
      </c>
      <c r="K69" s="2" t="str">
        <f>HYPERLINK("http://collections.slsa.sa.gov.au/arthur/03750/BRG347_3684.htm")</f>
        <v>http://collections.slsa.sa.gov.au/arthur/03750/BRG347_3684.htm</v>
      </c>
    </row>
    <row r="70" spans="1:11" x14ac:dyDescent="0.25">
      <c r="A70" t="s">
        <v>250</v>
      </c>
      <c r="B70" s="1" t="str">
        <f>HYPERLINK("https://www.catalog.slsa.sa.gov.au/record=b2113617")</f>
        <v>https://www.catalog.slsa.sa.gov.au/record=b2113617</v>
      </c>
      <c r="C70" s="1" t="str">
        <f>HYPERLINK("https://www.catalog.slsa.sa.gov.au/xrecord=b2113617")</f>
        <v>https://www.catalog.slsa.sa.gov.au/xrecord=b2113617</v>
      </c>
      <c r="D70" t="s">
        <v>66</v>
      </c>
      <c r="E70" t="s">
        <v>251</v>
      </c>
      <c r="F70">
        <v>1950</v>
      </c>
      <c r="G70" t="s">
        <v>121</v>
      </c>
      <c r="H70" t="s">
        <v>252</v>
      </c>
      <c r="I70" t="s">
        <v>253</v>
      </c>
      <c r="J70" t="s">
        <v>71</v>
      </c>
      <c r="K70" s="2" t="str">
        <f>HYPERLINK("http://collections.slsa.sa.gov.au/arthur/03750/BRG347_3685.htm")</f>
        <v>http://collections.slsa.sa.gov.au/arthur/03750/BRG347_3685.htm</v>
      </c>
    </row>
    <row r="71" spans="1:11" x14ac:dyDescent="0.25">
      <c r="A71" t="s">
        <v>254</v>
      </c>
      <c r="B71" s="1" t="str">
        <f>HYPERLINK("https://www.catalog.slsa.sa.gov.au/record=b2113618")</f>
        <v>https://www.catalog.slsa.sa.gov.au/record=b2113618</v>
      </c>
      <c r="C71" s="1" t="str">
        <f>HYPERLINK("https://www.catalog.slsa.sa.gov.au/xrecord=b2113618")</f>
        <v>https://www.catalog.slsa.sa.gov.au/xrecord=b2113618</v>
      </c>
      <c r="D71" t="s">
        <v>66</v>
      </c>
      <c r="E71" t="s">
        <v>255</v>
      </c>
      <c r="F71">
        <v>1950</v>
      </c>
      <c r="G71" t="s">
        <v>121</v>
      </c>
      <c r="H71" t="s">
        <v>256</v>
      </c>
      <c r="I71" t="s">
        <v>257</v>
      </c>
      <c r="J71" t="s">
        <v>71</v>
      </c>
      <c r="K71" s="2" t="str">
        <f>HYPERLINK("http://collections.slsa.sa.gov.au/arthur/03750/BRG347_3686.htm")</f>
        <v>http://collections.slsa.sa.gov.au/arthur/03750/BRG347_3686.htm</v>
      </c>
    </row>
    <row r="72" spans="1:11" x14ac:dyDescent="0.25">
      <c r="A72" t="s">
        <v>258</v>
      </c>
      <c r="B72" s="1" t="str">
        <f>HYPERLINK("https://www.catalog.slsa.sa.gov.au/record=b2117788")</f>
        <v>https://www.catalog.slsa.sa.gov.au/record=b2117788</v>
      </c>
      <c r="C72" s="1" t="str">
        <f>HYPERLINK("https://www.catalog.slsa.sa.gov.au/xrecord=b2117788")</f>
        <v>https://www.catalog.slsa.sa.gov.au/xrecord=b2117788</v>
      </c>
      <c r="D72" t="s">
        <v>66</v>
      </c>
      <c r="E72" t="s">
        <v>259</v>
      </c>
      <c r="F72">
        <v>1950</v>
      </c>
      <c r="G72" t="s">
        <v>121</v>
      </c>
      <c r="H72" t="s">
        <v>260</v>
      </c>
      <c r="I72" t="s">
        <v>261</v>
      </c>
      <c r="J72" t="s">
        <v>71</v>
      </c>
      <c r="K72" s="2" t="str">
        <f>HYPERLINK("http://collections.slsa.sa.gov.au/arthur/03750/BRG347_3687.htm")</f>
        <v>http://collections.slsa.sa.gov.au/arthur/03750/BRG347_3687.htm</v>
      </c>
    </row>
    <row r="73" spans="1:11" x14ac:dyDescent="0.25">
      <c r="A73" t="s">
        <v>262</v>
      </c>
      <c r="B73" s="1" t="str">
        <f>HYPERLINK("https://www.catalog.slsa.sa.gov.au/record=b2113619")</f>
        <v>https://www.catalog.slsa.sa.gov.au/record=b2113619</v>
      </c>
      <c r="C73" s="1" t="str">
        <f>HYPERLINK("https://www.catalog.slsa.sa.gov.au/xrecord=b2113619")</f>
        <v>https://www.catalog.slsa.sa.gov.au/xrecord=b2113619</v>
      </c>
      <c r="D73" t="s">
        <v>66</v>
      </c>
      <c r="E73" t="s">
        <v>263</v>
      </c>
      <c r="F73">
        <v>1950</v>
      </c>
      <c r="G73" t="s">
        <v>121</v>
      </c>
      <c r="H73" t="s">
        <v>264</v>
      </c>
      <c r="I73" t="s">
        <v>265</v>
      </c>
      <c r="J73" t="s">
        <v>71</v>
      </c>
      <c r="K73" s="2" t="str">
        <f>HYPERLINK("http://collections.slsa.sa.gov.au/arthur/03750/BRG347_3688.htm")</f>
        <v>http://collections.slsa.sa.gov.au/arthur/03750/BRG347_3688.htm</v>
      </c>
    </row>
    <row r="74" spans="1:11" x14ac:dyDescent="0.25">
      <c r="A74" t="s">
        <v>266</v>
      </c>
      <c r="B74" s="1" t="str">
        <f>HYPERLINK("https://www.catalog.slsa.sa.gov.au/record=b2113620")</f>
        <v>https://www.catalog.slsa.sa.gov.au/record=b2113620</v>
      </c>
      <c r="C74" s="1" t="str">
        <f>HYPERLINK("https://www.catalog.slsa.sa.gov.au/xrecord=b2113620")</f>
        <v>https://www.catalog.slsa.sa.gov.au/xrecord=b2113620</v>
      </c>
      <c r="D74" t="s">
        <v>66</v>
      </c>
      <c r="E74" t="s">
        <v>267</v>
      </c>
      <c r="F74">
        <v>1950</v>
      </c>
      <c r="G74" t="s">
        <v>121</v>
      </c>
      <c r="H74" t="s">
        <v>268</v>
      </c>
      <c r="I74" t="s">
        <v>269</v>
      </c>
      <c r="J74" t="s">
        <v>71</v>
      </c>
      <c r="K74" s="2" t="str">
        <f>HYPERLINK("http://collections.slsa.sa.gov.au/arthur/03750/BRG347_3689.htm")</f>
        <v>http://collections.slsa.sa.gov.au/arthur/03750/BRG347_3689.htm</v>
      </c>
    </row>
    <row r="75" spans="1:11" x14ac:dyDescent="0.25">
      <c r="A75" t="s">
        <v>270</v>
      </c>
      <c r="B75" s="1" t="str">
        <f>HYPERLINK("https://www.catalog.slsa.sa.gov.au/record=b2113621")</f>
        <v>https://www.catalog.slsa.sa.gov.au/record=b2113621</v>
      </c>
      <c r="C75" s="1" t="str">
        <f>HYPERLINK("https://www.catalog.slsa.sa.gov.au/xrecord=b2113621")</f>
        <v>https://www.catalog.slsa.sa.gov.au/xrecord=b2113621</v>
      </c>
      <c r="D75" t="s">
        <v>66</v>
      </c>
      <c r="E75" t="s">
        <v>271</v>
      </c>
      <c r="F75">
        <v>1950</v>
      </c>
      <c r="G75" t="s">
        <v>121</v>
      </c>
      <c r="H75" t="s">
        <v>272</v>
      </c>
      <c r="I75" t="s">
        <v>273</v>
      </c>
      <c r="J75" t="s">
        <v>71</v>
      </c>
      <c r="K75" s="2" t="str">
        <f>HYPERLINK("http://collections.slsa.sa.gov.au/arthur/03750/BRG347_3690.htm")</f>
        <v>http://collections.slsa.sa.gov.au/arthur/03750/BRG347_3690.htm</v>
      </c>
    </row>
    <row r="76" spans="1:11" x14ac:dyDescent="0.25">
      <c r="A76" t="s">
        <v>274</v>
      </c>
      <c r="B76" s="1" t="str">
        <f>HYPERLINK("https://www.catalog.slsa.sa.gov.au/record=b2113622")</f>
        <v>https://www.catalog.slsa.sa.gov.au/record=b2113622</v>
      </c>
      <c r="C76" s="1" t="str">
        <f>HYPERLINK("https://www.catalog.slsa.sa.gov.au/xrecord=b2113622")</f>
        <v>https://www.catalog.slsa.sa.gov.au/xrecord=b2113622</v>
      </c>
      <c r="D76" t="s">
        <v>66</v>
      </c>
      <c r="E76" t="s">
        <v>275</v>
      </c>
      <c r="F76">
        <v>1950</v>
      </c>
      <c r="G76" t="s">
        <v>121</v>
      </c>
      <c r="H76" t="s">
        <v>276</v>
      </c>
      <c r="I76" t="s">
        <v>277</v>
      </c>
      <c r="J76" t="s">
        <v>71</v>
      </c>
      <c r="K76" s="2" t="str">
        <f>HYPERLINK("http://collections.slsa.sa.gov.au/arthur/03750/BRG347_3691.htm")</f>
        <v>http://collections.slsa.sa.gov.au/arthur/03750/BRG347_3691.htm</v>
      </c>
    </row>
    <row r="77" spans="1:11" x14ac:dyDescent="0.25">
      <c r="A77" t="s">
        <v>278</v>
      </c>
      <c r="B77" s="1" t="str">
        <f>HYPERLINK("https://www.catalog.slsa.sa.gov.au/record=b2113623")</f>
        <v>https://www.catalog.slsa.sa.gov.au/record=b2113623</v>
      </c>
      <c r="C77" s="1" t="str">
        <f>HYPERLINK("https://www.catalog.slsa.sa.gov.au/xrecord=b2113623")</f>
        <v>https://www.catalog.slsa.sa.gov.au/xrecord=b2113623</v>
      </c>
      <c r="D77" t="s">
        <v>66</v>
      </c>
      <c r="E77" t="s">
        <v>279</v>
      </c>
      <c r="F77">
        <v>1950</v>
      </c>
      <c r="G77" t="s">
        <v>121</v>
      </c>
      <c r="H77" t="s">
        <v>280</v>
      </c>
      <c r="I77" t="s">
        <v>281</v>
      </c>
      <c r="J77" t="s">
        <v>71</v>
      </c>
      <c r="K77" s="2" t="str">
        <f>HYPERLINK("http://collections.slsa.sa.gov.au/arthur/03750/BRG347_3692.htm")</f>
        <v>http://collections.slsa.sa.gov.au/arthur/03750/BRG347_3692.htm</v>
      </c>
    </row>
    <row r="78" spans="1:11" x14ac:dyDescent="0.25">
      <c r="A78" t="s">
        <v>282</v>
      </c>
      <c r="B78" s="1" t="str">
        <f>HYPERLINK("https://www.catalog.slsa.sa.gov.au/record=b2113624")</f>
        <v>https://www.catalog.slsa.sa.gov.au/record=b2113624</v>
      </c>
      <c r="C78" s="1" t="str">
        <f>HYPERLINK("https://www.catalog.slsa.sa.gov.au/xrecord=b2113624")</f>
        <v>https://www.catalog.slsa.sa.gov.au/xrecord=b2113624</v>
      </c>
      <c r="D78" t="s">
        <v>66</v>
      </c>
      <c r="E78" t="s">
        <v>283</v>
      </c>
      <c r="F78">
        <v>1950</v>
      </c>
      <c r="G78" t="s">
        <v>121</v>
      </c>
      <c r="H78" t="s">
        <v>284</v>
      </c>
      <c r="I78" t="s">
        <v>285</v>
      </c>
      <c r="J78" t="s">
        <v>71</v>
      </c>
      <c r="K78" s="2" t="str">
        <f>HYPERLINK("http://collections.slsa.sa.gov.au/arthur/03750/BRG347_3693.htm")</f>
        <v>http://collections.slsa.sa.gov.au/arthur/03750/BRG347_3693.htm</v>
      </c>
    </row>
    <row r="79" spans="1:11" x14ac:dyDescent="0.25">
      <c r="A79" t="s">
        <v>286</v>
      </c>
      <c r="B79" s="1" t="str">
        <f>HYPERLINK("https://www.catalog.slsa.sa.gov.au/record=b2113625")</f>
        <v>https://www.catalog.slsa.sa.gov.au/record=b2113625</v>
      </c>
      <c r="C79" s="1" t="str">
        <f>HYPERLINK("https://www.catalog.slsa.sa.gov.au/xrecord=b2113625")</f>
        <v>https://www.catalog.slsa.sa.gov.au/xrecord=b2113625</v>
      </c>
      <c r="D79" t="s">
        <v>66</v>
      </c>
      <c r="E79" t="s">
        <v>287</v>
      </c>
      <c r="F79">
        <v>1950</v>
      </c>
      <c r="G79" t="s">
        <v>121</v>
      </c>
      <c r="H79" t="s">
        <v>288</v>
      </c>
      <c r="I79" t="s">
        <v>289</v>
      </c>
      <c r="J79" t="s">
        <v>71</v>
      </c>
      <c r="K79" s="2" t="str">
        <f>HYPERLINK("http://collections.slsa.sa.gov.au/arthur/03750/BRG347_3694.htm")</f>
        <v>http://collections.slsa.sa.gov.au/arthur/03750/BRG347_3694.htm</v>
      </c>
    </row>
    <row r="80" spans="1:11" x14ac:dyDescent="0.25">
      <c r="A80" t="s">
        <v>290</v>
      </c>
      <c r="B80" s="1" t="str">
        <f>HYPERLINK("https://www.catalog.slsa.sa.gov.au/record=b2113626")</f>
        <v>https://www.catalog.slsa.sa.gov.au/record=b2113626</v>
      </c>
      <c r="C80" s="1" t="str">
        <f>HYPERLINK("https://www.catalog.slsa.sa.gov.au/xrecord=b2113626")</f>
        <v>https://www.catalog.slsa.sa.gov.au/xrecord=b2113626</v>
      </c>
      <c r="D80" t="s">
        <v>66</v>
      </c>
      <c r="E80" t="s">
        <v>291</v>
      </c>
      <c r="F80">
        <v>1950</v>
      </c>
      <c r="G80" t="s">
        <v>121</v>
      </c>
      <c r="H80" t="s">
        <v>292</v>
      </c>
      <c r="I80" t="s">
        <v>293</v>
      </c>
      <c r="J80" t="s">
        <v>71</v>
      </c>
      <c r="K80" s="2" t="str">
        <f>HYPERLINK("http://collections.slsa.sa.gov.au/arthur/03750/BRG347_3695.htm")</f>
        <v>http://collections.slsa.sa.gov.au/arthur/03750/BRG347_3695.htm</v>
      </c>
    </row>
    <row r="81" spans="1:11" x14ac:dyDescent="0.25">
      <c r="A81" t="s">
        <v>294</v>
      </c>
      <c r="B81" s="1" t="str">
        <f>HYPERLINK("https://www.catalog.slsa.sa.gov.au/record=b2113627")</f>
        <v>https://www.catalog.slsa.sa.gov.au/record=b2113627</v>
      </c>
      <c r="C81" s="1" t="str">
        <f>HYPERLINK("https://www.catalog.slsa.sa.gov.au/xrecord=b2113627")</f>
        <v>https://www.catalog.slsa.sa.gov.au/xrecord=b2113627</v>
      </c>
      <c r="D81" t="s">
        <v>66</v>
      </c>
      <c r="E81" t="s">
        <v>291</v>
      </c>
      <c r="F81">
        <v>1950</v>
      </c>
      <c r="G81" t="s">
        <v>121</v>
      </c>
      <c r="H81" t="s">
        <v>295</v>
      </c>
      <c r="I81" t="s">
        <v>293</v>
      </c>
      <c r="J81" t="s">
        <v>71</v>
      </c>
      <c r="K81" s="2" t="str">
        <f>HYPERLINK("http://collections.slsa.sa.gov.au/arthur/03750/BRG347_3696.htm")</f>
        <v>http://collections.slsa.sa.gov.au/arthur/03750/BRG347_3696.htm</v>
      </c>
    </row>
    <row r="82" spans="1:11" x14ac:dyDescent="0.25">
      <c r="A82" t="s">
        <v>296</v>
      </c>
      <c r="B82" s="1" t="str">
        <f>HYPERLINK("https://www.catalog.slsa.sa.gov.au/record=b2116416")</f>
        <v>https://www.catalog.slsa.sa.gov.au/record=b2116416</v>
      </c>
      <c r="C82" s="1" t="str">
        <f>HYPERLINK("https://www.catalog.slsa.sa.gov.au/xrecord=b2116416")</f>
        <v>https://www.catalog.slsa.sa.gov.au/xrecord=b2116416</v>
      </c>
      <c r="D82" t="s">
        <v>66</v>
      </c>
      <c r="E82" t="s">
        <v>297</v>
      </c>
      <c r="F82">
        <v>1950</v>
      </c>
      <c r="G82" t="s">
        <v>121</v>
      </c>
      <c r="H82" t="s">
        <v>298</v>
      </c>
      <c r="I82" t="s">
        <v>299</v>
      </c>
      <c r="J82" t="s">
        <v>71</v>
      </c>
      <c r="K82" s="2" t="str">
        <f>HYPERLINK("http://collections.slsa.sa.gov.au/arthur/05500/BRG347_5443.htm")</f>
        <v>http://collections.slsa.sa.gov.au/arthur/05500/BRG347_5443.htm</v>
      </c>
    </row>
    <row r="83" spans="1:11" x14ac:dyDescent="0.25">
      <c r="A83" t="s">
        <v>300</v>
      </c>
      <c r="B83" s="1" t="str">
        <f>HYPERLINK("https://www.catalog.slsa.sa.gov.au/record=b2116431")</f>
        <v>https://www.catalog.slsa.sa.gov.au/record=b2116431</v>
      </c>
      <c r="C83" s="1" t="str">
        <f>HYPERLINK("https://www.catalog.slsa.sa.gov.au/xrecord=b2116431")</f>
        <v>https://www.catalog.slsa.sa.gov.au/xrecord=b2116431</v>
      </c>
      <c r="D83" t="s">
        <v>66</v>
      </c>
      <c r="E83" t="s">
        <v>301</v>
      </c>
      <c r="F83">
        <v>1950</v>
      </c>
      <c r="G83" t="s">
        <v>121</v>
      </c>
      <c r="H83" t="s">
        <v>302</v>
      </c>
      <c r="I83" t="s">
        <v>303</v>
      </c>
      <c r="J83" t="s">
        <v>71</v>
      </c>
      <c r="K83" s="2" t="str">
        <f>HYPERLINK("http://collections.slsa.sa.gov.au/arthur/05500/BRG347_5444.htm")</f>
        <v>http://collections.slsa.sa.gov.au/arthur/05500/BRG347_5444.htm</v>
      </c>
    </row>
    <row r="84" spans="1:11" x14ac:dyDescent="0.25">
      <c r="A84" t="s">
        <v>304</v>
      </c>
      <c r="B84" s="1" t="str">
        <f>HYPERLINK("https://www.catalog.slsa.sa.gov.au/record=b2116432")</f>
        <v>https://www.catalog.slsa.sa.gov.au/record=b2116432</v>
      </c>
      <c r="C84" s="1" t="str">
        <f>HYPERLINK("https://www.catalog.slsa.sa.gov.au/xrecord=b2116432")</f>
        <v>https://www.catalog.slsa.sa.gov.au/xrecord=b2116432</v>
      </c>
      <c r="D84" t="s">
        <v>66</v>
      </c>
      <c r="E84" t="s">
        <v>305</v>
      </c>
      <c r="F84">
        <v>1950</v>
      </c>
      <c r="G84" t="s">
        <v>121</v>
      </c>
      <c r="H84" t="s">
        <v>306</v>
      </c>
      <c r="I84" t="s">
        <v>307</v>
      </c>
      <c r="J84" t="s">
        <v>71</v>
      </c>
      <c r="K84" s="2" t="str">
        <f>HYPERLINK("http://collections.slsa.sa.gov.au/arthur/05500/BRG347_5445.htm")</f>
        <v>http://collections.slsa.sa.gov.au/arthur/05500/BRG347_5445.htm</v>
      </c>
    </row>
    <row r="85" spans="1:11" x14ac:dyDescent="0.25">
      <c r="A85" t="s">
        <v>308</v>
      </c>
      <c r="B85" s="1" t="str">
        <f>HYPERLINK("https://www.catalog.slsa.sa.gov.au/record=b2120412")</f>
        <v>https://www.catalog.slsa.sa.gov.au/record=b2120412</v>
      </c>
      <c r="C85" s="1" t="str">
        <f>HYPERLINK("https://www.catalog.slsa.sa.gov.au/xrecord=b2120412")</f>
        <v>https://www.catalog.slsa.sa.gov.au/xrecord=b2120412</v>
      </c>
      <c r="D85" t="s">
        <v>66</v>
      </c>
      <c r="E85" t="s">
        <v>309</v>
      </c>
      <c r="F85">
        <v>1950</v>
      </c>
      <c r="G85" t="s">
        <v>121</v>
      </c>
      <c r="H85" t="s">
        <v>310</v>
      </c>
      <c r="I85" t="s">
        <v>311</v>
      </c>
      <c r="J85" t="s">
        <v>71</v>
      </c>
      <c r="K85" s="2" t="str">
        <f>HYPERLINK("http://collections.slsa.sa.gov.au/arthur/05500/BRG347_5446.htm")</f>
        <v>http://collections.slsa.sa.gov.au/arthur/05500/BRG347_5446.htm</v>
      </c>
    </row>
    <row r="86" spans="1:11" x14ac:dyDescent="0.25">
      <c r="A86" t="s">
        <v>312</v>
      </c>
      <c r="B86" s="1" t="str">
        <f>HYPERLINK("https://www.catalog.slsa.sa.gov.au/record=b2116433")</f>
        <v>https://www.catalog.slsa.sa.gov.au/record=b2116433</v>
      </c>
      <c r="C86" s="1" t="str">
        <f>HYPERLINK("https://www.catalog.slsa.sa.gov.au/xrecord=b2116433")</f>
        <v>https://www.catalog.slsa.sa.gov.au/xrecord=b2116433</v>
      </c>
      <c r="D86" t="s">
        <v>66</v>
      </c>
      <c r="E86" t="s">
        <v>313</v>
      </c>
      <c r="F86">
        <v>1950</v>
      </c>
      <c r="G86" t="s">
        <v>121</v>
      </c>
      <c r="H86" t="s">
        <v>314</v>
      </c>
      <c r="I86" t="s">
        <v>315</v>
      </c>
      <c r="J86" t="s">
        <v>71</v>
      </c>
      <c r="K86" s="2" t="str">
        <f>HYPERLINK("http://collections.slsa.sa.gov.au/arthur/05500/BRG347_5447.htm")</f>
        <v>http://collections.slsa.sa.gov.au/arthur/05500/BRG347_5447.htm</v>
      </c>
    </row>
    <row r="87" spans="1:11" x14ac:dyDescent="0.25">
      <c r="A87" t="s">
        <v>316</v>
      </c>
      <c r="B87" s="1" t="str">
        <f>HYPERLINK("https://www.catalog.slsa.sa.gov.au/record=b2116434")</f>
        <v>https://www.catalog.slsa.sa.gov.au/record=b2116434</v>
      </c>
      <c r="C87" s="1" t="str">
        <f>HYPERLINK("https://www.catalog.slsa.sa.gov.au/xrecord=b2116434")</f>
        <v>https://www.catalog.slsa.sa.gov.au/xrecord=b2116434</v>
      </c>
      <c r="D87" t="s">
        <v>66</v>
      </c>
      <c r="E87" t="s">
        <v>317</v>
      </c>
      <c r="F87">
        <v>1950</v>
      </c>
      <c r="G87" t="s">
        <v>121</v>
      </c>
      <c r="H87" t="s">
        <v>318</v>
      </c>
      <c r="I87" t="s">
        <v>319</v>
      </c>
      <c r="J87" t="s">
        <v>71</v>
      </c>
      <c r="K87" s="2" t="str">
        <f>HYPERLINK("http://collections.slsa.sa.gov.au/arthur/05500/BRG347_5448.htm")</f>
        <v>http://collections.slsa.sa.gov.au/arthur/05500/BRG347_5448.htm</v>
      </c>
    </row>
    <row r="88" spans="1:11" x14ac:dyDescent="0.25">
      <c r="A88" t="s">
        <v>320</v>
      </c>
      <c r="B88" s="1" t="str">
        <f>HYPERLINK("https://www.catalog.slsa.sa.gov.au/record=b2116435")</f>
        <v>https://www.catalog.slsa.sa.gov.au/record=b2116435</v>
      </c>
      <c r="C88" s="1" t="str">
        <f>HYPERLINK("https://www.catalog.slsa.sa.gov.au/xrecord=b2116435")</f>
        <v>https://www.catalog.slsa.sa.gov.au/xrecord=b2116435</v>
      </c>
      <c r="D88" t="s">
        <v>66</v>
      </c>
      <c r="E88" t="s">
        <v>321</v>
      </c>
      <c r="F88">
        <v>1950</v>
      </c>
      <c r="G88" t="s">
        <v>121</v>
      </c>
      <c r="H88" t="s">
        <v>322</v>
      </c>
      <c r="I88" t="s">
        <v>323</v>
      </c>
      <c r="J88" t="s">
        <v>71</v>
      </c>
      <c r="K88" s="2" t="str">
        <f>HYPERLINK("http://collections.slsa.sa.gov.au/arthur/05500/BRG347_5449.htm")</f>
        <v>http://collections.slsa.sa.gov.au/arthur/05500/BRG347_5449.htm</v>
      </c>
    </row>
    <row r="89" spans="1:11" x14ac:dyDescent="0.25">
      <c r="A89" t="s">
        <v>324</v>
      </c>
      <c r="B89" s="1" t="str">
        <f>HYPERLINK("https://www.catalog.slsa.sa.gov.au/record=b2116436")</f>
        <v>https://www.catalog.slsa.sa.gov.au/record=b2116436</v>
      </c>
      <c r="C89" s="1" t="str">
        <f>HYPERLINK("https://www.catalog.slsa.sa.gov.au/xrecord=b2116436")</f>
        <v>https://www.catalog.slsa.sa.gov.au/xrecord=b2116436</v>
      </c>
      <c r="D89" t="s">
        <v>66</v>
      </c>
      <c r="E89" t="s">
        <v>325</v>
      </c>
      <c r="F89">
        <v>1950</v>
      </c>
      <c r="G89" t="s">
        <v>121</v>
      </c>
      <c r="H89" t="s">
        <v>326</v>
      </c>
      <c r="I89" t="s">
        <v>327</v>
      </c>
      <c r="J89" t="s">
        <v>71</v>
      </c>
      <c r="K89" s="2" t="str">
        <f>HYPERLINK("http://collections.slsa.sa.gov.au/arthur/05500/BRG347_5450.htm")</f>
        <v>http://collections.slsa.sa.gov.au/arthur/05500/BRG347_5450.htm</v>
      </c>
    </row>
    <row r="90" spans="1:11" x14ac:dyDescent="0.25">
      <c r="A90" t="s">
        <v>328</v>
      </c>
      <c r="B90" s="1" t="str">
        <f>HYPERLINK("https://www.catalog.slsa.sa.gov.au/record=b2116437")</f>
        <v>https://www.catalog.slsa.sa.gov.au/record=b2116437</v>
      </c>
      <c r="C90" s="1" t="str">
        <f>HYPERLINK("https://www.catalog.slsa.sa.gov.au/xrecord=b2116437")</f>
        <v>https://www.catalog.slsa.sa.gov.au/xrecord=b2116437</v>
      </c>
      <c r="D90" t="s">
        <v>66</v>
      </c>
      <c r="E90" t="s">
        <v>329</v>
      </c>
      <c r="F90">
        <v>1950</v>
      </c>
      <c r="G90" t="s">
        <v>121</v>
      </c>
      <c r="H90" t="s">
        <v>330</v>
      </c>
      <c r="I90" t="s">
        <v>331</v>
      </c>
      <c r="J90" t="s">
        <v>71</v>
      </c>
      <c r="K90" s="2" t="str">
        <f>HYPERLINK("http://collections.slsa.sa.gov.au/arthur/05500/BRG347_5451.htm")</f>
        <v>http://collections.slsa.sa.gov.au/arthur/05500/BRG347_5451.htm</v>
      </c>
    </row>
    <row r="91" spans="1:11" x14ac:dyDescent="0.25">
      <c r="A91" t="s">
        <v>332</v>
      </c>
      <c r="B91" s="1" t="str">
        <f>HYPERLINK("https://www.catalog.slsa.sa.gov.au/record=b2116438")</f>
        <v>https://www.catalog.slsa.sa.gov.au/record=b2116438</v>
      </c>
      <c r="C91" s="1" t="str">
        <f>HYPERLINK("https://www.catalog.slsa.sa.gov.au/xrecord=b2116438")</f>
        <v>https://www.catalog.slsa.sa.gov.au/xrecord=b2116438</v>
      </c>
      <c r="D91" t="s">
        <v>66</v>
      </c>
      <c r="E91" t="s">
        <v>333</v>
      </c>
      <c r="F91">
        <v>1950</v>
      </c>
      <c r="G91" t="s">
        <v>121</v>
      </c>
      <c r="H91" t="s">
        <v>334</v>
      </c>
      <c r="I91" t="s">
        <v>335</v>
      </c>
      <c r="J91" t="s">
        <v>71</v>
      </c>
      <c r="K91" s="2" t="str">
        <f>HYPERLINK("http://collections.slsa.sa.gov.au/arthur/05500/BRG347_5452.htm")</f>
        <v>http://collections.slsa.sa.gov.au/arthur/05500/BRG347_5452.htm</v>
      </c>
    </row>
    <row r="92" spans="1:11" x14ac:dyDescent="0.25">
      <c r="A92" t="s">
        <v>336</v>
      </c>
      <c r="B92" s="1" t="str">
        <f>HYPERLINK("https://www.catalog.slsa.sa.gov.au/record=b2116439")</f>
        <v>https://www.catalog.slsa.sa.gov.au/record=b2116439</v>
      </c>
      <c r="C92" s="1" t="str">
        <f>HYPERLINK("https://www.catalog.slsa.sa.gov.au/xrecord=b2116439")</f>
        <v>https://www.catalog.slsa.sa.gov.au/xrecord=b2116439</v>
      </c>
      <c r="D92" t="s">
        <v>66</v>
      </c>
      <c r="E92" t="s">
        <v>337</v>
      </c>
      <c r="F92">
        <v>1950</v>
      </c>
      <c r="G92" t="s">
        <v>121</v>
      </c>
      <c r="H92" t="s">
        <v>338</v>
      </c>
      <c r="I92" t="s">
        <v>339</v>
      </c>
      <c r="J92" t="s">
        <v>71</v>
      </c>
      <c r="K92" s="2" t="str">
        <f>HYPERLINK("http://collections.slsa.sa.gov.au/arthur/05500/BRG347_5453.htm")</f>
        <v>http://collections.slsa.sa.gov.au/arthur/05500/BRG347_5453.htm</v>
      </c>
    </row>
    <row r="93" spans="1:11" x14ac:dyDescent="0.25">
      <c r="A93" t="s">
        <v>340</v>
      </c>
      <c r="B93" s="1" t="str">
        <f>HYPERLINK("https://www.catalog.slsa.sa.gov.au/record=b2120799")</f>
        <v>https://www.catalog.slsa.sa.gov.au/record=b2120799</v>
      </c>
      <c r="C93" s="1" t="str">
        <f>HYPERLINK("https://www.catalog.slsa.sa.gov.au/xrecord=b2120799")</f>
        <v>https://www.catalog.slsa.sa.gov.au/xrecord=b2120799</v>
      </c>
      <c r="D93" t="s">
        <v>66</v>
      </c>
      <c r="E93" t="s">
        <v>341</v>
      </c>
      <c r="F93">
        <v>1950</v>
      </c>
      <c r="G93" t="s">
        <v>121</v>
      </c>
      <c r="H93" t="s">
        <v>342</v>
      </c>
      <c r="I93" t="s">
        <v>343</v>
      </c>
      <c r="J93" t="s">
        <v>71</v>
      </c>
      <c r="K93" s="2" t="str">
        <f>HYPERLINK("http://collections.slsa.sa.gov.au/arthur/05500/BRG347_5454.htm")</f>
        <v>http://collections.slsa.sa.gov.au/arthur/05500/BRG347_5454.htm</v>
      </c>
    </row>
    <row r="94" spans="1:11" x14ac:dyDescent="0.25">
      <c r="A94" t="s">
        <v>344</v>
      </c>
      <c r="B94" s="1" t="str">
        <f>HYPERLINK("https://www.catalog.slsa.sa.gov.au/record=b2116440")</f>
        <v>https://www.catalog.slsa.sa.gov.au/record=b2116440</v>
      </c>
      <c r="C94" s="1" t="str">
        <f>HYPERLINK("https://www.catalog.slsa.sa.gov.au/xrecord=b2116440")</f>
        <v>https://www.catalog.slsa.sa.gov.au/xrecord=b2116440</v>
      </c>
      <c r="D94" t="s">
        <v>66</v>
      </c>
      <c r="E94" t="s">
        <v>345</v>
      </c>
      <c r="F94">
        <v>1950</v>
      </c>
      <c r="G94" t="s">
        <v>121</v>
      </c>
      <c r="H94" t="s">
        <v>346</v>
      </c>
      <c r="I94" t="s">
        <v>347</v>
      </c>
      <c r="J94" t="s">
        <v>71</v>
      </c>
      <c r="K94" s="2" t="str">
        <f>HYPERLINK("http://collections.slsa.sa.gov.au/arthur/05500/BRG347_5455.htm")</f>
        <v>http://collections.slsa.sa.gov.au/arthur/05500/BRG347_5455.htm</v>
      </c>
    </row>
    <row r="95" spans="1:11" x14ac:dyDescent="0.25">
      <c r="A95" t="s">
        <v>348</v>
      </c>
      <c r="B95" s="1" t="str">
        <f>HYPERLINK("https://www.catalog.slsa.sa.gov.au/record=b2116441")</f>
        <v>https://www.catalog.slsa.sa.gov.au/record=b2116441</v>
      </c>
      <c r="C95" s="1" t="str">
        <f>HYPERLINK("https://www.catalog.slsa.sa.gov.au/xrecord=b2116441")</f>
        <v>https://www.catalog.slsa.sa.gov.au/xrecord=b2116441</v>
      </c>
      <c r="D95" t="s">
        <v>66</v>
      </c>
      <c r="E95" t="s">
        <v>349</v>
      </c>
      <c r="F95">
        <v>1950</v>
      </c>
      <c r="G95" t="s">
        <v>121</v>
      </c>
      <c r="H95" t="s">
        <v>350</v>
      </c>
      <c r="I95" t="s">
        <v>351</v>
      </c>
      <c r="J95" t="s">
        <v>71</v>
      </c>
      <c r="K95" s="2" t="str">
        <f>HYPERLINK("http://collections.slsa.sa.gov.au/arthur/05500/BRG347_5456.htm")</f>
        <v>http://collections.slsa.sa.gov.au/arthur/05500/BRG347_5456.htm</v>
      </c>
    </row>
    <row r="96" spans="1:11" x14ac:dyDescent="0.25">
      <c r="A96" t="s">
        <v>352</v>
      </c>
      <c r="B96" s="1" t="str">
        <f>HYPERLINK("https://www.catalog.slsa.sa.gov.au/record=b2116442")</f>
        <v>https://www.catalog.slsa.sa.gov.au/record=b2116442</v>
      </c>
      <c r="C96" s="1" t="str">
        <f>HYPERLINK("https://www.catalog.slsa.sa.gov.au/xrecord=b2116442")</f>
        <v>https://www.catalog.slsa.sa.gov.au/xrecord=b2116442</v>
      </c>
      <c r="D96" t="s">
        <v>66</v>
      </c>
      <c r="E96" t="s">
        <v>353</v>
      </c>
      <c r="F96">
        <v>1950</v>
      </c>
      <c r="G96" t="s">
        <v>121</v>
      </c>
      <c r="H96" t="s">
        <v>354</v>
      </c>
      <c r="I96" t="s">
        <v>355</v>
      </c>
      <c r="J96" t="s">
        <v>71</v>
      </c>
      <c r="K96" s="2" t="str">
        <f>HYPERLINK("http://collections.slsa.sa.gov.au/arthur/05500/BRG347_5457.htm")</f>
        <v>http://collections.slsa.sa.gov.au/arthur/05500/BRG347_5457.htm</v>
      </c>
    </row>
    <row r="97" spans="1:11" x14ac:dyDescent="0.25">
      <c r="A97" t="s">
        <v>356</v>
      </c>
      <c r="B97" s="1" t="str">
        <f>HYPERLINK("https://www.catalog.slsa.sa.gov.au/record=b2116443")</f>
        <v>https://www.catalog.slsa.sa.gov.au/record=b2116443</v>
      </c>
      <c r="C97" s="1" t="str">
        <f>HYPERLINK("https://www.catalog.slsa.sa.gov.au/xrecord=b2116443")</f>
        <v>https://www.catalog.slsa.sa.gov.au/xrecord=b2116443</v>
      </c>
      <c r="D97" t="s">
        <v>66</v>
      </c>
      <c r="E97" t="s">
        <v>357</v>
      </c>
      <c r="F97">
        <v>1950</v>
      </c>
      <c r="G97" t="s">
        <v>121</v>
      </c>
      <c r="H97" t="s">
        <v>358</v>
      </c>
      <c r="I97" t="s">
        <v>359</v>
      </c>
      <c r="J97" t="s">
        <v>71</v>
      </c>
      <c r="K97" s="2" t="str">
        <f>HYPERLINK("http://collections.slsa.sa.gov.au/arthur/05500/BRG347_5458.htm")</f>
        <v>http://collections.slsa.sa.gov.au/arthur/05500/BRG347_5458.htm</v>
      </c>
    </row>
    <row r="98" spans="1:11" x14ac:dyDescent="0.25">
      <c r="A98" t="s">
        <v>360</v>
      </c>
      <c r="B98" s="1" t="str">
        <f>HYPERLINK("https://www.catalog.slsa.sa.gov.au/record=b2116444")</f>
        <v>https://www.catalog.slsa.sa.gov.au/record=b2116444</v>
      </c>
      <c r="C98" s="1" t="str">
        <f>HYPERLINK("https://www.catalog.slsa.sa.gov.au/xrecord=b2116444")</f>
        <v>https://www.catalog.slsa.sa.gov.au/xrecord=b2116444</v>
      </c>
      <c r="D98" t="s">
        <v>66</v>
      </c>
      <c r="E98" t="s">
        <v>361</v>
      </c>
      <c r="F98">
        <v>1950</v>
      </c>
      <c r="G98" t="s">
        <v>121</v>
      </c>
      <c r="H98" t="s">
        <v>362</v>
      </c>
      <c r="I98" t="s">
        <v>363</v>
      </c>
      <c r="J98" t="s">
        <v>71</v>
      </c>
      <c r="K98" s="2" t="str">
        <f>HYPERLINK("http://collections.slsa.sa.gov.au/arthur/05500/BRG347_5459.htm")</f>
        <v>http://collections.slsa.sa.gov.au/arthur/05500/BRG347_5459.htm</v>
      </c>
    </row>
    <row r="99" spans="1:11" x14ac:dyDescent="0.25">
      <c r="A99" t="s">
        <v>364</v>
      </c>
      <c r="B99" s="1" t="str">
        <f>HYPERLINK("https://www.catalog.slsa.sa.gov.au/record=b2116445")</f>
        <v>https://www.catalog.slsa.sa.gov.au/record=b2116445</v>
      </c>
      <c r="C99" s="1" t="str">
        <f>HYPERLINK("https://www.catalog.slsa.sa.gov.au/xrecord=b2116445")</f>
        <v>https://www.catalog.slsa.sa.gov.au/xrecord=b2116445</v>
      </c>
      <c r="D99" t="s">
        <v>66</v>
      </c>
      <c r="E99" t="s">
        <v>365</v>
      </c>
      <c r="F99">
        <v>1950</v>
      </c>
      <c r="G99" t="s">
        <v>121</v>
      </c>
      <c r="H99" t="s">
        <v>366</v>
      </c>
      <c r="I99" t="s">
        <v>367</v>
      </c>
      <c r="J99" t="s">
        <v>71</v>
      </c>
      <c r="K99" s="2" t="str">
        <f>HYPERLINK("http://collections.slsa.sa.gov.au/arthur/05500/BRG347_5460.htm")</f>
        <v>http://collections.slsa.sa.gov.au/arthur/05500/BRG347_5460.htm</v>
      </c>
    </row>
    <row r="100" spans="1:11" x14ac:dyDescent="0.25">
      <c r="A100" t="s">
        <v>368</v>
      </c>
      <c r="B100" s="1" t="str">
        <f>HYPERLINK("https://www.catalog.slsa.sa.gov.au/record=b2116446")</f>
        <v>https://www.catalog.slsa.sa.gov.au/record=b2116446</v>
      </c>
      <c r="C100" s="1" t="str">
        <f>HYPERLINK("https://www.catalog.slsa.sa.gov.au/xrecord=b2116446")</f>
        <v>https://www.catalog.slsa.sa.gov.au/xrecord=b2116446</v>
      </c>
      <c r="D100" t="s">
        <v>66</v>
      </c>
      <c r="E100" t="s">
        <v>369</v>
      </c>
      <c r="F100">
        <v>1950</v>
      </c>
      <c r="G100" t="s">
        <v>121</v>
      </c>
      <c r="H100" t="s">
        <v>370</v>
      </c>
      <c r="I100" t="s">
        <v>371</v>
      </c>
      <c r="J100" t="s">
        <v>71</v>
      </c>
      <c r="K100" s="2" t="str">
        <f>HYPERLINK("http://collections.slsa.sa.gov.au/arthur/05500/BRG347_5461.htm")</f>
        <v>http://collections.slsa.sa.gov.au/arthur/05500/BRG347_5461.htm</v>
      </c>
    </row>
    <row r="101" spans="1:11" x14ac:dyDescent="0.25">
      <c r="A101" t="s">
        <v>372</v>
      </c>
      <c r="B101" s="1" t="str">
        <f>HYPERLINK("https://www.catalog.slsa.sa.gov.au/record=b2116447")</f>
        <v>https://www.catalog.slsa.sa.gov.au/record=b2116447</v>
      </c>
      <c r="C101" s="1" t="str">
        <f>HYPERLINK("https://www.catalog.slsa.sa.gov.au/xrecord=b2116447")</f>
        <v>https://www.catalog.slsa.sa.gov.au/xrecord=b2116447</v>
      </c>
      <c r="D101" t="s">
        <v>66</v>
      </c>
      <c r="E101" t="s">
        <v>373</v>
      </c>
      <c r="F101">
        <v>1950</v>
      </c>
      <c r="G101" t="s">
        <v>121</v>
      </c>
      <c r="H101" t="s">
        <v>374</v>
      </c>
      <c r="I101" t="s">
        <v>375</v>
      </c>
      <c r="J101" t="s">
        <v>71</v>
      </c>
      <c r="K101" s="2" t="str">
        <f>HYPERLINK("http://collections.slsa.sa.gov.au/arthur/05500/BRG347_5462.htm")</f>
        <v>http://collections.slsa.sa.gov.au/arthur/05500/BRG347_5462.htm</v>
      </c>
    </row>
    <row r="102" spans="1:11" x14ac:dyDescent="0.25">
      <c r="A102" t="s">
        <v>376</v>
      </c>
      <c r="B102" s="1" t="str">
        <f>HYPERLINK("https://www.catalog.slsa.sa.gov.au/record=b2116448")</f>
        <v>https://www.catalog.slsa.sa.gov.au/record=b2116448</v>
      </c>
      <c r="C102" s="1" t="str">
        <f>HYPERLINK("https://www.catalog.slsa.sa.gov.au/xrecord=b2116448")</f>
        <v>https://www.catalog.slsa.sa.gov.au/xrecord=b2116448</v>
      </c>
      <c r="D102" t="s">
        <v>66</v>
      </c>
      <c r="E102" t="s">
        <v>377</v>
      </c>
      <c r="F102">
        <v>1950</v>
      </c>
      <c r="G102" t="s">
        <v>121</v>
      </c>
      <c r="H102" t="s">
        <v>378</v>
      </c>
      <c r="I102" t="s">
        <v>379</v>
      </c>
      <c r="J102" t="s">
        <v>71</v>
      </c>
      <c r="K102" s="2" t="str">
        <f>HYPERLINK("http://collections.slsa.sa.gov.au/arthur/05500/BRG347_5463.htm")</f>
        <v>http://collections.slsa.sa.gov.au/arthur/05500/BRG347_5463.htm</v>
      </c>
    </row>
    <row r="103" spans="1:11" x14ac:dyDescent="0.25">
      <c r="A103" t="s">
        <v>380</v>
      </c>
      <c r="B103" s="1" t="str">
        <f>HYPERLINK("https://www.catalog.slsa.sa.gov.au/record=b2116449")</f>
        <v>https://www.catalog.slsa.sa.gov.au/record=b2116449</v>
      </c>
      <c r="C103" s="1" t="str">
        <f>HYPERLINK("https://www.catalog.slsa.sa.gov.au/xrecord=b2116449")</f>
        <v>https://www.catalog.slsa.sa.gov.au/xrecord=b2116449</v>
      </c>
      <c r="D103" t="s">
        <v>66</v>
      </c>
      <c r="E103" t="s">
        <v>381</v>
      </c>
      <c r="F103">
        <v>1950</v>
      </c>
      <c r="G103" t="s">
        <v>121</v>
      </c>
      <c r="H103" t="s">
        <v>382</v>
      </c>
      <c r="I103" t="s">
        <v>383</v>
      </c>
      <c r="J103" t="s">
        <v>71</v>
      </c>
      <c r="K103" s="2" t="str">
        <f>HYPERLINK("http://collections.slsa.sa.gov.au/arthur/05500/BRG347_5464.htm")</f>
        <v>http://collections.slsa.sa.gov.au/arthur/05500/BRG347_5464.htm</v>
      </c>
    </row>
    <row r="104" spans="1:11" x14ac:dyDescent="0.25">
      <c r="A104" t="s">
        <v>384</v>
      </c>
      <c r="B104" s="1" t="str">
        <f>HYPERLINK("https://www.catalog.slsa.sa.gov.au/record=b2116450")</f>
        <v>https://www.catalog.slsa.sa.gov.au/record=b2116450</v>
      </c>
      <c r="C104" s="1" t="str">
        <f>HYPERLINK("https://www.catalog.slsa.sa.gov.au/xrecord=b2116450")</f>
        <v>https://www.catalog.slsa.sa.gov.au/xrecord=b2116450</v>
      </c>
      <c r="D104" t="s">
        <v>66</v>
      </c>
      <c r="E104" t="s">
        <v>385</v>
      </c>
      <c r="F104">
        <v>1950</v>
      </c>
      <c r="G104" t="s">
        <v>121</v>
      </c>
      <c r="H104" t="s">
        <v>386</v>
      </c>
      <c r="I104" t="s">
        <v>387</v>
      </c>
      <c r="J104" t="s">
        <v>71</v>
      </c>
      <c r="K104" s="2" t="str">
        <f>HYPERLINK("http://collections.slsa.sa.gov.au/arthur/05500/BRG347_5465.htm")</f>
        <v>http://collections.slsa.sa.gov.au/arthur/05500/BRG347_5465.htm</v>
      </c>
    </row>
    <row r="105" spans="1:11" x14ac:dyDescent="0.25">
      <c r="A105" t="s">
        <v>388</v>
      </c>
      <c r="B105" s="1" t="str">
        <f>HYPERLINK("https://www.catalog.slsa.sa.gov.au/record=b2116451")</f>
        <v>https://www.catalog.slsa.sa.gov.au/record=b2116451</v>
      </c>
      <c r="C105" s="1" t="str">
        <f>HYPERLINK("https://www.catalog.slsa.sa.gov.au/xrecord=b2116451")</f>
        <v>https://www.catalog.slsa.sa.gov.au/xrecord=b2116451</v>
      </c>
      <c r="D105" t="s">
        <v>66</v>
      </c>
      <c r="E105" t="s">
        <v>389</v>
      </c>
      <c r="F105">
        <v>1950</v>
      </c>
      <c r="G105" t="s">
        <v>121</v>
      </c>
      <c r="H105" t="s">
        <v>390</v>
      </c>
      <c r="I105" t="s">
        <v>391</v>
      </c>
      <c r="J105" t="s">
        <v>71</v>
      </c>
      <c r="K105" s="2" t="str">
        <f>HYPERLINK("http://collections.slsa.sa.gov.au/arthur/05500/BRG347_5466.htm")</f>
        <v>http://collections.slsa.sa.gov.au/arthur/05500/BRG347_5466.htm</v>
      </c>
    </row>
    <row r="106" spans="1:11" x14ac:dyDescent="0.25">
      <c r="A106" t="s">
        <v>392</v>
      </c>
      <c r="B106" s="1" t="str">
        <f>HYPERLINK("https://www.catalog.slsa.sa.gov.au/record=b2116452")</f>
        <v>https://www.catalog.slsa.sa.gov.au/record=b2116452</v>
      </c>
      <c r="C106" s="1" t="str">
        <f>HYPERLINK("https://www.catalog.slsa.sa.gov.au/xrecord=b2116452")</f>
        <v>https://www.catalog.slsa.sa.gov.au/xrecord=b2116452</v>
      </c>
      <c r="D106" t="s">
        <v>66</v>
      </c>
      <c r="E106" t="s">
        <v>393</v>
      </c>
      <c r="F106">
        <v>1950</v>
      </c>
      <c r="G106" t="s">
        <v>121</v>
      </c>
      <c r="H106" t="s">
        <v>394</v>
      </c>
      <c r="I106" t="s">
        <v>395</v>
      </c>
      <c r="J106" t="s">
        <v>71</v>
      </c>
      <c r="K106" s="2" t="str">
        <f>HYPERLINK("http://collections.slsa.sa.gov.au/arthur/05500/BRG347_5467.htm")</f>
        <v>http://collections.slsa.sa.gov.au/arthur/05500/BRG347_5467.htm</v>
      </c>
    </row>
    <row r="107" spans="1:11" x14ac:dyDescent="0.25">
      <c r="A107" t="s">
        <v>396</v>
      </c>
      <c r="B107" s="1" t="str">
        <f>HYPERLINK("https://www.catalog.slsa.sa.gov.au/record=b2116453")</f>
        <v>https://www.catalog.slsa.sa.gov.au/record=b2116453</v>
      </c>
      <c r="C107" s="1" t="str">
        <f>HYPERLINK("https://www.catalog.slsa.sa.gov.au/xrecord=b2116453")</f>
        <v>https://www.catalog.slsa.sa.gov.au/xrecord=b2116453</v>
      </c>
      <c r="D107" t="s">
        <v>66</v>
      </c>
      <c r="E107" t="s">
        <v>397</v>
      </c>
      <c r="F107">
        <v>1950</v>
      </c>
      <c r="G107" t="s">
        <v>121</v>
      </c>
      <c r="H107" t="s">
        <v>398</v>
      </c>
      <c r="I107" t="s">
        <v>399</v>
      </c>
      <c r="J107" t="s">
        <v>71</v>
      </c>
      <c r="K107" s="2" t="str">
        <f>HYPERLINK("http://collections.slsa.sa.gov.au/arthur/05500/BRG347_5468.htm")</f>
        <v>http://collections.slsa.sa.gov.au/arthur/05500/BRG347_5468.htm</v>
      </c>
    </row>
    <row r="108" spans="1:11" x14ac:dyDescent="0.25">
      <c r="A108" t="s">
        <v>400</v>
      </c>
      <c r="B108" s="1" t="str">
        <f>HYPERLINK("https://www.catalog.slsa.sa.gov.au/record=b2116454")</f>
        <v>https://www.catalog.slsa.sa.gov.au/record=b2116454</v>
      </c>
      <c r="C108" s="1" t="str">
        <f>HYPERLINK("https://www.catalog.slsa.sa.gov.au/xrecord=b2116454")</f>
        <v>https://www.catalog.slsa.sa.gov.au/xrecord=b2116454</v>
      </c>
      <c r="D108" t="s">
        <v>66</v>
      </c>
      <c r="E108" t="s">
        <v>401</v>
      </c>
      <c r="F108">
        <v>1950</v>
      </c>
      <c r="G108" t="s">
        <v>121</v>
      </c>
      <c r="H108" t="s">
        <v>402</v>
      </c>
      <c r="I108" t="s">
        <v>403</v>
      </c>
      <c r="J108" t="s">
        <v>71</v>
      </c>
      <c r="K108" s="2" t="str">
        <f>HYPERLINK("http://collections.slsa.sa.gov.au/arthur/05500/BRG347_5469.htm")</f>
        <v>http://collections.slsa.sa.gov.au/arthur/05500/BRG347_5469.htm</v>
      </c>
    </row>
    <row r="109" spans="1:11" x14ac:dyDescent="0.25">
      <c r="A109" t="s">
        <v>404</v>
      </c>
      <c r="B109" s="1" t="str">
        <f>HYPERLINK("https://www.catalog.slsa.sa.gov.au/record=b2116455")</f>
        <v>https://www.catalog.slsa.sa.gov.au/record=b2116455</v>
      </c>
      <c r="C109" s="1" t="str">
        <f>HYPERLINK("https://www.catalog.slsa.sa.gov.au/xrecord=b2116455")</f>
        <v>https://www.catalog.slsa.sa.gov.au/xrecord=b2116455</v>
      </c>
      <c r="D109" t="s">
        <v>66</v>
      </c>
      <c r="E109" t="s">
        <v>405</v>
      </c>
      <c r="F109">
        <v>1950</v>
      </c>
      <c r="G109" t="s">
        <v>121</v>
      </c>
      <c r="H109" t="s">
        <v>406</v>
      </c>
      <c r="I109" t="s">
        <v>407</v>
      </c>
      <c r="J109" t="s">
        <v>71</v>
      </c>
      <c r="K109" s="2" t="str">
        <f>HYPERLINK("http://collections.slsa.sa.gov.au/arthur/05500/BRG347_5470.htm")</f>
        <v>http://collections.slsa.sa.gov.au/arthur/05500/BRG347_5470.htm</v>
      </c>
    </row>
    <row r="110" spans="1:11" x14ac:dyDescent="0.25">
      <c r="A110" t="s">
        <v>408</v>
      </c>
      <c r="B110" s="1" t="str">
        <f>HYPERLINK("https://www.catalog.slsa.sa.gov.au/record=b2116456")</f>
        <v>https://www.catalog.slsa.sa.gov.au/record=b2116456</v>
      </c>
      <c r="C110" s="1" t="str">
        <f>HYPERLINK("https://www.catalog.slsa.sa.gov.au/xrecord=b2116456")</f>
        <v>https://www.catalog.slsa.sa.gov.au/xrecord=b2116456</v>
      </c>
      <c r="D110" t="s">
        <v>66</v>
      </c>
      <c r="E110" t="s">
        <v>409</v>
      </c>
      <c r="F110">
        <v>1950</v>
      </c>
      <c r="G110" t="s">
        <v>121</v>
      </c>
      <c r="H110" t="s">
        <v>410</v>
      </c>
      <c r="I110" t="s">
        <v>411</v>
      </c>
      <c r="J110" t="s">
        <v>71</v>
      </c>
      <c r="K110" s="2" t="str">
        <f>HYPERLINK("http://collections.slsa.sa.gov.au/arthur/05500/BRG347_5471.htm")</f>
        <v>http://collections.slsa.sa.gov.au/arthur/05500/BRG347_5471.htm</v>
      </c>
    </row>
    <row r="111" spans="1:11" x14ac:dyDescent="0.25">
      <c r="A111" t="s">
        <v>412</v>
      </c>
      <c r="B111" s="1" t="str">
        <f>HYPERLINK("https://www.catalog.slsa.sa.gov.au/record=b2116457")</f>
        <v>https://www.catalog.slsa.sa.gov.au/record=b2116457</v>
      </c>
      <c r="C111" s="1" t="str">
        <f>HYPERLINK("https://www.catalog.slsa.sa.gov.au/xrecord=b2116457")</f>
        <v>https://www.catalog.slsa.sa.gov.au/xrecord=b2116457</v>
      </c>
      <c r="D111" t="s">
        <v>66</v>
      </c>
      <c r="E111" t="s">
        <v>413</v>
      </c>
      <c r="F111">
        <v>1950</v>
      </c>
      <c r="G111" t="s">
        <v>121</v>
      </c>
      <c r="H111" t="s">
        <v>406</v>
      </c>
      <c r="I111" t="s">
        <v>414</v>
      </c>
      <c r="J111" t="s">
        <v>71</v>
      </c>
      <c r="K111" s="2" t="str">
        <f>HYPERLINK("http://collections.slsa.sa.gov.au/arthur/05500/BRG347_5472.htm")</f>
        <v>http://collections.slsa.sa.gov.au/arthur/05500/BRG347_5472.htm</v>
      </c>
    </row>
    <row r="112" spans="1:11" x14ac:dyDescent="0.25">
      <c r="A112" t="s">
        <v>415</v>
      </c>
      <c r="B112" s="1" t="str">
        <f>HYPERLINK("https://www.catalog.slsa.sa.gov.au/record=b2116458")</f>
        <v>https://www.catalog.slsa.sa.gov.au/record=b2116458</v>
      </c>
      <c r="C112" s="1" t="str">
        <f>HYPERLINK("https://www.catalog.slsa.sa.gov.au/xrecord=b2116458")</f>
        <v>https://www.catalog.slsa.sa.gov.au/xrecord=b2116458</v>
      </c>
      <c r="D112" t="s">
        <v>66</v>
      </c>
      <c r="E112" t="s">
        <v>416</v>
      </c>
      <c r="F112">
        <v>1950</v>
      </c>
      <c r="G112" t="s">
        <v>121</v>
      </c>
      <c r="H112" t="s">
        <v>417</v>
      </c>
      <c r="I112" t="s">
        <v>418</v>
      </c>
      <c r="J112" t="s">
        <v>71</v>
      </c>
      <c r="K112" s="2" t="str">
        <f>HYPERLINK("http://collections.slsa.sa.gov.au/arthur/05500/BRG347_5473.htm")</f>
        <v>http://collections.slsa.sa.gov.au/arthur/05500/BRG347_5473.htm</v>
      </c>
    </row>
    <row r="113" spans="1:11" x14ac:dyDescent="0.25">
      <c r="A113" t="s">
        <v>419</v>
      </c>
      <c r="B113" s="1" t="str">
        <f>HYPERLINK("https://www.catalog.slsa.sa.gov.au/record=b2116459")</f>
        <v>https://www.catalog.slsa.sa.gov.au/record=b2116459</v>
      </c>
      <c r="C113" s="1" t="str">
        <f>HYPERLINK("https://www.catalog.slsa.sa.gov.au/xrecord=b2116459")</f>
        <v>https://www.catalog.slsa.sa.gov.au/xrecord=b2116459</v>
      </c>
      <c r="D113" t="s">
        <v>66</v>
      </c>
      <c r="E113" t="s">
        <v>420</v>
      </c>
      <c r="F113">
        <v>1950</v>
      </c>
      <c r="G113" t="s">
        <v>121</v>
      </c>
      <c r="H113" t="s">
        <v>421</v>
      </c>
      <c r="I113" t="s">
        <v>422</v>
      </c>
      <c r="J113" t="s">
        <v>71</v>
      </c>
      <c r="K113" s="2" t="str">
        <f>HYPERLINK("http://collections.slsa.sa.gov.au/arthur/05500/BRG347_5474.htm")</f>
        <v>http://collections.slsa.sa.gov.au/arthur/05500/BRG347_5474.htm</v>
      </c>
    </row>
    <row r="114" spans="1:11" x14ac:dyDescent="0.25">
      <c r="A114" t="s">
        <v>423</v>
      </c>
      <c r="B114" s="1" t="str">
        <f>HYPERLINK("https://www.catalog.slsa.sa.gov.au/record=b2116460")</f>
        <v>https://www.catalog.slsa.sa.gov.au/record=b2116460</v>
      </c>
      <c r="C114" s="1" t="str">
        <f>HYPERLINK("https://www.catalog.slsa.sa.gov.au/xrecord=b2116460")</f>
        <v>https://www.catalog.slsa.sa.gov.au/xrecord=b2116460</v>
      </c>
      <c r="D114" t="s">
        <v>66</v>
      </c>
      <c r="E114" t="s">
        <v>424</v>
      </c>
      <c r="F114">
        <v>1950</v>
      </c>
      <c r="G114" t="s">
        <v>121</v>
      </c>
      <c r="H114" t="s">
        <v>425</v>
      </c>
      <c r="I114" t="s">
        <v>426</v>
      </c>
      <c r="J114" t="s">
        <v>71</v>
      </c>
      <c r="K114" s="2" t="str">
        <f>HYPERLINK("http://collections.slsa.sa.gov.au/arthur/05500/BRG347_5475.htm")</f>
        <v>http://collections.slsa.sa.gov.au/arthur/05500/BRG347_5475.htm</v>
      </c>
    </row>
    <row r="115" spans="1:11" x14ac:dyDescent="0.25">
      <c r="A115" t="s">
        <v>427</v>
      </c>
      <c r="B115" s="1" t="str">
        <f>HYPERLINK("https://www.catalog.slsa.sa.gov.au/record=b2116461")</f>
        <v>https://www.catalog.slsa.sa.gov.au/record=b2116461</v>
      </c>
      <c r="C115" s="1" t="str">
        <f>HYPERLINK("https://www.catalog.slsa.sa.gov.au/xrecord=b2116461")</f>
        <v>https://www.catalog.slsa.sa.gov.au/xrecord=b2116461</v>
      </c>
      <c r="D115" t="s">
        <v>66</v>
      </c>
      <c r="E115" t="s">
        <v>428</v>
      </c>
      <c r="F115">
        <v>1950</v>
      </c>
      <c r="G115" t="s">
        <v>121</v>
      </c>
      <c r="H115" t="s">
        <v>429</v>
      </c>
      <c r="I115" t="s">
        <v>430</v>
      </c>
      <c r="J115" t="s">
        <v>71</v>
      </c>
      <c r="K115" s="2" t="str">
        <f>HYPERLINK("http://collections.slsa.sa.gov.au/arthur/05500/BRG347_5476.htm")</f>
        <v>http://collections.slsa.sa.gov.au/arthur/05500/BRG347_5476.htm</v>
      </c>
    </row>
    <row r="116" spans="1:11" x14ac:dyDescent="0.25">
      <c r="A116" t="s">
        <v>431</v>
      </c>
      <c r="B116" s="1" t="str">
        <f>HYPERLINK("https://www.catalog.slsa.sa.gov.au/record=b2116462")</f>
        <v>https://www.catalog.slsa.sa.gov.au/record=b2116462</v>
      </c>
      <c r="C116" s="1" t="str">
        <f>HYPERLINK("https://www.catalog.slsa.sa.gov.au/xrecord=b2116462")</f>
        <v>https://www.catalog.slsa.sa.gov.au/xrecord=b2116462</v>
      </c>
      <c r="D116" t="s">
        <v>66</v>
      </c>
      <c r="E116" t="s">
        <v>432</v>
      </c>
      <c r="F116">
        <v>1950</v>
      </c>
      <c r="G116" t="s">
        <v>121</v>
      </c>
      <c r="H116" t="s">
        <v>433</v>
      </c>
      <c r="I116" t="s">
        <v>434</v>
      </c>
      <c r="J116" t="s">
        <v>71</v>
      </c>
      <c r="K116" s="2" t="str">
        <f>HYPERLINK("http://collections.slsa.sa.gov.au/arthur/05500/BRG347_5477.htm")</f>
        <v>http://collections.slsa.sa.gov.au/arthur/05500/BRG347_5477.htm</v>
      </c>
    </row>
    <row r="117" spans="1:11" x14ac:dyDescent="0.25">
      <c r="A117" t="s">
        <v>435</v>
      </c>
      <c r="B117" s="1" t="str">
        <f>HYPERLINK("https://www.catalog.slsa.sa.gov.au/record=b2116463")</f>
        <v>https://www.catalog.slsa.sa.gov.au/record=b2116463</v>
      </c>
      <c r="C117" s="1" t="str">
        <f>HYPERLINK("https://www.catalog.slsa.sa.gov.au/xrecord=b2116463")</f>
        <v>https://www.catalog.slsa.sa.gov.au/xrecord=b2116463</v>
      </c>
      <c r="D117" t="s">
        <v>66</v>
      </c>
      <c r="E117" t="s">
        <v>436</v>
      </c>
      <c r="F117">
        <v>1950</v>
      </c>
      <c r="G117" t="s">
        <v>121</v>
      </c>
      <c r="H117" t="s">
        <v>437</v>
      </c>
      <c r="I117" t="s">
        <v>438</v>
      </c>
      <c r="J117" t="s">
        <v>71</v>
      </c>
      <c r="K117" s="2" t="str">
        <f>HYPERLINK("http://collections.slsa.sa.gov.au/arthur/05500/BRG347_5478.htm")</f>
        <v>http://collections.slsa.sa.gov.au/arthur/05500/BRG347_5478.htm</v>
      </c>
    </row>
    <row r="118" spans="1:11" x14ac:dyDescent="0.25">
      <c r="A118" t="s">
        <v>439</v>
      </c>
      <c r="B118" s="1" t="str">
        <f>HYPERLINK("https://www.catalog.slsa.sa.gov.au/record=b2116464")</f>
        <v>https://www.catalog.slsa.sa.gov.au/record=b2116464</v>
      </c>
      <c r="C118" s="1" t="str">
        <f>HYPERLINK("https://www.catalog.slsa.sa.gov.au/xrecord=b2116464")</f>
        <v>https://www.catalog.slsa.sa.gov.au/xrecord=b2116464</v>
      </c>
      <c r="D118" t="s">
        <v>66</v>
      </c>
      <c r="E118" t="s">
        <v>440</v>
      </c>
      <c r="F118">
        <v>1950</v>
      </c>
      <c r="G118" t="s">
        <v>121</v>
      </c>
      <c r="H118" t="s">
        <v>441</v>
      </c>
      <c r="I118" t="s">
        <v>442</v>
      </c>
      <c r="J118" t="s">
        <v>71</v>
      </c>
      <c r="K118" s="2" t="str">
        <f>HYPERLINK("http://collections.slsa.sa.gov.au/arthur/05500/BRG347_5479.htm")</f>
        <v>http://collections.slsa.sa.gov.au/arthur/05500/BRG347_5479.htm</v>
      </c>
    </row>
    <row r="119" spans="1:11" x14ac:dyDescent="0.25">
      <c r="A119" t="s">
        <v>443</v>
      </c>
      <c r="B119" s="1" t="str">
        <f>HYPERLINK("https://www.catalog.slsa.sa.gov.au/record=b2116465")</f>
        <v>https://www.catalog.slsa.sa.gov.au/record=b2116465</v>
      </c>
      <c r="C119" s="1" t="str">
        <f>HYPERLINK("https://www.catalog.slsa.sa.gov.au/xrecord=b2116465")</f>
        <v>https://www.catalog.slsa.sa.gov.au/xrecord=b2116465</v>
      </c>
      <c r="D119" t="s">
        <v>66</v>
      </c>
      <c r="E119" t="s">
        <v>444</v>
      </c>
      <c r="F119">
        <v>1950</v>
      </c>
      <c r="G119" t="s">
        <v>121</v>
      </c>
      <c r="H119" t="s">
        <v>445</v>
      </c>
      <c r="I119" t="s">
        <v>446</v>
      </c>
      <c r="J119" t="s">
        <v>71</v>
      </c>
      <c r="K119" s="2" t="str">
        <f>HYPERLINK("http://collections.slsa.sa.gov.au/arthur/05500/BRG347_5480.htm")</f>
        <v>http://collections.slsa.sa.gov.au/arthur/05500/BRG347_5480.htm</v>
      </c>
    </row>
    <row r="120" spans="1:11" x14ac:dyDescent="0.25">
      <c r="A120" t="s">
        <v>447</v>
      </c>
      <c r="B120" s="1" t="str">
        <f>HYPERLINK("https://www.catalog.slsa.sa.gov.au/record=b2116466")</f>
        <v>https://www.catalog.slsa.sa.gov.au/record=b2116466</v>
      </c>
      <c r="C120" s="1" t="str">
        <f>HYPERLINK("https://www.catalog.slsa.sa.gov.au/xrecord=b2116466")</f>
        <v>https://www.catalog.slsa.sa.gov.au/xrecord=b2116466</v>
      </c>
      <c r="D120" t="s">
        <v>66</v>
      </c>
      <c r="E120" t="s">
        <v>448</v>
      </c>
      <c r="F120">
        <v>1950</v>
      </c>
      <c r="G120" t="s">
        <v>121</v>
      </c>
      <c r="H120" t="s">
        <v>449</v>
      </c>
      <c r="I120" t="s">
        <v>450</v>
      </c>
      <c r="J120" t="s">
        <v>71</v>
      </c>
      <c r="K120" s="2" t="str">
        <f>HYPERLINK("http://collections.slsa.sa.gov.au/arthur/05500/BRG347_5481.htm")</f>
        <v>http://collections.slsa.sa.gov.au/arthur/05500/BRG347_5481.htm</v>
      </c>
    </row>
    <row r="121" spans="1:11" x14ac:dyDescent="0.25">
      <c r="A121" t="s">
        <v>451</v>
      </c>
      <c r="B121" s="1" t="str">
        <f>HYPERLINK("https://www.catalog.slsa.sa.gov.au/record=b2116467")</f>
        <v>https://www.catalog.slsa.sa.gov.au/record=b2116467</v>
      </c>
      <c r="C121" s="1" t="str">
        <f>HYPERLINK("https://www.catalog.slsa.sa.gov.au/xrecord=b2116467")</f>
        <v>https://www.catalog.slsa.sa.gov.au/xrecord=b2116467</v>
      </c>
      <c r="D121" t="s">
        <v>66</v>
      </c>
      <c r="E121" t="s">
        <v>452</v>
      </c>
      <c r="F121">
        <v>1950</v>
      </c>
      <c r="G121" t="s">
        <v>121</v>
      </c>
      <c r="H121" t="s">
        <v>453</v>
      </c>
      <c r="I121" t="s">
        <v>454</v>
      </c>
      <c r="J121" t="s">
        <v>71</v>
      </c>
      <c r="K121" s="2" t="str">
        <f>HYPERLINK("http://collections.slsa.sa.gov.au/arthur/05500/BRG347_5482.htm")</f>
        <v>http://collections.slsa.sa.gov.au/arthur/05500/BRG347_5482.htm</v>
      </c>
    </row>
    <row r="122" spans="1:11" x14ac:dyDescent="0.25">
      <c r="A122" t="s">
        <v>455</v>
      </c>
      <c r="B122" s="1" t="str">
        <f>HYPERLINK("https://www.catalog.slsa.sa.gov.au/record=b2116468")</f>
        <v>https://www.catalog.slsa.sa.gov.au/record=b2116468</v>
      </c>
      <c r="C122" s="1" t="str">
        <f>HYPERLINK("https://www.catalog.slsa.sa.gov.au/xrecord=b2116468")</f>
        <v>https://www.catalog.slsa.sa.gov.au/xrecord=b2116468</v>
      </c>
      <c r="D122" t="s">
        <v>66</v>
      </c>
      <c r="E122" t="s">
        <v>456</v>
      </c>
      <c r="F122">
        <v>1950</v>
      </c>
      <c r="G122" t="s">
        <v>121</v>
      </c>
      <c r="H122" t="s">
        <v>457</v>
      </c>
      <c r="I122" t="s">
        <v>458</v>
      </c>
      <c r="J122" t="s">
        <v>71</v>
      </c>
      <c r="K122" s="2" t="str">
        <f>HYPERLINK("http://collections.slsa.sa.gov.au/arthur/05500/BRG347_5483.htm")</f>
        <v>http://collections.slsa.sa.gov.au/arthur/05500/BRG347_5483.htm</v>
      </c>
    </row>
    <row r="123" spans="1:11" x14ac:dyDescent="0.25">
      <c r="A123" t="s">
        <v>459</v>
      </c>
      <c r="B123" s="1" t="str">
        <f>HYPERLINK("https://www.catalog.slsa.sa.gov.au/record=b2116469")</f>
        <v>https://www.catalog.slsa.sa.gov.au/record=b2116469</v>
      </c>
      <c r="C123" s="1" t="str">
        <f>HYPERLINK("https://www.catalog.slsa.sa.gov.au/xrecord=b2116469")</f>
        <v>https://www.catalog.slsa.sa.gov.au/xrecord=b2116469</v>
      </c>
      <c r="D123" t="s">
        <v>66</v>
      </c>
      <c r="E123" t="s">
        <v>460</v>
      </c>
      <c r="F123">
        <v>1950</v>
      </c>
      <c r="G123" t="s">
        <v>121</v>
      </c>
      <c r="H123" t="s">
        <v>461</v>
      </c>
      <c r="I123" t="s">
        <v>462</v>
      </c>
      <c r="J123" t="s">
        <v>71</v>
      </c>
      <c r="K123" s="2" t="str">
        <f>HYPERLINK("http://collections.slsa.sa.gov.au/arthur/05500/BRG347_5484.htm")</f>
        <v>http://collections.slsa.sa.gov.au/arthur/05500/BRG347_5484.htm</v>
      </c>
    </row>
    <row r="124" spans="1:11" x14ac:dyDescent="0.25">
      <c r="A124" t="s">
        <v>463</v>
      </c>
      <c r="B124" s="1" t="str">
        <f>HYPERLINK("https://www.catalog.slsa.sa.gov.au/record=b2116470")</f>
        <v>https://www.catalog.slsa.sa.gov.au/record=b2116470</v>
      </c>
      <c r="C124" s="1" t="str">
        <f>HYPERLINK("https://www.catalog.slsa.sa.gov.au/xrecord=b2116470")</f>
        <v>https://www.catalog.slsa.sa.gov.au/xrecord=b2116470</v>
      </c>
      <c r="D124" t="s">
        <v>66</v>
      </c>
      <c r="E124" t="s">
        <v>464</v>
      </c>
      <c r="F124">
        <v>1950</v>
      </c>
      <c r="G124" t="s">
        <v>121</v>
      </c>
      <c r="H124" t="s">
        <v>465</v>
      </c>
      <c r="I124" t="s">
        <v>466</v>
      </c>
      <c r="J124" t="s">
        <v>71</v>
      </c>
      <c r="K124" s="2" t="str">
        <f>HYPERLINK("http://collections.slsa.sa.gov.au/arthur/05500/BRG347_5485.htm")</f>
        <v>http://collections.slsa.sa.gov.au/arthur/05500/BRG347_5485.htm</v>
      </c>
    </row>
    <row r="125" spans="1:11" x14ac:dyDescent="0.25">
      <c r="A125" t="s">
        <v>467</v>
      </c>
      <c r="B125" s="1" t="str">
        <f>HYPERLINK("https://www.catalog.slsa.sa.gov.au/record=b2116471")</f>
        <v>https://www.catalog.slsa.sa.gov.au/record=b2116471</v>
      </c>
      <c r="C125" s="1" t="str">
        <f>HYPERLINK("https://www.catalog.slsa.sa.gov.au/xrecord=b2116471")</f>
        <v>https://www.catalog.slsa.sa.gov.au/xrecord=b2116471</v>
      </c>
      <c r="D125" t="s">
        <v>66</v>
      </c>
      <c r="E125" t="s">
        <v>468</v>
      </c>
      <c r="F125">
        <v>1950</v>
      </c>
      <c r="G125" t="s">
        <v>121</v>
      </c>
      <c r="H125" t="s">
        <v>469</v>
      </c>
      <c r="I125" t="s">
        <v>470</v>
      </c>
      <c r="J125" t="s">
        <v>71</v>
      </c>
      <c r="K125" s="2" t="str">
        <f>HYPERLINK("http://collections.slsa.sa.gov.au/arthur/05500/BRG347_5486.htm")</f>
        <v>http://collections.slsa.sa.gov.au/arthur/05500/BRG347_5486.htm</v>
      </c>
    </row>
    <row r="126" spans="1:11" x14ac:dyDescent="0.25">
      <c r="A126" t="s">
        <v>471</v>
      </c>
      <c r="B126" s="1" t="str">
        <f>HYPERLINK("https://www.catalog.slsa.sa.gov.au/record=b2116472")</f>
        <v>https://www.catalog.slsa.sa.gov.au/record=b2116472</v>
      </c>
      <c r="C126" s="1" t="str">
        <f>HYPERLINK("https://www.catalog.slsa.sa.gov.au/xrecord=b2116472")</f>
        <v>https://www.catalog.slsa.sa.gov.au/xrecord=b2116472</v>
      </c>
      <c r="D126" t="s">
        <v>66</v>
      </c>
      <c r="E126" t="s">
        <v>472</v>
      </c>
      <c r="F126">
        <v>1950</v>
      </c>
      <c r="G126" t="s">
        <v>121</v>
      </c>
      <c r="H126" t="s">
        <v>473</v>
      </c>
      <c r="I126" t="s">
        <v>474</v>
      </c>
      <c r="J126" t="s">
        <v>71</v>
      </c>
      <c r="K126" s="2" t="str">
        <f>HYPERLINK("http://collections.slsa.sa.gov.au/arthur/05500/BRG347_5487.htm")</f>
        <v>http://collections.slsa.sa.gov.au/arthur/05500/BRG347_5487.htm</v>
      </c>
    </row>
    <row r="127" spans="1:11" x14ac:dyDescent="0.25">
      <c r="A127" t="s">
        <v>475</v>
      </c>
      <c r="B127" s="1" t="str">
        <f>HYPERLINK("https://www.catalog.slsa.sa.gov.au/record=b2116473")</f>
        <v>https://www.catalog.slsa.sa.gov.au/record=b2116473</v>
      </c>
      <c r="C127" s="1" t="str">
        <f>HYPERLINK("https://www.catalog.slsa.sa.gov.au/xrecord=b2116473")</f>
        <v>https://www.catalog.slsa.sa.gov.au/xrecord=b2116473</v>
      </c>
      <c r="D127" t="s">
        <v>66</v>
      </c>
      <c r="E127" t="s">
        <v>476</v>
      </c>
      <c r="F127">
        <v>1950</v>
      </c>
      <c r="G127" t="s">
        <v>121</v>
      </c>
      <c r="H127" t="s">
        <v>477</v>
      </c>
      <c r="I127" t="s">
        <v>478</v>
      </c>
      <c r="J127" t="s">
        <v>71</v>
      </c>
      <c r="K127" s="2" t="str">
        <f>HYPERLINK("http://collections.slsa.sa.gov.au/arthur/05500/BRG347_5488.htm")</f>
        <v>http://collections.slsa.sa.gov.au/arthur/05500/BRG347_5488.htm</v>
      </c>
    </row>
    <row r="128" spans="1:11" x14ac:dyDescent="0.25">
      <c r="A128" t="s">
        <v>479</v>
      </c>
      <c r="B128" s="1" t="str">
        <f>HYPERLINK("https://www.catalog.slsa.sa.gov.au/record=b2116474")</f>
        <v>https://www.catalog.slsa.sa.gov.au/record=b2116474</v>
      </c>
      <c r="C128" s="1" t="str">
        <f>HYPERLINK("https://www.catalog.slsa.sa.gov.au/xrecord=b2116474")</f>
        <v>https://www.catalog.slsa.sa.gov.au/xrecord=b2116474</v>
      </c>
      <c r="D128" t="s">
        <v>66</v>
      </c>
      <c r="E128" t="s">
        <v>480</v>
      </c>
      <c r="F128">
        <v>1950</v>
      </c>
      <c r="G128" t="s">
        <v>121</v>
      </c>
      <c r="H128" t="s">
        <v>481</v>
      </c>
      <c r="I128" t="s">
        <v>482</v>
      </c>
      <c r="J128" t="s">
        <v>71</v>
      </c>
      <c r="K128" s="2" t="str">
        <f>HYPERLINK("http://collections.slsa.sa.gov.au/arthur/05500/BRG347_5489.htm")</f>
        <v>http://collections.slsa.sa.gov.au/arthur/05500/BRG347_5489.htm</v>
      </c>
    </row>
    <row r="129" spans="1:11" x14ac:dyDescent="0.25">
      <c r="A129" t="s">
        <v>483</v>
      </c>
      <c r="B129" s="1" t="str">
        <f>HYPERLINK("https://www.catalog.slsa.sa.gov.au/record=b2116475")</f>
        <v>https://www.catalog.slsa.sa.gov.au/record=b2116475</v>
      </c>
      <c r="C129" s="1" t="str">
        <f>HYPERLINK("https://www.catalog.slsa.sa.gov.au/xrecord=b2116475")</f>
        <v>https://www.catalog.slsa.sa.gov.au/xrecord=b2116475</v>
      </c>
      <c r="D129" t="s">
        <v>66</v>
      </c>
      <c r="E129" t="s">
        <v>484</v>
      </c>
      <c r="F129">
        <v>1950</v>
      </c>
      <c r="G129" t="s">
        <v>121</v>
      </c>
      <c r="H129" t="s">
        <v>485</v>
      </c>
      <c r="I129" t="s">
        <v>311</v>
      </c>
      <c r="J129" t="s">
        <v>71</v>
      </c>
      <c r="K129" s="2" t="str">
        <f>HYPERLINK("http://collections.slsa.sa.gov.au/arthur/05500/BRG347_5490.htm")</f>
        <v>http://collections.slsa.sa.gov.au/arthur/05500/BRG347_5490.htm</v>
      </c>
    </row>
    <row r="130" spans="1:11" x14ac:dyDescent="0.25">
      <c r="A130" t="s">
        <v>486</v>
      </c>
      <c r="B130" s="1" t="str">
        <f>HYPERLINK("https://www.catalog.slsa.sa.gov.au/record=b2116476")</f>
        <v>https://www.catalog.slsa.sa.gov.au/record=b2116476</v>
      </c>
      <c r="C130" s="1" t="str">
        <f>HYPERLINK("https://www.catalog.slsa.sa.gov.au/xrecord=b2116476")</f>
        <v>https://www.catalog.slsa.sa.gov.au/xrecord=b2116476</v>
      </c>
      <c r="D130" t="s">
        <v>66</v>
      </c>
      <c r="E130" t="s">
        <v>487</v>
      </c>
      <c r="F130">
        <v>1950</v>
      </c>
      <c r="G130" t="s">
        <v>121</v>
      </c>
      <c r="H130" t="s">
        <v>488</v>
      </c>
      <c r="I130" t="s">
        <v>482</v>
      </c>
      <c r="J130" t="s">
        <v>71</v>
      </c>
      <c r="K130" s="2" t="str">
        <f>HYPERLINK("http://collections.slsa.sa.gov.au/arthur/05500/BRG347_5491.htm")</f>
        <v>http://collections.slsa.sa.gov.au/arthur/05500/BRG347_5491.htm</v>
      </c>
    </row>
    <row r="131" spans="1:11" x14ac:dyDescent="0.25">
      <c r="A131" t="s">
        <v>489</v>
      </c>
      <c r="B131" s="1" t="str">
        <f>HYPERLINK("https://www.catalog.slsa.sa.gov.au/record=b2116477")</f>
        <v>https://www.catalog.slsa.sa.gov.au/record=b2116477</v>
      </c>
      <c r="C131" s="1" t="str">
        <f>HYPERLINK("https://www.catalog.slsa.sa.gov.au/xrecord=b2116477")</f>
        <v>https://www.catalog.slsa.sa.gov.au/xrecord=b2116477</v>
      </c>
      <c r="D131" t="s">
        <v>66</v>
      </c>
      <c r="E131" t="s">
        <v>490</v>
      </c>
      <c r="F131">
        <v>1950</v>
      </c>
      <c r="G131" t="s">
        <v>121</v>
      </c>
      <c r="H131" t="s">
        <v>491</v>
      </c>
      <c r="I131" t="s">
        <v>492</v>
      </c>
      <c r="J131" t="s">
        <v>71</v>
      </c>
      <c r="K131" s="2" t="str">
        <f>HYPERLINK("http://collections.slsa.sa.gov.au/arthur/05500/BRG347_5492.htm")</f>
        <v>http://collections.slsa.sa.gov.au/arthur/05500/BRG347_5492.htm</v>
      </c>
    </row>
    <row r="132" spans="1:11" x14ac:dyDescent="0.25">
      <c r="A132" t="s">
        <v>493</v>
      </c>
      <c r="B132" s="1" t="str">
        <f>HYPERLINK("https://www.catalog.slsa.sa.gov.au/record=b2116478")</f>
        <v>https://www.catalog.slsa.sa.gov.au/record=b2116478</v>
      </c>
      <c r="C132" s="1" t="str">
        <f>HYPERLINK("https://www.catalog.slsa.sa.gov.au/xrecord=b2116478")</f>
        <v>https://www.catalog.slsa.sa.gov.au/xrecord=b2116478</v>
      </c>
      <c r="D132" t="s">
        <v>66</v>
      </c>
      <c r="E132" t="s">
        <v>494</v>
      </c>
      <c r="F132">
        <v>1950</v>
      </c>
      <c r="G132" t="s">
        <v>121</v>
      </c>
      <c r="H132" t="s">
        <v>495</v>
      </c>
      <c r="I132" t="s">
        <v>496</v>
      </c>
      <c r="J132" t="s">
        <v>71</v>
      </c>
      <c r="K132" s="2" t="str">
        <f>HYPERLINK("http://collections.slsa.sa.gov.au/arthur/05500/BRG347_5493.htm")</f>
        <v>http://collections.slsa.sa.gov.au/arthur/05500/BRG347_5493.htm</v>
      </c>
    </row>
    <row r="133" spans="1:11" x14ac:dyDescent="0.25">
      <c r="A133" t="s">
        <v>497</v>
      </c>
      <c r="B133" s="1" t="str">
        <f>HYPERLINK("https://www.catalog.slsa.sa.gov.au/record=b2116479")</f>
        <v>https://www.catalog.slsa.sa.gov.au/record=b2116479</v>
      </c>
      <c r="C133" s="1" t="str">
        <f>HYPERLINK("https://www.catalog.slsa.sa.gov.au/xrecord=b2116479")</f>
        <v>https://www.catalog.slsa.sa.gov.au/xrecord=b2116479</v>
      </c>
      <c r="D133" t="s">
        <v>66</v>
      </c>
      <c r="E133" t="s">
        <v>487</v>
      </c>
      <c r="F133">
        <v>1950</v>
      </c>
      <c r="G133" t="s">
        <v>121</v>
      </c>
      <c r="H133" t="s">
        <v>498</v>
      </c>
      <c r="I133" t="s">
        <v>499</v>
      </c>
      <c r="J133" t="s">
        <v>71</v>
      </c>
      <c r="K133" s="2" t="str">
        <f>HYPERLINK("http://collections.slsa.sa.gov.au/arthur/05500/BRG347_5494.htm")</f>
        <v>http://collections.slsa.sa.gov.au/arthur/05500/BRG347_5494.htm</v>
      </c>
    </row>
    <row r="134" spans="1:11" x14ac:dyDescent="0.25">
      <c r="A134" t="s">
        <v>500</v>
      </c>
      <c r="B134" s="1" t="str">
        <f>HYPERLINK("https://www.catalog.slsa.sa.gov.au/record=b2116480")</f>
        <v>https://www.catalog.slsa.sa.gov.au/record=b2116480</v>
      </c>
      <c r="C134" s="1" t="str">
        <f>HYPERLINK("https://www.catalog.slsa.sa.gov.au/xrecord=b2116480")</f>
        <v>https://www.catalog.slsa.sa.gov.au/xrecord=b2116480</v>
      </c>
      <c r="D134" t="s">
        <v>66</v>
      </c>
      <c r="E134" t="s">
        <v>501</v>
      </c>
      <c r="F134">
        <v>1950</v>
      </c>
      <c r="G134" t="s">
        <v>121</v>
      </c>
      <c r="H134" t="s">
        <v>502</v>
      </c>
      <c r="I134" t="s">
        <v>503</v>
      </c>
      <c r="J134" t="s">
        <v>71</v>
      </c>
      <c r="K134" s="2" t="str">
        <f>HYPERLINK("http://collections.slsa.sa.gov.au/arthur/05500/BRG347_5495.htm")</f>
        <v>http://collections.slsa.sa.gov.au/arthur/05500/BRG347_5495.htm</v>
      </c>
    </row>
    <row r="135" spans="1:11" x14ac:dyDescent="0.25">
      <c r="A135" t="s">
        <v>504</v>
      </c>
      <c r="B135" s="1" t="str">
        <f>HYPERLINK("https://www.catalog.slsa.sa.gov.au/record=b2116481")</f>
        <v>https://www.catalog.slsa.sa.gov.au/record=b2116481</v>
      </c>
      <c r="C135" s="1" t="str">
        <f>HYPERLINK("https://www.catalog.slsa.sa.gov.au/xrecord=b2116481")</f>
        <v>https://www.catalog.slsa.sa.gov.au/xrecord=b2116481</v>
      </c>
      <c r="D135" t="s">
        <v>66</v>
      </c>
      <c r="E135" t="s">
        <v>505</v>
      </c>
      <c r="F135">
        <v>1950</v>
      </c>
      <c r="G135" t="s">
        <v>121</v>
      </c>
      <c r="H135" t="s">
        <v>506</v>
      </c>
      <c r="I135" t="s">
        <v>507</v>
      </c>
      <c r="J135" t="s">
        <v>71</v>
      </c>
      <c r="K135" s="2" t="str">
        <f>HYPERLINK("http://collections.slsa.sa.gov.au/arthur/05500/BRG347_5496.htm")</f>
        <v>http://collections.slsa.sa.gov.au/arthur/05500/BRG347_5496.htm</v>
      </c>
    </row>
    <row r="136" spans="1:11" x14ac:dyDescent="0.25">
      <c r="A136" t="s">
        <v>508</v>
      </c>
      <c r="B136" s="1" t="str">
        <f>HYPERLINK("https://www.catalog.slsa.sa.gov.au/record=b2116482")</f>
        <v>https://www.catalog.slsa.sa.gov.au/record=b2116482</v>
      </c>
      <c r="C136" s="1" t="str">
        <f>HYPERLINK("https://www.catalog.slsa.sa.gov.au/xrecord=b2116482")</f>
        <v>https://www.catalog.slsa.sa.gov.au/xrecord=b2116482</v>
      </c>
      <c r="D136" t="s">
        <v>66</v>
      </c>
      <c r="E136" t="s">
        <v>509</v>
      </c>
      <c r="F136">
        <v>1950</v>
      </c>
      <c r="G136" t="s">
        <v>121</v>
      </c>
      <c r="H136" t="s">
        <v>510</v>
      </c>
      <c r="I136" t="s">
        <v>511</v>
      </c>
      <c r="J136" t="s">
        <v>71</v>
      </c>
      <c r="K136" s="2" t="str">
        <f>HYPERLINK("http://collections.slsa.sa.gov.au/arthur/05500/BRG347_5497.htm")</f>
        <v>http://collections.slsa.sa.gov.au/arthur/05500/BRG347_5497.htm</v>
      </c>
    </row>
    <row r="137" spans="1:11" x14ac:dyDescent="0.25">
      <c r="A137" t="s">
        <v>512</v>
      </c>
      <c r="B137" s="1" t="str">
        <f>HYPERLINK("https://www.catalog.slsa.sa.gov.au/record=b2116483")</f>
        <v>https://www.catalog.slsa.sa.gov.au/record=b2116483</v>
      </c>
      <c r="C137" s="1" t="str">
        <f>HYPERLINK("https://www.catalog.slsa.sa.gov.au/xrecord=b2116483")</f>
        <v>https://www.catalog.slsa.sa.gov.au/xrecord=b2116483</v>
      </c>
      <c r="D137" t="s">
        <v>66</v>
      </c>
      <c r="E137" t="s">
        <v>513</v>
      </c>
      <c r="F137">
        <v>1950</v>
      </c>
      <c r="G137" t="s">
        <v>121</v>
      </c>
      <c r="H137" t="s">
        <v>514</v>
      </c>
      <c r="I137" t="s">
        <v>515</v>
      </c>
      <c r="J137" t="s">
        <v>71</v>
      </c>
      <c r="K137" s="2" t="str">
        <f>HYPERLINK("http://collections.slsa.sa.gov.au/arthur/05500/BRG347_5498.htm")</f>
        <v>http://collections.slsa.sa.gov.au/arthur/05500/BRG347_5498.htm</v>
      </c>
    </row>
    <row r="138" spans="1:11" x14ac:dyDescent="0.25">
      <c r="A138" t="s">
        <v>516</v>
      </c>
      <c r="B138" s="1" t="str">
        <f>HYPERLINK("https://www.catalog.slsa.sa.gov.au/record=b2116484")</f>
        <v>https://www.catalog.slsa.sa.gov.au/record=b2116484</v>
      </c>
      <c r="C138" s="1" t="str">
        <f>HYPERLINK("https://www.catalog.slsa.sa.gov.au/xrecord=b2116484")</f>
        <v>https://www.catalog.slsa.sa.gov.au/xrecord=b2116484</v>
      </c>
      <c r="D138" t="s">
        <v>66</v>
      </c>
      <c r="E138" t="s">
        <v>517</v>
      </c>
      <c r="F138">
        <v>1950</v>
      </c>
      <c r="G138" t="s">
        <v>121</v>
      </c>
      <c r="H138" t="s">
        <v>518</v>
      </c>
      <c r="I138" t="s">
        <v>519</v>
      </c>
      <c r="J138" t="s">
        <v>71</v>
      </c>
      <c r="K138" s="2" t="str">
        <f>HYPERLINK("http://collections.slsa.sa.gov.au/arthur/05500/BRG347_5499.htm")</f>
        <v>http://collections.slsa.sa.gov.au/arthur/05500/BRG347_5499.htm</v>
      </c>
    </row>
    <row r="139" spans="1:11" x14ac:dyDescent="0.25">
      <c r="A139" t="s">
        <v>520</v>
      </c>
      <c r="B139" s="1" t="str">
        <f>HYPERLINK("https://www.catalog.slsa.sa.gov.au/record=b2116485")</f>
        <v>https://www.catalog.slsa.sa.gov.au/record=b2116485</v>
      </c>
      <c r="C139" s="1" t="str">
        <f>HYPERLINK("https://www.catalog.slsa.sa.gov.au/xrecord=b2116485")</f>
        <v>https://www.catalog.slsa.sa.gov.au/xrecord=b2116485</v>
      </c>
      <c r="D139" t="s">
        <v>66</v>
      </c>
      <c r="E139" t="s">
        <v>521</v>
      </c>
      <c r="F139">
        <v>1950</v>
      </c>
      <c r="G139" t="s">
        <v>121</v>
      </c>
      <c r="H139" t="s">
        <v>522</v>
      </c>
      <c r="I139" t="s">
        <v>523</v>
      </c>
      <c r="J139" t="s">
        <v>71</v>
      </c>
      <c r="K139" s="2" t="str">
        <f>HYPERLINK("http://collections.slsa.sa.gov.au/arthur/05500/BRG347_5500.htm")</f>
        <v>http://collections.slsa.sa.gov.au/arthur/05500/BRG347_5500.htm</v>
      </c>
    </row>
    <row r="140" spans="1:11" x14ac:dyDescent="0.25">
      <c r="A140" t="s">
        <v>524</v>
      </c>
      <c r="B140" s="1" t="str">
        <f>HYPERLINK("https://www.catalog.slsa.sa.gov.au/record=b2116486")</f>
        <v>https://www.catalog.slsa.sa.gov.au/record=b2116486</v>
      </c>
      <c r="C140" s="1" t="str">
        <f>HYPERLINK("https://www.catalog.slsa.sa.gov.au/xrecord=b2116486")</f>
        <v>https://www.catalog.slsa.sa.gov.au/xrecord=b2116486</v>
      </c>
      <c r="D140" t="s">
        <v>66</v>
      </c>
      <c r="E140" t="s">
        <v>525</v>
      </c>
      <c r="F140">
        <v>1950</v>
      </c>
      <c r="G140" t="s">
        <v>121</v>
      </c>
      <c r="H140" t="s">
        <v>526</v>
      </c>
      <c r="I140" t="s">
        <v>527</v>
      </c>
      <c r="J140" t="s">
        <v>71</v>
      </c>
      <c r="K140" s="2" t="str">
        <f>HYPERLINK("http://collections.slsa.sa.gov.au/arthur/05750/BRG347_5501.htm")</f>
        <v>http://collections.slsa.sa.gov.au/arthur/05750/BRG347_5501.htm</v>
      </c>
    </row>
    <row r="141" spans="1:11" x14ac:dyDescent="0.25">
      <c r="A141" t="s">
        <v>528</v>
      </c>
      <c r="B141" s="1" t="str">
        <f>HYPERLINK("https://www.catalog.slsa.sa.gov.au/record=b2116487")</f>
        <v>https://www.catalog.slsa.sa.gov.au/record=b2116487</v>
      </c>
      <c r="C141" s="1" t="str">
        <f>HYPERLINK("https://www.catalog.slsa.sa.gov.au/xrecord=b2116487")</f>
        <v>https://www.catalog.slsa.sa.gov.au/xrecord=b2116487</v>
      </c>
      <c r="D141" t="s">
        <v>66</v>
      </c>
      <c r="E141" t="s">
        <v>529</v>
      </c>
      <c r="F141">
        <v>1950</v>
      </c>
      <c r="G141" t="s">
        <v>121</v>
      </c>
      <c r="H141" t="s">
        <v>530</v>
      </c>
      <c r="I141" t="s">
        <v>531</v>
      </c>
      <c r="J141" t="s">
        <v>71</v>
      </c>
      <c r="K141" s="2" t="str">
        <f>HYPERLINK("http://collections.slsa.sa.gov.au/arthur/05750/BRG347_5502.htm")</f>
        <v>http://collections.slsa.sa.gov.au/arthur/05750/BRG347_5502.htm</v>
      </c>
    </row>
    <row r="142" spans="1:11" x14ac:dyDescent="0.25">
      <c r="A142" t="s">
        <v>532</v>
      </c>
      <c r="B142" s="1" t="str">
        <f>HYPERLINK("https://www.catalog.slsa.sa.gov.au/record=b2116488")</f>
        <v>https://www.catalog.slsa.sa.gov.au/record=b2116488</v>
      </c>
      <c r="C142" s="1" t="str">
        <f>HYPERLINK("https://www.catalog.slsa.sa.gov.au/xrecord=b2116488")</f>
        <v>https://www.catalog.slsa.sa.gov.au/xrecord=b2116488</v>
      </c>
      <c r="D142" t="s">
        <v>66</v>
      </c>
      <c r="E142" t="s">
        <v>533</v>
      </c>
      <c r="F142">
        <v>1950</v>
      </c>
      <c r="G142" t="s">
        <v>121</v>
      </c>
      <c r="H142" t="s">
        <v>534</v>
      </c>
      <c r="I142" t="s">
        <v>535</v>
      </c>
      <c r="J142" t="s">
        <v>71</v>
      </c>
      <c r="K142" s="2" t="str">
        <f>HYPERLINK("http://collections.slsa.sa.gov.au/arthur/05750/BRG347_5503.htm")</f>
        <v>http://collections.slsa.sa.gov.au/arthur/05750/BRG347_5503.htm</v>
      </c>
    </row>
    <row r="143" spans="1:11" x14ac:dyDescent="0.25">
      <c r="A143" t="s">
        <v>536</v>
      </c>
      <c r="B143" s="1" t="str">
        <f>HYPERLINK("https://www.catalog.slsa.sa.gov.au/record=b2116489")</f>
        <v>https://www.catalog.slsa.sa.gov.au/record=b2116489</v>
      </c>
      <c r="C143" s="1" t="str">
        <f>HYPERLINK("https://www.catalog.slsa.sa.gov.au/xrecord=b2116489")</f>
        <v>https://www.catalog.slsa.sa.gov.au/xrecord=b2116489</v>
      </c>
      <c r="D143" t="s">
        <v>66</v>
      </c>
      <c r="E143" t="s">
        <v>537</v>
      </c>
      <c r="F143">
        <v>1950</v>
      </c>
      <c r="G143" t="s">
        <v>121</v>
      </c>
      <c r="H143" t="s">
        <v>538</v>
      </c>
      <c r="I143" t="s">
        <v>539</v>
      </c>
      <c r="J143" t="s">
        <v>71</v>
      </c>
      <c r="K143" s="2" t="str">
        <f>HYPERLINK("http://collections.slsa.sa.gov.au/arthur/05750/BRG347_5504.htm")</f>
        <v>http://collections.slsa.sa.gov.au/arthur/05750/BRG347_5504.htm</v>
      </c>
    </row>
    <row r="144" spans="1:11" x14ac:dyDescent="0.25">
      <c r="A144" t="s">
        <v>540</v>
      </c>
      <c r="B144" s="1" t="str">
        <f>HYPERLINK("https://www.catalog.slsa.sa.gov.au/record=b2116490")</f>
        <v>https://www.catalog.slsa.sa.gov.au/record=b2116490</v>
      </c>
      <c r="C144" s="1" t="str">
        <f>HYPERLINK("https://www.catalog.slsa.sa.gov.au/xrecord=b2116490")</f>
        <v>https://www.catalog.slsa.sa.gov.au/xrecord=b2116490</v>
      </c>
      <c r="D144" t="s">
        <v>66</v>
      </c>
      <c r="E144" t="s">
        <v>541</v>
      </c>
      <c r="F144">
        <v>1950</v>
      </c>
      <c r="G144" t="s">
        <v>121</v>
      </c>
      <c r="H144" t="s">
        <v>542</v>
      </c>
      <c r="I144" t="s">
        <v>543</v>
      </c>
      <c r="J144" t="s">
        <v>71</v>
      </c>
      <c r="K144" s="2" t="str">
        <f>HYPERLINK("http://collections.slsa.sa.gov.au/arthur/05750/BRG347_5505.htm")</f>
        <v>http://collections.slsa.sa.gov.au/arthur/05750/BRG347_5505.htm</v>
      </c>
    </row>
    <row r="145" spans="1:11" x14ac:dyDescent="0.25">
      <c r="A145" t="s">
        <v>544</v>
      </c>
      <c r="B145" s="1" t="str">
        <f>HYPERLINK("https://www.catalog.slsa.sa.gov.au/record=b2116491")</f>
        <v>https://www.catalog.slsa.sa.gov.au/record=b2116491</v>
      </c>
      <c r="C145" s="1" t="str">
        <f>HYPERLINK("https://www.catalog.slsa.sa.gov.au/xrecord=b2116491")</f>
        <v>https://www.catalog.slsa.sa.gov.au/xrecord=b2116491</v>
      </c>
      <c r="D145" t="s">
        <v>66</v>
      </c>
      <c r="E145" t="s">
        <v>545</v>
      </c>
      <c r="F145">
        <v>1950</v>
      </c>
      <c r="G145" t="s">
        <v>121</v>
      </c>
      <c r="H145" t="s">
        <v>546</v>
      </c>
      <c r="I145" t="s">
        <v>547</v>
      </c>
      <c r="J145" t="s">
        <v>71</v>
      </c>
      <c r="K145" s="2" t="str">
        <f>HYPERLINK("http://collections.slsa.sa.gov.au/arthur/05750/BRG347_5506.htm")</f>
        <v>http://collections.slsa.sa.gov.au/arthur/05750/BRG347_5506.htm</v>
      </c>
    </row>
    <row r="146" spans="1:11" x14ac:dyDescent="0.25">
      <c r="A146" t="s">
        <v>548</v>
      </c>
      <c r="B146" s="1" t="str">
        <f>HYPERLINK("https://www.catalog.slsa.sa.gov.au/record=b2116492")</f>
        <v>https://www.catalog.slsa.sa.gov.au/record=b2116492</v>
      </c>
      <c r="C146" s="1" t="str">
        <f>HYPERLINK("https://www.catalog.slsa.sa.gov.au/xrecord=b2116492")</f>
        <v>https://www.catalog.slsa.sa.gov.au/xrecord=b2116492</v>
      </c>
      <c r="D146" t="s">
        <v>66</v>
      </c>
      <c r="E146" t="s">
        <v>549</v>
      </c>
      <c r="F146">
        <v>1950</v>
      </c>
      <c r="G146" t="s">
        <v>121</v>
      </c>
      <c r="H146" t="s">
        <v>550</v>
      </c>
      <c r="I146" t="s">
        <v>551</v>
      </c>
      <c r="J146" t="s">
        <v>71</v>
      </c>
      <c r="K146" s="2" t="str">
        <f>HYPERLINK("http://collections.slsa.sa.gov.au/arthur/05750/BRG347_5507.htm")</f>
        <v>http://collections.slsa.sa.gov.au/arthur/05750/BRG347_5507.htm</v>
      </c>
    </row>
    <row r="147" spans="1:11" x14ac:dyDescent="0.25">
      <c r="A147" t="s">
        <v>552</v>
      </c>
      <c r="B147" s="1" t="str">
        <f>HYPERLINK("https://www.catalog.slsa.sa.gov.au/record=b2116493")</f>
        <v>https://www.catalog.slsa.sa.gov.au/record=b2116493</v>
      </c>
      <c r="C147" s="1" t="str">
        <f>HYPERLINK("https://www.catalog.slsa.sa.gov.au/xrecord=b2116493")</f>
        <v>https://www.catalog.slsa.sa.gov.au/xrecord=b2116493</v>
      </c>
      <c r="D147" t="s">
        <v>66</v>
      </c>
      <c r="E147" t="s">
        <v>553</v>
      </c>
      <c r="F147">
        <v>1950</v>
      </c>
      <c r="G147" t="s">
        <v>121</v>
      </c>
      <c r="H147" t="s">
        <v>554</v>
      </c>
      <c r="I147" t="s">
        <v>555</v>
      </c>
      <c r="J147" t="s">
        <v>71</v>
      </c>
      <c r="K147" s="2" t="str">
        <f>HYPERLINK("http://collections.slsa.sa.gov.au/arthur/05750/BRG347_5508.htm")</f>
        <v>http://collections.slsa.sa.gov.au/arthur/05750/BRG347_5508.htm</v>
      </c>
    </row>
    <row r="148" spans="1:11" x14ac:dyDescent="0.25">
      <c r="A148" t="s">
        <v>556</v>
      </c>
      <c r="B148" s="1" t="str">
        <f>HYPERLINK("https://www.catalog.slsa.sa.gov.au/record=b2116494")</f>
        <v>https://www.catalog.slsa.sa.gov.au/record=b2116494</v>
      </c>
      <c r="C148" s="1" t="str">
        <f>HYPERLINK("https://www.catalog.slsa.sa.gov.au/xrecord=b2116494")</f>
        <v>https://www.catalog.slsa.sa.gov.au/xrecord=b2116494</v>
      </c>
      <c r="D148" t="s">
        <v>66</v>
      </c>
      <c r="E148" t="s">
        <v>557</v>
      </c>
      <c r="F148">
        <v>1950</v>
      </c>
      <c r="G148" t="s">
        <v>121</v>
      </c>
      <c r="H148" t="s">
        <v>558</v>
      </c>
      <c r="I148" t="s">
        <v>559</v>
      </c>
      <c r="J148" t="s">
        <v>71</v>
      </c>
      <c r="K148" s="2" t="str">
        <f>HYPERLINK("http://collections.slsa.sa.gov.au/arthur/05750/BRG347_5509.htm")</f>
        <v>http://collections.slsa.sa.gov.au/arthur/05750/BRG347_5509.htm</v>
      </c>
    </row>
    <row r="149" spans="1:11" x14ac:dyDescent="0.25">
      <c r="A149" t="s">
        <v>560</v>
      </c>
      <c r="B149" s="1" t="str">
        <f>HYPERLINK("https://www.catalog.slsa.sa.gov.au/record=b2116495")</f>
        <v>https://www.catalog.slsa.sa.gov.au/record=b2116495</v>
      </c>
      <c r="C149" s="1" t="str">
        <f>HYPERLINK("https://www.catalog.slsa.sa.gov.au/xrecord=b2116495")</f>
        <v>https://www.catalog.slsa.sa.gov.au/xrecord=b2116495</v>
      </c>
      <c r="D149" t="s">
        <v>66</v>
      </c>
      <c r="E149" t="s">
        <v>561</v>
      </c>
      <c r="F149">
        <v>1950</v>
      </c>
      <c r="G149" t="s">
        <v>121</v>
      </c>
      <c r="H149" t="s">
        <v>562</v>
      </c>
      <c r="I149" t="s">
        <v>563</v>
      </c>
      <c r="J149" t="s">
        <v>71</v>
      </c>
      <c r="K149" s="2" t="str">
        <f>HYPERLINK("http://collections.slsa.sa.gov.au/arthur/05750/BRG347_5510.htm")</f>
        <v>http://collections.slsa.sa.gov.au/arthur/05750/BRG347_5510.htm</v>
      </c>
    </row>
    <row r="150" spans="1:11" x14ac:dyDescent="0.25">
      <c r="A150" t="s">
        <v>564</v>
      </c>
      <c r="B150" s="1" t="str">
        <f>HYPERLINK("https://www.catalog.slsa.sa.gov.au/record=b2116496")</f>
        <v>https://www.catalog.slsa.sa.gov.au/record=b2116496</v>
      </c>
      <c r="C150" s="1" t="str">
        <f>HYPERLINK("https://www.catalog.slsa.sa.gov.au/xrecord=b2116496")</f>
        <v>https://www.catalog.slsa.sa.gov.au/xrecord=b2116496</v>
      </c>
      <c r="D150" t="s">
        <v>66</v>
      </c>
      <c r="E150" t="s">
        <v>565</v>
      </c>
      <c r="F150">
        <v>1950</v>
      </c>
      <c r="G150" t="s">
        <v>121</v>
      </c>
      <c r="H150" t="s">
        <v>566</v>
      </c>
      <c r="I150" t="s">
        <v>567</v>
      </c>
      <c r="J150" t="s">
        <v>71</v>
      </c>
      <c r="K150" s="2" t="str">
        <f>HYPERLINK("http://collections.slsa.sa.gov.au/arthur/05750/BRG347_5511.htm")</f>
        <v>http://collections.slsa.sa.gov.au/arthur/05750/BRG347_5511.htm</v>
      </c>
    </row>
    <row r="151" spans="1:11" x14ac:dyDescent="0.25">
      <c r="A151" t="s">
        <v>568</v>
      </c>
      <c r="B151" s="1" t="str">
        <f>HYPERLINK("https://www.catalog.slsa.sa.gov.au/record=b2116497")</f>
        <v>https://www.catalog.slsa.sa.gov.au/record=b2116497</v>
      </c>
      <c r="C151" s="1" t="str">
        <f>HYPERLINK("https://www.catalog.slsa.sa.gov.au/xrecord=b2116497")</f>
        <v>https://www.catalog.slsa.sa.gov.au/xrecord=b2116497</v>
      </c>
      <c r="D151" t="s">
        <v>66</v>
      </c>
      <c r="E151" t="s">
        <v>569</v>
      </c>
      <c r="F151">
        <v>1950</v>
      </c>
      <c r="G151" t="s">
        <v>121</v>
      </c>
      <c r="H151" t="s">
        <v>570</v>
      </c>
      <c r="I151" t="s">
        <v>571</v>
      </c>
      <c r="J151" t="s">
        <v>71</v>
      </c>
      <c r="K151" s="2" t="str">
        <f>HYPERLINK("http://collections.slsa.sa.gov.au/arthur/05750/BRG347_5512.htm")</f>
        <v>http://collections.slsa.sa.gov.au/arthur/05750/BRG347_5512.htm</v>
      </c>
    </row>
    <row r="152" spans="1:11" x14ac:dyDescent="0.25">
      <c r="A152" t="s">
        <v>572</v>
      </c>
      <c r="B152" s="1" t="str">
        <f>HYPERLINK("https://www.catalog.slsa.sa.gov.au/record=b2116498")</f>
        <v>https://www.catalog.slsa.sa.gov.au/record=b2116498</v>
      </c>
      <c r="C152" s="1" t="str">
        <f>HYPERLINK("https://www.catalog.slsa.sa.gov.au/xrecord=b2116498")</f>
        <v>https://www.catalog.slsa.sa.gov.au/xrecord=b2116498</v>
      </c>
      <c r="D152" t="s">
        <v>66</v>
      </c>
      <c r="E152" t="s">
        <v>573</v>
      </c>
      <c r="F152">
        <v>1950</v>
      </c>
      <c r="G152" t="s">
        <v>121</v>
      </c>
      <c r="H152" t="s">
        <v>574</v>
      </c>
      <c r="I152" t="s">
        <v>575</v>
      </c>
      <c r="J152" t="s">
        <v>71</v>
      </c>
      <c r="K152" s="2" t="str">
        <f>HYPERLINK("http://collections.slsa.sa.gov.au/arthur/05750/BRG347_5513.htm")</f>
        <v>http://collections.slsa.sa.gov.au/arthur/05750/BRG347_5513.htm</v>
      </c>
    </row>
    <row r="153" spans="1:11" x14ac:dyDescent="0.25">
      <c r="A153" t="s">
        <v>576</v>
      </c>
      <c r="B153" s="1" t="str">
        <f>HYPERLINK("https://www.catalog.slsa.sa.gov.au/record=b2116499")</f>
        <v>https://www.catalog.slsa.sa.gov.au/record=b2116499</v>
      </c>
      <c r="C153" s="1" t="str">
        <f>HYPERLINK("https://www.catalog.slsa.sa.gov.au/xrecord=b2116499")</f>
        <v>https://www.catalog.slsa.sa.gov.au/xrecord=b2116499</v>
      </c>
      <c r="D153" t="s">
        <v>66</v>
      </c>
      <c r="E153" t="s">
        <v>577</v>
      </c>
      <c r="F153">
        <v>1950</v>
      </c>
      <c r="G153" t="s">
        <v>121</v>
      </c>
      <c r="H153" t="s">
        <v>578</v>
      </c>
      <c r="I153" t="s">
        <v>579</v>
      </c>
      <c r="J153" t="s">
        <v>71</v>
      </c>
      <c r="K153" s="2" t="str">
        <f>HYPERLINK("http://collections.slsa.sa.gov.au/arthur/05750/BRG347_5514.htm")</f>
        <v>http://collections.slsa.sa.gov.au/arthur/05750/BRG347_5514.htm</v>
      </c>
    </row>
    <row r="154" spans="1:11" x14ac:dyDescent="0.25">
      <c r="A154" t="s">
        <v>580</v>
      </c>
      <c r="B154" s="1" t="str">
        <f>HYPERLINK("https://www.catalog.slsa.sa.gov.au/record=b2116500")</f>
        <v>https://www.catalog.slsa.sa.gov.au/record=b2116500</v>
      </c>
      <c r="C154" s="1" t="str">
        <f>HYPERLINK("https://www.catalog.slsa.sa.gov.au/xrecord=b2116500")</f>
        <v>https://www.catalog.slsa.sa.gov.au/xrecord=b2116500</v>
      </c>
      <c r="D154" t="s">
        <v>66</v>
      </c>
      <c r="E154" t="s">
        <v>581</v>
      </c>
      <c r="F154">
        <v>1950</v>
      </c>
      <c r="G154" t="s">
        <v>121</v>
      </c>
      <c r="H154" t="s">
        <v>582</v>
      </c>
      <c r="I154" t="s">
        <v>583</v>
      </c>
      <c r="J154" t="s">
        <v>71</v>
      </c>
      <c r="K154" s="2" t="str">
        <f>HYPERLINK("http://collections.slsa.sa.gov.au/arthur/05750/BRG347_5515.htm")</f>
        <v>http://collections.slsa.sa.gov.au/arthur/05750/BRG347_5515.htm</v>
      </c>
    </row>
    <row r="155" spans="1:11" x14ac:dyDescent="0.25">
      <c r="A155" t="s">
        <v>584</v>
      </c>
      <c r="B155" s="1" t="str">
        <f>HYPERLINK("https://www.catalog.slsa.sa.gov.au/record=b2116501")</f>
        <v>https://www.catalog.slsa.sa.gov.au/record=b2116501</v>
      </c>
      <c r="C155" s="1" t="str">
        <f>HYPERLINK("https://www.catalog.slsa.sa.gov.au/xrecord=b2116501")</f>
        <v>https://www.catalog.slsa.sa.gov.au/xrecord=b2116501</v>
      </c>
      <c r="D155" t="s">
        <v>66</v>
      </c>
      <c r="E155" t="s">
        <v>585</v>
      </c>
      <c r="F155">
        <v>1950</v>
      </c>
      <c r="G155" t="s">
        <v>121</v>
      </c>
      <c r="H155" t="s">
        <v>586</v>
      </c>
      <c r="I155" t="s">
        <v>587</v>
      </c>
      <c r="J155" t="s">
        <v>71</v>
      </c>
      <c r="K155" s="2" t="str">
        <f>HYPERLINK("http://collections.slsa.sa.gov.au/arthur/05750/BRG347_5516.htm")</f>
        <v>http://collections.slsa.sa.gov.au/arthur/05750/BRG347_5516.htm</v>
      </c>
    </row>
    <row r="156" spans="1:11" x14ac:dyDescent="0.25">
      <c r="A156" t="s">
        <v>588</v>
      </c>
      <c r="B156" s="1" t="str">
        <f>HYPERLINK("https://www.catalog.slsa.sa.gov.au/record=b2116502")</f>
        <v>https://www.catalog.slsa.sa.gov.au/record=b2116502</v>
      </c>
      <c r="C156" s="1" t="str">
        <f>HYPERLINK("https://www.catalog.slsa.sa.gov.au/xrecord=b2116502")</f>
        <v>https://www.catalog.slsa.sa.gov.au/xrecord=b2116502</v>
      </c>
      <c r="D156" t="s">
        <v>66</v>
      </c>
      <c r="E156" t="s">
        <v>589</v>
      </c>
      <c r="F156">
        <v>1950</v>
      </c>
      <c r="G156" t="s">
        <v>121</v>
      </c>
      <c r="H156" t="s">
        <v>590</v>
      </c>
      <c r="I156" t="s">
        <v>591</v>
      </c>
      <c r="J156" t="s">
        <v>71</v>
      </c>
      <c r="K156" s="2" t="str">
        <f>HYPERLINK("http://collections.slsa.sa.gov.au/arthur/05750/BRG347_5517.htm")</f>
        <v>http://collections.slsa.sa.gov.au/arthur/05750/BRG347_5517.htm</v>
      </c>
    </row>
    <row r="157" spans="1:11" x14ac:dyDescent="0.25">
      <c r="A157" t="s">
        <v>592</v>
      </c>
      <c r="B157" s="1" t="str">
        <f>HYPERLINK("https://www.catalog.slsa.sa.gov.au/record=b2116503")</f>
        <v>https://www.catalog.slsa.sa.gov.au/record=b2116503</v>
      </c>
      <c r="C157" s="1" t="str">
        <f>HYPERLINK("https://www.catalog.slsa.sa.gov.au/xrecord=b2116503")</f>
        <v>https://www.catalog.slsa.sa.gov.au/xrecord=b2116503</v>
      </c>
      <c r="D157" t="s">
        <v>66</v>
      </c>
      <c r="E157" t="s">
        <v>593</v>
      </c>
      <c r="F157">
        <v>1950</v>
      </c>
      <c r="G157" t="s">
        <v>121</v>
      </c>
      <c r="H157" t="s">
        <v>594</v>
      </c>
      <c r="I157" t="s">
        <v>595</v>
      </c>
      <c r="J157" t="s">
        <v>71</v>
      </c>
      <c r="K157" s="2" t="str">
        <f>HYPERLINK("http://collections.slsa.sa.gov.au/arthur/05750/BRG347_5518.htm")</f>
        <v>http://collections.slsa.sa.gov.au/arthur/05750/BRG347_5518.htm</v>
      </c>
    </row>
    <row r="158" spans="1:11" x14ac:dyDescent="0.25">
      <c r="A158" t="s">
        <v>596</v>
      </c>
      <c r="B158" s="1" t="str">
        <f>HYPERLINK("https://www.catalog.slsa.sa.gov.au/record=b2116504")</f>
        <v>https://www.catalog.slsa.sa.gov.au/record=b2116504</v>
      </c>
      <c r="C158" s="1" t="str">
        <f>HYPERLINK("https://www.catalog.slsa.sa.gov.au/xrecord=b2116504")</f>
        <v>https://www.catalog.slsa.sa.gov.au/xrecord=b2116504</v>
      </c>
      <c r="D158" t="s">
        <v>66</v>
      </c>
      <c r="E158" t="s">
        <v>597</v>
      </c>
      <c r="F158">
        <v>1950</v>
      </c>
      <c r="G158" t="s">
        <v>121</v>
      </c>
      <c r="H158" t="s">
        <v>598</v>
      </c>
      <c r="I158" t="s">
        <v>599</v>
      </c>
      <c r="J158" t="s">
        <v>71</v>
      </c>
      <c r="K158" s="2" t="str">
        <f>HYPERLINK("http://collections.slsa.sa.gov.au/arthur/05750/BRG347_5519.htm")</f>
        <v>http://collections.slsa.sa.gov.au/arthur/05750/BRG347_5519.htm</v>
      </c>
    </row>
    <row r="159" spans="1:11" x14ac:dyDescent="0.25">
      <c r="A159" t="s">
        <v>600</v>
      </c>
      <c r="B159" s="1" t="str">
        <f>HYPERLINK("https://www.catalog.slsa.sa.gov.au/record=b2116505")</f>
        <v>https://www.catalog.slsa.sa.gov.au/record=b2116505</v>
      </c>
      <c r="C159" s="1" t="str">
        <f>HYPERLINK("https://www.catalog.slsa.sa.gov.au/xrecord=b2116505")</f>
        <v>https://www.catalog.slsa.sa.gov.au/xrecord=b2116505</v>
      </c>
      <c r="D159" t="s">
        <v>66</v>
      </c>
      <c r="E159" t="s">
        <v>601</v>
      </c>
      <c r="F159">
        <v>1950</v>
      </c>
      <c r="G159" t="s">
        <v>121</v>
      </c>
      <c r="H159" t="s">
        <v>598</v>
      </c>
      <c r="I159" t="s">
        <v>602</v>
      </c>
      <c r="J159" t="s">
        <v>71</v>
      </c>
      <c r="K159" s="2" t="str">
        <f>HYPERLINK("http://collections.slsa.sa.gov.au/arthur/05750/BRG347_5520.htm")</f>
        <v>http://collections.slsa.sa.gov.au/arthur/05750/BRG347_5520.htm</v>
      </c>
    </row>
    <row r="160" spans="1:11" x14ac:dyDescent="0.25">
      <c r="A160" t="s">
        <v>603</v>
      </c>
      <c r="B160" s="1" t="str">
        <f>HYPERLINK("https://www.catalog.slsa.sa.gov.au/record=b2116506")</f>
        <v>https://www.catalog.slsa.sa.gov.au/record=b2116506</v>
      </c>
      <c r="C160" s="1" t="str">
        <f>HYPERLINK("https://www.catalog.slsa.sa.gov.au/xrecord=b2116506")</f>
        <v>https://www.catalog.slsa.sa.gov.au/xrecord=b2116506</v>
      </c>
      <c r="D160" t="s">
        <v>66</v>
      </c>
      <c r="E160" t="s">
        <v>604</v>
      </c>
      <c r="F160">
        <v>1950</v>
      </c>
      <c r="G160" t="s">
        <v>121</v>
      </c>
      <c r="H160" t="s">
        <v>605</v>
      </c>
      <c r="I160" t="s">
        <v>606</v>
      </c>
      <c r="J160" t="s">
        <v>71</v>
      </c>
      <c r="K160" s="2" t="str">
        <f>HYPERLINK("http://collections.slsa.sa.gov.au/arthur/05750/BRG347_5521.htm")</f>
        <v>http://collections.slsa.sa.gov.au/arthur/05750/BRG347_5521.htm</v>
      </c>
    </row>
    <row r="161" spans="1:11" x14ac:dyDescent="0.25">
      <c r="A161" t="s">
        <v>607</v>
      </c>
      <c r="B161" s="1" t="str">
        <f>HYPERLINK("https://www.catalog.slsa.sa.gov.au/record=b2116510")</f>
        <v>https://www.catalog.slsa.sa.gov.au/record=b2116510</v>
      </c>
      <c r="C161" s="1" t="str">
        <f>HYPERLINK("https://www.catalog.slsa.sa.gov.au/xrecord=b2116510")</f>
        <v>https://www.catalog.slsa.sa.gov.au/xrecord=b2116510</v>
      </c>
      <c r="D161" t="s">
        <v>66</v>
      </c>
      <c r="E161" t="s">
        <v>608</v>
      </c>
      <c r="F161">
        <v>1950</v>
      </c>
      <c r="G161" t="s">
        <v>121</v>
      </c>
      <c r="H161" t="s">
        <v>609</v>
      </c>
      <c r="I161" t="s">
        <v>610</v>
      </c>
      <c r="J161" t="s">
        <v>71</v>
      </c>
      <c r="K161" s="2" t="str">
        <f>HYPERLINK("http://collections.slsa.sa.gov.au/arthur/05750/BRG347_5525.htm")</f>
        <v>http://collections.slsa.sa.gov.au/arthur/05750/BRG347_5525.htm</v>
      </c>
    </row>
    <row r="162" spans="1:11" x14ac:dyDescent="0.25">
      <c r="A162" t="s">
        <v>611</v>
      </c>
      <c r="B162" s="1" t="str">
        <f>HYPERLINK("https://www.catalog.slsa.sa.gov.au/record=b2116533")</f>
        <v>https://www.catalog.slsa.sa.gov.au/record=b2116533</v>
      </c>
      <c r="C162" s="1" t="str">
        <f>HYPERLINK("https://www.catalog.slsa.sa.gov.au/xrecord=b2116533")</f>
        <v>https://www.catalog.slsa.sa.gov.au/xrecord=b2116533</v>
      </c>
      <c r="D162" t="s">
        <v>66</v>
      </c>
      <c r="E162" t="s">
        <v>612</v>
      </c>
      <c r="F162">
        <v>1950</v>
      </c>
      <c r="G162" t="s">
        <v>121</v>
      </c>
      <c r="H162" t="s">
        <v>613</v>
      </c>
      <c r="I162" t="s">
        <v>614</v>
      </c>
      <c r="J162" t="s">
        <v>71</v>
      </c>
      <c r="K162" s="2" t="str">
        <f>HYPERLINK("http://collections.slsa.sa.gov.au/arthur/05750/BRG347_5548.htm")</f>
        <v>http://collections.slsa.sa.gov.au/arthur/05750/BRG347_5548.htm</v>
      </c>
    </row>
    <row r="163" spans="1:11" x14ac:dyDescent="0.25">
      <c r="A163" t="s">
        <v>615</v>
      </c>
      <c r="B163" s="1" t="str">
        <f>HYPERLINK("https://www.catalog.slsa.sa.gov.au/record=b2116735")</f>
        <v>https://www.catalog.slsa.sa.gov.au/record=b2116735</v>
      </c>
      <c r="C163" s="1" t="str">
        <f>HYPERLINK("https://www.catalog.slsa.sa.gov.au/xrecord=b2116735")</f>
        <v>https://www.catalog.slsa.sa.gov.au/xrecord=b2116735</v>
      </c>
      <c r="D163" t="s">
        <v>66</v>
      </c>
      <c r="E163" t="s">
        <v>616</v>
      </c>
      <c r="F163">
        <v>1950</v>
      </c>
      <c r="G163" t="s">
        <v>121</v>
      </c>
      <c r="H163" t="s">
        <v>617</v>
      </c>
      <c r="I163" t="s">
        <v>618</v>
      </c>
      <c r="J163" t="s">
        <v>71</v>
      </c>
      <c r="K163" s="2" t="str">
        <f>HYPERLINK("http://collections.slsa.sa.gov.au/arthur/05750/BRG347_5632.htm")</f>
        <v>http://collections.slsa.sa.gov.au/arthur/05750/BRG347_5632.htm</v>
      </c>
    </row>
    <row r="164" spans="1:11" x14ac:dyDescent="0.25">
      <c r="A164" t="s">
        <v>619</v>
      </c>
      <c r="B164" s="1" t="str">
        <f>HYPERLINK("https://www.catalog.slsa.sa.gov.au/record=b2116794")</f>
        <v>https://www.catalog.slsa.sa.gov.au/record=b2116794</v>
      </c>
      <c r="C164" s="1" t="str">
        <f>HYPERLINK("https://www.catalog.slsa.sa.gov.au/xrecord=b2116794")</f>
        <v>https://www.catalog.slsa.sa.gov.au/xrecord=b2116794</v>
      </c>
      <c r="D164" t="s">
        <v>66</v>
      </c>
      <c r="E164" t="s">
        <v>620</v>
      </c>
      <c r="F164">
        <v>1950</v>
      </c>
      <c r="G164" t="s">
        <v>121</v>
      </c>
      <c r="H164" t="s">
        <v>621</v>
      </c>
      <c r="I164" t="s">
        <v>622</v>
      </c>
      <c r="J164" t="s">
        <v>71</v>
      </c>
      <c r="K164" s="2" t="str">
        <f>HYPERLINK("http://collections.slsa.sa.gov.au/arthur/05750/BRG347_5686.htm")</f>
        <v>http://collections.slsa.sa.gov.au/arthur/05750/BRG347_5686.htm</v>
      </c>
    </row>
    <row r="165" spans="1:11" x14ac:dyDescent="0.25">
      <c r="A165" t="s">
        <v>623</v>
      </c>
      <c r="B165" s="1" t="str">
        <f>HYPERLINK("https://www.catalog.slsa.sa.gov.au/record=b2116866")</f>
        <v>https://www.catalog.slsa.sa.gov.au/record=b2116866</v>
      </c>
      <c r="C165" s="1" t="str">
        <f>HYPERLINK("https://www.catalog.slsa.sa.gov.au/xrecord=b2116866")</f>
        <v>https://www.catalog.slsa.sa.gov.au/xrecord=b2116866</v>
      </c>
      <c r="D165" t="s">
        <v>66</v>
      </c>
      <c r="E165" t="s">
        <v>624</v>
      </c>
      <c r="F165">
        <v>1950</v>
      </c>
      <c r="G165" t="s">
        <v>121</v>
      </c>
      <c r="H165" t="s">
        <v>625</v>
      </c>
      <c r="I165" t="s">
        <v>626</v>
      </c>
      <c r="J165" t="s">
        <v>71</v>
      </c>
      <c r="K165" s="2" t="str">
        <f>HYPERLINK("http://collections.slsa.sa.gov.au/arthur/05750/BRG347_5694.htm")</f>
        <v>http://collections.slsa.sa.gov.au/arthur/05750/BRG347_5694.htm</v>
      </c>
    </row>
    <row r="166" spans="1:11" x14ac:dyDescent="0.25">
      <c r="A166" t="s">
        <v>627</v>
      </c>
      <c r="B166" s="1" t="str">
        <f>HYPERLINK("https://www.catalog.slsa.sa.gov.au/record=b2116867")</f>
        <v>https://www.catalog.slsa.sa.gov.au/record=b2116867</v>
      </c>
      <c r="C166" s="1" t="str">
        <f>HYPERLINK("https://www.catalog.slsa.sa.gov.au/xrecord=b2116867")</f>
        <v>https://www.catalog.slsa.sa.gov.au/xrecord=b2116867</v>
      </c>
      <c r="D166" t="s">
        <v>66</v>
      </c>
      <c r="E166" t="s">
        <v>628</v>
      </c>
      <c r="F166">
        <v>1950</v>
      </c>
      <c r="G166" t="s">
        <v>121</v>
      </c>
      <c r="H166" t="s">
        <v>629</v>
      </c>
      <c r="I166" t="s">
        <v>630</v>
      </c>
      <c r="J166" t="s">
        <v>71</v>
      </c>
      <c r="K166" s="2" t="str">
        <f>HYPERLINK("http://collections.slsa.sa.gov.au/arthur/05750/BRG347_5696.htm")</f>
        <v>http://collections.slsa.sa.gov.au/arthur/05750/BRG347_5696.htm</v>
      </c>
    </row>
    <row r="167" spans="1:11" x14ac:dyDescent="0.25">
      <c r="A167" t="s">
        <v>631</v>
      </c>
      <c r="B167" s="1" t="str">
        <f>HYPERLINK("https://www.catalog.slsa.sa.gov.au/record=b2116868")</f>
        <v>https://www.catalog.slsa.sa.gov.au/record=b2116868</v>
      </c>
      <c r="C167" s="1" t="str">
        <f>HYPERLINK("https://www.catalog.slsa.sa.gov.au/xrecord=b2116868")</f>
        <v>https://www.catalog.slsa.sa.gov.au/xrecord=b2116868</v>
      </c>
      <c r="D167" t="s">
        <v>66</v>
      </c>
      <c r="E167" t="s">
        <v>632</v>
      </c>
      <c r="F167">
        <v>1950</v>
      </c>
      <c r="G167" t="s">
        <v>121</v>
      </c>
      <c r="H167" t="s">
        <v>633</v>
      </c>
      <c r="I167" t="s">
        <v>634</v>
      </c>
      <c r="J167" t="s">
        <v>71</v>
      </c>
      <c r="K167" s="2" t="str">
        <f>HYPERLINK("http://collections.slsa.sa.gov.au/arthur/05750/BRG347_5697.htm")</f>
        <v>http://collections.slsa.sa.gov.au/arthur/05750/BRG347_5697.htm</v>
      </c>
    </row>
    <row r="168" spans="1:11" x14ac:dyDescent="0.25">
      <c r="A168" t="s">
        <v>635</v>
      </c>
      <c r="B168" s="1" t="str">
        <f>HYPERLINK("https://www.catalog.slsa.sa.gov.au/record=b2116869")</f>
        <v>https://www.catalog.slsa.sa.gov.au/record=b2116869</v>
      </c>
      <c r="C168" s="1" t="str">
        <f>HYPERLINK("https://www.catalog.slsa.sa.gov.au/xrecord=b2116869")</f>
        <v>https://www.catalog.slsa.sa.gov.au/xrecord=b2116869</v>
      </c>
      <c r="D168" t="s">
        <v>66</v>
      </c>
      <c r="E168" t="s">
        <v>636</v>
      </c>
      <c r="F168">
        <v>1950</v>
      </c>
      <c r="G168" t="s">
        <v>121</v>
      </c>
      <c r="H168" t="s">
        <v>637</v>
      </c>
      <c r="I168" t="s">
        <v>638</v>
      </c>
      <c r="J168" t="s">
        <v>71</v>
      </c>
      <c r="K168" s="2" t="str">
        <f>HYPERLINK("http://collections.slsa.sa.gov.au/arthur/05750/BRG347_5698.htm")</f>
        <v>http://collections.slsa.sa.gov.au/arthur/05750/BRG347_5698.htm</v>
      </c>
    </row>
    <row r="169" spans="1:11" x14ac:dyDescent="0.25">
      <c r="A169" t="s">
        <v>639</v>
      </c>
      <c r="B169" s="1" t="str">
        <f>HYPERLINK("https://www.catalog.slsa.sa.gov.au/record=b2116870")</f>
        <v>https://www.catalog.slsa.sa.gov.au/record=b2116870</v>
      </c>
      <c r="C169" s="1" t="str">
        <f>HYPERLINK("https://www.catalog.slsa.sa.gov.au/xrecord=b2116870")</f>
        <v>https://www.catalog.slsa.sa.gov.au/xrecord=b2116870</v>
      </c>
      <c r="D169" t="s">
        <v>66</v>
      </c>
      <c r="E169" t="s">
        <v>640</v>
      </c>
      <c r="F169">
        <v>1950</v>
      </c>
      <c r="G169" t="s">
        <v>121</v>
      </c>
      <c r="H169" t="s">
        <v>641</v>
      </c>
      <c r="I169" t="s">
        <v>642</v>
      </c>
      <c r="J169" t="s">
        <v>71</v>
      </c>
      <c r="K169" s="2" t="str">
        <f>HYPERLINK("http://collections.slsa.sa.gov.au/arthur/05750/BRG347_5699.htm")</f>
        <v>http://collections.slsa.sa.gov.au/arthur/05750/BRG347_5699.htm</v>
      </c>
    </row>
    <row r="170" spans="1:11" x14ac:dyDescent="0.25">
      <c r="A170" t="s">
        <v>643</v>
      </c>
      <c r="B170" s="1" t="str">
        <f>HYPERLINK("https://www.catalog.slsa.sa.gov.au/record=b2116871")</f>
        <v>https://www.catalog.slsa.sa.gov.au/record=b2116871</v>
      </c>
      <c r="C170" s="1" t="str">
        <f>HYPERLINK("https://www.catalog.slsa.sa.gov.au/xrecord=b2116871")</f>
        <v>https://www.catalog.slsa.sa.gov.au/xrecord=b2116871</v>
      </c>
      <c r="D170" t="s">
        <v>66</v>
      </c>
      <c r="E170" t="s">
        <v>644</v>
      </c>
      <c r="F170">
        <v>1950</v>
      </c>
      <c r="G170" t="s">
        <v>121</v>
      </c>
      <c r="H170" t="s">
        <v>645</v>
      </c>
      <c r="I170" t="s">
        <v>646</v>
      </c>
      <c r="J170" t="s">
        <v>71</v>
      </c>
      <c r="K170" s="2" t="str">
        <f>HYPERLINK("http://collections.slsa.sa.gov.au/arthur/05750/BRG347_5700.htm")</f>
        <v>http://collections.slsa.sa.gov.au/arthur/05750/BRG347_5700.htm</v>
      </c>
    </row>
    <row r="171" spans="1:11" x14ac:dyDescent="0.25">
      <c r="A171" t="s">
        <v>647</v>
      </c>
      <c r="B171" s="1" t="str">
        <f>HYPERLINK("https://www.catalog.slsa.sa.gov.au/record=b2116872")</f>
        <v>https://www.catalog.slsa.sa.gov.au/record=b2116872</v>
      </c>
      <c r="C171" s="1" t="str">
        <f>HYPERLINK("https://www.catalog.slsa.sa.gov.au/xrecord=b2116872")</f>
        <v>https://www.catalog.slsa.sa.gov.au/xrecord=b2116872</v>
      </c>
      <c r="D171" t="s">
        <v>66</v>
      </c>
      <c r="E171" t="s">
        <v>648</v>
      </c>
      <c r="F171">
        <v>1950</v>
      </c>
      <c r="G171" t="s">
        <v>121</v>
      </c>
      <c r="H171" t="s">
        <v>649</v>
      </c>
      <c r="I171" t="s">
        <v>650</v>
      </c>
      <c r="J171" t="s">
        <v>71</v>
      </c>
      <c r="K171" s="2" t="str">
        <f>HYPERLINK("http://collections.slsa.sa.gov.au/arthur/05750/BRG347_5701.htm")</f>
        <v>http://collections.slsa.sa.gov.au/arthur/05750/BRG347_5701.htm</v>
      </c>
    </row>
    <row r="172" spans="1:11" x14ac:dyDescent="0.25">
      <c r="A172" t="s">
        <v>651</v>
      </c>
      <c r="B172" s="1" t="str">
        <f>HYPERLINK("https://www.catalog.slsa.sa.gov.au/record=b2122357")</f>
        <v>https://www.catalog.slsa.sa.gov.au/record=b2122357</v>
      </c>
      <c r="C172" s="1" t="str">
        <f>HYPERLINK("https://www.catalog.slsa.sa.gov.au/xrecord=b2122357")</f>
        <v>https://www.catalog.slsa.sa.gov.au/xrecord=b2122357</v>
      </c>
      <c r="D172" t="s">
        <v>66</v>
      </c>
      <c r="E172" t="s">
        <v>652</v>
      </c>
      <c r="F172">
        <v>1950</v>
      </c>
      <c r="G172" t="s">
        <v>121</v>
      </c>
      <c r="H172" t="s">
        <v>653</v>
      </c>
      <c r="I172" t="s">
        <v>654</v>
      </c>
      <c r="J172" t="s">
        <v>71</v>
      </c>
      <c r="K172" s="2" t="str">
        <f>HYPERLINK("http://collections.slsa.sa.gov.au/arthur/05750/BRG347_5702.htm")</f>
        <v>http://collections.slsa.sa.gov.au/arthur/05750/BRG347_5702.htm</v>
      </c>
    </row>
    <row r="173" spans="1:11" x14ac:dyDescent="0.25">
      <c r="A173" t="s">
        <v>655</v>
      </c>
      <c r="B173" s="1" t="str">
        <f>HYPERLINK("https://www.catalog.slsa.sa.gov.au/record=b2116873")</f>
        <v>https://www.catalog.slsa.sa.gov.au/record=b2116873</v>
      </c>
      <c r="C173" s="1" t="str">
        <f>HYPERLINK("https://www.catalog.slsa.sa.gov.au/xrecord=b2116873")</f>
        <v>https://www.catalog.slsa.sa.gov.au/xrecord=b2116873</v>
      </c>
      <c r="D173" t="s">
        <v>66</v>
      </c>
      <c r="E173" t="s">
        <v>656</v>
      </c>
      <c r="F173">
        <v>1950</v>
      </c>
      <c r="G173" t="s">
        <v>121</v>
      </c>
      <c r="H173" t="s">
        <v>657</v>
      </c>
      <c r="I173" t="s">
        <v>658</v>
      </c>
      <c r="J173" t="s">
        <v>71</v>
      </c>
      <c r="K173" s="2" t="str">
        <f>HYPERLINK("http://collections.slsa.sa.gov.au/arthur/05750/BRG347_5703.htm")</f>
        <v>http://collections.slsa.sa.gov.au/arthur/05750/BRG347_5703.htm</v>
      </c>
    </row>
    <row r="174" spans="1:11" x14ac:dyDescent="0.25">
      <c r="A174" t="s">
        <v>659</v>
      </c>
      <c r="B174" s="1" t="str">
        <f>HYPERLINK("https://www.catalog.slsa.sa.gov.au/record=b2116874")</f>
        <v>https://www.catalog.slsa.sa.gov.au/record=b2116874</v>
      </c>
      <c r="C174" s="1" t="str">
        <f>HYPERLINK("https://www.catalog.slsa.sa.gov.au/xrecord=b2116874")</f>
        <v>https://www.catalog.slsa.sa.gov.au/xrecord=b2116874</v>
      </c>
      <c r="D174" t="s">
        <v>66</v>
      </c>
      <c r="E174" t="s">
        <v>660</v>
      </c>
      <c r="F174">
        <v>1950</v>
      </c>
      <c r="G174" t="s">
        <v>121</v>
      </c>
      <c r="H174" t="s">
        <v>661</v>
      </c>
      <c r="I174" t="s">
        <v>662</v>
      </c>
      <c r="J174" t="s">
        <v>71</v>
      </c>
      <c r="K174" s="2" t="str">
        <f>HYPERLINK("http://collections.slsa.sa.gov.au/arthur/05750/BRG347_5704.htm")</f>
        <v>http://collections.slsa.sa.gov.au/arthur/05750/BRG347_5704.htm</v>
      </c>
    </row>
    <row r="175" spans="1:11" x14ac:dyDescent="0.25">
      <c r="A175" t="s">
        <v>663</v>
      </c>
      <c r="B175" s="1" t="str">
        <f>HYPERLINK("https://www.catalog.slsa.sa.gov.au/record=b2116875")</f>
        <v>https://www.catalog.slsa.sa.gov.au/record=b2116875</v>
      </c>
      <c r="C175" s="1" t="str">
        <f>HYPERLINK("https://www.catalog.slsa.sa.gov.au/xrecord=b2116875")</f>
        <v>https://www.catalog.slsa.sa.gov.au/xrecord=b2116875</v>
      </c>
      <c r="D175" t="s">
        <v>66</v>
      </c>
      <c r="E175" t="s">
        <v>664</v>
      </c>
      <c r="F175">
        <v>1950</v>
      </c>
      <c r="G175" t="s">
        <v>121</v>
      </c>
      <c r="H175" t="s">
        <v>665</v>
      </c>
      <c r="I175" t="s">
        <v>666</v>
      </c>
      <c r="J175" t="s">
        <v>71</v>
      </c>
      <c r="K175" s="2" t="str">
        <f>HYPERLINK("http://collections.slsa.sa.gov.au/arthur/05750/BRG347_5705.htm")</f>
        <v>http://collections.slsa.sa.gov.au/arthur/05750/BRG347_5705.htm</v>
      </c>
    </row>
    <row r="176" spans="1:11" x14ac:dyDescent="0.25">
      <c r="A176" t="s">
        <v>667</v>
      </c>
      <c r="B176" s="1" t="str">
        <f>HYPERLINK("https://www.catalog.slsa.sa.gov.au/record=b2116877")</f>
        <v>https://www.catalog.slsa.sa.gov.au/record=b2116877</v>
      </c>
      <c r="C176" s="1" t="str">
        <f>HYPERLINK("https://www.catalog.slsa.sa.gov.au/xrecord=b2116877")</f>
        <v>https://www.catalog.slsa.sa.gov.au/xrecord=b2116877</v>
      </c>
      <c r="D176" t="s">
        <v>66</v>
      </c>
      <c r="E176" t="s">
        <v>668</v>
      </c>
      <c r="F176">
        <v>1950</v>
      </c>
      <c r="G176" t="s">
        <v>121</v>
      </c>
      <c r="H176" t="s">
        <v>669</v>
      </c>
      <c r="I176" t="s">
        <v>670</v>
      </c>
      <c r="J176" t="s">
        <v>71</v>
      </c>
      <c r="K176" s="2" t="str">
        <f>HYPERLINK("http://collections.slsa.sa.gov.au/arthur/05750/BRG347_5707.htm")</f>
        <v>http://collections.slsa.sa.gov.au/arthur/05750/BRG347_5707.htm</v>
      </c>
    </row>
    <row r="177" spans="1:11" x14ac:dyDescent="0.25">
      <c r="A177" t="s">
        <v>671</v>
      </c>
      <c r="B177" s="1" t="str">
        <f>HYPERLINK("https://www.catalog.slsa.sa.gov.au/record=b2116878")</f>
        <v>https://www.catalog.slsa.sa.gov.au/record=b2116878</v>
      </c>
      <c r="C177" s="1" t="str">
        <f>HYPERLINK("https://www.catalog.slsa.sa.gov.au/xrecord=b2116878")</f>
        <v>https://www.catalog.slsa.sa.gov.au/xrecord=b2116878</v>
      </c>
      <c r="D177" t="s">
        <v>66</v>
      </c>
      <c r="E177" t="s">
        <v>672</v>
      </c>
      <c r="F177">
        <v>1950</v>
      </c>
      <c r="G177" t="s">
        <v>121</v>
      </c>
      <c r="H177" t="s">
        <v>673</v>
      </c>
      <c r="I177" t="s">
        <v>674</v>
      </c>
      <c r="J177" t="s">
        <v>71</v>
      </c>
      <c r="K177" s="2" t="str">
        <f>HYPERLINK("http://collections.slsa.sa.gov.au/arthur/05750/BRG347_5708.htm")</f>
        <v>http://collections.slsa.sa.gov.au/arthur/05750/BRG347_5708.htm</v>
      </c>
    </row>
    <row r="178" spans="1:11" x14ac:dyDescent="0.25">
      <c r="A178" t="s">
        <v>675</v>
      </c>
      <c r="B178" s="1" t="str">
        <f>HYPERLINK("https://www.catalog.slsa.sa.gov.au/record=b2116879")</f>
        <v>https://www.catalog.slsa.sa.gov.au/record=b2116879</v>
      </c>
      <c r="C178" s="1" t="str">
        <f>HYPERLINK("https://www.catalog.slsa.sa.gov.au/xrecord=b2116879")</f>
        <v>https://www.catalog.slsa.sa.gov.au/xrecord=b2116879</v>
      </c>
      <c r="D178" t="s">
        <v>66</v>
      </c>
      <c r="E178" t="s">
        <v>676</v>
      </c>
      <c r="F178">
        <v>1950</v>
      </c>
      <c r="G178" t="s">
        <v>121</v>
      </c>
      <c r="H178" t="s">
        <v>677</v>
      </c>
      <c r="I178" t="s">
        <v>678</v>
      </c>
      <c r="J178" t="s">
        <v>71</v>
      </c>
      <c r="K178" s="2" t="str">
        <f>HYPERLINK("http://collections.slsa.sa.gov.au/arthur/05750/BRG347_5709.htm")</f>
        <v>http://collections.slsa.sa.gov.au/arthur/05750/BRG347_5709.htm</v>
      </c>
    </row>
    <row r="179" spans="1:11" x14ac:dyDescent="0.25">
      <c r="A179" t="s">
        <v>679</v>
      </c>
      <c r="B179" s="1" t="str">
        <f>HYPERLINK("https://www.catalog.slsa.sa.gov.au/record=b2116880")</f>
        <v>https://www.catalog.slsa.sa.gov.au/record=b2116880</v>
      </c>
      <c r="C179" s="1" t="str">
        <f>HYPERLINK("https://www.catalog.slsa.sa.gov.au/xrecord=b2116880")</f>
        <v>https://www.catalog.slsa.sa.gov.au/xrecord=b2116880</v>
      </c>
      <c r="D179" t="s">
        <v>66</v>
      </c>
      <c r="E179" t="s">
        <v>680</v>
      </c>
      <c r="F179">
        <v>1950</v>
      </c>
      <c r="G179" t="s">
        <v>121</v>
      </c>
      <c r="H179" t="s">
        <v>681</v>
      </c>
      <c r="I179" t="s">
        <v>682</v>
      </c>
      <c r="J179" t="s">
        <v>71</v>
      </c>
      <c r="K179" s="2" t="str">
        <f>HYPERLINK("http://collections.slsa.sa.gov.au/arthur/05750/BRG347_5710.htm")</f>
        <v>http://collections.slsa.sa.gov.au/arthur/05750/BRG347_5710.htm</v>
      </c>
    </row>
    <row r="180" spans="1:11" x14ac:dyDescent="0.25">
      <c r="A180" t="s">
        <v>683</v>
      </c>
      <c r="B180" s="1" t="str">
        <f>HYPERLINK("https://www.catalog.slsa.sa.gov.au/record=b2116881")</f>
        <v>https://www.catalog.slsa.sa.gov.au/record=b2116881</v>
      </c>
      <c r="C180" s="1" t="str">
        <f>HYPERLINK("https://www.catalog.slsa.sa.gov.au/xrecord=b2116881")</f>
        <v>https://www.catalog.slsa.sa.gov.au/xrecord=b2116881</v>
      </c>
      <c r="D180" t="s">
        <v>66</v>
      </c>
      <c r="E180" t="s">
        <v>684</v>
      </c>
      <c r="F180">
        <v>1950</v>
      </c>
      <c r="G180" t="s">
        <v>121</v>
      </c>
      <c r="H180" t="s">
        <v>685</v>
      </c>
      <c r="I180" t="s">
        <v>686</v>
      </c>
      <c r="J180" t="s">
        <v>71</v>
      </c>
      <c r="K180" s="2" t="str">
        <f>HYPERLINK("http://collections.slsa.sa.gov.au/arthur/05750/BRG347_5711.htm")</f>
        <v>http://collections.slsa.sa.gov.au/arthur/05750/BRG347_5711.htm</v>
      </c>
    </row>
    <row r="181" spans="1:11" x14ac:dyDescent="0.25">
      <c r="A181" t="s">
        <v>687</v>
      </c>
      <c r="B181" s="1" t="str">
        <f>HYPERLINK("https://www.catalog.slsa.sa.gov.au/record=b2116882")</f>
        <v>https://www.catalog.slsa.sa.gov.au/record=b2116882</v>
      </c>
      <c r="C181" s="1" t="str">
        <f>HYPERLINK("https://www.catalog.slsa.sa.gov.au/xrecord=b2116882")</f>
        <v>https://www.catalog.slsa.sa.gov.au/xrecord=b2116882</v>
      </c>
      <c r="D181" t="s">
        <v>66</v>
      </c>
      <c r="E181" t="s">
        <v>688</v>
      </c>
      <c r="F181">
        <v>1950</v>
      </c>
      <c r="G181" t="s">
        <v>121</v>
      </c>
      <c r="H181" t="s">
        <v>689</v>
      </c>
      <c r="I181" t="s">
        <v>690</v>
      </c>
      <c r="J181" t="s">
        <v>71</v>
      </c>
      <c r="K181" s="2" t="str">
        <f>HYPERLINK("http://collections.slsa.sa.gov.au/arthur/05750/BRG347_5712.htm")</f>
        <v>http://collections.slsa.sa.gov.au/arthur/05750/BRG347_5712.htm</v>
      </c>
    </row>
    <row r="182" spans="1:11" x14ac:dyDescent="0.25">
      <c r="A182" t="s">
        <v>691</v>
      </c>
      <c r="B182" s="1" t="str">
        <f>HYPERLINK("https://www.catalog.slsa.sa.gov.au/record=b2116883")</f>
        <v>https://www.catalog.slsa.sa.gov.au/record=b2116883</v>
      </c>
      <c r="C182" s="1" t="str">
        <f>HYPERLINK("https://www.catalog.slsa.sa.gov.au/xrecord=b2116883")</f>
        <v>https://www.catalog.slsa.sa.gov.au/xrecord=b2116883</v>
      </c>
      <c r="D182" t="s">
        <v>66</v>
      </c>
      <c r="E182" t="s">
        <v>692</v>
      </c>
      <c r="F182">
        <v>1950</v>
      </c>
      <c r="G182" t="s">
        <v>121</v>
      </c>
      <c r="H182" t="s">
        <v>693</v>
      </c>
      <c r="I182" t="s">
        <v>694</v>
      </c>
      <c r="J182" t="s">
        <v>71</v>
      </c>
      <c r="K182" s="2" t="str">
        <f>HYPERLINK("http://collections.slsa.sa.gov.au/arthur/05750/BRG347_5713.htm")</f>
        <v>http://collections.slsa.sa.gov.au/arthur/05750/BRG347_5713.htm</v>
      </c>
    </row>
    <row r="183" spans="1:11" x14ac:dyDescent="0.25">
      <c r="A183" t="s">
        <v>695</v>
      </c>
      <c r="B183" s="1" t="str">
        <f>HYPERLINK("https://www.catalog.slsa.sa.gov.au/record=b2116884")</f>
        <v>https://www.catalog.slsa.sa.gov.au/record=b2116884</v>
      </c>
      <c r="C183" s="1" t="str">
        <f>HYPERLINK("https://www.catalog.slsa.sa.gov.au/xrecord=b2116884")</f>
        <v>https://www.catalog.slsa.sa.gov.au/xrecord=b2116884</v>
      </c>
      <c r="D183" t="s">
        <v>66</v>
      </c>
      <c r="E183" t="s">
        <v>696</v>
      </c>
      <c r="F183">
        <v>1950</v>
      </c>
      <c r="G183" t="s">
        <v>121</v>
      </c>
      <c r="H183" t="s">
        <v>697</v>
      </c>
      <c r="I183" t="s">
        <v>698</v>
      </c>
      <c r="J183" t="s">
        <v>71</v>
      </c>
      <c r="K183" s="2" t="str">
        <f>HYPERLINK("http://collections.slsa.sa.gov.au/arthur/05750/BRG347_5714.htm")</f>
        <v>http://collections.slsa.sa.gov.au/arthur/05750/BRG347_5714.htm</v>
      </c>
    </row>
    <row r="184" spans="1:11" x14ac:dyDescent="0.25">
      <c r="A184" t="s">
        <v>699</v>
      </c>
      <c r="B184" s="1" t="str">
        <f>HYPERLINK("https://www.catalog.slsa.sa.gov.au/record=b2116885")</f>
        <v>https://www.catalog.slsa.sa.gov.au/record=b2116885</v>
      </c>
      <c r="C184" s="1" t="str">
        <f>HYPERLINK("https://www.catalog.slsa.sa.gov.au/xrecord=b2116885")</f>
        <v>https://www.catalog.slsa.sa.gov.au/xrecord=b2116885</v>
      </c>
      <c r="D184" t="s">
        <v>66</v>
      </c>
      <c r="E184" t="s">
        <v>700</v>
      </c>
      <c r="F184">
        <v>1950</v>
      </c>
      <c r="G184" t="s">
        <v>121</v>
      </c>
      <c r="H184" t="s">
        <v>701</v>
      </c>
      <c r="I184" t="s">
        <v>702</v>
      </c>
      <c r="J184" t="s">
        <v>71</v>
      </c>
      <c r="K184" s="2" t="str">
        <f>HYPERLINK("http://collections.slsa.sa.gov.au/arthur/05750/BRG347_5715.htm")</f>
        <v>http://collections.slsa.sa.gov.au/arthur/05750/BRG347_5715.htm</v>
      </c>
    </row>
    <row r="185" spans="1:11" x14ac:dyDescent="0.25">
      <c r="A185" t="s">
        <v>703</v>
      </c>
      <c r="B185" s="1" t="str">
        <f>HYPERLINK("https://www.catalog.slsa.sa.gov.au/record=b2116886")</f>
        <v>https://www.catalog.slsa.sa.gov.au/record=b2116886</v>
      </c>
      <c r="C185" s="1" t="str">
        <f>HYPERLINK("https://www.catalog.slsa.sa.gov.au/xrecord=b2116886")</f>
        <v>https://www.catalog.slsa.sa.gov.au/xrecord=b2116886</v>
      </c>
      <c r="D185" t="s">
        <v>66</v>
      </c>
      <c r="E185" t="s">
        <v>704</v>
      </c>
      <c r="F185">
        <v>1950</v>
      </c>
      <c r="G185" t="s">
        <v>121</v>
      </c>
      <c r="H185" t="s">
        <v>705</v>
      </c>
      <c r="I185" t="s">
        <v>706</v>
      </c>
      <c r="J185" t="s">
        <v>71</v>
      </c>
      <c r="K185" s="2" t="str">
        <f>HYPERLINK("http://collections.slsa.sa.gov.au/arthur/05750/BRG347_5716.htm")</f>
        <v>http://collections.slsa.sa.gov.au/arthur/05750/BRG347_5716.htm</v>
      </c>
    </row>
    <row r="186" spans="1:11" x14ac:dyDescent="0.25">
      <c r="A186" t="s">
        <v>707</v>
      </c>
      <c r="B186" s="1" t="str">
        <f>HYPERLINK("https://www.catalog.slsa.sa.gov.au/record=b2116887")</f>
        <v>https://www.catalog.slsa.sa.gov.au/record=b2116887</v>
      </c>
      <c r="C186" s="1" t="str">
        <f>HYPERLINK("https://www.catalog.slsa.sa.gov.au/xrecord=b2116887")</f>
        <v>https://www.catalog.slsa.sa.gov.au/xrecord=b2116887</v>
      </c>
      <c r="D186" t="s">
        <v>66</v>
      </c>
      <c r="E186" t="s">
        <v>708</v>
      </c>
      <c r="F186">
        <v>1950</v>
      </c>
      <c r="G186" t="s">
        <v>121</v>
      </c>
      <c r="H186" t="s">
        <v>709</v>
      </c>
      <c r="I186" t="s">
        <v>710</v>
      </c>
      <c r="J186" t="s">
        <v>71</v>
      </c>
      <c r="K186" s="2" t="str">
        <f>HYPERLINK("http://collections.slsa.sa.gov.au/arthur/05750/BRG347_5717.htm")</f>
        <v>http://collections.slsa.sa.gov.au/arthur/05750/BRG347_5717.htm</v>
      </c>
    </row>
    <row r="187" spans="1:11" x14ac:dyDescent="0.25">
      <c r="A187" t="s">
        <v>711</v>
      </c>
      <c r="B187" s="1" t="str">
        <f>HYPERLINK("https://www.catalog.slsa.sa.gov.au/record=b2116888")</f>
        <v>https://www.catalog.slsa.sa.gov.au/record=b2116888</v>
      </c>
      <c r="C187" s="1" t="str">
        <f>HYPERLINK("https://www.catalog.slsa.sa.gov.au/xrecord=b2116888")</f>
        <v>https://www.catalog.slsa.sa.gov.au/xrecord=b2116888</v>
      </c>
      <c r="D187" t="s">
        <v>66</v>
      </c>
      <c r="E187" t="s">
        <v>712</v>
      </c>
      <c r="F187">
        <v>1950</v>
      </c>
      <c r="G187" t="s">
        <v>121</v>
      </c>
      <c r="H187" t="s">
        <v>713</v>
      </c>
      <c r="I187" t="s">
        <v>714</v>
      </c>
      <c r="J187" t="s">
        <v>71</v>
      </c>
      <c r="K187" s="2" t="str">
        <f>HYPERLINK("http://collections.slsa.sa.gov.au/arthur/05750/BRG347_5718.htm")</f>
        <v>http://collections.slsa.sa.gov.au/arthur/05750/BRG347_5718.htm</v>
      </c>
    </row>
    <row r="188" spans="1:11" x14ac:dyDescent="0.25">
      <c r="A188" t="s">
        <v>715</v>
      </c>
      <c r="B188" s="1" t="str">
        <f>HYPERLINK("https://www.catalog.slsa.sa.gov.au/record=b2116889")</f>
        <v>https://www.catalog.slsa.sa.gov.au/record=b2116889</v>
      </c>
      <c r="C188" s="1" t="str">
        <f>HYPERLINK("https://www.catalog.slsa.sa.gov.au/xrecord=b2116889")</f>
        <v>https://www.catalog.slsa.sa.gov.au/xrecord=b2116889</v>
      </c>
      <c r="D188" t="s">
        <v>66</v>
      </c>
      <c r="E188" t="s">
        <v>716</v>
      </c>
      <c r="F188">
        <v>1950</v>
      </c>
      <c r="G188" t="s">
        <v>121</v>
      </c>
      <c r="H188" t="s">
        <v>717</v>
      </c>
      <c r="I188" t="s">
        <v>718</v>
      </c>
      <c r="J188" t="s">
        <v>71</v>
      </c>
      <c r="K188" s="2" t="str">
        <f>HYPERLINK("http://collections.slsa.sa.gov.au/arthur/05750/BRG347_5719.htm")</f>
        <v>http://collections.slsa.sa.gov.au/arthur/05750/BRG347_5719.htm</v>
      </c>
    </row>
    <row r="189" spans="1:11" x14ac:dyDescent="0.25">
      <c r="A189" t="s">
        <v>719</v>
      </c>
      <c r="B189" s="1" t="str">
        <f>HYPERLINK("https://www.catalog.slsa.sa.gov.au/record=b2116890")</f>
        <v>https://www.catalog.slsa.sa.gov.au/record=b2116890</v>
      </c>
      <c r="C189" s="1" t="str">
        <f>HYPERLINK("https://www.catalog.slsa.sa.gov.au/xrecord=b2116890")</f>
        <v>https://www.catalog.slsa.sa.gov.au/xrecord=b2116890</v>
      </c>
      <c r="D189" t="s">
        <v>66</v>
      </c>
      <c r="E189" t="s">
        <v>720</v>
      </c>
      <c r="F189">
        <v>1950</v>
      </c>
      <c r="G189" t="s">
        <v>121</v>
      </c>
      <c r="H189" t="s">
        <v>721</v>
      </c>
      <c r="I189" t="s">
        <v>722</v>
      </c>
      <c r="J189" t="s">
        <v>71</v>
      </c>
      <c r="K189" s="2" t="str">
        <f>HYPERLINK("http://collections.slsa.sa.gov.au/arthur/05750/BRG347_5720.htm")</f>
        <v>http://collections.slsa.sa.gov.au/arthur/05750/BRG347_5720.htm</v>
      </c>
    </row>
    <row r="190" spans="1:11" x14ac:dyDescent="0.25">
      <c r="A190" t="s">
        <v>723</v>
      </c>
      <c r="B190" s="1" t="str">
        <f>HYPERLINK("https://www.catalog.slsa.sa.gov.au/record=b2116891")</f>
        <v>https://www.catalog.slsa.sa.gov.au/record=b2116891</v>
      </c>
      <c r="C190" s="1" t="str">
        <f>HYPERLINK("https://www.catalog.slsa.sa.gov.au/xrecord=b2116891")</f>
        <v>https://www.catalog.slsa.sa.gov.au/xrecord=b2116891</v>
      </c>
      <c r="D190" t="s">
        <v>66</v>
      </c>
      <c r="E190" t="s">
        <v>724</v>
      </c>
      <c r="F190">
        <v>1950</v>
      </c>
      <c r="G190" t="s">
        <v>121</v>
      </c>
      <c r="H190" t="s">
        <v>725</v>
      </c>
      <c r="I190" t="s">
        <v>726</v>
      </c>
      <c r="J190" t="s">
        <v>71</v>
      </c>
      <c r="K190" s="2" t="str">
        <f>HYPERLINK("http://collections.slsa.sa.gov.au/arthur/05750/BRG347_5721.htm")</f>
        <v>http://collections.slsa.sa.gov.au/arthur/05750/BRG347_5721.htm</v>
      </c>
    </row>
    <row r="191" spans="1:11" x14ac:dyDescent="0.25">
      <c r="A191" t="s">
        <v>727</v>
      </c>
      <c r="B191" s="1" t="str">
        <f>HYPERLINK("https://www.catalog.slsa.sa.gov.au/record=b2116892")</f>
        <v>https://www.catalog.slsa.sa.gov.au/record=b2116892</v>
      </c>
      <c r="C191" s="1" t="str">
        <f>HYPERLINK("https://www.catalog.slsa.sa.gov.au/xrecord=b2116892")</f>
        <v>https://www.catalog.slsa.sa.gov.au/xrecord=b2116892</v>
      </c>
      <c r="D191" t="s">
        <v>66</v>
      </c>
      <c r="E191" t="s">
        <v>728</v>
      </c>
      <c r="F191">
        <v>1950</v>
      </c>
      <c r="G191" t="s">
        <v>121</v>
      </c>
      <c r="H191" t="s">
        <v>729</v>
      </c>
      <c r="I191" t="s">
        <v>730</v>
      </c>
      <c r="J191" t="s">
        <v>71</v>
      </c>
      <c r="K191" s="2" t="str">
        <f>HYPERLINK("http://collections.slsa.sa.gov.au/arthur/05750/BRG347_5722.htm")</f>
        <v>http://collections.slsa.sa.gov.au/arthur/05750/BRG347_5722.htm</v>
      </c>
    </row>
    <row r="192" spans="1:11" x14ac:dyDescent="0.25">
      <c r="A192" t="s">
        <v>731</v>
      </c>
      <c r="B192" s="1" t="str">
        <f>HYPERLINK("https://www.catalog.slsa.sa.gov.au/record=b2116893")</f>
        <v>https://www.catalog.slsa.sa.gov.au/record=b2116893</v>
      </c>
      <c r="C192" s="1" t="str">
        <f>HYPERLINK("https://www.catalog.slsa.sa.gov.au/xrecord=b2116893")</f>
        <v>https://www.catalog.slsa.sa.gov.au/xrecord=b2116893</v>
      </c>
      <c r="D192" t="s">
        <v>66</v>
      </c>
      <c r="E192" t="s">
        <v>732</v>
      </c>
      <c r="F192">
        <v>1950</v>
      </c>
      <c r="G192" t="s">
        <v>121</v>
      </c>
      <c r="H192" t="s">
        <v>733</v>
      </c>
      <c r="I192" t="s">
        <v>734</v>
      </c>
      <c r="J192" t="s">
        <v>71</v>
      </c>
      <c r="K192" s="2" t="str">
        <f>HYPERLINK("http://collections.slsa.sa.gov.au/arthur/05750/BRG347_5723.htm")</f>
        <v>http://collections.slsa.sa.gov.au/arthur/05750/BRG347_5723.htm</v>
      </c>
    </row>
    <row r="193" spans="1:11" x14ac:dyDescent="0.25">
      <c r="A193" t="s">
        <v>735</v>
      </c>
      <c r="B193" s="1" t="str">
        <f>HYPERLINK("https://www.catalog.slsa.sa.gov.au/record=b2116894")</f>
        <v>https://www.catalog.slsa.sa.gov.au/record=b2116894</v>
      </c>
      <c r="C193" s="1" t="str">
        <f>HYPERLINK("https://www.catalog.slsa.sa.gov.au/xrecord=b2116894")</f>
        <v>https://www.catalog.slsa.sa.gov.au/xrecord=b2116894</v>
      </c>
      <c r="D193" t="s">
        <v>66</v>
      </c>
      <c r="E193" t="s">
        <v>736</v>
      </c>
      <c r="F193">
        <v>1950</v>
      </c>
      <c r="G193" t="s">
        <v>121</v>
      </c>
      <c r="H193" t="s">
        <v>737</v>
      </c>
      <c r="I193" t="s">
        <v>738</v>
      </c>
      <c r="J193" t="s">
        <v>71</v>
      </c>
      <c r="K193" s="2" t="str">
        <f>HYPERLINK("http://collections.slsa.sa.gov.au/arthur/05750/BRG347_5724.htm")</f>
        <v>http://collections.slsa.sa.gov.au/arthur/05750/BRG347_5724.htm</v>
      </c>
    </row>
    <row r="194" spans="1:11" x14ac:dyDescent="0.25">
      <c r="A194" t="s">
        <v>739</v>
      </c>
      <c r="B194" s="1" t="str">
        <f>HYPERLINK("https://www.catalog.slsa.sa.gov.au/record=b2116895")</f>
        <v>https://www.catalog.slsa.sa.gov.au/record=b2116895</v>
      </c>
      <c r="C194" s="1" t="str">
        <f>HYPERLINK("https://www.catalog.slsa.sa.gov.au/xrecord=b2116895")</f>
        <v>https://www.catalog.slsa.sa.gov.au/xrecord=b2116895</v>
      </c>
      <c r="D194" t="s">
        <v>66</v>
      </c>
      <c r="E194" t="s">
        <v>740</v>
      </c>
      <c r="F194">
        <v>1950</v>
      </c>
      <c r="G194" t="s">
        <v>121</v>
      </c>
      <c r="H194" t="s">
        <v>741</v>
      </c>
      <c r="I194" t="s">
        <v>742</v>
      </c>
      <c r="J194" t="s">
        <v>71</v>
      </c>
      <c r="K194" s="2" t="str">
        <f>HYPERLINK("http://collections.slsa.sa.gov.au/arthur/05750/BRG347_5725.htm")</f>
        <v>http://collections.slsa.sa.gov.au/arthur/05750/BRG347_5725.htm</v>
      </c>
    </row>
    <row r="195" spans="1:11" x14ac:dyDescent="0.25">
      <c r="A195" t="s">
        <v>743</v>
      </c>
      <c r="B195" s="1" t="str">
        <f>HYPERLINK("https://www.catalog.slsa.sa.gov.au/record=b2116896")</f>
        <v>https://www.catalog.slsa.sa.gov.au/record=b2116896</v>
      </c>
      <c r="C195" s="1" t="str">
        <f>HYPERLINK("https://www.catalog.slsa.sa.gov.au/xrecord=b2116896")</f>
        <v>https://www.catalog.slsa.sa.gov.au/xrecord=b2116896</v>
      </c>
      <c r="D195" t="s">
        <v>66</v>
      </c>
      <c r="E195" t="s">
        <v>744</v>
      </c>
      <c r="F195">
        <v>1950</v>
      </c>
      <c r="G195" t="s">
        <v>121</v>
      </c>
      <c r="H195" t="s">
        <v>745</v>
      </c>
      <c r="I195" t="s">
        <v>746</v>
      </c>
      <c r="J195" t="s">
        <v>71</v>
      </c>
      <c r="K195" s="2" t="str">
        <f>HYPERLINK("http://collections.slsa.sa.gov.au/arthur/05750/BRG347_5726.htm")</f>
        <v>http://collections.slsa.sa.gov.au/arthur/05750/BRG347_5726.htm</v>
      </c>
    </row>
    <row r="196" spans="1:11" x14ac:dyDescent="0.25">
      <c r="A196" t="s">
        <v>747</v>
      </c>
      <c r="B196" s="1" t="str">
        <f>HYPERLINK("https://www.catalog.slsa.sa.gov.au/record=b2116897")</f>
        <v>https://www.catalog.slsa.sa.gov.au/record=b2116897</v>
      </c>
      <c r="C196" s="1" t="str">
        <f>HYPERLINK("https://www.catalog.slsa.sa.gov.au/xrecord=b2116897")</f>
        <v>https://www.catalog.slsa.sa.gov.au/xrecord=b2116897</v>
      </c>
      <c r="D196" t="s">
        <v>66</v>
      </c>
      <c r="E196" t="s">
        <v>748</v>
      </c>
      <c r="F196">
        <v>1950</v>
      </c>
      <c r="G196" t="s">
        <v>121</v>
      </c>
      <c r="H196" t="s">
        <v>749</v>
      </c>
      <c r="I196" t="s">
        <v>750</v>
      </c>
      <c r="J196" t="s">
        <v>71</v>
      </c>
      <c r="K196" s="2" t="str">
        <f>HYPERLINK("http://collections.slsa.sa.gov.au/arthur/05750/BRG347_5727.htm")</f>
        <v>http://collections.slsa.sa.gov.au/arthur/05750/BRG347_5727.htm</v>
      </c>
    </row>
    <row r="197" spans="1:11" x14ac:dyDescent="0.25">
      <c r="A197" t="s">
        <v>751</v>
      </c>
      <c r="B197" s="1" t="str">
        <f>HYPERLINK("https://www.catalog.slsa.sa.gov.au/record=b2116898")</f>
        <v>https://www.catalog.slsa.sa.gov.au/record=b2116898</v>
      </c>
      <c r="C197" s="1" t="str">
        <f>HYPERLINK("https://www.catalog.slsa.sa.gov.au/xrecord=b2116898")</f>
        <v>https://www.catalog.slsa.sa.gov.au/xrecord=b2116898</v>
      </c>
      <c r="D197" t="s">
        <v>66</v>
      </c>
      <c r="E197" t="s">
        <v>752</v>
      </c>
      <c r="F197">
        <v>1950</v>
      </c>
      <c r="G197" t="s">
        <v>121</v>
      </c>
      <c r="H197" t="s">
        <v>753</v>
      </c>
      <c r="I197" t="s">
        <v>754</v>
      </c>
      <c r="J197" t="s">
        <v>71</v>
      </c>
      <c r="K197" s="2" t="str">
        <f>HYPERLINK("http://collections.slsa.sa.gov.au/arthur/05750/BRG347_5728.htm")</f>
        <v>http://collections.slsa.sa.gov.au/arthur/05750/BRG347_5728.htm</v>
      </c>
    </row>
    <row r="198" spans="1:11" x14ac:dyDescent="0.25">
      <c r="A198" t="s">
        <v>755</v>
      </c>
      <c r="B198" s="1" t="str">
        <f>HYPERLINK("https://www.catalog.slsa.sa.gov.au/record=b2116899")</f>
        <v>https://www.catalog.slsa.sa.gov.au/record=b2116899</v>
      </c>
      <c r="C198" s="1" t="str">
        <f>HYPERLINK("https://www.catalog.slsa.sa.gov.au/xrecord=b2116899")</f>
        <v>https://www.catalog.slsa.sa.gov.au/xrecord=b2116899</v>
      </c>
      <c r="D198" t="s">
        <v>66</v>
      </c>
      <c r="E198" t="s">
        <v>756</v>
      </c>
      <c r="F198">
        <v>1950</v>
      </c>
      <c r="G198" t="s">
        <v>121</v>
      </c>
      <c r="H198" t="s">
        <v>757</v>
      </c>
      <c r="I198" t="s">
        <v>758</v>
      </c>
      <c r="J198" t="s">
        <v>71</v>
      </c>
      <c r="K198" s="2" t="str">
        <f>HYPERLINK("http://collections.slsa.sa.gov.au/arthur/05750/BRG347_5729.htm")</f>
        <v>http://collections.slsa.sa.gov.au/arthur/05750/BRG347_5729.htm</v>
      </c>
    </row>
    <row r="199" spans="1:11" x14ac:dyDescent="0.25">
      <c r="A199" t="s">
        <v>759</v>
      </c>
      <c r="B199" s="1" t="str">
        <f>HYPERLINK("https://www.catalog.slsa.sa.gov.au/record=b2116900")</f>
        <v>https://www.catalog.slsa.sa.gov.au/record=b2116900</v>
      </c>
      <c r="C199" s="1" t="str">
        <f>HYPERLINK("https://www.catalog.slsa.sa.gov.au/xrecord=b2116900")</f>
        <v>https://www.catalog.slsa.sa.gov.au/xrecord=b2116900</v>
      </c>
      <c r="D199" t="s">
        <v>66</v>
      </c>
      <c r="E199" t="s">
        <v>760</v>
      </c>
      <c r="F199">
        <v>1950</v>
      </c>
      <c r="G199" t="s">
        <v>121</v>
      </c>
      <c r="H199" t="s">
        <v>761</v>
      </c>
      <c r="I199" t="s">
        <v>762</v>
      </c>
      <c r="J199" t="s">
        <v>71</v>
      </c>
      <c r="K199" s="2" t="str">
        <f>HYPERLINK("http://collections.slsa.sa.gov.au/arthur/05750/BRG347_5730.htm")</f>
        <v>http://collections.slsa.sa.gov.au/arthur/05750/BRG347_5730.htm</v>
      </c>
    </row>
    <row r="200" spans="1:11" x14ac:dyDescent="0.25">
      <c r="A200" t="s">
        <v>763</v>
      </c>
      <c r="B200" s="1" t="str">
        <f>HYPERLINK("https://www.catalog.slsa.sa.gov.au/record=b2116901")</f>
        <v>https://www.catalog.slsa.sa.gov.au/record=b2116901</v>
      </c>
      <c r="C200" s="1" t="str">
        <f>HYPERLINK("https://www.catalog.slsa.sa.gov.au/xrecord=b2116901")</f>
        <v>https://www.catalog.slsa.sa.gov.au/xrecord=b2116901</v>
      </c>
      <c r="D200" t="s">
        <v>66</v>
      </c>
      <c r="E200" t="s">
        <v>764</v>
      </c>
      <c r="F200">
        <v>1950</v>
      </c>
      <c r="G200" t="s">
        <v>121</v>
      </c>
      <c r="H200" t="s">
        <v>765</v>
      </c>
      <c r="I200" t="s">
        <v>766</v>
      </c>
      <c r="J200" t="s">
        <v>71</v>
      </c>
      <c r="K200" s="2" t="str">
        <f>HYPERLINK("http://collections.slsa.sa.gov.au/arthur/05750/BRG347_5731.htm")</f>
        <v>http://collections.slsa.sa.gov.au/arthur/05750/BRG347_5731.htm</v>
      </c>
    </row>
    <row r="201" spans="1:11" x14ac:dyDescent="0.25">
      <c r="A201" t="s">
        <v>767</v>
      </c>
      <c r="B201" s="1" t="str">
        <f>HYPERLINK("https://www.catalog.slsa.sa.gov.au/record=b2116903")</f>
        <v>https://www.catalog.slsa.sa.gov.au/record=b2116903</v>
      </c>
      <c r="C201" s="1" t="str">
        <f>HYPERLINK("https://www.catalog.slsa.sa.gov.au/xrecord=b2116903")</f>
        <v>https://www.catalog.slsa.sa.gov.au/xrecord=b2116903</v>
      </c>
      <c r="D201" t="s">
        <v>66</v>
      </c>
      <c r="E201" t="s">
        <v>768</v>
      </c>
      <c r="F201">
        <v>1950</v>
      </c>
      <c r="G201" t="s">
        <v>121</v>
      </c>
      <c r="H201" t="s">
        <v>769</v>
      </c>
      <c r="I201" t="s">
        <v>770</v>
      </c>
      <c r="J201" t="s">
        <v>71</v>
      </c>
      <c r="K201" s="2" t="str">
        <f>HYPERLINK("http://collections.slsa.sa.gov.au/arthur/05750/BRG347_5733.htm")</f>
        <v>http://collections.slsa.sa.gov.au/arthur/05750/BRG347_5733.htm</v>
      </c>
    </row>
    <row r="202" spans="1:11" x14ac:dyDescent="0.25">
      <c r="A202" t="s">
        <v>771</v>
      </c>
      <c r="B202" s="1" t="str">
        <f>HYPERLINK("https://www.catalog.slsa.sa.gov.au/record=b2116904")</f>
        <v>https://www.catalog.slsa.sa.gov.au/record=b2116904</v>
      </c>
      <c r="C202" s="1" t="str">
        <f>HYPERLINK("https://www.catalog.slsa.sa.gov.au/xrecord=b2116904")</f>
        <v>https://www.catalog.slsa.sa.gov.au/xrecord=b2116904</v>
      </c>
      <c r="D202" t="s">
        <v>66</v>
      </c>
      <c r="E202" t="s">
        <v>772</v>
      </c>
      <c r="F202">
        <v>1950</v>
      </c>
      <c r="G202" t="s">
        <v>121</v>
      </c>
      <c r="H202" t="s">
        <v>773</v>
      </c>
      <c r="I202" t="s">
        <v>774</v>
      </c>
      <c r="J202" t="s">
        <v>71</v>
      </c>
      <c r="K202" s="2" t="str">
        <f>HYPERLINK("http://collections.slsa.sa.gov.au/arthur/05750/BRG347_5734.htm")</f>
        <v>http://collections.slsa.sa.gov.au/arthur/05750/BRG347_5734.htm</v>
      </c>
    </row>
    <row r="203" spans="1:11" x14ac:dyDescent="0.25">
      <c r="A203" t="s">
        <v>775</v>
      </c>
      <c r="B203" s="1" t="str">
        <f>HYPERLINK("https://www.catalog.slsa.sa.gov.au/record=b2116905")</f>
        <v>https://www.catalog.slsa.sa.gov.au/record=b2116905</v>
      </c>
      <c r="C203" s="1" t="str">
        <f>HYPERLINK("https://www.catalog.slsa.sa.gov.au/xrecord=b2116905")</f>
        <v>https://www.catalog.slsa.sa.gov.au/xrecord=b2116905</v>
      </c>
      <c r="D203" t="s">
        <v>66</v>
      </c>
      <c r="E203" t="s">
        <v>776</v>
      </c>
      <c r="F203">
        <v>1950</v>
      </c>
      <c r="G203" t="s">
        <v>121</v>
      </c>
      <c r="H203" t="s">
        <v>777</v>
      </c>
      <c r="I203" t="s">
        <v>778</v>
      </c>
      <c r="J203" t="s">
        <v>71</v>
      </c>
      <c r="K203" s="2" t="str">
        <f>HYPERLINK("http://collections.slsa.sa.gov.au/arthur/05750/BRG347_5735.htm")</f>
        <v>http://collections.slsa.sa.gov.au/arthur/05750/BRG347_5735.htm</v>
      </c>
    </row>
    <row r="204" spans="1:11" x14ac:dyDescent="0.25">
      <c r="A204" t="s">
        <v>779</v>
      </c>
      <c r="B204" s="1" t="str">
        <f>HYPERLINK("https://www.catalog.slsa.sa.gov.au/record=b2116907")</f>
        <v>https://www.catalog.slsa.sa.gov.au/record=b2116907</v>
      </c>
      <c r="C204" s="1" t="str">
        <f>HYPERLINK("https://www.catalog.slsa.sa.gov.au/xrecord=b2116907")</f>
        <v>https://www.catalog.slsa.sa.gov.au/xrecord=b2116907</v>
      </c>
      <c r="D204" t="s">
        <v>66</v>
      </c>
      <c r="E204" t="s">
        <v>780</v>
      </c>
      <c r="F204">
        <v>1950</v>
      </c>
      <c r="G204" t="s">
        <v>781</v>
      </c>
      <c r="H204" t="s">
        <v>782</v>
      </c>
      <c r="I204" t="s">
        <v>783</v>
      </c>
      <c r="J204" t="s">
        <v>71</v>
      </c>
      <c r="K204" s="2" t="str">
        <f>HYPERLINK("http://collections.slsa.sa.gov.au/arthur/05750/BRG347_5737.htm")</f>
        <v>http://collections.slsa.sa.gov.au/arthur/05750/BRG347_5737.htm</v>
      </c>
    </row>
    <row r="205" spans="1:11" x14ac:dyDescent="0.25">
      <c r="A205" t="s">
        <v>784</v>
      </c>
      <c r="B205" s="1" t="str">
        <f>HYPERLINK("https://www.catalog.slsa.sa.gov.au/record=b2116909")</f>
        <v>https://www.catalog.slsa.sa.gov.au/record=b2116909</v>
      </c>
      <c r="C205" s="1" t="str">
        <f>HYPERLINK("https://www.catalog.slsa.sa.gov.au/xrecord=b2116909")</f>
        <v>https://www.catalog.slsa.sa.gov.au/xrecord=b2116909</v>
      </c>
      <c r="D205" t="s">
        <v>66</v>
      </c>
      <c r="E205" t="s">
        <v>785</v>
      </c>
      <c r="F205">
        <v>1950</v>
      </c>
      <c r="G205" t="s">
        <v>121</v>
      </c>
      <c r="H205" t="s">
        <v>786</v>
      </c>
      <c r="I205" t="s">
        <v>787</v>
      </c>
      <c r="J205" t="s">
        <v>71</v>
      </c>
      <c r="K205" s="2" t="str">
        <f>HYPERLINK("http://collections.slsa.sa.gov.au/arthur/05750/BRG347_5739.htm")</f>
        <v>http://collections.slsa.sa.gov.au/arthur/05750/BRG347_5739.htm</v>
      </c>
    </row>
    <row r="206" spans="1:11" x14ac:dyDescent="0.25">
      <c r="A206" t="s">
        <v>788</v>
      </c>
      <c r="B206" s="1" t="str">
        <f>HYPERLINK("https://www.catalog.slsa.sa.gov.au/record=b2116910")</f>
        <v>https://www.catalog.slsa.sa.gov.au/record=b2116910</v>
      </c>
      <c r="C206" s="1" t="str">
        <f>HYPERLINK("https://www.catalog.slsa.sa.gov.au/xrecord=b2116910")</f>
        <v>https://www.catalog.slsa.sa.gov.au/xrecord=b2116910</v>
      </c>
      <c r="D206" t="s">
        <v>66</v>
      </c>
      <c r="E206" t="s">
        <v>789</v>
      </c>
      <c r="F206">
        <v>1950</v>
      </c>
      <c r="G206" t="s">
        <v>121</v>
      </c>
      <c r="H206" t="s">
        <v>790</v>
      </c>
      <c r="I206" t="s">
        <v>791</v>
      </c>
      <c r="J206" t="s">
        <v>71</v>
      </c>
      <c r="K206" s="2" t="str">
        <f>HYPERLINK("http://collections.slsa.sa.gov.au/arthur/05750/BRG347_5740.htm")</f>
        <v>http://collections.slsa.sa.gov.au/arthur/05750/BRG347_5740.htm</v>
      </c>
    </row>
    <row r="207" spans="1:11" x14ac:dyDescent="0.25">
      <c r="A207" t="s">
        <v>792</v>
      </c>
      <c r="B207" s="1" t="str">
        <f>HYPERLINK("https://www.catalog.slsa.sa.gov.au/record=b2116911")</f>
        <v>https://www.catalog.slsa.sa.gov.au/record=b2116911</v>
      </c>
      <c r="C207" s="1" t="str">
        <f>HYPERLINK("https://www.catalog.slsa.sa.gov.au/xrecord=b2116911")</f>
        <v>https://www.catalog.slsa.sa.gov.au/xrecord=b2116911</v>
      </c>
      <c r="D207" t="s">
        <v>66</v>
      </c>
      <c r="E207" t="s">
        <v>793</v>
      </c>
      <c r="F207">
        <v>1950</v>
      </c>
      <c r="G207" t="s">
        <v>121</v>
      </c>
      <c r="H207" t="s">
        <v>794</v>
      </c>
      <c r="I207" t="s">
        <v>795</v>
      </c>
      <c r="J207" t="s">
        <v>71</v>
      </c>
      <c r="K207" s="2" t="str">
        <f>HYPERLINK("http://collections.slsa.sa.gov.au/arthur/05750/BRG347_5741.htm")</f>
        <v>http://collections.slsa.sa.gov.au/arthur/05750/BRG347_5741.htm</v>
      </c>
    </row>
    <row r="208" spans="1:11" x14ac:dyDescent="0.25">
      <c r="A208" t="s">
        <v>796</v>
      </c>
      <c r="B208" s="1" t="str">
        <f>HYPERLINK("https://www.catalog.slsa.sa.gov.au/record=b2116912")</f>
        <v>https://www.catalog.slsa.sa.gov.au/record=b2116912</v>
      </c>
      <c r="C208" s="1" t="str">
        <f>HYPERLINK("https://www.catalog.slsa.sa.gov.au/xrecord=b2116912")</f>
        <v>https://www.catalog.slsa.sa.gov.au/xrecord=b2116912</v>
      </c>
      <c r="D208" t="s">
        <v>66</v>
      </c>
      <c r="E208" t="s">
        <v>797</v>
      </c>
      <c r="F208">
        <v>1950</v>
      </c>
      <c r="G208" t="s">
        <v>121</v>
      </c>
      <c r="H208" t="s">
        <v>798</v>
      </c>
      <c r="I208" t="s">
        <v>799</v>
      </c>
      <c r="J208" t="s">
        <v>71</v>
      </c>
      <c r="K208" s="2" t="str">
        <f>HYPERLINK("http://collections.slsa.sa.gov.au/arthur/05750/BRG347_5742.htm")</f>
        <v>http://collections.slsa.sa.gov.au/arthur/05750/BRG347_5742.htm</v>
      </c>
    </row>
    <row r="209" spans="1:11" x14ac:dyDescent="0.25">
      <c r="A209" t="s">
        <v>800</v>
      </c>
      <c r="B209" s="1" t="str">
        <f>HYPERLINK("https://www.catalog.slsa.sa.gov.au/record=b2116913")</f>
        <v>https://www.catalog.slsa.sa.gov.au/record=b2116913</v>
      </c>
      <c r="C209" s="1" t="str">
        <f>HYPERLINK("https://www.catalog.slsa.sa.gov.au/xrecord=b2116913")</f>
        <v>https://www.catalog.slsa.sa.gov.au/xrecord=b2116913</v>
      </c>
      <c r="D209" t="s">
        <v>66</v>
      </c>
      <c r="E209" t="s">
        <v>801</v>
      </c>
      <c r="F209">
        <v>1950</v>
      </c>
      <c r="G209" t="s">
        <v>121</v>
      </c>
      <c r="H209" t="s">
        <v>802</v>
      </c>
      <c r="I209" t="s">
        <v>803</v>
      </c>
      <c r="J209" t="s">
        <v>71</v>
      </c>
      <c r="K209" s="2" t="str">
        <f>HYPERLINK("http://collections.slsa.sa.gov.au/arthur/05750/BRG347_5743.htm")</f>
        <v>http://collections.slsa.sa.gov.au/arthur/05750/BRG347_5743.htm</v>
      </c>
    </row>
    <row r="210" spans="1:11" x14ac:dyDescent="0.25">
      <c r="A210" t="s">
        <v>804</v>
      </c>
      <c r="B210" s="1" t="str">
        <f>HYPERLINK("https://www.catalog.slsa.sa.gov.au/record=b2116914")</f>
        <v>https://www.catalog.slsa.sa.gov.au/record=b2116914</v>
      </c>
      <c r="C210" s="1" t="str">
        <f>HYPERLINK("https://www.catalog.slsa.sa.gov.au/xrecord=b2116914")</f>
        <v>https://www.catalog.slsa.sa.gov.au/xrecord=b2116914</v>
      </c>
      <c r="D210" t="s">
        <v>66</v>
      </c>
      <c r="E210" t="s">
        <v>805</v>
      </c>
      <c r="F210">
        <v>1950</v>
      </c>
      <c r="G210" t="s">
        <v>121</v>
      </c>
      <c r="H210" t="s">
        <v>806</v>
      </c>
      <c r="I210" t="s">
        <v>807</v>
      </c>
      <c r="J210" t="s">
        <v>71</v>
      </c>
      <c r="K210" s="2" t="str">
        <f>HYPERLINK("http://collections.slsa.sa.gov.au/arthur/05750/BRG347_5744.htm")</f>
        <v>http://collections.slsa.sa.gov.au/arthur/05750/BRG347_5744.htm</v>
      </c>
    </row>
    <row r="211" spans="1:11" x14ac:dyDescent="0.25">
      <c r="A211" t="s">
        <v>808</v>
      </c>
      <c r="B211" s="1" t="str">
        <f>HYPERLINK("https://www.catalog.slsa.sa.gov.au/record=b2116915")</f>
        <v>https://www.catalog.slsa.sa.gov.au/record=b2116915</v>
      </c>
      <c r="C211" s="1" t="str">
        <f>HYPERLINK("https://www.catalog.slsa.sa.gov.au/xrecord=b2116915")</f>
        <v>https://www.catalog.slsa.sa.gov.au/xrecord=b2116915</v>
      </c>
      <c r="D211" t="s">
        <v>66</v>
      </c>
      <c r="E211" t="s">
        <v>809</v>
      </c>
      <c r="F211">
        <v>1950</v>
      </c>
      <c r="G211" t="s">
        <v>121</v>
      </c>
      <c r="H211" t="s">
        <v>810</v>
      </c>
      <c r="I211" t="s">
        <v>811</v>
      </c>
      <c r="J211" t="s">
        <v>71</v>
      </c>
      <c r="K211" s="2" t="str">
        <f>HYPERLINK("http://collections.slsa.sa.gov.au/arthur/05750/BRG347_5745.htm")</f>
        <v>http://collections.slsa.sa.gov.au/arthur/05750/BRG347_5745.htm</v>
      </c>
    </row>
    <row r="212" spans="1:11" x14ac:dyDescent="0.25">
      <c r="A212" t="s">
        <v>812</v>
      </c>
      <c r="B212" s="1" t="str">
        <f>HYPERLINK("https://www.catalog.slsa.sa.gov.au/record=b2116916")</f>
        <v>https://www.catalog.slsa.sa.gov.au/record=b2116916</v>
      </c>
      <c r="C212" s="1" t="str">
        <f>HYPERLINK("https://www.catalog.slsa.sa.gov.au/xrecord=b2116916")</f>
        <v>https://www.catalog.slsa.sa.gov.au/xrecord=b2116916</v>
      </c>
      <c r="D212" t="s">
        <v>66</v>
      </c>
      <c r="E212" t="s">
        <v>813</v>
      </c>
      <c r="F212">
        <v>1950</v>
      </c>
      <c r="G212" t="s">
        <v>121</v>
      </c>
      <c r="H212" t="s">
        <v>814</v>
      </c>
      <c r="I212" t="s">
        <v>815</v>
      </c>
      <c r="J212" t="s">
        <v>71</v>
      </c>
      <c r="K212" s="2" t="str">
        <f>HYPERLINK("http://collections.slsa.sa.gov.au/arthur/05750/BRG347_5746.htm")</f>
        <v>http://collections.slsa.sa.gov.au/arthur/05750/BRG347_5746.htm</v>
      </c>
    </row>
    <row r="213" spans="1:11" x14ac:dyDescent="0.25">
      <c r="A213" t="s">
        <v>816</v>
      </c>
      <c r="B213" s="1" t="str">
        <f>HYPERLINK("https://www.catalog.slsa.sa.gov.au/record=b2116917")</f>
        <v>https://www.catalog.slsa.sa.gov.au/record=b2116917</v>
      </c>
      <c r="C213" s="1" t="str">
        <f>HYPERLINK("https://www.catalog.slsa.sa.gov.au/xrecord=b2116917")</f>
        <v>https://www.catalog.slsa.sa.gov.au/xrecord=b2116917</v>
      </c>
      <c r="D213" t="s">
        <v>66</v>
      </c>
      <c r="E213" t="s">
        <v>817</v>
      </c>
      <c r="F213">
        <v>1950</v>
      </c>
      <c r="G213" t="s">
        <v>121</v>
      </c>
      <c r="H213" t="s">
        <v>818</v>
      </c>
      <c r="I213" t="s">
        <v>819</v>
      </c>
      <c r="J213" t="s">
        <v>71</v>
      </c>
      <c r="K213" s="2" t="str">
        <f>HYPERLINK("http://collections.slsa.sa.gov.au/arthur/05750/BRG347_5747.htm")</f>
        <v>http://collections.slsa.sa.gov.au/arthur/05750/BRG347_5747.htm</v>
      </c>
    </row>
    <row r="214" spans="1:11" x14ac:dyDescent="0.25">
      <c r="A214" t="s">
        <v>820</v>
      </c>
      <c r="B214" s="1" t="str">
        <f>HYPERLINK("https://www.catalog.slsa.sa.gov.au/record=b2116918")</f>
        <v>https://www.catalog.slsa.sa.gov.au/record=b2116918</v>
      </c>
      <c r="C214" s="1" t="str">
        <f>HYPERLINK("https://www.catalog.slsa.sa.gov.au/xrecord=b2116918")</f>
        <v>https://www.catalog.slsa.sa.gov.au/xrecord=b2116918</v>
      </c>
      <c r="D214" t="s">
        <v>66</v>
      </c>
      <c r="E214" t="s">
        <v>821</v>
      </c>
      <c r="F214">
        <v>1950</v>
      </c>
      <c r="G214" t="s">
        <v>121</v>
      </c>
      <c r="H214" t="s">
        <v>822</v>
      </c>
      <c r="I214" t="s">
        <v>823</v>
      </c>
      <c r="J214" t="s">
        <v>71</v>
      </c>
      <c r="K214" s="2" t="str">
        <f>HYPERLINK("http://collections.slsa.sa.gov.au/arthur/05750/BRG347_5748.htm")</f>
        <v>http://collections.slsa.sa.gov.au/arthur/05750/BRG347_5748.htm</v>
      </c>
    </row>
    <row r="215" spans="1:11" x14ac:dyDescent="0.25">
      <c r="A215" t="s">
        <v>824</v>
      </c>
      <c r="B215" s="1" t="str">
        <f>HYPERLINK("https://www.catalog.slsa.sa.gov.au/record=b2116920")</f>
        <v>https://www.catalog.slsa.sa.gov.au/record=b2116920</v>
      </c>
      <c r="C215" s="1" t="str">
        <f>HYPERLINK("https://www.catalog.slsa.sa.gov.au/xrecord=b2116920")</f>
        <v>https://www.catalog.slsa.sa.gov.au/xrecord=b2116920</v>
      </c>
      <c r="D215" t="s">
        <v>66</v>
      </c>
      <c r="E215" t="s">
        <v>825</v>
      </c>
      <c r="F215">
        <v>1950</v>
      </c>
      <c r="G215" t="s">
        <v>121</v>
      </c>
      <c r="H215" t="s">
        <v>826</v>
      </c>
      <c r="I215" t="s">
        <v>827</v>
      </c>
      <c r="J215" t="s">
        <v>71</v>
      </c>
      <c r="K215" s="2" t="str">
        <f>HYPERLINK("http://collections.slsa.sa.gov.au/arthur/05750/BRG347_5750.htm")</f>
        <v>http://collections.slsa.sa.gov.au/arthur/05750/BRG347_5750.htm</v>
      </c>
    </row>
    <row r="216" spans="1:11" x14ac:dyDescent="0.25">
      <c r="A216" t="s">
        <v>828</v>
      </c>
      <c r="B216" s="1" t="str">
        <f>HYPERLINK("https://www.catalog.slsa.sa.gov.au/record=b2116921")</f>
        <v>https://www.catalog.slsa.sa.gov.au/record=b2116921</v>
      </c>
      <c r="C216" s="1" t="str">
        <f>HYPERLINK("https://www.catalog.slsa.sa.gov.au/xrecord=b2116921")</f>
        <v>https://www.catalog.slsa.sa.gov.au/xrecord=b2116921</v>
      </c>
      <c r="D216" t="s">
        <v>66</v>
      </c>
      <c r="E216" t="s">
        <v>829</v>
      </c>
      <c r="F216">
        <v>1950</v>
      </c>
      <c r="G216" t="s">
        <v>121</v>
      </c>
      <c r="H216" t="s">
        <v>830</v>
      </c>
      <c r="I216" t="s">
        <v>831</v>
      </c>
      <c r="J216" t="s">
        <v>71</v>
      </c>
      <c r="K216" s="2" t="str">
        <f>HYPERLINK("http://collections.slsa.sa.gov.au/arthur/06000/BRG347_5751.htm")</f>
        <v>http://collections.slsa.sa.gov.au/arthur/06000/BRG347_5751.htm</v>
      </c>
    </row>
    <row r="217" spans="1:11" x14ac:dyDescent="0.25">
      <c r="A217" t="s">
        <v>832</v>
      </c>
      <c r="B217" s="1" t="str">
        <f>HYPERLINK("https://www.catalog.slsa.sa.gov.au/record=b2117298")</f>
        <v>https://www.catalog.slsa.sa.gov.au/record=b2117298</v>
      </c>
      <c r="C217" s="1" t="str">
        <f>HYPERLINK("https://www.catalog.slsa.sa.gov.au/xrecord=b2117298")</f>
        <v>https://www.catalog.slsa.sa.gov.au/xrecord=b2117298</v>
      </c>
      <c r="D217" t="s">
        <v>66</v>
      </c>
      <c r="E217" t="s">
        <v>833</v>
      </c>
      <c r="F217">
        <v>1950</v>
      </c>
      <c r="G217" t="s">
        <v>121</v>
      </c>
      <c r="H217" t="s">
        <v>834</v>
      </c>
      <c r="I217" t="s">
        <v>835</v>
      </c>
      <c r="J217" t="s">
        <v>71</v>
      </c>
      <c r="K217" s="2" t="str">
        <f>HYPERLINK("http://collections.slsa.sa.gov.au/arthur/06250/BRG347_6002.htm")</f>
        <v>http://collections.slsa.sa.gov.au/arthur/06250/BRG347_6002.htm</v>
      </c>
    </row>
    <row r="218" spans="1:11" x14ac:dyDescent="0.25">
      <c r="A218" t="s">
        <v>836</v>
      </c>
      <c r="B218" s="1" t="str">
        <f>HYPERLINK("https://www.catalog.slsa.sa.gov.au/record=b2117299")</f>
        <v>https://www.catalog.slsa.sa.gov.au/record=b2117299</v>
      </c>
      <c r="C218" s="1" t="str">
        <f>HYPERLINK("https://www.catalog.slsa.sa.gov.au/xrecord=b2117299")</f>
        <v>https://www.catalog.slsa.sa.gov.au/xrecord=b2117299</v>
      </c>
      <c r="D218" t="s">
        <v>66</v>
      </c>
      <c r="E218" t="s">
        <v>837</v>
      </c>
      <c r="F218">
        <v>1950</v>
      </c>
      <c r="G218" t="s">
        <v>121</v>
      </c>
      <c r="H218" t="s">
        <v>838</v>
      </c>
      <c r="I218" t="s">
        <v>839</v>
      </c>
      <c r="J218" t="s">
        <v>71</v>
      </c>
      <c r="K218" s="2" t="str">
        <f>HYPERLINK("http://collections.slsa.sa.gov.au/arthur/06250/BRG347_6003.htm")</f>
        <v>http://collections.slsa.sa.gov.au/arthur/06250/BRG347_6003.htm</v>
      </c>
    </row>
    <row r="219" spans="1:11" x14ac:dyDescent="0.25">
      <c r="A219" t="s">
        <v>840</v>
      </c>
      <c r="B219" s="1" t="str">
        <f>HYPERLINK("https://www.catalog.slsa.sa.gov.au/record=b2117300")</f>
        <v>https://www.catalog.slsa.sa.gov.au/record=b2117300</v>
      </c>
      <c r="C219" s="1" t="str">
        <f>HYPERLINK("https://www.catalog.slsa.sa.gov.au/xrecord=b2117300")</f>
        <v>https://www.catalog.slsa.sa.gov.au/xrecord=b2117300</v>
      </c>
      <c r="D219" t="s">
        <v>66</v>
      </c>
      <c r="E219" t="s">
        <v>841</v>
      </c>
      <c r="F219">
        <v>1950</v>
      </c>
      <c r="G219" t="s">
        <v>121</v>
      </c>
      <c r="H219" t="s">
        <v>842</v>
      </c>
      <c r="I219" t="s">
        <v>843</v>
      </c>
      <c r="J219" t="s">
        <v>71</v>
      </c>
      <c r="K219" s="2" t="str">
        <f>HYPERLINK("http://collections.slsa.sa.gov.au/arthur/06250/BRG347_6004.htm")</f>
        <v>http://collections.slsa.sa.gov.au/arthur/06250/BRG347_6004.htm</v>
      </c>
    </row>
    <row r="220" spans="1:11" x14ac:dyDescent="0.25">
      <c r="A220" t="s">
        <v>844</v>
      </c>
      <c r="B220" s="1" t="str">
        <f>HYPERLINK("https://www.catalog.slsa.sa.gov.au/record=b2117301")</f>
        <v>https://www.catalog.slsa.sa.gov.au/record=b2117301</v>
      </c>
      <c r="C220" s="1" t="str">
        <f>HYPERLINK("https://www.catalog.slsa.sa.gov.au/xrecord=b2117301")</f>
        <v>https://www.catalog.slsa.sa.gov.au/xrecord=b2117301</v>
      </c>
      <c r="D220" t="s">
        <v>66</v>
      </c>
      <c r="E220" t="s">
        <v>845</v>
      </c>
      <c r="F220">
        <v>1950</v>
      </c>
      <c r="G220" t="s">
        <v>121</v>
      </c>
      <c r="H220" t="s">
        <v>846</v>
      </c>
      <c r="I220" t="s">
        <v>847</v>
      </c>
      <c r="J220" t="s">
        <v>71</v>
      </c>
      <c r="K220" s="2" t="str">
        <f>HYPERLINK("http://collections.slsa.sa.gov.au/arthur/06250/BRG347_6005.htm")</f>
        <v>http://collections.slsa.sa.gov.au/arthur/06250/BRG347_6005.htm</v>
      </c>
    </row>
    <row r="221" spans="1:11" x14ac:dyDescent="0.25">
      <c r="A221" t="s">
        <v>848</v>
      </c>
      <c r="B221" s="1" t="str">
        <f>HYPERLINK("https://www.catalog.slsa.sa.gov.au/record=b2117302")</f>
        <v>https://www.catalog.slsa.sa.gov.au/record=b2117302</v>
      </c>
      <c r="C221" s="1" t="str">
        <f>HYPERLINK("https://www.catalog.slsa.sa.gov.au/xrecord=b2117302")</f>
        <v>https://www.catalog.slsa.sa.gov.au/xrecord=b2117302</v>
      </c>
      <c r="D221" t="s">
        <v>66</v>
      </c>
      <c r="E221" t="s">
        <v>849</v>
      </c>
      <c r="F221">
        <v>1950</v>
      </c>
      <c r="G221" t="s">
        <v>121</v>
      </c>
      <c r="H221" t="s">
        <v>850</v>
      </c>
      <c r="I221" t="s">
        <v>851</v>
      </c>
      <c r="J221" t="s">
        <v>71</v>
      </c>
      <c r="K221" s="2" t="str">
        <f>HYPERLINK("http://collections.slsa.sa.gov.au/arthur/06250/BRG347_6006.htm")</f>
        <v>http://collections.slsa.sa.gov.au/arthur/06250/BRG347_6006.htm</v>
      </c>
    </row>
    <row r="222" spans="1:11" x14ac:dyDescent="0.25">
      <c r="A222" t="s">
        <v>852</v>
      </c>
      <c r="B222" s="1" t="str">
        <f>HYPERLINK("https://www.catalog.slsa.sa.gov.au/record=b2117303")</f>
        <v>https://www.catalog.slsa.sa.gov.au/record=b2117303</v>
      </c>
      <c r="C222" s="1" t="str">
        <f>HYPERLINK("https://www.catalog.slsa.sa.gov.au/xrecord=b2117303")</f>
        <v>https://www.catalog.slsa.sa.gov.au/xrecord=b2117303</v>
      </c>
      <c r="D222" t="s">
        <v>66</v>
      </c>
      <c r="E222" t="s">
        <v>853</v>
      </c>
      <c r="F222">
        <v>1950</v>
      </c>
      <c r="G222" t="s">
        <v>121</v>
      </c>
      <c r="H222" t="s">
        <v>854</v>
      </c>
      <c r="I222" t="s">
        <v>855</v>
      </c>
      <c r="J222" t="s">
        <v>71</v>
      </c>
      <c r="K222" s="2" t="str">
        <f>HYPERLINK("http://collections.slsa.sa.gov.au/arthur/06250/BRG347_6007.htm")</f>
        <v>http://collections.slsa.sa.gov.au/arthur/06250/BRG347_6007.htm</v>
      </c>
    </row>
    <row r="223" spans="1:11" x14ac:dyDescent="0.25">
      <c r="A223" t="s">
        <v>856</v>
      </c>
      <c r="B223" s="1" t="str">
        <f>HYPERLINK("https://www.catalog.slsa.sa.gov.au/record=b2117304")</f>
        <v>https://www.catalog.slsa.sa.gov.au/record=b2117304</v>
      </c>
      <c r="C223" s="1" t="str">
        <f>HYPERLINK("https://www.catalog.slsa.sa.gov.au/xrecord=b2117304")</f>
        <v>https://www.catalog.slsa.sa.gov.au/xrecord=b2117304</v>
      </c>
      <c r="D223" t="s">
        <v>66</v>
      </c>
      <c r="E223" t="s">
        <v>857</v>
      </c>
      <c r="F223">
        <v>1950</v>
      </c>
      <c r="G223" t="s">
        <v>121</v>
      </c>
      <c r="H223" t="s">
        <v>858</v>
      </c>
      <c r="I223" t="s">
        <v>859</v>
      </c>
      <c r="J223" t="s">
        <v>71</v>
      </c>
      <c r="K223" s="2" t="str">
        <f>HYPERLINK("http://collections.slsa.sa.gov.au/arthur/06250/BRG347_6008.htm")</f>
        <v>http://collections.slsa.sa.gov.au/arthur/06250/BRG347_6008.htm</v>
      </c>
    </row>
    <row r="224" spans="1:11" x14ac:dyDescent="0.25">
      <c r="A224" t="s">
        <v>860</v>
      </c>
      <c r="B224" s="1" t="str">
        <f>HYPERLINK("https://www.catalog.slsa.sa.gov.au/record=b2117305")</f>
        <v>https://www.catalog.slsa.sa.gov.au/record=b2117305</v>
      </c>
      <c r="C224" s="1" t="str">
        <f>HYPERLINK("https://www.catalog.slsa.sa.gov.au/xrecord=b2117305")</f>
        <v>https://www.catalog.slsa.sa.gov.au/xrecord=b2117305</v>
      </c>
      <c r="D224" t="s">
        <v>66</v>
      </c>
      <c r="E224" t="s">
        <v>861</v>
      </c>
      <c r="F224">
        <v>1950</v>
      </c>
      <c r="G224" t="s">
        <v>121</v>
      </c>
      <c r="H224" t="s">
        <v>862</v>
      </c>
      <c r="I224" t="s">
        <v>863</v>
      </c>
      <c r="J224" t="s">
        <v>71</v>
      </c>
      <c r="K224" s="2" t="str">
        <f>HYPERLINK("http://collections.slsa.sa.gov.au/arthur/06250/BRG347_6009.htm")</f>
        <v>http://collections.slsa.sa.gov.au/arthur/06250/BRG347_6009.htm</v>
      </c>
    </row>
    <row r="225" spans="1:11" x14ac:dyDescent="0.25">
      <c r="A225" t="s">
        <v>864</v>
      </c>
      <c r="B225" s="1" t="str">
        <f>HYPERLINK("https://www.catalog.slsa.sa.gov.au/record=b2117306")</f>
        <v>https://www.catalog.slsa.sa.gov.au/record=b2117306</v>
      </c>
      <c r="C225" s="1" t="str">
        <f>HYPERLINK("https://www.catalog.slsa.sa.gov.au/xrecord=b2117306")</f>
        <v>https://www.catalog.slsa.sa.gov.au/xrecord=b2117306</v>
      </c>
      <c r="D225" t="s">
        <v>66</v>
      </c>
      <c r="E225" t="s">
        <v>865</v>
      </c>
      <c r="F225">
        <v>1950</v>
      </c>
      <c r="G225" t="s">
        <v>121</v>
      </c>
      <c r="H225" t="s">
        <v>866</v>
      </c>
      <c r="I225" t="s">
        <v>867</v>
      </c>
      <c r="J225" t="s">
        <v>71</v>
      </c>
      <c r="K225" s="2" t="str">
        <f>HYPERLINK("http://collections.slsa.sa.gov.au/arthur/06250/BRG347_6010.htm")</f>
        <v>http://collections.slsa.sa.gov.au/arthur/06250/BRG347_6010.htm</v>
      </c>
    </row>
    <row r="226" spans="1:11" x14ac:dyDescent="0.25">
      <c r="A226" t="s">
        <v>868</v>
      </c>
      <c r="B226" s="1" t="str">
        <f>HYPERLINK("https://www.catalog.slsa.sa.gov.au/record=b2117307")</f>
        <v>https://www.catalog.slsa.sa.gov.au/record=b2117307</v>
      </c>
      <c r="C226" s="1" t="str">
        <f>HYPERLINK("https://www.catalog.slsa.sa.gov.au/xrecord=b2117307")</f>
        <v>https://www.catalog.slsa.sa.gov.au/xrecord=b2117307</v>
      </c>
      <c r="D226" t="s">
        <v>66</v>
      </c>
      <c r="E226" t="s">
        <v>869</v>
      </c>
      <c r="F226">
        <v>1950</v>
      </c>
      <c r="G226" t="s">
        <v>121</v>
      </c>
      <c r="H226" t="s">
        <v>870</v>
      </c>
      <c r="I226" t="s">
        <v>871</v>
      </c>
      <c r="J226" t="s">
        <v>71</v>
      </c>
      <c r="K226" s="2" t="str">
        <f>HYPERLINK("http://collections.slsa.sa.gov.au/arthur/06250/BRG347_6011.htm")</f>
        <v>http://collections.slsa.sa.gov.au/arthur/06250/BRG347_6011.htm</v>
      </c>
    </row>
    <row r="227" spans="1:11" x14ac:dyDescent="0.25">
      <c r="A227" t="s">
        <v>872</v>
      </c>
      <c r="B227" s="1" t="str">
        <f>HYPERLINK("https://www.catalog.slsa.sa.gov.au/record=b2117308")</f>
        <v>https://www.catalog.slsa.sa.gov.au/record=b2117308</v>
      </c>
      <c r="C227" s="1" t="str">
        <f>HYPERLINK("https://www.catalog.slsa.sa.gov.au/xrecord=b2117308")</f>
        <v>https://www.catalog.slsa.sa.gov.au/xrecord=b2117308</v>
      </c>
      <c r="D227" t="s">
        <v>66</v>
      </c>
      <c r="E227" t="s">
        <v>873</v>
      </c>
      <c r="F227">
        <v>1950</v>
      </c>
      <c r="G227" t="s">
        <v>121</v>
      </c>
      <c r="H227" t="s">
        <v>874</v>
      </c>
      <c r="I227" t="s">
        <v>875</v>
      </c>
      <c r="J227" t="s">
        <v>71</v>
      </c>
      <c r="K227" s="2" t="str">
        <f>HYPERLINK("http://collections.slsa.sa.gov.au/arthur/06250/BRG347_6012.htm")</f>
        <v>http://collections.slsa.sa.gov.au/arthur/06250/BRG347_6012.htm</v>
      </c>
    </row>
    <row r="228" spans="1:11" x14ac:dyDescent="0.25">
      <c r="A228" t="s">
        <v>876</v>
      </c>
      <c r="B228" s="1" t="str">
        <f>HYPERLINK("https://www.catalog.slsa.sa.gov.au/record=b2117309")</f>
        <v>https://www.catalog.slsa.sa.gov.au/record=b2117309</v>
      </c>
      <c r="C228" s="1" t="str">
        <f>HYPERLINK("https://www.catalog.slsa.sa.gov.au/xrecord=b2117309")</f>
        <v>https://www.catalog.slsa.sa.gov.au/xrecord=b2117309</v>
      </c>
      <c r="D228" t="s">
        <v>66</v>
      </c>
      <c r="E228" t="s">
        <v>877</v>
      </c>
      <c r="F228">
        <v>1950</v>
      </c>
      <c r="G228" t="s">
        <v>121</v>
      </c>
      <c r="H228" t="s">
        <v>878</v>
      </c>
      <c r="I228" t="s">
        <v>879</v>
      </c>
      <c r="J228" t="s">
        <v>71</v>
      </c>
      <c r="K228" s="2" t="str">
        <f>HYPERLINK("http://collections.slsa.sa.gov.au/arthur/06250/BRG347_6013.htm")</f>
        <v>http://collections.slsa.sa.gov.au/arthur/06250/BRG347_6013.htm</v>
      </c>
    </row>
    <row r="229" spans="1:11" x14ac:dyDescent="0.25">
      <c r="A229" t="s">
        <v>880</v>
      </c>
      <c r="B229" s="1" t="str">
        <f>HYPERLINK("https://www.catalog.slsa.sa.gov.au/record=b2117310")</f>
        <v>https://www.catalog.slsa.sa.gov.au/record=b2117310</v>
      </c>
      <c r="C229" s="1" t="str">
        <f>HYPERLINK("https://www.catalog.slsa.sa.gov.au/xrecord=b2117310")</f>
        <v>https://www.catalog.slsa.sa.gov.au/xrecord=b2117310</v>
      </c>
      <c r="D229" t="s">
        <v>66</v>
      </c>
      <c r="E229" t="s">
        <v>881</v>
      </c>
      <c r="F229">
        <v>1950</v>
      </c>
      <c r="G229" t="s">
        <v>121</v>
      </c>
      <c r="H229" t="s">
        <v>882</v>
      </c>
      <c r="I229" t="s">
        <v>883</v>
      </c>
      <c r="J229" t="s">
        <v>71</v>
      </c>
      <c r="K229" s="2" t="str">
        <f>HYPERLINK("http://collections.slsa.sa.gov.au/arthur/06250/BRG347_6014.htm")</f>
        <v>http://collections.slsa.sa.gov.au/arthur/06250/BRG347_6014.htm</v>
      </c>
    </row>
    <row r="230" spans="1:11" x14ac:dyDescent="0.25">
      <c r="A230" t="s">
        <v>884</v>
      </c>
      <c r="B230" s="1" t="str">
        <f>HYPERLINK("https://www.catalog.slsa.sa.gov.au/record=b2117311")</f>
        <v>https://www.catalog.slsa.sa.gov.au/record=b2117311</v>
      </c>
      <c r="C230" s="1" t="str">
        <f>HYPERLINK("https://www.catalog.slsa.sa.gov.au/xrecord=b2117311")</f>
        <v>https://www.catalog.slsa.sa.gov.au/xrecord=b2117311</v>
      </c>
      <c r="D230" t="s">
        <v>66</v>
      </c>
      <c r="E230" t="s">
        <v>885</v>
      </c>
      <c r="F230">
        <v>1950</v>
      </c>
      <c r="G230" t="s">
        <v>121</v>
      </c>
      <c r="H230" t="s">
        <v>886</v>
      </c>
      <c r="I230" t="s">
        <v>887</v>
      </c>
      <c r="J230" t="s">
        <v>71</v>
      </c>
      <c r="K230" s="2" t="str">
        <f>HYPERLINK("http://collections.slsa.sa.gov.au/arthur/06250/BRG347_6015.htm")</f>
        <v>http://collections.slsa.sa.gov.au/arthur/06250/BRG347_6015.htm</v>
      </c>
    </row>
    <row r="231" spans="1:11" x14ac:dyDescent="0.25">
      <c r="A231" t="s">
        <v>888</v>
      </c>
      <c r="B231" s="1" t="str">
        <f>HYPERLINK("https://www.catalog.slsa.sa.gov.au/record=b2117312")</f>
        <v>https://www.catalog.slsa.sa.gov.au/record=b2117312</v>
      </c>
      <c r="C231" s="1" t="str">
        <f>HYPERLINK("https://www.catalog.slsa.sa.gov.au/xrecord=b2117312")</f>
        <v>https://www.catalog.slsa.sa.gov.au/xrecord=b2117312</v>
      </c>
      <c r="D231" t="s">
        <v>66</v>
      </c>
      <c r="E231" t="s">
        <v>889</v>
      </c>
      <c r="F231">
        <v>1950</v>
      </c>
      <c r="G231" t="s">
        <v>121</v>
      </c>
      <c r="H231" t="s">
        <v>890</v>
      </c>
      <c r="I231" t="s">
        <v>891</v>
      </c>
      <c r="J231" t="s">
        <v>71</v>
      </c>
      <c r="K231" s="2" t="str">
        <f>HYPERLINK("http://collections.slsa.sa.gov.au/arthur/06250/BRG347_6016.htm")</f>
        <v>http://collections.slsa.sa.gov.au/arthur/06250/BRG347_6016.htm</v>
      </c>
    </row>
    <row r="232" spans="1:11" x14ac:dyDescent="0.25">
      <c r="A232" t="s">
        <v>892</v>
      </c>
      <c r="B232" s="1" t="str">
        <f>HYPERLINK("https://www.catalog.slsa.sa.gov.au/record=b2117313")</f>
        <v>https://www.catalog.slsa.sa.gov.au/record=b2117313</v>
      </c>
      <c r="C232" s="1" t="str">
        <f>HYPERLINK("https://www.catalog.slsa.sa.gov.au/xrecord=b2117313")</f>
        <v>https://www.catalog.slsa.sa.gov.au/xrecord=b2117313</v>
      </c>
      <c r="D232" t="s">
        <v>66</v>
      </c>
      <c r="E232" t="s">
        <v>893</v>
      </c>
      <c r="F232">
        <v>1950</v>
      </c>
      <c r="G232" t="s">
        <v>121</v>
      </c>
      <c r="H232" t="s">
        <v>894</v>
      </c>
      <c r="I232" t="s">
        <v>895</v>
      </c>
      <c r="J232" t="s">
        <v>71</v>
      </c>
      <c r="K232" s="2" t="str">
        <f>HYPERLINK("http://collections.slsa.sa.gov.au/arthur/06250/BRG347_6017.htm")</f>
        <v>http://collections.slsa.sa.gov.au/arthur/06250/BRG347_6017.htm</v>
      </c>
    </row>
    <row r="233" spans="1:11" x14ac:dyDescent="0.25">
      <c r="A233" t="s">
        <v>896</v>
      </c>
      <c r="B233" s="1" t="str">
        <f>HYPERLINK("https://www.catalog.slsa.sa.gov.au/record=b2117314")</f>
        <v>https://www.catalog.slsa.sa.gov.au/record=b2117314</v>
      </c>
      <c r="C233" s="1" t="str">
        <f>HYPERLINK("https://www.catalog.slsa.sa.gov.au/xrecord=b2117314")</f>
        <v>https://www.catalog.slsa.sa.gov.au/xrecord=b2117314</v>
      </c>
      <c r="D233" t="s">
        <v>66</v>
      </c>
      <c r="E233" t="s">
        <v>897</v>
      </c>
      <c r="F233">
        <v>1950</v>
      </c>
      <c r="G233" t="s">
        <v>121</v>
      </c>
      <c r="H233" t="s">
        <v>898</v>
      </c>
      <c r="I233" t="s">
        <v>899</v>
      </c>
      <c r="J233" t="s">
        <v>71</v>
      </c>
      <c r="K233" s="2" t="str">
        <f>HYPERLINK("http://collections.slsa.sa.gov.au/arthur/06250/BRG347_6018.htm")</f>
        <v>http://collections.slsa.sa.gov.au/arthur/06250/BRG347_6018.htm</v>
      </c>
    </row>
    <row r="234" spans="1:11" x14ac:dyDescent="0.25">
      <c r="A234" t="s">
        <v>900</v>
      </c>
      <c r="B234" s="1" t="str">
        <f>HYPERLINK("https://www.catalog.slsa.sa.gov.au/record=b2117315")</f>
        <v>https://www.catalog.slsa.sa.gov.au/record=b2117315</v>
      </c>
      <c r="C234" s="1" t="str">
        <f>HYPERLINK("https://www.catalog.slsa.sa.gov.au/xrecord=b2117315")</f>
        <v>https://www.catalog.slsa.sa.gov.au/xrecord=b2117315</v>
      </c>
      <c r="D234" t="s">
        <v>66</v>
      </c>
      <c r="E234" t="s">
        <v>901</v>
      </c>
      <c r="F234">
        <v>1950</v>
      </c>
      <c r="G234" t="s">
        <v>121</v>
      </c>
      <c r="H234" t="s">
        <v>902</v>
      </c>
      <c r="I234" t="s">
        <v>903</v>
      </c>
      <c r="J234" t="s">
        <v>71</v>
      </c>
      <c r="K234" s="2" t="str">
        <f>HYPERLINK("http://collections.slsa.sa.gov.au/arthur/06250/BRG347_6019.htm")</f>
        <v>http://collections.slsa.sa.gov.au/arthur/06250/BRG347_6019.htm</v>
      </c>
    </row>
    <row r="235" spans="1:11" x14ac:dyDescent="0.25">
      <c r="A235" t="s">
        <v>904</v>
      </c>
      <c r="B235" s="1" t="str">
        <f>HYPERLINK("https://www.catalog.slsa.sa.gov.au/record=b2117316")</f>
        <v>https://www.catalog.slsa.sa.gov.au/record=b2117316</v>
      </c>
      <c r="C235" s="1" t="str">
        <f>HYPERLINK("https://www.catalog.slsa.sa.gov.au/xrecord=b2117316")</f>
        <v>https://www.catalog.slsa.sa.gov.au/xrecord=b2117316</v>
      </c>
      <c r="D235" t="s">
        <v>66</v>
      </c>
      <c r="E235" t="s">
        <v>905</v>
      </c>
      <c r="F235">
        <v>1950</v>
      </c>
      <c r="G235" t="s">
        <v>121</v>
      </c>
      <c r="H235" t="s">
        <v>906</v>
      </c>
      <c r="I235" t="s">
        <v>907</v>
      </c>
      <c r="J235" t="s">
        <v>71</v>
      </c>
      <c r="K235" s="2" t="str">
        <f>HYPERLINK("http://collections.slsa.sa.gov.au/arthur/06250/BRG347_6020.htm")</f>
        <v>http://collections.slsa.sa.gov.au/arthur/06250/BRG347_6020.htm</v>
      </c>
    </row>
    <row r="236" spans="1:11" x14ac:dyDescent="0.25">
      <c r="A236" t="s">
        <v>908</v>
      </c>
      <c r="B236" s="1" t="str">
        <f>HYPERLINK("https://www.catalog.slsa.sa.gov.au/record=b2117317")</f>
        <v>https://www.catalog.slsa.sa.gov.au/record=b2117317</v>
      </c>
      <c r="C236" s="1" t="str">
        <f>HYPERLINK("https://www.catalog.slsa.sa.gov.au/xrecord=b2117317")</f>
        <v>https://www.catalog.slsa.sa.gov.au/xrecord=b2117317</v>
      </c>
      <c r="D236" t="s">
        <v>66</v>
      </c>
      <c r="E236" t="s">
        <v>909</v>
      </c>
      <c r="F236">
        <v>1950</v>
      </c>
      <c r="G236" t="s">
        <v>121</v>
      </c>
      <c r="H236" t="s">
        <v>910</v>
      </c>
      <c r="I236" t="s">
        <v>911</v>
      </c>
      <c r="J236" t="s">
        <v>71</v>
      </c>
      <c r="K236" s="2" t="str">
        <f>HYPERLINK("http://collections.slsa.sa.gov.au/arthur/06250/BRG347_6021.htm")</f>
        <v>http://collections.slsa.sa.gov.au/arthur/06250/BRG347_6021.htm</v>
      </c>
    </row>
    <row r="237" spans="1:11" x14ac:dyDescent="0.25">
      <c r="A237" t="s">
        <v>912</v>
      </c>
      <c r="B237" s="1" t="str">
        <f>HYPERLINK("https://www.catalog.slsa.sa.gov.au/record=b2117319")</f>
        <v>https://www.catalog.slsa.sa.gov.au/record=b2117319</v>
      </c>
      <c r="C237" s="1" t="str">
        <f>HYPERLINK("https://www.catalog.slsa.sa.gov.au/xrecord=b2117319")</f>
        <v>https://www.catalog.slsa.sa.gov.au/xrecord=b2117319</v>
      </c>
      <c r="D237" t="s">
        <v>66</v>
      </c>
      <c r="E237" t="s">
        <v>913</v>
      </c>
      <c r="F237">
        <v>1950</v>
      </c>
      <c r="G237" t="s">
        <v>121</v>
      </c>
      <c r="H237" t="s">
        <v>914</v>
      </c>
      <c r="I237" t="s">
        <v>915</v>
      </c>
      <c r="J237" t="s">
        <v>71</v>
      </c>
      <c r="K237" s="2" t="str">
        <f>HYPERLINK("http://collections.slsa.sa.gov.au/arthur/06250/BRG347_6023.htm")</f>
        <v>http://collections.slsa.sa.gov.au/arthur/06250/BRG347_6023.htm</v>
      </c>
    </row>
    <row r="238" spans="1:11" x14ac:dyDescent="0.25">
      <c r="A238" t="s">
        <v>916</v>
      </c>
      <c r="B238" s="1" t="str">
        <f>HYPERLINK("https://www.catalog.slsa.sa.gov.au/record=b2117320")</f>
        <v>https://www.catalog.slsa.sa.gov.au/record=b2117320</v>
      </c>
      <c r="C238" s="1" t="str">
        <f>HYPERLINK("https://www.catalog.slsa.sa.gov.au/xrecord=b2117320")</f>
        <v>https://www.catalog.slsa.sa.gov.au/xrecord=b2117320</v>
      </c>
      <c r="D238" t="s">
        <v>66</v>
      </c>
      <c r="E238" t="s">
        <v>917</v>
      </c>
      <c r="F238">
        <v>1950</v>
      </c>
      <c r="G238" t="s">
        <v>121</v>
      </c>
      <c r="H238" t="s">
        <v>918</v>
      </c>
      <c r="I238" t="s">
        <v>919</v>
      </c>
      <c r="J238" t="s">
        <v>71</v>
      </c>
      <c r="K238" s="2" t="str">
        <f>HYPERLINK("http://collections.slsa.sa.gov.au/arthur/06250/BRG347_6024.htm")</f>
        <v>http://collections.slsa.sa.gov.au/arthur/06250/BRG347_6024.htm</v>
      </c>
    </row>
    <row r="239" spans="1:11" x14ac:dyDescent="0.25">
      <c r="A239" t="s">
        <v>920</v>
      </c>
      <c r="B239" s="1" t="str">
        <f>HYPERLINK("https://www.catalog.slsa.sa.gov.au/record=b2117321")</f>
        <v>https://www.catalog.slsa.sa.gov.au/record=b2117321</v>
      </c>
      <c r="C239" s="1" t="str">
        <f>HYPERLINK("https://www.catalog.slsa.sa.gov.au/xrecord=b2117321")</f>
        <v>https://www.catalog.slsa.sa.gov.au/xrecord=b2117321</v>
      </c>
      <c r="D239" t="s">
        <v>66</v>
      </c>
      <c r="E239" t="s">
        <v>921</v>
      </c>
      <c r="F239">
        <v>1950</v>
      </c>
      <c r="G239" t="s">
        <v>121</v>
      </c>
      <c r="H239" t="s">
        <v>922</v>
      </c>
      <c r="I239" t="s">
        <v>923</v>
      </c>
      <c r="J239" t="s">
        <v>71</v>
      </c>
      <c r="K239" s="2" t="str">
        <f>HYPERLINK("http://collections.slsa.sa.gov.au/arthur/06250/BRG347_6025.htm")</f>
        <v>http://collections.slsa.sa.gov.au/arthur/06250/BRG347_6025.htm</v>
      </c>
    </row>
    <row r="240" spans="1:11" x14ac:dyDescent="0.25">
      <c r="A240" t="s">
        <v>924</v>
      </c>
      <c r="B240" s="1" t="str">
        <f>HYPERLINK("https://www.catalog.slsa.sa.gov.au/record=b2117322")</f>
        <v>https://www.catalog.slsa.sa.gov.au/record=b2117322</v>
      </c>
      <c r="C240" s="1" t="str">
        <f>HYPERLINK("https://www.catalog.slsa.sa.gov.au/xrecord=b2117322")</f>
        <v>https://www.catalog.slsa.sa.gov.au/xrecord=b2117322</v>
      </c>
      <c r="D240" t="s">
        <v>66</v>
      </c>
      <c r="E240" t="s">
        <v>925</v>
      </c>
      <c r="F240">
        <v>1950</v>
      </c>
      <c r="G240" t="s">
        <v>121</v>
      </c>
      <c r="H240" t="s">
        <v>926</v>
      </c>
      <c r="I240" t="s">
        <v>927</v>
      </c>
      <c r="J240" t="s">
        <v>71</v>
      </c>
      <c r="K240" s="2" t="str">
        <f>HYPERLINK("http://collections.slsa.sa.gov.au/arthur/06250/BRG347_6026.htm")</f>
        <v>http://collections.slsa.sa.gov.au/arthur/06250/BRG347_6026.htm</v>
      </c>
    </row>
    <row r="241" spans="1:11" x14ac:dyDescent="0.25">
      <c r="A241" t="s">
        <v>928</v>
      </c>
      <c r="B241" s="1" t="str">
        <f>HYPERLINK("https://www.catalog.slsa.sa.gov.au/record=b2117323")</f>
        <v>https://www.catalog.slsa.sa.gov.au/record=b2117323</v>
      </c>
      <c r="C241" s="1" t="str">
        <f>HYPERLINK("https://www.catalog.slsa.sa.gov.au/xrecord=b2117323")</f>
        <v>https://www.catalog.slsa.sa.gov.au/xrecord=b2117323</v>
      </c>
      <c r="D241" t="s">
        <v>66</v>
      </c>
      <c r="E241" t="s">
        <v>929</v>
      </c>
      <c r="F241">
        <v>1950</v>
      </c>
      <c r="G241" t="s">
        <v>121</v>
      </c>
      <c r="H241" t="s">
        <v>930</v>
      </c>
      <c r="I241" t="s">
        <v>931</v>
      </c>
      <c r="J241" t="s">
        <v>71</v>
      </c>
      <c r="K241" s="2" t="str">
        <f>HYPERLINK("http://collections.slsa.sa.gov.au/arthur/06250/BRG347_6027.htm")</f>
        <v>http://collections.slsa.sa.gov.au/arthur/06250/BRG347_6027.htm</v>
      </c>
    </row>
    <row r="242" spans="1:11" x14ac:dyDescent="0.25">
      <c r="A242" t="s">
        <v>932</v>
      </c>
      <c r="B242" s="1" t="str">
        <f>HYPERLINK("https://www.catalog.slsa.sa.gov.au/record=b2117324")</f>
        <v>https://www.catalog.slsa.sa.gov.au/record=b2117324</v>
      </c>
      <c r="C242" s="1" t="str">
        <f>HYPERLINK("https://www.catalog.slsa.sa.gov.au/xrecord=b2117324")</f>
        <v>https://www.catalog.slsa.sa.gov.au/xrecord=b2117324</v>
      </c>
      <c r="D242" t="s">
        <v>66</v>
      </c>
      <c r="E242" t="s">
        <v>933</v>
      </c>
      <c r="F242">
        <v>1950</v>
      </c>
      <c r="G242" t="s">
        <v>121</v>
      </c>
      <c r="H242" t="s">
        <v>934</v>
      </c>
      <c r="I242" t="s">
        <v>935</v>
      </c>
      <c r="J242" t="s">
        <v>71</v>
      </c>
      <c r="K242" s="2" t="str">
        <f>HYPERLINK("http://collections.slsa.sa.gov.au/arthur/06250/BRG347_6028.htm")</f>
        <v>http://collections.slsa.sa.gov.au/arthur/06250/BRG347_6028.htm</v>
      </c>
    </row>
    <row r="243" spans="1:11" x14ac:dyDescent="0.25">
      <c r="A243" t="s">
        <v>936</v>
      </c>
      <c r="B243" s="1" t="str">
        <f>HYPERLINK("https://www.catalog.slsa.sa.gov.au/record=b2117326")</f>
        <v>https://www.catalog.slsa.sa.gov.au/record=b2117326</v>
      </c>
      <c r="C243" s="1" t="str">
        <f>HYPERLINK("https://www.catalog.slsa.sa.gov.au/xrecord=b2117326")</f>
        <v>https://www.catalog.slsa.sa.gov.au/xrecord=b2117326</v>
      </c>
      <c r="D243" t="s">
        <v>66</v>
      </c>
      <c r="E243" t="s">
        <v>937</v>
      </c>
      <c r="F243">
        <v>1950</v>
      </c>
      <c r="G243" t="s">
        <v>121</v>
      </c>
      <c r="H243" t="s">
        <v>938</v>
      </c>
      <c r="I243" t="s">
        <v>939</v>
      </c>
      <c r="J243" t="s">
        <v>71</v>
      </c>
      <c r="K243" s="2" t="str">
        <f>HYPERLINK("http://collections.slsa.sa.gov.au/arthur/06250/BRG347_6029.htm")</f>
        <v>http://collections.slsa.sa.gov.au/arthur/06250/BRG347_6029.htm</v>
      </c>
    </row>
    <row r="244" spans="1:11" x14ac:dyDescent="0.25">
      <c r="A244" t="s">
        <v>940</v>
      </c>
      <c r="B244" s="1" t="str">
        <f>HYPERLINK("https://www.catalog.slsa.sa.gov.au/record=b2117327")</f>
        <v>https://www.catalog.slsa.sa.gov.au/record=b2117327</v>
      </c>
      <c r="C244" s="1" t="str">
        <f>HYPERLINK("https://www.catalog.slsa.sa.gov.au/xrecord=b2117327")</f>
        <v>https://www.catalog.slsa.sa.gov.au/xrecord=b2117327</v>
      </c>
      <c r="D244" t="s">
        <v>66</v>
      </c>
      <c r="E244" t="s">
        <v>941</v>
      </c>
      <c r="F244">
        <v>1950</v>
      </c>
      <c r="G244" t="s">
        <v>121</v>
      </c>
      <c r="H244" t="s">
        <v>942</v>
      </c>
      <c r="I244" t="s">
        <v>943</v>
      </c>
      <c r="J244" t="s">
        <v>71</v>
      </c>
      <c r="K244" s="2" t="str">
        <f>HYPERLINK("http://collections.slsa.sa.gov.au/arthur/06250/BRG347_6030.htm")</f>
        <v>http://collections.slsa.sa.gov.au/arthur/06250/BRG347_6030.htm</v>
      </c>
    </row>
    <row r="245" spans="1:11" x14ac:dyDescent="0.25">
      <c r="A245" t="s">
        <v>944</v>
      </c>
      <c r="B245" s="1" t="str">
        <f>HYPERLINK("https://www.catalog.slsa.sa.gov.au/record=b2117328")</f>
        <v>https://www.catalog.slsa.sa.gov.au/record=b2117328</v>
      </c>
      <c r="C245" s="1" t="str">
        <f>HYPERLINK("https://www.catalog.slsa.sa.gov.au/xrecord=b2117328")</f>
        <v>https://www.catalog.slsa.sa.gov.au/xrecord=b2117328</v>
      </c>
      <c r="D245" t="s">
        <v>66</v>
      </c>
      <c r="E245" t="s">
        <v>945</v>
      </c>
      <c r="F245">
        <v>1950</v>
      </c>
      <c r="G245" t="s">
        <v>121</v>
      </c>
      <c r="H245" t="s">
        <v>946</v>
      </c>
      <c r="I245" t="s">
        <v>947</v>
      </c>
      <c r="J245" t="s">
        <v>71</v>
      </c>
      <c r="K245" s="2" t="str">
        <f>HYPERLINK("http://collections.slsa.sa.gov.au/arthur/06250/BRG347_6031.htm")</f>
        <v>http://collections.slsa.sa.gov.au/arthur/06250/BRG347_6031.htm</v>
      </c>
    </row>
    <row r="246" spans="1:11" x14ac:dyDescent="0.25">
      <c r="A246" t="s">
        <v>948</v>
      </c>
      <c r="B246" s="1" t="str">
        <f>HYPERLINK("https://www.catalog.slsa.sa.gov.au/record=b2117330")</f>
        <v>https://www.catalog.slsa.sa.gov.au/record=b2117330</v>
      </c>
      <c r="C246" s="1" t="str">
        <f>HYPERLINK("https://www.catalog.slsa.sa.gov.au/xrecord=b2117330")</f>
        <v>https://www.catalog.slsa.sa.gov.au/xrecord=b2117330</v>
      </c>
      <c r="D246" t="s">
        <v>66</v>
      </c>
      <c r="E246" t="s">
        <v>949</v>
      </c>
      <c r="F246">
        <v>1950</v>
      </c>
      <c r="G246" t="s">
        <v>121</v>
      </c>
      <c r="H246" t="s">
        <v>950</v>
      </c>
      <c r="I246" t="s">
        <v>951</v>
      </c>
      <c r="J246" t="s">
        <v>71</v>
      </c>
      <c r="K246" s="2" t="str">
        <f>HYPERLINK("http://collections.slsa.sa.gov.au/arthur/06250/BRG347_6032.htm")</f>
        <v>http://collections.slsa.sa.gov.au/arthur/06250/BRG347_6032.htm</v>
      </c>
    </row>
    <row r="247" spans="1:11" x14ac:dyDescent="0.25">
      <c r="A247" t="s">
        <v>952</v>
      </c>
      <c r="B247" s="1" t="str">
        <f>HYPERLINK("https://www.catalog.slsa.sa.gov.au/record=b2117332")</f>
        <v>https://www.catalog.slsa.sa.gov.au/record=b2117332</v>
      </c>
      <c r="C247" s="1" t="str">
        <f>HYPERLINK("https://www.catalog.slsa.sa.gov.au/xrecord=b2117332")</f>
        <v>https://www.catalog.slsa.sa.gov.au/xrecord=b2117332</v>
      </c>
      <c r="D247" t="s">
        <v>66</v>
      </c>
      <c r="E247" t="s">
        <v>953</v>
      </c>
      <c r="F247">
        <v>1950</v>
      </c>
      <c r="G247" t="s">
        <v>121</v>
      </c>
      <c r="H247" t="s">
        <v>954</v>
      </c>
      <c r="I247" t="s">
        <v>955</v>
      </c>
      <c r="J247" t="s">
        <v>71</v>
      </c>
      <c r="K247" s="2" t="str">
        <f>HYPERLINK("http://collections.slsa.sa.gov.au/arthur/06250/BRG347_6033.htm")</f>
        <v>http://collections.slsa.sa.gov.au/arthur/06250/BRG347_6033.htm</v>
      </c>
    </row>
    <row r="248" spans="1:11" x14ac:dyDescent="0.25">
      <c r="A248" t="s">
        <v>956</v>
      </c>
      <c r="B248" s="1" t="str">
        <f>HYPERLINK("https://www.catalog.slsa.sa.gov.au/record=b2117333")</f>
        <v>https://www.catalog.slsa.sa.gov.au/record=b2117333</v>
      </c>
      <c r="C248" s="1" t="str">
        <f>HYPERLINK("https://www.catalog.slsa.sa.gov.au/xrecord=b2117333")</f>
        <v>https://www.catalog.slsa.sa.gov.au/xrecord=b2117333</v>
      </c>
      <c r="D248" t="s">
        <v>66</v>
      </c>
      <c r="E248" t="s">
        <v>957</v>
      </c>
      <c r="F248">
        <v>1950</v>
      </c>
      <c r="G248" t="s">
        <v>121</v>
      </c>
      <c r="H248" t="s">
        <v>958</v>
      </c>
      <c r="I248" t="s">
        <v>959</v>
      </c>
      <c r="J248" t="s">
        <v>71</v>
      </c>
      <c r="K248" s="2" t="str">
        <f>HYPERLINK("http://collections.slsa.sa.gov.au/arthur/06250/BRG347_6034.htm")</f>
        <v>http://collections.slsa.sa.gov.au/arthur/06250/BRG347_6034.htm</v>
      </c>
    </row>
    <row r="249" spans="1:11" x14ac:dyDescent="0.25">
      <c r="A249" t="s">
        <v>960</v>
      </c>
      <c r="B249" s="1" t="str">
        <f>HYPERLINK("https://www.catalog.slsa.sa.gov.au/record=b2117334")</f>
        <v>https://www.catalog.slsa.sa.gov.au/record=b2117334</v>
      </c>
      <c r="C249" s="1" t="str">
        <f>HYPERLINK("https://www.catalog.slsa.sa.gov.au/xrecord=b2117334")</f>
        <v>https://www.catalog.slsa.sa.gov.au/xrecord=b2117334</v>
      </c>
      <c r="D249" t="s">
        <v>66</v>
      </c>
      <c r="E249" t="s">
        <v>961</v>
      </c>
      <c r="F249">
        <v>1950</v>
      </c>
      <c r="G249" t="s">
        <v>121</v>
      </c>
      <c r="H249" t="s">
        <v>962</v>
      </c>
      <c r="I249" t="s">
        <v>963</v>
      </c>
      <c r="J249" t="s">
        <v>71</v>
      </c>
      <c r="K249" s="2" t="str">
        <f>HYPERLINK("http://collections.slsa.sa.gov.au/arthur/06250/BRG347_6035.htm")</f>
        <v>http://collections.slsa.sa.gov.au/arthur/06250/BRG347_6035.htm</v>
      </c>
    </row>
    <row r="250" spans="1:11" x14ac:dyDescent="0.25">
      <c r="A250" t="s">
        <v>964</v>
      </c>
      <c r="B250" s="1" t="str">
        <f>HYPERLINK("https://www.catalog.slsa.sa.gov.au/record=b2117335")</f>
        <v>https://www.catalog.slsa.sa.gov.au/record=b2117335</v>
      </c>
      <c r="C250" s="1" t="str">
        <f>HYPERLINK("https://www.catalog.slsa.sa.gov.au/xrecord=b2117335")</f>
        <v>https://www.catalog.slsa.sa.gov.au/xrecord=b2117335</v>
      </c>
      <c r="D250" t="s">
        <v>66</v>
      </c>
      <c r="E250" t="s">
        <v>965</v>
      </c>
      <c r="F250">
        <v>1950</v>
      </c>
      <c r="G250" t="s">
        <v>121</v>
      </c>
      <c r="H250" t="s">
        <v>966</v>
      </c>
      <c r="I250" t="s">
        <v>967</v>
      </c>
      <c r="J250" t="s">
        <v>71</v>
      </c>
      <c r="K250" s="2" t="str">
        <f>HYPERLINK("http://collections.slsa.sa.gov.au/arthur/06250/BRG347_6036.htm")</f>
        <v>http://collections.slsa.sa.gov.au/arthur/06250/BRG347_6036.htm</v>
      </c>
    </row>
    <row r="251" spans="1:11" x14ac:dyDescent="0.25">
      <c r="A251" t="s">
        <v>968</v>
      </c>
      <c r="B251" s="1" t="str">
        <f>HYPERLINK("https://www.catalog.slsa.sa.gov.au/record=b2117337")</f>
        <v>https://www.catalog.slsa.sa.gov.au/record=b2117337</v>
      </c>
      <c r="C251" s="1" t="str">
        <f>HYPERLINK("https://www.catalog.slsa.sa.gov.au/xrecord=b2117337")</f>
        <v>https://www.catalog.slsa.sa.gov.au/xrecord=b2117337</v>
      </c>
      <c r="D251" t="s">
        <v>66</v>
      </c>
      <c r="E251" t="s">
        <v>969</v>
      </c>
      <c r="F251">
        <v>1950</v>
      </c>
      <c r="G251" t="s">
        <v>121</v>
      </c>
      <c r="H251" t="s">
        <v>970</v>
      </c>
      <c r="I251" t="s">
        <v>971</v>
      </c>
      <c r="J251" t="s">
        <v>71</v>
      </c>
      <c r="K251" s="2" t="str">
        <f>HYPERLINK("http://collections.slsa.sa.gov.au/arthur/06250/BRG347_6037.htm")</f>
        <v>http://collections.slsa.sa.gov.au/arthur/06250/BRG347_6037.htm</v>
      </c>
    </row>
    <row r="252" spans="1:11" x14ac:dyDescent="0.25">
      <c r="A252" t="s">
        <v>972</v>
      </c>
      <c r="B252" s="1" t="str">
        <f>HYPERLINK("https://www.catalog.slsa.sa.gov.au/record=b2117339")</f>
        <v>https://www.catalog.slsa.sa.gov.au/record=b2117339</v>
      </c>
      <c r="C252" s="1" t="str">
        <f>HYPERLINK("https://www.catalog.slsa.sa.gov.au/xrecord=b2117339")</f>
        <v>https://www.catalog.slsa.sa.gov.au/xrecord=b2117339</v>
      </c>
      <c r="D252" t="s">
        <v>66</v>
      </c>
      <c r="E252" t="s">
        <v>973</v>
      </c>
      <c r="F252">
        <v>1950</v>
      </c>
      <c r="G252" t="s">
        <v>121</v>
      </c>
      <c r="H252" t="s">
        <v>974</v>
      </c>
      <c r="I252" t="s">
        <v>975</v>
      </c>
      <c r="J252" t="s">
        <v>71</v>
      </c>
      <c r="K252" s="2" t="str">
        <f>HYPERLINK("http://collections.slsa.sa.gov.au/arthur/06250/BRG347_6038.htm")</f>
        <v>http://collections.slsa.sa.gov.au/arthur/06250/BRG347_6038.htm</v>
      </c>
    </row>
    <row r="253" spans="1:11" x14ac:dyDescent="0.25">
      <c r="A253" t="s">
        <v>976</v>
      </c>
      <c r="B253" s="1" t="str">
        <f>HYPERLINK("https://www.catalog.slsa.sa.gov.au/record=b2117340")</f>
        <v>https://www.catalog.slsa.sa.gov.au/record=b2117340</v>
      </c>
      <c r="C253" s="1" t="str">
        <f>HYPERLINK("https://www.catalog.slsa.sa.gov.au/xrecord=b2117340")</f>
        <v>https://www.catalog.slsa.sa.gov.au/xrecord=b2117340</v>
      </c>
      <c r="D253" t="s">
        <v>66</v>
      </c>
      <c r="E253" t="s">
        <v>977</v>
      </c>
      <c r="F253">
        <v>1950</v>
      </c>
      <c r="G253" t="s">
        <v>121</v>
      </c>
      <c r="H253" t="s">
        <v>978</v>
      </c>
      <c r="I253" t="s">
        <v>979</v>
      </c>
      <c r="J253" t="s">
        <v>71</v>
      </c>
      <c r="K253" s="2" t="str">
        <f>HYPERLINK("http://collections.slsa.sa.gov.au/arthur/06250/BRG347_6039.htm")</f>
        <v>http://collections.slsa.sa.gov.au/arthur/06250/BRG347_6039.htm</v>
      </c>
    </row>
    <row r="254" spans="1:11" x14ac:dyDescent="0.25">
      <c r="A254" t="s">
        <v>980</v>
      </c>
      <c r="B254" s="1" t="str">
        <f>HYPERLINK("https://www.catalog.slsa.sa.gov.au/record=b2117341")</f>
        <v>https://www.catalog.slsa.sa.gov.au/record=b2117341</v>
      </c>
      <c r="C254" s="1" t="str">
        <f>HYPERLINK("https://www.catalog.slsa.sa.gov.au/xrecord=b2117341")</f>
        <v>https://www.catalog.slsa.sa.gov.au/xrecord=b2117341</v>
      </c>
      <c r="D254" t="s">
        <v>66</v>
      </c>
      <c r="E254" t="s">
        <v>981</v>
      </c>
      <c r="F254">
        <v>1950</v>
      </c>
      <c r="G254" t="s">
        <v>121</v>
      </c>
      <c r="H254" t="s">
        <v>982</v>
      </c>
      <c r="I254" t="s">
        <v>983</v>
      </c>
      <c r="J254" t="s">
        <v>71</v>
      </c>
      <c r="K254" s="2" t="str">
        <f>HYPERLINK("http://collections.slsa.sa.gov.au/arthur/06250/BRG347_6040.htm")</f>
        <v>http://collections.slsa.sa.gov.au/arthur/06250/BRG347_6040.htm</v>
      </c>
    </row>
    <row r="255" spans="1:11" x14ac:dyDescent="0.25">
      <c r="A255" t="s">
        <v>984</v>
      </c>
      <c r="B255" s="1" t="str">
        <f>HYPERLINK("https://www.catalog.slsa.sa.gov.au/record=b2117342")</f>
        <v>https://www.catalog.slsa.sa.gov.au/record=b2117342</v>
      </c>
      <c r="C255" s="1" t="str">
        <f>HYPERLINK("https://www.catalog.slsa.sa.gov.au/xrecord=b2117342")</f>
        <v>https://www.catalog.slsa.sa.gov.au/xrecord=b2117342</v>
      </c>
      <c r="D255" t="s">
        <v>66</v>
      </c>
      <c r="E255" t="s">
        <v>985</v>
      </c>
      <c r="F255">
        <v>1950</v>
      </c>
      <c r="G255" t="s">
        <v>121</v>
      </c>
      <c r="H255" t="s">
        <v>986</v>
      </c>
      <c r="I255" t="s">
        <v>987</v>
      </c>
      <c r="J255" t="s">
        <v>71</v>
      </c>
      <c r="K255" s="2" t="str">
        <f>HYPERLINK("http://collections.slsa.sa.gov.au/arthur/06250/BRG347_6041.htm")</f>
        <v>http://collections.slsa.sa.gov.au/arthur/06250/BRG347_6041.htm</v>
      </c>
    </row>
    <row r="256" spans="1:11" x14ac:dyDescent="0.25">
      <c r="A256" t="s">
        <v>988</v>
      </c>
      <c r="B256" s="1" t="str">
        <f>HYPERLINK("https://www.catalog.slsa.sa.gov.au/record=b2117343")</f>
        <v>https://www.catalog.slsa.sa.gov.au/record=b2117343</v>
      </c>
      <c r="C256" s="1" t="str">
        <f>HYPERLINK("https://www.catalog.slsa.sa.gov.au/xrecord=b2117343")</f>
        <v>https://www.catalog.slsa.sa.gov.au/xrecord=b2117343</v>
      </c>
      <c r="D256" t="s">
        <v>66</v>
      </c>
      <c r="E256" t="s">
        <v>989</v>
      </c>
      <c r="F256">
        <v>1950</v>
      </c>
      <c r="G256" t="s">
        <v>121</v>
      </c>
      <c r="H256" t="s">
        <v>990</v>
      </c>
      <c r="I256" t="s">
        <v>991</v>
      </c>
      <c r="J256" t="s">
        <v>71</v>
      </c>
      <c r="K256" s="2" t="str">
        <f>HYPERLINK("http://collections.slsa.sa.gov.au/arthur/06250/BRG347_6042.htm")</f>
        <v>http://collections.slsa.sa.gov.au/arthur/06250/BRG347_6042.htm</v>
      </c>
    </row>
    <row r="257" spans="1:11" x14ac:dyDescent="0.25">
      <c r="A257" t="s">
        <v>992</v>
      </c>
      <c r="B257" s="1" t="str">
        <f>HYPERLINK("https://www.catalog.slsa.sa.gov.au/record=b2117344")</f>
        <v>https://www.catalog.slsa.sa.gov.au/record=b2117344</v>
      </c>
      <c r="C257" s="1" t="str">
        <f>HYPERLINK("https://www.catalog.slsa.sa.gov.au/xrecord=b2117344")</f>
        <v>https://www.catalog.slsa.sa.gov.au/xrecord=b2117344</v>
      </c>
      <c r="D257" t="s">
        <v>66</v>
      </c>
      <c r="E257" t="s">
        <v>993</v>
      </c>
      <c r="F257">
        <v>1950</v>
      </c>
      <c r="G257" t="s">
        <v>121</v>
      </c>
      <c r="H257" t="s">
        <v>994</v>
      </c>
      <c r="I257" t="s">
        <v>995</v>
      </c>
      <c r="J257" t="s">
        <v>71</v>
      </c>
      <c r="K257" s="2" t="str">
        <f>HYPERLINK("http://collections.slsa.sa.gov.au/arthur/06250/BRG347_6043.htm")</f>
        <v>http://collections.slsa.sa.gov.au/arthur/06250/BRG347_6043.htm</v>
      </c>
    </row>
    <row r="258" spans="1:11" x14ac:dyDescent="0.25">
      <c r="A258" t="s">
        <v>996</v>
      </c>
      <c r="B258" s="1" t="str">
        <f>HYPERLINK("https://www.catalog.slsa.sa.gov.au/record=b2117345")</f>
        <v>https://www.catalog.slsa.sa.gov.au/record=b2117345</v>
      </c>
      <c r="C258" s="1" t="str">
        <f>HYPERLINK("https://www.catalog.slsa.sa.gov.au/xrecord=b2117345")</f>
        <v>https://www.catalog.slsa.sa.gov.au/xrecord=b2117345</v>
      </c>
      <c r="D258" t="s">
        <v>66</v>
      </c>
      <c r="E258" t="s">
        <v>997</v>
      </c>
      <c r="F258">
        <v>1950</v>
      </c>
      <c r="G258" t="s">
        <v>121</v>
      </c>
      <c r="H258" t="s">
        <v>998</v>
      </c>
      <c r="I258" t="s">
        <v>999</v>
      </c>
      <c r="J258" t="s">
        <v>71</v>
      </c>
      <c r="K258" s="2" t="str">
        <f>HYPERLINK("http://collections.slsa.sa.gov.au/arthur/06250/BRG347_6044.htm")</f>
        <v>http://collections.slsa.sa.gov.au/arthur/06250/BRG347_6044.htm</v>
      </c>
    </row>
    <row r="259" spans="1:11" x14ac:dyDescent="0.25">
      <c r="A259" t="s">
        <v>1000</v>
      </c>
      <c r="B259" s="1" t="str">
        <f>HYPERLINK("https://www.catalog.slsa.sa.gov.au/record=b2123336")</f>
        <v>https://www.catalog.slsa.sa.gov.au/record=b2123336</v>
      </c>
      <c r="C259" s="1" t="str">
        <f>HYPERLINK("https://www.catalog.slsa.sa.gov.au/xrecord=b2123336")</f>
        <v>https://www.catalog.slsa.sa.gov.au/xrecord=b2123336</v>
      </c>
      <c r="D259" t="s">
        <v>66</v>
      </c>
      <c r="E259" t="s">
        <v>1001</v>
      </c>
      <c r="F259">
        <v>1950</v>
      </c>
      <c r="G259" t="s">
        <v>121</v>
      </c>
      <c r="H259" t="s">
        <v>1002</v>
      </c>
      <c r="I259" t="s">
        <v>1003</v>
      </c>
      <c r="J259" t="s">
        <v>71</v>
      </c>
      <c r="K259" s="2" t="str">
        <f>HYPERLINK("http://collections.slsa.sa.gov.au/arthur/06250/BRG347_6045.htm")</f>
        <v>http://collections.slsa.sa.gov.au/arthur/06250/BRG347_6045.htm</v>
      </c>
    </row>
    <row r="260" spans="1:11" x14ac:dyDescent="0.25">
      <c r="A260" t="s">
        <v>1004</v>
      </c>
      <c r="B260" s="1" t="str">
        <f>HYPERLINK("https://www.catalog.slsa.sa.gov.au/record=b2117346")</f>
        <v>https://www.catalog.slsa.sa.gov.au/record=b2117346</v>
      </c>
      <c r="C260" s="1" t="str">
        <f>HYPERLINK("https://www.catalog.slsa.sa.gov.au/xrecord=b2117346")</f>
        <v>https://www.catalog.slsa.sa.gov.au/xrecord=b2117346</v>
      </c>
      <c r="D260" t="s">
        <v>66</v>
      </c>
      <c r="E260" t="s">
        <v>1005</v>
      </c>
      <c r="F260">
        <v>1950</v>
      </c>
      <c r="G260" t="s">
        <v>121</v>
      </c>
      <c r="H260" t="s">
        <v>1006</v>
      </c>
      <c r="I260" t="s">
        <v>1007</v>
      </c>
      <c r="J260" t="s">
        <v>71</v>
      </c>
      <c r="K260" s="2" t="str">
        <f>HYPERLINK("http://collections.slsa.sa.gov.au/arthur/06250/BRG347_6046.htm")</f>
        <v>http://collections.slsa.sa.gov.au/arthur/06250/BRG347_6046.htm</v>
      </c>
    </row>
    <row r="261" spans="1:11" x14ac:dyDescent="0.25">
      <c r="A261" t="s">
        <v>1008</v>
      </c>
      <c r="B261" s="1" t="str">
        <f>HYPERLINK("https://www.catalog.slsa.sa.gov.au/record=b2117347")</f>
        <v>https://www.catalog.slsa.sa.gov.au/record=b2117347</v>
      </c>
      <c r="C261" s="1" t="str">
        <f>HYPERLINK("https://www.catalog.slsa.sa.gov.au/xrecord=b2117347")</f>
        <v>https://www.catalog.slsa.sa.gov.au/xrecord=b2117347</v>
      </c>
      <c r="D261" t="s">
        <v>66</v>
      </c>
      <c r="E261" t="s">
        <v>1009</v>
      </c>
      <c r="F261">
        <v>1950</v>
      </c>
      <c r="G261" t="s">
        <v>121</v>
      </c>
      <c r="H261" t="s">
        <v>1010</v>
      </c>
      <c r="I261" t="s">
        <v>1011</v>
      </c>
      <c r="J261" t="s">
        <v>71</v>
      </c>
      <c r="K261" s="2" t="str">
        <f>HYPERLINK("http://collections.slsa.sa.gov.au/arthur/06250/BRG347_6047.htm")</f>
        <v>http://collections.slsa.sa.gov.au/arthur/06250/BRG347_6047.htm</v>
      </c>
    </row>
    <row r="262" spans="1:11" x14ac:dyDescent="0.25">
      <c r="A262" t="s">
        <v>1012</v>
      </c>
      <c r="B262" s="1" t="str">
        <f>HYPERLINK("https://www.catalog.slsa.sa.gov.au/record=b2123338")</f>
        <v>https://www.catalog.slsa.sa.gov.au/record=b2123338</v>
      </c>
      <c r="C262" s="1" t="str">
        <f>HYPERLINK("https://www.catalog.slsa.sa.gov.au/xrecord=b2123338")</f>
        <v>https://www.catalog.slsa.sa.gov.au/xrecord=b2123338</v>
      </c>
      <c r="D262" t="s">
        <v>66</v>
      </c>
      <c r="E262" t="s">
        <v>1013</v>
      </c>
      <c r="F262">
        <v>1950</v>
      </c>
      <c r="G262" t="s">
        <v>121</v>
      </c>
      <c r="H262" t="s">
        <v>1014</v>
      </c>
      <c r="I262" t="s">
        <v>1015</v>
      </c>
      <c r="J262" t="s">
        <v>71</v>
      </c>
      <c r="K262" s="2" t="str">
        <f>HYPERLINK("http://collections.slsa.sa.gov.au/arthur/06250/BRG347_6048.htm")</f>
        <v>http://collections.slsa.sa.gov.au/arthur/06250/BRG347_6048.htm</v>
      </c>
    </row>
    <row r="263" spans="1:11" x14ac:dyDescent="0.25">
      <c r="A263" t="s">
        <v>1016</v>
      </c>
      <c r="B263" s="1" t="str">
        <f>HYPERLINK("https://www.catalog.slsa.sa.gov.au/record=b2117348")</f>
        <v>https://www.catalog.slsa.sa.gov.au/record=b2117348</v>
      </c>
      <c r="C263" s="1" t="str">
        <f>HYPERLINK("https://www.catalog.slsa.sa.gov.au/xrecord=b2117348")</f>
        <v>https://www.catalog.slsa.sa.gov.au/xrecord=b2117348</v>
      </c>
      <c r="D263" t="s">
        <v>66</v>
      </c>
      <c r="E263" t="s">
        <v>1017</v>
      </c>
      <c r="F263">
        <v>1950</v>
      </c>
      <c r="G263" t="s">
        <v>121</v>
      </c>
      <c r="H263" t="s">
        <v>1018</v>
      </c>
      <c r="I263" t="s">
        <v>1019</v>
      </c>
      <c r="J263" t="s">
        <v>71</v>
      </c>
      <c r="K263" s="2" t="str">
        <f>HYPERLINK("http://collections.slsa.sa.gov.au/arthur/06250/BRG347_6049.htm")</f>
        <v>http://collections.slsa.sa.gov.au/arthur/06250/BRG347_6049.htm</v>
      </c>
    </row>
    <row r="264" spans="1:11" x14ac:dyDescent="0.25">
      <c r="A264" t="s">
        <v>1020</v>
      </c>
      <c r="B264" s="1" t="str">
        <f>HYPERLINK("https://www.catalog.slsa.sa.gov.au/record=b2117349")</f>
        <v>https://www.catalog.slsa.sa.gov.au/record=b2117349</v>
      </c>
      <c r="C264" s="1" t="str">
        <f>HYPERLINK("https://www.catalog.slsa.sa.gov.au/xrecord=b2117349")</f>
        <v>https://www.catalog.slsa.sa.gov.au/xrecord=b2117349</v>
      </c>
      <c r="D264" t="s">
        <v>66</v>
      </c>
      <c r="E264" t="s">
        <v>1021</v>
      </c>
      <c r="F264">
        <v>1950</v>
      </c>
      <c r="G264" t="s">
        <v>121</v>
      </c>
      <c r="H264" t="s">
        <v>1022</v>
      </c>
      <c r="I264" t="s">
        <v>1023</v>
      </c>
      <c r="J264" t="s">
        <v>71</v>
      </c>
      <c r="K264" s="2" t="str">
        <f>HYPERLINK("http://collections.slsa.sa.gov.au/arthur/06250/BRG347_6050.htm")</f>
        <v>http://collections.slsa.sa.gov.au/arthur/06250/BRG347_6050.htm</v>
      </c>
    </row>
    <row r="265" spans="1:11" x14ac:dyDescent="0.25">
      <c r="A265" t="s">
        <v>1024</v>
      </c>
      <c r="B265" s="1" t="str">
        <f>HYPERLINK("https://www.catalog.slsa.sa.gov.au/record=b2117350")</f>
        <v>https://www.catalog.slsa.sa.gov.au/record=b2117350</v>
      </c>
      <c r="C265" s="1" t="str">
        <f>HYPERLINK("https://www.catalog.slsa.sa.gov.au/xrecord=b2117350")</f>
        <v>https://www.catalog.slsa.sa.gov.au/xrecord=b2117350</v>
      </c>
      <c r="D265" t="s">
        <v>66</v>
      </c>
      <c r="E265" t="s">
        <v>1025</v>
      </c>
      <c r="F265">
        <v>1950</v>
      </c>
      <c r="G265" t="s">
        <v>1026</v>
      </c>
      <c r="H265" t="s">
        <v>1027</v>
      </c>
      <c r="I265" t="s">
        <v>1028</v>
      </c>
      <c r="J265" t="s">
        <v>71</v>
      </c>
      <c r="K265" s="2" t="str">
        <f>HYPERLINK("http://collections.slsa.sa.gov.au/arthur/06250/BRG347_6051.htm")</f>
        <v>http://collections.slsa.sa.gov.au/arthur/06250/BRG347_6051.htm</v>
      </c>
    </row>
    <row r="266" spans="1:11" x14ac:dyDescent="0.25">
      <c r="A266" t="s">
        <v>1029</v>
      </c>
      <c r="B266" s="1" t="str">
        <f>HYPERLINK("https://www.catalog.slsa.sa.gov.au/record=b2117351")</f>
        <v>https://www.catalog.slsa.sa.gov.au/record=b2117351</v>
      </c>
      <c r="C266" s="1" t="str">
        <f>HYPERLINK("https://www.catalog.slsa.sa.gov.au/xrecord=b2117351")</f>
        <v>https://www.catalog.slsa.sa.gov.au/xrecord=b2117351</v>
      </c>
      <c r="D266" t="s">
        <v>66</v>
      </c>
      <c r="E266" t="s">
        <v>1030</v>
      </c>
      <c r="F266">
        <v>1950</v>
      </c>
      <c r="G266" t="s">
        <v>121</v>
      </c>
      <c r="H266" t="s">
        <v>1031</v>
      </c>
      <c r="I266" t="s">
        <v>1032</v>
      </c>
      <c r="J266" t="s">
        <v>71</v>
      </c>
      <c r="K266" s="2" t="str">
        <f>HYPERLINK("http://collections.slsa.sa.gov.au/arthur/06250/BRG347_6052.htm")</f>
        <v>http://collections.slsa.sa.gov.au/arthur/06250/BRG347_6052.htm</v>
      </c>
    </row>
    <row r="267" spans="1:11" x14ac:dyDescent="0.25">
      <c r="A267" t="s">
        <v>1033</v>
      </c>
      <c r="B267" s="1" t="str">
        <f>HYPERLINK("https://www.catalog.slsa.sa.gov.au/record=b2117352")</f>
        <v>https://www.catalog.slsa.sa.gov.au/record=b2117352</v>
      </c>
      <c r="C267" s="1" t="str">
        <f>HYPERLINK("https://www.catalog.slsa.sa.gov.au/xrecord=b2117352")</f>
        <v>https://www.catalog.slsa.sa.gov.au/xrecord=b2117352</v>
      </c>
      <c r="D267" t="s">
        <v>66</v>
      </c>
      <c r="E267" t="s">
        <v>1034</v>
      </c>
      <c r="F267">
        <v>1950</v>
      </c>
      <c r="G267" t="s">
        <v>121</v>
      </c>
      <c r="H267" t="s">
        <v>1035</v>
      </c>
      <c r="I267" t="s">
        <v>1036</v>
      </c>
      <c r="J267" t="s">
        <v>71</v>
      </c>
      <c r="K267" s="2" t="str">
        <f>HYPERLINK("http://collections.slsa.sa.gov.au/arthur/06250/BRG347_6053.htm")</f>
        <v>http://collections.slsa.sa.gov.au/arthur/06250/BRG347_6053.htm</v>
      </c>
    </row>
    <row r="268" spans="1:11" x14ac:dyDescent="0.25">
      <c r="A268" t="s">
        <v>1037</v>
      </c>
      <c r="B268" s="1" t="str">
        <f>HYPERLINK("https://www.catalog.slsa.sa.gov.au/record=b2117353")</f>
        <v>https://www.catalog.slsa.sa.gov.au/record=b2117353</v>
      </c>
      <c r="C268" s="1" t="str">
        <f>HYPERLINK("https://www.catalog.slsa.sa.gov.au/xrecord=b2117353")</f>
        <v>https://www.catalog.slsa.sa.gov.au/xrecord=b2117353</v>
      </c>
      <c r="D268" t="s">
        <v>66</v>
      </c>
      <c r="E268" t="s">
        <v>1038</v>
      </c>
      <c r="F268">
        <v>1950</v>
      </c>
      <c r="G268" t="s">
        <v>121</v>
      </c>
      <c r="H268" t="s">
        <v>1039</v>
      </c>
      <c r="I268" t="s">
        <v>1040</v>
      </c>
      <c r="J268" t="s">
        <v>71</v>
      </c>
      <c r="K268" s="2" t="str">
        <f>HYPERLINK("http://collections.slsa.sa.gov.au/arthur/06250/BRG347_6054.htm")</f>
        <v>http://collections.slsa.sa.gov.au/arthur/06250/BRG347_6054.htm</v>
      </c>
    </row>
    <row r="269" spans="1:11" x14ac:dyDescent="0.25">
      <c r="A269" t="s">
        <v>1041</v>
      </c>
      <c r="B269" s="1" t="str">
        <f>HYPERLINK("https://www.catalog.slsa.sa.gov.au/record=b2117354")</f>
        <v>https://www.catalog.slsa.sa.gov.au/record=b2117354</v>
      </c>
      <c r="C269" s="1" t="str">
        <f>HYPERLINK("https://www.catalog.slsa.sa.gov.au/xrecord=b2117354")</f>
        <v>https://www.catalog.slsa.sa.gov.au/xrecord=b2117354</v>
      </c>
      <c r="D269" t="s">
        <v>66</v>
      </c>
      <c r="E269" t="s">
        <v>1042</v>
      </c>
      <c r="F269">
        <v>1950</v>
      </c>
      <c r="G269" t="s">
        <v>121</v>
      </c>
      <c r="H269" t="s">
        <v>1043</v>
      </c>
      <c r="I269" t="s">
        <v>1044</v>
      </c>
      <c r="J269" t="s">
        <v>71</v>
      </c>
      <c r="K269" s="2" t="str">
        <f>HYPERLINK("http://collections.slsa.sa.gov.au/arthur/06250/BRG347_6055.htm")</f>
        <v>http://collections.slsa.sa.gov.au/arthur/06250/BRG347_6055.htm</v>
      </c>
    </row>
    <row r="270" spans="1:11" x14ac:dyDescent="0.25">
      <c r="A270" t="s">
        <v>1045</v>
      </c>
      <c r="B270" s="1" t="str">
        <f>HYPERLINK("https://www.catalog.slsa.sa.gov.au/record=b2117355")</f>
        <v>https://www.catalog.slsa.sa.gov.au/record=b2117355</v>
      </c>
      <c r="C270" s="1" t="str">
        <f>HYPERLINK("https://www.catalog.slsa.sa.gov.au/xrecord=b2117355")</f>
        <v>https://www.catalog.slsa.sa.gov.au/xrecord=b2117355</v>
      </c>
      <c r="D270" t="s">
        <v>66</v>
      </c>
      <c r="E270" t="s">
        <v>1046</v>
      </c>
      <c r="F270">
        <v>1950</v>
      </c>
      <c r="G270" t="s">
        <v>121</v>
      </c>
      <c r="H270" t="s">
        <v>1047</v>
      </c>
      <c r="I270" t="s">
        <v>1048</v>
      </c>
      <c r="J270" t="s">
        <v>71</v>
      </c>
      <c r="K270" s="2" t="str">
        <f>HYPERLINK("http://collections.slsa.sa.gov.au/arthur/06250/BRG347_6056.htm")</f>
        <v>http://collections.slsa.sa.gov.au/arthur/06250/BRG347_6056.htm</v>
      </c>
    </row>
    <row r="271" spans="1:11" x14ac:dyDescent="0.25">
      <c r="A271" t="s">
        <v>1049</v>
      </c>
      <c r="B271" s="1" t="str">
        <f>HYPERLINK("https://www.catalog.slsa.sa.gov.au/record=b2117356")</f>
        <v>https://www.catalog.slsa.sa.gov.au/record=b2117356</v>
      </c>
      <c r="C271" s="1" t="str">
        <f>HYPERLINK("https://www.catalog.slsa.sa.gov.au/xrecord=b2117356")</f>
        <v>https://www.catalog.slsa.sa.gov.au/xrecord=b2117356</v>
      </c>
      <c r="D271" t="s">
        <v>66</v>
      </c>
      <c r="E271" t="s">
        <v>1050</v>
      </c>
      <c r="F271">
        <v>1950</v>
      </c>
      <c r="G271" t="s">
        <v>121</v>
      </c>
      <c r="H271" t="s">
        <v>1051</v>
      </c>
      <c r="I271" t="s">
        <v>1052</v>
      </c>
      <c r="J271" t="s">
        <v>71</v>
      </c>
      <c r="K271" s="2" t="str">
        <f>HYPERLINK("http://collections.slsa.sa.gov.au/arthur/06250/BRG347_6057.htm")</f>
        <v>http://collections.slsa.sa.gov.au/arthur/06250/BRG347_6057.htm</v>
      </c>
    </row>
    <row r="272" spans="1:11" x14ac:dyDescent="0.25">
      <c r="A272" t="s">
        <v>1053</v>
      </c>
      <c r="B272" s="1" t="str">
        <f>HYPERLINK("https://www.catalog.slsa.sa.gov.au/record=b2117357")</f>
        <v>https://www.catalog.slsa.sa.gov.au/record=b2117357</v>
      </c>
      <c r="C272" s="1" t="str">
        <f>HYPERLINK("https://www.catalog.slsa.sa.gov.au/xrecord=b2117357")</f>
        <v>https://www.catalog.slsa.sa.gov.au/xrecord=b2117357</v>
      </c>
      <c r="D272" t="s">
        <v>66</v>
      </c>
      <c r="E272" t="s">
        <v>1054</v>
      </c>
      <c r="F272">
        <v>1950</v>
      </c>
      <c r="G272" t="s">
        <v>121</v>
      </c>
      <c r="H272" t="s">
        <v>1055</v>
      </c>
      <c r="I272" t="s">
        <v>1056</v>
      </c>
      <c r="J272" t="s">
        <v>71</v>
      </c>
      <c r="K272" s="2" t="str">
        <f>HYPERLINK("http://collections.slsa.sa.gov.au/arthur/06250/BRG347_6058.htm")</f>
        <v>http://collections.slsa.sa.gov.au/arthur/06250/BRG347_6058.htm</v>
      </c>
    </row>
    <row r="273" spans="1:11" x14ac:dyDescent="0.25">
      <c r="A273" t="s">
        <v>1057</v>
      </c>
      <c r="B273" s="1" t="str">
        <f>HYPERLINK("https://www.catalog.slsa.sa.gov.au/record=b2117358")</f>
        <v>https://www.catalog.slsa.sa.gov.au/record=b2117358</v>
      </c>
      <c r="C273" s="1" t="str">
        <f>HYPERLINK("https://www.catalog.slsa.sa.gov.au/xrecord=b2117358")</f>
        <v>https://www.catalog.slsa.sa.gov.au/xrecord=b2117358</v>
      </c>
      <c r="D273" t="s">
        <v>66</v>
      </c>
      <c r="E273" t="s">
        <v>1058</v>
      </c>
      <c r="F273">
        <v>1950</v>
      </c>
      <c r="G273" t="s">
        <v>121</v>
      </c>
      <c r="H273" t="s">
        <v>1059</v>
      </c>
      <c r="I273" t="s">
        <v>1060</v>
      </c>
      <c r="J273" t="s">
        <v>71</v>
      </c>
      <c r="K273" s="2" t="str">
        <f>HYPERLINK("http://collections.slsa.sa.gov.au/arthur/06250/BRG347_6059.htm")</f>
        <v>http://collections.slsa.sa.gov.au/arthur/06250/BRG347_6059.htm</v>
      </c>
    </row>
    <row r="274" spans="1:11" x14ac:dyDescent="0.25">
      <c r="A274" t="s">
        <v>1061</v>
      </c>
      <c r="B274" s="1" t="str">
        <f>HYPERLINK("https://www.catalog.slsa.sa.gov.au/record=b2117359")</f>
        <v>https://www.catalog.slsa.sa.gov.au/record=b2117359</v>
      </c>
      <c r="C274" s="1" t="str">
        <f>HYPERLINK("https://www.catalog.slsa.sa.gov.au/xrecord=b2117359")</f>
        <v>https://www.catalog.slsa.sa.gov.au/xrecord=b2117359</v>
      </c>
      <c r="D274" t="s">
        <v>66</v>
      </c>
      <c r="E274" t="s">
        <v>1062</v>
      </c>
      <c r="F274">
        <v>1950</v>
      </c>
      <c r="G274" t="s">
        <v>121</v>
      </c>
      <c r="H274" t="s">
        <v>1063</v>
      </c>
      <c r="I274" t="s">
        <v>1064</v>
      </c>
      <c r="J274" t="s">
        <v>71</v>
      </c>
      <c r="K274" s="2" t="str">
        <f>HYPERLINK("http://collections.slsa.sa.gov.au/arthur/06250/BRG347_6060.htm")</f>
        <v>http://collections.slsa.sa.gov.au/arthur/06250/BRG347_6060.htm</v>
      </c>
    </row>
    <row r="275" spans="1:11" x14ac:dyDescent="0.25">
      <c r="A275" t="s">
        <v>1065</v>
      </c>
      <c r="B275" s="1" t="str">
        <f>HYPERLINK("https://www.catalog.slsa.sa.gov.au/record=b2117360")</f>
        <v>https://www.catalog.slsa.sa.gov.au/record=b2117360</v>
      </c>
      <c r="C275" s="1" t="str">
        <f>HYPERLINK("https://www.catalog.slsa.sa.gov.au/xrecord=b2117360")</f>
        <v>https://www.catalog.slsa.sa.gov.au/xrecord=b2117360</v>
      </c>
      <c r="D275" t="s">
        <v>66</v>
      </c>
      <c r="E275" t="s">
        <v>1066</v>
      </c>
      <c r="F275">
        <v>1950</v>
      </c>
      <c r="G275" t="s">
        <v>121</v>
      </c>
      <c r="H275" t="s">
        <v>1067</v>
      </c>
      <c r="I275" t="s">
        <v>1068</v>
      </c>
      <c r="J275" t="s">
        <v>71</v>
      </c>
      <c r="K275" s="2" t="str">
        <f>HYPERLINK("http://collections.slsa.sa.gov.au/arthur/06250/BRG347_6061.htm")</f>
        <v>http://collections.slsa.sa.gov.au/arthur/06250/BRG347_6061.htm</v>
      </c>
    </row>
    <row r="276" spans="1:11" x14ac:dyDescent="0.25">
      <c r="A276" t="s">
        <v>1069</v>
      </c>
      <c r="B276" s="1" t="str">
        <f>HYPERLINK("https://www.catalog.slsa.sa.gov.au/record=b2117361")</f>
        <v>https://www.catalog.slsa.sa.gov.au/record=b2117361</v>
      </c>
      <c r="C276" s="1" t="str">
        <f>HYPERLINK("https://www.catalog.slsa.sa.gov.au/xrecord=b2117361")</f>
        <v>https://www.catalog.slsa.sa.gov.au/xrecord=b2117361</v>
      </c>
      <c r="D276" t="s">
        <v>66</v>
      </c>
      <c r="E276" t="s">
        <v>1070</v>
      </c>
      <c r="F276">
        <v>1950</v>
      </c>
      <c r="G276" t="s">
        <v>121</v>
      </c>
      <c r="H276" t="s">
        <v>1071</v>
      </c>
      <c r="I276" t="s">
        <v>1072</v>
      </c>
      <c r="J276" t="s">
        <v>71</v>
      </c>
      <c r="K276" s="2" t="str">
        <f>HYPERLINK("http://collections.slsa.sa.gov.au/arthur/06250/BRG347_6062.htm")</f>
        <v>http://collections.slsa.sa.gov.au/arthur/06250/BRG347_6062.htm</v>
      </c>
    </row>
    <row r="277" spans="1:11" x14ac:dyDescent="0.25">
      <c r="A277" t="s">
        <v>1073</v>
      </c>
      <c r="B277" s="1" t="str">
        <f>HYPERLINK("https://www.catalog.slsa.sa.gov.au/record=b2117362")</f>
        <v>https://www.catalog.slsa.sa.gov.au/record=b2117362</v>
      </c>
      <c r="C277" s="1" t="str">
        <f>HYPERLINK("https://www.catalog.slsa.sa.gov.au/xrecord=b2117362")</f>
        <v>https://www.catalog.slsa.sa.gov.au/xrecord=b2117362</v>
      </c>
      <c r="D277" t="s">
        <v>66</v>
      </c>
      <c r="E277" t="s">
        <v>1074</v>
      </c>
      <c r="F277">
        <v>1950</v>
      </c>
      <c r="G277" t="s">
        <v>121</v>
      </c>
      <c r="H277" t="s">
        <v>1075</v>
      </c>
      <c r="I277" t="s">
        <v>1076</v>
      </c>
      <c r="J277" t="s">
        <v>71</v>
      </c>
      <c r="K277" s="2" t="str">
        <f>HYPERLINK("http://collections.slsa.sa.gov.au/arthur/06250/BRG347_6063.htm")</f>
        <v>http://collections.slsa.sa.gov.au/arthur/06250/BRG347_6063.htm</v>
      </c>
    </row>
    <row r="278" spans="1:11" x14ac:dyDescent="0.25">
      <c r="A278" t="s">
        <v>1077</v>
      </c>
      <c r="B278" s="1" t="str">
        <f>HYPERLINK("https://www.catalog.slsa.sa.gov.au/record=b2117363")</f>
        <v>https://www.catalog.slsa.sa.gov.au/record=b2117363</v>
      </c>
      <c r="C278" s="1" t="str">
        <f>HYPERLINK("https://www.catalog.slsa.sa.gov.au/xrecord=b2117363")</f>
        <v>https://www.catalog.slsa.sa.gov.au/xrecord=b2117363</v>
      </c>
      <c r="D278" t="s">
        <v>66</v>
      </c>
      <c r="E278" t="s">
        <v>1078</v>
      </c>
      <c r="F278">
        <v>1950</v>
      </c>
      <c r="G278" t="s">
        <v>121</v>
      </c>
      <c r="H278" t="s">
        <v>1079</v>
      </c>
      <c r="I278" t="s">
        <v>1080</v>
      </c>
      <c r="J278" t="s">
        <v>71</v>
      </c>
      <c r="K278" s="2" t="str">
        <f>HYPERLINK("http://collections.slsa.sa.gov.au/arthur/06250/BRG347_6064.htm")</f>
        <v>http://collections.slsa.sa.gov.au/arthur/06250/BRG347_6064.htm</v>
      </c>
    </row>
    <row r="279" spans="1:11" x14ac:dyDescent="0.25">
      <c r="A279" t="s">
        <v>1081</v>
      </c>
      <c r="B279" s="1" t="str">
        <f>HYPERLINK("https://www.catalog.slsa.sa.gov.au/record=b2117364")</f>
        <v>https://www.catalog.slsa.sa.gov.au/record=b2117364</v>
      </c>
      <c r="C279" s="1" t="str">
        <f>HYPERLINK("https://www.catalog.slsa.sa.gov.au/xrecord=b2117364")</f>
        <v>https://www.catalog.slsa.sa.gov.au/xrecord=b2117364</v>
      </c>
      <c r="D279" t="s">
        <v>66</v>
      </c>
      <c r="E279" t="s">
        <v>1082</v>
      </c>
      <c r="F279">
        <v>1950</v>
      </c>
      <c r="G279" t="s">
        <v>121</v>
      </c>
      <c r="H279" t="s">
        <v>1083</v>
      </c>
      <c r="I279" t="s">
        <v>1084</v>
      </c>
      <c r="J279" t="s">
        <v>71</v>
      </c>
      <c r="K279" s="2" t="str">
        <f>HYPERLINK("http://collections.slsa.sa.gov.au/arthur/06250/BRG347_6065.htm")</f>
        <v>http://collections.slsa.sa.gov.au/arthur/06250/BRG347_6065.htm</v>
      </c>
    </row>
    <row r="280" spans="1:11" x14ac:dyDescent="0.25">
      <c r="A280" t="s">
        <v>1085</v>
      </c>
      <c r="B280" s="1" t="str">
        <f>HYPERLINK("https://www.catalog.slsa.sa.gov.au/record=b2117365")</f>
        <v>https://www.catalog.slsa.sa.gov.au/record=b2117365</v>
      </c>
      <c r="C280" s="1" t="str">
        <f>HYPERLINK("https://www.catalog.slsa.sa.gov.au/xrecord=b2117365")</f>
        <v>https://www.catalog.slsa.sa.gov.au/xrecord=b2117365</v>
      </c>
      <c r="D280" t="s">
        <v>66</v>
      </c>
      <c r="E280" t="s">
        <v>1086</v>
      </c>
      <c r="F280">
        <v>1950</v>
      </c>
      <c r="G280" t="s">
        <v>121</v>
      </c>
      <c r="H280" t="s">
        <v>1087</v>
      </c>
      <c r="I280" t="s">
        <v>1088</v>
      </c>
      <c r="J280" t="s">
        <v>71</v>
      </c>
      <c r="K280" s="2" t="str">
        <f>HYPERLINK("http://collections.slsa.sa.gov.au/arthur/06250/BRG347_6066.htm")</f>
        <v>http://collections.slsa.sa.gov.au/arthur/06250/BRG347_6066.htm</v>
      </c>
    </row>
    <row r="281" spans="1:11" x14ac:dyDescent="0.25">
      <c r="A281" t="s">
        <v>1089</v>
      </c>
      <c r="B281" s="1" t="str">
        <f>HYPERLINK("https://www.catalog.slsa.sa.gov.au/record=b2117366")</f>
        <v>https://www.catalog.slsa.sa.gov.au/record=b2117366</v>
      </c>
      <c r="C281" s="1" t="str">
        <f>HYPERLINK("https://www.catalog.slsa.sa.gov.au/xrecord=b2117366")</f>
        <v>https://www.catalog.slsa.sa.gov.au/xrecord=b2117366</v>
      </c>
      <c r="D281" t="s">
        <v>66</v>
      </c>
      <c r="E281" t="s">
        <v>1090</v>
      </c>
      <c r="F281">
        <v>1950</v>
      </c>
      <c r="G281" t="s">
        <v>121</v>
      </c>
      <c r="H281" t="s">
        <v>1091</v>
      </c>
      <c r="I281" t="s">
        <v>1092</v>
      </c>
      <c r="J281" t="s">
        <v>71</v>
      </c>
      <c r="K281" s="2" t="str">
        <f>HYPERLINK("http://collections.slsa.sa.gov.au/arthur/06250/BRG347_6067.htm")</f>
        <v>http://collections.slsa.sa.gov.au/arthur/06250/BRG347_6067.htm</v>
      </c>
    </row>
    <row r="282" spans="1:11" x14ac:dyDescent="0.25">
      <c r="A282" t="s">
        <v>1093</v>
      </c>
      <c r="B282" s="1" t="str">
        <f>HYPERLINK("https://www.catalog.slsa.sa.gov.au/record=b2117367")</f>
        <v>https://www.catalog.slsa.sa.gov.au/record=b2117367</v>
      </c>
      <c r="C282" s="1" t="str">
        <f>HYPERLINK("https://www.catalog.slsa.sa.gov.au/xrecord=b2117367")</f>
        <v>https://www.catalog.slsa.sa.gov.au/xrecord=b2117367</v>
      </c>
      <c r="D282" t="s">
        <v>66</v>
      </c>
      <c r="E282" t="s">
        <v>1094</v>
      </c>
      <c r="F282">
        <v>1950</v>
      </c>
      <c r="G282" t="s">
        <v>121</v>
      </c>
      <c r="H282" t="s">
        <v>1095</v>
      </c>
      <c r="I282" t="s">
        <v>1096</v>
      </c>
      <c r="J282" t="s">
        <v>71</v>
      </c>
      <c r="K282" s="2" t="str">
        <f>HYPERLINK("http://collections.slsa.sa.gov.au/arthur/06250/BRG347_6068.htm")</f>
        <v>http://collections.slsa.sa.gov.au/arthur/06250/BRG347_6068.htm</v>
      </c>
    </row>
    <row r="283" spans="1:11" x14ac:dyDescent="0.25">
      <c r="A283" t="s">
        <v>1097</v>
      </c>
      <c r="B283" s="1" t="str">
        <f>HYPERLINK("https://www.catalog.slsa.sa.gov.au/record=b2117368")</f>
        <v>https://www.catalog.slsa.sa.gov.au/record=b2117368</v>
      </c>
      <c r="C283" s="1" t="str">
        <f>HYPERLINK("https://www.catalog.slsa.sa.gov.au/xrecord=b2117368")</f>
        <v>https://www.catalog.slsa.sa.gov.au/xrecord=b2117368</v>
      </c>
      <c r="D283" t="s">
        <v>66</v>
      </c>
      <c r="E283" t="s">
        <v>1098</v>
      </c>
      <c r="F283">
        <v>1950</v>
      </c>
      <c r="G283" t="s">
        <v>121</v>
      </c>
      <c r="H283" t="s">
        <v>1099</v>
      </c>
      <c r="I283" t="s">
        <v>1100</v>
      </c>
      <c r="J283" t="s">
        <v>71</v>
      </c>
      <c r="K283" s="2" t="str">
        <f>HYPERLINK("http://collections.slsa.sa.gov.au/arthur/06250/BRG347_6069.htm")</f>
        <v>http://collections.slsa.sa.gov.au/arthur/06250/BRG347_6069.htm</v>
      </c>
    </row>
    <row r="284" spans="1:11" x14ac:dyDescent="0.25">
      <c r="A284" t="s">
        <v>1101</v>
      </c>
      <c r="B284" s="1" t="str">
        <f>HYPERLINK("https://www.catalog.slsa.sa.gov.au/record=b2117369")</f>
        <v>https://www.catalog.slsa.sa.gov.au/record=b2117369</v>
      </c>
      <c r="C284" s="1" t="str">
        <f>HYPERLINK("https://www.catalog.slsa.sa.gov.au/xrecord=b2117369")</f>
        <v>https://www.catalog.slsa.sa.gov.au/xrecord=b2117369</v>
      </c>
      <c r="D284" t="s">
        <v>66</v>
      </c>
      <c r="E284" t="s">
        <v>1102</v>
      </c>
      <c r="F284">
        <v>1950</v>
      </c>
      <c r="G284" t="s">
        <v>121</v>
      </c>
      <c r="H284" t="s">
        <v>1103</v>
      </c>
      <c r="I284" t="s">
        <v>1104</v>
      </c>
      <c r="J284" t="s">
        <v>71</v>
      </c>
      <c r="K284" s="2" t="str">
        <f>HYPERLINK("http://collections.slsa.sa.gov.au/arthur/06250/BRG347_6070.htm")</f>
        <v>http://collections.slsa.sa.gov.au/arthur/06250/BRG347_6070.htm</v>
      </c>
    </row>
    <row r="285" spans="1:11" x14ac:dyDescent="0.25">
      <c r="A285" t="s">
        <v>1105</v>
      </c>
      <c r="B285" s="1" t="str">
        <f>HYPERLINK("https://www.catalog.slsa.sa.gov.au/record=b2117370")</f>
        <v>https://www.catalog.slsa.sa.gov.au/record=b2117370</v>
      </c>
      <c r="C285" s="1" t="str">
        <f>HYPERLINK("https://www.catalog.slsa.sa.gov.au/xrecord=b2117370")</f>
        <v>https://www.catalog.slsa.sa.gov.au/xrecord=b2117370</v>
      </c>
      <c r="D285" t="s">
        <v>66</v>
      </c>
      <c r="E285" t="s">
        <v>1106</v>
      </c>
      <c r="F285">
        <v>1950</v>
      </c>
      <c r="G285" t="s">
        <v>121</v>
      </c>
      <c r="H285" t="s">
        <v>1107</v>
      </c>
      <c r="I285" t="s">
        <v>1108</v>
      </c>
      <c r="J285" t="s">
        <v>71</v>
      </c>
      <c r="K285" s="2" t="str">
        <f>HYPERLINK("http://collections.slsa.sa.gov.au/arthur/06250/BRG347_6071.htm")</f>
        <v>http://collections.slsa.sa.gov.au/arthur/06250/BRG347_6071.htm</v>
      </c>
    </row>
    <row r="286" spans="1:11" x14ac:dyDescent="0.25">
      <c r="A286" t="s">
        <v>1109</v>
      </c>
      <c r="B286" s="1" t="str">
        <f>HYPERLINK("https://www.catalog.slsa.sa.gov.au/record=b2117371")</f>
        <v>https://www.catalog.slsa.sa.gov.au/record=b2117371</v>
      </c>
      <c r="C286" s="1" t="str">
        <f>HYPERLINK("https://www.catalog.slsa.sa.gov.au/xrecord=b2117371")</f>
        <v>https://www.catalog.slsa.sa.gov.au/xrecord=b2117371</v>
      </c>
      <c r="D286" t="s">
        <v>66</v>
      </c>
      <c r="E286" t="s">
        <v>1110</v>
      </c>
      <c r="F286">
        <v>1950</v>
      </c>
      <c r="G286" t="s">
        <v>121</v>
      </c>
      <c r="H286" t="s">
        <v>1111</v>
      </c>
      <c r="I286" t="s">
        <v>1112</v>
      </c>
      <c r="J286" t="s">
        <v>71</v>
      </c>
      <c r="K286" s="2" t="str">
        <f>HYPERLINK("http://collections.slsa.sa.gov.au/arthur/06250/BRG347_6072.htm")</f>
        <v>http://collections.slsa.sa.gov.au/arthur/06250/BRG347_6072.htm</v>
      </c>
    </row>
    <row r="287" spans="1:11" x14ac:dyDescent="0.25">
      <c r="A287" t="s">
        <v>1113</v>
      </c>
      <c r="B287" s="1" t="str">
        <f>HYPERLINK("https://www.catalog.slsa.sa.gov.au/record=b2117372")</f>
        <v>https://www.catalog.slsa.sa.gov.au/record=b2117372</v>
      </c>
      <c r="C287" s="1" t="str">
        <f>HYPERLINK("https://www.catalog.slsa.sa.gov.au/xrecord=b2117372")</f>
        <v>https://www.catalog.slsa.sa.gov.au/xrecord=b2117372</v>
      </c>
      <c r="D287" t="s">
        <v>66</v>
      </c>
      <c r="E287" t="s">
        <v>1114</v>
      </c>
      <c r="F287">
        <v>1950</v>
      </c>
      <c r="G287" t="s">
        <v>121</v>
      </c>
      <c r="H287" t="s">
        <v>1115</v>
      </c>
      <c r="I287" t="s">
        <v>1116</v>
      </c>
      <c r="J287" t="s">
        <v>71</v>
      </c>
      <c r="K287" s="2" t="str">
        <f>HYPERLINK("http://collections.slsa.sa.gov.au/arthur/06250/BRG347_6073.htm")</f>
        <v>http://collections.slsa.sa.gov.au/arthur/06250/BRG347_6073.htm</v>
      </c>
    </row>
    <row r="288" spans="1:11" x14ac:dyDescent="0.25">
      <c r="A288" t="s">
        <v>1117</v>
      </c>
      <c r="B288" s="1" t="str">
        <f>HYPERLINK("https://www.catalog.slsa.sa.gov.au/record=b2117373")</f>
        <v>https://www.catalog.slsa.sa.gov.au/record=b2117373</v>
      </c>
      <c r="C288" s="1" t="str">
        <f>HYPERLINK("https://www.catalog.slsa.sa.gov.au/xrecord=b2117373")</f>
        <v>https://www.catalog.slsa.sa.gov.au/xrecord=b2117373</v>
      </c>
      <c r="D288" t="s">
        <v>66</v>
      </c>
      <c r="E288" t="s">
        <v>1118</v>
      </c>
      <c r="F288">
        <v>1950</v>
      </c>
      <c r="G288" t="s">
        <v>121</v>
      </c>
      <c r="H288" t="s">
        <v>1119</v>
      </c>
      <c r="I288" t="s">
        <v>1120</v>
      </c>
      <c r="J288" t="s">
        <v>71</v>
      </c>
      <c r="K288" s="2" t="str">
        <f>HYPERLINK("http://collections.slsa.sa.gov.au/arthur/06250/BRG347_6074.htm")</f>
        <v>http://collections.slsa.sa.gov.au/arthur/06250/BRG347_6074.htm</v>
      </c>
    </row>
    <row r="289" spans="1:11" x14ac:dyDescent="0.25">
      <c r="A289" t="s">
        <v>1121</v>
      </c>
      <c r="B289" s="1" t="str">
        <f>HYPERLINK("https://www.catalog.slsa.sa.gov.au/record=b2117374")</f>
        <v>https://www.catalog.slsa.sa.gov.au/record=b2117374</v>
      </c>
      <c r="C289" s="1" t="str">
        <f>HYPERLINK("https://www.catalog.slsa.sa.gov.au/xrecord=b2117374")</f>
        <v>https://www.catalog.slsa.sa.gov.au/xrecord=b2117374</v>
      </c>
      <c r="D289" t="s">
        <v>66</v>
      </c>
      <c r="E289" t="s">
        <v>1122</v>
      </c>
      <c r="F289">
        <v>1950</v>
      </c>
      <c r="G289" t="s">
        <v>121</v>
      </c>
      <c r="H289" t="s">
        <v>1123</v>
      </c>
      <c r="I289" t="s">
        <v>1124</v>
      </c>
      <c r="J289" t="s">
        <v>71</v>
      </c>
      <c r="K289" s="2" t="str">
        <f>HYPERLINK("http://collections.slsa.sa.gov.au/arthur/06250/BRG347_6075.htm")</f>
        <v>http://collections.slsa.sa.gov.au/arthur/06250/BRG347_6075.htm</v>
      </c>
    </row>
    <row r="290" spans="1:11" x14ac:dyDescent="0.25">
      <c r="A290" t="s">
        <v>1125</v>
      </c>
      <c r="B290" s="1" t="str">
        <f>HYPERLINK("https://www.catalog.slsa.sa.gov.au/record=b2117375")</f>
        <v>https://www.catalog.slsa.sa.gov.au/record=b2117375</v>
      </c>
      <c r="C290" s="1" t="str">
        <f>HYPERLINK("https://www.catalog.slsa.sa.gov.au/xrecord=b2117375")</f>
        <v>https://www.catalog.slsa.sa.gov.au/xrecord=b2117375</v>
      </c>
      <c r="D290" t="s">
        <v>66</v>
      </c>
      <c r="E290" t="s">
        <v>1126</v>
      </c>
      <c r="F290">
        <v>1950</v>
      </c>
      <c r="G290" t="s">
        <v>121</v>
      </c>
      <c r="H290" t="s">
        <v>1127</v>
      </c>
      <c r="I290" t="s">
        <v>1128</v>
      </c>
      <c r="J290" t="s">
        <v>71</v>
      </c>
      <c r="K290" s="2" t="str">
        <f>HYPERLINK("http://collections.slsa.sa.gov.au/arthur/06250/BRG347_6076.htm")</f>
        <v>http://collections.slsa.sa.gov.au/arthur/06250/BRG347_6076.htm</v>
      </c>
    </row>
    <row r="291" spans="1:11" x14ac:dyDescent="0.25">
      <c r="A291" t="s">
        <v>1129</v>
      </c>
      <c r="B291" s="1" t="str">
        <f>HYPERLINK("https://www.catalog.slsa.sa.gov.au/record=b2117376")</f>
        <v>https://www.catalog.slsa.sa.gov.au/record=b2117376</v>
      </c>
      <c r="C291" s="1" t="str">
        <f>HYPERLINK("https://www.catalog.slsa.sa.gov.au/xrecord=b2117376")</f>
        <v>https://www.catalog.slsa.sa.gov.au/xrecord=b2117376</v>
      </c>
      <c r="D291" t="s">
        <v>66</v>
      </c>
      <c r="E291" t="s">
        <v>1130</v>
      </c>
      <c r="F291">
        <v>1950</v>
      </c>
      <c r="G291" t="s">
        <v>121</v>
      </c>
      <c r="H291" t="s">
        <v>1131</v>
      </c>
      <c r="I291" t="s">
        <v>1132</v>
      </c>
      <c r="J291" t="s">
        <v>71</v>
      </c>
      <c r="K291" s="2" t="str">
        <f>HYPERLINK("http://collections.slsa.sa.gov.au/arthur/06250/BRG347_6077.htm")</f>
        <v>http://collections.slsa.sa.gov.au/arthur/06250/BRG347_6077.htm</v>
      </c>
    </row>
    <row r="292" spans="1:11" x14ac:dyDescent="0.25">
      <c r="A292" t="s">
        <v>1133</v>
      </c>
      <c r="B292" s="1" t="str">
        <f>HYPERLINK("https://www.catalog.slsa.sa.gov.au/record=b2117377")</f>
        <v>https://www.catalog.slsa.sa.gov.au/record=b2117377</v>
      </c>
      <c r="C292" s="1" t="str">
        <f>HYPERLINK("https://www.catalog.slsa.sa.gov.au/xrecord=b2117377")</f>
        <v>https://www.catalog.slsa.sa.gov.au/xrecord=b2117377</v>
      </c>
      <c r="D292" t="s">
        <v>66</v>
      </c>
      <c r="E292" t="s">
        <v>1134</v>
      </c>
      <c r="F292">
        <v>1950</v>
      </c>
      <c r="G292" t="s">
        <v>121</v>
      </c>
      <c r="H292" t="s">
        <v>1135</v>
      </c>
      <c r="I292" t="s">
        <v>1136</v>
      </c>
      <c r="J292" t="s">
        <v>71</v>
      </c>
      <c r="K292" s="2" t="str">
        <f>HYPERLINK("http://collections.slsa.sa.gov.au/arthur/06250/BRG347_6078.htm")</f>
        <v>http://collections.slsa.sa.gov.au/arthur/06250/BRG347_6078.htm</v>
      </c>
    </row>
    <row r="293" spans="1:11" x14ac:dyDescent="0.25">
      <c r="A293" t="s">
        <v>1137</v>
      </c>
      <c r="B293" s="1" t="str">
        <f>HYPERLINK("https://www.catalog.slsa.sa.gov.au/record=b2117378")</f>
        <v>https://www.catalog.slsa.sa.gov.au/record=b2117378</v>
      </c>
      <c r="C293" s="1" t="str">
        <f>HYPERLINK("https://www.catalog.slsa.sa.gov.au/xrecord=b2117378")</f>
        <v>https://www.catalog.slsa.sa.gov.au/xrecord=b2117378</v>
      </c>
      <c r="D293" t="s">
        <v>66</v>
      </c>
      <c r="E293" t="s">
        <v>1138</v>
      </c>
      <c r="F293">
        <v>1950</v>
      </c>
      <c r="G293" t="s">
        <v>121</v>
      </c>
      <c r="H293" t="s">
        <v>1139</v>
      </c>
      <c r="I293" t="s">
        <v>1140</v>
      </c>
      <c r="J293" t="s">
        <v>71</v>
      </c>
      <c r="K293" s="2" t="str">
        <f>HYPERLINK("http://collections.slsa.sa.gov.au/arthur/06250/BRG347_6079.htm")</f>
        <v>http://collections.slsa.sa.gov.au/arthur/06250/BRG347_6079.htm</v>
      </c>
    </row>
    <row r="294" spans="1:11" x14ac:dyDescent="0.25">
      <c r="A294" t="s">
        <v>1141</v>
      </c>
      <c r="B294" s="1" t="str">
        <f>HYPERLINK("https://www.catalog.slsa.sa.gov.au/record=b2117379")</f>
        <v>https://www.catalog.slsa.sa.gov.au/record=b2117379</v>
      </c>
      <c r="C294" s="1" t="str">
        <f>HYPERLINK("https://www.catalog.slsa.sa.gov.au/xrecord=b2117379")</f>
        <v>https://www.catalog.slsa.sa.gov.au/xrecord=b2117379</v>
      </c>
      <c r="D294" t="s">
        <v>66</v>
      </c>
      <c r="E294" t="s">
        <v>1142</v>
      </c>
      <c r="F294">
        <v>1950</v>
      </c>
      <c r="G294" t="s">
        <v>121</v>
      </c>
      <c r="H294" t="s">
        <v>1143</v>
      </c>
      <c r="I294" t="s">
        <v>1144</v>
      </c>
      <c r="J294" t="s">
        <v>71</v>
      </c>
      <c r="K294" s="2" t="str">
        <f>HYPERLINK("http://collections.slsa.sa.gov.au/arthur/06250/BRG347_6080.htm")</f>
        <v>http://collections.slsa.sa.gov.au/arthur/06250/BRG347_6080.htm</v>
      </c>
    </row>
    <row r="295" spans="1:11" x14ac:dyDescent="0.25">
      <c r="A295" t="s">
        <v>1145</v>
      </c>
      <c r="B295" s="1" t="str">
        <f>HYPERLINK("https://www.catalog.slsa.sa.gov.au/record=b2117380")</f>
        <v>https://www.catalog.slsa.sa.gov.au/record=b2117380</v>
      </c>
      <c r="C295" s="1" t="str">
        <f>HYPERLINK("https://www.catalog.slsa.sa.gov.au/xrecord=b2117380")</f>
        <v>https://www.catalog.slsa.sa.gov.au/xrecord=b2117380</v>
      </c>
      <c r="D295" t="s">
        <v>66</v>
      </c>
      <c r="E295" t="s">
        <v>1146</v>
      </c>
      <c r="F295">
        <v>1950</v>
      </c>
      <c r="G295" t="s">
        <v>121</v>
      </c>
      <c r="H295" t="s">
        <v>1147</v>
      </c>
      <c r="I295" t="s">
        <v>1148</v>
      </c>
      <c r="J295" t="s">
        <v>71</v>
      </c>
      <c r="K295" s="2" t="str">
        <f>HYPERLINK("http://collections.slsa.sa.gov.au/arthur/06250/BRG347_6081.htm")</f>
        <v>http://collections.slsa.sa.gov.au/arthur/06250/BRG347_6081.htm</v>
      </c>
    </row>
    <row r="296" spans="1:11" x14ac:dyDescent="0.25">
      <c r="A296" t="s">
        <v>1149</v>
      </c>
      <c r="B296" s="1" t="str">
        <f>HYPERLINK("https://www.catalog.slsa.sa.gov.au/record=b2123349")</f>
        <v>https://www.catalog.slsa.sa.gov.au/record=b2123349</v>
      </c>
      <c r="C296" s="1" t="str">
        <f>HYPERLINK("https://www.catalog.slsa.sa.gov.au/xrecord=b2123349")</f>
        <v>https://www.catalog.slsa.sa.gov.au/xrecord=b2123349</v>
      </c>
      <c r="D296" t="s">
        <v>66</v>
      </c>
      <c r="E296" t="s">
        <v>1150</v>
      </c>
      <c r="F296">
        <v>1950</v>
      </c>
      <c r="G296" t="s">
        <v>121</v>
      </c>
      <c r="H296" t="s">
        <v>1151</v>
      </c>
      <c r="I296" t="s">
        <v>1152</v>
      </c>
      <c r="J296" t="s">
        <v>71</v>
      </c>
      <c r="K296" s="2" t="str">
        <f>HYPERLINK("http://collections.slsa.sa.gov.au/arthur/06250/BRG347_6082.htm")</f>
        <v>http://collections.slsa.sa.gov.au/arthur/06250/BRG347_6082.htm</v>
      </c>
    </row>
    <row r="297" spans="1:11" x14ac:dyDescent="0.25">
      <c r="A297" t="s">
        <v>1153</v>
      </c>
      <c r="B297" s="1" t="str">
        <f>HYPERLINK("https://www.catalog.slsa.sa.gov.au/record=b2117381")</f>
        <v>https://www.catalog.slsa.sa.gov.au/record=b2117381</v>
      </c>
      <c r="C297" s="1" t="str">
        <f>HYPERLINK("https://www.catalog.slsa.sa.gov.au/xrecord=b2117381")</f>
        <v>https://www.catalog.slsa.sa.gov.au/xrecord=b2117381</v>
      </c>
      <c r="D297" t="s">
        <v>66</v>
      </c>
      <c r="E297" t="s">
        <v>1150</v>
      </c>
      <c r="F297">
        <v>1950</v>
      </c>
      <c r="G297" t="s">
        <v>121</v>
      </c>
      <c r="H297" t="s">
        <v>1154</v>
      </c>
      <c r="I297" t="s">
        <v>1152</v>
      </c>
      <c r="J297" t="s">
        <v>71</v>
      </c>
      <c r="K297" s="2" t="str">
        <f>HYPERLINK("http://collections.slsa.sa.gov.au/arthur/06250/BRG347_6083.htm")</f>
        <v>http://collections.slsa.sa.gov.au/arthur/06250/BRG347_6083.htm</v>
      </c>
    </row>
    <row r="298" spans="1:11" x14ac:dyDescent="0.25">
      <c r="A298" t="s">
        <v>1155</v>
      </c>
      <c r="B298" s="1" t="str">
        <f>HYPERLINK("https://www.catalog.slsa.sa.gov.au/record=b2117382")</f>
        <v>https://www.catalog.slsa.sa.gov.au/record=b2117382</v>
      </c>
      <c r="C298" s="1" t="str">
        <f>HYPERLINK("https://www.catalog.slsa.sa.gov.au/xrecord=b2117382")</f>
        <v>https://www.catalog.slsa.sa.gov.au/xrecord=b2117382</v>
      </c>
      <c r="D298" t="s">
        <v>66</v>
      </c>
      <c r="E298" t="s">
        <v>1156</v>
      </c>
      <c r="F298">
        <v>1950</v>
      </c>
      <c r="G298" t="s">
        <v>121</v>
      </c>
      <c r="H298" t="s">
        <v>1157</v>
      </c>
      <c r="I298" t="s">
        <v>1158</v>
      </c>
      <c r="J298" t="s">
        <v>71</v>
      </c>
      <c r="K298" s="2" t="str">
        <f>HYPERLINK("http://collections.slsa.sa.gov.au/arthur/06250/BRG347_6084.htm")</f>
        <v>http://collections.slsa.sa.gov.au/arthur/06250/BRG347_6084.htm</v>
      </c>
    </row>
    <row r="299" spans="1:11" x14ac:dyDescent="0.25">
      <c r="A299" t="s">
        <v>1159</v>
      </c>
      <c r="B299" s="1" t="str">
        <f>HYPERLINK("https://www.catalog.slsa.sa.gov.au/record=b2117383")</f>
        <v>https://www.catalog.slsa.sa.gov.au/record=b2117383</v>
      </c>
      <c r="C299" s="1" t="str">
        <f>HYPERLINK("https://www.catalog.slsa.sa.gov.au/xrecord=b2117383")</f>
        <v>https://www.catalog.slsa.sa.gov.au/xrecord=b2117383</v>
      </c>
      <c r="D299" t="s">
        <v>66</v>
      </c>
      <c r="E299" t="s">
        <v>881</v>
      </c>
      <c r="F299">
        <v>1950</v>
      </c>
      <c r="G299" t="s">
        <v>121</v>
      </c>
      <c r="H299" t="s">
        <v>1160</v>
      </c>
      <c r="I299" t="s">
        <v>1161</v>
      </c>
      <c r="J299" t="s">
        <v>71</v>
      </c>
      <c r="K299" s="2" t="str">
        <f>HYPERLINK("http://collections.slsa.sa.gov.au/arthur/06250/BRG347_6085.htm")</f>
        <v>http://collections.slsa.sa.gov.au/arthur/06250/BRG347_6085.htm</v>
      </c>
    </row>
    <row r="300" spans="1:11" x14ac:dyDescent="0.25">
      <c r="A300" t="s">
        <v>1162</v>
      </c>
      <c r="B300" s="1" t="str">
        <f>HYPERLINK("https://www.catalog.slsa.sa.gov.au/record=b2117384")</f>
        <v>https://www.catalog.slsa.sa.gov.au/record=b2117384</v>
      </c>
      <c r="C300" s="1" t="str">
        <f>HYPERLINK("https://www.catalog.slsa.sa.gov.au/xrecord=b2117384")</f>
        <v>https://www.catalog.slsa.sa.gov.au/xrecord=b2117384</v>
      </c>
      <c r="D300" t="s">
        <v>66</v>
      </c>
      <c r="E300" t="s">
        <v>1062</v>
      </c>
      <c r="F300">
        <v>1950</v>
      </c>
      <c r="G300" t="s">
        <v>121</v>
      </c>
      <c r="H300" t="s">
        <v>1163</v>
      </c>
      <c r="I300" t="s">
        <v>1164</v>
      </c>
      <c r="J300" t="s">
        <v>71</v>
      </c>
      <c r="K300" s="2" t="str">
        <f>HYPERLINK("http://collections.slsa.sa.gov.au/arthur/06250/BRG347_6086.htm")</f>
        <v>http://collections.slsa.sa.gov.au/arthur/06250/BRG347_6086.htm</v>
      </c>
    </row>
    <row r="301" spans="1:11" x14ac:dyDescent="0.25">
      <c r="A301" t="s">
        <v>1165</v>
      </c>
      <c r="B301" s="1" t="str">
        <f>HYPERLINK("https://www.catalog.slsa.sa.gov.au/record=b2117385")</f>
        <v>https://www.catalog.slsa.sa.gov.au/record=b2117385</v>
      </c>
      <c r="C301" s="1" t="str">
        <f>HYPERLINK("https://www.catalog.slsa.sa.gov.au/xrecord=b2117385")</f>
        <v>https://www.catalog.slsa.sa.gov.au/xrecord=b2117385</v>
      </c>
      <c r="D301" t="s">
        <v>66</v>
      </c>
      <c r="E301" t="s">
        <v>1166</v>
      </c>
      <c r="F301">
        <v>1950</v>
      </c>
      <c r="G301" t="s">
        <v>121</v>
      </c>
      <c r="H301" t="s">
        <v>1167</v>
      </c>
      <c r="I301" t="s">
        <v>1168</v>
      </c>
      <c r="J301" t="s">
        <v>71</v>
      </c>
      <c r="K301" s="2" t="str">
        <f>HYPERLINK("http://collections.slsa.sa.gov.au/arthur/06250/BRG347_6087.htm")</f>
        <v>http://collections.slsa.sa.gov.au/arthur/06250/BRG347_6087.htm</v>
      </c>
    </row>
    <row r="302" spans="1:11" x14ac:dyDescent="0.25">
      <c r="A302" t="s">
        <v>1169</v>
      </c>
      <c r="B302" s="1" t="str">
        <f>HYPERLINK("https://www.catalog.slsa.sa.gov.au/record=b2117386")</f>
        <v>https://www.catalog.slsa.sa.gov.au/record=b2117386</v>
      </c>
      <c r="C302" s="1" t="str">
        <f>HYPERLINK("https://www.catalog.slsa.sa.gov.au/xrecord=b2117386")</f>
        <v>https://www.catalog.slsa.sa.gov.au/xrecord=b2117386</v>
      </c>
      <c r="D302" t="s">
        <v>66</v>
      </c>
      <c r="E302" t="s">
        <v>1170</v>
      </c>
      <c r="F302">
        <v>1950</v>
      </c>
      <c r="G302" t="s">
        <v>121</v>
      </c>
      <c r="H302" t="s">
        <v>1171</v>
      </c>
      <c r="I302" t="s">
        <v>1172</v>
      </c>
      <c r="J302" t="s">
        <v>71</v>
      </c>
      <c r="K302" s="2" t="str">
        <f>HYPERLINK("http://collections.slsa.sa.gov.au/arthur/06250/BRG347_6088.htm")</f>
        <v>http://collections.slsa.sa.gov.au/arthur/06250/BRG347_6088.htm</v>
      </c>
    </row>
    <row r="303" spans="1:11" x14ac:dyDescent="0.25">
      <c r="A303" t="s">
        <v>1173</v>
      </c>
      <c r="B303" s="1" t="str">
        <f>HYPERLINK("https://www.catalog.slsa.sa.gov.au/record=b2117387")</f>
        <v>https://www.catalog.slsa.sa.gov.au/record=b2117387</v>
      </c>
      <c r="C303" s="1" t="str">
        <f>HYPERLINK("https://www.catalog.slsa.sa.gov.au/xrecord=b2117387")</f>
        <v>https://www.catalog.slsa.sa.gov.au/xrecord=b2117387</v>
      </c>
      <c r="D303" t="s">
        <v>66</v>
      </c>
      <c r="E303" t="s">
        <v>1174</v>
      </c>
      <c r="F303">
        <v>1950</v>
      </c>
      <c r="G303" t="s">
        <v>121</v>
      </c>
      <c r="H303" t="s">
        <v>1175</v>
      </c>
      <c r="I303" t="s">
        <v>1176</v>
      </c>
      <c r="J303" t="s">
        <v>71</v>
      </c>
      <c r="K303" s="2" t="str">
        <f>HYPERLINK("http://collections.slsa.sa.gov.au/arthur/06250/BRG347_6089.htm")</f>
        <v>http://collections.slsa.sa.gov.au/arthur/06250/BRG347_6089.htm</v>
      </c>
    </row>
    <row r="304" spans="1:11" x14ac:dyDescent="0.25">
      <c r="A304" t="s">
        <v>1177</v>
      </c>
      <c r="B304" s="1" t="str">
        <f>HYPERLINK("https://www.catalog.slsa.sa.gov.au/record=b2117388")</f>
        <v>https://www.catalog.slsa.sa.gov.au/record=b2117388</v>
      </c>
      <c r="C304" s="1" t="str">
        <f>HYPERLINK("https://www.catalog.slsa.sa.gov.au/xrecord=b2117388")</f>
        <v>https://www.catalog.slsa.sa.gov.au/xrecord=b2117388</v>
      </c>
      <c r="D304" t="s">
        <v>66</v>
      </c>
      <c r="E304" t="s">
        <v>1178</v>
      </c>
      <c r="F304">
        <v>1950</v>
      </c>
      <c r="G304" t="s">
        <v>121</v>
      </c>
      <c r="H304" t="s">
        <v>1179</v>
      </c>
      <c r="I304" t="s">
        <v>1180</v>
      </c>
      <c r="J304" t="s">
        <v>71</v>
      </c>
      <c r="K304" s="2" t="str">
        <f>HYPERLINK("http://collections.slsa.sa.gov.au/arthur/06250/BRG347_6090.htm")</f>
        <v>http://collections.slsa.sa.gov.au/arthur/06250/BRG347_6090.htm</v>
      </c>
    </row>
    <row r="305" spans="1:11" x14ac:dyDescent="0.25">
      <c r="A305" t="s">
        <v>1181</v>
      </c>
      <c r="B305" s="1" t="str">
        <f>HYPERLINK("https://www.catalog.slsa.sa.gov.au/record=b2117564")</f>
        <v>https://www.catalog.slsa.sa.gov.au/record=b2117564</v>
      </c>
      <c r="C305" s="1" t="str">
        <f>HYPERLINK("https://www.catalog.slsa.sa.gov.au/xrecord=b2117564")</f>
        <v>https://www.catalog.slsa.sa.gov.au/xrecord=b2117564</v>
      </c>
      <c r="D305" t="s">
        <v>66</v>
      </c>
      <c r="E305" t="s">
        <v>1182</v>
      </c>
      <c r="F305">
        <v>1950</v>
      </c>
      <c r="G305" t="s">
        <v>1026</v>
      </c>
      <c r="H305" t="s">
        <v>1183</v>
      </c>
      <c r="I305" t="s">
        <v>1184</v>
      </c>
      <c r="J305" t="s">
        <v>71</v>
      </c>
      <c r="K305" s="2" t="str">
        <f>HYPERLINK("http://collections.slsa.sa.gov.au/arthur/06250/BRG347_6198.htm")</f>
        <v>http://collections.slsa.sa.gov.au/arthur/06250/BRG347_6198.htm</v>
      </c>
    </row>
    <row r="306" spans="1:11" x14ac:dyDescent="0.25">
      <c r="A306" t="s">
        <v>1185</v>
      </c>
      <c r="B306" s="1" t="str">
        <f>HYPERLINK("https://www.catalog.slsa.sa.gov.au/record=b2117627")</f>
        <v>https://www.catalog.slsa.sa.gov.au/record=b2117627</v>
      </c>
      <c r="C306" s="1" t="str">
        <f>HYPERLINK("https://www.catalog.slsa.sa.gov.au/xrecord=b2117627")</f>
        <v>https://www.catalog.slsa.sa.gov.au/xrecord=b2117627</v>
      </c>
      <c r="D306" t="s">
        <v>66</v>
      </c>
      <c r="E306" t="s">
        <v>1186</v>
      </c>
      <c r="F306">
        <v>1950</v>
      </c>
      <c r="G306" t="s">
        <v>121</v>
      </c>
      <c r="H306" t="s">
        <v>1187</v>
      </c>
      <c r="I306" t="s">
        <v>1188</v>
      </c>
      <c r="J306" t="s">
        <v>71</v>
      </c>
      <c r="K306" s="2" t="str">
        <f>HYPERLINK("http://collections.slsa.sa.gov.au/arthur/06250/BRG347_6243.htm")</f>
        <v>http://collections.slsa.sa.gov.au/arthur/06250/BRG347_6243.htm</v>
      </c>
    </row>
    <row r="307" spans="1:11" x14ac:dyDescent="0.25">
      <c r="A307" t="s">
        <v>1189</v>
      </c>
      <c r="B307" s="1" t="str">
        <f>HYPERLINK("https://www.catalog.slsa.sa.gov.au/record=b2117628")</f>
        <v>https://www.catalog.slsa.sa.gov.au/record=b2117628</v>
      </c>
      <c r="C307" s="1" t="str">
        <f>HYPERLINK("https://www.catalog.slsa.sa.gov.au/xrecord=b2117628")</f>
        <v>https://www.catalog.slsa.sa.gov.au/xrecord=b2117628</v>
      </c>
      <c r="D307" t="s">
        <v>66</v>
      </c>
      <c r="E307" t="s">
        <v>1190</v>
      </c>
      <c r="F307">
        <v>1950</v>
      </c>
      <c r="G307" t="s">
        <v>121</v>
      </c>
      <c r="H307" t="s">
        <v>1191</v>
      </c>
      <c r="I307" t="s">
        <v>1192</v>
      </c>
      <c r="J307" t="s">
        <v>71</v>
      </c>
      <c r="K307" s="2" t="str">
        <f>HYPERLINK("http://collections.slsa.sa.gov.au/arthur/06250/BRG347_6244.htm")</f>
        <v>http://collections.slsa.sa.gov.au/arthur/06250/BRG347_6244.htm</v>
      </c>
    </row>
    <row r="308" spans="1:11" x14ac:dyDescent="0.25">
      <c r="A308" t="s">
        <v>1193</v>
      </c>
      <c r="B308" s="1" t="str">
        <f>HYPERLINK("https://www.catalog.slsa.sa.gov.au/record=b2117629")</f>
        <v>https://www.catalog.slsa.sa.gov.au/record=b2117629</v>
      </c>
      <c r="C308" s="1" t="str">
        <f>HYPERLINK("https://www.catalog.slsa.sa.gov.au/xrecord=b2117629")</f>
        <v>https://www.catalog.slsa.sa.gov.au/xrecord=b2117629</v>
      </c>
      <c r="D308" t="s">
        <v>66</v>
      </c>
      <c r="E308" t="s">
        <v>1194</v>
      </c>
      <c r="F308">
        <v>1950</v>
      </c>
      <c r="G308" t="s">
        <v>121</v>
      </c>
      <c r="H308" t="s">
        <v>1195</v>
      </c>
      <c r="I308" t="s">
        <v>1196</v>
      </c>
      <c r="J308" t="s">
        <v>71</v>
      </c>
      <c r="K308" s="2" t="str">
        <f>HYPERLINK("http://collections.slsa.sa.gov.au/arthur/06250/BRG347_6245.htm")</f>
        <v>http://collections.slsa.sa.gov.au/arthur/06250/BRG347_6245.htm</v>
      </c>
    </row>
    <row r="309" spans="1:11" x14ac:dyDescent="0.25">
      <c r="A309" t="s">
        <v>1197</v>
      </c>
      <c r="B309" s="1" t="str">
        <f>HYPERLINK("https://www.catalog.slsa.sa.gov.au/record=b2117630")</f>
        <v>https://www.catalog.slsa.sa.gov.au/record=b2117630</v>
      </c>
      <c r="C309" s="1" t="str">
        <f>HYPERLINK("https://www.catalog.slsa.sa.gov.au/xrecord=b2117630")</f>
        <v>https://www.catalog.slsa.sa.gov.au/xrecord=b2117630</v>
      </c>
      <c r="D309" t="s">
        <v>66</v>
      </c>
      <c r="E309" t="s">
        <v>1198</v>
      </c>
      <c r="F309">
        <v>1950</v>
      </c>
      <c r="G309" t="s">
        <v>121</v>
      </c>
      <c r="H309" t="s">
        <v>1199</v>
      </c>
      <c r="I309" t="s">
        <v>1200</v>
      </c>
      <c r="J309" t="s">
        <v>71</v>
      </c>
      <c r="K309" s="2" t="str">
        <f>HYPERLINK("http://collections.slsa.sa.gov.au/arthur/06250/BRG347_6246.htm")</f>
        <v>http://collections.slsa.sa.gov.au/arthur/06250/BRG347_6246.htm</v>
      </c>
    </row>
    <row r="310" spans="1:11" x14ac:dyDescent="0.25">
      <c r="A310" t="s">
        <v>1201</v>
      </c>
      <c r="B310" s="1" t="str">
        <f>HYPERLINK("https://www.catalog.slsa.sa.gov.au/record=b2117631")</f>
        <v>https://www.catalog.slsa.sa.gov.au/record=b2117631</v>
      </c>
      <c r="C310" s="1" t="str">
        <f>HYPERLINK("https://www.catalog.slsa.sa.gov.au/xrecord=b2117631")</f>
        <v>https://www.catalog.slsa.sa.gov.au/xrecord=b2117631</v>
      </c>
      <c r="D310" t="s">
        <v>66</v>
      </c>
      <c r="E310" t="s">
        <v>1202</v>
      </c>
      <c r="F310">
        <v>1950</v>
      </c>
      <c r="G310" t="s">
        <v>121</v>
      </c>
      <c r="H310" t="s">
        <v>1203</v>
      </c>
      <c r="I310" t="s">
        <v>1204</v>
      </c>
      <c r="J310" t="s">
        <v>71</v>
      </c>
      <c r="K310" s="2" t="str">
        <f>HYPERLINK("http://collections.slsa.sa.gov.au/arthur/06250/BRG347_6247.htm")</f>
        <v>http://collections.slsa.sa.gov.au/arthur/06250/BRG347_6247.htm</v>
      </c>
    </row>
    <row r="311" spans="1:11" x14ac:dyDescent="0.25">
      <c r="A311" t="s">
        <v>1205</v>
      </c>
      <c r="B311" s="1" t="str">
        <f>HYPERLINK("https://www.catalog.slsa.sa.gov.au/record=b2117632")</f>
        <v>https://www.catalog.slsa.sa.gov.au/record=b2117632</v>
      </c>
      <c r="C311" s="1" t="str">
        <f>HYPERLINK("https://www.catalog.slsa.sa.gov.au/xrecord=b2117632")</f>
        <v>https://www.catalog.slsa.sa.gov.au/xrecord=b2117632</v>
      </c>
      <c r="D311" t="s">
        <v>66</v>
      </c>
      <c r="E311" t="s">
        <v>1206</v>
      </c>
      <c r="F311">
        <v>1950</v>
      </c>
      <c r="G311" t="s">
        <v>121</v>
      </c>
      <c r="H311" t="s">
        <v>1207</v>
      </c>
      <c r="I311" t="s">
        <v>1208</v>
      </c>
      <c r="J311" t="s">
        <v>71</v>
      </c>
      <c r="K311" s="2" t="str">
        <f>HYPERLINK("http://collections.slsa.sa.gov.au/arthur/06250/BRG347_6248.htm")</f>
        <v>http://collections.slsa.sa.gov.au/arthur/06250/BRG347_6248.htm</v>
      </c>
    </row>
    <row r="312" spans="1:11" x14ac:dyDescent="0.25">
      <c r="A312" t="s">
        <v>1209</v>
      </c>
      <c r="B312" s="1" t="str">
        <f>HYPERLINK("https://www.catalog.slsa.sa.gov.au/record=b2117634")</f>
        <v>https://www.catalog.slsa.sa.gov.au/record=b2117634</v>
      </c>
      <c r="C312" s="1" t="str">
        <f>HYPERLINK("https://www.catalog.slsa.sa.gov.au/xrecord=b2117634")</f>
        <v>https://www.catalog.slsa.sa.gov.au/xrecord=b2117634</v>
      </c>
      <c r="D312" t="s">
        <v>66</v>
      </c>
      <c r="E312" t="s">
        <v>1210</v>
      </c>
      <c r="F312">
        <v>1950</v>
      </c>
      <c r="G312" t="s">
        <v>121</v>
      </c>
      <c r="H312" t="s">
        <v>1211</v>
      </c>
      <c r="I312" t="s">
        <v>1212</v>
      </c>
      <c r="J312" t="s">
        <v>71</v>
      </c>
      <c r="K312" s="2" t="str">
        <f>HYPERLINK("http://collections.slsa.sa.gov.au/arthur/06250/BRG347_6249.htm")</f>
        <v>http://collections.slsa.sa.gov.au/arthur/06250/BRG347_6249.htm</v>
      </c>
    </row>
    <row r="313" spans="1:11" x14ac:dyDescent="0.25">
      <c r="A313" t="s">
        <v>1213</v>
      </c>
      <c r="B313" s="1" t="str">
        <f>HYPERLINK("https://www.catalog.slsa.sa.gov.au/record=b2117635")</f>
        <v>https://www.catalog.slsa.sa.gov.au/record=b2117635</v>
      </c>
      <c r="C313" s="1" t="str">
        <f>HYPERLINK("https://www.catalog.slsa.sa.gov.au/xrecord=b2117635")</f>
        <v>https://www.catalog.slsa.sa.gov.au/xrecord=b2117635</v>
      </c>
      <c r="D313" t="s">
        <v>66</v>
      </c>
      <c r="E313" t="s">
        <v>1214</v>
      </c>
      <c r="F313">
        <v>1950</v>
      </c>
      <c r="G313" t="s">
        <v>121</v>
      </c>
      <c r="H313" t="s">
        <v>1215</v>
      </c>
      <c r="I313" t="s">
        <v>1216</v>
      </c>
      <c r="J313" t="s">
        <v>71</v>
      </c>
      <c r="K313" s="2" t="str">
        <f>HYPERLINK("http://collections.slsa.sa.gov.au/arthur/06250/BRG347_6250.htm")</f>
        <v>http://collections.slsa.sa.gov.au/arthur/06250/BRG347_6250.htm</v>
      </c>
    </row>
    <row r="314" spans="1:11" x14ac:dyDescent="0.25">
      <c r="A314" t="s">
        <v>1217</v>
      </c>
      <c r="B314" s="1" t="str">
        <f>HYPERLINK("https://www.catalog.slsa.sa.gov.au/record=b2117637")</f>
        <v>https://www.catalog.slsa.sa.gov.au/record=b2117637</v>
      </c>
      <c r="C314" s="1" t="str">
        <f>HYPERLINK("https://www.catalog.slsa.sa.gov.au/xrecord=b2117637")</f>
        <v>https://www.catalog.slsa.sa.gov.au/xrecord=b2117637</v>
      </c>
      <c r="D314" t="s">
        <v>66</v>
      </c>
      <c r="E314" t="s">
        <v>1218</v>
      </c>
      <c r="F314">
        <v>1950</v>
      </c>
      <c r="G314" t="s">
        <v>1026</v>
      </c>
      <c r="H314" t="s">
        <v>1219</v>
      </c>
      <c r="I314" t="s">
        <v>1220</v>
      </c>
      <c r="J314" t="s">
        <v>71</v>
      </c>
      <c r="K314" s="2" t="str">
        <f>HYPERLINK("http://collections.slsa.sa.gov.au/arthur/06500/BRG347_6251.htm")</f>
        <v>http://collections.slsa.sa.gov.au/arthur/06500/BRG347_6251.htm</v>
      </c>
    </row>
    <row r="315" spans="1:11" x14ac:dyDescent="0.25">
      <c r="A315" t="s">
        <v>1221</v>
      </c>
      <c r="B315" s="1" t="str">
        <f>HYPERLINK("https://www.catalog.slsa.sa.gov.au/record=b2117638")</f>
        <v>https://www.catalog.slsa.sa.gov.au/record=b2117638</v>
      </c>
      <c r="C315" s="1" t="str">
        <f>HYPERLINK("https://www.catalog.slsa.sa.gov.au/xrecord=b2117638")</f>
        <v>https://www.catalog.slsa.sa.gov.au/xrecord=b2117638</v>
      </c>
      <c r="D315" t="s">
        <v>66</v>
      </c>
      <c r="E315" t="s">
        <v>1222</v>
      </c>
      <c r="F315">
        <v>1950</v>
      </c>
      <c r="G315" t="s">
        <v>121</v>
      </c>
      <c r="H315" t="s">
        <v>1223</v>
      </c>
      <c r="I315" t="s">
        <v>1224</v>
      </c>
      <c r="J315" t="s">
        <v>71</v>
      </c>
      <c r="K315" s="2" t="str">
        <f>HYPERLINK("http://collections.slsa.sa.gov.au/arthur/06500/BRG347_6252.htm")</f>
        <v>http://collections.slsa.sa.gov.au/arthur/06500/BRG347_6252.htm</v>
      </c>
    </row>
    <row r="316" spans="1:11" x14ac:dyDescent="0.25">
      <c r="A316" t="s">
        <v>1225</v>
      </c>
      <c r="B316" s="1" t="str">
        <f>HYPERLINK("https://www.catalog.slsa.sa.gov.au/record=b2117639")</f>
        <v>https://www.catalog.slsa.sa.gov.au/record=b2117639</v>
      </c>
      <c r="C316" s="1" t="str">
        <f>HYPERLINK("https://www.catalog.slsa.sa.gov.au/xrecord=b2117639")</f>
        <v>https://www.catalog.slsa.sa.gov.au/xrecord=b2117639</v>
      </c>
      <c r="D316" t="s">
        <v>66</v>
      </c>
      <c r="E316" t="s">
        <v>1226</v>
      </c>
      <c r="F316">
        <v>1950</v>
      </c>
      <c r="G316" t="s">
        <v>121</v>
      </c>
      <c r="H316" t="s">
        <v>1227</v>
      </c>
      <c r="I316" t="s">
        <v>1228</v>
      </c>
      <c r="J316" t="s">
        <v>71</v>
      </c>
      <c r="K316" s="2" t="str">
        <f>HYPERLINK("http://collections.slsa.sa.gov.au/arthur/06500/BRG347_6253.htm")</f>
        <v>http://collections.slsa.sa.gov.au/arthur/06500/BRG347_6253.htm</v>
      </c>
    </row>
    <row r="317" spans="1:11" x14ac:dyDescent="0.25">
      <c r="A317" t="s">
        <v>1229</v>
      </c>
      <c r="B317" s="1" t="str">
        <f>HYPERLINK("https://www.catalog.slsa.sa.gov.au/record=b2117640")</f>
        <v>https://www.catalog.slsa.sa.gov.au/record=b2117640</v>
      </c>
      <c r="C317" s="1" t="str">
        <f>HYPERLINK("https://www.catalog.slsa.sa.gov.au/xrecord=b2117640")</f>
        <v>https://www.catalog.slsa.sa.gov.au/xrecord=b2117640</v>
      </c>
      <c r="D317" t="s">
        <v>66</v>
      </c>
      <c r="E317" t="s">
        <v>1230</v>
      </c>
      <c r="F317">
        <v>1950</v>
      </c>
      <c r="G317" t="s">
        <v>121</v>
      </c>
      <c r="H317" t="s">
        <v>1231</v>
      </c>
      <c r="I317" t="s">
        <v>1232</v>
      </c>
      <c r="J317" t="s">
        <v>71</v>
      </c>
      <c r="K317" s="2" t="str">
        <f>HYPERLINK("http://collections.slsa.sa.gov.au/arthur/06500/BRG347_6254.htm")</f>
        <v>http://collections.slsa.sa.gov.au/arthur/06500/BRG347_6254.htm</v>
      </c>
    </row>
    <row r="318" spans="1:11" x14ac:dyDescent="0.25">
      <c r="A318" t="s">
        <v>1233</v>
      </c>
      <c r="B318" s="1" t="str">
        <f>HYPERLINK("https://www.catalog.slsa.sa.gov.au/record=b2117641")</f>
        <v>https://www.catalog.slsa.sa.gov.au/record=b2117641</v>
      </c>
      <c r="C318" s="1" t="str">
        <f>HYPERLINK("https://www.catalog.slsa.sa.gov.au/xrecord=b2117641")</f>
        <v>https://www.catalog.slsa.sa.gov.au/xrecord=b2117641</v>
      </c>
      <c r="D318" t="s">
        <v>66</v>
      </c>
      <c r="E318" t="s">
        <v>1234</v>
      </c>
      <c r="F318">
        <v>1950</v>
      </c>
      <c r="G318" t="s">
        <v>121</v>
      </c>
      <c r="H318" t="s">
        <v>1235</v>
      </c>
      <c r="I318" t="s">
        <v>1236</v>
      </c>
      <c r="J318" t="s">
        <v>71</v>
      </c>
      <c r="K318" s="2" t="str">
        <f>HYPERLINK("http://collections.slsa.sa.gov.au/arthur/06500/BRG347_6255.htm")</f>
        <v>http://collections.slsa.sa.gov.au/arthur/06500/BRG347_6255.htm</v>
      </c>
    </row>
    <row r="319" spans="1:11" x14ac:dyDescent="0.25">
      <c r="A319" t="s">
        <v>1237</v>
      </c>
      <c r="B319" s="1" t="str">
        <f>HYPERLINK("https://www.catalog.slsa.sa.gov.au/record=b2117642")</f>
        <v>https://www.catalog.slsa.sa.gov.au/record=b2117642</v>
      </c>
      <c r="C319" s="1" t="str">
        <f>HYPERLINK("https://www.catalog.slsa.sa.gov.au/xrecord=b2117642")</f>
        <v>https://www.catalog.slsa.sa.gov.au/xrecord=b2117642</v>
      </c>
      <c r="D319" t="s">
        <v>66</v>
      </c>
      <c r="E319" t="s">
        <v>1238</v>
      </c>
      <c r="F319">
        <v>1950</v>
      </c>
      <c r="G319" t="s">
        <v>121</v>
      </c>
      <c r="H319" t="s">
        <v>1239</v>
      </c>
      <c r="I319" t="s">
        <v>1240</v>
      </c>
      <c r="J319" t="s">
        <v>71</v>
      </c>
      <c r="K319" s="2" t="str">
        <f>HYPERLINK("http://collections.slsa.sa.gov.au/arthur/06500/BRG347_6256.htm")</f>
        <v>http://collections.slsa.sa.gov.au/arthur/06500/BRG347_6256.htm</v>
      </c>
    </row>
    <row r="320" spans="1:11" x14ac:dyDescent="0.25">
      <c r="A320" t="s">
        <v>1241</v>
      </c>
      <c r="B320" s="1" t="str">
        <f>HYPERLINK("https://www.catalog.slsa.sa.gov.au/record=b2122731")</f>
        <v>https://www.catalog.slsa.sa.gov.au/record=b2122731</v>
      </c>
      <c r="C320" s="1" t="str">
        <f>HYPERLINK("https://www.catalog.slsa.sa.gov.au/xrecord=b2122731")</f>
        <v>https://www.catalog.slsa.sa.gov.au/xrecord=b2122731</v>
      </c>
      <c r="D320" t="s">
        <v>66</v>
      </c>
      <c r="E320" t="s">
        <v>1242</v>
      </c>
      <c r="F320">
        <v>1950</v>
      </c>
      <c r="G320" t="s">
        <v>121</v>
      </c>
      <c r="H320" t="s">
        <v>1243</v>
      </c>
      <c r="I320" t="s">
        <v>1244</v>
      </c>
      <c r="J320" t="s">
        <v>71</v>
      </c>
      <c r="K320" s="2" t="str">
        <f>HYPERLINK("http://collections.slsa.sa.gov.au/arthur/06500/BRG347_6257.htm")</f>
        <v>http://collections.slsa.sa.gov.au/arthur/06500/BRG347_6257.htm</v>
      </c>
    </row>
    <row r="321" spans="1:11" x14ac:dyDescent="0.25">
      <c r="A321" t="s">
        <v>1245</v>
      </c>
      <c r="B321" s="1" t="str">
        <f>HYPERLINK("https://www.catalog.slsa.sa.gov.au/record=b2117643")</f>
        <v>https://www.catalog.slsa.sa.gov.au/record=b2117643</v>
      </c>
      <c r="C321" s="1" t="str">
        <f>HYPERLINK("https://www.catalog.slsa.sa.gov.au/xrecord=b2117643")</f>
        <v>https://www.catalog.slsa.sa.gov.au/xrecord=b2117643</v>
      </c>
      <c r="D321" t="s">
        <v>66</v>
      </c>
      <c r="E321" t="s">
        <v>1242</v>
      </c>
      <c r="F321">
        <v>1950</v>
      </c>
      <c r="G321" t="s">
        <v>121</v>
      </c>
      <c r="H321" t="s">
        <v>1246</v>
      </c>
      <c r="I321" t="s">
        <v>1244</v>
      </c>
      <c r="J321" t="s">
        <v>71</v>
      </c>
      <c r="K321" s="2" t="str">
        <f>HYPERLINK("http://collections.slsa.sa.gov.au/arthur/06500/BRG347_6258.htm")</f>
        <v>http://collections.slsa.sa.gov.au/arthur/06500/BRG347_6258.htm</v>
      </c>
    </row>
    <row r="322" spans="1:11" x14ac:dyDescent="0.25">
      <c r="A322" t="s">
        <v>1247</v>
      </c>
      <c r="B322" s="1" t="str">
        <f>HYPERLINK("https://www.catalog.slsa.sa.gov.au/record=b2117644")</f>
        <v>https://www.catalog.slsa.sa.gov.au/record=b2117644</v>
      </c>
      <c r="C322" s="1" t="str">
        <f>HYPERLINK("https://www.catalog.slsa.sa.gov.au/xrecord=b2117644")</f>
        <v>https://www.catalog.slsa.sa.gov.au/xrecord=b2117644</v>
      </c>
      <c r="D322" t="s">
        <v>66</v>
      </c>
      <c r="E322" t="s">
        <v>1248</v>
      </c>
      <c r="F322">
        <v>1950</v>
      </c>
      <c r="G322" t="s">
        <v>121</v>
      </c>
      <c r="H322" t="s">
        <v>1249</v>
      </c>
      <c r="I322" t="s">
        <v>1250</v>
      </c>
      <c r="J322" t="s">
        <v>71</v>
      </c>
      <c r="K322" s="2" t="str">
        <f>HYPERLINK("http://collections.slsa.sa.gov.au/arthur/06500/BRG347_6259.htm")</f>
        <v>http://collections.slsa.sa.gov.au/arthur/06500/BRG347_6259.htm</v>
      </c>
    </row>
    <row r="323" spans="1:11" x14ac:dyDescent="0.25">
      <c r="A323" t="s">
        <v>1251</v>
      </c>
      <c r="B323" s="1" t="str">
        <f>HYPERLINK("https://www.catalog.slsa.sa.gov.au/record=b2117645")</f>
        <v>https://www.catalog.slsa.sa.gov.au/record=b2117645</v>
      </c>
      <c r="C323" s="1" t="str">
        <f>HYPERLINK("https://www.catalog.slsa.sa.gov.au/xrecord=b2117645")</f>
        <v>https://www.catalog.slsa.sa.gov.au/xrecord=b2117645</v>
      </c>
      <c r="D323" t="s">
        <v>66</v>
      </c>
      <c r="E323" t="s">
        <v>1252</v>
      </c>
      <c r="F323">
        <v>1950</v>
      </c>
      <c r="G323" t="s">
        <v>121</v>
      </c>
      <c r="H323" t="s">
        <v>1253</v>
      </c>
      <c r="I323" t="s">
        <v>1254</v>
      </c>
      <c r="J323" t="s">
        <v>71</v>
      </c>
      <c r="K323" s="2" t="str">
        <f>HYPERLINK("http://collections.slsa.sa.gov.au/arthur/06500/BRG347_6260.htm")</f>
        <v>http://collections.slsa.sa.gov.au/arthur/06500/BRG347_6260.htm</v>
      </c>
    </row>
    <row r="324" spans="1:11" x14ac:dyDescent="0.25">
      <c r="A324" t="s">
        <v>1255</v>
      </c>
      <c r="B324" s="1" t="str">
        <f>HYPERLINK("https://www.catalog.slsa.sa.gov.au/record=b2117646")</f>
        <v>https://www.catalog.slsa.sa.gov.au/record=b2117646</v>
      </c>
      <c r="C324" s="1" t="str">
        <f>HYPERLINK("https://www.catalog.slsa.sa.gov.au/xrecord=b2117646")</f>
        <v>https://www.catalog.slsa.sa.gov.au/xrecord=b2117646</v>
      </c>
      <c r="D324" t="s">
        <v>66</v>
      </c>
      <c r="E324" t="s">
        <v>1256</v>
      </c>
      <c r="F324">
        <v>1950</v>
      </c>
      <c r="G324" t="s">
        <v>121</v>
      </c>
      <c r="H324" t="s">
        <v>1257</v>
      </c>
      <c r="I324" t="s">
        <v>1244</v>
      </c>
      <c r="J324" t="s">
        <v>71</v>
      </c>
      <c r="K324" s="2" t="str">
        <f>HYPERLINK("http://collections.slsa.sa.gov.au/arthur/06500/BRG347_6261.htm")</f>
        <v>http://collections.slsa.sa.gov.au/arthur/06500/BRG347_6261.htm</v>
      </c>
    </row>
    <row r="325" spans="1:11" x14ac:dyDescent="0.25">
      <c r="A325" t="s">
        <v>1258</v>
      </c>
      <c r="B325" s="1" t="str">
        <f>HYPERLINK("https://www.catalog.slsa.sa.gov.au/record=b2117647")</f>
        <v>https://www.catalog.slsa.sa.gov.au/record=b2117647</v>
      </c>
      <c r="C325" s="1" t="str">
        <f>HYPERLINK("https://www.catalog.slsa.sa.gov.au/xrecord=b2117647")</f>
        <v>https://www.catalog.slsa.sa.gov.au/xrecord=b2117647</v>
      </c>
      <c r="D325" t="s">
        <v>66</v>
      </c>
      <c r="E325" t="s">
        <v>1259</v>
      </c>
      <c r="F325">
        <v>1950</v>
      </c>
      <c r="G325" t="s">
        <v>121</v>
      </c>
      <c r="H325" t="s">
        <v>1260</v>
      </c>
      <c r="I325" t="s">
        <v>1261</v>
      </c>
      <c r="J325" t="s">
        <v>71</v>
      </c>
      <c r="K325" s="2" t="str">
        <f>HYPERLINK("http://collections.slsa.sa.gov.au/arthur/06500/BRG347_6262.htm")</f>
        <v>http://collections.slsa.sa.gov.au/arthur/06500/BRG347_6262.htm</v>
      </c>
    </row>
    <row r="326" spans="1:11" x14ac:dyDescent="0.25">
      <c r="A326" t="s">
        <v>1262</v>
      </c>
      <c r="B326" s="1" t="str">
        <f>HYPERLINK("https://www.catalog.slsa.sa.gov.au/record=b2117648")</f>
        <v>https://www.catalog.slsa.sa.gov.au/record=b2117648</v>
      </c>
      <c r="C326" s="1" t="str">
        <f>HYPERLINK("https://www.catalog.slsa.sa.gov.au/xrecord=b2117648")</f>
        <v>https://www.catalog.slsa.sa.gov.au/xrecord=b2117648</v>
      </c>
      <c r="D326" t="s">
        <v>66</v>
      </c>
      <c r="E326" t="s">
        <v>1263</v>
      </c>
      <c r="F326">
        <v>1950</v>
      </c>
      <c r="G326" t="s">
        <v>121</v>
      </c>
      <c r="H326" t="s">
        <v>1264</v>
      </c>
      <c r="I326" t="s">
        <v>1265</v>
      </c>
      <c r="J326" t="s">
        <v>71</v>
      </c>
      <c r="K326" s="2" t="str">
        <f>HYPERLINK("http://collections.slsa.sa.gov.au/arthur/06500/BRG347_6263.htm")</f>
        <v>http://collections.slsa.sa.gov.au/arthur/06500/BRG347_6263.htm</v>
      </c>
    </row>
    <row r="327" spans="1:11" x14ac:dyDescent="0.25">
      <c r="A327" t="s">
        <v>1266</v>
      </c>
      <c r="B327" s="1" t="str">
        <f>HYPERLINK("https://www.catalog.slsa.sa.gov.au/record=b2117649")</f>
        <v>https://www.catalog.slsa.sa.gov.au/record=b2117649</v>
      </c>
      <c r="C327" s="1" t="str">
        <f>HYPERLINK("https://www.catalog.slsa.sa.gov.au/xrecord=b2117649")</f>
        <v>https://www.catalog.slsa.sa.gov.au/xrecord=b2117649</v>
      </c>
      <c r="D327" t="s">
        <v>66</v>
      </c>
      <c r="E327" t="s">
        <v>1267</v>
      </c>
      <c r="F327">
        <v>1950</v>
      </c>
      <c r="G327" t="s">
        <v>121</v>
      </c>
      <c r="H327" t="s">
        <v>1268</v>
      </c>
      <c r="I327" t="s">
        <v>1232</v>
      </c>
      <c r="J327" t="s">
        <v>71</v>
      </c>
      <c r="K327" s="2" t="str">
        <f>HYPERLINK("http://collections.slsa.sa.gov.au/arthur/06500/BRG347_6264.htm")</f>
        <v>http://collections.slsa.sa.gov.au/arthur/06500/BRG347_6264.htm</v>
      </c>
    </row>
    <row r="328" spans="1:11" x14ac:dyDescent="0.25">
      <c r="A328" t="s">
        <v>1269</v>
      </c>
      <c r="B328" s="1" t="str">
        <f>HYPERLINK("https://www.catalog.slsa.sa.gov.au/record=b2117650")</f>
        <v>https://www.catalog.slsa.sa.gov.au/record=b2117650</v>
      </c>
      <c r="C328" s="1" t="str">
        <f>HYPERLINK("https://www.catalog.slsa.sa.gov.au/xrecord=b2117650")</f>
        <v>https://www.catalog.slsa.sa.gov.au/xrecord=b2117650</v>
      </c>
      <c r="D328" t="s">
        <v>66</v>
      </c>
      <c r="E328" t="s">
        <v>1270</v>
      </c>
      <c r="F328">
        <v>1950</v>
      </c>
      <c r="G328" t="s">
        <v>121</v>
      </c>
      <c r="H328" t="s">
        <v>1271</v>
      </c>
      <c r="I328" t="s">
        <v>1272</v>
      </c>
      <c r="J328" t="s">
        <v>71</v>
      </c>
      <c r="K328" s="2" t="str">
        <f>HYPERLINK("http://collections.slsa.sa.gov.au/arthur/06500/BRG347_6265.htm")</f>
        <v>http://collections.slsa.sa.gov.au/arthur/06500/BRG347_6265.htm</v>
      </c>
    </row>
    <row r="329" spans="1:11" x14ac:dyDescent="0.25">
      <c r="A329" t="s">
        <v>1273</v>
      </c>
      <c r="B329" s="1" t="str">
        <f>HYPERLINK("https://www.catalog.slsa.sa.gov.au/record=b2117651")</f>
        <v>https://www.catalog.slsa.sa.gov.au/record=b2117651</v>
      </c>
      <c r="C329" s="1" t="str">
        <f>HYPERLINK("https://www.catalog.slsa.sa.gov.au/xrecord=b2117651")</f>
        <v>https://www.catalog.slsa.sa.gov.au/xrecord=b2117651</v>
      </c>
      <c r="D329" t="s">
        <v>66</v>
      </c>
      <c r="E329" t="s">
        <v>1274</v>
      </c>
      <c r="F329">
        <v>1950</v>
      </c>
      <c r="G329" t="s">
        <v>121</v>
      </c>
      <c r="H329" t="s">
        <v>1275</v>
      </c>
      <c r="I329" t="s">
        <v>1276</v>
      </c>
      <c r="J329" t="s">
        <v>71</v>
      </c>
      <c r="K329" s="2" t="str">
        <f>HYPERLINK("http://collections.slsa.sa.gov.au/arthur/06500/BRG347_6266.htm")</f>
        <v>http://collections.slsa.sa.gov.au/arthur/06500/BRG347_6266.htm</v>
      </c>
    </row>
    <row r="330" spans="1:11" x14ac:dyDescent="0.25">
      <c r="A330" t="s">
        <v>1277</v>
      </c>
      <c r="B330" s="1" t="str">
        <f>HYPERLINK("https://www.catalog.slsa.sa.gov.au/record=b2117652")</f>
        <v>https://www.catalog.slsa.sa.gov.au/record=b2117652</v>
      </c>
      <c r="C330" s="1" t="str">
        <f>HYPERLINK("https://www.catalog.slsa.sa.gov.au/xrecord=b2117652")</f>
        <v>https://www.catalog.slsa.sa.gov.au/xrecord=b2117652</v>
      </c>
      <c r="D330" t="s">
        <v>66</v>
      </c>
      <c r="E330" t="s">
        <v>1278</v>
      </c>
      <c r="F330">
        <v>1950</v>
      </c>
      <c r="G330" t="s">
        <v>121</v>
      </c>
      <c r="H330" t="s">
        <v>1279</v>
      </c>
      <c r="I330" t="s">
        <v>1280</v>
      </c>
      <c r="J330" t="s">
        <v>71</v>
      </c>
      <c r="K330" s="2" t="str">
        <f>HYPERLINK("http://collections.slsa.sa.gov.au/arthur/06500/BRG347_6267.htm")</f>
        <v>http://collections.slsa.sa.gov.au/arthur/06500/BRG347_6267.htm</v>
      </c>
    </row>
    <row r="331" spans="1:11" x14ac:dyDescent="0.25">
      <c r="A331" t="s">
        <v>1281</v>
      </c>
      <c r="B331" s="1" t="str">
        <f>HYPERLINK("https://www.catalog.slsa.sa.gov.au/record=b2117653")</f>
        <v>https://www.catalog.slsa.sa.gov.au/record=b2117653</v>
      </c>
      <c r="C331" s="1" t="str">
        <f>HYPERLINK("https://www.catalog.slsa.sa.gov.au/xrecord=b2117653")</f>
        <v>https://www.catalog.slsa.sa.gov.au/xrecord=b2117653</v>
      </c>
      <c r="D331" t="s">
        <v>66</v>
      </c>
      <c r="E331" t="s">
        <v>1282</v>
      </c>
      <c r="F331">
        <v>1950</v>
      </c>
      <c r="G331" t="s">
        <v>121</v>
      </c>
      <c r="H331" t="s">
        <v>1283</v>
      </c>
      <c r="I331" t="s">
        <v>1284</v>
      </c>
      <c r="J331" t="s">
        <v>71</v>
      </c>
      <c r="K331" s="2" t="str">
        <f>HYPERLINK("http://collections.slsa.sa.gov.au/arthur/06500/BRG347_6268.htm")</f>
        <v>http://collections.slsa.sa.gov.au/arthur/06500/BRG347_6268.htm</v>
      </c>
    </row>
    <row r="332" spans="1:11" x14ac:dyDescent="0.25">
      <c r="A332" t="s">
        <v>1285</v>
      </c>
      <c r="B332" s="1" t="str">
        <f>HYPERLINK("https://www.catalog.slsa.sa.gov.au/record=b2117654")</f>
        <v>https://www.catalog.slsa.sa.gov.au/record=b2117654</v>
      </c>
      <c r="C332" s="1" t="str">
        <f>HYPERLINK("https://www.catalog.slsa.sa.gov.au/xrecord=b2117654")</f>
        <v>https://www.catalog.slsa.sa.gov.au/xrecord=b2117654</v>
      </c>
      <c r="D332" t="s">
        <v>66</v>
      </c>
      <c r="E332" t="s">
        <v>696</v>
      </c>
      <c r="F332">
        <v>1950</v>
      </c>
      <c r="G332" t="s">
        <v>121</v>
      </c>
      <c r="H332" t="s">
        <v>1286</v>
      </c>
      <c r="I332" t="s">
        <v>1287</v>
      </c>
      <c r="J332" t="s">
        <v>71</v>
      </c>
      <c r="K332" s="2" t="str">
        <f>HYPERLINK("http://collections.slsa.sa.gov.au/arthur/06500/BRG347_6269.htm")</f>
        <v>http://collections.slsa.sa.gov.au/arthur/06500/BRG347_6269.htm</v>
      </c>
    </row>
    <row r="333" spans="1:11" x14ac:dyDescent="0.25">
      <c r="A333" t="s">
        <v>1288</v>
      </c>
      <c r="B333" s="1" t="str">
        <f>HYPERLINK("https://www.catalog.slsa.sa.gov.au/record=b2117655")</f>
        <v>https://www.catalog.slsa.sa.gov.au/record=b2117655</v>
      </c>
      <c r="C333" s="1" t="str">
        <f>HYPERLINK("https://www.catalog.slsa.sa.gov.au/xrecord=b2117655")</f>
        <v>https://www.catalog.slsa.sa.gov.au/xrecord=b2117655</v>
      </c>
      <c r="D333" t="s">
        <v>66</v>
      </c>
      <c r="E333" t="s">
        <v>1289</v>
      </c>
      <c r="F333">
        <v>1950</v>
      </c>
      <c r="G333" t="s">
        <v>121</v>
      </c>
      <c r="H333" t="s">
        <v>1290</v>
      </c>
      <c r="I333" t="s">
        <v>1291</v>
      </c>
      <c r="J333" t="s">
        <v>71</v>
      </c>
      <c r="K333" s="2" t="str">
        <f>HYPERLINK("http://collections.slsa.sa.gov.au/arthur/06500/BRG347_6270.htm")</f>
        <v>http://collections.slsa.sa.gov.au/arthur/06500/BRG347_6270.htm</v>
      </c>
    </row>
    <row r="334" spans="1:11" x14ac:dyDescent="0.25">
      <c r="A334" t="s">
        <v>1292</v>
      </c>
      <c r="B334" s="1" t="str">
        <f>HYPERLINK("https://www.catalog.slsa.sa.gov.au/record=b2117656")</f>
        <v>https://www.catalog.slsa.sa.gov.au/record=b2117656</v>
      </c>
      <c r="C334" s="1" t="str">
        <f>HYPERLINK("https://www.catalog.slsa.sa.gov.au/xrecord=b2117656")</f>
        <v>https://www.catalog.slsa.sa.gov.au/xrecord=b2117656</v>
      </c>
      <c r="D334" t="s">
        <v>66</v>
      </c>
      <c r="E334" t="s">
        <v>1293</v>
      </c>
      <c r="F334">
        <v>1950</v>
      </c>
      <c r="G334" t="s">
        <v>121</v>
      </c>
      <c r="H334" t="s">
        <v>1294</v>
      </c>
      <c r="I334" t="s">
        <v>1295</v>
      </c>
      <c r="J334" t="s">
        <v>71</v>
      </c>
      <c r="K334" s="2" t="str">
        <f>HYPERLINK("http://collections.slsa.sa.gov.au/arthur/06500/BRG347_6271.htm")</f>
        <v>http://collections.slsa.sa.gov.au/arthur/06500/BRG347_6271.htm</v>
      </c>
    </row>
    <row r="335" spans="1:11" x14ac:dyDescent="0.25">
      <c r="A335" t="s">
        <v>1296</v>
      </c>
      <c r="B335" s="1" t="str">
        <f>HYPERLINK("https://www.catalog.slsa.sa.gov.au/record=b2117657")</f>
        <v>https://www.catalog.slsa.sa.gov.au/record=b2117657</v>
      </c>
      <c r="C335" s="1" t="str">
        <f>HYPERLINK("https://www.catalog.slsa.sa.gov.au/xrecord=b2117657")</f>
        <v>https://www.catalog.slsa.sa.gov.au/xrecord=b2117657</v>
      </c>
      <c r="D335" t="s">
        <v>66</v>
      </c>
      <c r="E335" t="s">
        <v>1297</v>
      </c>
      <c r="F335">
        <v>1950</v>
      </c>
      <c r="G335" t="s">
        <v>121</v>
      </c>
      <c r="H335" t="s">
        <v>1298</v>
      </c>
      <c r="I335" t="s">
        <v>1299</v>
      </c>
      <c r="J335" t="s">
        <v>71</v>
      </c>
      <c r="K335" s="2" t="str">
        <f>HYPERLINK("http://collections.slsa.sa.gov.au/arthur/06500/BRG347_6272.htm")</f>
        <v>http://collections.slsa.sa.gov.au/arthur/06500/BRG347_6272.htm</v>
      </c>
    </row>
    <row r="336" spans="1:11" x14ac:dyDescent="0.25">
      <c r="A336" t="s">
        <v>1300</v>
      </c>
      <c r="B336" s="1" t="str">
        <f>HYPERLINK("https://www.catalog.slsa.sa.gov.au/record=b2117658")</f>
        <v>https://www.catalog.slsa.sa.gov.au/record=b2117658</v>
      </c>
      <c r="C336" s="1" t="str">
        <f>HYPERLINK("https://www.catalog.slsa.sa.gov.au/xrecord=b2117658")</f>
        <v>https://www.catalog.slsa.sa.gov.au/xrecord=b2117658</v>
      </c>
      <c r="D336" t="s">
        <v>66</v>
      </c>
      <c r="E336" t="s">
        <v>1301</v>
      </c>
      <c r="F336">
        <v>1950</v>
      </c>
      <c r="G336" t="s">
        <v>121</v>
      </c>
      <c r="H336" t="s">
        <v>1302</v>
      </c>
      <c r="I336" t="s">
        <v>1303</v>
      </c>
      <c r="J336" t="s">
        <v>71</v>
      </c>
      <c r="K336" s="2" t="str">
        <f>HYPERLINK("http://collections.slsa.sa.gov.au/arthur/06500/BRG347_6273.htm")</f>
        <v>http://collections.slsa.sa.gov.au/arthur/06500/BRG347_6273.htm</v>
      </c>
    </row>
    <row r="337" spans="1:11" x14ac:dyDescent="0.25">
      <c r="A337" t="s">
        <v>1304</v>
      </c>
      <c r="B337" s="1" t="str">
        <f>HYPERLINK("https://www.catalog.slsa.sa.gov.au/record=b2117659")</f>
        <v>https://www.catalog.slsa.sa.gov.au/record=b2117659</v>
      </c>
      <c r="C337" s="1" t="str">
        <f>HYPERLINK("https://www.catalog.slsa.sa.gov.au/xrecord=b2117659")</f>
        <v>https://www.catalog.slsa.sa.gov.au/xrecord=b2117659</v>
      </c>
      <c r="D337" t="s">
        <v>66</v>
      </c>
      <c r="E337" t="s">
        <v>1301</v>
      </c>
      <c r="F337">
        <v>1950</v>
      </c>
      <c r="G337" t="s">
        <v>121</v>
      </c>
      <c r="H337" t="s">
        <v>1302</v>
      </c>
      <c r="I337" t="s">
        <v>1303</v>
      </c>
      <c r="J337" t="s">
        <v>71</v>
      </c>
      <c r="K337" s="2" t="str">
        <f>HYPERLINK("http://collections.slsa.sa.gov.au/arthur/06500/BRG347_6274.htm")</f>
        <v>http://collections.slsa.sa.gov.au/arthur/06500/BRG347_6274.htm</v>
      </c>
    </row>
    <row r="338" spans="1:11" x14ac:dyDescent="0.25">
      <c r="A338" t="s">
        <v>1305</v>
      </c>
      <c r="B338" s="1" t="str">
        <f>HYPERLINK("https://www.catalog.slsa.sa.gov.au/record=b2117660")</f>
        <v>https://www.catalog.slsa.sa.gov.au/record=b2117660</v>
      </c>
      <c r="C338" s="1" t="str">
        <f>HYPERLINK("https://www.catalog.slsa.sa.gov.au/xrecord=b2117660")</f>
        <v>https://www.catalog.slsa.sa.gov.au/xrecord=b2117660</v>
      </c>
      <c r="D338" t="s">
        <v>66</v>
      </c>
      <c r="E338" t="s">
        <v>1306</v>
      </c>
      <c r="F338">
        <v>1950</v>
      </c>
      <c r="G338" t="s">
        <v>121</v>
      </c>
      <c r="H338" t="s">
        <v>1307</v>
      </c>
      <c r="I338" t="s">
        <v>1308</v>
      </c>
      <c r="J338" t="s">
        <v>71</v>
      </c>
      <c r="K338" s="2" t="str">
        <f>HYPERLINK("http://collections.slsa.sa.gov.au/arthur/06500/BRG347_6275.htm")</f>
        <v>http://collections.slsa.sa.gov.au/arthur/06500/BRG347_6275.htm</v>
      </c>
    </row>
    <row r="339" spans="1:11" x14ac:dyDescent="0.25">
      <c r="A339" t="s">
        <v>1309</v>
      </c>
      <c r="B339" s="1" t="str">
        <f>HYPERLINK("https://www.catalog.slsa.sa.gov.au/record=b2117661")</f>
        <v>https://www.catalog.slsa.sa.gov.au/record=b2117661</v>
      </c>
      <c r="C339" s="1" t="str">
        <f>HYPERLINK("https://www.catalog.slsa.sa.gov.au/xrecord=b2117661")</f>
        <v>https://www.catalog.slsa.sa.gov.au/xrecord=b2117661</v>
      </c>
      <c r="D339" t="s">
        <v>66</v>
      </c>
      <c r="E339" t="s">
        <v>1310</v>
      </c>
      <c r="F339">
        <v>1950</v>
      </c>
      <c r="G339" t="s">
        <v>121</v>
      </c>
      <c r="H339" t="s">
        <v>1311</v>
      </c>
      <c r="I339" t="s">
        <v>1312</v>
      </c>
      <c r="J339" t="s">
        <v>71</v>
      </c>
      <c r="K339" s="2" t="str">
        <f>HYPERLINK("http://collections.slsa.sa.gov.au/arthur/06500/BRG347_6276.htm")</f>
        <v>http://collections.slsa.sa.gov.au/arthur/06500/BRG347_6276.htm</v>
      </c>
    </row>
    <row r="340" spans="1:11" x14ac:dyDescent="0.25">
      <c r="A340" t="s">
        <v>1313</v>
      </c>
      <c r="B340" s="1" t="str">
        <f>HYPERLINK("https://www.catalog.slsa.sa.gov.au/record=b2117662")</f>
        <v>https://www.catalog.slsa.sa.gov.au/record=b2117662</v>
      </c>
      <c r="C340" s="1" t="str">
        <f>HYPERLINK("https://www.catalog.slsa.sa.gov.au/xrecord=b2117662")</f>
        <v>https://www.catalog.slsa.sa.gov.au/xrecord=b2117662</v>
      </c>
      <c r="D340" t="s">
        <v>66</v>
      </c>
      <c r="E340" t="s">
        <v>1314</v>
      </c>
      <c r="F340">
        <v>1950</v>
      </c>
      <c r="G340" t="s">
        <v>121</v>
      </c>
      <c r="H340" t="s">
        <v>1315</v>
      </c>
      <c r="I340" t="s">
        <v>1316</v>
      </c>
      <c r="J340" t="s">
        <v>71</v>
      </c>
      <c r="K340" s="2" t="str">
        <f>HYPERLINK("http://collections.slsa.sa.gov.au/arthur/06500/BRG347_6277.htm")</f>
        <v>http://collections.slsa.sa.gov.au/arthur/06500/BRG347_6277.htm</v>
      </c>
    </row>
    <row r="341" spans="1:11" x14ac:dyDescent="0.25">
      <c r="A341" t="s">
        <v>1317</v>
      </c>
      <c r="B341" s="1" t="str">
        <f>HYPERLINK("https://www.catalog.slsa.sa.gov.au/record=b2117663")</f>
        <v>https://www.catalog.slsa.sa.gov.au/record=b2117663</v>
      </c>
      <c r="C341" s="1" t="str">
        <f>HYPERLINK("https://www.catalog.slsa.sa.gov.au/xrecord=b2117663")</f>
        <v>https://www.catalog.slsa.sa.gov.au/xrecord=b2117663</v>
      </c>
      <c r="D341" t="s">
        <v>66</v>
      </c>
      <c r="E341" t="s">
        <v>1318</v>
      </c>
      <c r="F341">
        <v>1950</v>
      </c>
      <c r="G341" t="s">
        <v>121</v>
      </c>
      <c r="H341" t="s">
        <v>1319</v>
      </c>
      <c r="I341" t="s">
        <v>1320</v>
      </c>
      <c r="J341" t="s">
        <v>71</v>
      </c>
      <c r="K341" s="2" t="str">
        <f>HYPERLINK("http://collections.slsa.sa.gov.au/arthur/06500/BRG347_6278.htm")</f>
        <v>http://collections.slsa.sa.gov.au/arthur/06500/BRG347_6278.htm</v>
      </c>
    </row>
    <row r="342" spans="1:11" x14ac:dyDescent="0.25">
      <c r="A342" t="s">
        <v>1321</v>
      </c>
      <c r="B342" s="1" t="str">
        <f>HYPERLINK("https://www.catalog.slsa.sa.gov.au/record=b2117664")</f>
        <v>https://www.catalog.slsa.sa.gov.au/record=b2117664</v>
      </c>
      <c r="C342" s="1" t="str">
        <f>HYPERLINK("https://www.catalog.slsa.sa.gov.au/xrecord=b2117664")</f>
        <v>https://www.catalog.slsa.sa.gov.au/xrecord=b2117664</v>
      </c>
      <c r="D342" t="s">
        <v>66</v>
      </c>
      <c r="E342" t="s">
        <v>1322</v>
      </c>
      <c r="F342">
        <v>1950</v>
      </c>
      <c r="G342" t="s">
        <v>121</v>
      </c>
      <c r="H342" t="s">
        <v>1323</v>
      </c>
      <c r="I342" t="s">
        <v>1324</v>
      </c>
      <c r="J342" t="s">
        <v>71</v>
      </c>
      <c r="K342" s="2" t="str">
        <f>HYPERLINK("http://collections.slsa.sa.gov.au/arthur/06500/BRG347_6279.htm")</f>
        <v>http://collections.slsa.sa.gov.au/arthur/06500/BRG347_6279.htm</v>
      </c>
    </row>
    <row r="343" spans="1:11" x14ac:dyDescent="0.25">
      <c r="A343" t="s">
        <v>1325</v>
      </c>
      <c r="B343" s="1" t="str">
        <f>HYPERLINK("https://www.catalog.slsa.sa.gov.au/record=b2117665")</f>
        <v>https://www.catalog.slsa.sa.gov.au/record=b2117665</v>
      </c>
      <c r="C343" s="1" t="str">
        <f>HYPERLINK("https://www.catalog.slsa.sa.gov.au/xrecord=b2117665")</f>
        <v>https://www.catalog.slsa.sa.gov.au/xrecord=b2117665</v>
      </c>
      <c r="D343" t="s">
        <v>66</v>
      </c>
      <c r="E343" t="s">
        <v>1326</v>
      </c>
      <c r="F343">
        <v>1950</v>
      </c>
      <c r="G343" t="s">
        <v>121</v>
      </c>
      <c r="H343" t="s">
        <v>1327</v>
      </c>
      <c r="I343" t="s">
        <v>1328</v>
      </c>
      <c r="J343" t="s">
        <v>71</v>
      </c>
      <c r="K343" s="2" t="str">
        <f>HYPERLINK("http://collections.slsa.sa.gov.au/arthur/06500/BRG347_6280.htm")</f>
        <v>http://collections.slsa.sa.gov.au/arthur/06500/BRG347_6280.htm</v>
      </c>
    </row>
    <row r="344" spans="1:11" x14ac:dyDescent="0.25">
      <c r="A344" t="s">
        <v>1329</v>
      </c>
      <c r="B344" s="1" t="str">
        <f>HYPERLINK("https://www.catalog.slsa.sa.gov.au/record=b2117666")</f>
        <v>https://www.catalog.slsa.sa.gov.au/record=b2117666</v>
      </c>
      <c r="C344" s="1" t="str">
        <f>HYPERLINK("https://www.catalog.slsa.sa.gov.au/xrecord=b2117666")</f>
        <v>https://www.catalog.slsa.sa.gov.au/xrecord=b2117666</v>
      </c>
      <c r="D344" t="s">
        <v>66</v>
      </c>
      <c r="E344" t="s">
        <v>1330</v>
      </c>
      <c r="F344">
        <v>1950</v>
      </c>
      <c r="G344" t="s">
        <v>121</v>
      </c>
      <c r="H344" t="s">
        <v>1331</v>
      </c>
      <c r="I344" t="s">
        <v>1332</v>
      </c>
      <c r="J344" t="s">
        <v>71</v>
      </c>
      <c r="K344" s="2" t="str">
        <f>HYPERLINK("http://collections.slsa.sa.gov.au/arthur/06500/BRG347_6281.htm")</f>
        <v>http://collections.slsa.sa.gov.au/arthur/06500/BRG347_6281.htm</v>
      </c>
    </row>
    <row r="345" spans="1:11" x14ac:dyDescent="0.25">
      <c r="A345" t="s">
        <v>1333</v>
      </c>
      <c r="B345" s="1" t="str">
        <f>HYPERLINK("https://www.catalog.slsa.sa.gov.au/record=b2117667")</f>
        <v>https://www.catalog.slsa.sa.gov.au/record=b2117667</v>
      </c>
      <c r="C345" s="1" t="str">
        <f>HYPERLINK("https://www.catalog.slsa.sa.gov.au/xrecord=b2117667")</f>
        <v>https://www.catalog.slsa.sa.gov.au/xrecord=b2117667</v>
      </c>
      <c r="D345" t="s">
        <v>66</v>
      </c>
      <c r="E345" t="s">
        <v>1334</v>
      </c>
      <c r="F345">
        <v>1950</v>
      </c>
      <c r="G345" t="s">
        <v>121</v>
      </c>
      <c r="H345" t="s">
        <v>1335</v>
      </c>
      <c r="I345" t="s">
        <v>1336</v>
      </c>
      <c r="J345" t="s">
        <v>71</v>
      </c>
      <c r="K345" s="2" t="str">
        <f>HYPERLINK("http://collections.slsa.sa.gov.au/arthur/06500/BRG347_6282.htm")</f>
        <v>http://collections.slsa.sa.gov.au/arthur/06500/BRG347_6282.htm</v>
      </c>
    </row>
    <row r="346" spans="1:11" x14ac:dyDescent="0.25">
      <c r="A346" t="s">
        <v>1337</v>
      </c>
      <c r="B346" s="1" t="str">
        <f>HYPERLINK("https://www.catalog.slsa.sa.gov.au/record=b2117668")</f>
        <v>https://www.catalog.slsa.sa.gov.au/record=b2117668</v>
      </c>
      <c r="C346" s="1" t="str">
        <f>HYPERLINK("https://www.catalog.slsa.sa.gov.au/xrecord=b2117668")</f>
        <v>https://www.catalog.slsa.sa.gov.au/xrecord=b2117668</v>
      </c>
      <c r="D346" t="s">
        <v>66</v>
      </c>
      <c r="E346" t="s">
        <v>1338</v>
      </c>
      <c r="F346">
        <v>1950</v>
      </c>
      <c r="G346" t="s">
        <v>121</v>
      </c>
      <c r="H346" t="s">
        <v>1339</v>
      </c>
      <c r="I346" t="s">
        <v>1340</v>
      </c>
      <c r="J346" t="s">
        <v>71</v>
      </c>
      <c r="K346" s="2" t="str">
        <f>HYPERLINK("http://collections.slsa.sa.gov.au/arthur/06500/BRG347_6283.htm")</f>
        <v>http://collections.slsa.sa.gov.au/arthur/06500/BRG347_6283.htm</v>
      </c>
    </row>
    <row r="347" spans="1:11" x14ac:dyDescent="0.25">
      <c r="A347" t="s">
        <v>1341</v>
      </c>
      <c r="B347" s="1" t="str">
        <f>HYPERLINK("https://www.catalog.slsa.sa.gov.au/record=b2117669")</f>
        <v>https://www.catalog.slsa.sa.gov.au/record=b2117669</v>
      </c>
      <c r="C347" s="1" t="str">
        <f>HYPERLINK("https://www.catalog.slsa.sa.gov.au/xrecord=b2117669")</f>
        <v>https://www.catalog.slsa.sa.gov.au/xrecord=b2117669</v>
      </c>
      <c r="D347" t="s">
        <v>66</v>
      </c>
      <c r="E347" t="s">
        <v>1342</v>
      </c>
      <c r="F347">
        <v>1950</v>
      </c>
      <c r="G347" t="s">
        <v>121</v>
      </c>
      <c r="H347" t="s">
        <v>1343</v>
      </c>
      <c r="I347" t="s">
        <v>1344</v>
      </c>
      <c r="J347" t="s">
        <v>71</v>
      </c>
      <c r="K347" s="2" t="str">
        <f>HYPERLINK("http://collections.slsa.sa.gov.au/arthur/06500/BRG347_6284.htm")</f>
        <v>http://collections.slsa.sa.gov.au/arthur/06500/BRG347_6284.htm</v>
      </c>
    </row>
    <row r="348" spans="1:11" x14ac:dyDescent="0.25">
      <c r="A348" t="s">
        <v>1345</v>
      </c>
      <c r="B348" s="1" t="str">
        <f>HYPERLINK("https://www.catalog.slsa.sa.gov.au/record=b2117671")</f>
        <v>https://www.catalog.slsa.sa.gov.au/record=b2117671</v>
      </c>
      <c r="C348" s="1" t="str">
        <f>HYPERLINK("https://www.catalog.slsa.sa.gov.au/xrecord=b2117671")</f>
        <v>https://www.catalog.slsa.sa.gov.au/xrecord=b2117671</v>
      </c>
      <c r="D348" t="s">
        <v>66</v>
      </c>
      <c r="E348" t="s">
        <v>1346</v>
      </c>
      <c r="F348">
        <v>1950</v>
      </c>
      <c r="G348" t="s">
        <v>121</v>
      </c>
      <c r="H348" t="s">
        <v>1347</v>
      </c>
      <c r="I348" t="s">
        <v>1348</v>
      </c>
      <c r="J348" t="s">
        <v>71</v>
      </c>
      <c r="K348" s="2" t="str">
        <f>HYPERLINK("http://collections.slsa.sa.gov.au/arthur/06500/BRG347_6285.htm")</f>
        <v>http://collections.slsa.sa.gov.au/arthur/06500/BRG347_6285.htm</v>
      </c>
    </row>
    <row r="349" spans="1:11" x14ac:dyDescent="0.25">
      <c r="A349" t="s">
        <v>1349</v>
      </c>
      <c r="B349" s="1" t="str">
        <f>HYPERLINK("https://www.catalog.slsa.sa.gov.au/record=b2117672")</f>
        <v>https://www.catalog.slsa.sa.gov.au/record=b2117672</v>
      </c>
      <c r="C349" s="1" t="str">
        <f>HYPERLINK("https://www.catalog.slsa.sa.gov.au/xrecord=b2117672")</f>
        <v>https://www.catalog.slsa.sa.gov.au/xrecord=b2117672</v>
      </c>
      <c r="D349" t="s">
        <v>66</v>
      </c>
      <c r="E349" t="s">
        <v>1350</v>
      </c>
      <c r="F349">
        <v>1950</v>
      </c>
      <c r="G349" t="s">
        <v>121</v>
      </c>
      <c r="H349" t="s">
        <v>1351</v>
      </c>
      <c r="I349" t="s">
        <v>1352</v>
      </c>
      <c r="J349" t="s">
        <v>71</v>
      </c>
      <c r="K349" s="2" t="str">
        <f>HYPERLINK("http://collections.slsa.sa.gov.au/arthur/06500/BRG347_6286.htm")</f>
        <v>http://collections.slsa.sa.gov.au/arthur/06500/BRG347_6286.htm</v>
      </c>
    </row>
    <row r="350" spans="1:11" x14ac:dyDescent="0.25">
      <c r="A350" t="s">
        <v>1353</v>
      </c>
      <c r="B350" s="1" t="str">
        <f>HYPERLINK("https://www.catalog.slsa.sa.gov.au/record=b2117673")</f>
        <v>https://www.catalog.slsa.sa.gov.au/record=b2117673</v>
      </c>
      <c r="C350" s="1" t="str">
        <f>HYPERLINK("https://www.catalog.slsa.sa.gov.au/xrecord=b2117673")</f>
        <v>https://www.catalog.slsa.sa.gov.au/xrecord=b2117673</v>
      </c>
      <c r="D350" t="s">
        <v>66</v>
      </c>
      <c r="E350" t="s">
        <v>1354</v>
      </c>
      <c r="F350">
        <v>1950</v>
      </c>
      <c r="G350" t="s">
        <v>121</v>
      </c>
      <c r="H350" t="s">
        <v>1355</v>
      </c>
      <c r="I350" t="s">
        <v>1356</v>
      </c>
      <c r="J350" t="s">
        <v>71</v>
      </c>
      <c r="K350" s="2" t="str">
        <f>HYPERLINK("http://collections.slsa.sa.gov.au/arthur/06500/BRG347_6287.htm")</f>
        <v>http://collections.slsa.sa.gov.au/arthur/06500/BRG347_6287.htm</v>
      </c>
    </row>
    <row r="351" spans="1:11" x14ac:dyDescent="0.25">
      <c r="A351" t="s">
        <v>1357</v>
      </c>
      <c r="B351" s="1" t="str">
        <f>HYPERLINK("https://www.catalog.slsa.sa.gov.au/record=b2117674")</f>
        <v>https://www.catalog.slsa.sa.gov.au/record=b2117674</v>
      </c>
      <c r="C351" s="1" t="str">
        <f>HYPERLINK("https://www.catalog.slsa.sa.gov.au/xrecord=b2117674")</f>
        <v>https://www.catalog.slsa.sa.gov.au/xrecord=b2117674</v>
      </c>
      <c r="D351" t="s">
        <v>66</v>
      </c>
      <c r="E351" t="s">
        <v>1358</v>
      </c>
      <c r="F351">
        <v>1950</v>
      </c>
      <c r="G351" t="s">
        <v>121</v>
      </c>
      <c r="H351" t="s">
        <v>1359</v>
      </c>
      <c r="I351" t="s">
        <v>1360</v>
      </c>
      <c r="J351" t="s">
        <v>71</v>
      </c>
      <c r="K351" s="2" t="str">
        <f>HYPERLINK("http://collections.slsa.sa.gov.au/arthur/06500/BRG347_6288.htm")</f>
        <v>http://collections.slsa.sa.gov.au/arthur/06500/BRG347_6288.htm</v>
      </c>
    </row>
    <row r="352" spans="1:11" x14ac:dyDescent="0.25">
      <c r="A352" t="s">
        <v>1361</v>
      </c>
      <c r="B352" s="1" t="str">
        <f>HYPERLINK("https://www.catalog.slsa.sa.gov.au/record=b2117675")</f>
        <v>https://www.catalog.slsa.sa.gov.au/record=b2117675</v>
      </c>
      <c r="C352" s="1" t="str">
        <f>HYPERLINK("https://www.catalog.slsa.sa.gov.au/xrecord=b2117675")</f>
        <v>https://www.catalog.slsa.sa.gov.au/xrecord=b2117675</v>
      </c>
      <c r="D352" t="s">
        <v>66</v>
      </c>
      <c r="E352" t="s">
        <v>1362</v>
      </c>
      <c r="F352">
        <v>1950</v>
      </c>
      <c r="G352" t="s">
        <v>121</v>
      </c>
      <c r="H352" t="s">
        <v>1363</v>
      </c>
      <c r="I352" t="s">
        <v>1364</v>
      </c>
      <c r="J352" t="s">
        <v>71</v>
      </c>
      <c r="K352" s="2" t="str">
        <f>HYPERLINK("http://collections.slsa.sa.gov.au/arthur/06500/BRG347_6289.htm")</f>
        <v>http://collections.slsa.sa.gov.au/arthur/06500/BRG347_6289.htm</v>
      </c>
    </row>
    <row r="353" spans="1:11" x14ac:dyDescent="0.25">
      <c r="A353" t="s">
        <v>1365</v>
      </c>
      <c r="B353" s="1" t="str">
        <f>HYPERLINK("https://www.catalog.slsa.sa.gov.au/record=b2117677")</f>
        <v>https://www.catalog.slsa.sa.gov.au/record=b2117677</v>
      </c>
      <c r="C353" s="1" t="str">
        <f>HYPERLINK("https://www.catalog.slsa.sa.gov.au/xrecord=b2117677")</f>
        <v>https://www.catalog.slsa.sa.gov.au/xrecord=b2117677</v>
      </c>
      <c r="D353" t="s">
        <v>66</v>
      </c>
      <c r="E353" t="s">
        <v>1366</v>
      </c>
      <c r="F353">
        <v>1950</v>
      </c>
      <c r="G353" t="s">
        <v>121</v>
      </c>
      <c r="H353" t="s">
        <v>1367</v>
      </c>
      <c r="I353" t="s">
        <v>1364</v>
      </c>
      <c r="J353" t="s">
        <v>71</v>
      </c>
      <c r="K353" s="2" t="str">
        <f>HYPERLINK("http://collections.slsa.sa.gov.au/arthur/06500/BRG347_6290.htm")</f>
        <v>http://collections.slsa.sa.gov.au/arthur/06500/BRG347_6290.htm</v>
      </c>
    </row>
    <row r="354" spans="1:11" x14ac:dyDescent="0.25">
      <c r="A354" t="s">
        <v>1368</v>
      </c>
      <c r="B354" s="1" t="str">
        <f>HYPERLINK("https://www.catalog.slsa.sa.gov.au/record=b2117678")</f>
        <v>https://www.catalog.slsa.sa.gov.au/record=b2117678</v>
      </c>
      <c r="C354" s="1" t="str">
        <f>HYPERLINK("https://www.catalog.slsa.sa.gov.au/xrecord=b2117678")</f>
        <v>https://www.catalog.slsa.sa.gov.au/xrecord=b2117678</v>
      </c>
      <c r="D354" t="s">
        <v>66</v>
      </c>
      <c r="E354" t="s">
        <v>1369</v>
      </c>
      <c r="F354">
        <v>1950</v>
      </c>
      <c r="G354" t="s">
        <v>121</v>
      </c>
      <c r="H354" t="s">
        <v>1370</v>
      </c>
      <c r="I354" t="s">
        <v>1371</v>
      </c>
      <c r="J354" t="s">
        <v>71</v>
      </c>
      <c r="K354" s="2" t="str">
        <f>HYPERLINK("http://collections.slsa.sa.gov.au/arthur/06500/BRG347_6291.htm")</f>
        <v>http://collections.slsa.sa.gov.au/arthur/06500/BRG347_6291.htm</v>
      </c>
    </row>
    <row r="355" spans="1:11" x14ac:dyDescent="0.25">
      <c r="A355" t="s">
        <v>1372</v>
      </c>
      <c r="B355" s="1" t="str">
        <f>HYPERLINK("https://www.catalog.slsa.sa.gov.au/record=b2117679")</f>
        <v>https://www.catalog.slsa.sa.gov.au/record=b2117679</v>
      </c>
      <c r="C355" s="1" t="str">
        <f>HYPERLINK("https://www.catalog.slsa.sa.gov.au/xrecord=b2117679")</f>
        <v>https://www.catalog.slsa.sa.gov.au/xrecord=b2117679</v>
      </c>
      <c r="D355" t="s">
        <v>66</v>
      </c>
      <c r="E355" t="s">
        <v>1373</v>
      </c>
      <c r="F355">
        <v>1950</v>
      </c>
      <c r="G355" t="s">
        <v>121</v>
      </c>
      <c r="H355" t="s">
        <v>1374</v>
      </c>
      <c r="I355" t="s">
        <v>1375</v>
      </c>
      <c r="J355" t="s">
        <v>71</v>
      </c>
      <c r="K355" s="2" t="str">
        <f>HYPERLINK("http://collections.slsa.sa.gov.au/arthur/06500/BRG347_6292.htm")</f>
        <v>http://collections.slsa.sa.gov.au/arthur/06500/BRG347_6292.htm</v>
      </c>
    </row>
    <row r="356" spans="1:11" x14ac:dyDescent="0.25">
      <c r="A356" t="s">
        <v>1376</v>
      </c>
      <c r="B356" s="1" t="str">
        <f>HYPERLINK("https://www.catalog.slsa.sa.gov.au/record=b2117681")</f>
        <v>https://www.catalog.slsa.sa.gov.au/record=b2117681</v>
      </c>
      <c r="C356" s="1" t="str">
        <f>HYPERLINK("https://www.catalog.slsa.sa.gov.au/xrecord=b2117681")</f>
        <v>https://www.catalog.slsa.sa.gov.au/xrecord=b2117681</v>
      </c>
      <c r="D356" t="s">
        <v>66</v>
      </c>
      <c r="E356" t="s">
        <v>1377</v>
      </c>
      <c r="F356">
        <v>1950</v>
      </c>
      <c r="G356" t="s">
        <v>121</v>
      </c>
      <c r="H356" t="s">
        <v>1378</v>
      </c>
      <c r="I356" t="s">
        <v>1379</v>
      </c>
      <c r="J356" t="s">
        <v>71</v>
      </c>
      <c r="K356" s="2" t="str">
        <f>HYPERLINK("http://collections.slsa.sa.gov.au/arthur/06500/BRG347_6293.htm")</f>
        <v>http://collections.slsa.sa.gov.au/arthur/06500/BRG347_6293.htm</v>
      </c>
    </row>
    <row r="357" spans="1:11" x14ac:dyDescent="0.25">
      <c r="A357" t="s">
        <v>1380</v>
      </c>
      <c r="B357" s="1" t="str">
        <f>HYPERLINK("https://www.catalog.slsa.sa.gov.au/record=b2117682")</f>
        <v>https://www.catalog.slsa.sa.gov.au/record=b2117682</v>
      </c>
      <c r="C357" s="1" t="str">
        <f>HYPERLINK("https://www.catalog.slsa.sa.gov.au/xrecord=b2117682")</f>
        <v>https://www.catalog.slsa.sa.gov.au/xrecord=b2117682</v>
      </c>
      <c r="D357" t="s">
        <v>66</v>
      </c>
      <c r="E357" t="s">
        <v>1381</v>
      </c>
      <c r="F357">
        <v>1950</v>
      </c>
      <c r="G357" t="s">
        <v>121</v>
      </c>
      <c r="H357" t="s">
        <v>1382</v>
      </c>
      <c r="I357" t="s">
        <v>1383</v>
      </c>
      <c r="J357" t="s">
        <v>71</v>
      </c>
      <c r="K357" s="2" t="str">
        <f>HYPERLINK("http://collections.slsa.sa.gov.au/arthur/06500/BRG347_6294.htm")</f>
        <v>http://collections.slsa.sa.gov.au/arthur/06500/BRG347_6294.htm</v>
      </c>
    </row>
    <row r="358" spans="1:11" x14ac:dyDescent="0.25">
      <c r="A358" t="s">
        <v>1384</v>
      </c>
      <c r="B358" s="1" t="str">
        <f>HYPERLINK("https://www.catalog.slsa.sa.gov.au/record=b2117683")</f>
        <v>https://www.catalog.slsa.sa.gov.au/record=b2117683</v>
      </c>
      <c r="C358" s="1" t="str">
        <f>HYPERLINK("https://www.catalog.slsa.sa.gov.au/xrecord=b2117683")</f>
        <v>https://www.catalog.slsa.sa.gov.au/xrecord=b2117683</v>
      </c>
      <c r="D358" t="s">
        <v>66</v>
      </c>
      <c r="E358" t="s">
        <v>861</v>
      </c>
      <c r="F358">
        <v>1950</v>
      </c>
      <c r="G358" t="s">
        <v>121</v>
      </c>
      <c r="H358" t="s">
        <v>1385</v>
      </c>
      <c r="I358" t="s">
        <v>1386</v>
      </c>
      <c r="J358" t="s">
        <v>71</v>
      </c>
      <c r="K358" s="2" t="str">
        <f>HYPERLINK("http://collections.slsa.sa.gov.au/arthur/06500/BRG347_6295.htm")</f>
        <v>http://collections.slsa.sa.gov.au/arthur/06500/BRG347_6295.htm</v>
      </c>
    </row>
    <row r="359" spans="1:11" x14ac:dyDescent="0.25">
      <c r="A359" t="s">
        <v>1387</v>
      </c>
      <c r="B359" s="1" t="str">
        <f>HYPERLINK("https://www.catalog.slsa.sa.gov.au/record=b2117684")</f>
        <v>https://www.catalog.slsa.sa.gov.au/record=b2117684</v>
      </c>
      <c r="C359" s="1" t="str">
        <f>HYPERLINK("https://www.catalog.slsa.sa.gov.au/xrecord=b2117684")</f>
        <v>https://www.catalog.slsa.sa.gov.au/xrecord=b2117684</v>
      </c>
      <c r="D359" t="s">
        <v>66</v>
      </c>
      <c r="E359" t="s">
        <v>1388</v>
      </c>
      <c r="F359">
        <v>1950</v>
      </c>
      <c r="G359" t="s">
        <v>121</v>
      </c>
      <c r="H359" t="s">
        <v>1389</v>
      </c>
      <c r="I359" t="s">
        <v>1390</v>
      </c>
      <c r="J359" t="s">
        <v>71</v>
      </c>
      <c r="K359" s="2" t="str">
        <f>HYPERLINK("http://collections.slsa.sa.gov.au/arthur/06500/BRG347_6296.htm")</f>
        <v>http://collections.slsa.sa.gov.au/arthur/06500/BRG347_6296.htm</v>
      </c>
    </row>
    <row r="360" spans="1:11" x14ac:dyDescent="0.25">
      <c r="A360" t="s">
        <v>1391</v>
      </c>
      <c r="B360" s="1" t="str">
        <f>HYPERLINK("https://www.catalog.slsa.sa.gov.au/record=b2117685")</f>
        <v>https://www.catalog.slsa.sa.gov.au/record=b2117685</v>
      </c>
      <c r="C360" s="1" t="str">
        <f>HYPERLINK("https://www.catalog.slsa.sa.gov.au/xrecord=b2117685")</f>
        <v>https://www.catalog.slsa.sa.gov.au/xrecord=b2117685</v>
      </c>
      <c r="D360" t="s">
        <v>66</v>
      </c>
      <c r="E360" t="s">
        <v>1392</v>
      </c>
      <c r="F360">
        <v>1950</v>
      </c>
      <c r="G360" t="s">
        <v>121</v>
      </c>
      <c r="H360" t="s">
        <v>1393</v>
      </c>
      <c r="I360" t="s">
        <v>1394</v>
      </c>
      <c r="J360" t="s">
        <v>71</v>
      </c>
      <c r="K360" s="2" t="str">
        <f>HYPERLINK("http://collections.slsa.sa.gov.au/arthur/06500/BRG347_6297.htm")</f>
        <v>http://collections.slsa.sa.gov.au/arthur/06500/BRG347_6297.htm</v>
      </c>
    </row>
    <row r="361" spans="1:11" x14ac:dyDescent="0.25">
      <c r="A361" t="s">
        <v>1395</v>
      </c>
      <c r="B361" s="1" t="str">
        <f>HYPERLINK("https://www.catalog.slsa.sa.gov.au/record=b2117686")</f>
        <v>https://www.catalog.slsa.sa.gov.au/record=b2117686</v>
      </c>
      <c r="C361" s="1" t="str">
        <f>HYPERLINK("https://www.catalog.slsa.sa.gov.au/xrecord=b2117686")</f>
        <v>https://www.catalog.slsa.sa.gov.au/xrecord=b2117686</v>
      </c>
      <c r="D361" t="s">
        <v>66</v>
      </c>
      <c r="E361" t="s">
        <v>1396</v>
      </c>
      <c r="F361">
        <v>1950</v>
      </c>
      <c r="G361" t="s">
        <v>121</v>
      </c>
      <c r="H361" t="s">
        <v>1397</v>
      </c>
      <c r="I361" t="s">
        <v>1398</v>
      </c>
      <c r="J361" t="s">
        <v>71</v>
      </c>
      <c r="K361" s="2" t="str">
        <f>HYPERLINK("http://collections.slsa.sa.gov.au/arthur/06500/BRG347_6298.htm")</f>
        <v>http://collections.slsa.sa.gov.au/arthur/06500/BRG347_6298.htm</v>
      </c>
    </row>
    <row r="362" spans="1:11" x14ac:dyDescent="0.25">
      <c r="A362" t="s">
        <v>1399</v>
      </c>
      <c r="B362" s="1" t="str">
        <f>HYPERLINK("https://www.catalog.slsa.sa.gov.au/record=b2117687")</f>
        <v>https://www.catalog.slsa.sa.gov.au/record=b2117687</v>
      </c>
      <c r="C362" s="1" t="str">
        <f>HYPERLINK("https://www.catalog.slsa.sa.gov.au/xrecord=b2117687")</f>
        <v>https://www.catalog.slsa.sa.gov.au/xrecord=b2117687</v>
      </c>
      <c r="D362" t="s">
        <v>66</v>
      </c>
      <c r="E362" t="s">
        <v>1400</v>
      </c>
      <c r="F362">
        <v>1950</v>
      </c>
      <c r="G362" t="s">
        <v>121</v>
      </c>
      <c r="H362" t="s">
        <v>1401</v>
      </c>
      <c r="I362" t="s">
        <v>1402</v>
      </c>
      <c r="J362" t="s">
        <v>71</v>
      </c>
      <c r="K362" s="2" t="str">
        <f>HYPERLINK("http://collections.slsa.sa.gov.au/arthur/06500/BRG347_6299.htm")</f>
        <v>http://collections.slsa.sa.gov.au/arthur/06500/BRG347_6299.htm</v>
      </c>
    </row>
    <row r="363" spans="1:11" x14ac:dyDescent="0.25">
      <c r="A363" t="s">
        <v>1403</v>
      </c>
      <c r="B363" s="1" t="str">
        <f>HYPERLINK("https://www.catalog.slsa.sa.gov.au/record=b2117688")</f>
        <v>https://www.catalog.slsa.sa.gov.au/record=b2117688</v>
      </c>
      <c r="C363" s="1" t="str">
        <f>HYPERLINK("https://www.catalog.slsa.sa.gov.au/xrecord=b2117688")</f>
        <v>https://www.catalog.slsa.sa.gov.au/xrecord=b2117688</v>
      </c>
      <c r="D363" t="s">
        <v>66</v>
      </c>
      <c r="E363" t="s">
        <v>1404</v>
      </c>
      <c r="F363">
        <v>1950</v>
      </c>
      <c r="G363" t="s">
        <v>121</v>
      </c>
      <c r="H363" t="s">
        <v>1405</v>
      </c>
      <c r="I363" t="s">
        <v>1348</v>
      </c>
      <c r="J363" t="s">
        <v>71</v>
      </c>
      <c r="K363" s="2" t="str">
        <f>HYPERLINK("http://collections.slsa.sa.gov.au/arthur/06500/BRG347_6300.htm")</f>
        <v>http://collections.slsa.sa.gov.au/arthur/06500/BRG347_6300.htm</v>
      </c>
    </row>
    <row r="364" spans="1:11" x14ac:dyDescent="0.25">
      <c r="A364" t="s">
        <v>1406</v>
      </c>
      <c r="B364" s="1" t="str">
        <f>HYPERLINK("https://www.catalog.slsa.sa.gov.au/record=b2117689")</f>
        <v>https://www.catalog.slsa.sa.gov.au/record=b2117689</v>
      </c>
      <c r="C364" s="1" t="str">
        <f>HYPERLINK("https://www.catalog.slsa.sa.gov.au/xrecord=b2117689")</f>
        <v>https://www.catalog.slsa.sa.gov.au/xrecord=b2117689</v>
      </c>
      <c r="D364" t="s">
        <v>66</v>
      </c>
      <c r="E364" t="s">
        <v>1407</v>
      </c>
      <c r="F364">
        <v>1950</v>
      </c>
      <c r="G364" t="s">
        <v>121</v>
      </c>
      <c r="H364" t="s">
        <v>1408</v>
      </c>
      <c r="I364" t="s">
        <v>1409</v>
      </c>
      <c r="J364" t="s">
        <v>71</v>
      </c>
      <c r="K364" s="2" t="str">
        <f>HYPERLINK("http://collections.slsa.sa.gov.au/arthur/06500/BRG347_6301.htm")</f>
        <v>http://collections.slsa.sa.gov.au/arthur/06500/BRG347_6301.htm</v>
      </c>
    </row>
    <row r="365" spans="1:11" x14ac:dyDescent="0.25">
      <c r="A365" t="s">
        <v>1410</v>
      </c>
      <c r="B365" s="1" t="str">
        <f>HYPERLINK("https://www.catalog.slsa.sa.gov.au/record=b2117690")</f>
        <v>https://www.catalog.slsa.sa.gov.au/record=b2117690</v>
      </c>
      <c r="C365" s="1" t="str">
        <f>HYPERLINK("https://www.catalog.slsa.sa.gov.au/xrecord=b2117690")</f>
        <v>https://www.catalog.slsa.sa.gov.au/xrecord=b2117690</v>
      </c>
      <c r="D365" t="s">
        <v>66</v>
      </c>
      <c r="E365" t="s">
        <v>1411</v>
      </c>
      <c r="F365">
        <v>1950</v>
      </c>
      <c r="G365" t="s">
        <v>121</v>
      </c>
      <c r="H365" t="s">
        <v>1412</v>
      </c>
      <c r="I365" t="s">
        <v>1413</v>
      </c>
      <c r="J365" t="s">
        <v>71</v>
      </c>
      <c r="K365" s="2" t="str">
        <f>HYPERLINK("http://collections.slsa.sa.gov.au/arthur/06500/BRG347_6302.htm")</f>
        <v>http://collections.slsa.sa.gov.au/arthur/06500/BRG347_6302.htm</v>
      </c>
    </row>
    <row r="366" spans="1:11" x14ac:dyDescent="0.25">
      <c r="A366" t="s">
        <v>1414</v>
      </c>
      <c r="B366" s="1" t="str">
        <f>HYPERLINK("https://www.catalog.slsa.sa.gov.au/record=b2117691")</f>
        <v>https://www.catalog.slsa.sa.gov.au/record=b2117691</v>
      </c>
      <c r="C366" s="1" t="str">
        <f>HYPERLINK("https://www.catalog.slsa.sa.gov.au/xrecord=b2117691")</f>
        <v>https://www.catalog.slsa.sa.gov.au/xrecord=b2117691</v>
      </c>
      <c r="D366" t="s">
        <v>66</v>
      </c>
      <c r="E366" t="s">
        <v>1415</v>
      </c>
      <c r="F366">
        <v>1950</v>
      </c>
      <c r="G366" t="s">
        <v>121</v>
      </c>
      <c r="H366" t="s">
        <v>1416</v>
      </c>
      <c r="I366" t="s">
        <v>1417</v>
      </c>
      <c r="J366" t="s">
        <v>71</v>
      </c>
      <c r="K366" s="2" t="str">
        <f>HYPERLINK("http://collections.slsa.sa.gov.au/arthur/06500/BRG347_6303.htm")</f>
        <v>http://collections.slsa.sa.gov.au/arthur/06500/BRG347_6303.htm</v>
      </c>
    </row>
    <row r="367" spans="1:11" x14ac:dyDescent="0.25">
      <c r="A367" t="s">
        <v>1418</v>
      </c>
      <c r="B367" s="1" t="str">
        <f>HYPERLINK("https://www.catalog.slsa.sa.gov.au/record=b2117692")</f>
        <v>https://www.catalog.slsa.sa.gov.au/record=b2117692</v>
      </c>
      <c r="C367" s="1" t="str">
        <f>HYPERLINK("https://www.catalog.slsa.sa.gov.au/xrecord=b2117692")</f>
        <v>https://www.catalog.slsa.sa.gov.au/xrecord=b2117692</v>
      </c>
      <c r="D367" t="s">
        <v>66</v>
      </c>
      <c r="E367" t="s">
        <v>1419</v>
      </c>
      <c r="F367">
        <v>1950</v>
      </c>
      <c r="G367" t="s">
        <v>121</v>
      </c>
      <c r="H367" t="s">
        <v>1420</v>
      </c>
      <c r="I367" t="s">
        <v>1421</v>
      </c>
      <c r="J367" t="s">
        <v>71</v>
      </c>
      <c r="K367" s="2" t="str">
        <f>HYPERLINK("http://collections.slsa.sa.gov.au/arthur/06500/BRG347_6304.htm")</f>
        <v>http://collections.slsa.sa.gov.au/arthur/06500/BRG347_6304.htm</v>
      </c>
    </row>
    <row r="368" spans="1:11" x14ac:dyDescent="0.25">
      <c r="A368" t="s">
        <v>1422</v>
      </c>
      <c r="B368" s="1" t="str">
        <f>HYPERLINK("https://www.catalog.slsa.sa.gov.au/record=b2117693")</f>
        <v>https://www.catalog.slsa.sa.gov.au/record=b2117693</v>
      </c>
      <c r="C368" s="1" t="str">
        <f>HYPERLINK("https://www.catalog.slsa.sa.gov.au/xrecord=b2117693")</f>
        <v>https://www.catalog.slsa.sa.gov.au/xrecord=b2117693</v>
      </c>
      <c r="D368" t="s">
        <v>66</v>
      </c>
      <c r="E368" t="s">
        <v>1423</v>
      </c>
      <c r="F368">
        <v>1950</v>
      </c>
      <c r="G368" t="s">
        <v>121</v>
      </c>
      <c r="H368" t="s">
        <v>1424</v>
      </c>
      <c r="I368" t="s">
        <v>1425</v>
      </c>
      <c r="J368" t="s">
        <v>71</v>
      </c>
      <c r="K368" s="2" t="str">
        <f>HYPERLINK("http://collections.slsa.sa.gov.au/arthur/06500/BRG347_6305.htm")</f>
        <v>http://collections.slsa.sa.gov.au/arthur/06500/BRG347_6305.htm</v>
      </c>
    </row>
    <row r="369" spans="1:11" x14ac:dyDescent="0.25">
      <c r="A369" t="s">
        <v>1426</v>
      </c>
      <c r="B369" s="1" t="str">
        <f>HYPERLINK("https://www.catalog.slsa.sa.gov.au/record=b2117694")</f>
        <v>https://www.catalog.slsa.sa.gov.au/record=b2117694</v>
      </c>
      <c r="C369" s="1" t="str">
        <f>HYPERLINK("https://www.catalog.slsa.sa.gov.au/xrecord=b2117694")</f>
        <v>https://www.catalog.slsa.sa.gov.au/xrecord=b2117694</v>
      </c>
      <c r="D369" t="s">
        <v>66</v>
      </c>
      <c r="E369" t="s">
        <v>1427</v>
      </c>
      <c r="F369">
        <v>1950</v>
      </c>
      <c r="G369" t="s">
        <v>121</v>
      </c>
      <c r="H369" t="s">
        <v>1428</v>
      </c>
      <c r="I369" t="s">
        <v>1429</v>
      </c>
      <c r="J369" t="s">
        <v>71</v>
      </c>
      <c r="K369" s="2" t="str">
        <f>HYPERLINK("http://collections.slsa.sa.gov.au/arthur/06500/BRG347_6306.htm")</f>
        <v>http://collections.slsa.sa.gov.au/arthur/06500/BRG347_6306.htm</v>
      </c>
    </row>
    <row r="370" spans="1:11" x14ac:dyDescent="0.25">
      <c r="A370" t="s">
        <v>1430</v>
      </c>
      <c r="B370" s="1" t="str">
        <f>HYPERLINK("https://www.catalog.slsa.sa.gov.au/record=b2117695")</f>
        <v>https://www.catalog.slsa.sa.gov.au/record=b2117695</v>
      </c>
      <c r="C370" s="1" t="str">
        <f>HYPERLINK("https://www.catalog.slsa.sa.gov.au/xrecord=b2117695")</f>
        <v>https://www.catalog.slsa.sa.gov.au/xrecord=b2117695</v>
      </c>
      <c r="D370" t="s">
        <v>66</v>
      </c>
      <c r="E370" t="s">
        <v>1431</v>
      </c>
      <c r="F370">
        <v>1950</v>
      </c>
      <c r="G370" t="s">
        <v>121</v>
      </c>
      <c r="H370" t="s">
        <v>1432</v>
      </c>
      <c r="I370" t="s">
        <v>1433</v>
      </c>
      <c r="J370" t="s">
        <v>71</v>
      </c>
      <c r="K370" s="2" t="str">
        <f>HYPERLINK("http://collections.slsa.sa.gov.au/arthur/06500/BRG347_6307.htm")</f>
        <v>http://collections.slsa.sa.gov.au/arthur/06500/BRG347_6307.htm</v>
      </c>
    </row>
    <row r="371" spans="1:11" x14ac:dyDescent="0.25">
      <c r="A371" t="s">
        <v>1434</v>
      </c>
      <c r="B371" s="1" t="str">
        <f>HYPERLINK("https://www.catalog.slsa.sa.gov.au/record=b2117696")</f>
        <v>https://www.catalog.slsa.sa.gov.au/record=b2117696</v>
      </c>
      <c r="C371" s="1" t="str">
        <f>HYPERLINK("https://www.catalog.slsa.sa.gov.au/xrecord=b2117696")</f>
        <v>https://www.catalog.slsa.sa.gov.au/xrecord=b2117696</v>
      </c>
      <c r="D371" t="s">
        <v>66</v>
      </c>
      <c r="E371" t="s">
        <v>1435</v>
      </c>
      <c r="F371">
        <v>1950</v>
      </c>
      <c r="G371" t="s">
        <v>121</v>
      </c>
      <c r="H371" t="s">
        <v>1436</v>
      </c>
      <c r="I371" t="s">
        <v>1352</v>
      </c>
      <c r="J371" t="s">
        <v>71</v>
      </c>
      <c r="K371" s="2" t="str">
        <f>HYPERLINK("http://collections.slsa.sa.gov.au/arthur/06500/BRG347_6308.htm")</f>
        <v>http://collections.slsa.sa.gov.au/arthur/06500/BRG347_6308.htm</v>
      </c>
    </row>
    <row r="372" spans="1:11" x14ac:dyDescent="0.25">
      <c r="A372" t="s">
        <v>1437</v>
      </c>
      <c r="B372" s="1" t="str">
        <f>HYPERLINK("https://www.catalog.slsa.sa.gov.au/record=b2117698")</f>
        <v>https://www.catalog.slsa.sa.gov.au/record=b2117698</v>
      </c>
      <c r="C372" s="1" t="str">
        <f>HYPERLINK("https://www.catalog.slsa.sa.gov.au/xrecord=b2117698")</f>
        <v>https://www.catalog.slsa.sa.gov.au/xrecord=b2117698</v>
      </c>
      <c r="D372" t="s">
        <v>66</v>
      </c>
      <c r="E372" t="s">
        <v>1438</v>
      </c>
      <c r="F372">
        <v>1950</v>
      </c>
      <c r="G372" t="s">
        <v>121</v>
      </c>
      <c r="H372" t="s">
        <v>1439</v>
      </c>
      <c r="I372" t="s">
        <v>1440</v>
      </c>
      <c r="J372" t="s">
        <v>71</v>
      </c>
      <c r="K372" s="2" t="str">
        <f>HYPERLINK("http://collections.slsa.sa.gov.au/arthur/06500/BRG347_6309.htm")</f>
        <v>http://collections.slsa.sa.gov.au/arthur/06500/BRG347_6309.htm</v>
      </c>
    </row>
    <row r="373" spans="1:11" x14ac:dyDescent="0.25">
      <c r="A373" t="s">
        <v>1441</v>
      </c>
      <c r="B373" s="1" t="str">
        <f>HYPERLINK("https://www.catalog.slsa.sa.gov.au/record=b2117699")</f>
        <v>https://www.catalog.slsa.sa.gov.au/record=b2117699</v>
      </c>
      <c r="C373" s="1" t="str">
        <f>HYPERLINK("https://www.catalog.slsa.sa.gov.au/xrecord=b2117699")</f>
        <v>https://www.catalog.slsa.sa.gov.au/xrecord=b2117699</v>
      </c>
      <c r="D373" t="s">
        <v>66</v>
      </c>
      <c r="E373" t="s">
        <v>1442</v>
      </c>
      <c r="F373">
        <v>1950</v>
      </c>
      <c r="G373" t="s">
        <v>121</v>
      </c>
      <c r="H373" t="s">
        <v>1443</v>
      </c>
      <c r="I373" t="s">
        <v>1444</v>
      </c>
      <c r="J373" t="s">
        <v>71</v>
      </c>
      <c r="K373" s="2" t="str">
        <f>HYPERLINK("http://collections.slsa.sa.gov.au/arthur/06500/BRG347_6310.htm")</f>
        <v>http://collections.slsa.sa.gov.au/arthur/06500/BRG347_6310.htm</v>
      </c>
    </row>
    <row r="374" spans="1:11" x14ac:dyDescent="0.25">
      <c r="A374" t="s">
        <v>1445</v>
      </c>
      <c r="B374" s="1" t="str">
        <f>HYPERLINK("https://www.catalog.slsa.sa.gov.au/record=b2117700")</f>
        <v>https://www.catalog.slsa.sa.gov.au/record=b2117700</v>
      </c>
      <c r="C374" s="1" t="str">
        <f>HYPERLINK("https://www.catalog.slsa.sa.gov.au/xrecord=b2117700")</f>
        <v>https://www.catalog.slsa.sa.gov.au/xrecord=b2117700</v>
      </c>
      <c r="D374" t="s">
        <v>66</v>
      </c>
      <c r="E374" t="s">
        <v>1446</v>
      </c>
      <c r="F374">
        <v>1950</v>
      </c>
      <c r="G374" t="s">
        <v>121</v>
      </c>
      <c r="H374" t="s">
        <v>1447</v>
      </c>
      <c r="I374" t="s">
        <v>1448</v>
      </c>
      <c r="J374" t="s">
        <v>71</v>
      </c>
      <c r="K374" s="2" t="str">
        <f>HYPERLINK("http://collections.slsa.sa.gov.au/arthur/06500/BRG347_6311.htm")</f>
        <v>http://collections.slsa.sa.gov.au/arthur/06500/BRG347_6311.htm</v>
      </c>
    </row>
    <row r="375" spans="1:11" x14ac:dyDescent="0.25">
      <c r="A375" t="s">
        <v>1449</v>
      </c>
      <c r="B375" s="1" t="str">
        <f>HYPERLINK("https://www.catalog.slsa.sa.gov.au/record=b2117702")</f>
        <v>https://www.catalog.slsa.sa.gov.au/record=b2117702</v>
      </c>
      <c r="C375" s="1" t="str">
        <f>HYPERLINK("https://www.catalog.slsa.sa.gov.au/xrecord=b2117702")</f>
        <v>https://www.catalog.slsa.sa.gov.au/xrecord=b2117702</v>
      </c>
      <c r="D375" t="s">
        <v>66</v>
      </c>
      <c r="E375" t="s">
        <v>1450</v>
      </c>
      <c r="F375">
        <v>1950</v>
      </c>
      <c r="G375" t="s">
        <v>121</v>
      </c>
      <c r="H375" t="s">
        <v>1451</v>
      </c>
      <c r="I375" t="s">
        <v>1452</v>
      </c>
      <c r="J375" t="s">
        <v>71</v>
      </c>
      <c r="K375" s="2" t="str">
        <f>HYPERLINK("http://collections.slsa.sa.gov.au/arthur/06500/BRG347_6312.htm")</f>
        <v>http://collections.slsa.sa.gov.au/arthur/06500/BRG347_6312.htm</v>
      </c>
    </row>
    <row r="376" spans="1:11" x14ac:dyDescent="0.25">
      <c r="A376" t="s">
        <v>1453</v>
      </c>
      <c r="B376" s="1" t="str">
        <f>HYPERLINK("https://www.catalog.slsa.sa.gov.au/record=b2117703")</f>
        <v>https://www.catalog.slsa.sa.gov.au/record=b2117703</v>
      </c>
      <c r="C376" s="1" t="str">
        <f>HYPERLINK("https://www.catalog.slsa.sa.gov.au/xrecord=b2117703")</f>
        <v>https://www.catalog.slsa.sa.gov.au/xrecord=b2117703</v>
      </c>
      <c r="D376" t="s">
        <v>66</v>
      </c>
      <c r="E376" t="s">
        <v>1454</v>
      </c>
      <c r="F376">
        <v>1950</v>
      </c>
      <c r="G376" t="s">
        <v>121</v>
      </c>
      <c r="H376" t="s">
        <v>1455</v>
      </c>
      <c r="I376" t="s">
        <v>1456</v>
      </c>
      <c r="J376" t="s">
        <v>71</v>
      </c>
      <c r="K376" s="2" t="str">
        <f>HYPERLINK("http://collections.slsa.sa.gov.au/arthur/06500/BRG347_6313.htm")</f>
        <v>http://collections.slsa.sa.gov.au/arthur/06500/BRG347_6313.htm</v>
      </c>
    </row>
    <row r="377" spans="1:11" x14ac:dyDescent="0.25">
      <c r="A377" t="s">
        <v>1457</v>
      </c>
      <c r="B377" s="1" t="str">
        <f>HYPERLINK("https://www.catalog.slsa.sa.gov.au/record=b2117704")</f>
        <v>https://www.catalog.slsa.sa.gov.au/record=b2117704</v>
      </c>
      <c r="C377" s="1" t="str">
        <f>HYPERLINK("https://www.catalog.slsa.sa.gov.au/xrecord=b2117704")</f>
        <v>https://www.catalog.slsa.sa.gov.au/xrecord=b2117704</v>
      </c>
      <c r="D377" t="s">
        <v>66</v>
      </c>
      <c r="E377" t="s">
        <v>1458</v>
      </c>
      <c r="F377">
        <v>1950</v>
      </c>
      <c r="G377" t="s">
        <v>121</v>
      </c>
      <c r="H377" t="s">
        <v>1459</v>
      </c>
      <c r="I377" t="s">
        <v>1460</v>
      </c>
      <c r="J377" t="s">
        <v>71</v>
      </c>
      <c r="K377" s="2" t="str">
        <f>HYPERLINK("http://collections.slsa.sa.gov.au/arthur/06500/BRG347_6314.htm")</f>
        <v>http://collections.slsa.sa.gov.au/arthur/06500/BRG347_6314.htm</v>
      </c>
    </row>
    <row r="378" spans="1:11" x14ac:dyDescent="0.25">
      <c r="A378" t="s">
        <v>1461</v>
      </c>
      <c r="B378" s="1" t="str">
        <f>HYPERLINK("https://www.catalog.slsa.sa.gov.au/record=b2117705")</f>
        <v>https://www.catalog.slsa.sa.gov.au/record=b2117705</v>
      </c>
      <c r="C378" s="1" t="str">
        <f>HYPERLINK("https://www.catalog.slsa.sa.gov.au/xrecord=b2117705")</f>
        <v>https://www.catalog.slsa.sa.gov.au/xrecord=b2117705</v>
      </c>
      <c r="D378" t="s">
        <v>66</v>
      </c>
      <c r="E378" t="s">
        <v>1462</v>
      </c>
      <c r="F378">
        <v>1950</v>
      </c>
      <c r="G378" t="s">
        <v>121</v>
      </c>
      <c r="H378" t="s">
        <v>1463</v>
      </c>
      <c r="I378" t="s">
        <v>1464</v>
      </c>
      <c r="J378" t="s">
        <v>71</v>
      </c>
      <c r="K378" s="2" t="str">
        <f>HYPERLINK("http://collections.slsa.sa.gov.au/arthur/06500/BRG347_6315.htm")</f>
        <v>http://collections.slsa.sa.gov.au/arthur/06500/BRG347_6315.htm</v>
      </c>
    </row>
    <row r="379" spans="1:11" x14ac:dyDescent="0.25">
      <c r="A379" t="s">
        <v>1465</v>
      </c>
      <c r="B379" s="1" t="str">
        <f>HYPERLINK("https://www.catalog.slsa.sa.gov.au/record=b2117706")</f>
        <v>https://www.catalog.slsa.sa.gov.au/record=b2117706</v>
      </c>
      <c r="C379" s="1" t="str">
        <f>HYPERLINK("https://www.catalog.slsa.sa.gov.au/xrecord=b2117706")</f>
        <v>https://www.catalog.slsa.sa.gov.au/xrecord=b2117706</v>
      </c>
      <c r="D379" t="s">
        <v>66</v>
      </c>
      <c r="E379" t="s">
        <v>1466</v>
      </c>
      <c r="F379">
        <v>1950</v>
      </c>
      <c r="G379" t="s">
        <v>121</v>
      </c>
      <c r="H379" t="s">
        <v>1467</v>
      </c>
      <c r="I379" t="s">
        <v>1468</v>
      </c>
      <c r="J379" t="s">
        <v>71</v>
      </c>
      <c r="K379" s="2" t="str">
        <f>HYPERLINK("http://collections.slsa.sa.gov.au/arthur/06500/BRG347_6316.htm")</f>
        <v>http://collections.slsa.sa.gov.au/arthur/06500/BRG347_6316.htm</v>
      </c>
    </row>
    <row r="380" spans="1:11" x14ac:dyDescent="0.25">
      <c r="A380" t="s">
        <v>1469</v>
      </c>
      <c r="B380" s="1" t="str">
        <f>HYPERLINK("https://www.catalog.slsa.sa.gov.au/record=b2117707")</f>
        <v>https://www.catalog.slsa.sa.gov.au/record=b2117707</v>
      </c>
      <c r="C380" s="1" t="str">
        <f>HYPERLINK("https://www.catalog.slsa.sa.gov.au/xrecord=b2117707")</f>
        <v>https://www.catalog.slsa.sa.gov.au/xrecord=b2117707</v>
      </c>
      <c r="D380" t="s">
        <v>66</v>
      </c>
      <c r="E380" t="s">
        <v>1470</v>
      </c>
      <c r="F380">
        <v>1950</v>
      </c>
      <c r="G380" t="s">
        <v>121</v>
      </c>
      <c r="H380" t="s">
        <v>1471</v>
      </c>
      <c r="I380" t="s">
        <v>1472</v>
      </c>
      <c r="J380" t="s">
        <v>71</v>
      </c>
      <c r="K380" s="2" t="str">
        <f>HYPERLINK("http://collections.slsa.sa.gov.au/arthur/06500/BRG347_6317.htm")</f>
        <v>http://collections.slsa.sa.gov.au/arthur/06500/BRG347_6317.htm</v>
      </c>
    </row>
    <row r="381" spans="1:11" x14ac:dyDescent="0.25">
      <c r="A381" t="s">
        <v>1473</v>
      </c>
      <c r="B381" s="1" t="str">
        <f>HYPERLINK("https://www.catalog.slsa.sa.gov.au/record=b2117708")</f>
        <v>https://www.catalog.slsa.sa.gov.au/record=b2117708</v>
      </c>
      <c r="C381" s="1" t="str">
        <f>HYPERLINK("https://www.catalog.slsa.sa.gov.au/xrecord=b2117708")</f>
        <v>https://www.catalog.slsa.sa.gov.au/xrecord=b2117708</v>
      </c>
      <c r="D381" t="s">
        <v>66</v>
      </c>
      <c r="E381" t="s">
        <v>1474</v>
      </c>
      <c r="F381">
        <v>1950</v>
      </c>
      <c r="G381" t="s">
        <v>121</v>
      </c>
      <c r="H381" t="s">
        <v>1475</v>
      </c>
      <c r="I381" t="s">
        <v>1476</v>
      </c>
      <c r="J381" t="s">
        <v>71</v>
      </c>
      <c r="K381" s="2" t="str">
        <f>HYPERLINK("http://collections.slsa.sa.gov.au/arthur/06500/BRG347_6318.htm")</f>
        <v>http://collections.slsa.sa.gov.au/arthur/06500/BRG347_6318.htm</v>
      </c>
    </row>
    <row r="382" spans="1:11" x14ac:dyDescent="0.25">
      <c r="A382" t="s">
        <v>1477</v>
      </c>
      <c r="B382" s="1" t="str">
        <f>HYPERLINK("https://www.catalog.slsa.sa.gov.au/record=b2117709")</f>
        <v>https://www.catalog.slsa.sa.gov.au/record=b2117709</v>
      </c>
      <c r="C382" s="1" t="str">
        <f>HYPERLINK("https://www.catalog.slsa.sa.gov.au/xrecord=b2117709")</f>
        <v>https://www.catalog.slsa.sa.gov.au/xrecord=b2117709</v>
      </c>
      <c r="D382" t="s">
        <v>66</v>
      </c>
      <c r="E382" t="s">
        <v>1478</v>
      </c>
      <c r="F382">
        <v>1950</v>
      </c>
      <c r="G382" t="s">
        <v>121</v>
      </c>
      <c r="H382" t="s">
        <v>1479</v>
      </c>
      <c r="I382" t="s">
        <v>1480</v>
      </c>
      <c r="J382" t="s">
        <v>71</v>
      </c>
      <c r="K382" s="2" t="str">
        <f>HYPERLINK("http://collections.slsa.sa.gov.au/arthur/06500/BRG347_6319.htm")</f>
        <v>http://collections.slsa.sa.gov.au/arthur/06500/BRG347_6319.htm</v>
      </c>
    </row>
    <row r="383" spans="1:11" x14ac:dyDescent="0.25">
      <c r="A383" t="s">
        <v>1481</v>
      </c>
      <c r="B383" s="1" t="str">
        <f>HYPERLINK("https://www.catalog.slsa.sa.gov.au/record=b2117710")</f>
        <v>https://www.catalog.slsa.sa.gov.au/record=b2117710</v>
      </c>
      <c r="C383" s="1" t="str">
        <f>HYPERLINK("https://www.catalog.slsa.sa.gov.au/xrecord=b2117710")</f>
        <v>https://www.catalog.slsa.sa.gov.au/xrecord=b2117710</v>
      </c>
      <c r="D383" t="s">
        <v>66</v>
      </c>
      <c r="E383" t="s">
        <v>1482</v>
      </c>
      <c r="F383">
        <v>1950</v>
      </c>
      <c r="G383" t="s">
        <v>121</v>
      </c>
      <c r="H383" t="s">
        <v>1483</v>
      </c>
      <c r="I383" t="s">
        <v>1484</v>
      </c>
      <c r="J383" t="s">
        <v>71</v>
      </c>
      <c r="K383" s="2" t="str">
        <f>HYPERLINK("http://collections.slsa.sa.gov.au/arthur/06500/BRG347_6320.htm")</f>
        <v>http://collections.slsa.sa.gov.au/arthur/06500/BRG347_6320.htm</v>
      </c>
    </row>
    <row r="384" spans="1:11" x14ac:dyDescent="0.25">
      <c r="A384" t="s">
        <v>1485</v>
      </c>
      <c r="B384" s="1" t="str">
        <f>HYPERLINK("https://www.catalog.slsa.sa.gov.au/record=b2117711")</f>
        <v>https://www.catalog.slsa.sa.gov.au/record=b2117711</v>
      </c>
      <c r="C384" s="1" t="str">
        <f>HYPERLINK("https://www.catalog.slsa.sa.gov.au/xrecord=b2117711")</f>
        <v>https://www.catalog.slsa.sa.gov.au/xrecord=b2117711</v>
      </c>
      <c r="D384" t="s">
        <v>66</v>
      </c>
      <c r="E384" t="s">
        <v>1486</v>
      </c>
      <c r="F384">
        <v>1950</v>
      </c>
      <c r="G384" t="s">
        <v>121</v>
      </c>
      <c r="H384" t="s">
        <v>1487</v>
      </c>
      <c r="I384" t="s">
        <v>1488</v>
      </c>
      <c r="J384" t="s">
        <v>71</v>
      </c>
      <c r="K384" s="2" t="str">
        <f>HYPERLINK("http://collections.slsa.sa.gov.au/arthur/06500/BRG347_6321.htm")</f>
        <v>http://collections.slsa.sa.gov.au/arthur/06500/BRG347_6321.htm</v>
      </c>
    </row>
    <row r="385" spans="1:11" x14ac:dyDescent="0.25">
      <c r="A385" t="s">
        <v>1489</v>
      </c>
      <c r="B385" s="1" t="str">
        <f>HYPERLINK("https://www.catalog.slsa.sa.gov.au/record=b2117712")</f>
        <v>https://www.catalog.slsa.sa.gov.au/record=b2117712</v>
      </c>
      <c r="C385" s="1" t="str">
        <f>HYPERLINK("https://www.catalog.slsa.sa.gov.au/xrecord=b2117712")</f>
        <v>https://www.catalog.slsa.sa.gov.au/xrecord=b2117712</v>
      </c>
      <c r="D385" t="s">
        <v>66</v>
      </c>
      <c r="E385" t="s">
        <v>1490</v>
      </c>
      <c r="F385">
        <v>1950</v>
      </c>
      <c r="G385" t="s">
        <v>121</v>
      </c>
      <c r="H385" t="s">
        <v>1491</v>
      </c>
      <c r="I385" t="s">
        <v>1492</v>
      </c>
      <c r="J385" t="s">
        <v>71</v>
      </c>
      <c r="K385" s="2" t="str">
        <f>HYPERLINK("http://collections.slsa.sa.gov.au/arthur/06500/BRG347_6322.htm")</f>
        <v>http://collections.slsa.sa.gov.au/arthur/06500/BRG347_6322.htm</v>
      </c>
    </row>
    <row r="386" spans="1:11" x14ac:dyDescent="0.25">
      <c r="A386" t="s">
        <v>1493</v>
      </c>
      <c r="B386" s="1" t="str">
        <f>HYPERLINK("https://www.catalog.slsa.sa.gov.au/record=b2122732")</f>
        <v>https://www.catalog.slsa.sa.gov.au/record=b2122732</v>
      </c>
      <c r="C386" s="1" t="str">
        <f>HYPERLINK("https://www.catalog.slsa.sa.gov.au/xrecord=b2122732")</f>
        <v>https://www.catalog.slsa.sa.gov.au/xrecord=b2122732</v>
      </c>
      <c r="D386" t="s">
        <v>66</v>
      </c>
      <c r="E386" t="s">
        <v>1494</v>
      </c>
      <c r="F386">
        <v>1950</v>
      </c>
      <c r="G386" t="s">
        <v>121</v>
      </c>
      <c r="H386" t="s">
        <v>1495</v>
      </c>
      <c r="I386" t="s">
        <v>1496</v>
      </c>
      <c r="J386" t="s">
        <v>71</v>
      </c>
      <c r="K386" s="2" t="str">
        <f>HYPERLINK("http://collections.slsa.sa.gov.au/arthur/06500/BRG347_6323.htm")</f>
        <v>http://collections.slsa.sa.gov.au/arthur/06500/BRG347_6323.htm</v>
      </c>
    </row>
    <row r="387" spans="1:11" x14ac:dyDescent="0.25">
      <c r="A387" t="s">
        <v>1497</v>
      </c>
      <c r="B387" s="1" t="str">
        <f>HYPERLINK("https://www.catalog.slsa.sa.gov.au/record=b2117922")</f>
        <v>https://www.catalog.slsa.sa.gov.au/record=b2117922</v>
      </c>
      <c r="C387" s="1" t="str">
        <f>HYPERLINK("https://www.catalog.slsa.sa.gov.au/xrecord=b2117922")</f>
        <v>https://www.catalog.slsa.sa.gov.au/xrecord=b2117922</v>
      </c>
      <c r="D387" t="s">
        <v>66</v>
      </c>
      <c r="E387" t="s">
        <v>1498</v>
      </c>
      <c r="F387">
        <v>1950</v>
      </c>
      <c r="G387" t="s">
        <v>121</v>
      </c>
      <c r="H387" t="s">
        <v>1499</v>
      </c>
      <c r="I387" t="s">
        <v>1500</v>
      </c>
      <c r="J387" t="s">
        <v>71</v>
      </c>
      <c r="K387" s="2" t="str">
        <f>HYPERLINK("http://collections.slsa.sa.gov.au/arthur/06500/BRG347_6324.htm")</f>
        <v>http://collections.slsa.sa.gov.au/arthur/06500/BRG347_6324.htm</v>
      </c>
    </row>
    <row r="388" spans="1:11" x14ac:dyDescent="0.25">
      <c r="A388" t="s">
        <v>1501</v>
      </c>
      <c r="B388" s="1" t="str">
        <f>HYPERLINK("https://www.catalog.slsa.sa.gov.au/record=b2117971")</f>
        <v>https://www.catalog.slsa.sa.gov.au/record=b2117971</v>
      </c>
      <c r="C388" s="1" t="str">
        <f>HYPERLINK("https://www.catalog.slsa.sa.gov.au/xrecord=b2117971")</f>
        <v>https://www.catalog.slsa.sa.gov.au/xrecord=b2117971</v>
      </c>
      <c r="D388" t="s">
        <v>66</v>
      </c>
      <c r="E388" t="s">
        <v>1502</v>
      </c>
      <c r="F388">
        <v>1950</v>
      </c>
      <c r="G388" t="s">
        <v>121</v>
      </c>
      <c r="H388" t="s">
        <v>1503</v>
      </c>
      <c r="I388" t="s">
        <v>1504</v>
      </c>
      <c r="J388" t="s">
        <v>71</v>
      </c>
      <c r="K388" s="2" t="str">
        <f>HYPERLINK("http://collections.slsa.sa.gov.au/arthur/06500/BRG347_6367.htm")</f>
        <v>http://collections.slsa.sa.gov.au/arthur/06500/BRG347_6367.htm</v>
      </c>
    </row>
    <row r="389" spans="1:11" x14ac:dyDescent="0.25">
      <c r="A389" t="s">
        <v>1505</v>
      </c>
      <c r="B389" s="1" t="str">
        <f>HYPERLINK("https://www.catalog.slsa.sa.gov.au/record=b2117972")</f>
        <v>https://www.catalog.slsa.sa.gov.au/record=b2117972</v>
      </c>
      <c r="C389" s="1" t="str">
        <f>HYPERLINK("https://www.catalog.slsa.sa.gov.au/xrecord=b2117972")</f>
        <v>https://www.catalog.slsa.sa.gov.au/xrecord=b2117972</v>
      </c>
      <c r="D389" t="s">
        <v>66</v>
      </c>
      <c r="E389" t="s">
        <v>1506</v>
      </c>
      <c r="F389">
        <v>1950</v>
      </c>
      <c r="G389" t="s">
        <v>121</v>
      </c>
      <c r="H389" t="s">
        <v>1507</v>
      </c>
      <c r="I389" t="s">
        <v>1508</v>
      </c>
      <c r="J389" t="s">
        <v>71</v>
      </c>
      <c r="K389" s="2" t="str">
        <f>HYPERLINK("http://collections.slsa.sa.gov.au/arthur/06500/BRG347_6368.htm")</f>
        <v>http://collections.slsa.sa.gov.au/arthur/06500/BRG347_6368.htm</v>
      </c>
    </row>
    <row r="390" spans="1:11" x14ac:dyDescent="0.25">
      <c r="A390" t="s">
        <v>1509</v>
      </c>
      <c r="B390" s="1" t="str">
        <f>HYPERLINK("https://www.catalog.slsa.sa.gov.au/record=b2117973")</f>
        <v>https://www.catalog.slsa.sa.gov.au/record=b2117973</v>
      </c>
      <c r="C390" s="1" t="str">
        <f>HYPERLINK("https://www.catalog.slsa.sa.gov.au/xrecord=b2117973")</f>
        <v>https://www.catalog.slsa.sa.gov.au/xrecord=b2117973</v>
      </c>
      <c r="D390" t="s">
        <v>66</v>
      </c>
      <c r="E390" t="s">
        <v>1510</v>
      </c>
      <c r="F390">
        <v>1950</v>
      </c>
      <c r="G390" t="s">
        <v>121</v>
      </c>
      <c r="H390" t="s">
        <v>1511</v>
      </c>
      <c r="I390" t="s">
        <v>1512</v>
      </c>
      <c r="J390" t="s">
        <v>71</v>
      </c>
      <c r="K390" s="2" t="str">
        <f>HYPERLINK("http://collections.slsa.sa.gov.au/arthur/06500/BRG347_6369.htm")</f>
        <v>http://collections.slsa.sa.gov.au/arthur/06500/BRG347_6369.htm</v>
      </c>
    </row>
    <row r="391" spans="1:11" x14ac:dyDescent="0.25">
      <c r="A391" t="s">
        <v>1513</v>
      </c>
      <c r="B391" s="1" t="str">
        <f>HYPERLINK("https://www.catalog.slsa.sa.gov.au/record=b2117974")</f>
        <v>https://www.catalog.slsa.sa.gov.au/record=b2117974</v>
      </c>
      <c r="C391" s="1" t="str">
        <f>HYPERLINK("https://www.catalog.slsa.sa.gov.au/xrecord=b2117974")</f>
        <v>https://www.catalog.slsa.sa.gov.au/xrecord=b2117974</v>
      </c>
      <c r="D391" t="s">
        <v>66</v>
      </c>
      <c r="E391" t="s">
        <v>1514</v>
      </c>
      <c r="F391">
        <v>1950</v>
      </c>
      <c r="G391" t="s">
        <v>121</v>
      </c>
      <c r="H391" t="s">
        <v>1515</v>
      </c>
      <c r="I391" t="s">
        <v>1516</v>
      </c>
      <c r="J391" t="s">
        <v>71</v>
      </c>
      <c r="K391" s="2" t="str">
        <f>HYPERLINK("http://collections.slsa.sa.gov.au/arthur/06500/BRG347_6370.htm")</f>
        <v>http://collections.slsa.sa.gov.au/arthur/06500/BRG347_6370.htm</v>
      </c>
    </row>
    <row r="392" spans="1:11" x14ac:dyDescent="0.25">
      <c r="A392" t="s">
        <v>1517</v>
      </c>
      <c r="B392" s="1" t="str">
        <f>HYPERLINK("https://www.catalog.slsa.sa.gov.au/record=b2117975")</f>
        <v>https://www.catalog.slsa.sa.gov.au/record=b2117975</v>
      </c>
      <c r="C392" s="1" t="str">
        <f>HYPERLINK("https://www.catalog.slsa.sa.gov.au/xrecord=b2117975")</f>
        <v>https://www.catalog.slsa.sa.gov.au/xrecord=b2117975</v>
      </c>
      <c r="D392" t="s">
        <v>66</v>
      </c>
      <c r="E392" t="s">
        <v>1518</v>
      </c>
      <c r="F392">
        <v>1950</v>
      </c>
      <c r="G392" t="s">
        <v>121</v>
      </c>
      <c r="H392" t="s">
        <v>1519</v>
      </c>
      <c r="I392" t="s">
        <v>1520</v>
      </c>
      <c r="J392" t="s">
        <v>71</v>
      </c>
      <c r="K392" s="2" t="str">
        <f>HYPERLINK("http://collections.slsa.sa.gov.au/arthur/06500/BRG347_6371.htm")</f>
        <v>http://collections.slsa.sa.gov.au/arthur/06500/BRG347_6371.htm</v>
      </c>
    </row>
    <row r="393" spans="1:11" x14ac:dyDescent="0.25">
      <c r="A393" t="s">
        <v>1521</v>
      </c>
      <c r="B393" s="1" t="str">
        <f>HYPERLINK("https://www.catalog.slsa.sa.gov.au/record=b2117977")</f>
        <v>https://www.catalog.slsa.sa.gov.au/record=b2117977</v>
      </c>
      <c r="C393" s="1" t="str">
        <f>HYPERLINK("https://www.catalog.slsa.sa.gov.au/xrecord=b2117977")</f>
        <v>https://www.catalog.slsa.sa.gov.au/xrecord=b2117977</v>
      </c>
      <c r="D393" t="s">
        <v>66</v>
      </c>
      <c r="E393" t="s">
        <v>1522</v>
      </c>
      <c r="F393">
        <v>1950</v>
      </c>
      <c r="G393" t="s">
        <v>121</v>
      </c>
      <c r="H393" t="s">
        <v>1523</v>
      </c>
      <c r="I393" t="s">
        <v>1524</v>
      </c>
      <c r="J393" t="s">
        <v>71</v>
      </c>
      <c r="K393" s="2" t="str">
        <f>HYPERLINK("http://collections.slsa.sa.gov.au/arthur/06500/BRG347_6372.htm")</f>
        <v>http://collections.slsa.sa.gov.au/arthur/06500/BRG347_6372.htm</v>
      </c>
    </row>
    <row r="394" spans="1:11" x14ac:dyDescent="0.25">
      <c r="A394" t="s">
        <v>1525</v>
      </c>
      <c r="B394" s="1" t="str">
        <f>HYPERLINK("https://www.catalog.slsa.sa.gov.au/record=b2117978")</f>
        <v>https://www.catalog.slsa.sa.gov.au/record=b2117978</v>
      </c>
      <c r="C394" s="1" t="str">
        <f>HYPERLINK("https://www.catalog.slsa.sa.gov.au/xrecord=b2117978")</f>
        <v>https://www.catalog.slsa.sa.gov.au/xrecord=b2117978</v>
      </c>
      <c r="D394" t="s">
        <v>66</v>
      </c>
      <c r="E394" t="s">
        <v>1526</v>
      </c>
      <c r="F394">
        <v>1950</v>
      </c>
      <c r="G394" t="s">
        <v>121</v>
      </c>
      <c r="H394" t="s">
        <v>1527</v>
      </c>
      <c r="I394" t="s">
        <v>1528</v>
      </c>
      <c r="J394" t="s">
        <v>71</v>
      </c>
      <c r="K394" s="2" t="str">
        <f>HYPERLINK("http://collections.slsa.sa.gov.au/arthur/06500/BRG347_6373.htm")</f>
        <v>http://collections.slsa.sa.gov.au/arthur/06500/BRG347_6373.htm</v>
      </c>
    </row>
    <row r="395" spans="1:11" x14ac:dyDescent="0.25">
      <c r="A395" t="s">
        <v>1529</v>
      </c>
      <c r="B395" s="1" t="str">
        <f>HYPERLINK("https://www.catalog.slsa.sa.gov.au/record=b2117979")</f>
        <v>https://www.catalog.slsa.sa.gov.au/record=b2117979</v>
      </c>
      <c r="C395" s="1" t="str">
        <f>HYPERLINK("https://www.catalog.slsa.sa.gov.au/xrecord=b2117979")</f>
        <v>https://www.catalog.slsa.sa.gov.au/xrecord=b2117979</v>
      </c>
      <c r="D395" t="s">
        <v>66</v>
      </c>
      <c r="E395" t="s">
        <v>1530</v>
      </c>
      <c r="F395">
        <v>1950</v>
      </c>
      <c r="G395" t="s">
        <v>121</v>
      </c>
      <c r="H395" t="s">
        <v>1531</v>
      </c>
      <c r="I395" t="s">
        <v>1532</v>
      </c>
      <c r="J395" t="s">
        <v>71</v>
      </c>
      <c r="K395" s="2" t="str">
        <f>HYPERLINK("http://collections.slsa.sa.gov.au/arthur/06500/BRG347_6374.htm")</f>
        <v>http://collections.slsa.sa.gov.au/arthur/06500/BRG347_6374.htm</v>
      </c>
    </row>
    <row r="396" spans="1:11" x14ac:dyDescent="0.25">
      <c r="A396" t="s">
        <v>1533</v>
      </c>
      <c r="B396" s="1" t="str">
        <f>HYPERLINK("https://www.catalog.slsa.sa.gov.au/record=b2117980")</f>
        <v>https://www.catalog.slsa.sa.gov.au/record=b2117980</v>
      </c>
      <c r="C396" s="1" t="str">
        <f>HYPERLINK("https://www.catalog.slsa.sa.gov.au/xrecord=b2117980")</f>
        <v>https://www.catalog.slsa.sa.gov.au/xrecord=b2117980</v>
      </c>
      <c r="D396" t="s">
        <v>66</v>
      </c>
      <c r="E396" t="s">
        <v>1534</v>
      </c>
      <c r="F396">
        <v>1950</v>
      </c>
      <c r="G396" t="s">
        <v>121</v>
      </c>
      <c r="H396" t="s">
        <v>1535</v>
      </c>
      <c r="I396" t="s">
        <v>1536</v>
      </c>
      <c r="J396" t="s">
        <v>71</v>
      </c>
      <c r="K396" s="2" t="str">
        <f>HYPERLINK("http://collections.slsa.sa.gov.au/arthur/06500/BRG347_6375.htm")</f>
        <v>http://collections.slsa.sa.gov.au/arthur/06500/BRG347_6375.htm</v>
      </c>
    </row>
    <row r="397" spans="1:11" x14ac:dyDescent="0.25">
      <c r="A397" t="s">
        <v>1537</v>
      </c>
      <c r="B397" s="1" t="str">
        <f>HYPERLINK("https://www.catalog.slsa.sa.gov.au/record=b2117981")</f>
        <v>https://www.catalog.slsa.sa.gov.au/record=b2117981</v>
      </c>
      <c r="C397" s="1" t="str">
        <f>HYPERLINK("https://www.catalog.slsa.sa.gov.au/xrecord=b2117981")</f>
        <v>https://www.catalog.slsa.sa.gov.au/xrecord=b2117981</v>
      </c>
      <c r="D397" t="s">
        <v>66</v>
      </c>
      <c r="E397" t="s">
        <v>1538</v>
      </c>
      <c r="F397">
        <v>1950</v>
      </c>
      <c r="G397" t="s">
        <v>121</v>
      </c>
      <c r="H397" t="s">
        <v>1539</v>
      </c>
      <c r="I397" t="s">
        <v>1540</v>
      </c>
      <c r="J397" t="s">
        <v>71</v>
      </c>
      <c r="K397" s="2" t="str">
        <f>HYPERLINK("http://collections.slsa.sa.gov.au/arthur/06500/BRG347_6376.htm")</f>
        <v>http://collections.slsa.sa.gov.au/arthur/06500/BRG347_6376.htm</v>
      </c>
    </row>
    <row r="398" spans="1:11" x14ac:dyDescent="0.25">
      <c r="A398" t="s">
        <v>1541</v>
      </c>
      <c r="B398" s="1" t="str">
        <f>HYPERLINK("https://www.catalog.slsa.sa.gov.au/record=b2118394")</f>
        <v>https://www.catalog.slsa.sa.gov.au/record=b2118394</v>
      </c>
      <c r="C398" s="1" t="str">
        <f>HYPERLINK("https://www.catalog.slsa.sa.gov.au/xrecord=b2118394")</f>
        <v>https://www.catalog.slsa.sa.gov.au/xrecord=b2118394</v>
      </c>
      <c r="D398" t="s">
        <v>66</v>
      </c>
      <c r="E398" t="s">
        <v>1542</v>
      </c>
      <c r="F398">
        <v>1950</v>
      </c>
      <c r="G398" t="s">
        <v>121</v>
      </c>
      <c r="H398" t="s">
        <v>1543</v>
      </c>
      <c r="I398" t="s">
        <v>1544</v>
      </c>
      <c r="J398" t="s">
        <v>71</v>
      </c>
      <c r="K398" s="2" t="str">
        <f>HYPERLINK("http://collections.slsa.sa.gov.au/arthur/06500/BRG347_6482.htm")</f>
        <v>http://collections.slsa.sa.gov.au/arthur/06500/BRG347_6482.htm</v>
      </c>
    </row>
    <row r="399" spans="1:11" x14ac:dyDescent="0.25">
      <c r="A399" t="s">
        <v>1545</v>
      </c>
      <c r="B399" s="1" t="str">
        <f>HYPERLINK("https://www.catalog.slsa.sa.gov.au/record=b2118395")</f>
        <v>https://www.catalog.slsa.sa.gov.au/record=b2118395</v>
      </c>
      <c r="C399" s="1" t="str">
        <f>HYPERLINK("https://www.catalog.slsa.sa.gov.au/xrecord=b2118395")</f>
        <v>https://www.catalog.slsa.sa.gov.au/xrecord=b2118395</v>
      </c>
      <c r="D399" t="s">
        <v>66</v>
      </c>
      <c r="E399" t="s">
        <v>1546</v>
      </c>
      <c r="F399">
        <v>1950</v>
      </c>
      <c r="G399" t="s">
        <v>121</v>
      </c>
      <c r="H399" t="s">
        <v>1547</v>
      </c>
      <c r="I399" t="s">
        <v>1548</v>
      </c>
      <c r="J399" t="s">
        <v>71</v>
      </c>
      <c r="K399" s="2" t="str">
        <f>HYPERLINK("http://collections.slsa.sa.gov.au/arthur/06500/BRG347_6483.htm")</f>
        <v>http://collections.slsa.sa.gov.au/arthur/06500/BRG347_6483.htm</v>
      </c>
    </row>
    <row r="400" spans="1:11" x14ac:dyDescent="0.25">
      <c r="A400" t="s">
        <v>1549</v>
      </c>
      <c r="B400" s="1" t="str">
        <f>HYPERLINK("https://www.catalog.slsa.sa.gov.au/record=b2118396")</f>
        <v>https://www.catalog.slsa.sa.gov.au/record=b2118396</v>
      </c>
      <c r="C400" s="1" t="str">
        <f>HYPERLINK("https://www.catalog.slsa.sa.gov.au/xrecord=b2118396")</f>
        <v>https://www.catalog.slsa.sa.gov.au/xrecord=b2118396</v>
      </c>
      <c r="D400" t="s">
        <v>66</v>
      </c>
      <c r="E400" t="s">
        <v>1550</v>
      </c>
      <c r="F400">
        <v>1950</v>
      </c>
      <c r="G400" t="s">
        <v>121</v>
      </c>
      <c r="H400" t="s">
        <v>1551</v>
      </c>
      <c r="I400" t="s">
        <v>1552</v>
      </c>
      <c r="J400" t="s">
        <v>71</v>
      </c>
      <c r="K400" s="2" t="str">
        <f>HYPERLINK("http://collections.slsa.sa.gov.au/arthur/06500/BRG347_6484.htm")</f>
        <v>http://collections.slsa.sa.gov.au/arthur/06500/BRG347_6484.htm</v>
      </c>
    </row>
    <row r="401" spans="1:11" x14ac:dyDescent="0.25">
      <c r="A401" t="s">
        <v>1553</v>
      </c>
      <c r="B401" s="1" t="str">
        <f>HYPERLINK("https://www.catalog.slsa.sa.gov.au/record=b2118399")</f>
        <v>https://www.catalog.slsa.sa.gov.au/record=b2118399</v>
      </c>
      <c r="C401" s="1" t="str">
        <f>HYPERLINK("https://www.catalog.slsa.sa.gov.au/xrecord=b2118399")</f>
        <v>https://www.catalog.slsa.sa.gov.au/xrecord=b2118399</v>
      </c>
      <c r="D401" t="s">
        <v>66</v>
      </c>
      <c r="E401" t="s">
        <v>1554</v>
      </c>
      <c r="F401">
        <v>1950</v>
      </c>
      <c r="G401" t="s">
        <v>121</v>
      </c>
      <c r="H401" t="s">
        <v>1555</v>
      </c>
      <c r="I401" t="s">
        <v>1556</v>
      </c>
      <c r="J401" t="s">
        <v>71</v>
      </c>
      <c r="K401" s="2" t="str">
        <f>HYPERLINK("http://collections.slsa.sa.gov.au/arthur/06500/BRG347_6487.htm")</f>
        <v>http://collections.slsa.sa.gov.au/arthur/06500/BRG347_6487.htm</v>
      </c>
    </row>
    <row r="402" spans="1:11" x14ac:dyDescent="0.25">
      <c r="A402" t="s">
        <v>1557</v>
      </c>
      <c r="B402" s="1" t="str">
        <f>HYPERLINK("https://www.catalog.slsa.sa.gov.au/record=b2118400")</f>
        <v>https://www.catalog.slsa.sa.gov.au/record=b2118400</v>
      </c>
      <c r="C402" s="1" t="str">
        <f>HYPERLINK("https://www.catalog.slsa.sa.gov.au/xrecord=b2118400")</f>
        <v>https://www.catalog.slsa.sa.gov.au/xrecord=b2118400</v>
      </c>
      <c r="D402" t="s">
        <v>66</v>
      </c>
      <c r="E402" t="s">
        <v>1558</v>
      </c>
      <c r="F402">
        <v>1950</v>
      </c>
      <c r="G402" t="s">
        <v>121</v>
      </c>
      <c r="H402" t="s">
        <v>1559</v>
      </c>
      <c r="I402" t="s">
        <v>1560</v>
      </c>
      <c r="J402" t="s">
        <v>71</v>
      </c>
      <c r="K402" s="2" t="str">
        <f>HYPERLINK("http://collections.slsa.sa.gov.au/arthur/06500/BRG347_6488.htm")</f>
        <v>http://collections.slsa.sa.gov.au/arthur/06500/BRG347_6488.htm</v>
      </c>
    </row>
    <row r="403" spans="1:11" x14ac:dyDescent="0.25">
      <c r="A403" t="s">
        <v>1561</v>
      </c>
      <c r="B403" s="1" t="str">
        <f>HYPERLINK("https://www.catalog.slsa.sa.gov.au/record=b2118401")</f>
        <v>https://www.catalog.slsa.sa.gov.au/record=b2118401</v>
      </c>
      <c r="C403" s="1" t="str">
        <f>HYPERLINK("https://www.catalog.slsa.sa.gov.au/xrecord=b2118401")</f>
        <v>https://www.catalog.slsa.sa.gov.au/xrecord=b2118401</v>
      </c>
      <c r="D403" t="s">
        <v>66</v>
      </c>
      <c r="E403" t="s">
        <v>1562</v>
      </c>
      <c r="F403">
        <v>1950</v>
      </c>
      <c r="G403" t="s">
        <v>121</v>
      </c>
      <c r="H403" t="s">
        <v>1563</v>
      </c>
      <c r="I403" t="s">
        <v>1564</v>
      </c>
      <c r="J403" t="s">
        <v>71</v>
      </c>
      <c r="K403" s="2" t="str">
        <f>HYPERLINK("http://collections.slsa.sa.gov.au/arthur/06500/BRG347_6489.htm")</f>
        <v>http://collections.slsa.sa.gov.au/arthur/06500/BRG347_6489.htm</v>
      </c>
    </row>
    <row r="404" spans="1:11" x14ac:dyDescent="0.25">
      <c r="A404" t="s">
        <v>1565</v>
      </c>
      <c r="B404" s="1" t="str">
        <f>HYPERLINK("https://www.catalog.slsa.sa.gov.au/record=b2118444")</f>
        <v>https://www.catalog.slsa.sa.gov.au/record=b2118444</v>
      </c>
      <c r="C404" s="1" t="str">
        <f>HYPERLINK("https://www.catalog.slsa.sa.gov.au/xrecord=b2118444")</f>
        <v>https://www.catalog.slsa.sa.gov.au/xrecord=b2118444</v>
      </c>
      <c r="D404" t="s">
        <v>66</v>
      </c>
      <c r="E404" t="s">
        <v>1566</v>
      </c>
      <c r="F404">
        <v>1950</v>
      </c>
      <c r="G404" t="s">
        <v>121</v>
      </c>
      <c r="H404" t="s">
        <v>1567</v>
      </c>
      <c r="I404" t="s">
        <v>1568</v>
      </c>
      <c r="J404" t="s">
        <v>71</v>
      </c>
      <c r="K404" s="2" t="str">
        <f>HYPERLINK("http://collections.slsa.sa.gov.au/arthur/06750/BRG347_6534.htm")</f>
        <v>http://collections.slsa.sa.gov.au/arthur/06750/BRG347_6534.htm</v>
      </c>
    </row>
    <row r="405" spans="1:11" x14ac:dyDescent="0.25">
      <c r="A405" t="s">
        <v>1569</v>
      </c>
      <c r="B405" s="1" t="str">
        <f>HYPERLINK("https://www.catalog.slsa.sa.gov.au/record=b2118465")</f>
        <v>https://www.catalog.slsa.sa.gov.au/record=b2118465</v>
      </c>
      <c r="C405" s="1" t="str">
        <f>HYPERLINK("https://www.catalog.slsa.sa.gov.au/xrecord=b2118465")</f>
        <v>https://www.catalog.slsa.sa.gov.au/xrecord=b2118465</v>
      </c>
      <c r="D405" t="s">
        <v>66</v>
      </c>
      <c r="E405" t="s">
        <v>1570</v>
      </c>
      <c r="F405">
        <v>1950</v>
      </c>
      <c r="G405" t="s">
        <v>121</v>
      </c>
      <c r="H405" t="s">
        <v>1571</v>
      </c>
      <c r="I405" t="s">
        <v>1572</v>
      </c>
      <c r="J405" t="s">
        <v>71</v>
      </c>
      <c r="K405" s="2" t="str">
        <f>HYPERLINK("http://collections.slsa.sa.gov.au/arthur/06750/BRG347_6546.htm")</f>
        <v>http://collections.slsa.sa.gov.au/arthur/06750/BRG347_6546.htm</v>
      </c>
    </row>
    <row r="406" spans="1:11" x14ac:dyDescent="0.25">
      <c r="A406" t="s">
        <v>1573</v>
      </c>
      <c r="B406" s="1" t="str">
        <f>HYPERLINK("https://www.catalog.slsa.sa.gov.au/record=b2118473")</f>
        <v>https://www.catalog.slsa.sa.gov.au/record=b2118473</v>
      </c>
      <c r="C406" s="1" t="str">
        <f>HYPERLINK("https://www.catalog.slsa.sa.gov.au/xrecord=b2118473")</f>
        <v>https://www.catalog.slsa.sa.gov.au/xrecord=b2118473</v>
      </c>
      <c r="D406" t="s">
        <v>66</v>
      </c>
      <c r="E406" t="s">
        <v>1574</v>
      </c>
      <c r="F406">
        <v>1950</v>
      </c>
      <c r="G406" t="s">
        <v>121</v>
      </c>
      <c r="H406" t="s">
        <v>1575</v>
      </c>
      <c r="I406" t="s">
        <v>1576</v>
      </c>
      <c r="J406" t="s">
        <v>71</v>
      </c>
      <c r="K406" s="2" t="str">
        <f>HYPERLINK("http://collections.slsa.sa.gov.au/arthur/06750/BRG347_6554.htm")</f>
        <v>http://collections.slsa.sa.gov.au/arthur/06750/BRG347_6554.htm</v>
      </c>
    </row>
    <row r="407" spans="1:11" x14ac:dyDescent="0.25">
      <c r="A407" t="s">
        <v>1577</v>
      </c>
      <c r="B407" s="1" t="str">
        <f>HYPERLINK("https://www.catalog.slsa.sa.gov.au/record=b2118496")</f>
        <v>https://www.catalog.slsa.sa.gov.au/record=b2118496</v>
      </c>
      <c r="C407" s="1" t="str">
        <f>HYPERLINK("https://www.catalog.slsa.sa.gov.au/xrecord=b2118496")</f>
        <v>https://www.catalog.slsa.sa.gov.au/xrecord=b2118496</v>
      </c>
      <c r="D407" t="s">
        <v>66</v>
      </c>
      <c r="E407" t="s">
        <v>1578</v>
      </c>
      <c r="F407">
        <v>1950</v>
      </c>
      <c r="G407" t="s">
        <v>121</v>
      </c>
      <c r="H407" t="s">
        <v>1579</v>
      </c>
      <c r="I407" t="s">
        <v>1580</v>
      </c>
      <c r="J407" t="s">
        <v>71</v>
      </c>
      <c r="K407" s="2" t="str">
        <f>HYPERLINK("http://collections.slsa.sa.gov.au/arthur/06750/BRG347_6577.htm")</f>
        <v>http://collections.slsa.sa.gov.au/arthur/06750/BRG347_6577.htm</v>
      </c>
    </row>
    <row r="408" spans="1:11" x14ac:dyDescent="0.25">
      <c r="A408" t="s">
        <v>1581</v>
      </c>
      <c r="B408" s="1" t="str">
        <f>HYPERLINK("https://www.catalog.slsa.sa.gov.au/record=b2118497")</f>
        <v>https://www.catalog.slsa.sa.gov.au/record=b2118497</v>
      </c>
      <c r="C408" s="1" t="str">
        <f>HYPERLINK("https://www.catalog.slsa.sa.gov.au/xrecord=b2118497")</f>
        <v>https://www.catalog.slsa.sa.gov.au/xrecord=b2118497</v>
      </c>
      <c r="D408" t="s">
        <v>66</v>
      </c>
      <c r="E408" t="s">
        <v>1582</v>
      </c>
      <c r="F408">
        <v>1950</v>
      </c>
      <c r="G408" t="s">
        <v>121</v>
      </c>
      <c r="H408" t="s">
        <v>1583</v>
      </c>
      <c r="I408" t="s">
        <v>1584</v>
      </c>
      <c r="J408" t="s">
        <v>71</v>
      </c>
      <c r="K408" s="2" t="str">
        <f>HYPERLINK("http://collections.slsa.sa.gov.au/arthur/06750/BRG347_6578.htm")</f>
        <v>http://collections.slsa.sa.gov.au/arthur/06750/BRG347_6578.htm</v>
      </c>
    </row>
    <row r="409" spans="1:11" x14ac:dyDescent="0.25">
      <c r="A409" t="s">
        <v>1585</v>
      </c>
      <c r="B409" s="1" t="str">
        <f>HYPERLINK("https://www.catalog.slsa.sa.gov.au/record=b2118498")</f>
        <v>https://www.catalog.slsa.sa.gov.au/record=b2118498</v>
      </c>
      <c r="C409" s="1" t="str">
        <f>HYPERLINK("https://www.catalog.slsa.sa.gov.au/xrecord=b2118498")</f>
        <v>https://www.catalog.slsa.sa.gov.au/xrecord=b2118498</v>
      </c>
      <c r="D409" t="s">
        <v>66</v>
      </c>
      <c r="E409" t="s">
        <v>1586</v>
      </c>
      <c r="F409">
        <v>1950</v>
      </c>
      <c r="G409" t="s">
        <v>121</v>
      </c>
      <c r="H409" t="s">
        <v>1587</v>
      </c>
      <c r="I409" t="s">
        <v>1588</v>
      </c>
      <c r="J409" t="s">
        <v>71</v>
      </c>
      <c r="K409" s="2" t="str">
        <f>HYPERLINK("http://collections.slsa.sa.gov.au/arthur/06750/BRG347_6579.htm")</f>
        <v>http://collections.slsa.sa.gov.au/arthur/06750/BRG347_6579.htm</v>
      </c>
    </row>
    <row r="410" spans="1:11" x14ac:dyDescent="0.25">
      <c r="A410" t="s">
        <v>1589</v>
      </c>
      <c r="B410" s="1" t="str">
        <f>HYPERLINK("https://www.catalog.slsa.sa.gov.au/record=b2118499")</f>
        <v>https://www.catalog.slsa.sa.gov.au/record=b2118499</v>
      </c>
      <c r="C410" s="1" t="str">
        <f>HYPERLINK("https://www.catalog.slsa.sa.gov.au/xrecord=b2118499")</f>
        <v>https://www.catalog.slsa.sa.gov.au/xrecord=b2118499</v>
      </c>
      <c r="D410" t="s">
        <v>66</v>
      </c>
      <c r="E410" t="s">
        <v>1590</v>
      </c>
      <c r="F410">
        <v>1950</v>
      </c>
      <c r="G410" t="s">
        <v>121</v>
      </c>
      <c r="H410" t="s">
        <v>1591</v>
      </c>
      <c r="I410" t="s">
        <v>1592</v>
      </c>
      <c r="J410" t="s">
        <v>71</v>
      </c>
      <c r="K410" s="2" t="str">
        <f>HYPERLINK("http://collections.slsa.sa.gov.au/arthur/06750/BRG347_6580.htm")</f>
        <v>http://collections.slsa.sa.gov.au/arthur/06750/BRG347_6580.htm</v>
      </c>
    </row>
    <row r="411" spans="1:11" x14ac:dyDescent="0.25">
      <c r="A411" t="s">
        <v>1593</v>
      </c>
      <c r="B411" s="1" t="str">
        <f>HYPERLINK("https://www.catalog.slsa.sa.gov.au/record=b2118500")</f>
        <v>https://www.catalog.slsa.sa.gov.au/record=b2118500</v>
      </c>
      <c r="C411" s="1" t="str">
        <f>HYPERLINK("https://www.catalog.slsa.sa.gov.au/xrecord=b2118500")</f>
        <v>https://www.catalog.slsa.sa.gov.au/xrecord=b2118500</v>
      </c>
      <c r="D411" t="s">
        <v>66</v>
      </c>
      <c r="E411" t="s">
        <v>1594</v>
      </c>
      <c r="F411">
        <v>1950</v>
      </c>
      <c r="G411" t="s">
        <v>121</v>
      </c>
      <c r="H411" t="s">
        <v>1595</v>
      </c>
      <c r="I411" t="s">
        <v>1596</v>
      </c>
      <c r="J411" t="s">
        <v>71</v>
      </c>
      <c r="K411" s="2" t="str">
        <f>HYPERLINK("http://collections.slsa.sa.gov.au/arthur/06750/BRG347_6581.htm")</f>
        <v>http://collections.slsa.sa.gov.au/arthur/06750/BRG347_6581.htm</v>
      </c>
    </row>
    <row r="412" spans="1:11" x14ac:dyDescent="0.25">
      <c r="A412" t="s">
        <v>1597</v>
      </c>
      <c r="B412" s="1" t="str">
        <f>HYPERLINK("https://www.catalog.slsa.sa.gov.au/record=b2118501")</f>
        <v>https://www.catalog.slsa.sa.gov.au/record=b2118501</v>
      </c>
      <c r="C412" s="1" t="str">
        <f>HYPERLINK("https://www.catalog.slsa.sa.gov.au/xrecord=b2118501")</f>
        <v>https://www.catalog.slsa.sa.gov.au/xrecord=b2118501</v>
      </c>
      <c r="D412" t="s">
        <v>66</v>
      </c>
      <c r="E412" t="s">
        <v>1598</v>
      </c>
      <c r="F412">
        <v>1950</v>
      </c>
      <c r="G412" t="s">
        <v>121</v>
      </c>
      <c r="H412" t="s">
        <v>1599</v>
      </c>
      <c r="I412" t="s">
        <v>1580</v>
      </c>
      <c r="J412" t="s">
        <v>71</v>
      </c>
      <c r="K412" s="2" t="str">
        <f>HYPERLINK("http://collections.slsa.sa.gov.au/arthur/06750/BRG347_6582.htm")</f>
        <v>http://collections.slsa.sa.gov.au/arthur/06750/BRG347_6582.htm</v>
      </c>
    </row>
    <row r="413" spans="1:11" x14ac:dyDescent="0.25">
      <c r="A413" t="s">
        <v>1600</v>
      </c>
      <c r="B413" s="1" t="str">
        <f>HYPERLINK("https://www.catalog.slsa.sa.gov.au/record=b2118502")</f>
        <v>https://www.catalog.slsa.sa.gov.au/record=b2118502</v>
      </c>
      <c r="C413" s="1" t="str">
        <f>HYPERLINK("https://www.catalog.slsa.sa.gov.au/xrecord=b2118502")</f>
        <v>https://www.catalog.slsa.sa.gov.au/xrecord=b2118502</v>
      </c>
      <c r="D413" t="s">
        <v>66</v>
      </c>
      <c r="E413" t="s">
        <v>1601</v>
      </c>
      <c r="F413">
        <v>1950</v>
      </c>
      <c r="G413" t="s">
        <v>121</v>
      </c>
      <c r="H413" t="s">
        <v>1602</v>
      </c>
      <c r="I413" t="s">
        <v>1603</v>
      </c>
      <c r="J413" t="s">
        <v>71</v>
      </c>
      <c r="K413" s="2" t="str">
        <f>HYPERLINK("http://collections.slsa.sa.gov.au/arthur/06750/BRG347_6583.htm")</f>
        <v>http://collections.slsa.sa.gov.au/arthur/06750/BRG347_6583.htm</v>
      </c>
    </row>
    <row r="414" spans="1:11" x14ac:dyDescent="0.25">
      <c r="A414" t="s">
        <v>1604</v>
      </c>
      <c r="B414" s="1" t="str">
        <f>HYPERLINK("https://www.catalog.slsa.sa.gov.au/record=b2118509")</f>
        <v>https://www.catalog.slsa.sa.gov.au/record=b2118509</v>
      </c>
      <c r="C414" s="1" t="str">
        <f>HYPERLINK("https://www.catalog.slsa.sa.gov.au/xrecord=b2118509")</f>
        <v>https://www.catalog.slsa.sa.gov.au/xrecord=b2118509</v>
      </c>
      <c r="D414" t="s">
        <v>66</v>
      </c>
      <c r="E414" t="s">
        <v>1605</v>
      </c>
      <c r="F414">
        <v>1950</v>
      </c>
      <c r="G414" t="s">
        <v>121</v>
      </c>
      <c r="H414" t="s">
        <v>1606</v>
      </c>
      <c r="I414" t="s">
        <v>1607</v>
      </c>
      <c r="J414" t="s">
        <v>71</v>
      </c>
      <c r="K414" s="2" t="str">
        <f>HYPERLINK("http://collections.slsa.sa.gov.au/arthur/06750/BRG347_6591.htm")</f>
        <v>http://collections.slsa.sa.gov.au/arthur/06750/BRG347_6591.htm</v>
      </c>
    </row>
    <row r="415" spans="1:11" x14ac:dyDescent="0.25">
      <c r="A415" t="s">
        <v>1608</v>
      </c>
      <c r="B415" s="1" t="str">
        <f>HYPERLINK("https://www.catalog.slsa.sa.gov.au/record=b2118741")</f>
        <v>https://www.catalog.slsa.sa.gov.au/record=b2118741</v>
      </c>
      <c r="C415" s="1" t="str">
        <f>HYPERLINK("https://www.catalog.slsa.sa.gov.au/xrecord=b2118741")</f>
        <v>https://www.catalog.slsa.sa.gov.au/xrecord=b2118741</v>
      </c>
      <c r="D415" t="s">
        <v>66</v>
      </c>
      <c r="E415" t="s">
        <v>1609</v>
      </c>
      <c r="F415">
        <v>1950</v>
      </c>
      <c r="G415" t="s">
        <v>121</v>
      </c>
      <c r="H415" t="s">
        <v>1610</v>
      </c>
      <c r="I415" t="s">
        <v>1611</v>
      </c>
      <c r="J415" t="s">
        <v>71</v>
      </c>
      <c r="K415" s="2" t="str">
        <f>HYPERLINK("http://collections.slsa.sa.gov.au/arthur/06750/BRG347_6698.htm")</f>
        <v>http://collections.slsa.sa.gov.au/arthur/06750/BRG347_6698.htm</v>
      </c>
    </row>
    <row r="416" spans="1:11" x14ac:dyDescent="0.25">
      <c r="A416" t="s">
        <v>1612</v>
      </c>
      <c r="B416" s="1" t="str">
        <f>HYPERLINK("https://www.catalog.slsa.sa.gov.au/record=b2118751")</f>
        <v>https://www.catalog.slsa.sa.gov.au/record=b2118751</v>
      </c>
      <c r="C416" s="1" t="str">
        <f>HYPERLINK("https://www.catalog.slsa.sa.gov.au/xrecord=b2118751")</f>
        <v>https://www.catalog.slsa.sa.gov.au/xrecord=b2118751</v>
      </c>
      <c r="D416" t="s">
        <v>66</v>
      </c>
      <c r="E416" t="s">
        <v>1613</v>
      </c>
      <c r="F416">
        <v>1950</v>
      </c>
      <c r="G416" t="s">
        <v>121</v>
      </c>
      <c r="H416" t="s">
        <v>1614</v>
      </c>
      <c r="I416" t="s">
        <v>1615</v>
      </c>
      <c r="J416" t="s">
        <v>71</v>
      </c>
      <c r="K416" s="2" t="str">
        <f>HYPERLINK("http://collections.slsa.sa.gov.au/arthur/06750/BRG347_6709.htm")</f>
        <v>http://collections.slsa.sa.gov.au/arthur/06750/BRG347_6709.htm</v>
      </c>
    </row>
    <row r="417" spans="1:11" x14ac:dyDescent="0.25">
      <c r="A417" t="s">
        <v>1616</v>
      </c>
      <c r="B417" s="1" t="str">
        <f>HYPERLINK("https://www.catalog.slsa.sa.gov.au/record=b2118775")</f>
        <v>https://www.catalog.slsa.sa.gov.au/record=b2118775</v>
      </c>
      <c r="C417" s="1" t="str">
        <f>HYPERLINK("https://www.catalog.slsa.sa.gov.au/xrecord=b2118775")</f>
        <v>https://www.catalog.slsa.sa.gov.au/xrecord=b2118775</v>
      </c>
      <c r="D417" t="s">
        <v>66</v>
      </c>
      <c r="E417" t="s">
        <v>1617</v>
      </c>
      <c r="F417">
        <v>1950</v>
      </c>
      <c r="G417" t="s">
        <v>121</v>
      </c>
      <c r="H417" t="s">
        <v>1618</v>
      </c>
      <c r="I417" t="s">
        <v>1619</v>
      </c>
      <c r="J417" t="s">
        <v>71</v>
      </c>
      <c r="K417" s="2" t="str">
        <f>HYPERLINK("http://collections.slsa.sa.gov.au/arthur/06750/BRG347_6733.htm")</f>
        <v>http://collections.slsa.sa.gov.au/arthur/06750/BRG347_6733.htm</v>
      </c>
    </row>
    <row r="418" spans="1:11" x14ac:dyDescent="0.25">
      <c r="A418" t="s">
        <v>1620</v>
      </c>
      <c r="B418" s="1" t="str">
        <f>HYPERLINK("https://www.catalog.slsa.sa.gov.au/record=b2118782")</f>
        <v>https://www.catalog.slsa.sa.gov.au/record=b2118782</v>
      </c>
      <c r="C418" s="1" t="str">
        <f>HYPERLINK("https://www.catalog.slsa.sa.gov.au/xrecord=b2118782")</f>
        <v>https://www.catalog.slsa.sa.gov.au/xrecord=b2118782</v>
      </c>
      <c r="D418" t="s">
        <v>66</v>
      </c>
      <c r="E418" t="s">
        <v>1621</v>
      </c>
      <c r="F418">
        <v>1950</v>
      </c>
      <c r="G418" t="s">
        <v>121</v>
      </c>
      <c r="H418" t="s">
        <v>1622</v>
      </c>
      <c r="I418" t="s">
        <v>1623</v>
      </c>
      <c r="J418" t="s">
        <v>71</v>
      </c>
      <c r="K418" s="2" t="str">
        <f>HYPERLINK("http://collections.slsa.sa.gov.au/arthur/06750/BRG347_6740.htm")</f>
        <v>http://collections.slsa.sa.gov.au/arthur/06750/BRG347_6740.htm</v>
      </c>
    </row>
    <row r="419" spans="1:11" x14ac:dyDescent="0.25">
      <c r="A419" t="s">
        <v>1624</v>
      </c>
      <c r="B419" s="1" t="str">
        <f>HYPERLINK("https://www.catalog.slsa.sa.gov.au/record=b2118784")</f>
        <v>https://www.catalog.slsa.sa.gov.au/record=b2118784</v>
      </c>
      <c r="C419" s="1" t="str">
        <f>HYPERLINK("https://www.catalog.slsa.sa.gov.au/xrecord=b2118784")</f>
        <v>https://www.catalog.slsa.sa.gov.au/xrecord=b2118784</v>
      </c>
      <c r="D419" t="s">
        <v>66</v>
      </c>
      <c r="E419" t="s">
        <v>1625</v>
      </c>
      <c r="F419">
        <v>1950</v>
      </c>
      <c r="G419" t="s">
        <v>121</v>
      </c>
      <c r="H419" t="s">
        <v>1626</v>
      </c>
      <c r="I419" t="s">
        <v>1627</v>
      </c>
      <c r="J419" t="s">
        <v>71</v>
      </c>
      <c r="K419" s="2" t="str">
        <f>HYPERLINK("http://collections.slsa.sa.gov.au/arthur/06750/BRG347_6742.htm")</f>
        <v>http://collections.slsa.sa.gov.au/arthur/06750/BRG347_6742.htm</v>
      </c>
    </row>
    <row r="420" spans="1:11" x14ac:dyDescent="0.25">
      <c r="A420" t="s">
        <v>1628</v>
      </c>
      <c r="B420" s="1" t="str">
        <f>HYPERLINK("https://www.catalog.slsa.sa.gov.au/record=b2118788")</f>
        <v>https://www.catalog.slsa.sa.gov.au/record=b2118788</v>
      </c>
      <c r="C420" s="1" t="str">
        <f>HYPERLINK("https://www.catalog.slsa.sa.gov.au/xrecord=b2118788")</f>
        <v>https://www.catalog.slsa.sa.gov.au/xrecord=b2118788</v>
      </c>
      <c r="D420" t="s">
        <v>66</v>
      </c>
      <c r="E420" t="s">
        <v>1629</v>
      </c>
      <c r="F420">
        <v>1950</v>
      </c>
      <c r="G420" t="s">
        <v>121</v>
      </c>
      <c r="H420" t="s">
        <v>1630</v>
      </c>
      <c r="I420" t="s">
        <v>1631</v>
      </c>
      <c r="J420" t="s">
        <v>71</v>
      </c>
      <c r="K420" s="2" t="str">
        <f>HYPERLINK("http://collections.slsa.sa.gov.au/arthur/06750/BRG347_6746.htm")</f>
        <v>http://collections.slsa.sa.gov.au/arthur/06750/BRG347_6746.htm</v>
      </c>
    </row>
    <row r="421" spans="1:11" x14ac:dyDescent="0.25">
      <c r="A421" t="s">
        <v>1632</v>
      </c>
      <c r="B421" s="1" t="str">
        <f>HYPERLINK("https://www.catalog.slsa.sa.gov.au/record=b2118795")</f>
        <v>https://www.catalog.slsa.sa.gov.au/record=b2118795</v>
      </c>
      <c r="C421" s="1" t="str">
        <f>HYPERLINK("https://www.catalog.slsa.sa.gov.au/xrecord=b2118795")</f>
        <v>https://www.catalog.slsa.sa.gov.au/xrecord=b2118795</v>
      </c>
      <c r="D421" t="s">
        <v>66</v>
      </c>
      <c r="E421" t="s">
        <v>1633</v>
      </c>
      <c r="F421">
        <v>1950</v>
      </c>
      <c r="G421" t="s">
        <v>121</v>
      </c>
      <c r="H421" t="s">
        <v>1634</v>
      </c>
      <c r="I421" t="s">
        <v>1635</v>
      </c>
      <c r="J421" t="s">
        <v>71</v>
      </c>
      <c r="K421" s="2" t="str">
        <f>HYPERLINK("http://collections.slsa.sa.gov.au/arthur/07000/BRG347_6753.htm")</f>
        <v>http://collections.slsa.sa.gov.au/arthur/07000/BRG347_6753.htm</v>
      </c>
    </row>
    <row r="422" spans="1:11" x14ac:dyDescent="0.25">
      <c r="A422" t="s">
        <v>1636</v>
      </c>
      <c r="B422" s="1" t="str">
        <f>HYPERLINK("https://www.catalog.slsa.sa.gov.au/record=b2118865")</f>
        <v>https://www.catalog.slsa.sa.gov.au/record=b2118865</v>
      </c>
      <c r="C422" s="1" t="str">
        <f>HYPERLINK("https://www.catalog.slsa.sa.gov.au/xrecord=b2118865")</f>
        <v>https://www.catalog.slsa.sa.gov.au/xrecord=b2118865</v>
      </c>
      <c r="D422" t="s">
        <v>66</v>
      </c>
      <c r="E422" t="s">
        <v>1637</v>
      </c>
      <c r="F422">
        <v>1950</v>
      </c>
      <c r="G422" t="s">
        <v>121</v>
      </c>
      <c r="H422" t="s">
        <v>1638</v>
      </c>
      <c r="I422" t="s">
        <v>1639</v>
      </c>
      <c r="J422" t="s">
        <v>71</v>
      </c>
      <c r="K422" s="2" t="str">
        <f>HYPERLINK("http://collections.slsa.sa.gov.au/arthur/07000/BRG347_6759.htm")</f>
        <v>http://collections.slsa.sa.gov.au/arthur/07000/BRG347_6759.htm</v>
      </c>
    </row>
    <row r="423" spans="1:11" x14ac:dyDescent="0.25">
      <c r="A423" t="s">
        <v>1640</v>
      </c>
      <c r="B423" s="1" t="str">
        <f>HYPERLINK("https://www.catalog.slsa.sa.gov.au/record=b2118896")</f>
        <v>https://www.catalog.slsa.sa.gov.au/record=b2118896</v>
      </c>
      <c r="C423" s="1" t="str">
        <f>HYPERLINK("https://www.catalog.slsa.sa.gov.au/xrecord=b2118896")</f>
        <v>https://www.catalog.slsa.sa.gov.au/xrecord=b2118896</v>
      </c>
      <c r="D423" t="s">
        <v>66</v>
      </c>
      <c r="E423" t="s">
        <v>1641</v>
      </c>
      <c r="F423">
        <v>1950</v>
      </c>
      <c r="G423" t="s">
        <v>121</v>
      </c>
      <c r="H423" t="s">
        <v>1642</v>
      </c>
      <c r="I423" t="s">
        <v>1643</v>
      </c>
      <c r="J423" t="s">
        <v>71</v>
      </c>
      <c r="K423" s="2" t="str">
        <f>HYPERLINK("http://collections.slsa.sa.gov.au/arthur/07000/BRG347_6771.htm")</f>
        <v>http://collections.slsa.sa.gov.au/arthur/07000/BRG347_6771.htm</v>
      </c>
    </row>
    <row r="424" spans="1:11" x14ac:dyDescent="0.25">
      <c r="A424" t="s">
        <v>1644</v>
      </c>
      <c r="B424" s="1" t="str">
        <f>HYPERLINK("https://www.catalog.slsa.sa.gov.au/record=b2118898")</f>
        <v>https://www.catalog.slsa.sa.gov.au/record=b2118898</v>
      </c>
      <c r="C424" s="1" t="str">
        <f>HYPERLINK("https://www.catalog.slsa.sa.gov.au/xrecord=b2118898")</f>
        <v>https://www.catalog.slsa.sa.gov.au/xrecord=b2118898</v>
      </c>
      <c r="D424" t="s">
        <v>66</v>
      </c>
      <c r="E424" t="s">
        <v>1641</v>
      </c>
      <c r="F424">
        <v>1950</v>
      </c>
      <c r="G424" t="s">
        <v>121</v>
      </c>
      <c r="H424" t="s">
        <v>1645</v>
      </c>
      <c r="I424" t="s">
        <v>1643</v>
      </c>
      <c r="J424" t="s">
        <v>71</v>
      </c>
      <c r="K424" s="2" t="str">
        <f>HYPERLINK("http://collections.slsa.sa.gov.au/arthur/07000/BRG347_6772.htm")</f>
        <v>http://collections.slsa.sa.gov.au/arthur/07000/BRG347_6772.htm</v>
      </c>
    </row>
    <row r="425" spans="1:11" x14ac:dyDescent="0.25">
      <c r="A425" t="s">
        <v>1646</v>
      </c>
      <c r="B425" s="1" t="str">
        <f>HYPERLINK("https://www.catalog.slsa.sa.gov.au/record=b2118901")</f>
        <v>https://www.catalog.slsa.sa.gov.au/record=b2118901</v>
      </c>
      <c r="C425" s="1" t="str">
        <f>HYPERLINK("https://www.catalog.slsa.sa.gov.au/xrecord=b2118901")</f>
        <v>https://www.catalog.slsa.sa.gov.au/xrecord=b2118901</v>
      </c>
      <c r="D425" t="s">
        <v>66</v>
      </c>
      <c r="E425" t="s">
        <v>1647</v>
      </c>
      <c r="F425">
        <v>1950</v>
      </c>
      <c r="G425" t="s">
        <v>121</v>
      </c>
      <c r="H425" t="s">
        <v>1648</v>
      </c>
      <c r="I425" t="s">
        <v>1649</v>
      </c>
      <c r="J425" t="s">
        <v>71</v>
      </c>
      <c r="K425" s="2" t="str">
        <f>HYPERLINK("http://collections.slsa.sa.gov.au/arthur/07000/BRG347_6773.htm")</f>
        <v>http://collections.slsa.sa.gov.au/arthur/07000/BRG347_6773.htm</v>
      </c>
    </row>
    <row r="426" spans="1:11" x14ac:dyDescent="0.25">
      <c r="A426" t="s">
        <v>1650</v>
      </c>
      <c r="B426" s="1" t="str">
        <f>HYPERLINK("https://www.catalog.slsa.sa.gov.au/record=b2118903")</f>
        <v>https://www.catalog.slsa.sa.gov.au/record=b2118903</v>
      </c>
      <c r="C426" s="1" t="str">
        <f>HYPERLINK("https://www.catalog.slsa.sa.gov.au/xrecord=b2118903")</f>
        <v>https://www.catalog.slsa.sa.gov.au/xrecord=b2118903</v>
      </c>
      <c r="D426" t="s">
        <v>66</v>
      </c>
      <c r="E426" t="s">
        <v>1647</v>
      </c>
      <c r="F426">
        <v>1950</v>
      </c>
      <c r="G426" t="s">
        <v>121</v>
      </c>
      <c r="H426" t="s">
        <v>1651</v>
      </c>
      <c r="I426" t="s">
        <v>1649</v>
      </c>
      <c r="J426" t="s">
        <v>71</v>
      </c>
      <c r="K426" s="2" t="str">
        <f>HYPERLINK("http://collections.slsa.sa.gov.au/arthur/07000/BRG347_6774.htm")</f>
        <v>http://collections.slsa.sa.gov.au/arthur/07000/BRG347_6774.htm</v>
      </c>
    </row>
    <row r="427" spans="1:11" x14ac:dyDescent="0.25">
      <c r="A427" t="s">
        <v>1652</v>
      </c>
      <c r="B427" s="1" t="str">
        <f>HYPERLINK("https://www.catalog.slsa.sa.gov.au/record=b2118904")</f>
        <v>https://www.catalog.slsa.sa.gov.au/record=b2118904</v>
      </c>
      <c r="C427" s="1" t="str">
        <f>HYPERLINK("https://www.catalog.slsa.sa.gov.au/xrecord=b2118904")</f>
        <v>https://www.catalog.slsa.sa.gov.au/xrecord=b2118904</v>
      </c>
      <c r="D427" t="s">
        <v>66</v>
      </c>
      <c r="E427" t="s">
        <v>1647</v>
      </c>
      <c r="F427">
        <v>1950</v>
      </c>
      <c r="G427" t="s">
        <v>121</v>
      </c>
      <c r="H427" t="s">
        <v>1651</v>
      </c>
      <c r="I427" t="s">
        <v>1649</v>
      </c>
      <c r="J427" t="s">
        <v>71</v>
      </c>
      <c r="K427" s="2" t="str">
        <f>HYPERLINK("http://collections.slsa.sa.gov.au/arthur/07000/BRG347_6775.htm")</f>
        <v>http://collections.slsa.sa.gov.au/arthur/07000/BRG347_6775.htm</v>
      </c>
    </row>
    <row r="428" spans="1:11" x14ac:dyDescent="0.25">
      <c r="A428" t="s">
        <v>1653</v>
      </c>
      <c r="B428" s="1" t="str">
        <f>HYPERLINK("https://www.catalog.slsa.sa.gov.au/record=b2118906")</f>
        <v>https://www.catalog.slsa.sa.gov.au/record=b2118906</v>
      </c>
      <c r="C428" s="1" t="str">
        <f>HYPERLINK("https://www.catalog.slsa.sa.gov.au/xrecord=b2118906")</f>
        <v>https://www.catalog.slsa.sa.gov.au/xrecord=b2118906</v>
      </c>
      <c r="D428" t="s">
        <v>66</v>
      </c>
      <c r="E428" t="s">
        <v>1647</v>
      </c>
      <c r="F428">
        <v>1950</v>
      </c>
      <c r="G428" t="s">
        <v>121</v>
      </c>
      <c r="H428" t="s">
        <v>1651</v>
      </c>
      <c r="I428" t="s">
        <v>1649</v>
      </c>
      <c r="J428" t="s">
        <v>71</v>
      </c>
      <c r="K428" s="2" t="str">
        <f>HYPERLINK("http://collections.slsa.sa.gov.au/arthur/07000/BRG347_6776.htm")</f>
        <v>http://collections.slsa.sa.gov.au/arthur/07000/BRG347_6776.htm</v>
      </c>
    </row>
    <row r="429" spans="1:11" x14ac:dyDescent="0.25">
      <c r="A429" t="s">
        <v>1654</v>
      </c>
      <c r="B429" s="1" t="str">
        <f>HYPERLINK("https://www.catalog.slsa.sa.gov.au/record=b2118909")</f>
        <v>https://www.catalog.slsa.sa.gov.au/record=b2118909</v>
      </c>
      <c r="C429" s="1" t="str">
        <f>HYPERLINK("https://www.catalog.slsa.sa.gov.au/xrecord=b2118909")</f>
        <v>https://www.catalog.slsa.sa.gov.au/xrecord=b2118909</v>
      </c>
      <c r="D429" t="s">
        <v>66</v>
      </c>
      <c r="E429" t="s">
        <v>1655</v>
      </c>
      <c r="F429">
        <v>1950</v>
      </c>
      <c r="G429" t="s">
        <v>121</v>
      </c>
      <c r="H429" t="s">
        <v>1656</v>
      </c>
      <c r="I429" t="s">
        <v>1657</v>
      </c>
      <c r="J429" t="s">
        <v>71</v>
      </c>
      <c r="K429" s="2" t="str">
        <f>HYPERLINK("http://collections.slsa.sa.gov.au/arthur/07000/BRG347_6777.htm")</f>
        <v>http://collections.slsa.sa.gov.au/arthur/07000/BRG347_6777.htm</v>
      </c>
    </row>
    <row r="430" spans="1:11" x14ac:dyDescent="0.25">
      <c r="A430" t="s">
        <v>1658</v>
      </c>
      <c r="B430" s="1" t="str">
        <f>HYPERLINK("https://www.catalog.slsa.sa.gov.au/record=b2118911")</f>
        <v>https://www.catalog.slsa.sa.gov.au/record=b2118911</v>
      </c>
      <c r="C430" s="1" t="str">
        <f>HYPERLINK("https://www.catalog.slsa.sa.gov.au/xrecord=b2118911")</f>
        <v>https://www.catalog.slsa.sa.gov.au/xrecord=b2118911</v>
      </c>
      <c r="D430" t="s">
        <v>66</v>
      </c>
      <c r="E430" t="s">
        <v>1659</v>
      </c>
      <c r="F430">
        <v>1950</v>
      </c>
      <c r="G430" t="s">
        <v>121</v>
      </c>
      <c r="H430" t="s">
        <v>1660</v>
      </c>
      <c r="I430" t="s">
        <v>1661</v>
      </c>
      <c r="J430" t="s">
        <v>71</v>
      </c>
      <c r="K430" s="2" t="str">
        <f>HYPERLINK("http://collections.slsa.sa.gov.au/arthur/07000/BRG347_6778.htm")</f>
        <v>http://collections.slsa.sa.gov.au/arthur/07000/BRG347_6778.htm</v>
      </c>
    </row>
    <row r="431" spans="1:11" x14ac:dyDescent="0.25">
      <c r="A431" t="s">
        <v>1662</v>
      </c>
      <c r="B431" s="1" t="str">
        <f>HYPERLINK("https://www.catalog.slsa.sa.gov.au/record=b2118912")</f>
        <v>https://www.catalog.slsa.sa.gov.au/record=b2118912</v>
      </c>
      <c r="C431" s="1" t="str">
        <f>HYPERLINK("https://www.catalog.slsa.sa.gov.au/xrecord=b2118912")</f>
        <v>https://www.catalog.slsa.sa.gov.au/xrecord=b2118912</v>
      </c>
      <c r="D431" t="s">
        <v>66</v>
      </c>
      <c r="E431" t="s">
        <v>1663</v>
      </c>
      <c r="F431">
        <v>1950</v>
      </c>
      <c r="G431" t="s">
        <v>121</v>
      </c>
      <c r="H431" t="s">
        <v>1664</v>
      </c>
      <c r="I431" t="s">
        <v>1643</v>
      </c>
      <c r="J431" t="s">
        <v>71</v>
      </c>
      <c r="K431" s="2" t="str">
        <f>HYPERLINK("http://collections.slsa.sa.gov.au/arthur/07000/BRG347_6779.htm")</f>
        <v>http://collections.slsa.sa.gov.au/arthur/07000/BRG347_6779.htm</v>
      </c>
    </row>
    <row r="432" spans="1:11" x14ac:dyDescent="0.25">
      <c r="A432" t="s">
        <v>1665</v>
      </c>
      <c r="B432" s="1" t="str">
        <f>HYPERLINK("https://www.catalog.slsa.sa.gov.au/record=b2118913")</f>
        <v>https://www.catalog.slsa.sa.gov.au/record=b2118913</v>
      </c>
      <c r="C432" s="1" t="str">
        <f>HYPERLINK("https://www.catalog.slsa.sa.gov.au/xrecord=b2118913")</f>
        <v>https://www.catalog.slsa.sa.gov.au/xrecord=b2118913</v>
      </c>
      <c r="D432" t="s">
        <v>66</v>
      </c>
      <c r="E432" t="s">
        <v>1666</v>
      </c>
      <c r="F432">
        <v>1950</v>
      </c>
      <c r="G432" t="s">
        <v>121</v>
      </c>
      <c r="H432" t="s">
        <v>1667</v>
      </c>
      <c r="I432" t="s">
        <v>1668</v>
      </c>
      <c r="J432" t="s">
        <v>71</v>
      </c>
      <c r="K432" s="2" t="str">
        <f>HYPERLINK("http://collections.slsa.sa.gov.au/arthur/07000/BRG347_6780.htm")</f>
        <v>http://collections.slsa.sa.gov.au/arthur/07000/BRG347_6780.htm</v>
      </c>
    </row>
    <row r="433" spans="1:11" x14ac:dyDescent="0.25">
      <c r="A433" t="s">
        <v>1669</v>
      </c>
      <c r="B433" s="1" t="str">
        <f>HYPERLINK("https://www.catalog.slsa.sa.gov.au/record=b2118916")</f>
        <v>https://www.catalog.slsa.sa.gov.au/record=b2118916</v>
      </c>
      <c r="C433" s="1" t="str">
        <f>HYPERLINK("https://www.catalog.slsa.sa.gov.au/xrecord=b2118916")</f>
        <v>https://www.catalog.slsa.sa.gov.au/xrecord=b2118916</v>
      </c>
      <c r="D433" t="s">
        <v>66</v>
      </c>
      <c r="E433" t="s">
        <v>1670</v>
      </c>
      <c r="F433">
        <v>1950</v>
      </c>
      <c r="G433" t="s">
        <v>121</v>
      </c>
      <c r="H433" t="s">
        <v>1671</v>
      </c>
      <c r="I433" t="s">
        <v>1672</v>
      </c>
      <c r="J433" t="s">
        <v>71</v>
      </c>
      <c r="K433" s="2" t="str">
        <f>HYPERLINK("http://collections.slsa.sa.gov.au/arthur/07000/BRG347_6781.htm")</f>
        <v>http://collections.slsa.sa.gov.au/arthur/07000/BRG347_6781.htm</v>
      </c>
    </row>
    <row r="434" spans="1:11" x14ac:dyDescent="0.25">
      <c r="A434" t="s">
        <v>1673</v>
      </c>
      <c r="B434" s="1" t="str">
        <f>HYPERLINK("https://www.catalog.slsa.sa.gov.au/record=b2118919")</f>
        <v>https://www.catalog.slsa.sa.gov.au/record=b2118919</v>
      </c>
      <c r="C434" s="1" t="str">
        <f>HYPERLINK("https://www.catalog.slsa.sa.gov.au/xrecord=b2118919")</f>
        <v>https://www.catalog.slsa.sa.gov.au/xrecord=b2118919</v>
      </c>
      <c r="D434" t="s">
        <v>66</v>
      </c>
      <c r="E434" t="s">
        <v>1674</v>
      </c>
      <c r="F434">
        <v>1950</v>
      </c>
      <c r="G434" t="s">
        <v>121</v>
      </c>
      <c r="H434" t="s">
        <v>1675</v>
      </c>
      <c r="I434" t="s">
        <v>1676</v>
      </c>
      <c r="J434" t="s">
        <v>71</v>
      </c>
      <c r="K434" s="2" t="str">
        <f>HYPERLINK("http://collections.slsa.sa.gov.au/arthur/07000/BRG347_6782.htm")</f>
        <v>http://collections.slsa.sa.gov.au/arthur/07000/BRG347_6782.htm</v>
      </c>
    </row>
    <row r="435" spans="1:11" x14ac:dyDescent="0.25">
      <c r="A435" t="s">
        <v>1677</v>
      </c>
      <c r="B435" s="1" t="str">
        <f>HYPERLINK("https://www.catalog.slsa.sa.gov.au/record=b2118923")</f>
        <v>https://www.catalog.slsa.sa.gov.au/record=b2118923</v>
      </c>
      <c r="C435" s="1" t="str">
        <f>HYPERLINK("https://www.catalog.slsa.sa.gov.au/xrecord=b2118923")</f>
        <v>https://www.catalog.slsa.sa.gov.au/xrecord=b2118923</v>
      </c>
      <c r="D435" t="s">
        <v>66</v>
      </c>
      <c r="E435" t="s">
        <v>1678</v>
      </c>
      <c r="F435">
        <v>1950</v>
      </c>
      <c r="G435" t="s">
        <v>121</v>
      </c>
      <c r="H435" t="s">
        <v>1679</v>
      </c>
      <c r="I435" t="s">
        <v>1680</v>
      </c>
      <c r="J435" t="s">
        <v>71</v>
      </c>
      <c r="K435" s="2" t="str">
        <f>HYPERLINK("http://collections.slsa.sa.gov.au/arthur/07000/BRG347_6783.htm")</f>
        <v>http://collections.slsa.sa.gov.au/arthur/07000/BRG347_6783.htm</v>
      </c>
    </row>
    <row r="436" spans="1:11" x14ac:dyDescent="0.25">
      <c r="A436" t="s">
        <v>1681</v>
      </c>
      <c r="B436" s="1" t="str">
        <f>HYPERLINK("https://www.catalog.slsa.sa.gov.au/record=b2118929")</f>
        <v>https://www.catalog.slsa.sa.gov.au/record=b2118929</v>
      </c>
      <c r="C436" s="1" t="str">
        <f>HYPERLINK("https://www.catalog.slsa.sa.gov.au/xrecord=b2118929")</f>
        <v>https://www.catalog.slsa.sa.gov.au/xrecord=b2118929</v>
      </c>
      <c r="D436" t="s">
        <v>66</v>
      </c>
      <c r="E436" t="s">
        <v>1682</v>
      </c>
      <c r="F436">
        <v>1950</v>
      </c>
      <c r="G436" t="s">
        <v>121</v>
      </c>
      <c r="H436" t="s">
        <v>1683</v>
      </c>
      <c r="I436" t="s">
        <v>1684</v>
      </c>
      <c r="J436" t="s">
        <v>71</v>
      </c>
      <c r="K436" s="2" t="str">
        <f>HYPERLINK("http://collections.slsa.sa.gov.au/arthur/07000/BRG347_6784.htm")</f>
        <v>http://collections.slsa.sa.gov.au/arthur/07000/BRG347_6784.htm</v>
      </c>
    </row>
    <row r="437" spans="1:11" x14ac:dyDescent="0.25">
      <c r="A437" t="s">
        <v>1685</v>
      </c>
      <c r="B437" s="1" t="str">
        <f>HYPERLINK("https://www.catalog.slsa.sa.gov.au/record=b2118930")</f>
        <v>https://www.catalog.slsa.sa.gov.au/record=b2118930</v>
      </c>
      <c r="C437" s="1" t="str">
        <f>HYPERLINK("https://www.catalog.slsa.sa.gov.au/xrecord=b2118930")</f>
        <v>https://www.catalog.slsa.sa.gov.au/xrecord=b2118930</v>
      </c>
      <c r="D437" t="s">
        <v>66</v>
      </c>
      <c r="E437" t="s">
        <v>1686</v>
      </c>
      <c r="F437">
        <v>1950</v>
      </c>
      <c r="G437" t="s">
        <v>121</v>
      </c>
      <c r="H437" t="s">
        <v>1687</v>
      </c>
      <c r="I437" t="s">
        <v>1688</v>
      </c>
      <c r="J437" t="s">
        <v>71</v>
      </c>
      <c r="K437" s="2" t="str">
        <f>HYPERLINK("http://collections.slsa.sa.gov.au/arthur/07000/BRG347_6785.htm")</f>
        <v>http://collections.slsa.sa.gov.au/arthur/07000/BRG347_6785.htm</v>
      </c>
    </row>
    <row r="438" spans="1:11" x14ac:dyDescent="0.25">
      <c r="A438" t="s">
        <v>1689</v>
      </c>
      <c r="B438" s="1" t="str">
        <f>HYPERLINK("https://www.catalog.slsa.sa.gov.au/record=b2119233")</f>
        <v>https://www.catalog.slsa.sa.gov.au/record=b2119233</v>
      </c>
      <c r="C438" s="1" t="str">
        <f>HYPERLINK("https://www.catalog.slsa.sa.gov.au/xrecord=b2119233")</f>
        <v>https://www.catalog.slsa.sa.gov.au/xrecord=b2119233</v>
      </c>
      <c r="D438" t="s">
        <v>66</v>
      </c>
      <c r="E438" t="s">
        <v>1690</v>
      </c>
      <c r="F438">
        <v>1950</v>
      </c>
      <c r="G438" t="s">
        <v>121</v>
      </c>
      <c r="H438" t="s">
        <v>1691</v>
      </c>
      <c r="I438" t="s">
        <v>1676</v>
      </c>
      <c r="J438" t="s">
        <v>71</v>
      </c>
      <c r="K438" s="2" t="str">
        <f>HYPERLINK("http://collections.slsa.sa.gov.au/arthur/07000/BRG347_6786.htm")</f>
        <v>http://collections.slsa.sa.gov.au/arthur/07000/BRG347_6786.htm</v>
      </c>
    </row>
    <row r="439" spans="1:11" x14ac:dyDescent="0.25">
      <c r="A439" t="s">
        <v>1692</v>
      </c>
      <c r="B439" s="1" t="str">
        <f>HYPERLINK("https://www.catalog.slsa.sa.gov.au/record=b2119234")</f>
        <v>https://www.catalog.slsa.sa.gov.au/record=b2119234</v>
      </c>
      <c r="C439" s="1" t="str">
        <f>HYPERLINK("https://www.catalog.slsa.sa.gov.au/xrecord=b2119234")</f>
        <v>https://www.catalog.slsa.sa.gov.au/xrecord=b2119234</v>
      </c>
      <c r="D439" t="s">
        <v>66</v>
      </c>
      <c r="E439" t="s">
        <v>1693</v>
      </c>
      <c r="F439">
        <v>1950</v>
      </c>
      <c r="G439" t="s">
        <v>121</v>
      </c>
      <c r="H439" t="s">
        <v>1694</v>
      </c>
      <c r="I439" t="s">
        <v>1695</v>
      </c>
      <c r="J439" t="s">
        <v>71</v>
      </c>
      <c r="K439" s="2" t="str">
        <f>HYPERLINK("http://collections.slsa.sa.gov.au/arthur/07000/BRG347_6787.htm")</f>
        <v>http://collections.slsa.sa.gov.au/arthur/07000/BRG347_6787.htm</v>
      </c>
    </row>
    <row r="440" spans="1:11" x14ac:dyDescent="0.25">
      <c r="A440" t="s">
        <v>1696</v>
      </c>
      <c r="B440" s="1" t="str">
        <f>HYPERLINK("https://www.catalog.slsa.sa.gov.au/record=b2119235")</f>
        <v>https://www.catalog.slsa.sa.gov.au/record=b2119235</v>
      </c>
      <c r="C440" s="1" t="str">
        <f>HYPERLINK("https://www.catalog.slsa.sa.gov.au/xrecord=b2119235")</f>
        <v>https://www.catalog.slsa.sa.gov.au/xrecord=b2119235</v>
      </c>
      <c r="D440" t="s">
        <v>66</v>
      </c>
      <c r="E440" t="s">
        <v>1693</v>
      </c>
      <c r="F440">
        <v>1950</v>
      </c>
      <c r="G440" t="s">
        <v>121</v>
      </c>
      <c r="H440" t="s">
        <v>1697</v>
      </c>
      <c r="I440" t="s">
        <v>1695</v>
      </c>
      <c r="J440" t="s">
        <v>71</v>
      </c>
      <c r="K440" s="2" t="str">
        <f>HYPERLINK("http://collections.slsa.sa.gov.au/arthur/07000/BRG347_6788.htm")</f>
        <v>http://collections.slsa.sa.gov.au/arthur/07000/BRG347_6788.htm</v>
      </c>
    </row>
    <row r="441" spans="1:11" x14ac:dyDescent="0.25">
      <c r="A441" t="s">
        <v>1698</v>
      </c>
      <c r="B441" s="1" t="str">
        <f>HYPERLINK("https://www.catalog.slsa.sa.gov.au/record=b2119236")</f>
        <v>https://www.catalog.slsa.sa.gov.au/record=b2119236</v>
      </c>
      <c r="C441" s="1" t="str">
        <f>HYPERLINK("https://www.catalog.slsa.sa.gov.au/xrecord=b2119236")</f>
        <v>https://www.catalog.slsa.sa.gov.au/xrecord=b2119236</v>
      </c>
      <c r="D441" t="s">
        <v>66</v>
      </c>
      <c r="E441" t="s">
        <v>1699</v>
      </c>
      <c r="F441">
        <v>1950</v>
      </c>
      <c r="G441" t="s">
        <v>121</v>
      </c>
      <c r="H441" t="s">
        <v>1700</v>
      </c>
      <c r="I441" t="s">
        <v>1701</v>
      </c>
      <c r="J441" t="s">
        <v>71</v>
      </c>
      <c r="K441" s="2" t="str">
        <f>HYPERLINK("http://collections.slsa.sa.gov.au/arthur/07000/BRG347_6789.htm")</f>
        <v>http://collections.slsa.sa.gov.au/arthur/07000/BRG347_6789.htm</v>
      </c>
    </row>
    <row r="442" spans="1:11" x14ac:dyDescent="0.25">
      <c r="A442" t="s">
        <v>1702</v>
      </c>
      <c r="B442" s="1" t="str">
        <f>HYPERLINK("https://www.catalog.slsa.sa.gov.au/record=b2119237")</f>
        <v>https://www.catalog.slsa.sa.gov.au/record=b2119237</v>
      </c>
      <c r="C442" s="1" t="str">
        <f>HYPERLINK("https://www.catalog.slsa.sa.gov.au/xrecord=b2119237")</f>
        <v>https://www.catalog.slsa.sa.gov.au/xrecord=b2119237</v>
      </c>
      <c r="D442" t="s">
        <v>66</v>
      </c>
      <c r="E442" t="s">
        <v>1703</v>
      </c>
      <c r="F442">
        <v>1950</v>
      </c>
      <c r="G442" t="s">
        <v>121</v>
      </c>
      <c r="H442" t="s">
        <v>1704</v>
      </c>
      <c r="I442" t="s">
        <v>1705</v>
      </c>
      <c r="J442" t="s">
        <v>71</v>
      </c>
      <c r="K442" s="2" t="str">
        <f>HYPERLINK("http://collections.slsa.sa.gov.au/arthur/07000/BRG347_6790.htm")</f>
        <v>http://collections.slsa.sa.gov.au/arthur/07000/BRG347_6790.htm</v>
      </c>
    </row>
    <row r="443" spans="1:11" x14ac:dyDescent="0.25">
      <c r="A443" t="s">
        <v>1706</v>
      </c>
      <c r="B443" s="1" t="str">
        <f>HYPERLINK("https://www.catalog.slsa.sa.gov.au/record=b2119301")</f>
        <v>https://www.catalog.slsa.sa.gov.au/record=b2119301</v>
      </c>
      <c r="C443" s="1" t="str">
        <f>HYPERLINK("https://www.catalog.slsa.sa.gov.au/xrecord=b2119301")</f>
        <v>https://www.catalog.slsa.sa.gov.au/xrecord=b2119301</v>
      </c>
      <c r="D443" t="s">
        <v>66</v>
      </c>
      <c r="E443" t="s">
        <v>1707</v>
      </c>
      <c r="F443">
        <v>1950</v>
      </c>
      <c r="G443" t="s">
        <v>121</v>
      </c>
      <c r="H443" t="s">
        <v>1708</v>
      </c>
      <c r="I443" t="s">
        <v>1709</v>
      </c>
      <c r="J443" t="s">
        <v>71</v>
      </c>
      <c r="K443" s="2" t="str">
        <f>HYPERLINK("http://collections.slsa.sa.gov.au/arthur/07000/BRG347_6845.htm")</f>
        <v>http://collections.slsa.sa.gov.au/arthur/07000/BRG347_6845.htm</v>
      </c>
    </row>
    <row r="444" spans="1:11" x14ac:dyDescent="0.25">
      <c r="A444" t="s">
        <v>1710</v>
      </c>
      <c r="B444" s="1" t="str">
        <f>HYPERLINK("https://www.catalog.slsa.sa.gov.au/record=b2119302")</f>
        <v>https://www.catalog.slsa.sa.gov.au/record=b2119302</v>
      </c>
      <c r="C444" s="1" t="str">
        <f>HYPERLINK("https://www.catalog.slsa.sa.gov.au/xrecord=b2119302")</f>
        <v>https://www.catalog.slsa.sa.gov.au/xrecord=b2119302</v>
      </c>
      <c r="D444" t="s">
        <v>66</v>
      </c>
      <c r="E444" t="s">
        <v>1711</v>
      </c>
      <c r="F444">
        <v>1950</v>
      </c>
      <c r="G444" t="s">
        <v>121</v>
      </c>
      <c r="H444" t="s">
        <v>1712</v>
      </c>
      <c r="I444" t="s">
        <v>1713</v>
      </c>
      <c r="J444" t="s">
        <v>71</v>
      </c>
      <c r="K444" s="2" t="str">
        <f>HYPERLINK("http://collections.slsa.sa.gov.au/arthur/07000/BRG347_6846.htm")</f>
        <v>http://collections.slsa.sa.gov.au/arthur/07000/BRG347_6846.htm</v>
      </c>
    </row>
    <row r="445" spans="1:11" x14ac:dyDescent="0.25">
      <c r="A445" t="s">
        <v>1714</v>
      </c>
      <c r="B445" s="1" t="str">
        <f>HYPERLINK("https://www.catalog.slsa.sa.gov.au/record=b2119305")</f>
        <v>https://www.catalog.slsa.sa.gov.au/record=b2119305</v>
      </c>
      <c r="C445" s="1" t="str">
        <f>HYPERLINK("https://www.catalog.slsa.sa.gov.au/xrecord=b2119305")</f>
        <v>https://www.catalog.slsa.sa.gov.au/xrecord=b2119305</v>
      </c>
      <c r="D445" t="s">
        <v>66</v>
      </c>
      <c r="E445" t="s">
        <v>1715</v>
      </c>
      <c r="F445">
        <v>1950</v>
      </c>
      <c r="G445" t="s">
        <v>121</v>
      </c>
      <c r="H445" t="s">
        <v>1716</v>
      </c>
      <c r="I445" t="s">
        <v>1717</v>
      </c>
      <c r="J445" t="s">
        <v>71</v>
      </c>
      <c r="K445" s="2" t="str">
        <f>HYPERLINK("http://collections.slsa.sa.gov.au/arthur/07000/BRG347_6847.htm")</f>
        <v>http://collections.slsa.sa.gov.au/arthur/07000/BRG347_6847.htm</v>
      </c>
    </row>
    <row r="446" spans="1:11" x14ac:dyDescent="0.25">
      <c r="A446" t="s">
        <v>1718</v>
      </c>
      <c r="B446" s="1" t="str">
        <f>HYPERLINK("https://www.catalog.slsa.sa.gov.au/record=b2119307")</f>
        <v>https://www.catalog.slsa.sa.gov.au/record=b2119307</v>
      </c>
      <c r="C446" s="1" t="str">
        <f>HYPERLINK("https://www.catalog.slsa.sa.gov.au/xrecord=b2119307")</f>
        <v>https://www.catalog.slsa.sa.gov.au/xrecord=b2119307</v>
      </c>
      <c r="D446" t="s">
        <v>66</v>
      </c>
      <c r="E446" t="s">
        <v>1719</v>
      </c>
      <c r="F446">
        <v>1950</v>
      </c>
      <c r="G446" t="s">
        <v>121</v>
      </c>
      <c r="H446" t="s">
        <v>1720</v>
      </c>
      <c r="I446" t="s">
        <v>1721</v>
      </c>
      <c r="J446" t="s">
        <v>71</v>
      </c>
      <c r="K446" s="2" t="str">
        <f>HYPERLINK("http://collections.slsa.sa.gov.au/arthur/07000/BRG347_6848.htm")</f>
        <v>http://collections.slsa.sa.gov.au/arthur/07000/BRG347_6848.htm</v>
      </c>
    </row>
    <row r="447" spans="1:11" x14ac:dyDescent="0.25">
      <c r="A447" t="s">
        <v>1722</v>
      </c>
      <c r="B447" s="1" t="str">
        <f>HYPERLINK("https://www.catalog.slsa.sa.gov.au/record=b2119308")</f>
        <v>https://www.catalog.slsa.sa.gov.au/record=b2119308</v>
      </c>
      <c r="C447" s="1" t="str">
        <f>HYPERLINK("https://www.catalog.slsa.sa.gov.au/xrecord=b2119308")</f>
        <v>https://www.catalog.slsa.sa.gov.au/xrecord=b2119308</v>
      </c>
      <c r="D447" t="s">
        <v>66</v>
      </c>
      <c r="E447" t="s">
        <v>1723</v>
      </c>
      <c r="F447">
        <v>1950</v>
      </c>
      <c r="G447" t="s">
        <v>121</v>
      </c>
      <c r="H447" t="s">
        <v>1724</v>
      </c>
      <c r="I447" t="s">
        <v>1717</v>
      </c>
      <c r="J447" t="s">
        <v>71</v>
      </c>
      <c r="K447" s="2" t="str">
        <f>HYPERLINK("http://collections.slsa.sa.gov.au/arthur/07000/BRG347_6849.htm")</f>
        <v>http://collections.slsa.sa.gov.au/arthur/07000/BRG347_6849.htm</v>
      </c>
    </row>
    <row r="448" spans="1:11" x14ac:dyDescent="0.25">
      <c r="A448" t="s">
        <v>1725</v>
      </c>
      <c r="B448" s="1" t="str">
        <f>HYPERLINK("https://www.catalog.slsa.sa.gov.au/record=b2119321")</f>
        <v>https://www.catalog.slsa.sa.gov.au/record=b2119321</v>
      </c>
      <c r="C448" s="1" t="str">
        <f>HYPERLINK("https://www.catalog.slsa.sa.gov.au/xrecord=b2119321")</f>
        <v>https://www.catalog.slsa.sa.gov.au/xrecord=b2119321</v>
      </c>
      <c r="D448" t="s">
        <v>66</v>
      </c>
      <c r="E448" t="s">
        <v>1726</v>
      </c>
      <c r="F448">
        <v>1950</v>
      </c>
      <c r="G448" t="s">
        <v>121</v>
      </c>
      <c r="H448" t="s">
        <v>1727</v>
      </c>
      <c r="I448" t="s">
        <v>1728</v>
      </c>
      <c r="J448" t="s">
        <v>71</v>
      </c>
      <c r="K448" s="2" t="str">
        <f>HYPERLINK("http://collections.slsa.sa.gov.au/arthur/07000/BRG347_6859.htm")</f>
        <v>http://collections.slsa.sa.gov.au/arthur/07000/BRG347_6859.htm</v>
      </c>
    </row>
    <row r="449" spans="1:11" x14ac:dyDescent="0.25">
      <c r="A449" t="s">
        <v>1729</v>
      </c>
      <c r="B449" s="1" t="str">
        <f>HYPERLINK("https://www.catalog.slsa.sa.gov.au/record=b2119536")</f>
        <v>https://www.catalog.slsa.sa.gov.au/record=b2119536</v>
      </c>
      <c r="C449" s="1" t="str">
        <f>HYPERLINK("https://www.catalog.slsa.sa.gov.au/xrecord=b2119536")</f>
        <v>https://www.catalog.slsa.sa.gov.au/xrecord=b2119536</v>
      </c>
      <c r="D449" t="s">
        <v>66</v>
      </c>
      <c r="E449" t="s">
        <v>1730</v>
      </c>
      <c r="F449">
        <v>1950</v>
      </c>
      <c r="G449" t="s">
        <v>121</v>
      </c>
      <c r="H449" t="s">
        <v>1731</v>
      </c>
      <c r="I449" t="s">
        <v>1732</v>
      </c>
      <c r="J449" t="s">
        <v>71</v>
      </c>
      <c r="K449" s="2" t="str">
        <f>HYPERLINK("http://collections.slsa.sa.gov.au/arthur/07000/BRG347_6871.htm")</f>
        <v>http://collections.slsa.sa.gov.au/arthur/07000/BRG347_6871.htm</v>
      </c>
    </row>
    <row r="450" spans="1:11" x14ac:dyDescent="0.25">
      <c r="A450" t="s">
        <v>1733</v>
      </c>
      <c r="B450" s="1" t="str">
        <f>HYPERLINK("https://www.catalog.slsa.sa.gov.au/record=b2119537")</f>
        <v>https://www.catalog.slsa.sa.gov.au/record=b2119537</v>
      </c>
      <c r="C450" s="1" t="str">
        <f>HYPERLINK("https://www.catalog.slsa.sa.gov.au/xrecord=b2119537")</f>
        <v>https://www.catalog.slsa.sa.gov.au/xrecord=b2119537</v>
      </c>
      <c r="D450" t="s">
        <v>66</v>
      </c>
      <c r="E450" t="s">
        <v>1734</v>
      </c>
      <c r="F450">
        <v>1950</v>
      </c>
      <c r="G450" t="s">
        <v>121</v>
      </c>
      <c r="H450" t="s">
        <v>1735</v>
      </c>
      <c r="I450" t="s">
        <v>1728</v>
      </c>
      <c r="J450" t="s">
        <v>71</v>
      </c>
      <c r="K450" s="2" t="str">
        <f>HYPERLINK("http://collections.slsa.sa.gov.au/arthur/07000/BRG347_6872.htm")</f>
        <v>http://collections.slsa.sa.gov.au/arthur/07000/BRG347_6872.htm</v>
      </c>
    </row>
    <row r="451" spans="1:11" x14ac:dyDescent="0.25">
      <c r="A451" t="s">
        <v>1736</v>
      </c>
      <c r="B451" s="1" t="str">
        <f>HYPERLINK("https://www.catalog.slsa.sa.gov.au/record=b2119538")</f>
        <v>https://www.catalog.slsa.sa.gov.au/record=b2119538</v>
      </c>
      <c r="C451" s="1" t="str">
        <f>HYPERLINK("https://www.catalog.slsa.sa.gov.au/xrecord=b2119538")</f>
        <v>https://www.catalog.slsa.sa.gov.au/xrecord=b2119538</v>
      </c>
      <c r="D451" t="s">
        <v>66</v>
      </c>
      <c r="E451" t="s">
        <v>1737</v>
      </c>
      <c r="F451">
        <v>1950</v>
      </c>
      <c r="G451" t="s">
        <v>121</v>
      </c>
      <c r="H451" t="s">
        <v>1738</v>
      </c>
      <c r="I451" t="s">
        <v>1739</v>
      </c>
      <c r="J451" t="s">
        <v>71</v>
      </c>
      <c r="K451" s="2" t="str">
        <f>HYPERLINK("http://collections.slsa.sa.gov.au/arthur/07000/BRG347_6873.htm")</f>
        <v>http://collections.slsa.sa.gov.au/arthur/07000/BRG347_6873.htm</v>
      </c>
    </row>
    <row r="452" spans="1:11" x14ac:dyDescent="0.25">
      <c r="A452" t="s">
        <v>1740</v>
      </c>
      <c r="B452" s="1" t="str">
        <f>HYPERLINK("https://www.catalog.slsa.sa.gov.au/record=b2119563")</f>
        <v>https://www.catalog.slsa.sa.gov.au/record=b2119563</v>
      </c>
      <c r="C452" s="1" t="str">
        <f>HYPERLINK("https://www.catalog.slsa.sa.gov.au/xrecord=b2119563")</f>
        <v>https://www.catalog.slsa.sa.gov.au/xrecord=b2119563</v>
      </c>
      <c r="D452" t="s">
        <v>66</v>
      </c>
      <c r="E452" t="s">
        <v>1741</v>
      </c>
      <c r="F452">
        <v>1950</v>
      </c>
      <c r="G452" t="s">
        <v>121</v>
      </c>
      <c r="H452" t="s">
        <v>1742</v>
      </c>
      <c r="I452" t="s">
        <v>1743</v>
      </c>
      <c r="J452" t="s">
        <v>71</v>
      </c>
      <c r="K452" s="2" t="str">
        <f>HYPERLINK("http://collections.slsa.sa.gov.au/arthur/07000/BRG347_6897.htm")</f>
        <v>http://collections.slsa.sa.gov.au/arthur/07000/BRG347_6897.htm</v>
      </c>
    </row>
    <row r="453" spans="1:11" x14ac:dyDescent="0.25">
      <c r="A453" t="s">
        <v>1744</v>
      </c>
      <c r="B453" s="1" t="str">
        <f>HYPERLINK("https://www.catalog.slsa.sa.gov.au/record=b2119586")</f>
        <v>https://www.catalog.slsa.sa.gov.au/record=b2119586</v>
      </c>
      <c r="C453" s="1" t="str">
        <f>HYPERLINK("https://www.catalog.slsa.sa.gov.au/xrecord=b2119586")</f>
        <v>https://www.catalog.slsa.sa.gov.au/xrecord=b2119586</v>
      </c>
      <c r="D453" t="s">
        <v>66</v>
      </c>
      <c r="E453" t="s">
        <v>1745</v>
      </c>
      <c r="F453">
        <v>1950</v>
      </c>
      <c r="G453" t="s">
        <v>121</v>
      </c>
      <c r="H453" t="s">
        <v>1746</v>
      </c>
      <c r="I453" t="s">
        <v>1743</v>
      </c>
      <c r="J453" t="s">
        <v>71</v>
      </c>
      <c r="K453" s="2" t="str">
        <f>HYPERLINK("http://collections.slsa.sa.gov.au/arthur/07000/BRG347_6899.htm")</f>
        <v>http://collections.slsa.sa.gov.au/arthur/07000/BRG347_6899.htm</v>
      </c>
    </row>
    <row r="454" spans="1:11" x14ac:dyDescent="0.25">
      <c r="A454" t="s">
        <v>1747</v>
      </c>
      <c r="B454" s="1" t="str">
        <f>HYPERLINK("https://www.catalog.slsa.sa.gov.au/record=b2119596")</f>
        <v>https://www.catalog.slsa.sa.gov.au/record=b2119596</v>
      </c>
      <c r="C454" s="1" t="str">
        <f>HYPERLINK("https://www.catalog.slsa.sa.gov.au/xrecord=b2119596")</f>
        <v>https://www.catalog.slsa.sa.gov.au/xrecord=b2119596</v>
      </c>
      <c r="D454" t="s">
        <v>66</v>
      </c>
      <c r="E454" t="s">
        <v>1748</v>
      </c>
      <c r="F454">
        <v>1950</v>
      </c>
      <c r="G454" t="s">
        <v>121</v>
      </c>
      <c r="H454" t="s">
        <v>1749</v>
      </c>
      <c r="I454" t="s">
        <v>1750</v>
      </c>
      <c r="J454" t="s">
        <v>71</v>
      </c>
      <c r="K454" s="2" t="str">
        <f>HYPERLINK("http://collections.slsa.sa.gov.au/arthur/07000/BRG347_6909.htm")</f>
        <v>http://collections.slsa.sa.gov.au/arthur/07000/BRG347_6909.htm</v>
      </c>
    </row>
    <row r="455" spans="1:11" x14ac:dyDescent="0.25">
      <c r="A455" t="s">
        <v>1751</v>
      </c>
      <c r="B455" s="1" t="str">
        <f>HYPERLINK("https://www.catalog.slsa.sa.gov.au/record=b2084328")</f>
        <v>https://www.catalog.slsa.sa.gov.au/record=b2084328</v>
      </c>
      <c r="C455" s="1" t="str">
        <f>HYPERLINK("https://www.catalog.slsa.sa.gov.au/xrecord=b2084328")</f>
        <v>https://www.catalog.slsa.sa.gov.au/xrecord=b2084328</v>
      </c>
      <c r="D455" t="s">
        <v>1752</v>
      </c>
      <c r="E455" t="s">
        <v>1753</v>
      </c>
      <c r="F455">
        <v>1950</v>
      </c>
      <c r="G455" t="s">
        <v>1754</v>
      </c>
      <c r="H455" t="s">
        <v>1755</v>
      </c>
      <c r="I455" t="s">
        <v>1756</v>
      </c>
      <c r="J455" t="s">
        <v>1757</v>
      </c>
      <c r="K455" s="2" t="str">
        <f>HYPERLINK("http://collections.slsa.sa.gov.au/godson/1/00750/PRG1258_1_566.htm")</f>
        <v>http://collections.slsa.sa.gov.au/godson/1/00750/PRG1258_1_566.htm</v>
      </c>
    </row>
    <row r="456" spans="1:11" x14ac:dyDescent="0.25">
      <c r="A456" t="s">
        <v>1758</v>
      </c>
      <c r="B456" s="1" t="str">
        <f>HYPERLINK("https://www.catalog.slsa.sa.gov.au/record=b2085234")</f>
        <v>https://www.catalog.slsa.sa.gov.au/record=b2085234</v>
      </c>
      <c r="C456" s="1" t="str">
        <f>HYPERLINK("https://www.catalog.slsa.sa.gov.au/xrecord=b2085234")</f>
        <v>https://www.catalog.slsa.sa.gov.au/xrecord=b2085234</v>
      </c>
      <c r="E456" t="s">
        <v>1759</v>
      </c>
      <c r="F456">
        <v>1950</v>
      </c>
      <c r="G456" t="s">
        <v>1760</v>
      </c>
      <c r="H456" t="s">
        <v>1761</v>
      </c>
      <c r="I456" t="s">
        <v>1762</v>
      </c>
      <c r="J456" t="s">
        <v>1757</v>
      </c>
      <c r="K456" s="2" t="str">
        <f>HYPERLINK("http://collections.slsa.sa.gov.au/godson/2/00250/PRG1258_2_185.htm")</f>
        <v>http://collections.slsa.sa.gov.au/godson/2/00250/PRG1258_2_185.htm</v>
      </c>
    </row>
    <row r="457" spans="1:11" x14ac:dyDescent="0.25">
      <c r="A457" t="s">
        <v>1763</v>
      </c>
      <c r="B457" s="1" t="str">
        <f>HYPERLINK("https://www.catalog.slsa.sa.gov.au/record=b2085581")</f>
        <v>https://www.catalog.slsa.sa.gov.au/record=b2085581</v>
      </c>
      <c r="C457" s="1" t="str">
        <f>HYPERLINK("https://www.catalog.slsa.sa.gov.au/xrecord=b2085581")</f>
        <v>https://www.catalog.slsa.sa.gov.au/xrecord=b2085581</v>
      </c>
      <c r="E457" t="s">
        <v>1764</v>
      </c>
      <c r="F457">
        <v>1950</v>
      </c>
      <c r="G457" t="s">
        <v>1765</v>
      </c>
      <c r="H457" t="s">
        <v>1766</v>
      </c>
      <c r="I457" t="s">
        <v>1767</v>
      </c>
      <c r="J457" t="s">
        <v>1757</v>
      </c>
      <c r="K457" s="2" t="str">
        <f>HYPERLINK("http://collections.slsa.sa.gov.au/godson/2/01000/PRG1258_2_922.htm")</f>
        <v>http://collections.slsa.sa.gov.au/godson/2/01000/PRG1258_2_922.htm</v>
      </c>
    </row>
    <row r="458" spans="1:11" x14ac:dyDescent="0.25">
      <c r="A458" t="s">
        <v>1768</v>
      </c>
      <c r="B458" s="1" t="str">
        <f>HYPERLINK("https://www.catalog.slsa.sa.gov.au/record=b2085584")</f>
        <v>https://www.catalog.slsa.sa.gov.au/record=b2085584</v>
      </c>
      <c r="C458" s="1" t="str">
        <f>HYPERLINK("https://www.catalog.slsa.sa.gov.au/xrecord=b2085584")</f>
        <v>https://www.catalog.slsa.sa.gov.au/xrecord=b2085584</v>
      </c>
      <c r="E458" t="s">
        <v>1769</v>
      </c>
      <c r="F458">
        <v>1950</v>
      </c>
      <c r="G458" t="s">
        <v>1770</v>
      </c>
      <c r="H458" t="s">
        <v>1771</v>
      </c>
      <c r="I458" t="s">
        <v>1772</v>
      </c>
      <c r="J458" t="s">
        <v>1757</v>
      </c>
      <c r="K458" s="2" t="str">
        <f>HYPERLINK("http://collections.slsa.sa.gov.au/godson/2/01000/PRG1258_2_929.htm")</f>
        <v>http://collections.slsa.sa.gov.au/godson/2/01000/PRG1258_2_929.htm</v>
      </c>
    </row>
    <row r="459" spans="1:11" x14ac:dyDescent="0.25">
      <c r="A459" t="s">
        <v>1773</v>
      </c>
      <c r="B459" s="1" t="str">
        <f>HYPERLINK("https://www.catalog.slsa.sa.gov.au/record=b2085829")</f>
        <v>https://www.catalog.slsa.sa.gov.au/record=b2085829</v>
      </c>
      <c r="C459" s="1" t="str">
        <f>HYPERLINK("https://www.catalog.slsa.sa.gov.au/xrecord=b2085829")</f>
        <v>https://www.catalog.slsa.sa.gov.au/xrecord=b2085829</v>
      </c>
      <c r="E459" t="s">
        <v>1774</v>
      </c>
      <c r="F459">
        <v>1950</v>
      </c>
      <c r="G459" t="s">
        <v>1775</v>
      </c>
      <c r="H459" t="s">
        <v>1776</v>
      </c>
      <c r="I459" t="s">
        <v>1777</v>
      </c>
      <c r="J459" t="s">
        <v>1757</v>
      </c>
      <c r="K459" s="2" t="str">
        <f>HYPERLINK("http://collections.slsa.sa.gov.au/godson/2/02000/PRG1258_2_1906.htm")</f>
        <v>http://collections.slsa.sa.gov.au/godson/2/02000/PRG1258_2_1906.htm</v>
      </c>
    </row>
    <row r="460" spans="1:11" x14ac:dyDescent="0.25">
      <c r="A460" t="s">
        <v>1778</v>
      </c>
      <c r="B460" s="1" t="str">
        <f>HYPERLINK("https://www.catalog.slsa.sa.gov.au/record=b2086371")</f>
        <v>https://www.catalog.slsa.sa.gov.au/record=b2086371</v>
      </c>
      <c r="C460" s="1" t="str">
        <f>HYPERLINK("https://www.catalog.slsa.sa.gov.au/xrecord=b2086371")</f>
        <v>https://www.catalog.slsa.sa.gov.au/xrecord=b2086371</v>
      </c>
      <c r="E460" t="s">
        <v>1779</v>
      </c>
      <c r="F460">
        <v>1950</v>
      </c>
      <c r="G460" t="s">
        <v>1760</v>
      </c>
      <c r="H460" t="s">
        <v>1780</v>
      </c>
      <c r="I460" t="s">
        <v>1781</v>
      </c>
      <c r="J460" t="s">
        <v>1757</v>
      </c>
      <c r="K460" s="2" t="str">
        <f>HYPERLINK("http://collections.slsa.sa.gov.au/godson/2/03000/PRG1258_2_2819.htm")</f>
        <v>http://collections.slsa.sa.gov.au/godson/2/03000/PRG1258_2_2819.htm</v>
      </c>
    </row>
    <row r="461" spans="1:11" x14ac:dyDescent="0.25">
      <c r="A461" t="s">
        <v>1782</v>
      </c>
      <c r="B461" s="1" t="str">
        <f>HYPERLINK("https://www.catalog.slsa.sa.gov.au/record=b2085964")</f>
        <v>https://www.catalog.slsa.sa.gov.au/record=b2085964</v>
      </c>
      <c r="C461" s="1" t="str">
        <f>HYPERLINK("https://www.catalog.slsa.sa.gov.au/xrecord=b2085964")</f>
        <v>https://www.catalog.slsa.sa.gov.au/xrecord=b2085964</v>
      </c>
      <c r="E461" t="s">
        <v>1783</v>
      </c>
      <c r="F461">
        <v>1950</v>
      </c>
      <c r="G461" t="s">
        <v>1775</v>
      </c>
      <c r="H461" t="s">
        <v>1784</v>
      </c>
      <c r="I461" t="s">
        <v>1785</v>
      </c>
      <c r="J461" t="s">
        <v>1757</v>
      </c>
      <c r="K461" s="2" t="str">
        <f>HYPERLINK("http://collections.slsa.sa.gov.au/godson/3/00250/PRG1258_3_37.htm")</f>
        <v>http://collections.slsa.sa.gov.au/godson/3/00250/PRG1258_3_37.htm</v>
      </c>
    </row>
    <row r="462" spans="1:11" x14ac:dyDescent="0.25">
      <c r="A462" t="s">
        <v>1786</v>
      </c>
      <c r="B462" s="1" t="str">
        <f>HYPERLINK("https://www.catalog.slsa.sa.gov.au/record=b2086069")</f>
        <v>https://www.catalog.slsa.sa.gov.au/record=b2086069</v>
      </c>
      <c r="C462" s="1" t="str">
        <f>HYPERLINK("https://www.catalog.slsa.sa.gov.au/xrecord=b2086069")</f>
        <v>https://www.catalog.slsa.sa.gov.au/xrecord=b2086069</v>
      </c>
      <c r="E462" t="s">
        <v>1787</v>
      </c>
      <c r="F462">
        <v>1950</v>
      </c>
      <c r="G462" t="s">
        <v>1788</v>
      </c>
      <c r="H462" t="s">
        <v>1789</v>
      </c>
      <c r="I462" t="s">
        <v>1790</v>
      </c>
      <c r="J462" t="s">
        <v>1757</v>
      </c>
      <c r="K462" s="2" t="str">
        <f>HYPERLINK("http://collections.slsa.sa.gov.au/godson/4/00250/PRG1258_4_107.htm")</f>
        <v>http://collections.slsa.sa.gov.au/godson/4/00250/PRG1258_4_107.htm</v>
      </c>
    </row>
    <row r="463" spans="1:11" x14ac:dyDescent="0.25">
      <c r="A463" t="s">
        <v>1791</v>
      </c>
      <c r="B463" s="1" t="str">
        <f>HYPERLINK("https://www.catalog.slsa.sa.gov.au/record=b3131587")</f>
        <v>https://www.catalog.slsa.sa.gov.au/record=b3131587</v>
      </c>
      <c r="C463" s="1" t="str">
        <f>HYPERLINK("https://www.catalog.slsa.sa.gov.au/xrecord=b3131587")</f>
        <v>https://www.catalog.slsa.sa.gov.au/xrecord=b3131587</v>
      </c>
      <c r="D463" t="s">
        <v>1792</v>
      </c>
      <c r="E463" t="s">
        <v>1793</v>
      </c>
      <c r="F463">
        <v>1950</v>
      </c>
      <c r="G463" t="s">
        <v>1794</v>
      </c>
      <c r="H463" t="s">
        <v>1795</v>
      </c>
      <c r="I463" t="s">
        <v>1796</v>
      </c>
      <c r="K463" s="2" t="str">
        <f>HYPERLINK("http://collections.slsa.sa.gov.au/resource/BRG+332/12/122")</f>
        <v>http://collections.slsa.sa.gov.au/resource/BRG+332/12/122</v>
      </c>
    </row>
    <row r="464" spans="1:11" x14ac:dyDescent="0.25">
      <c r="A464" t="s">
        <v>1797</v>
      </c>
      <c r="B464" s="1" t="str">
        <f>HYPERLINK("https://www.catalog.slsa.sa.gov.au/record=b3131588")</f>
        <v>https://www.catalog.slsa.sa.gov.au/record=b3131588</v>
      </c>
      <c r="C464" s="1" t="str">
        <f>HYPERLINK("https://www.catalog.slsa.sa.gov.au/xrecord=b3131588")</f>
        <v>https://www.catalog.slsa.sa.gov.au/xrecord=b3131588</v>
      </c>
      <c r="D464" t="s">
        <v>1792</v>
      </c>
      <c r="E464" t="s">
        <v>1798</v>
      </c>
      <c r="F464">
        <v>1950</v>
      </c>
      <c r="G464" t="s">
        <v>1794</v>
      </c>
      <c r="H464" t="s">
        <v>1799</v>
      </c>
      <c r="I464" t="s">
        <v>1796</v>
      </c>
      <c r="K464" s="2" t="str">
        <f>HYPERLINK("http://collections.slsa.sa.gov.au/resource/BRG+332/12/123")</f>
        <v>http://collections.slsa.sa.gov.au/resource/BRG+332/12/123</v>
      </c>
    </row>
    <row r="465" spans="1:11" x14ac:dyDescent="0.25">
      <c r="A465" t="s">
        <v>1800</v>
      </c>
      <c r="B465" s="1" t="str">
        <f>HYPERLINK("https://www.catalog.slsa.sa.gov.au/record=b3131589")</f>
        <v>https://www.catalog.slsa.sa.gov.au/record=b3131589</v>
      </c>
      <c r="C465" s="1" t="str">
        <f>HYPERLINK("https://www.catalog.slsa.sa.gov.au/xrecord=b3131589")</f>
        <v>https://www.catalog.slsa.sa.gov.au/xrecord=b3131589</v>
      </c>
      <c r="D465" t="s">
        <v>1792</v>
      </c>
      <c r="E465" t="s">
        <v>1801</v>
      </c>
      <c r="F465">
        <v>1950</v>
      </c>
      <c r="G465" t="s">
        <v>1802</v>
      </c>
      <c r="H465" t="s">
        <v>1803</v>
      </c>
      <c r="I465" t="s">
        <v>1796</v>
      </c>
      <c r="K465" s="2" t="str">
        <f>HYPERLINK("http://collections.slsa.sa.gov.au/resource/BRG+332/12/125")</f>
        <v>http://collections.slsa.sa.gov.au/resource/BRG+332/12/125</v>
      </c>
    </row>
    <row r="466" spans="1:11" x14ac:dyDescent="0.25">
      <c r="A466" t="s">
        <v>1804</v>
      </c>
      <c r="B466" s="1" t="str">
        <f>HYPERLINK("https://www.catalog.slsa.sa.gov.au/record=b3017022")</f>
        <v>https://www.catalog.slsa.sa.gov.au/record=b3017022</v>
      </c>
      <c r="C466" s="1" t="str">
        <f>HYPERLINK("https://www.catalog.slsa.sa.gov.au/xrecord=b3017022")</f>
        <v>https://www.catalog.slsa.sa.gov.au/xrecord=b3017022</v>
      </c>
      <c r="E466" t="s">
        <v>1805</v>
      </c>
      <c r="F466">
        <v>1950</v>
      </c>
      <c r="G466" t="s">
        <v>1806</v>
      </c>
      <c r="H466" t="s">
        <v>1807</v>
      </c>
      <c r="I466" t="s">
        <v>1808</v>
      </c>
      <c r="J466" t="s">
        <v>1809</v>
      </c>
      <c r="K466" s="2" t="str">
        <f>HYPERLINK("http://collections.slsa.sa.gov.au/resource/PRG+1489/3/4")</f>
        <v>http://collections.slsa.sa.gov.au/resource/PRG+1489/3/4</v>
      </c>
    </row>
    <row r="467" spans="1:11" x14ac:dyDescent="0.25">
      <c r="A467" t="s">
        <v>1810</v>
      </c>
      <c r="B467" s="1" t="str">
        <f>HYPERLINK("https://www.catalog.slsa.sa.gov.au/record=b3026710")</f>
        <v>https://www.catalog.slsa.sa.gov.au/record=b3026710</v>
      </c>
      <c r="C467" s="1" t="str">
        <f>HYPERLINK("https://www.catalog.slsa.sa.gov.au/xrecord=b3026710")</f>
        <v>https://www.catalog.slsa.sa.gov.au/xrecord=b3026710</v>
      </c>
      <c r="D467" t="s">
        <v>1811</v>
      </c>
      <c r="E467" t="s">
        <v>1812</v>
      </c>
      <c r="F467">
        <v>1950</v>
      </c>
      <c r="G467" t="s">
        <v>1813</v>
      </c>
      <c r="H467" t="s">
        <v>1814</v>
      </c>
      <c r="I467" t="s">
        <v>1815</v>
      </c>
      <c r="K467" s="2" t="str">
        <f>HYPERLINK("http://collections.slsa.sa.gov.au/resource/PRG+1658/1/33")</f>
        <v>http://collections.slsa.sa.gov.au/resource/PRG+1658/1/33</v>
      </c>
    </row>
    <row r="468" spans="1:11" x14ac:dyDescent="0.25">
      <c r="A468" t="s">
        <v>1816</v>
      </c>
      <c r="B468" s="1" t="str">
        <f>HYPERLINK("https://www.catalog.slsa.sa.gov.au/record=b3026711")</f>
        <v>https://www.catalog.slsa.sa.gov.au/record=b3026711</v>
      </c>
      <c r="C468" s="1" t="str">
        <f>HYPERLINK("https://www.catalog.slsa.sa.gov.au/xrecord=b3026711")</f>
        <v>https://www.catalog.slsa.sa.gov.au/xrecord=b3026711</v>
      </c>
      <c r="D468" t="s">
        <v>1811</v>
      </c>
      <c r="E468" t="s">
        <v>1812</v>
      </c>
      <c r="F468">
        <v>1950</v>
      </c>
      <c r="G468" t="s">
        <v>1817</v>
      </c>
      <c r="H468" t="s">
        <v>1818</v>
      </c>
      <c r="I468" t="s">
        <v>1815</v>
      </c>
      <c r="K468" s="2" t="str">
        <f>HYPERLINK("http://collections.slsa.sa.gov.au/resource/PRG+1658/1/34")</f>
        <v>http://collections.slsa.sa.gov.au/resource/PRG+1658/1/34</v>
      </c>
    </row>
    <row r="469" spans="1:11" x14ac:dyDescent="0.25">
      <c r="A469" t="s">
        <v>1819</v>
      </c>
      <c r="B469" s="1" t="str">
        <f>HYPERLINK("https://www.catalog.slsa.sa.gov.au/record=b3138640")</f>
        <v>https://www.catalog.slsa.sa.gov.au/record=b3138640</v>
      </c>
      <c r="C469" s="1" t="str">
        <f>HYPERLINK("https://www.catalog.slsa.sa.gov.au/xrecord=b3138640")</f>
        <v>https://www.catalog.slsa.sa.gov.au/xrecord=b3138640</v>
      </c>
      <c r="E469" t="s">
        <v>1820</v>
      </c>
      <c r="F469">
        <v>1950</v>
      </c>
      <c r="G469" t="s">
        <v>1821</v>
      </c>
      <c r="H469" t="s">
        <v>1822</v>
      </c>
      <c r="I469" t="s">
        <v>1823</v>
      </c>
      <c r="J469" t="s">
        <v>1824</v>
      </c>
      <c r="K469" s="2" t="str">
        <f>HYPERLINK("http://collections.slsa.sa.gov.au/resource/PRG+830/20/10")</f>
        <v>http://collections.slsa.sa.gov.au/resource/PRG+830/20/10</v>
      </c>
    </row>
    <row r="470" spans="1:11" x14ac:dyDescent="0.25">
      <c r="A470" t="s">
        <v>1825</v>
      </c>
      <c r="B470" s="1" t="str">
        <f>HYPERLINK("https://www.catalog.slsa.sa.gov.au/record=b3138641")</f>
        <v>https://www.catalog.slsa.sa.gov.au/record=b3138641</v>
      </c>
      <c r="C470" s="1" t="str">
        <f>HYPERLINK("https://www.catalog.slsa.sa.gov.au/xrecord=b3138641")</f>
        <v>https://www.catalog.slsa.sa.gov.au/xrecord=b3138641</v>
      </c>
      <c r="D470" t="s">
        <v>1826</v>
      </c>
      <c r="E470" t="s">
        <v>1827</v>
      </c>
      <c r="F470">
        <v>1950</v>
      </c>
      <c r="G470" t="s">
        <v>1828</v>
      </c>
      <c r="H470" t="s">
        <v>1829</v>
      </c>
      <c r="I470" t="s">
        <v>1830</v>
      </c>
      <c r="J470" t="s">
        <v>1824</v>
      </c>
      <c r="K470" s="2" t="str">
        <f>HYPERLINK("http://collections.slsa.sa.gov.au/resource/PRG+830/20/11")</f>
        <v>http://collections.slsa.sa.gov.au/resource/PRG+830/20/11</v>
      </c>
    </row>
    <row r="471" spans="1:11" x14ac:dyDescent="0.25">
      <c r="A471" t="s">
        <v>1831</v>
      </c>
      <c r="B471" s="1" t="str">
        <f>HYPERLINK("https://www.catalog.slsa.sa.gov.au/record=b3138642")</f>
        <v>https://www.catalog.slsa.sa.gov.au/record=b3138642</v>
      </c>
      <c r="C471" s="1" t="str">
        <f>HYPERLINK("https://www.catalog.slsa.sa.gov.au/xrecord=b3138642")</f>
        <v>https://www.catalog.slsa.sa.gov.au/xrecord=b3138642</v>
      </c>
      <c r="D471" t="s">
        <v>1826</v>
      </c>
      <c r="E471" t="s">
        <v>1827</v>
      </c>
      <c r="F471">
        <v>1950</v>
      </c>
      <c r="G471" t="s">
        <v>1832</v>
      </c>
      <c r="H471" t="s">
        <v>1833</v>
      </c>
      <c r="I471" t="s">
        <v>1830</v>
      </c>
      <c r="J471" t="s">
        <v>1824</v>
      </c>
      <c r="K471" s="2" t="str">
        <f>HYPERLINK("http://collections.slsa.sa.gov.au/resource/PRG+830/20/12")</f>
        <v>http://collections.slsa.sa.gov.au/resource/PRG+830/20/12</v>
      </c>
    </row>
    <row r="472" spans="1:11" x14ac:dyDescent="0.25">
      <c r="A472" t="s">
        <v>1834</v>
      </c>
      <c r="B472" s="1" t="str">
        <f>HYPERLINK("https://www.catalog.slsa.sa.gov.au/record=b3138643")</f>
        <v>https://www.catalog.slsa.sa.gov.au/record=b3138643</v>
      </c>
      <c r="C472" s="1" t="str">
        <f>HYPERLINK("https://www.catalog.slsa.sa.gov.au/xrecord=b3138643")</f>
        <v>https://www.catalog.slsa.sa.gov.au/xrecord=b3138643</v>
      </c>
      <c r="D472" t="s">
        <v>1826</v>
      </c>
      <c r="E472" t="s">
        <v>1827</v>
      </c>
      <c r="F472">
        <v>1950</v>
      </c>
      <c r="G472" t="s">
        <v>1832</v>
      </c>
      <c r="H472" t="s">
        <v>1835</v>
      </c>
      <c r="I472" t="s">
        <v>1830</v>
      </c>
      <c r="J472" t="s">
        <v>1824</v>
      </c>
      <c r="K472" s="2" t="str">
        <f>HYPERLINK("http://collections.slsa.sa.gov.au/resource/PRG+830/20/13")</f>
        <v>http://collections.slsa.sa.gov.au/resource/PRG+830/20/13</v>
      </c>
    </row>
    <row r="473" spans="1:11" x14ac:dyDescent="0.25">
      <c r="A473" t="s">
        <v>1836</v>
      </c>
      <c r="B473" s="1" t="str">
        <f>HYPERLINK("https://www.catalog.slsa.sa.gov.au/record=b2916050")</f>
        <v>https://www.catalog.slsa.sa.gov.au/record=b2916050</v>
      </c>
      <c r="C473" s="1" t="str">
        <f>HYPERLINK("https://www.catalog.slsa.sa.gov.au/xrecord=b2916050")</f>
        <v>https://www.catalog.slsa.sa.gov.au/xrecord=b2916050</v>
      </c>
      <c r="D473" t="s">
        <v>1837</v>
      </c>
      <c r="E473" t="s">
        <v>1838</v>
      </c>
      <c r="F473">
        <v>1950</v>
      </c>
      <c r="G473" t="s">
        <v>1839</v>
      </c>
      <c r="H473" t="s">
        <v>1840</v>
      </c>
      <c r="I473" t="s">
        <v>1841</v>
      </c>
      <c r="J473" t="s">
        <v>1842</v>
      </c>
      <c r="K473" s="2" t="str">
        <f>HYPERLINK("http://collections.slsa.sa.gov.au/resource/SRG+488/18/1")</f>
        <v>http://collections.slsa.sa.gov.au/resource/SRG+488/18/1</v>
      </c>
    </row>
    <row r="474" spans="1:11" x14ac:dyDescent="0.25">
      <c r="A474" t="s">
        <v>1843</v>
      </c>
      <c r="B474" s="1" t="str">
        <f>HYPERLINK("https://www.catalog.slsa.sa.gov.au/record=b2081403")</f>
        <v>https://www.catalog.slsa.sa.gov.au/record=b2081403</v>
      </c>
      <c r="C474" s="1" t="str">
        <f>HYPERLINK("https://www.catalog.slsa.sa.gov.au/xrecord=b2081403")</f>
        <v>https://www.catalog.slsa.sa.gov.au/xrecord=b2081403</v>
      </c>
      <c r="D474" t="s">
        <v>1837</v>
      </c>
      <c r="E474" t="s">
        <v>1844</v>
      </c>
      <c r="F474">
        <v>1950</v>
      </c>
      <c r="G474" t="s">
        <v>1845</v>
      </c>
      <c r="H474" t="s">
        <v>1846</v>
      </c>
      <c r="I474" t="s">
        <v>1847</v>
      </c>
      <c r="J474" t="s">
        <v>1848</v>
      </c>
      <c r="K474" s="2" t="str">
        <f>HYPERLINK("http://collections.slsa.sa.gov.au/resource/SRG+488/18/146")</f>
        <v>http://collections.slsa.sa.gov.au/resource/SRG+488/18/146</v>
      </c>
    </row>
    <row r="475" spans="1:11" x14ac:dyDescent="0.25">
      <c r="A475" t="s">
        <v>1849</v>
      </c>
      <c r="B475" s="1" t="str">
        <f>HYPERLINK("https://www.catalog.slsa.sa.gov.au/record=b2081406")</f>
        <v>https://www.catalog.slsa.sa.gov.au/record=b2081406</v>
      </c>
      <c r="C475" s="1" t="str">
        <f>HYPERLINK("https://www.catalog.slsa.sa.gov.au/xrecord=b2081406")</f>
        <v>https://www.catalog.slsa.sa.gov.au/xrecord=b2081406</v>
      </c>
      <c r="D475" t="s">
        <v>1837</v>
      </c>
      <c r="E475" t="s">
        <v>1850</v>
      </c>
      <c r="F475">
        <v>1950</v>
      </c>
      <c r="G475" t="s">
        <v>1851</v>
      </c>
      <c r="H475" t="s">
        <v>1852</v>
      </c>
      <c r="I475" t="s">
        <v>1853</v>
      </c>
      <c r="J475" t="s">
        <v>1848</v>
      </c>
      <c r="K475" s="2" t="str">
        <f>HYPERLINK("http://collections.slsa.sa.gov.au/resource/SRG+488/18/147")</f>
        <v>http://collections.slsa.sa.gov.au/resource/SRG+488/18/147</v>
      </c>
    </row>
    <row r="476" spans="1:11" x14ac:dyDescent="0.25">
      <c r="A476" t="s">
        <v>1854</v>
      </c>
      <c r="B476" s="1" t="str">
        <f>HYPERLINK("https://www.catalog.slsa.sa.gov.au/record=b2081404")</f>
        <v>https://www.catalog.slsa.sa.gov.au/record=b2081404</v>
      </c>
      <c r="C476" s="1" t="str">
        <f>HYPERLINK("https://www.catalog.slsa.sa.gov.au/xrecord=b2081404")</f>
        <v>https://www.catalog.slsa.sa.gov.au/xrecord=b2081404</v>
      </c>
      <c r="D476" t="s">
        <v>1837</v>
      </c>
      <c r="E476" t="s">
        <v>1855</v>
      </c>
      <c r="F476">
        <v>1950</v>
      </c>
      <c r="G476" t="s">
        <v>1851</v>
      </c>
      <c r="H476" t="s">
        <v>1856</v>
      </c>
      <c r="I476" t="s">
        <v>1853</v>
      </c>
      <c r="J476" t="s">
        <v>1848</v>
      </c>
      <c r="K476" s="2" t="str">
        <f>HYPERLINK("http://collections.slsa.sa.gov.au/resource/SRG+488/18/148")</f>
        <v>http://collections.slsa.sa.gov.au/resource/SRG+488/18/148</v>
      </c>
    </row>
    <row r="477" spans="1:11" x14ac:dyDescent="0.25">
      <c r="A477" t="s">
        <v>1857</v>
      </c>
      <c r="B477" s="1" t="str">
        <f>HYPERLINK("https://www.catalog.slsa.sa.gov.au/record=b2081407")</f>
        <v>https://www.catalog.slsa.sa.gov.au/record=b2081407</v>
      </c>
      <c r="C477" s="1" t="str">
        <f>HYPERLINK("https://www.catalog.slsa.sa.gov.au/xrecord=b2081407")</f>
        <v>https://www.catalog.slsa.sa.gov.au/xrecord=b2081407</v>
      </c>
      <c r="D477" t="s">
        <v>1837</v>
      </c>
      <c r="E477" t="s">
        <v>1855</v>
      </c>
      <c r="F477">
        <v>1950</v>
      </c>
      <c r="G477" t="s">
        <v>1858</v>
      </c>
      <c r="H477" t="s">
        <v>1852</v>
      </c>
      <c r="I477" t="s">
        <v>1853</v>
      </c>
      <c r="J477" t="s">
        <v>1848</v>
      </c>
      <c r="K477" s="2" t="str">
        <f>HYPERLINK("http://collections.slsa.sa.gov.au/resource/SRG+488/18/149")</f>
        <v>http://collections.slsa.sa.gov.au/resource/SRG+488/18/149</v>
      </c>
    </row>
    <row r="478" spans="1:11" x14ac:dyDescent="0.25">
      <c r="A478" t="s">
        <v>1859</v>
      </c>
      <c r="B478" s="1" t="str">
        <f>HYPERLINK("https://www.catalog.slsa.sa.gov.au/record=b2081405")</f>
        <v>https://www.catalog.slsa.sa.gov.au/record=b2081405</v>
      </c>
      <c r="C478" s="1" t="str">
        <f>HYPERLINK("https://www.catalog.slsa.sa.gov.au/xrecord=b2081405")</f>
        <v>https://www.catalog.slsa.sa.gov.au/xrecord=b2081405</v>
      </c>
      <c r="D478" t="s">
        <v>1837</v>
      </c>
      <c r="E478" t="s">
        <v>1850</v>
      </c>
      <c r="F478">
        <v>1950</v>
      </c>
      <c r="G478" t="s">
        <v>1858</v>
      </c>
      <c r="H478" t="s">
        <v>1852</v>
      </c>
      <c r="I478" t="s">
        <v>1853</v>
      </c>
      <c r="J478" t="s">
        <v>1848</v>
      </c>
      <c r="K478" s="2" t="str">
        <f>HYPERLINK("http://collections.slsa.sa.gov.au/resource/SRG+488/18/150")</f>
        <v>http://collections.slsa.sa.gov.au/resource/SRG+488/18/150</v>
      </c>
    </row>
    <row r="479" spans="1:11" x14ac:dyDescent="0.25">
      <c r="A479" t="s">
        <v>1860</v>
      </c>
      <c r="B479" s="1" t="str">
        <f>HYPERLINK("https://www.catalog.slsa.sa.gov.au/record=b2081408")</f>
        <v>https://www.catalog.slsa.sa.gov.au/record=b2081408</v>
      </c>
      <c r="C479" s="1" t="str">
        <f>HYPERLINK("https://www.catalog.slsa.sa.gov.au/xrecord=b2081408")</f>
        <v>https://www.catalog.slsa.sa.gov.au/xrecord=b2081408</v>
      </c>
      <c r="D479" t="s">
        <v>1837</v>
      </c>
      <c r="E479" t="s">
        <v>1855</v>
      </c>
      <c r="F479">
        <v>1950</v>
      </c>
      <c r="G479" t="s">
        <v>1861</v>
      </c>
      <c r="H479" t="s">
        <v>1862</v>
      </c>
      <c r="I479" t="s">
        <v>1853</v>
      </c>
      <c r="J479" t="s">
        <v>1848</v>
      </c>
      <c r="K479" s="2" t="str">
        <f>HYPERLINK("http://collections.slsa.sa.gov.au/resource/SRG+488/18/151")</f>
        <v>http://collections.slsa.sa.gov.au/resource/SRG+488/18/151</v>
      </c>
    </row>
    <row r="480" spans="1:11" x14ac:dyDescent="0.25">
      <c r="A480" t="s">
        <v>1863</v>
      </c>
      <c r="B480" s="1" t="str">
        <f>HYPERLINK("https://www.catalog.slsa.sa.gov.au/record=b2081409")</f>
        <v>https://www.catalog.slsa.sa.gov.au/record=b2081409</v>
      </c>
      <c r="C480" s="1" t="str">
        <f>HYPERLINK("https://www.catalog.slsa.sa.gov.au/xrecord=b2081409")</f>
        <v>https://www.catalog.slsa.sa.gov.au/xrecord=b2081409</v>
      </c>
      <c r="D480" t="s">
        <v>1837</v>
      </c>
      <c r="E480" t="s">
        <v>1855</v>
      </c>
      <c r="F480">
        <v>1950</v>
      </c>
      <c r="G480" t="s">
        <v>1864</v>
      </c>
      <c r="H480" t="s">
        <v>1865</v>
      </c>
      <c r="I480" t="s">
        <v>1853</v>
      </c>
      <c r="J480" t="s">
        <v>1848</v>
      </c>
      <c r="K480" s="2" t="str">
        <f>HYPERLINK("http://collections.slsa.sa.gov.au/resource/SRG+488/18/152")</f>
        <v>http://collections.slsa.sa.gov.au/resource/SRG+488/18/152</v>
      </c>
    </row>
    <row r="481" spans="1:11" x14ac:dyDescent="0.25">
      <c r="A481" t="s">
        <v>1866</v>
      </c>
      <c r="B481" s="1" t="str">
        <f>HYPERLINK("https://www.catalog.slsa.sa.gov.au/record=b2081410")</f>
        <v>https://www.catalog.slsa.sa.gov.au/record=b2081410</v>
      </c>
      <c r="C481" s="1" t="str">
        <f>HYPERLINK("https://www.catalog.slsa.sa.gov.au/xrecord=b2081410")</f>
        <v>https://www.catalog.slsa.sa.gov.au/xrecord=b2081410</v>
      </c>
      <c r="D481" t="s">
        <v>1837</v>
      </c>
      <c r="E481" t="s">
        <v>1867</v>
      </c>
      <c r="F481">
        <v>1950</v>
      </c>
      <c r="G481" t="s">
        <v>1868</v>
      </c>
      <c r="H481" t="s">
        <v>1869</v>
      </c>
      <c r="I481" t="s">
        <v>1847</v>
      </c>
      <c r="J481" t="s">
        <v>1848</v>
      </c>
      <c r="K481" s="2" t="str">
        <f>HYPERLINK("http://collections.slsa.sa.gov.au/resource/SRG+488/18/153")</f>
        <v>http://collections.slsa.sa.gov.au/resource/SRG+488/18/153</v>
      </c>
    </row>
    <row r="482" spans="1:11" x14ac:dyDescent="0.25">
      <c r="A482" t="s">
        <v>1870</v>
      </c>
      <c r="B482" s="1" t="str">
        <f>HYPERLINK("https://www.catalog.slsa.sa.gov.au/record=b2081478")</f>
        <v>https://www.catalog.slsa.sa.gov.au/record=b2081478</v>
      </c>
      <c r="C482" s="1" t="str">
        <f>HYPERLINK("https://www.catalog.slsa.sa.gov.au/xrecord=b2081478")</f>
        <v>https://www.catalog.slsa.sa.gov.au/xrecord=b2081478</v>
      </c>
      <c r="D482" t="s">
        <v>1837</v>
      </c>
      <c r="E482" t="s">
        <v>1871</v>
      </c>
      <c r="F482">
        <v>1950</v>
      </c>
      <c r="G482" t="s">
        <v>1872</v>
      </c>
      <c r="H482" t="s">
        <v>1873</v>
      </c>
      <c r="I482" t="s">
        <v>1847</v>
      </c>
      <c r="J482" t="s">
        <v>1848</v>
      </c>
      <c r="K482" s="2" t="str">
        <f>HYPERLINK("http://collections.slsa.sa.gov.au/resource/SRG+488/18/154")</f>
        <v>http://collections.slsa.sa.gov.au/resource/SRG+488/18/154</v>
      </c>
    </row>
    <row r="483" spans="1:11" x14ac:dyDescent="0.25">
      <c r="A483" t="s">
        <v>1874</v>
      </c>
      <c r="B483" s="1" t="str">
        <f>HYPERLINK("https://www.catalog.slsa.sa.gov.au/record=b2081482")</f>
        <v>https://www.catalog.slsa.sa.gov.au/record=b2081482</v>
      </c>
      <c r="C483" s="1" t="str">
        <f>HYPERLINK("https://www.catalog.slsa.sa.gov.au/xrecord=b2081482")</f>
        <v>https://www.catalog.slsa.sa.gov.au/xrecord=b2081482</v>
      </c>
      <c r="D483" t="s">
        <v>1837</v>
      </c>
      <c r="E483" t="s">
        <v>1875</v>
      </c>
      <c r="F483">
        <v>1950</v>
      </c>
      <c r="G483" t="s">
        <v>1876</v>
      </c>
      <c r="H483" t="s">
        <v>1877</v>
      </c>
      <c r="I483" t="s">
        <v>1878</v>
      </c>
      <c r="J483" t="s">
        <v>1848</v>
      </c>
      <c r="K483" s="2" t="str">
        <f>HYPERLINK("http://collections.slsa.sa.gov.au/resource/SRG+488/18/156")</f>
        <v>http://collections.slsa.sa.gov.au/resource/SRG+488/18/156</v>
      </c>
    </row>
    <row r="484" spans="1:11" x14ac:dyDescent="0.25">
      <c r="A484" t="s">
        <v>1879</v>
      </c>
      <c r="B484" s="1" t="str">
        <f>HYPERLINK("https://www.catalog.slsa.sa.gov.au/record=b2081481")</f>
        <v>https://www.catalog.slsa.sa.gov.au/record=b2081481</v>
      </c>
      <c r="C484" s="1" t="str">
        <f>HYPERLINK("https://www.catalog.slsa.sa.gov.au/xrecord=b2081481")</f>
        <v>https://www.catalog.slsa.sa.gov.au/xrecord=b2081481</v>
      </c>
      <c r="D484" t="s">
        <v>1837</v>
      </c>
      <c r="E484" t="s">
        <v>1880</v>
      </c>
      <c r="F484">
        <v>1950</v>
      </c>
      <c r="G484" t="s">
        <v>1881</v>
      </c>
      <c r="H484" t="s">
        <v>1882</v>
      </c>
      <c r="I484" t="s">
        <v>1847</v>
      </c>
      <c r="J484" t="s">
        <v>1848</v>
      </c>
      <c r="K484" s="2" t="str">
        <f>HYPERLINK("http://collections.slsa.sa.gov.au/resource/SRG+488/18/157")</f>
        <v>http://collections.slsa.sa.gov.au/resource/SRG+488/18/157</v>
      </c>
    </row>
    <row r="485" spans="1:11" x14ac:dyDescent="0.25">
      <c r="A485" t="s">
        <v>1883</v>
      </c>
      <c r="B485" s="1" t="str">
        <f>HYPERLINK("https://www.catalog.slsa.sa.gov.au/record=b2081477")</f>
        <v>https://www.catalog.slsa.sa.gov.au/record=b2081477</v>
      </c>
      <c r="C485" s="1" t="str">
        <f>HYPERLINK("https://www.catalog.slsa.sa.gov.au/xrecord=b2081477")</f>
        <v>https://www.catalog.slsa.sa.gov.au/xrecord=b2081477</v>
      </c>
      <c r="D485" t="s">
        <v>1837</v>
      </c>
      <c r="E485" t="s">
        <v>1871</v>
      </c>
      <c r="F485">
        <v>1950</v>
      </c>
      <c r="G485" t="s">
        <v>1884</v>
      </c>
      <c r="H485" t="s">
        <v>1885</v>
      </c>
      <c r="I485" t="s">
        <v>1847</v>
      </c>
      <c r="J485" t="s">
        <v>1848</v>
      </c>
      <c r="K485" s="2" t="str">
        <f>HYPERLINK("http://collections.slsa.sa.gov.au/resource/SRG+488/18/158")</f>
        <v>http://collections.slsa.sa.gov.au/resource/SRG+488/18/158</v>
      </c>
    </row>
    <row r="486" spans="1:11" x14ac:dyDescent="0.25">
      <c r="A486" t="s">
        <v>1886</v>
      </c>
      <c r="B486" s="1" t="str">
        <f>HYPERLINK("https://www.catalog.slsa.sa.gov.au/record=b2081480")</f>
        <v>https://www.catalog.slsa.sa.gov.au/record=b2081480</v>
      </c>
      <c r="C486" s="1" t="str">
        <f>HYPERLINK("https://www.catalog.slsa.sa.gov.au/xrecord=b2081480")</f>
        <v>https://www.catalog.slsa.sa.gov.au/xrecord=b2081480</v>
      </c>
      <c r="D486" t="s">
        <v>1837</v>
      </c>
      <c r="E486" t="s">
        <v>1871</v>
      </c>
      <c r="F486">
        <v>1950</v>
      </c>
      <c r="G486" t="s">
        <v>1881</v>
      </c>
      <c r="H486" t="s">
        <v>1887</v>
      </c>
      <c r="I486" t="s">
        <v>1847</v>
      </c>
      <c r="J486" t="s">
        <v>1848</v>
      </c>
      <c r="K486" s="2" t="str">
        <f>HYPERLINK("http://collections.slsa.sa.gov.au/resource/SRG+488/18/159")</f>
        <v>http://collections.slsa.sa.gov.au/resource/SRG+488/18/159</v>
      </c>
    </row>
    <row r="487" spans="1:11" x14ac:dyDescent="0.25">
      <c r="A487" t="s">
        <v>1888</v>
      </c>
      <c r="B487" s="1" t="str">
        <f>HYPERLINK("https://www.catalog.slsa.sa.gov.au/record=b2081476")</f>
        <v>https://www.catalog.slsa.sa.gov.au/record=b2081476</v>
      </c>
      <c r="C487" s="1" t="str">
        <f>HYPERLINK("https://www.catalog.slsa.sa.gov.au/xrecord=b2081476")</f>
        <v>https://www.catalog.slsa.sa.gov.au/xrecord=b2081476</v>
      </c>
      <c r="D487" t="s">
        <v>1837</v>
      </c>
      <c r="E487" t="s">
        <v>1871</v>
      </c>
      <c r="F487">
        <v>1950</v>
      </c>
      <c r="G487" t="s">
        <v>1881</v>
      </c>
      <c r="H487" t="s">
        <v>1889</v>
      </c>
      <c r="I487" t="s">
        <v>1847</v>
      </c>
      <c r="J487" t="s">
        <v>1848</v>
      </c>
      <c r="K487" s="2" t="str">
        <f>HYPERLINK("http://collections.slsa.sa.gov.au/resource/SRG+488/18/160")</f>
        <v>http://collections.slsa.sa.gov.au/resource/SRG+488/18/160</v>
      </c>
    </row>
    <row r="488" spans="1:11" x14ac:dyDescent="0.25">
      <c r="A488" t="s">
        <v>1890</v>
      </c>
      <c r="B488" s="1" t="str">
        <f>HYPERLINK("https://www.catalog.slsa.sa.gov.au/record=b2081475")</f>
        <v>https://www.catalog.slsa.sa.gov.au/record=b2081475</v>
      </c>
      <c r="C488" s="1" t="str">
        <f>HYPERLINK("https://www.catalog.slsa.sa.gov.au/xrecord=b2081475")</f>
        <v>https://www.catalog.slsa.sa.gov.au/xrecord=b2081475</v>
      </c>
      <c r="D488" t="s">
        <v>1837</v>
      </c>
      <c r="E488" t="s">
        <v>1891</v>
      </c>
      <c r="F488">
        <v>1950</v>
      </c>
      <c r="G488" t="s">
        <v>1892</v>
      </c>
      <c r="H488" t="s">
        <v>1893</v>
      </c>
      <c r="I488" t="s">
        <v>1847</v>
      </c>
      <c r="J488" t="s">
        <v>1848</v>
      </c>
      <c r="K488" s="2" t="str">
        <f>HYPERLINK("http://collections.slsa.sa.gov.au/resource/SRG+488/18/161")</f>
        <v>http://collections.slsa.sa.gov.au/resource/SRG+488/18/161</v>
      </c>
    </row>
    <row r="489" spans="1:11" x14ac:dyDescent="0.25">
      <c r="A489" t="s">
        <v>1894</v>
      </c>
      <c r="B489" s="1" t="str">
        <f>HYPERLINK("https://www.catalog.slsa.sa.gov.au/record=b2916051")</f>
        <v>https://www.catalog.slsa.sa.gov.au/record=b2916051</v>
      </c>
      <c r="C489" s="1" t="str">
        <f>HYPERLINK("https://www.catalog.slsa.sa.gov.au/xrecord=b2916051")</f>
        <v>https://www.catalog.slsa.sa.gov.au/xrecord=b2916051</v>
      </c>
      <c r="D489" t="s">
        <v>1837</v>
      </c>
      <c r="E489" t="s">
        <v>1838</v>
      </c>
      <c r="F489">
        <v>1950</v>
      </c>
      <c r="G489" t="s">
        <v>1895</v>
      </c>
      <c r="H489" t="s">
        <v>1896</v>
      </c>
      <c r="I489" t="s">
        <v>1841</v>
      </c>
      <c r="J489" t="s">
        <v>1842</v>
      </c>
      <c r="K489" s="2" t="str">
        <f>HYPERLINK("http://collections.slsa.sa.gov.au/resource/SRG+488/18/2")</f>
        <v>http://collections.slsa.sa.gov.au/resource/SRG+488/18/2</v>
      </c>
    </row>
    <row r="490" spans="1:11" x14ac:dyDescent="0.25">
      <c r="A490" t="s">
        <v>1897</v>
      </c>
      <c r="B490" s="1" t="str">
        <f>HYPERLINK("https://www.catalog.slsa.sa.gov.au/record=b3017179")</f>
        <v>https://www.catalog.slsa.sa.gov.au/record=b3017179</v>
      </c>
      <c r="C490" s="1" t="str">
        <f>HYPERLINK("https://www.catalog.slsa.sa.gov.au/xrecord=b3017179")</f>
        <v>https://www.catalog.slsa.sa.gov.au/xrecord=b3017179</v>
      </c>
      <c r="E490" t="s">
        <v>1898</v>
      </c>
      <c r="F490">
        <v>1950</v>
      </c>
      <c r="G490" t="s">
        <v>1899</v>
      </c>
      <c r="H490" t="s">
        <v>1900</v>
      </c>
      <c r="I490" t="s">
        <v>1901</v>
      </c>
      <c r="J490" t="s">
        <v>1902</v>
      </c>
      <c r="K490" s="2" t="str">
        <f>HYPERLINK("http://collections.slsa.sa.gov.au/resource/SRG+873/1/41")</f>
        <v>http://collections.slsa.sa.gov.au/resource/SRG+873/1/41</v>
      </c>
    </row>
    <row r="491" spans="1:11" x14ac:dyDescent="0.25">
      <c r="A491" t="s">
        <v>1903</v>
      </c>
      <c r="B491" s="1" t="str">
        <f>HYPERLINK("https://www.catalog.slsa.sa.gov.au/record=b3024682")</f>
        <v>https://www.catalog.slsa.sa.gov.au/record=b3024682</v>
      </c>
      <c r="C491" s="1" t="str">
        <f>HYPERLINK("https://www.catalog.slsa.sa.gov.au/xrecord=b3024682")</f>
        <v>https://www.catalog.slsa.sa.gov.au/xrecord=b3024682</v>
      </c>
      <c r="E491" t="s">
        <v>1904</v>
      </c>
      <c r="F491">
        <v>1950</v>
      </c>
      <c r="G491" t="s">
        <v>1905</v>
      </c>
      <c r="H491" t="s">
        <v>1906</v>
      </c>
      <c r="I491" t="s">
        <v>1907</v>
      </c>
      <c r="J491" t="s">
        <v>1902</v>
      </c>
      <c r="K491" s="2" t="str">
        <f>HYPERLINK("http://collections.slsa.sa.gov.au/resource/SRG+873/1/58")</f>
        <v>http://collections.slsa.sa.gov.au/resource/SRG+873/1/58</v>
      </c>
    </row>
    <row r="492" spans="1:11" x14ac:dyDescent="0.25">
      <c r="A492" t="s">
        <v>1908</v>
      </c>
      <c r="B492" s="1" t="str">
        <f>HYPERLINK("https://www.catalog.slsa.sa.gov.au/record=b3024831")</f>
        <v>https://www.catalog.slsa.sa.gov.au/record=b3024831</v>
      </c>
      <c r="C492" s="1" t="str">
        <f>HYPERLINK("https://www.catalog.slsa.sa.gov.au/xrecord=b3024831")</f>
        <v>https://www.catalog.slsa.sa.gov.au/xrecord=b3024831</v>
      </c>
      <c r="E492" t="s">
        <v>1909</v>
      </c>
      <c r="F492">
        <v>1950</v>
      </c>
      <c r="G492" t="s">
        <v>1910</v>
      </c>
      <c r="H492" t="s">
        <v>1911</v>
      </c>
      <c r="I492" t="s">
        <v>1912</v>
      </c>
      <c r="J492" t="s">
        <v>1902</v>
      </c>
      <c r="K492" s="2" t="str">
        <f>HYPERLINK("http://collections.slsa.sa.gov.au/resource/SRG+873/1/70")</f>
        <v>http://collections.slsa.sa.gov.au/resource/SRG+873/1/70</v>
      </c>
    </row>
    <row r="493" spans="1:11" x14ac:dyDescent="0.25">
      <c r="A493" t="s">
        <v>1913</v>
      </c>
      <c r="B493" s="1" t="str">
        <f>HYPERLINK("https://www.catalog.slsa.sa.gov.au/record=b3024955")</f>
        <v>https://www.catalog.slsa.sa.gov.au/record=b3024955</v>
      </c>
      <c r="C493" s="1" t="str">
        <f>HYPERLINK("https://www.catalog.slsa.sa.gov.au/xrecord=b3024955")</f>
        <v>https://www.catalog.slsa.sa.gov.au/xrecord=b3024955</v>
      </c>
      <c r="E493" t="s">
        <v>1914</v>
      </c>
      <c r="F493">
        <v>1950</v>
      </c>
      <c r="G493" t="s">
        <v>1915</v>
      </c>
      <c r="H493" t="s">
        <v>1916</v>
      </c>
      <c r="I493" t="s">
        <v>1917</v>
      </c>
      <c r="J493" t="s">
        <v>1902</v>
      </c>
      <c r="K493" s="2" t="str">
        <f>HYPERLINK("http://collections.slsa.sa.gov.au/resource/SRG+873/1/72")</f>
        <v>http://collections.slsa.sa.gov.au/resource/SRG+873/1/72</v>
      </c>
    </row>
    <row r="494" spans="1:11" x14ac:dyDescent="0.25">
      <c r="A494" t="s">
        <v>1918</v>
      </c>
      <c r="B494" s="1" t="str">
        <f>HYPERLINK("https://www.catalog.slsa.sa.gov.au/record=b3024986")</f>
        <v>https://www.catalog.slsa.sa.gov.au/record=b3024986</v>
      </c>
      <c r="C494" s="1" t="str">
        <f>HYPERLINK("https://www.catalog.slsa.sa.gov.au/xrecord=b3024986")</f>
        <v>https://www.catalog.slsa.sa.gov.au/xrecord=b3024986</v>
      </c>
      <c r="E494" t="s">
        <v>1919</v>
      </c>
      <c r="F494">
        <v>1950</v>
      </c>
      <c r="G494" t="s">
        <v>1920</v>
      </c>
      <c r="H494" t="s">
        <v>1921</v>
      </c>
      <c r="I494" t="s">
        <v>1922</v>
      </c>
      <c r="J494" t="s">
        <v>1902</v>
      </c>
      <c r="K494" s="2" t="str">
        <f>HYPERLINK("http://collections.slsa.sa.gov.au/resource/SRG+873/1/74")</f>
        <v>http://collections.slsa.sa.gov.au/resource/SRG+873/1/74</v>
      </c>
    </row>
    <row r="495" spans="1:11" x14ac:dyDescent="0.25">
      <c r="A495" t="s">
        <v>1923</v>
      </c>
      <c r="B495" s="1" t="str">
        <f>HYPERLINK("https://www.catalog.slsa.sa.gov.au/record=b3199317")</f>
        <v>https://www.catalog.slsa.sa.gov.au/record=b3199317</v>
      </c>
      <c r="C495" s="1" t="str">
        <f>HYPERLINK("https://www.catalog.slsa.sa.gov.au/xrecord=b3199317")</f>
        <v>https://www.catalog.slsa.sa.gov.au/xrecord=b3199317</v>
      </c>
      <c r="D495" t="s">
        <v>1924</v>
      </c>
      <c r="E495" t="s">
        <v>1925</v>
      </c>
      <c r="F495" t="s">
        <v>1926</v>
      </c>
      <c r="G495" t="s">
        <v>1927</v>
      </c>
      <c r="H495" t="s">
        <v>1928</v>
      </c>
      <c r="I495" t="s">
        <v>1929</v>
      </c>
      <c r="J495" t="s">
        <v>1930</v>
      </c>
      <c r="K495" s="2" t="str">
        <f>HYPERLINK("http://collections.slsa.sa.gov.au/resource/PRG+18/16/20")</f>
        <v>http://collections.slsa.sa.gov.au/resource/PRG+18/16/20</v>
      </c>
    </row>
    <row r="496" spans="1:11" x14ac:dyDescent="0.25">
      <c r="A496" t="s">
        <v>1931</v>
      </c>
      <c r="B496" s="1" t="str">
        <f>HYPERLINK("https://www.catalog.slsa.sa.gov.au/record=b3199324")</f>
        <v>https://www.catalog.slsa.sa.gov.au/record=b3199324</v>
      </c>
      <c r="C496" s="1" t="str">
        <f>HYPERLINK("https://www.catalog.slsa.sa.gov.au/xrecord=b3199324")</f>
        <v>https://www.catalog.slsa.sa.gov.au/xrecord=b3199324</v>
      </c>
      <c r="D496" t="s">
        <v>1924</v>
      </c>
      <c r="E496" t="s">
        <v>1932</v>
      </c>
      <c r="F496" t="s">
        <v>1926</v>
      </c>
      <c r="G496" t="s">
        <v>1933</v>
      </c>
      <c r="H496" t="s">
        <v>1934</v>
      </c>
      <c r="I496" t="s">
        <v>1929</v>
      </c>
      <c r="J496" t="s">
        <v>1930</v>
      </c>
      <c r="K496" s="2" t="str">
        <f>HYPERLINK("http://collections.slsa.sa.gov.au/resource/PRG+18/16/21")</f>
        <v>http://collections.slsa.sa.gov.au/resource/PRG+18/16/21</v>
      </c>
    </row>
    <row r="497" spans="1:11" x14ac:dyDescent="0.25">
      <c r="A497" t="s">
        <v>1935</v>
      </c>
      <c r="B497" s="1" t="str">
        <f>HYPERLINK("https://www.catalog.slsa.sa.gov.au/record=b3199327")</f>
        <v>https://www.catalog.slsa.sa.gov.au/record=b3199327</v>
      </c>
      <c r="C497" s="1" t="str">
        <f>HYPERLINK("https://www.catalog.slsa.sa.gov.au/xrecord=b3199327")</f>
        <v>https://www.catalog.slsa.sa.gov.au/xrecord=b3199327</v>
      </c>
      <c r="D497" t="s">
        <v>1924</v>
      </c>
      <c r="E497" t="s">
        <v>1936</v>
      </c>
      <c r="F497" t="s">
        <v>1926</v>
      </c>
      <c r="G497" t="s">
        <v>1933</v>
      </c>
      <c r="H497" t="s">
        <v>1937</v>
      </c>
      <c r="I497" t="s">
        <v>1929</v>
      </c>
      <c r="J497" t="s">
        <v>1930</v>
      </c>
      <c r="K497" s="2" t="str">
        <f>HYPERLINK("http://collections.slsa.sa.gov.au/resource/PRG+18/16/23")</f>
        <v>http://collections.slsa.sa.gov.au/resource/PRG+18/16/23</v>
      </c>
    </row>
    <row r="498" spans="1:11" x14ac:dyDescent="0.25">
      <c r="A498" t="s">
        <v>1938</v>
      </c>
      <c r="B498" s="1" t="str">
        <f>HYPERLINK("https://www.catalog.slsa.sa.gov.au/record=b3199923")</f>
        <v>https://www.catalog.slsa.sa.gov.au/record=b3199923</v>
      </c>
      <c r="C498" s="1" t="str">
        <f>HYPERLINK("https://www.catalog.slsa.sa.gov.au/xrecord=b3199923")</f>
        <v>https://www.catalog.slsa.sa.gov.au/xrecord=b3199923</v>
      </c>
      <c r="D498" t="s">
        <v>1924</v>
      </c>
      <c r="E498" t="s">
        <v>1939</v>
      </c>
      <c r="F498" t="s">
        <v>1926</v>
      </c>
      <c r="G498" t="s">
        <v>1940</v>
      </c>
      <c r="H498" t="s">
        <v>1941</v>
      </c>
      <c r="I498" t="s">
        <v>1942</v>
      </c>
      <c r="J498" t="s">
        <v>1930</v>
      </c>
      <c r="K498" s="2" t="str">
        <f>HYPERLINK("http://collections.slsa.sa.gov.au/resource/PRG+18/56/96")</f>
        <v>http://collections.slsa.sa.gov.au/resource/PRG+18/56/96</v>
      </c>
    </row>
    <row r="499" spans="1:11" x14ac:dyDescent="0.25">
      <c r="A499" t="s">
        <v>1943</v>
      </c>
      <c r="B499" s="1" t="str">
        <f>HYPERLINK("https://www.catalog.slsa.sa.gov.au/record=b3199841")</f>
        <v>https://www.catalog.slsa.sa.gov.au/record=b3199841</v>
      </c>
      <c r="C499" s="1" t="str">
        <f>HYPERLINK("https://www.catalog.slsa.sa.gov.au/xrecord=b3199841")</f>
        <v>https://www.catalog.slsa.sa.gov.au/xrecord=b3199841</v>
      </c>
      <c r="D499" t="s">
        <v>1924</v>
      </c>
      <c r="E499" t="s">
        <v>1939</v>
      </c>
      <c r="F499" t="s">
        <v>1926</v>
      </c>
      <c r="G499" t="s">
        <v>1944</v>
      </c>
      <c r="H499" t="s">
        <v>1945</v>
      </c>
      <c r="I499" t="s">
        <v>1924</v>
      </c>
      <c r="J499" t="s">
        <v>1930</v>
      </c>
      <c r="K499" s="2" t="str">
        <f>HYPERLINK("http://collections.slsa.sa.gov.au/resource/PRG+18/56/88")</f>
        <v>http://collections.slsa.sa.gov.au/resource/PRG+18/56/88</v>
      </c>
    </row>
    <row r="500" spans="1:11" x14ac:dyDescent="0.25">
      <c r="A500" t="s">
        <v>1946</v>
      </c>
      <c r="B500" s="1" t="str">
        <f>HYPERLINK("https://www.catalog.slsa.sa.gov.au/record=b3199856")</f>
        <v>https://www.catalog.slsa.sa.gov.au/record=b3199856</v>
      </c>
      <c r="C500" s="1" t="str">
        <f>HYPERLINK("https://www.catalog.slsa.sa.gov.au/xrecord=b3199856")</f>
        <v>https://www.catalog.slsa.sa.gov.au/xrecord=b3199856</v>
      </c>
      <c r="D500" t="s">
        <v>1924</v>
      </c>
      <c r="E500" t="s">
        <v>1939</v>
      </c>
      <c r="F500" t="s">
        <v>1926</v>
      </c>
      <c r="G500" t="s">
        <v>1947</v>
      </c>
      <c r="H500" t="s">
        <v>1948</v>
      </c>
      <c r="I500" t="s">
        <v>1924</v>
      </c>
      <c r="J500" t="s">
        <v>1930</v>
      </c>
      <c r="K500" s="2" t="str">
        <f>HYPERLINK("http://collections.slsa.sa.gov.au/resource/PRG+18/56/86")</f>
        <v>http://collections.slsa.sa.gov.au/resource/PRG+18/56/86</v>
      </c>
    </row>
    <row r="501" spans="1:11" x14ac:dyDescent="0.25">
      <c r="A501" t="s">
        <v>1949</v>
      </c>
      <c r="B501" s="1" t="str">
        <f>HYPERLINK("https://www.catalog.slsa.sa.gov.au/record=b3199854")</f>
        <v>https://www.catalog.slsa.sa.gov.au/record=b3199854</v>
      </c>
      <c r="C501" s="1" t="str">
        <f>HYPERLINK("https://www.catalog.slsa.sa.gov.au/xrecord=b3199854")</f>
        <v>https://www.catalog.slsa.sa.gov.au/xrecord=b3199854</v>
      </c>
      <c r="D501" t="s">
        <v>1924</v>
      </c>
      <c r="E501" t="s">
        <v>1939</v>
      </c>
      <c r="F501" t="s">
        <v>1926</v>
      </c>
      <c r="G501" t="s">
        <v>1950</v>
      </c>
      <c r="H501" t="s">
        <v>1951</v>
      </c>
      <c r="I501" t="s">
        <v>1924</v>
      </c>
      <c r="J501" t="s">
        <v>1930</v>
      </c>
      <c r="K501" s="2" t="str">
        <f>HYPERLINK("http://collections.slsa.sa.gov.au/resource/PRG+18/56/85")</f>
        <v>http://collections.slsa.sa.gov.au/resource/PRG+18/56/85</v>
      </c>
    </row>
    <row r="502" spans="1:11" x14ac:dyDescent="0.25">
      <c r="A502" t="s">
        <v>1952</v>
      </c>
      <c r="B502" s="1" t="str">
        <f>HYPERLINK("https://www.catalog.slsa.sa.gov.au/record=b3200023")</f>
        <v>https://www.catalog.slsa.sa.gov.au/record=b3200023</v>
      </c>
      <c r="C502" s="1" t="str">
        <f>HYPERLINK("https://www.catalog.slsa.sa.gov.au/xrecord=b3200023")</f>
        <v>https://www.catalog.slsa.sa.gov.au/xrecord=b3200023</v>
      </c>
      <c r="D502" t="s">
        <v>1953</v>
      </c>
      <c r="E502" t="s">
        <v>1939</v>
      </c>
      <c r="F502" t="s">
        <v>1926</v>
      </c>
      <c r="G502" t="s">
        <v>1954</v>
      </c>
      <c r="H502" t="s">
        <v>1955</v>
      </c>
      <c r="I502" t="s">
        <v>1953</v>
      </c>
      <c r="J502" t="s">
        <v>1930</v>
      </c>
      <c r="K502" s="2" t="str">
        <f>HYPERLINK("http://collections.slsa.sa.gov.au/resource/PRG+18/56/73")</f>
        <v>http://collections.slsa.sa.gov.au/resource/PRG+18/56/73</v>
      </c>
    </row>
    <row r="503" spans="1:11" x14ac:dyDescent="0.25">
      <c r="A503" t="s">
        <v>1956</v>
      </c>
      <c r="B503" s="1" t="str">
        <f>HYPERLINK("https://www.catalog.slsa.sa.gov.au/record=b3200025")</f>
        <v>https://www.catalog.slsa.sa.gov.au/record=b3200025</v>
      </c>
      <c r="C503" s="1" t="str">
        <f>HYPERLINK("https://www.catalog.slsa.sa.gov.au/xrecord=b3200025")</f>
        <v>https://www.catalog.slsa.sa.gov.au/xrecord=b3200025</v>
      </c>
      <c r="D503" t="s">
        <v>1953</v>
      </c>
      <c r="E503" t="s">
        <v>1939</v>
      </c>
      <c r="F503" t="s">
        <v>1926</v>
      </c>
      <c r="G503" t="s">
        <v>1957</v>
      </c>
      <c r="H503" t="s">
        <v>1955</v>
      </c>
      <c r="I503" t="s">
        <v>1953</v>
      </c>
      <c r="J503" t="s">
        <v>1930</v>
      </c>
      <c r="K503" s="2" t="str">
        <f>HYPERLINK("http://collections.slsa.sa.gov.au/resource/PRG+18/56/72")</f>
        <v>http://collections.slsa.sa.gov.au/resource/PRG+18/56/72</v>
      </c>
    </row>
    <row r="504" spans="1:11" x14ac:dyDescent="0.25">
      <c r="A504" t="s">
        <v>1958</v>
      </c>
      <c r="B504" s="1" t="str">
        <f>HYPERLINK("https://www.catalog.slsa.sa.gov.au/record=b2112821")</f>
        <v>https://www.catalog.slsa.sa.gov.au/record=b2112821</v>
      </c>
      <c r="C504" s="1" t="str">
        <f>HYPERLINK("https://www.catalog.slsa.sa.gov.au/xrecord=b2112821")</f>
        <v>https://www.catalog.slsa.sa.gov.au/xrecord=b2112821</v>
      </c>
      <c r="D504" t="s">
        <v>66</v>
      </c>
      <c r="E504" t="s">
        <v>1959</v>
      </c>
      <c r="F504" t="s">
        <v>1926</v>
      </c>
      <c r="G504" t="s">
        <v>121</v>
      </c>
      <c r="H504" t="s">
        <v>1960</v>
      </c>
      <c r="I504" t="s">
        <v>1961</v>
      </c>
      <c r="J504" t="s">
        <v>71</v>
      </c>
      <c r="K504" s="2" t="str">
        <f>HYPERLINK("http://collections.slsa.sa.gov.au/arthur/03250/BRG347_3057.htm")</f>
        <v>http://collections.slsa.sa.gov.au/arthur/03250/BRG347_3057.htm</v>
      </c>
    </row>
    <row r="505" spans="1:11" x14ac:dyDescent="0.25">
      <c r="A505" t="s">
        <v>1962</v>
      </c>
      <c r="B505" s="1" t="str">
        <f>HYPERLINK("https://www.catalog.slsa.sa.gov.au/record=b2116526")</f>
        <v>https://www.catalog.slsa.sa.gov.au/record=b2116526</v>
      </c>
      <c r="C505" s="1" t="str">
        <f>HYPERLINK("https://www.catalog.slsa.sa.gov.au/xrecord=b2116526")</f>
        <v>https://www.catalog.slsa.sa.gov.au/xrecord=b2116526</v>
      </c>
      <c r="D505" t="s">
        <v>66</v>
      </c>
      <c r="E505" t="s">
        <v>1963</v>
      </c>
      <c r="F505" t="s">
        <v>1926</v>
      </c>
      <c r="G505" t="s">
        <v>121</v>
      </c>
      <c r="H505" t="s">
        <v>1964</v>
      </c>
      <c r="I505" t="s">
        <v>1965</v>
      </c>
      <c r="J505" t="s">
        <v>71</v>
      </c>
      <c r="K505" s="2" t="str">
        <f>HYPERLINK("http://collections.slsa.sa.gov.au/arthur/05750/BRG347_5541.htm")</f>
        <v>http://collections.slsa.sa.gov.au/arthur/05750/BRG347_5541.htm</v>
      </c>
    </row>
    <row r="506" spans="1:11" x14ac:dyDescent="0.25">
      <c r="A506" t="s">
        <v>1966</v>
      </c>
      <c r="B506" s="1" t="str">
        <f>HYPERLINK("https://www.catalog.slsa.sa.gov.au/record=b2116693")</f>
        <v>https://www.catalog.slsa.sa.gov.au/record=b2116693</v>
      </c>
      <c r="C506" s="1" t="str">
        <f>HYPERLINK("https://www.catalog.slsa.sa.gov.au/xrecord=b2116693")</f>
        <v>https://www.catalog.slsa.sa.gov.au/xrecord=b2116693</v>
      </c>
      <c r="D506" t="s">
        <v>66</v>
      </c>
      <c r="E506" t="s">
        <v>1967</v>
      </c>
      <c r="F506" t="s">
        <v>1926</v>
      </c>
      <c r="G506" t="s">
        <v>121</v>
      </c>
      <c r="H506" t="s">
        <v>1968</v>
      </c>
      <c r="I506" t="s">
        <v>1969</v>
      </c>
      <c r="J506" t="s">
        <v>71</v>
      </c>
      <c r="K506" s="2" t="str">
        <f>HYPERLINK("http://collections.slsa.sa.gov.au/arthur/05750/BRG347_5621.htm")</f>
        <v>http://collections.slsa.sa.gov.au/arthur/05750/BRG347_5621.htm</v>
      </c>
    </row>
    <row r="507" spans="1:11" x14ac:dyDescent="0.25">
      <c r="A507" t="s">
        <v>1970</v>
      </c>
      <c r="B507" s="1" t="str">
        <f>HYPERLINK("https://www.catalog.slsa.sa.gov.au/record=b2116694")</f>
        <v>https://www.catalog.slsa.sa.gov.au/record=b2116694</v>
      </c>
      <c r="C507" s="1" t="str">
        <f>HYPERLINK("https://www.catalog.slsa.sa.gov.au/xrecord=b2116694")</f>
        <v>https://www.catalog.slsa.sa.gov.au/xrecord=b2116694</v>
      </c>
      <c r="D507" t="s">
        <v>66</v>
      </c>
      <c r="E507" t="s">
        <v>1971</v>
      </c>
      <c r="F507" t="s">
        <v>1926</v>
      </c>
      <c r="G507" t="s">
        <v>121</v>
      </c>
      <c r="H507" t="s">
        <v>1972</v>
      </c>
      <c r="I507" t="s">
        <v>1973</v>
      </c>
      <c r="J507" t="s">
        <v>71</v>
      </c>
      <c r="K507" s="2" t="str">
        <f>HYPERLINK("http://collections.slsa.sa.gov.au/arthur/05750/BRG347_5622.htm")</f>
        <v>http://collections.slsa.sa.gov.au/arthur/05750/BRG347_5622.htm</v>
      </c>
    </row>
    <row r="508" spans="1:11" x14ac:dyDescent="0.25">
      <c r="A508" t="s">
        <v>1974</v>
      </c>
      <c r="B508" s="1" t="str">
        <f>HYPERLINK("https://www.catalog.slsa.sa.gov.au/record=b2116695")</f>
        <v>https://www.catalog.slsa.sa.gov.au/record=b2116695</v>
      </c>
      <c r="C508" s="1" t="str">
        <f>HYPERLINK("https://www.catalog.slsa.sa.gov.au/xrecord=b2116695")</f>
        <v>https://www.catalog.slsa.sa.gov.au/xrecord=b2116695</v>
      </c>
      <c r="D508" t="s">
        <v>66</v>
      </c>
      <c r="E508" t="s">
        <v>1975</v>
      </c>
      <c r="F508" t="s">
        <v>1926</v>
      </c>
      <c r="G508" t="s">
        <v>121</v>
      </c>
      <c r="H508" t="s">
        <v>1976</v>
      </c>
      <c r="I508" t="s">
        <v>1977</v>
      </c>
      <c r="J508" t="s">
        <v>71</v>
      </c>
      <c r="K508" s="2" t="str">
        <f>HYPERLINK("http://collections.slsa.sa.gov.au/arthur/05750/BRG347_5623.htm")</f>
        <v>http://collections.slsa.sa.gov.au/arthur/05750/BRG347_5623.htm</v>
      </c>
    </row>
    <row r="509" spans="1:11" x14ac:dyDescent="0.25">
      <c r="A509" t="s">
        <v>1978</v>
      </c>
      <c r="B509" s="1" t="str">
        <f>HYPERLINK("https://www.catalog.slsa.sa.gov.au/record=b2116906")</f>
        <v>https://www.catalog.slsa.sa.gov.au/record=b2116906</v>
      </c>
      <c r="C509" s="1" t="str">
        <f>HYPERLINK("https://www.catalog.slsa.sa.gov.au/xrecord=b2116906")</f>
        <v>https://www.catalog.slsa.sa.gov.au/xrecord=b2116906</v>
      </c>
      <c r="D509" t="s">
        <v>66</v>
      </c>
      <c r="E509" t="s">
        <v>1979</v>
      </c>
      <c r="F509" t="s">
        <v>1926</v>
      </c>
      <c r="G509" t="s">
        <v>121</v>
      </c>
      <c r="H509" t="s">
        <v>1980</v>
      </c>
      <c r="I509" t="s">
        <v>1981</v>
      </c>
      <c r="J509" t="s">
        <v>71</v>
      </c>
      <c r="K509" s="2" t="str">
        <f>HYPERLINK("http://collections.slsa.sa.gov.au/arthur/05750/BRG347_5736.htm")</f>
        <v>http://collections.slsa.sa.gov.au/arthur/05750/BRG347_5736.htm</v>
      </c>
    </row>
    <row r="510" spans="1:11" x14ac:dyDescent="0.25">
      <c r="A510" t="s">
        <v>1982</v>
      </c>
      <c r="B510" s="1" t="str">
        <f>HYPERLINK("https://www.catalog.slsa.sa.gov.au/record=b2116908")</f>
        <v>https://www.catalog.slsa.sa.gov.au/record=b2116908</v>
      </c>
      <c r="C510" s="1" t="str">
        <f>HYPERLINK("https://www.catalog.slsa.sa.gov.au/xrecord=b2116908")</f>
        <v>https://www.catalog.slsa.sa.gov.au/xrecord=b2116908</v>
      </c>
      <c r="D510" t="s">
        <v>66</v>
      </c>
      <c r="E510" t="s">
        <v>1983</v>
      </c>
      <c r="F510" t="s">
        <v>1926</v>
      </c>
      <c r="G510" t="s">
        <v>121</v>
      </c>
      <c r="H510" t="s">
        <v>1984</v>
      </c>
      <c r="I510" t="s">
        <v>1985</v>
      </c>
      <c r="J510" t="s">
        <v>71</v>
      </c>
      <c r="K510" s="2" t="str">
        <f>HYPERLINK("http://collections.slsa.sa.gov.au/arthur/05750/BRG347_5738.htm")</f>
        <v>http://collections.slsa.sa.gov.au/arthur/05750/BRG347_5738.htm</v>
      </c>
    </row>
    <row r="511" spans="1:11" x14ac:dyDescent="0.25">
      <c r="A511" t="s">
        <v>1986</v>
      </c>
      <c r="B511" s="1" t="str">
        <f>HYPERLINK("https://www.catalog.slsa.sa.gov.au/record=b2084242")</f>
        <v>https://www.catalog.slsa.sa.gov.au/record=b2084242</v>
      </c>
      <c r="C511" s="1" t="str">
        <f>HYPERLINK("https://www.catalog.slsa.sa.gov.au/xrecord=b2084242")</f>
        <v>https://www.catalog.slsa.sa.gov.au/xrecord=b2084242</v>
      </c>
      <c r="E511" t="s">
        <v>1987</v>
      </c>
      <c r="F511" t="s">
        <v>1926</v>
      </c>
      <c r="G511" t="s">
        <v>1988</v>
      </c>
      <c r="H511" t="s">
        <v>1989</v>
      </c>
      <c r="I511" t="s">
        <v>1990</v>
      </c>
      <c r="J511" t="s">
        <v>1757</v>
      </c>
      <c r="K511" s="2" t="str">
        <f>HYPERLINK("http://collections.slsa.sa.gov.au/godson/1/00250/PRG1258_1_226.htm")</f>
        <v>http://collections.slsa.sa.gov.au/godson/1/00250/PRG1258_1_226.htm</v>
      </c>
    </row>
    <row r="512" spans="1:11" x14ac:dyDescent="0.25">
      <c r="A512" t="s">
        <v>1991</v>
      </c>
      <c r="B512" s="1" t="str">
        <f>HYPERLINK("https://www.catalog.slsa.sa.gov.au/record=b2084243")</f>
        <v>https://www.catalog.slsa.sa.gov.au/record=b2084243</v>
      </c>
      <c r="C512" s="1" t="str">
        <f>HYPERLINK("https://www.catalog.slsa.sa.gov.au/xrecord=b2084243")</f>
        <v>https://www.catalog.slsa.sa.gov.au/xrecord=b2084243</v>
      </c>
      <c r="E512" t="s">
        <v>1992</v>
      </c>
      <c r="F512" t="s">
        <v>1926</v>
      </c>
      <c r="G512" t="s">
        <v>1754</v>
      </c>
      <c r="H512" t="s">
        <v>1993</v>
      </c>
      <c r="I512" t="s">
        <v>1994</v>
      </c>
      <c r="J512" t="s">
        <v>1757</v>
      </c>
      <c r="K512" s="2" t="str">
        <f>HYPERLINK("http://collections.slsa.sa.gov.au/godson/1/00250/PRG1258_1_231.htm")</f>
        <v>http://collections.slsa.sa.gov.au/godson/1/00250/PRG1258_1_231.htm</v>
      </c>
    </row>
    <row r="513" spans="1:11" x14ac:dyDescent="0.25">
      <c r="A513" t="s">
        <v>1995</v>
      </c>
      <c r="B513" s="1" t="str">
        <f>HYPERLINK("https://www.catalog.slsa.sa.gov.au/record=b2084249")</f>
        <v>https://www.catalog.slsa.sa.gov.au/record=b2084249</v>
      </c>
      <c r="C513" s="1" t="str">
        <f>HYPERLINK("https://www.catalog.slsa.sa.gov.au/xrecord=b2084249")</f>
        <v>https://www.catalog.slsa.sa.gov.au/xrecord=b2084249</v>
      </c>
      <c r="E513" t="s">
        <v>1996</v>
      </c>
      <c r="F513" t="s">
        <v>1926</v>
      </c>
      <c r="G513" t="s">
        <v>1754</v>
      </c>
      <c r="H513" t="s">
        <v>1997</v>
      </c>
      <c r="I513" t="s">
        <v>1998</v>
      </c>
      <c r="J513" t="s">
        <v>1757</v>
      </c>
      <c r="K513" s="2" t="str">
        <f>HYPERLINK("http://collections.slsa.sa.gov.au/godson/1/00250/PRG1258_1_243.htm")</f>
        <v>http://collections.slsa.sa.gov.au/godson/1/00250/PRG1258_1_243.htm</v>
      </c>
    </row>
    <row r="514" spans="1:11" x14ac:dyDescent="0.25">
      <c r="A514" t="s">
        <v>1999</v>
      </c>
      <c r="B514" s="1" t="str">
        <f>HYPERLINK("https://www.catalog.slsa.sa.gov.au/record=b2084195")</f>
        <v>https://www.catalog.slsa.sa.gov.au/record=b2084195</v>
      </c>
      <c r="C514" s="1" t="str">
        <f>HYPERLINK("https://www.catalog.slsa.sa.gov.au/xrecord=b2084195")</f>
        <v>https://www.catalog.slsa.sa.gov.au/xrecord=b2084195</v>
      </c>
      <c r="E514" t="s">
        <v>2000</v>
      </c>
      <c r="F514" t="s">
        <v>1926</v>
      </c>
      <c r="G514" t="s">
        <v>2001</v>
      </c>
      <c r="H514" t="s">
        <v>2002</v>
      </c>
      <c r="I514" t="s">
        <v>2003</v>
      </c>
      <c r="J514" t="s">
        <v>1757</v>
      </c>
      <c r="K514" s="2" t="str">
        <f>HYPERLINK("http://collections.slsa.sa.gov.au/godson/1/00250/PRG1258_1_36.htm")</f>
        <v>http://collections.slsa.sa.gov.au/godson/1/00250/PRG1258_1_36.htm</v>
      </c>
    </row>
    <row r="515" spans="1:11" x14ac:dyDescent="0.25">
      <c r="A515" t="s">
        <v>2004</v>
      </c>
      <c r="B515" s="1" t="str">
        <f>HYPERLINK("https://www.catalog.slsa.sa.gov.au/record=b2084251")</f>
        <v>https://www.catalog.slsa.sa.gov.au/record=b2084251</v>
      </c>
      <c r="C515" s="1" t="str">
        <f>HYPERLINK("https://www.catalog.slsa.sa.gov.au/xrecord=b2084251")</f>
        <v>https://www.catalog.slsa.sa.gov.au/xrecord=b2084251</v>
      </c>
      <c r="E515" t="s">
        <v>2005</v>
      </c>
      <c r="F515" t="s">
        <v>1926</v>
      </c>
      <c r="G515" t="s">
        <v>2006</v>
      </c>
      <c r="H515" t="s">
        <v>2007</v>
      </c>
      <c r="I515" t="s">
        <v>2008</v>
      </c>
      <c r="J515" t="s">
        <v>1757</v>
      </c>
      <c r="K515" s="2" t="str">
        <f>HYPERLINK("http://collections.slsa.sa.gov.au/godson/1/00500/PRG1258_1_255.htm")</f>
        <v>http://collections.slsa.sa.gov.au/godson/1/00500/PRG1258_1_255.htm</v>
      </c>
    </row>
    <row r="516" spans="1:11" x14ac:dyDescent="0.25">
      <c r="A516" t="s">
        <v>2009</v>
      </c>
      <c r="B516" s="1" t="str">
        <f>HYPERLINK("https://www.catalog.slsa.sa.gov.au/record=b2084327")</f>
        <v>https://www.catalog.slsa.sa.gov.au/record=b2084327</v>
      </c>
      <c r="C516" s="1" t="str">
        <f>HYPERLINK("https://www.catalog.slsa.sa.gov.au/xrecord=b2084327")</f>
        <v>https://www.catalog.slsa.sa.gov.au/xrecord=b2084327</v>
      </c>
      <c r="E516" t="s">
        <v>2010</v>
      </c>
      <c r="F516" t="s">
        <v>1926</v>
      </c>
      <c r="G516" t="s">
        <v>2011</v>
      </c>
      <c r="H516" t="s">
        <v>2012</v>
      </c>
      <c r="I516" t="s">
        <v>1756</v>
      </c>
      <c r="J516" t="s">
        <v>1757</v>
      </c>
      <c r="K516" s="2" t="str">
        <f>HYPERLINK("http://collections.slsa.sa.gov.au/godson/1/00750/PRG1258_1_559.htm")</f>
        <v>http://collections.slsa.sa.gov.au/godson/1/00750/PRG1258_1_559.htm</v>
      </c>
    </row>
    <row r="517" spans="1:11" x14ac:dyDescent="0.25">
      <c r="A517" t="s">
        <v>2013</v>
      </c>
      <c r="B517" s="1" t="str">
        <f>HYPERLINK("https://www.catalog.slsa.sa.gov.au/record=b2084329")</f>
        <v>https://www.catalog.slsa.sa.gov.au/record=b2084329</v>
      </c>
      <c r="C517" s="1" t="str">
        <f>HYPERLINK("https://www.catalog.slsa.sa.gov.au/xrecord=b2084329")</f>
        <v>https://www.catalog.slsa.sa.gov.au/xrecord=b2084329</v>
      </c>
      <c r="E517" t="s">
        <v>2010</v>
      </c>
      <c r="F517" t="s">
        <v>1926</v>
      </c>
      <c r="G517" t="s">
        <v>2014</v>
      </c>
      <c r="H517" t="s">
        <v>2015</v>
      </c>
      <c r="I517" t="s">
        <v>1756</v>
      </c>
      <c r="J517" t="s">
        <v>1757</v>
      </c>
      <c r="K517" s="2" t="str">
        <f>HYPERLINK("http://collections.slsa.sa.gov.au/godson/1/00750/PRG1258_1_576.htm")</f>
        <v>http://collections.slsa.sa.gov.au/godson/1/00750/PRG1258_1_576.htm</v>
      </c>
    </row>
    <row r="518" spans="1:11" x14ac:dyDescent="0.25">
      <c r="A518" t="s">
        <v>2016</v>
      </c>
      <c r="B518" s="1" t="str">
        <f>HYPERLINK("https://www.catalog.slsa.sa.gov.au/record=b2084388")</f>
        <v>https://www.catalog.slsa.sa.gov.au/record=b2084388</v>
      </c>
      <c r="C518" s="1" t="str">
        <f>HYPERLINK("https://www.catalog.slsa.sa.gov.au/xrecord=b2084388")</f>
        <v>https://www.catalog.slsa.sa.gov.au/xrecord=b2084388</v>
      </c>
      <c r="E518" t="s">
        <v>2017</v>
      </c>
      <c r="F518" t="s">
        <v>1926</v>
      </c>
      <c r="G518" t="s">
        <v>2018</v>
      </c>
      <c r="H518" t="s">
        <v>2019</v>
      </c>
      <c r="I518" t="s">
        <v>2020</v>
      </c>
      <c r="J518" t="s">
        <v>1757</v>
      </c>
      <c r="K518" s="2" t="str">
        <f>HYPERLINK("http://collections.slsa.sa.gov.au/godson/1/01000/PRG1258_1_854.htm")</f>
        <v>http://collections.slsa.sa.gov.au/godson/1/01000/PRG1258_1_854.htm</v>
      </c>
    </row>
    <row r="519" spans="1:11" x14ac:dyDescent="0.25">
      <c r="A519" t="s">
        <v>2021</v>
      </c>
      <c r="B519" s="1" t="str">
        <f>HYPERLINK("https://www.catalog.slsa.sa.gov.au/record=b2084404")</f>
        <v>https://www.catalog.slsa.sa.gov.au/record=b2084404</v>
      </c>
      <c r="C519" s="1" t="str">
        <f>HYPERLINK("https://www.catalog.slsa.sa.gov.au/xrecord=b2084404")</f>
        <v>https://www.catalog.slsa.sa.gov.au/xrecord=b2084404</v>
      </c>
      <c r="E519" t="s">
        <v>2022</v>
      </c>
      <c r="F519" t="s">
        <v>1926</v>
      </c>
      <c r="G519" t="s">
        <v>1754</v>
      </c>
      <c r="H519" t="s">
        <v>2023</v>
      </c>
      <c r="I519" t="s">
        <v>2024</v>
      </c>
      <c r="J519" t="s">
        <v>1757</v>
      </c>
      <c r="K519" s="2" t="str">
        <f>HYPERLINK("http://collections.slsa.sa.gov.au/godson/1/01000/PRG1258_1_925.htm")</f>
        <v>http://collections.slsa.sa.gov.au/godson/1/01000/PRG1258_1_925.htm</v>
      </c>
    </row>
    <row r="520" spans="1:11" x14ac:dyDescent="0.25">
      <c r="A520" t="s">
        <v>2025</v>
      </c>
      <c r="B520" s="1" t="str">
        <f>HYPERLINK("https://www.catalog.slsa.sa.gov.au/record=b2086546")</f>
        <v>https://www.catalog.slsa.sa.gov.au/record=b2086546</v>
      </c>
      <c r="C520" s="1" t="str">
        <f>HYPERLINK("https://www.catalog.slsa.sa.gov.au/xrecord=b2086546")</f>
        <v>https://www.catalog.slsa.sa.gov.au/xrecord=b2086546</v>
      </c>
      <c r="E520" t="s">
        <v>2026</v>
      </c>
      <c r="F520" t="s">
        <v>1926</v>
      </c>
      <c r="G520" t="s">
        <v>2027</v>
      </c>
      <c r="H520" t="s">
        <v>2028</v>
      </c>
      <c r="I520" t="s">
        <v>2029</v>
      </c>
      <c r="J520" t="s">
        <v>1757</v>
      </c>
      <c r="K520" s="2" t="str">
        <f>HYPERLINK("http://collections.slsa.sa.gov.au/godson/1/01500/PRG1258_1_1348.htm")</f>
        <v>http://collections.slsa.sa.gov.au/godson/1/01500/PRG1258_1_1348.htm</v>
      </c>
    </row>
    <row r="521" spans="1:11" x14ac:dyDescent="0.25">
      <c r="A521" t="s">
        <v>2030</v>
      </c>
      <c r="B521" s="1" t="str">
        <f>HYPERLINK("https://www.catalog.slsa.sa.gov.au/record=b2084527")</f>
        <v>https://www.catalog.slsa.sa.gov.au/record=b2084527</v>
      </c>
      <c r="C521" s="1" t="str">
        <f>HYPERLINK("https://www.catalog.slsa.sa.gov.au/xrecord=b2084527")</f>
        <v>https://www.catalog.slsa.sa.gov.au/xrecord=b2084527</v>
      </c>
      <c r="E521" t="s">
        <v>2031</v>
      </c>
      <c r="F521" t="s">
        <v>1926</v>
      </c>
      <c r="G521" t="s">
        <v>2032</v>
      </c>
      <c r="H521" t="s">
        <v>2033</v>
      </c>
      <c r="I521" t="s">
        <v>2034</v>
      </c>
      <c r="J521" t="s">
        <v>1757</v>
      </c>
      <c r="K521" s="2" t="str">
        <f>HYPERLINK("http://collections.slsa.sa.gov.au/godson/1/01500/PRG1258_1_1493.htm")</f>
        <v>http://collections.slsa.sa.gov.au/godson/1/01500/PRG1258_1_1493.htm</v>
      </c>
    </row>
    <row r="522" spans="1:11" x14ac:dyDescent="0.25">
      <c r="A522" t="s">
        <v>2035</v>
      </c>
      <c r="B522" s="1" t="str">
        <f>HYPERLINK("https://www.catalog.slsa.sa.gov.au/record=b2084544")</f>
        <v>https://www.catalog.slsa.sa.gov.au/record=b2084544</v>
      </c>
      <c r="C522" s="1" t="str">
        <f>HYPERLINK("https://www.catalog.slsa.sa.gov.au/xrecord=b2084544")</f>
        <v>https://www.catalog.slsa.sa.gov.au/xrecord=b2084544</v>
      </c>
      <c r="E522" t="s">
        <v>2036</v>
      </c>
      <c r="F522" t="s">
        <v>1926</v>
      </c>
      <c r="G522" t="s">
        <v>1760</v>
      </c>
      <c r="H522" t="s">
        <v>2037</v>
      </c>
      <c r="I522" t="s">
        <v>2038</v>
      </c>
      <c r="J522" t="s">
        <v>1757</v>
      </c>
      <c r="K522" s="2" t="str">
        <f>HYPERLINK("http://collections.slsa.sa.gov.au/godson/1/01750/PRG1258_1_1562.htm")</f>
        <v>http://collections.slsa.sa.gov.au/godson/1/01750/PRG1258_1_1562.htm</v>
      </c>
    </row>
    <row r="523" spans="1:11" x14ac:dyDescent="0.25">
      <c r="A523" t="s">
        <v>2039</v>
      </c>
      <c r="B523" s="1" t="str">
        <f>HYPERLINK("https://www.catalog.slsa.sa.gov.au/record=b2086566")</f>
        <v>https://www.catalog.slsa.sa.gov.au/record=b2086566</v>
      </c>
      <c r="C523" s="1" t="str">
        <f>HYPERLINK("https://www.catalog.slsa.sa.gov.au/xrecord=b2086566")</f>
        <v>https://www.catalog.slsa.sa.gov.au/xrecord=b2086566</v>
      </c>
      <c r="E523" t="s">
        <v>2040</v>
      </c>
      <c r="F523" t="s">
        <v>1926</v>
      </c>
      <c r="G523" t="s">
        <v>2027</v>
      </c>
      <c r="H523" t="s">
        <v>2041</v>
      </c>
      <c r="I523" t="s">
        <v>2042</v>
      </c>
      <c r="J523" t="s">
        <v>1757</v>
      </c>
      <c r="K523" s="2" t="str">
        <f>HYPERLINK("http://collections.slsa.sa.gov.au/godson/1/01750/PRG1258_1_1716.htm")</f>
        <v>http://collections.slsa.sa.gov.au/godson/1/01750/PRG1258_1_1716.htm</v>
      </c>
    </row>
    <row r="524" spans="1:11" x14ac:dyDescent="0.25">
      <c r="A524" t="s">
        <v>2043</v>
      </c>
      <c r="B524" s="1" t="str">
        <f>HYPERLINK("https://www.catalog.slsa.sa.gov.au/record=b2084608")</f>
        <v>https://www.catalog.slsa.sa.gov.au/record=b2084608</v>
      </c>
      <c r="C524" s="1" t="str">
        <f>HYPERLINK("https://www.catalog.slsa.sa.gov.au/xrecord=b2084608")</f>
        <v>https://www.catalog.slsa.sa.gov.au/xrecord=b2084608</v>
      </c>
      <c r="E524" t="s">
        <v>2044</v>
      </c>
      <c r="F524" t="s">
        <v>1926</v>
      </c>
      <c r="G524" t="s">
        <v>2032</v>
      </c>
      <c r="H524" t="s">
        <v>2045</v>
      </c>
      <c r="I524" t="s">
        <v>2046</v>
      </c>
      <c r="J524" t="s">
        <v>1757</v>
      </c>
      <c r="K524" s="2" t="str">
        <f>HYPERLINK("http://collections.slsa.sa.gov.au/godson/1/02000/PRG1258_1_1932.htm")</f>
        <v>http://collections.slsa.sa.gov.au/godson/1/02000/PRG1258_1_1932.htm</v>
      </c>
    </row>
    <row r="525" spans="1:11" x14ac:dyDescent="0.25">
      <c r="A525" t="s">
        <v>2047</v>
      </c>
      <c r="B525" s="1" t="str">
        <f>HYPERLINK("https://www.catalog.slsa.sa.gov.au/record=b2086602")</f>
        <v>https://www.catalog.slsa.sa.gov.au/record=b2086602</v>
      </c>
      <c r="C525" s="1" t="str">
        <f>HYPERLINK("https://www.catalog.slsa.sa.gov.au/xrecord=b2086602")</f>
        <v>https://www.catalog.slsa.sa.gov.au/xrecord=b2086602</v>
      </c>
      <c r="E525" t="s">
        <v>2048</v>
      </c>
      <c r="F525" t="s">
        <v>1926</v>
      </c>
      <c r="G525" t="s">
        <v>2027</v>
      </c>
      <c r="H525" t="s">
        <v>2049</v>
      </c>
      <c r="I525" t="s">
        <v>2050</v>
      </c>
      <c r="J525" t="s">
        <v>1757</v>
      </c>
      <c r="K525" s="2" t="str">
        <f>HYPERLINK("http://collections.slsa.sa.gov.au/godson/1/02250/PRG1258_1_2171.htm")</f>
        <v>http://collections.slsa.sa.gov.au/godson/1/02250/PRG1258_1_2171.htm</v>
      </c>
    </row>
    <row r="526" spans="1:11" x14ac:dyDescent="0.25">
      <c r="A526" t="s">
        <v>2051</v>
      </c>
      <c r="B526" s="1" t="str">
        <f>HYPERLINK("https://www.catalog.slsa.sa.gov.au/record=b2084666")</f>
        <v>https://www.catalog.slsa.sa.gov.au/record=b2084666</v>
      </c>
      <c r="C526" s="1" t="str">
        <f>HYPERLINK("https://www.catalog.slsa.sa.gov.au/xrecord=b2084666")</f>
        <v>https://www.catalog.slsa.sa.gov.au/xrecord=b2084666</v>
      </c>
      <c r="E526" t="s">
        <v>2052</v>
      </c>
      <c r="F526" t="s">
        <v>1926</v>
      </c>
      <c r="G526" t="s">
        <v>2053</v>
      </c>
      <c r="H526" t="s">
        <v>2054</v>
      </c>
      <c r="I526" t="s">
        <v>2055</v>
      </c>
      <c r="J526" t="s">
        <v>1757</v>
      </c>
      <c r="K526" s="2" t="str">
        <f>HYPERLINK("http://collections.slsa.sa.gov.au/godson/1/02750/PRG1258_1_2588.htm")</f>
        <v>http://collections.slsa.sa.gov.au/godson/1/02750/PRG1258_1_2588.htm</v>
      </c>
    </row>
    <row r="527" spans="1:11" x14ac:dyDescent="0.25">
      <c r="A527" t="s">
        <v>2056</v>
      </c>
      <c r="B527" s="1" t="str">
        <f>HYPERLINK("https://www.catalog.slsa.sa.gov.au/record=b2084703")</f>
        <v>https://www.catalog.slsa.sa.gov.au/record=b2084703</v>
      </c>
      <c r="C527" s="1" t="str">
        <f>HYPERLINK("https://www.catalog.slsa.sa.gov.au/xrecord=b2084703")</f>
        <v>https://www.catalog.slsa.sa.gov.au/xrecord=b2084703</v>
      </c>
      <c r="E527" t="s">
        <v>2057</v>
      </c>
      <c r="F527" t="s">
        <v>1926</v>
      </c>
      <c r="G527" t="s">
        <v>1760</v>
      </c>
      <c r="H527" t="s">
        <v>2058</v>
      </c>
      <c r="I527" t="s">
        <v>2059</v>
      </c>
      <c r="J527" t="s">
        <v>1757</v>
      </c>
      <c r="K527" s="2" t="str">
        <f>HYPERLINK("http://collections.slsa.sa.gov.au/godson/1/02750/PRG1258_1_2715.htm")</f>
        <v>http://collections.slsa.sa.gov.au/godson/1/02750/PRG1258_1_2715.htm</v>
      </c>
    </row>
    <row r="528" spans="1:11" x14ac:dyDescent="0.25">
      <c r="A528" t="s">
        <v>2060</v>
      </c>
      <c r="B528" s="1" t="str">
        <f>HYPERLINK("https://www.catalog.slsa.sa.gov.au/record=b2084716")</f>
        <v>https://www.catalog.slsa.sa.gov.au/record=b2084716</v>
      </c>
      <c r="C528" s="1" t="str">
        <f>HYPERLINK("https://www.catalog.slsa.sa.gov.au/xrecord=b2084716")</f>
        <v>https://www.catalog.slsa.sa.gov.au/xrecord=b2084716</v>
      </c>
      <c r="E528" t="s">
        <v>2061</v>
      </c>
      <c r="F528" t="s">
        <v>1926</v>
      </c>
      <c r="G528" t="s">
        <v>2062</v>
      </c>
      <c r="H528" t="s">
        <v>2063</v>
      </c>
      <c r="I528" t="s">
        <v>2064</v>
      </c>
      <c r="J528" t="s">
        <v>1757</v>
      </c>
      <c r="K528" s="2" t="str">
        <f>HYPERLINK("http://collections.slsa.sa.gov.au/godson/1/02750/PRG1258_1_2739.htm")</f>
        <v>http://collections.slsa.sa.gov.au/godson/1/02750/PRG1258_1_2739.htm</v>
      </c>
    </row>
    <row r="529" spans="1:11" x14ac:dyDescent="0.25">
      <c r="A529" t="s">
        <v>2065</v>
      </c>
      <c r="B529" s="1" t="str">
        <f>HYPERLINK("https://www.catalog.slsa.sa.gov.au/record=b2084779")</f>
        <v>https://www.catalog.slsa.sa.gov.au/record=b2084779</v>
      </c>
      <c r="C529" s="1" t="str">
        <f>HYPERLINK("https://www.catalog.slsa.sa.gov.au/xrecord=b2084779")</f>
        <v>https://www.catalog.slsa.sa.gov.au/xrecord=b2084779</v>
      </c>
      <c r="E529" t="s">
        <v>2066</v>
      </c>
      <c r="F529" t="s">
        <v>1926</v>
      </c>
      <c r="G529" t="s">
        <v>2067</v>
      </c>
      <c r="H529" t="s">
        <v>2068</v>
      </c>
      <c r="I529" t="s">
        <v>2069</v>
      </c>
      <c r="J529" t="s">
        <v>1757</v>
      </c>
      <c r="K529" s="2" t="str">
        <f>HYPERLINK("http://collections.slsa.sa.gov.au/godson/1/03000/PRG1258_1_2954.htm")</f>
        <v>http://collections.slsa.sa.gov.au/godson/1/03000/PRG1258_1_2954.htm</v>
      </c>
    </row>
    <row r="530" spans="1:11" x14ac:dyDescent="0.25">
      <c r="A530" t="s">
        <v>2070</v>
      </c>
      <c r="B530" s="1" t="str">
        <f>HYPERLINK("https://www.catalog.slsa.sa.gov.au/record=b2084860")</f>
        <v>https://www.catalog.slsa.sa.gov.au/record=b2084860</v>
      </c>
      <c r="C530" s="1" t="str">
        <f>HYPERLINK("https://www.catalog.slsa.sa.gov.au/xrecord=b2084860")</f>
        <v>https://www.catalog.slsa.sa.gov.au/xrecord=b2084860</v>
      </c>
      <c r="E530" t="s">
        <v>2071</v>
      </c>
      <c r="F530" t="s">
        <v>1926</v>
      </c>
      <c r="G530" t="s">
        <v>1760</v>
      </c>
      <c r="H530" t="s">
        <v>2072</v>
      </c>
      <c r="I530" t="s">
        <v>2073</v>
      </c>
      <c r="J530" t="s">
        <v>1757</v>
      </c>
      <c r="K530" s="2" t="str">
        <f>HYPERLINK("http://collections.slsa.sa.gov.au/godson/1/03250/PRG1258_1_3178.htm")</f>
        <v>http://collections.slsa.sa.gov.au/godson/1/03250/PRG1258_1_3178.htm</v>
      </c>
    </row>
    <row r="531" spans="1:11" x14ac:dyDescent="0.25">
      <c r="A531" t="s">
        <v>2074</v>
      </c>
      <c r="B531" s="1" t="str">
        <f>HYPERLINK("https://www.catalog.slsa.sa.gov.au/record=b2084861")</f>
        <v>https://www.catalog.slsa.sa.gov.au/record=b2084861</v>
      </c>
      <c r="C531" s="1" t="str">
        <f>HYPERLINK("https://www.catalog.slsa.sa.gov.au/xrecord=b2084861")</f>
        <v>https://www.catalog.slsa.sa.gov.au/xrecord=b2084861</v>
      </c>
      <c r="E531" t="s">
        <v>2075</v>
      </c>
      <c r="F531" t="s">
        <v>1926</v>
      </c>
      <c r="G531" t="s">
        <v>1760</v>
      </c>
      <c r="H531" t="s">
        <v>2076</v>
      </c>
      <c r="I531" t="s">
        <v>2077</v>
      </c>
      <c r="J531" t="s">
        <v>1757</v>
      </c>
      <c r="K531" s="2" t="str">
        <f>HYPERLINK("http://collections.slsa.sa.gov.au/godson/1/03250/PRG1258_1_3179.htm")</f>
        <v>http://collections.slsa.sa.gov.au/godson/1/03250/PRG1258_1_3179.htm</v>
      </c>
    </row>
    <row r="532" spans="1:11" x14ac:dyDescent="0.25">
      <c r="A532" t="s">
        <v>2078</v>
      </c>
      <c r="B532" s="1" t="str">
        <f>HYPERLINK("https://www.catalog.slsa.sa.gov.au/record=b2084877")</f>
        <v>https://www.catalog.slsa.sa.gov.au/record=b2084877</v>
      </c>
      <c r="C532" s="1" t="str">
        <f>HYPERLINK("https://www.catalog.slsa.sa.gov.au/xrecord=b2084877")</f>
        <v>https://www.catalog.slsa.sa.gov.au/xrecord=b2084877</v>
      </c>
      <c r="E532" t="s">
        <v>2079</v>
      </c>
      <c r="F532" t="s">
        <v>1926</v>
      </c>
      <c r="G532" t="s">
        <v>2080</v>
      </c>
      <c r="H532" t="s">
        <v>2081</v>
      </c>
      <c r="I532" t="s">
        <v>2082</v>
      </c>
      <c r="J532" t="s">
        <v>1757</v>
      </c>
      <c r="K532" s="2" t="str">
        <f>HYPERLINK("http://collections.slsa.sa.gov.au/godson/1/03250/PRG1258_1_3231.htm")</f>
        <v>http://collections.slsa.sa.gov.au/godson/1/03250/PRG1258_1_3231.htm</v>
      </c>
    </row>
    <row r="533" spans="1:11" x14ac:dyDescent="0.25">
      <c r="A533" t="s">
        <v>2083</v>
      </c>
      <c r="B533" s="1" t="str">
        <f>HYPERLINK("https://www.catalog.slsa.sa.gov.au/record=b2085225")</f>
        <v>https://www.catalog.slsa.sa.gov.au/record=b2085225</v>
      </c>
      <c r="C533" s="1" t="str">
        <f>HYPERLINK("https://www.catalog.slsa.sa.gov.au/xrecord=b2085225")</f>
        <v>https://www.catalog.slsa.sa.gov.au/xrecord=b2085225</v>
      </c>
      <c r="E533" t="s">
        <v>2084</v>
      </c>
      <c r="F533" t="s">
        <v>1926</v>
      </c>
      <c r="G533" t="s">
        <v>2085</v>
      </c>
      <c r="H533" t="s">
        <v>2086</v>
      </c>
      <c r="I533" t="s">
        <v>2087</v>
      </c>
      <c r="J533" t="s">
        <v>1757</v>
      </c>
      <c r="K533" s="2" t="str">
        <f>HYPERLINK("http://collections.slsa.sa.gov.au/godson/2/00250/PRG1258_2_172.htm")</f>
        <v>http://collections.slsa.sa.gov.au/godson/2/00250/PRG1258_2_172.htm</v>
      </c>
    </row>
    <row r="534" spans="1:11" x14ac:dyDescent="0.25">
      <c r="A534" t="s">
        <v>2088</v>
      </c>
      <c r="B534" s="1" t="str">
        <f>HYPERLINK("https://www.catalog.slsa.sa.gov.au/record=b2085175")</f>
        <v>https://www.catalog.slsa.sa.gov.au/record=b2085175</v>
      </c>
      <c r="C534" s="1" t="str">
        <f>HYPERLINK("https://www.catalog.slsa.sa.gov.au/xrecord=b2085175")</f>
        <v>https://www.catalog.slsa.sa.gov.au/xrecord=b2085175</v>
      </c>
      <c r="E534" t="s">
        <v>2089</v>
      </c>
      <c r="F534" t="s">
        <v>1926</v>
      </c>
      <c r="G534" t="s">
        <v>2032</v>
      </c>
      <c r="H534" t="s">
        <v>2090</v>
      </c>
      <c r="I534" t="s">
        <v>2091</v>
      </c>
      <c r="J534" t="s">
        <v>1757</v>
      </c>
      <c r="K534" s="2" t="str">
        <f>HYPERLINK("http://collections.slsa.sa.gov.au/godson/2/00250/PRG1258_2_36.htm")</f>
        <v>http://collections.slsa.sa.gov.au/godson/2/00250/PRG1258_2_36.htm</v>
      </c>
    </row>
    <row r="535" spans="1:11" x14ac:dyDescent="0.25">
      <c r="A535" t="s">
        <v>2092</v>
      </c>
      <c r="B535" s="1" t="str">
        <f>HYPERLINK("https://www.catalog.slsa.sa.gov.au/record=b2085323")</f>
        <v>https://www.catalog.slsa.sa.gov.au/record=b2085323</v>
      </c>
      <c r="C535" s="1" t="str">
        <f>HYPERLINK("https://www.catalog.slsa.sa.gov.au/xrecord=b2085323")</f>
        <v>https://www.catalog.slsa.sa.gov.au/xrecord=b2085323</v>
      </c>
      <c r="E535" t="s">
        <v>2093</v>
      </c>
      <c r="F535" t="s">
        <v>1926</v>
      </c>
      <c r="G535" t="s">
        <v>2094</v>
      </c>
      <c r="H535" t="s">
        <v>2095</v>
      </c>
      <c r="I535" t="s">
        <v>2096</v>
      </c>
      <c r="J535" t="s">
        <v>1757</v>
      </c>
      <c r="K535" s="2" t="str">
        <f>HYPERLINK("http://collections.slsa.sa.gov.au/godson/2/00500/PRG1258_2_331.htm")</f>
        <v>http://collections.slsa.sa.gov.au/godson/2/00500/PRG1258_2_331.htm</v>
      </c>
    </row>
    <row r="536" spans="1:11" x14ac:dyDescent="0.25">
      <c r="A536" t="s">
        <v>2097</v>
      </c>
      <c r="B536" s="1" t="str">
        <f>HYPERLINK("https://www.catalog.slsa.sa.gov.au/record=b2085324")</f>
        <v>https://www.catalog.slsa.sa.gov.au/record=b2085324</v>
      </c>
      <c r="C536" s="1" t="str">
        <f>HYPERLINK("https://www.catalog.slsa.sa.gov.au/xrecord=b2085324")</f>
        <v>https://www.catalog.slsa.sa.gov.au/xrecord=b2085324</v>
      </c>
      <c r="E536" t="s">
        <v>2098</v>
      </c>
      <c r="F536" t="s">
        <v>1926</v>
      </c>
      <c r="G536" t="s">
        <v>2094</v>
      </c>
      <c r="H536" t="s">
        <v>2099</v>
      </c>
      <c r="I536" t="s">
        <v>2096</v>
      </c>
      <c r="J536" t="s">
        <v>1757</v>
      </c>
      <c r="K536" s="2" t="str">
        <f>HYPERLINK("http://collections.slsa.sa.gov.au/godson/2/00500/PRG1258_2_332.htm")</f>
        <v>http://collections.slsa.sa.gov.au/godson/2/00500/PRG1258_2_332.htm</v>
      </c>
    </row>
    <row r="537" spans="1:11" x14ac:dyDescent="0.25">
      <c r="A537" t="s">
        <v>2100</v>
      </c>
      <c r="B537" s="1" t="str">
        <f>HYPERLINK("https://www.catalog.slsa.sa.gov.au/record=b2085334")</f>
        <v>https://www.catalog.slsa.sa.gov.au/record=b2085334</v>
      </c>
      <c r="C537" s="1" t="str">
        <f>HYPERLINK("https://www.catalog.slsa.sa.gov.au/xrecord=b2085334")</f>
        <v>https://www.catalog.slsa.sa.gov.au/xrecord=b2085334</v>
      </c>
      <c r="E537" t="s">
        <v>2101</v>
      </c>
      <c r="F537" t="s">
        <v>1926</v>
      </c>
      <c r="G537" t="s">
        <v>2032</v>
      </c>
      <c r="H537" t="s">
        <v>2102</v>
      </c>
      <c r="I537" t="s">
        <v>2103</v>
      </c>
      <c r="J537" t="s">
        <v>1757</v>
      </c>
      <c r="K537" s="2" t="str">
        <f>HYPERLINK("http://collections.slsa.sa.gov.au/godson/2/00500/PRG1258_2_381.htm")</f>
        <v>http://collections.slsa.sa.gov.au/godson/2/00500/PRG1258_2_381.htm</v>
      </c>
    </row>
    <row r="538" spans="1:11" x14ac:dyDescent="0.25">
      <c r="A538" t="s">
        <v>2104</v>
      </c>
      <c r="B538" s="1" t="str">
        <f>HYPERLINK("https://www.catalog.slsa.sa.gov.au/record=b2085336")</f>
        <v>https://www.catalog.slsa.sa.gov.au/record=b2085336</v>
      </c>
      <c r="C538" s="1" t="str">
        <f>HYPERLINK("https://www.catalog.slsa.sa.gov.au/xrecord=b2085336")</f>
        <v>https://www.catalog.slsa.sa.gov.au/xrecord=b2085336</v>
      </c>
      <c r="E538" t="s">
        <v>2105</v>
      </c>
      <c r="F538" t="s">
        <v>1926</v>
      </c>
      <c r="G538" t="s">
        <v>2106</v>
      </c>
      <c r="H538" t="s">
        <v>2107</v>
      </c>
      <c r="I538" t="s">
        <v>2108</v>
      </c>
      <c r="J538" t="s">
        <v>1757</v>
      </c>
      <c r="K538" s="2" t="str">
        <f>HYPERLINK("http://collections.slsa.sa.gov.au/godson/2/00500/PRG1258_2_384.htm")</f>
        <v>http://collections.slsa.sa.gov.au/godson/2/00500/PRG1258_2_384.htm</v>
      </c>
    </row>
    <row r="539" spans="1:11" x14ac:dyDescent="0.25">
      <c r="A539" t="s">
        <v>2109</v>
      </c>
      <c r="B539" s="1" t="str">
        <f>HYPERLINK("https://www.catalog.slsa.sa.gov.au/record=b2085350")</f>
        <v>https://www.catalog.slsa.sa.gov.au/record=b2085350</v>
      </c>
      <c r="C539" s="1" t="str">
        <f>HYPERLINK("https://www.catalog.slsa.sa.gov.au/xrecord=b2085350")</f>
        <v>https://www.catalog.slsa.sa.gov.au/xrecord=b2085350</v>
      </c>
      <c r="E539" t="s">
        <v>2110</v>
      </c>
      <c r="F539" t="s">
        <v>1926</v>
      </c>
      <c r="G539" t="s">
        <v>2062</v>
      </c>
      <c r="H539" t="s">
        <v>2111</v>
      </c>
      <c r="I539" t="s">
        <v>2112</v>
      </c>
      <c r="J539" t="s">
        <v>1757</v>
      </c>
      <c r="K539" s="2" t="str">
        <f>HYPERLINK("http://collections.slsa.sa.gov.au/godson/2/00500/PRG1258_2_403.htm")</f>
        <v>http://collections.slsa.sa.gov.au/godson/2/00500/PRG1258_2_403.htm</v>
      </c>
    </row>
    <row r="540" spans="1:11" x14ac:dyDescent="0.25">
      <c r="A540" t="s">
        <v>2113</v>
      </c>
      <c r="B540" s="1" t="str">
        <f>HYPERLINK("https://www.catalog.slsa.sa.gov.au/record=b2085373")</f>
        <v>https://www.catalog.slsa.sa.gov.au/record=b2085373</v>
      </c>
      <c r="C540" s="1" t="str">
        <f>HYPERLINK("https://www.catalog.slsa.sa.gov.au/xrecord=b2085373")</f>
        <v>https://www.catalog.slsa.sa.gov.au/xrecord=b2085373</v>
      </c>
      <c r="E540" t="s">
        <v>2114</v>
      </c>
      <c r="F540" t="s">
        <v>1926</v>
      </c>
      <c r="G540" t="s">
        <v>2115</v>
      </c>
      <c r="H540" t="s">
        <v>2116</v>
      </c>
      <c r="I540" t="s">
        <v>2117</v>
      </c>
      <c r="J540" t="s">
        <v>1757</v>
      </c>
      <c r="K540" s="2" t="str">
        <f>HYPERLINK("http://collections.slsa.sa.gov.au/godson/2/00500/PRG1258_2_435.htm")</f>
        <v>http://collections.slsa.sa.gov.au/godson/2/00500/PRG1258_2_435.htm</v>
      </c>
    </row>
    <row r="541" spans="1:11" x14ac:dyDescent="0.25">
      <c r="A541" t="s">
        <v>2118</v>
      </c>
      <c r="B541" s="1" t="str">
        <f>HYPERLINK("https://www.catalog.slsa.sa.gov.au/record=b2085377")</f>
        <v>https://www.catalog.slsa.sa.gov.au/record=b2085377</v>
      </c>
      <c r="C541" s="1" t="str">
        <f>HYPERLINK("https://www.catalog.slsa.sa.gov.au/xrecord=b2085377")</f>
        <v>https://www.catalog.slsa.sa.gov.au/xrecord=b2085377</v>
      </c>
      <c r="E541" t="s">
        <v>2119</v>
      </c>
      <c r="F541" t="s">
        <v>1926</v>
      </c>
      <c r="G541" t="s">
        <v>2032</v>
      </c>
      <c r="H541" t="s">
        <v>2120</v>
      </c>
      <c r="I541" t="s">
        <v>2121</v>
      </c>
      <c r="J541" t="s">
        <v>1757</v>
      </c>
      <c r="K541" s="2" t="str">
        <f>HYPERLINK("http://collections.slsa.sa.gov.au/godson/2/00500/PRG1258_2_443.htm")</f>
        <v>http://collections.slsa.sa.gov.au/godson/2/00500/PRG1258_2_443.htm</v>
      </c>
    </row>
    <row r="542" spans="1:11" x14ac:dyDescent="0.25">
      <c r="A542" t="s">
        <v>2122</v>
      </c>
      <c r="B542" s="1" t="str">
        <f>HYPERLINK("https://www.catalog.slsa.sa.gov.au/record=b2085378")</f>
        <v>https://www.catalog.slsa.sa.gov.au/record=b2085378</v>
      </c>
      <c r="C542" s="1" t="str">
        <f>HYPERLINK("https://www.catalog.slsa.sa.gov.au/xrecord=b2085378")</f>
        <v>https://www.catalog.slsa.sa.gov.au/xrecord=b2085378</v>
      </c>
      <c r="E542" t="s">
        <v>2123</v>
      </c>
      <c r="F542" t="s">
        <v>1926</v>
      </c>
      <c r="G542" t="s">
        <v>2032</v>
      </c>
      <c r="H542" t="s">
        <v>2124</v>
      </c>
      <c r="I542" t="s">
        <v>2125</v>
      </c>
      <c r="J542" t="s">
        <v>1757</v>
      </c>
      <c r="K542" s="2" t="str">
        <f>HYPERLINK("http://collections.slsa.sa.gov.au/godson/2/00500/PRG1258_2_451.htm")</f>
        <v>http://collections.slsa.sa.gov.au/godson/2/00500/PRG1258_2_451.htm</v>
      </c>
    </row>
    <row r="543" spans="1:11" x14ac:dyDescent="0.25">
      <c r="A543" t="s">
        <v>2126</v>
      </c>
      <c r="B543" s="1" t="str">
        <f>HYPERLINK("https://www.catalog.slsa.sa.gov.au/record=b2085399")</f>
        <v>https://www.catalog.slsa.sa.gov.au/record=b2085399</v>
      </c>
      <c r="C543" s="1" t="str">
        <f>HYPERLINK("https://www.catalog.slsa.sa.gov.au/xrecord=b2085399")</f>
        <v>https://www.catalog.slsa.sa.gov.au/xrecord=b2085399</v>
      </c>
      <c r="E543" t="s">
        <v>2127</v>
      </c>
      <c r="F543" t="s">
        <v>1926</v>
      </c>
      <c r="G543" t="s">
        <v>1760</v>
      </c>
      <c r="H543" t="s">
        <v>2128</v>
      </c>
      <c r="I543" t="s">
        <v>2129</v>
      </c>
      <c r="J543" t="s">
        <v>1757</v>
      </c>
      <c r="K543" s="2" t="str">
        <f>HYPERLINK("http://collections.slsa.sa.gov.au/godson/2/00500/PRG1258_2_481.htm")</f>
        <v>http://collections.slsa.sa.gov.au/godson/2/00500/PRG1258_2_481.htm</v>
      </c>
    </row>
    <row r="544" spans="1:11" x14ac:dyDescent="0.25">
      <c r="A544" t="s">
        <v>2130</v>
      </c>
      <c r="B544" s="1" t="str">
        <f>HYPERLINK("https://www.catalog.slsa.sa.gov.au/record=b2085409")</f>
        <v>https://www.catalog.slsa.sa.gov.au/record=b2085409</v>
      </c>
      <c r="C544" s="1" t="str">
        <f>HYPERLINK("https://www.catalog.slsa.sa.gov.au/xrecord=b2085409")</f>
        <v>https://www.catalog.slsa.sa.gov.au/xrecord=b2085409</v>
      </c>
      <c r="E544" t="s">
        <v>2131</v>
      </c>
      <c r="F544" t="s">
        <v>1926</v>
      </c>
      <c r="G544" t="s">
        <v>2132</v>
      </c>
      <c r="H544" t="s">
        <v>2133</v>
      </c>
      <c r="I544" t="s">
        <v>2134</v>
      </c>
      <c r="J544" t="s">
        <v>1757</v>
      </c>
      <c r="K544" s="2" t="str">
        <f>HYPERLINK("http://collections.slsa.sa.gov.au/godson/2/00750/PRG1258_2_502.htm")</f>
        <v>http://collections.slsa.sa.gov.au/godson/2/00750/PRG1258_2_502.htm</v>
      </c>
    </row>
    <row r="545" spans="1:11" x14ac:dyDescent="0.25">
      <c r="A545" t="s">
        <v>2135</v>
      </c>
      <c r="B545" s="1" t="str">
        <f>HYPERLINK("https://www.catalog.slsa.sa.gov.au/record=b2085427")</f>
        <v>https://www.catalog.slsa.sa.gov.au/record=b2085427</v>
      </c>
      <c r="C545" s="1" t="str">
        <f>HYPERLINK("https://www.catalog.slsa.sa.gov.au/xrecord=b2085427")</f>
        <v>https://www.catalog.slsa.sa.gov.au/xrecord=b2085427</v>
      </c>
      <c r="E545" t="s">
        <v>2136</v>
      </c>
      <c r="F545" t="s">
        <v>1926</v>
      </c>
      <c r="G545" t="s">
        <v>1760</v>
      </c>
      <c r="H545" t="s">
        <v>2137</v>
      </c>
      <c r="I545" t="s">
        <v>2138</v>
      </c>
      <c r="J545" t="s">
        <v>1757</v>
      </c>
      <c r="K545" s="2" t="str">
        <f>HYPERLINK("http://collections.slsa.sa.gov.au/godson/2/00750/PRG1258_2_545.htm")</f>
        <v>http://collections.slsa.sa.gov.au/godson/2/00750/PRG1258_2_545.htm</v>
      </c>
    </row>
    <row r="546" spans="1:11" x14ac:dyDescent="0.25">
      <c r="A546" t="s">
        <v>2139</v>
      </c>
      <c r="B546" s="1" t="str">
        <f>HYPERLINK("https://www.catalog.slsa.sa.gov.au/record=b2085429")</f>
        <v>https://www.catalog.slsa.sa.gov.au/record=b2085429</v>
      </c>
      <c r="C546" s="1" t="str">
        <f>HYPERLINK("https://www.catalog.slsa.sa.gov.au/xrecord=b2085429")</f>
        <v>https://www.catalog.slsa.sa.gov.au/xrecord=b2085429</v>
      </c>
      <c r="E546" t="s">
        <v>2140</v>
      </c>
      <c r="F546" t="s">
        <v>1926</v>
      </c>
      <c r="G546" t="s">
        <v>2141</v>
      </c>
      <c r="H546" t="s">
        <v>2142</v>
      </c>
      <c r="I546" t="s">
        <v>2143</v>
      </c>
      <c r="J546" t="s">
        <v>1757</v>
      </c>
      <c r="K546" s="2" t="str">
        <f>HYPERLINK("http://collections.slsa.sa.gov.au/godson/2/00750/PRG1258_2_554.htm")</f>
        <v>http://collections.slsa.sa.gov.au/godson/2/00750/PRG1258_2_554.htm</v>
      </c>
    </row>
    <row r="547" spans="1:11" x14ac:dyDescent="0.25">
      <c r="A547" t="s">
        <v>2144</v>
      </c>
      <c r="B547" s="1" t="str">
        <f>HYPERLINK("https://www.catalog.slsa.sa.gov.au/record=b2085430")</f>
        <v>https://www.catalog.slsa.sa.gov.au/record=b2085430</v>
      </c>
      <c r="C547" s="1" t="str">
        <f>HYPERLINK("https://www.catalog.slsa.sa.gov.au/xrecord=b2085430")</f>
        <v>https://www.catalog.slsa.sa.gov.au/xrecord=b2085430</v>
      </c>
      <c r="E547" t="s">
        <v>2145</v>
      </c>
      <c r="F547" t="s">
        <v>1926</v>
      </c>
      <c r="G547" t="s">
        <v>2032</v>
      </c>
      <c r="H547" t="s">
        <v>2146</v>
      </c>
      <c r="I547" t="s">
        <v>2138</v>
      </c>
      <c r="J547" t="s">
        <v>1757</v>
      </c>
      <c r="K547" s="2" t="str">
        <f>HYPERLINK("http://collections.slsa.sa.gov.au/godson/2/00750/PRG1258_2_557.htm")</f>
        <v>http://collections.slsa.sa.gov.au/godson/2/00750/PRG1258_2_557.htm</v>
      </c>
    </row>
    <row r="548" spans="1:11" x14ac:dyDescent="0.25">
      <c r="A548" t="s">
        <v>2147</v>
      </c>
      <c r="B548" s="1" t="str">
        <f>HYPERLINK("https://www.catalog.slsa.sa.gov.au/record=b2085431")</f>
        <v>https://www.catalog.slsa.sa.gov.au/record=b2085431</v>
      </c>
      <c r="C548" s="1" t="str">
        <f>HYPERLINK("https://www.catalog.slsa.sa.gov.au/xrecord=b2085431")</f>
        <v>https://www.catalog.slsa.sa.gov.au/xrecord=b2085431</v>
      </c>
      <c r="E548" t="s">
        <v>2148</v>
      </c>
      <c r="F548" t="s">
        <v>1926</v>
      </c>
      <c r="G548" t="s">
        <v>1760</v>
      </c>
      <c r="H548" t="s">
        <v>2149</v>
      </c>
      <c r="I548" t="s">
        <v>2150</v>
      </c>
      <c r="J548" t="s">
        <v>1757</v>
      </c>
      <c r="K548" s="2" t="str">
        <f>HYPERLINK("http://collections.slsa.sa.gov.au/godson/2/00750/PRG1258_2_558.htm")</f>
        <v>http://collections.slsa.sa.gov.au/godson/2/00750/PRG1258_2_558.htm</v>
      </c>
    </row>
    <row r="549" spans="1:11" x14ac:dyDescent="0.25">
      <c r="A549" t="s">
        <v>2151</v>
      </c>
      <c r="B549" s="1" t="str">
        <f>HYPERLINK("https://www.catalog.slsa.sa.gov.au/record=b2085432")</f>
        <v>https://www.catalog.slsa.sa.gov.au/record=b2085432</v>
      </c>
      <c r="C549" s="1" t="str">
        <f>HYPERLINK("https://www.catalog.slsa.sa.gov.au/xrecord=b2085432")</f>
        <v>https://www.catalog.slsa.sa.gov.au/xrecord=b2085432</v>
      </c>
      <c r="E549" t="s">
        <v>2152</v>
      </c>
      <c r="F549" t="s">
        <v>1926</v>
      </c>
      <c r="G549" t="s">
        <v>2053</v>
      </c>
      <c r="H549" t="s">
        <v>2153</v>
      </c>
      <c r="I549" t="s">
        <v>2154</v>
      </c>
      <c r="J549" t="s">
        <v>1757</v>
      </c>
      <c r="K549" s="2" t="str">
        <f>HYPERLINK("http://collections.slsa.sa.gov.au/godson/2/00750/PRG1258_2_562.htm")</f>
        <v>http://collections.slsa.sa.gov.au/godson/2/00750/PRG1258_2_562.htm</v>
      </c>
    </row>
    <row r="550" spans="1:11" x14ac:dyDescent="0.25">
      <c r="A550" t="s">
        <v>2155</v>
      </c>
      <c r="B550" s="1" t="str">
        <f>HYPERLINK("https://www.catalog.slsa.sa.gov.au/record=b2085433")</f>
        <v>https://www.catalog.slsa.sa.gov.au/record=b2085433</v>
      </c>
      <c r="C550" s="1" t="str">
        <f>HYPERLINK("https://www.catalog.slsa.sa.gov.au/xrecord=b2085433")</f>
        <v>https://www.catalog.slsa.sa.gov.au/xrecord=b2085433</v>
      </c>
      <c r="E550" t="s">
        <v>2156</v>
      </c>
      <c r="F550" t="s">
        <v>1926</v>
      </c>
      <c r="G550" t="s">
        <v>2032</v>
      </c>
      <c r="H550" t="s">
        <v>2157</v>
      </c>
      <c r="I550" t="s">
        <v>2158</v>
      </c>
      <c r="J550" t="s">
        <v>1757</v>
      </c>
      <c r="K550" s="2" t="str">
        <f>HYPERLINK("http://collections.slsa.sa.gov.au/godson/2/00750/PRG1258_2_564.htm")</f>
        <v>http://collections.slsa.sa.gov.au/godson/2/00750/PRG1258_2_564.htm</v>
      </c>
    </row>
    <row r="551" spans="1:11" x14ac:dyDescent="0.25">
      <c r="A551" t="s">
        <v>2159</v>
      </c>
      <c r="B551" s="1" t="str">
        <f>HYPERLINK("https://www.catalog.slsa.sa.gov.au/record=b2085434")</f>
        <v>https://www.catalog.slsa.sa.gov.au/record=b2085434</v>
      </c>
      <c r="C551" s="1" t="str">
        <f>HYPERLINK("https://www.catalog.slsa.sa.gov.au/xrecord=b2085434")</f>
        <v>https://www.catalog.slsa.sa.gov.au/xrecord=b2085434</v>
      </c>
      <c r="E551" t="s">
        <v>2160</v>
      </c>
      <c r="F551" t="s">
        <v>1926</v>
      </c>
      <c r="G551" t="s">
        <v>1760</v>
      </c>
      <c r="H551" t="s">
        <v>2161</v>
      </c>
      <c r="I551" t="s">
        <v>2162</v>
      </c>
      <c r="J551" t="s">
        <v>1757</v>
      </c>
      <c r="K551" s="2" t="str">
        <f>HYPERLINK("http://collections.slsa.sa.gov.au/godson/2/00750/PRG1258_2_566.htm")</f>
        <v>http://collections.slsa.sa.gov.au/godson/2/00750/PRG1258_2_566.htm</v>
      </c>
    </row>
    <row r="552" spans="1:11" x14ac:dyDescent="0.25">
      <c r="A552" t="s">
        <v>2163</v>
      </c>
      <c r="B552" s="1" t="str">
        <f>HYPERLINK("https://www.catalog.slsa.sa.gov.au/record=b2085439")</f>
        <v>https://www.catalog.slsa.sa.gov.au/record=b2085439</v>
      </c>
      <c r="C552" s="1" t="str">
        <f>HYPERLINK("https://www.catalog.slsa.sa.gov.au/xrecord=b2085439")</f>
        <v>https://www.catalog.slsa.sa.gov.au/xrecord=b2085439</v>
      </c>
      <c r="E552" t="s">
        <v>2164</v>
      </c>
      <c r="F552" t="s">
        <v>1926</v>
      </c>
      <c r="G552" t="s">
        <v>2062</v>
      </c>
      <c r="H552" t="s">
        <v>2165</v>
      </c>
      <c r="I552" t="s">
        <v>2166</v>
      </c>
      <c r="J552" t="s">
        <v>1757</v>
      </c>
      <c r="K552" s="2" t="str">
        <f>HYPERLINK("http://collections.slsa.sa.gov.au/godson/2/00750/PRG1258_2_575.htm")</f>
        <v>http://collections.slsa.sa.gov.au/godson/2/00750/PRG1258_2_575.htm</v>
      </c>
    </row>
    <row r="553" spans="1:11" x14ac:dyDescent="0.25">
      <c r="A553" t="s">
        <v>2167</v>
      </c>
      <c r="B553" s="1" t="str">
        <f>HYPERLINK("https://www.catalog.slsa.sa.gov.au/record=b2085440")</f>
        <v>https://www.catalog.slsa.sa.gov.au/record=b2085440</v>
      </c>
      <c r="C553" s="1" t="str">
        <f>HYPERLINK("https://www.catalog.slsa.sa.gov.au/xrecord=b2085440")</f>
        <v>https://www.catalog.slsa.sa.gov.au/xrecord=b2085440</v>
      </c>
      <c r="E553" t="s">
        <v>2168</v>
      </c>
      <c r="F553" t="s">
        <v>1926</v>
      </c>
      <c r="G553" t="s">
        <v>2062</v>
      </c>
      <c r="H553" t="s">
        <v>2169</v>
      </c>
      <c r="I553" t="s">
        <v>2166</v>
      </c>
      <c r="J553" t="s">
        <v>1757</v>
      </c>
      <c r="K553" s="2" t="str">
        <f>HYPERLINK("http://collections.slsa.sa.gov.au/godson/2/00750/PRG1258_2_577.htm")</f>
        <v>http://collections.slsa.sa.gov.au/godson/2/00750/PRG1258_2_577.htm</v>
      </c>
    </row>
    <row r="554" spans="1:11" x14ac:dyDescent="0.25">
      <c r="A554" t="s">
        <v>2170</v>
      </c>
      <c r="B554" s="1" t="str">
        <f>HYPERLINK("https://www.catalog.slsa.sa.gov.au/record=b2085441")</f>
        <v>https://www.catalog.slsa.sa.gov.au/record=b2085441</v>
      </c>
      <c r="C554" s="1" t="str">
        <f>HYPERLINK("https://www.catalog.slsa.sa.gov.au/xrecord=b2085441")</f>
        <v>https://www.catalog.slsa.sa.gov.au/xrecord=b2085441</v>
      </c>
      <c r="E554" t="s">
        <v>2168</v>
      </c>
      <c r="F554" t="s">
        <v>1926</v>
      </c>
      <c r="G554" t="s">
        <v>2062</v>
      </c>
      <c r="H554" t="s">
        <v>2171</v>
      </c>
      <c r="I554" t="s">
        <v>2166</v>
      </c>
      <c r="J554" t="s">
        <v>1757</v>
      </c>
      <c r="K554" s="2" t="str">
        <f>HYPERLINK("http://collections.slsa.sa.gov.au/godson/2/00750/PRG1258_2_578.htm")</f>
        <v>http://collections.slsa.sa.gov.au/godson/2/00750/PRG1258_2_578.htm</v>
      </c>
    </row>
    <row r="555" spans="1:11" x14ac:dyDescent="0.25">
      <c r="A555" t="s">
        <v>2172</v>
      </c>
      <c r="B555" s="1" t="str">
        <f>HYPERLINK("https://www.catalog.slsa.sa.gov.au/record=b2085459")</f>
        <v>https://www.catalog.slsa.sa.gov.au/record=b2085459</v>
      </c>
      <c r="C555" s="1" t="str">
        <f>HYPERLINK("https://www.catalog.slsa.sa.gov.au/xrecord=b2085459")</f>
        <v>https://www.catalog.slsa.sa.gov.au/xrecord=b2085459</v>
      </c>
      <c r="E555" t="s">
        <v>2173</v>
      </c>
      <c r="F555" t="s">
        <v>1926</v>
      </c>
      <c r="G555" t="s">
        <v>1760</v>
      </c>
      <c r="H555" t="s">
        <v>2174</v>
      </c>
      <c r="I555" t="s">
        <v>2175</v>
      </c>
      <c r="J555" t="s">
        <v>1757</v>
      </c>
      <c r="K555" s="2" t="str">
        <f>HYPERLINK("http://collections.slsa.sa.gov.au/godson/2/00750/PRG1258_2_655.htm")</f>
        <v>http://collections.slsa.sa.gov.au/godson/2/00750/PRG1258_2_655.htm</v>
      </c>
    </row>
    <row r="556" spans="1:11" x14ac:dyDescent="0.25">
      <c r="A556" t="s">
        <v>2176</v>
      </c>
      <c r="B556" s="1" t="str">
        <f>HYPERLINK("https://www.catalog.slsa.sa.gov.au/record=b2085535")</f>
        <v>https://www.catalog.slsa.sa.gov.au/record=b2085535</v>
      </c>
      <c r="C556" s="1" t="str">
        <f>HYPERLINK("https://www.catalog.slsa.sa.gov.au/xrecord=b2085535")</f>
        <v>https://www.catalog.slsa.sa.gov.au/xrecord=b2085535</v>
      </c>
      <c r="E556" t="s">
        <v>2177</v>
      </c>
      <c r="F556" t="s">
        <v>1926</v>
      </c>
      <c r="G556" t="s">
        <v>1760</v>
      </c>
      <c r="H556" t="s">
        <v>2178</v>
      </c>
      <c r="I556" t="s">
        <v>2179</v>
      </c>
      <c r="J556" t="s">
        <v>1757</v>
      </c>
      <c r="K556" s="2" t="str">
        <f>HYPERLINK("http://collections.slsa.sa.gov.au/godson/2/01000/PRG1258_2_846.htm")</f>
        <v>http://collections.slsa.sa.gov.au/godson/2/01000/PRG1258_2_846.htm</v>
      </c>
    </row>
    <row r="557" spans="1:11" x14ac:dyDescent="0.25">
      <c r="A557" t="s">
        <v>2180</v>
      </c>
      <c r="B557" s="1" t="str">
        <f>HYPERLINK("https://www.catalog.slsa.sa.gov.au/record=b2085546")</f>
        <v>https://www.catalog.slsa.sa.gov.au/record=b2085546</v>
      </c>
      <c r="C557" s="1" t="str">
        <f>HYPERLINK("https://www.catalog.slsa.sa.gov.au/xrecord=b2085546")</f>
        <v>https://www.catalog.slsa.sa.gov.au/xrecord=b2085546</v>
      </c>
      <c r="E557" t="s">
        <v>2181</v>
      </c>
      <c r="F557" t="s">
        <v>1926</v>
      </c>
      <c r="G557" t="s">
        <v>2182</v>
      </c>
      <c r="H557" t="s">
        <v>2183</v>
      </c>
      <c r="I557" t="s">
        <v>2184</v>
      </c>
      <c r="J557" t="s">
        <v>1757</v>
      </c>
      <c r="K557" s="2" t="str">
        <f>HYPERLINK("http://collections.slsa.sa.gov.au/godson/2/01000/PRG1258_2_864.htm")</f>
        <v>http://collections.slsa.sa.gov.au/godson/2/01000/PRG1258_2_864.htm</v>
      </c>
    </row>
    <row r="558" spans="1:11" x14ac:dyDescent="0.25">
      <c r="A558" t="s">
        <v>2185</v>
      </c>
      <c r="B558" s="1" t="str">
        <f>HYPERLINK("https://www.catalog.slsa.sa.gov.au/record=b2085547")</f>
        <v>https://www.catalog.slsa.sa.gov.au/record=b2085547</v>
      </c>
      <c r="C558" s="1" t="str">
        <f>HYPERLINK("https://www.catalog.slsa.sa.gov.au/xrecord=b2085547")</f>
        <v>https://www.catalog.slsa.sa.gov.au/xrecord=b2085547</v>
      </c>
      <c r="E558" t="s">
        <v>2186</v>
      </c>
      <c r="F558" t="s">
        <v>1926</v>
      </c>
      <c r="G558" t="s">
        <v>1760</v>
      </c>
      <c r="H558" t="s">
        <v>2187</v>
      </c>
      <c r="I558" t="s">
        <v>2188</v>
      </c>
      <c r="J558" t="s">
        <v>1757</v>
      </c>
      <c r="K558" s="2" t="str">
        <f>HYPERLINK("http://collections.slsa.sa.gov.au/godson/2/01000/PRG1258_2_868.htm")</f>
        <v>http://collections.slsa.sa.gov.au/godson/2/01000/PRG1258_2_868.htm</v>
      </c>
    </row>
    <row r="559" spans="1:11" x14ac:dyDescent="0.25">
      <c r="A559" t="s">
        <v>2189</v>
      </c>
      <c r="B559" s="1" t="str">
        <f>HYPERLINK("https://www.catalog.slsa.sa.gov.au/record=b2085578")</f>
        <v>https://www.catalog.slsa.sa.gov.au/record=b2085578</v>
      </c>
      <c r="C559" s="1" t="str">
        <f>HYPERLINK("https://www.catalog.slsa.sa.gov.au/xrecord=b2085578")</f>
        <v>https://www.catalog.slsa.sa.gov.au/xrecord=b2085578</v>
      </c>
      <c r="E559" t="s">
        <v>2190</v>
      </c>
      <c r="F559" t="s">
        <v>1926</v>
      </c>
      <c r="G559" t="s">
        <v>2191</v>
      </c>
      <c r="H559" t="s">
        <v>2192</v>
      </c>
      <c r="I559" t="s">
        <v>2193</v>
      </c>
      <c r="J559" t="s">
        <v>1757</v>
      </c>
      <c r="K559" s="2" t="str">
        <f>HYPERLINK("http://collections.slsa.sa.gov.au/godson/2/01000/PRG1258_2_918.htm")</f>
        <v>http://collections.slsa.sa.gov.au/godson/2/01000/PRG1258_2_918.htm</v>
      </c>
    </row>
    <row r="560" spans="1:11" x14ac:dyDescent="0.25">
      <c r="A560" t="s">
        <v>2194</v>
      </c>
      <c r="B560" s="1" t="str">
        <f>HYPERLINK("https://www.catalog.slsa.sa.gov.au/record=b2085579")</f>
        <v>https://www.catalog.slsa.sa.gov.au/record=b2085579</v>
      </c>
      <c r="C560" s="1" t="str">
        <f>HYPERLINK("https://www.catalog.slsa.sa.gov.au/xrecord=b2085579")</f>
        <v>https://www.catalog.slsa.sa.gov.au/xrecord=b2085579</v>
      </c>
      <c r="E560" t="s">
        <v>2195</v>
      </c>
      <c r="F560" t="s">
        <v>1926</v>
      </c>
      <c r="G560" t="s">
        <v>1770</v>
      </c>
      <c r="H560" t="s">
        <v>2196</v>
      </c>
      <c r="I560" t="s">
        <v>2197</v>
      </c>
      <c r="J560" t="s">
        <v>1757</v>
      </c>
      <c r="K560" s="2" t="str">
        <f>HYPERLINK("http://collections.slsa.sa.gov.au/godson/2/01000/PRG1258_2_920.htm")</f>
        <v>http://collections.slsa.sa.gov.au/godson/2/01000/PRG1258_2_920.htm</v>
      </c>
    </row>
    <row r="561" spans="1:11" x14ac:dyDescent="0.25">
      <c r="A561" t="s">
        <v>2198</v>
      </c>
      <c r="B561" s="1" t="str">
        <f>HYPERLINK("https://www.catalog.slsa.sa.gov.au/record=b2085580")</f>
        <v>https://www.catalog.slsa.sa.gov.au/record=b2085580</v>
      </c>
      <c r="C561" s="1" t="str">
        <f>HYPERLINK("https://www.catalog.slsa.sa.gov.au/xrecord=b2085580")</f>
        <v>https://www.catalog.slsa.sa.gov.au/xrecord=b2085580</v>
      </c>
      <c r="E561" t="s">
        <v>1764</v>
      </c>
      <c r="F561" t="s">
        <v>1926</v>
      </c>
      <c r="G561" t="s">
        <v>2199</v>
      </c>
      <c r="H561" t="s">
        <v>2200</v>
      </c>
      <c r="I561" t="s">
        <v>1767</v>
      </c>
      <c r="J561" t="s">
        <v>1757</v>
      </c>
      <c r="K561" s="2" t="str">
        <f>HYPERLINK("http://collections.slsa.sa.gov.au/godson/2/01000/PRG1258_2_921.htm")</f>
        <v>http://collections.slsa.sa.gov.au/godson/2/01000/PRG1258_2_921.htm</v>
      </c>
    </row>
    <row r="562" spans="1:11" x14ac:dyDescent="0.25">
      <c r="A562" t="s">
        <v>2201</v>
      </c>
      <c r="B562" s="1" t="str">
        <f>HYPERLINK("https://www.catalog.slsa.sa.gov.au/record=b2085582")</f>
        <v>https://www.catalog.slsa.sa.gov.au/record=b2085582</v>
      </c>
      <c r="C562" s="1" t="str">
        <f>HYPERLINK("https://www.catalog.slsa.sa.gov.au/xrecord=b2085582")</f>
        <v>https://www.catalog.slsa.sa.gov.au/xrecord=b2085582</v>
      </c>
      <c r="E562" t="s">
        <v>2202</v>
      </c>
      <c r="F562" t="s">
        <v>1926</v>
      </c>
      <c r="G562" t="s">
        <v>1770</v>
      </c>
      <c r="H562" t="s">
        <v>2203</v>
      </c>
      <c r="I562" t="s">
        <v>2197</v>
      </c>
      <c r="J562" t="s">
        <v>1757</v>
      </c>
      <c r="K562" s="2" t="str">
        <f>HYPERLINK("http://collections.slsa.sa.gov.au/godson/2/01000/PRG1258_2_923.htm")</f>
        <v>http://collections.slsa.sa.gov.au/godson/2/01000/PRG1258_2_923.htm</v>
      </c>
    </row>
    <row r="563" spans="1:11" x14ac:dyDescent="0.25">
      <c r="A563" t="s">
        <v>2204</v>
      </c>
      <c r="B563" s="1" t="str">
        <f>HYPERLINK("https://www.catalog.slsa.sa.gov.au/record=b2085583")</f>
        <v>https://www.catalog.slsa.sa.gov.au/record=b2085583</v>
      </c>
      <c r="C563" s="1" t="str">
        <f>HYPERLINK("https://www.catalog.slsa.sa.gov.au/xrecord=b2085583")</f>
        <v>https://www.catalog.slsa.sa.gov.au/xrecord=b2085583</v>
      </c>
      <c r="E563" t="s">
        <v>2205</v>
      </c>
      <c r="F563" t="s">
        <v>1926</v>
      </c>
      <c r="G563" t="s">
        <v>1770</v>
      </c>
      <c r="H563" t="s">
        <v>2206</v>
      </c>
      <c r="I563" t="s">
        <v>2207</v>
      </c>
      <c r="J563" t="s">
        <v>1757</v>
      </c>
      <c r="K563" s="2" t="str">
        <f>HYPERLINK("http://collections.slsa.sa.gov.au/godson/2/01000/PRG1258_2_928.htm")</f>
        <v>http://collections.slsa.sa.gov.au/godson/2/01000/PRG1258_2_928.htm</v>
      </c>
    </row>
    <row r="564" spans="1:11" x14ac:dyDescent="0.25">
      <c r="A564" t="s">
        <v>2208</v>
      </c>
      <c r="B564" s="1" t="str">
        <f>HYPERLINK("https://www.catalog.slsa.sa.gov.au/record=b2085596")</f>
        <v>https://www.catalog.slsa.sa.gov.au/record=b2085596</v>
      </c>
      <c r="C564" s="1" t="str">
        <f>HYPERLINK("https://www.catalog.slsa.sa.gov.au/xrecord=b2085596")</f>
        <v>https://www.catalog.slsa.sa.gov.au/xrecord=b2085596</v>
      </c>
      <c r="E564" t="s">
        <v>2209</v>
      </c>
      <c r="F564" t="s">
        <v>1926</v>
      </c>
      <c r="G564" t="s">
        <v>1760</v>
      </c>
      <c r="H564" t="s">
        <v>2210</v>
      </c>
      <c r="I564" t="s">
        <v>2211</v>
      </c>
      <c r="J564" t="s">
        <v>1757</v>
      </c>
      <c r="K564" s="2" t="str">
        <f>HYPERLINK("http://collections.slsa.sa.gov.au/godson/2/01000/PRG1258_2_952.htm")</f>
        <v>http://collections.slsa.sa.gov.au/godson/2/01000/PRG1258_2_952.htm</v>
      </c>
    </row>
    <row r="565" spans="1:11" x14ac:dyDescent="0.25">
      <c r="A565" t="s">
        <v>2212</v>
      </c>
      <c r="B565" s="1" t="str">
        <f>HYPERLINK("https://www.catalog.slsa.sa.gov.au/record=b2085719")</f>
        <v>https://www.catalog.slsa.sa.gov.au/record=b2085719</v>
      </c>
      <c r="C565" s="1" t="str">
        <f>HYPERLINK("https://www.catalog.slsa.sa.gov.au/xrecord=b2085719")</f>
        <v>https://www.catalog.slsa.sa.gov.au/xrecord=b2085719</v>
      </c>
      <c r="E565" t="s">
        <v>2213</v>
      </c>
      <c r="F565" t="s">
        <v>1926</v>
      </c>
      <c r="G565" t="s">
        <v>1760</v>
      </c>
      <c r="H565" t="s">
        <v>2214</v>
      </c>
      <c r="I565" t="s">
        <v>2215</v>
      </c>
      <c r="J565" t="s">
        <v>1757</v>
      </c>
      <c r="K565" s="2" t="str">
        <f>HYPERLINK("http://collections.slsa.sa.gov.au/godson/2/01750/PRG1258_2_1524.htm")</f>
        <v>http://collections.slsa.sa.gov.au/godson/2/01750/PRG1258_2_1524.htm</v>
      </c>
    </row>
    <row r="566" spans="1:11" x14ac:dyDescent="0.25">
      <c r="A566" t="s">
        <v>2216</v>
      </c>
      <c r="B566" s="1" t="str">
        <f>HYPERLINK("https://www.catalog.slsa.sa.gov.au/record=b2085743")</f>
        <v>https://www.catalog.slsa.sa.gov.au/record=b2085743</v>
      </c>
      <c r="C566" s="1" t="str">
        <f>HYPERLINK("https://www.catalog.slsa.sa.gov.au/xrecord=b2085743")</f>
        <v>https://www.catalog.slsa.sa.gov.au/xrecord=b2085743</v>
      </c>
      <c r="E566" t="s">
        <v>2217</v>
      </c>
      <c r="F566" t="s">
        <v>1926</v>
      </c>
      <c r="G566" t="s">
        <v>2085</v>
      </c>
      <c r="H566" t="s">
        <v>2218</v>
      </c>
      <c r="I566" t="s">
        <v>2219</v>
      </c>
      <c r="J566" t="s">
        <v>1757</v>
      </c>
      <c r="K566" s="2" t="str">
        <f>HYPERLINK("http://collections.slsa.sa.gov.au/godson/2/01750/PRG1258_2_1614.htm")</f>
        <v>http://collections.slsa.sa.gov.au/godson/2/01750/PRG1258_2_1614.htm</v>
      </c>
    </row>
    <row r="567" spans="1:11" x14ac:dyDescent="0.25">
      <c r="A567" t="s">
        <v>2220</v>
      </c>
      <c r="B567" s="1" t="str">
        <f>HYPERLINK("https://www.catalog.slsa.sa.gov.au/record=b2085748")</f>
        <v>https://www.catalog.slsa.sa.gov.au/record=b2085748</v>
      </c>
      <c r="C567" s="1" t="str">
        <f>HYPERLINK("https://www.catalog.slsa.sa.gov.au/xrecord=b2085748")</f>
        <v>https://www.catalog.slsa.sa.gov.au/xrecord=b2085748</v>
      </c>
      <c r="E567" t="s">
        <v>2221</v>
      </c>
      <c r="F567" t="s">
        <v>1926</v>
      </c>
      <c r="G567" t="s">
        <v>2032</v>
      </c>
      <c r="H567" t="s">
        <v>2222</v>
      </c>
      <c r="I567" t="s">
        <v>2223</v>
      </c>
      <c r="J567" t="s">
        <v>1757</v>
      </c>
      <c r="K567" s="2" t="str">
        <f>HYPERLINK("http://collections.slsa.sa.gov.au/godson/2/01750/PRG1258_2_1620.htm")</f>
        <v>http://collections.slsa.sa.gov.au/godson/2/01750/PRG1258_2_1620.htm</v>
      </c>
    </row>
    <row r="568" spans="1:11" x14ac:dyDescent="0.25">
      <c r="A568" t="s">
        <v>2224</v>
      </c>
      <c r="B568" s="1" t="str">
        <f>HYPERLINK("https://www.catalog.slsa.sa.gov.au/record=b2085899")</f>
        <v>https://www.catalog.slsa.sa.gov.au/record=b2085899</v>
      </c>
      <c r="C568" s="1" t="str">
        <f>HYPERLINK("https://www.catalog.slsa.sa.gov.au/xrecord=b2085899")</f>
        <v>https://www.catalog.slsa.sa.gov.au/xrecord=b2085899</v>
      </c>
      <c r="E568" t="s">
        <v>2225</v>
      </c>
      <c r="F568" t="s">
        <v>1926</v>
      </c>
      <c r="G568" t="s">
        <v>1760</v>
      </c>
      <c r="H568" t="s">
        <v>2226</v>
      </c>
      <c r="I568" t="s">
        <v>2227</v>
      </c>
      <c r="J568" t="s">
        <v>1757</v>
      </c>
      <c r="K568" s="2" t="str">
        <f>HYPERLINK("http://collections.slsa.sa.gov.au/godson/2/02250/PRG1258_2_2028.htm")</f>
        <v>http://collections.slsa.sa.gov.au/godson/2/02250/PRG1258_2_2028.htm</v>
      </c>
    </row>
    <row r="569" spans="1:11" x14ac:dyDescent="0.25">
      <c r="A569" t="s">
        <v>2228</v>
      </c>
      <c r="B569" s="1" t="str">
        <f>HYPERLINK("https://www.catalog.slsa.sa.gov.au/record=b2086135")</f>
        <v>https://www.catalog.slsa.sa.gov.au/record=b2086135</v>
      </c>
      <c r="C569" s="1" t="str">
        <f>HYPERLINK("https://www.catalog.slsa.sa.gov.au/xrecord=b2086135")</f>
        <v>https://www.catalog.slsa.sa.gov.au/xrecord=b2086135</v>
      </c>
      <c r="E569" t="s">
        <v>2229</v>
      </c>
      <c r="F569" t="s">
        <v>1926</v>
      </c>
      <c r="G569" t="s">
        <v>2230</v>
      </c>
      <c r="H569" t="s">
        <v>2231</v>
      </c>
      <c r="I569" t="s">
        <v>2232</v>
      </c>
      <c r="J569" t="s">
        <v>1757</v>
      </c>
      <c r="K569" s="2" t="str">
        <f>HYPERLINK("http://collections.slsa.sa.gov.au/godson/2/02500/PRG1258_2_2255.htm")</f>
        <v>http://collections.slsa.sa.gov.au/godson/2/02500/PRG1258_2_2255.htm</v>
      </c>
    </row>
    <row r="570" spans="1:11" x14ac:dyDescent="0.25">
      <c r="A570" t="s">
        <v>2233</v>
      </c>
      <c r="B570" s="1" t="str">
        <f>HYPERLINK("https://www.catalog.slsa.sa.gov.au/record=b2086147")</f>
        <v>https://www.catalog.slsa.sa.gov.au/record=b2086147</v>
      </c>
      <c r="C570" s="1" t="str">
        <f>HYPERLINK("https://www.catalog.slsa.sa.gov.au/xrecord=b2086147")</f>
        <v>https://www.catalog.slsa.sa.gov.au/xrecord=b2086147</v>
      </c>
      <c r="E570" t="s">
        <v>2234</v>
      </c>
      <c r="F570" t="s">
        <v>1926</v>
      </c>
      <c r="G570" t="s">
        <v>1760</v>
      </c>
      <c r="H570" t="s">
        <v>2235</v>
      </c>
      <c r="I570" t="s">
        <v>2236</v>
      </c>
      <c r="J570" t="s">
        <v>1757</v>
      </c>
      <c r="K570" s="2" t="str">
        <f>HYPERLINK("http://collections.slsa.sa.gov.au/godson/2/02500/PRG1258_2_2337.htm")</f>
        <v>http://collections.slsa.sa.gov.au/godson/2/02500/PRG1258_2_2337.htm</v>
      </c>
    </row>
    <row r="571" spans="1:11" x14ac:dyDescent="0.25">
      <c r="A571" t="s">
        <v>2237</v>
      </c>
      <c r="B571" s="1" t="str">
        <f>HYPERLINK("https://www.catalog.slsa.sa.gov.au/record=b2086148")</f>
        <v>https://www.catalog.slsa.sa.gov.au/record=b2086148</v>
      </c>
      <c r="C571" s="1" t="str">
        <f>HYPERLINK("https://www.catalog.slsa.sa.gov.au/xrecord=b2086148")</f>
        <v>https://www.catalog.slsa.sa.gov.au/xrecord=b2086148</v>
      </c>
      <c r="E571" t="s">
        <v>2238</v>
      </c>
      <c r="F571" t="s">
        <v>1926</v>
      </c>
      <c r="G571" t="s">
        <v>1760</v>
      </c>
      <c r="H571" t="s">
        <v>2239</v>
      </c>
      <c r="I571" t="s">
        <v>2236</v>
      </c>
      <c r="J571" t="s">
        <v>1757</v>
      </c>
      <c r="K571" s="2" t="str">
        <f>HYPERLINK("http://collections.slsa.sa.gov.au/godson/2/02500/PRG1258_2_2340.htm")</f>
        <v>http://collections.slsa.sa.gov.au/godson/2/02500/PRG1258_2_2340.htm</v>
      </c>
    </row>
    <row r="572" spans="1:11" x14ac:dyDescent="0.25">
      <c r="A572" t="s">
        <v>2240</v>
      </c>
      <c r="B572" s="1" t="str">
        <f>HYPERLINK("https://www.catalog.slsa.sa.gov.au/record=b2086173")</f>
        <v>https://www.catalog.slsa.sa.gov.au/record=b2086173</v>
      </c>
      <c r="C572" s="1" t="str">
        <f>HYPERLINK("https://www.catalog.slsa.sa.gov.au/xrecord=b2086173")</f>
        <v>https://www.catalog.slsa.sa.gov.au/xrecord=b2086173</v>
      </c>
      <c r="E572" t="s">
        <v>2241</v>
      </c>
      <c r="F572" t="s">
        <v>1926</v>
      </c>
      <c r="G572" t="s">
        <v>1760</v>
      </c>
      <c r="H572" t="s">
        <v>2242</v>
      </c>
      <c r="I572" t="s">
        <v>2243</v>
      </c>
      <c r="J572" t="s">
        <v>1757</v>
      </c>
      <c r="K572" s="2" t="str">
        <f>HYPERLINK("http://collections.slsa.sa.gov.au/godson/2/02500/PRG1258_2_2386.htm")</f>
        <v>http://collections.slsa.sa.gov.au/godson/2/02500/PRG1258_2_2386.htm</v>
      </c>
    </row>
    <row r="573" spans="1:11" x14ac:dyDescent="0.25">
      <c r="A573" t="s">
        <v>2244</v>
      </c>
      <c r="B573" s="1" t="str">
        <f>HYPERLINK("https://www.catalog.slsa.sa.gov.au/record=b2086177")</f>
        <v>https://www.catalog.slsa.sa.gov.au/record=b2086177</v>
      </c>
      <c r="C573" s="1" t="str">
        <f>HYPERLINK("https://www.catalog.slsa.sa.gov.au/xrecord=b2086177")</f>
        <v>https://www.catalog.slsa.sa.gov.au/xrecord=b2086177</v>
      </c>
      <c r="E573" t="s">
        <v>2245</v>
      </c>
      <c r="F573" t="s">
        <v>1926</v>
      </c>
      <c r="G573" t="s">
        <v>2094</v>
      </c>
      <c r="H573" t="s">
        <v>2246</v>
      </c>
      <c r="I573" t="s">
        <v>2247</v>
      </c>
      <c r="J573" t="s">
        <v>1757</v>
      </c>
      <c r="K573" s="2" t="str">
        <f>HYPERLINK("http://collections.slsa.sa.gov.au/godson/2/02500/PRG1258_2_2393.htm")</f>
        <v>http://collections.slsa.sa.gov.au/godson/2/02500/PRG1258_2_2393.htm</v>
      </c>
    </row>
    <row r="574" spans="1:11" x14ac:dyDescent="0.25">
      <c r="A574" t="s">
        <v>2248</v>
      </c>
      <c r="B574" s="1" t="str">
        <f>HYPERLINK("https://www.catalog.slsa.sa.gov.au/record=b2086181")</f>
        <v>https://www.catalog.slsa.sa.gov.au/record=b2086181</v>
      </c>
      <c r="C574" s="1" t="str">
        <f>HYPERLINK("https://www.catalog.slsa.sa.gov.au/xrecord=b2086181")</f>
        <v>https://www.catalog.slsa.sa.gov.au/xrecord=b2086181</v>
      </c>
      <c r="E574" t="s">
        <v>2249</v>
      </c>
      <c r="F574" t="s">
        <v>1926</v>
      </c>
      <c r="G574" t="s">
        <v>1760</v>
      </c>
      <c r="H574" t="s">
        <v>2250</v>
      </c>
      <c r="I574" t="s">
        <v>2251</v>
      </c>
      <c r="J574" t="s">
        <v>1757</v>
      </c>
      <c r="K574" s="2" t="str">
        <f>HYPERLINK("http://collections.slsa.sa.gov.au/godson/2/02500/PRG1258_2_2416.htm")</f>
        <v>http://collections.slsa.sa.gov.au/godson/2/02500/PRG1258_2_2416.htm</v>
      </c>
    </row>
    <row r="575" spans="1:11" x14ac:dyDescent="0.25">
      <c r="A575" t="s">
        <v>2252</v>
      </c>
      <c r="B575" s="1" t="str">
        <f>HYPERLINK("https://www.catalog.slsa.sa.gov.au/record=b2086197")</f>
        <v>https://www.catalog.slsa.sa.gov.au/record=b2086197</v>
      </c>
      <c r="C575" s="1" t="str">
        <f>HYPERLINK("https://www.catalog.slsa.sa.gov.au/xrecord=b2086197")</f>
        <v>https://www.catalog.slsa.sa.gov.au/xrecord=b2086197</v>
      </c>
      <c r="E575" t="s">
        <v>2253</v>
      </c>
      <c r="F575" t="s">
        <v>1926</v>
      </c>
      <c r="G575" t="s">
        <v>1760</v>
      </c>
      <c r="H575" t="s">
        <v>2254</v>
      </c>
      <c r="I575" t="s">
        <v>2255</v>
      </c>
      <c r="J575" t="s">
        <v>1757</v>
      </c>
      <c r="K575" s="2" t="str">
        <f>HYPERLINK("http://collections.slsa.sa.gov.au/godson/2/02500/PRG1258_2_2470.htm")</f>
        <v>http://collections.slsa.sa.gov.au/godson/2/02500/PRG1258_2_2470.htm</v>
      </c>
    </row>
    <row r="576" spans="1:11" x14ac:dyDescent="0.25">
      <c r="A576" t="s">
        <v>2256</v>
      </c>
      <c r="B576" s="1" t="str">
        <f>HYPERLINK("https://www.catalog.slsa.sa.gov.au/record=b2086200")</f>
        <v>https://www.catalog.slsa.sa.gov.au/record=b2086200</v>
      </c>
      <c r="C576" s="1" t="str">
        <f>HYPERLINK("https://www.catalog.slsa.sa.gov.au/xrecord=b2086200")</f>
        <v>https://www.catalog.slsa.sa.gov.au/xrecord=b2086200</v>
      </c>
      <c r="E576" t="s">
        <v>2257</v>
      </c>
      <c r="F576" t="s">
        <v>1926</v>
      </c>
      <c r="G576" t="s">
        <v>1760</v>
      </c>
      <c r="H576" t="s">
        <v>2258</v>
      </c>
      <c r="I576" t="s">
        <v>2259</v>
      </c>
      <c r="J576" t="s">
        <v>1757</v>
      </c>
      <c r="K576" s="2" t="str">
        <f>HYPERLINK("http://collections.slsa.sa.gov.au/godson/2/02500/PRG1258_2_2477.htm")</f>
        <v>http://collections.slsa.sa.gov.au/godson/2/02500/PRG1258_2_2477.htm</v>
      </c>
    </row>
    <row r="577" spans="1:11" x14ac:dyDescent="0.25">
      <c r="A577" t="s">
        <v>2260</v>
      </c>
      <c r="B577" s="1" t="str">
        <f>HYPERLINK("https://www.catalog.slsa.sa.gov.au/record=b2086202")</f>
        <v>https://www.catalog.slsa.sa.gov.au/record=b2086202</v>
      </c>
      <c r="C577" s="1" t="str">
        <f>HYPERLINK("https://www.catalog.slsa.sa.gov.au/xrecord=b2086202")</f>
        <v>https://www.catalog.slsa.sa.gov.au/xrecord=b2086202</v>
      </c>
      <c r="E577" t="s">
        <v>2261</v>
      </c>
      <c r="F577" t="s">
        <v>1926</v>
      </c>
      <c r="G577" t="s">
        <v>1760</v>
      </c>
      <c r="H577" t="s">
        <v>2262</v>
      </c>
      <c r="I577" t="s">
        <v>2263</v>
      </c>
      <c r="J577" t="s">
        <v>1757</v>
      </c>
      <c r="K577" s="2" t="str">
        <f>HYPERLINK("http://collections.slsa.sa.gov.au/godson/2/02500/PRG1258_2_2481.htm")</f>
        <v>http://collections.slsa.sa.gov.au/godson/2/02500/PRG1258_2_2481.htm</v>
      </c>
    </row>
    <row r="578" spans="1:11" x14ac:dyDescent="0.25">
      <c r="A578" t="s">
        <v>2264</v>
      </c>
      <c r="B578" s="1" t="str">
        <f>HYPERLINK("https://www.catalog.slsa.sa.gov.au/record=b2086203")</f>
        <v>https://www.catalog.slsa.sa.gov.au/record=b2086203</v>
      </c>
      <c r="C578" s="1" t="str">
        <f>HYPERLINK("https://www.catalog.slsa.sa.gov.au/xrecord=b2086203")</f>
        <v>https://www.catalog.slsa.sa.gov.au/xrecord=b2086203</v>
      </c>
      <c r="E578" t="s">
        <v>2265</v>
      </c>
      <c r="F578" t="s">
        <v>1926</v>
      </c>
      <c r="G578" t="s">
        <v>1760</v>
      </c>
      <c r="H578" t="s">
        <v>2266</v>
      </c>
      <c r="I578" t="s">
        <v>2263</v>
      </c>
      <c r="J578" t="s">
        <v>1757</v>
      </c>
      <c r="K578" s="2" t="str">
        <f>HYPERLINK("http://collections.slsa.sa.gov.au/godson/2/02500/PRG1258_2_2483.htm")</f>
        <v>http://collections.slsa.sa.gov.au/godson/2/02500/PRG1258_2_2483.htm</v>
      </c>
    </row>
    <row r="579" spans="1:11" x14ac:dyDescent="0.25">
      <c r="A579" t="s">
        <v>2267</v>
      </c>
      <c r="B579" s="1" t="str">
        <f>HYPERLINK("https://www.catalog.slsa.sa.gov.au/record=b2086204")</f>
        <v>https://www.catalog.slsa.sa.gov.au/record=b2086204</v>
      </c>
      <c r="C579" s="1" t="str">
        <f>HYPERLINK("https://www.catalog.slsa.sa.gov.au/xrecord=b2086204")</f>
        <v>https://www.catalog.slsa.sa.gov.au/xrecord=b2086204</v>
      </c>
      <c r="E579" t="s">
        <v>2268</v>
      </c>
      <c r="F579" t="s">
        <v>1926</v>
      </c>
      <c r="G579" t="s">
        <v>2032</v>
      </c>
      <c r="H579" t="s">
        <v>2269</v>
      </c>
      <c r="I579" t="s">
        <v>2270</v>
      </c>
      <c r="J579" t="s">
        <v>1757</v>
      </c>
      <c r="K579" s="2" t="str">
        <f>HYPERLINK("http://collections.slsa.sa.gov.au/godson/2/02500/PRG1258_2_2484.htm")</f>
        <v>http://collections.slsa.sa.gov.au/godson/2/02500/PRG1258_2_2484.htm</v>
      </c>
    </row>
    <row r="580" spans="1:11" x14ac:dyDescent="0.25">
      <c r="A580" t="s">
        <v>2271</v>
      </c>
      <c r="B580" s="1" t="str">
        <f>HYPERLINK("https://www.catalog.slsa.sa.gov.au/record=b2086205")</f>
        <v>https://www.catalog.slsa.sa.gov.au/record=b2086205</v>
      </c>
      <c r="C580" s="1" t="str">
        <f>HYPERLINK("https://www.catalog.slsa.sa.gov.au/xrecord=b2086205")</f>
        <v>https://www.catalog.slsa.sa.gov.au/xrecord=b2086205</v>
      </c>
      <c r="E580" t="s">
        <v>2272</v>
      </c>
      <c r="F580" t="s">
        <v>1926</v>
      </c>
      <c r="G580" t="s">
        <v>1760</v>
      </c>
      <c r="H580" t="s">
        <v>2273</v>
      </c>
      <c r="I580" t="s">
        <v>2243</v>
      </c>
      <c r="J580" t="s">
        <v>1757</v>
      </c>
      <c r="K580" s="2" t="str">
        <f>HYPERLINK("http://collections.slsa.sa.gov.au/godson/2/02500/PRG1258_2_2485.htm")</f>
        <v>http://collections.slsa.sa.gov.au/godson/2/02500/PRG1258_2_2485.htm</v>
      </c>
    </row>
    <row r="581" spans="1:11" x14ac:dyDescent="0.25">
      <c r="A581" t="s">
        <v>2274</v>
      </c>
      <c r="B581" s="1" t="str">
        <f>HYPERLINK("https://www.catalog.slsa.sa.gov.au/record=b2086206")</f>
        <v>https://www.catalog.slsa.sa.gov.au/record=b2086206</v>
      </c>
      <c r="C581" s="1" t="str">
        <f>HYPERLINK("https://www.catalog.slsa.sa.gov.au/xrecord=b2086206")</f>
        <v>https://www.catalog.slsa.sa.gov.au/xrecord=b2086206</v>
      </c>
      <c r="E581" t="s">
        <v>2275</v>
      </c>
      <c r="F581" t="s">
        <v>1926</v>
      </c>
      <c r="G581" t="s">
        <v>2276</v>
      </c>
      <c r="H581" t="s">
        <v>2277</v>
      </c>
      <c r="I581" t="s">
        <v>2278</v>
      </c>
      <c r="J581" t="s">
        <v>1757</v>
      </c>
      <c r="K581" s="2" t="str">
        <f>HYPERLINK("http://collections.slsa.sa.gov.au/godson/2/02500/PRG1258_2_2486.htm")</f>
        <v>http://collections.slsa.sa.gov.au/godson/2/02500/PRG1258_2_2486.htm</v>
      </c>
    </row>
    <row r="582" spans="1:11" x14ac:dyDescent="0.25">
      <c r="A582" t="s">
        <v>2279</v>
      </c>
      <c r="B582" s="1" t="str">
        <f>HYPERLINK("https://www.catalog.slsa.sa.gov.au/record=b2086207")</f>
        <v>https://www.catalog.slsa.sa.gov.au/record=b2086207</v>
      </c>
      <c r="C582" s="1" t="str">
        <f>HYPERLINK("https://www.catalog.slsa.sa.gov.au/xrecord=b2086207")</f>
        <v>https://www.catalog.slsa.sa.gov.au/xrecord=b2086207</v>
      </c>
      <c r="E582" t="s">
        <v>2280</v>
      </c>
      <c r="F582" t="s">
        <v>1926</v>
      </c>
      <c r="G582" t="s">
        <v>1788</v>
      </c>
      <c r="H582" t="s">
        <v>2281</v>
      </c>
      <c r="I582" t="s">
        <v>2282</v>
      </c>
      <c r="J582" t="s">
        <v>1757</v>
      </c>
      <c r="K582" s="2" t="str">
        <f>HYPERLINK("http://collections.slsa.sa.gov.au/godson/2/02500/PRG1258_2_2491.htm")</f>
        <v>http://collections.slsa.sa.gov.au/godson/2/02500/PRG1258_2_2491.htm</v>
      </c>
    </row>
    <row r="583" spans="1:11" x14ac:dyDescent="0.25">
      <c r="A583" t="s">
        <v>2283</v>
      </c>
      <c r="B583" s="1" t="str">
        <f>HYPERLINK("https://www.catalog.slsa.sa.gov.au/record=b2086209")</f>
        <v>https://www.catalog.slsa.sa.gov.au/record=b2086209</v>
      </c>
      <c r="C583" s="1" t="str">
        <f>HYPERLINK("https://www.catalog.slsa.sa.gov.au/xrecord=b2086209")</f>
        <v>https://www.catalog.slsa.sa.gov.au/xrecord=b2086209</v>
      </c>
      <c r="E583" t="s">
        <v>2284</v>
      </c>
      <c r="F583" t="s">
        <v>1926</v>
      </c>
      <c r="G583" t="s">
        <v>1760</v>
      </c>
      <c r="H583" t="s">
        <v>2285</v>
      </c>
      <c r="I583" t="s">
        <v>2286</v>
      </c>
      <c r="J583" t="s">
        <v>1757</v>
      </c>
      <c r="K583" s="2" t="str">
        <f>HYPERLINK("http://collections.slsa.sa.gov.au/godson/2/02500/PRG1258_2_2496.htm")</f>
        <v>http://collections.slsa.sa.gov.au/godson/2/02500/PRG1258_2_2496.htm</v>
      </c>
    </row>
    <row r="584" spans="1:11" x14ac:dyDescent="0.25">
      <c r="A584" t="s">
        <v>2287</v>
      </c>
      <c r="B584" s="1" t="str">
        <f>HYPERLINK("https://www.catalog.slsa.sa.gov.au/record=b2086214")</f>
        <v>https://www.catalog.slsa.sa.gov.au/record=b2086214</v>
      </c>
      <c r="C584" s="1" t="str">
        <f>HYPERLINK("https://www.catalog.slsa.sa.gov.au/xrecord=b2086214")</f>
        <v>https://www.catalog.slsa.sa.gov.au/xrecord=b2086214</v>
      </c>
      <c r="E584" t="s">
        <v>2288</v>
      </c>
      <c r="F584" t="s">
        <v>1926</v>
      </c>
      <c r="G584" t="s">
        <v>2062</v>
      </c>
      <c r="H584" t="s">
        <v>2289</v>
      </c>
      <c r="I584" t="s">
        <v>2290</v>
      </c>
      <c r="J584" t="s">
        <v>1757</v>
      </c>
      <c r="K584" s="2" t="str">
        <f>HYPERLINK("http://collections.slsa.sa.gov.au/godson/2/02750/PRG1258_2_2507.htm")</f>
        <v>http://collections.slsa.sa.gov.au/godson/2/02750/PRG1258_2_2507.htm</v>
      </c>
    </row>
    <row r="585" spans="1:11" x14ac:dyDescent="0.25">
      <c r="A585" t="s">
        <v>2291</v>
      </c>
      <c r="B585" s="1" t="str">
        <f>HYPERLINK("https://www.catalog.slsa.sa.gov.au/record=b2086216")</f>
        <v>https://www.catalog.slsa.sa.gov.au/record=b2086216</v>
      </c>
      <c r="C585" s="1" t="str">
        <f>HYPERLINK("https://www.catalog.slsa.sa.gov.au/xrecord=b2086216")</f>
        <v>https://www.catalog.slsa.sa.gov.au/xrecord=b2086216</v>
      </c>
      <c r="E585" t="s">
        <v>2292</v>
      </c>
      <c r="F585" t="s">
        <v>1926</v>
      </c>
      <c r="G585" t="s">
        <v>2293</v>
      </c>
      <c r="H585" t="s">
        <v>2294</v>
      </c>
      <c r="I585" t="s">
        <v>2295</v>
      </c>
      <c r="J585" t="s">
        <v>1757</v>
      </c>
      <c r="K585" s="2" t="str">
        <f>HYPERLINK("http://collections.slsa.sa.gov.au/godson/2/02750/PRG1258_2_2509.htm")</f>
        <v>http://collections.slsa.sa.gov.au/godson/2/02750/PRG1258_2_2509.htm</v>
      </c>
    </row>
    <row r="586" spans="1:11" x14ac:dyDescent="0.25">
      <c r="A586" t="s">
        <v>2296</v>
      </c>
      <c r="B586" s="1" t="str">
        <f>HYPERLINK("https://www.catalog.slsa.sa.gov.au/record=b2086217")</f>
        <v>https://www.catalog.slsa.sa.gov.au/record=b2086217</v>
      </c>
      <c r="C586" s="1" t="str">
        <f>HYPERLINK("https://www.catalog.slsa.sa.gov.au/xrecord=b2086217")</f>
        <v>https://www.catalog.slsa.sa.gov.au/xrecord=b2086217</v>
      </c>
      <c r="E586" t="s">
        <v>2297</v>
      </c>
      <c r="F586" t="s">
        <v>1926</v>
      </c>
      <c r="G586" t="s">
        <v>1760</v>
      </c>
      <c r="H586" t="s">
        <v>2298</v>
      </c>
      <c r="I586" t="s">
        <v>2299</v>
      </c>
      <c r="J586" t="s">
        <v>1757</v>
      </c>
      <c r="K586" s="2" t="str">
        <f>HYPERLINK("http://collections.slsa.sa.gov.au/godson/2/02750/PRG1258_2_2510.htm")</f>
        <v>http://collections.slsa.sa.gov.au/godson/2/02750/PRG1258_2_2510.htm</v>
      </c>
    </row>
    <row r="587" spans="1:11" x14ac:dyDescent="0.25">
      <c r="A587" t="s">
        <v>2300</v>
      </c>
      <c r="B587" s="1" t="str">
        <f>HYPERLINK("https://www.catalog.slsa.sa.gov.au/record=b2086221")</f>
        <v>https://www.catalog.slsa.sa.gov.au/record=b2086221</v>
      </c>
      <c r="C587" s="1" t="str">
        <f>HYPERLINK("https://www.catalog.slsa.sa.gov.au/xrecord=b2086221")</f>
        <v>https://www.catalog.slsa.sa.gov.au/xrecord=b2086221</v>
      </c>
      <c r="E587" t="s">
        <v>2301</v>
      </c>
      <c r="F587" t="s">
        <v>1926</v>
      </c>
      <c r="G587" t="s">
        <v>2302</v>
      </c>
      <c r="H587" t="s">
        <v>2303</v>
      </c>
      <c r="I587" t="s">
        <v>2304</v>
      </c>
      <c r="J587" t="s">
        <v>1757</v>
      </c>
      <c r="K587" s="2" t="str">
        <f>HYPERLINK("http://collections.slsa.sa.gov.au/godson/2/02750/PRG1258_2_2515.htm")</f>
        <v>http://collections.slsa.sa.gov.au/godson/2/02750/PRG1258_2_2515.htm</v>
      </c>
    </row>
    <row r="588" spans="1:11" x14ac:dyDescent="0.25">
      <c r="A588" t="s">
        <v>2305</v>
      </c>
      <c r="B588" s="1" t="str">
        <f>HYPERLINK("https://www.catalog.slsa.sa.gov.au/record=b2086231")</f>
        <v>https://www.catalog.slsa.sa.gov.au/record=b2086231</v>
      </c>
      <c r="C588" s="1" t="str">
        <f>HYPERLINK("https://www.catalog.slsa.sa.gov.au/xrecord=b2086231")</f>
        <v>https://www.catalog.slsa.sa.gov.au/xrecord=b2086231</v>
      </c>
      <c r="E588" t="s">
        <v>2306</v>
      </c>
      <c r="F588" t="s">
        <v>1926</v>
      </c>
      <c r="G588" t="s">
        <v>2302</v>
      </c>
      <c r="H588" t="s">
        <v>2307</v>
      </c>
      <c r="I588" t="s">
        <v>2308</v>
      </c>
      <c r="J588" t="s">
        <v>1757</v>
      </c>
      <c r="K588" s="2" t="str">
        <f>HYPERLINK("http://collections.slsa.sa.gov.au/godson/2/02750/PRG1258_2_2526.htm")</f>
        <v>http://collections.slsa.sa.gov.au/godson/2/02750/PRG1258_2_2526.htm</v>
      </c>
    </row>
    <row r="589" spans="1:11" x14ac:dyDescent="0.25">
      <c r="A589" t="s">
        <v>2309</v>
      </c>
      <c r="B589" s="1" t="str">
        <f>HYPERLINK("https://www.catalog.slsa.sa.gov.au/record=b2086353")</f>
        <v>https://www.catalog.slsa.sa.gov.au/record=b2086353</v>
      </c>
      <c r="C589" s="1" t="str">
        <f>HYPERLINK("https://www.catalog.slsa.sa.gov.au/xrecord=b2086353")</f>
        <v>https://www.catalog.slsa.sa.gov.au/xrecord=b2086353</v>
      </c>
      <c r="E589" t="s">
        <v>2310</v>
      </c>
      <c r="F589" t="s">
        <v>1926</v>
      </c>
      <c r="G589" t="s">
        <v>1775</v>
      </c>
      <c r="H589" t="s">
        <v>2311</v>
      </c>
      <c r="I589" t="s">
        <v>2312</v>
      </c>
      <c r="J589" t="s">
        <v>1757</v>
      </c>
      <c r="K589" s="2" t="str">
        <f>HYPERLINK("http://collections.slsa.sa.gov.au/godson/2/03000/PRG1258_2_2780.htm")</f>
        <v>http://collections.slsa.sa.gov.au/godson/2/03000/PRG1258_2_2780.htm</v>
      </c>
    </row>
    <row r="590" spans="1:11" x14ac:dyDescent="0.25">
      <c r="A590" t="s">
        <v>2313</v>
      </c>
      <c r="B590" s="1" t="str">
        <f>HYPERLINK("https://www.catalog.slsa.sa.gov.au/record=b2086356")</f>
        <v>https://www.catalog.slsa.sa.gov.au/record=b2086356</v>
      </c>
      <c r="C590" s="1" t="str">
        <f>HYPERLINK("https://www.catalog.slsa.sa.gov.au/xrecord=b2086356")</f>
        <v>https://www.catalog.slsa.sa.gov.au/xrecord=b2086356</v>
      </c>
      <c r="E590" t="s">
        <v>2314</v>
      </c>
      <c r="F590" t="s">
        <v>1926</v>
      </c>
      <c r="G590" t="s">
        <v>1760</v>
      </c>
      <c r="H590" t="s">
        <v>2315</v>
      </c>
      <c r="I590" t="s">
        <v>2316</v>
      </c>
      <c r="J590" t="s">
        <v>1757</v>
      </c>
      <c r="K590" s="2" t="str">
        <f>HYPERLINK("http://collections.slsa.sa.gov.au/godson/2/03000/PRG1258_2_2791.htm")</f>
        <v>http://collections.slsa.sa.gov.au/godson/2/03000/PRG1258_2_2791.htm</v>
      </c>
    </row>
    <row r="591" spans="1:11" x14ac:dyDescent="0.25">
      <c r="A591" t="s">
        <v>2317</v>
      </c>
      <c r="B591" s="1" t="str">
        <f>HYPERLINK("https://www.catalog.slsa.sa.gov.au/record=b2086372")</f>
        <v>https://www.catalog.slsa.sa.gov.au/record=b2086372</v>
      </c>
      <c r="C591" s="1" t="str">
        <f>HYPERLINK("https://www.catalog.slsa.sa.gov.au/xrecord=b2086372")</f>
        <v>https://www.catalog.slsa.sa.gov.au/xrecord=b2086372</v>
      </c>
      <c r="E591" t="s">
        <v>2318</v>
      </c>
      <c r="F591" t="s">
        <v>1926</v>
      </c>
      <c r="G591" t="s">
        <v>1760</v>
      </c>
      <c r="H591" t="s">
        <v>2319</v>
      </c>
      <c r="I591" t="s">
        <v>2320</v>
      </c>
      <c r="J591" t="s">
        <v>1757</v>
      </c>
      <c r="K591" s="2" t="str">
        <f>HYPERLINK("http://collections.slsa.sa.gov.au/godson/2/03000/PRG1258_2_2820.htm")</f>
        <v>http://collections.slsa.sa.gov.au/godson/2/03000/PRG1258_2_2820.htm</v>
      </c>
    </row>
    <row r="592" spans="1:11" x14ac:dyDescent="0.25">
      <c r="A592" t="s">
        <v>2321</v>
      </c>
      <c r="B592" s="1" t="str">
        <f>HYPERLINK("https://www.catalog.slsa.sa.gov.au/record=b2086373")</f>
        <v>https://www.catalog.slsa.sa.gov.au/record=b2086373</v>
      </c>
      <c r="C592" s="1" t="str">
        <f>HYPERLINK("https://www.catalog.slsa.sa.gov.au/xrecord=b2086373")</f>
        <v>https://www.catalog.slsa.sa.gov.au/xrecord=b2086373</v>
      </c>
      <c r="E592" t="s">
        <v>2322</v>
      </c>
      <c r="F592" t="s">
        <v>1926</v>
      </c>
      <c r="G592" t="s">
        <v>1760</v>
      </c>
      <c r="H592" t="s">
        <v>2323</v>
      </c>
      <c r="I592" t="s">
        <v>2324</v>
      </c>
      <c r="J592" t="s">
        <v>1757</v>
      </c>
      <c r="K592" s="2" t="str">
        <f>HYPERLINK("http://collections.slsa.sa.gov.au/godson/2/03000/PRG1258_2_2821.htm")</f>
        <v>http://collections.slsa.sa.gov.au/godson/2/03000/PRG1258_2_2821.htm</v>
      </c>
    </row>
    <row r="593" spans="1:11" x14ac:dyDescent="0.25">
      <c r="A593" t="s">
        <v>2325</v>
      </c>
      <c r="B593" s="1" t="str">
        <f>HYPERLINK("https://www.catalog.slsa.sa.gov.au/record=b2086374")</f>
        <v>https://www.catalog.slsa.sa.gov.au/record=b2086374</v>
      </c>
      <c r="C593" s="1" t="str">
        <f>HYPERLINK("https://www.catalog.slsa.sa.gov.au/xrecord=b2086374")</f>
        <v>https://www.catalog.slsa.sa.gov.au/xrecord=b2086374</v>
      </c>
      <c r="E593" t="s">
        <v>2326</v>
      </c>
      <c r="F593" t="s">
        <v>1926</v>
      </c>
      <c r="G593" t="s">
        <v>1760</v>
      </c>
      <c r="H593" t="s">
        <v>2327</v>
      </c>
      <c r="I593" t="s">
        <v>2328</v>
      </c>
      <c r="J593" t="s">
        <v>1757</v>
      </c>
      <c r="K593" s="2" t="str">
        <f>HYPERLINK("http://collections.slsa.sa.gov.au/godson/2/03000/PRG1258_2_2823.htm")</f>
        <v>http://collections.slsa.sa.gov.au/godson/2/03000/PRG1258_2_2823.htm</v>
      </c>
    </row>
    <row r="594" spans="1:11" x14ac:dyDescent="0.25">
      <c r="A594" t="s">
        <v>2329</v>
      </c>
      <c r="B594" s="1" t="str">
        <f>HYPERLINK("https://www.catalog.slsa.sa.gov.au/record=b2086375")</f>
        <v>https://www.catalog.slsa.sa.gov.au/record=b2086375</v>
      </c>
      <c r="C594" s="1" t="str">
        <f>HYPERLINK("https://www.catalog.slsa.sa.gov.au/xrecord=b2086375")</f>
        <v>https://www.catalog.slsa.sa.gov.au/xrecord=b2086375</v>
      </c>
      <c r="E594" t="s">
        <v>2330</v>
      </c>
      <c r="F594" t="s">
        <v>1926</v>
      </c>
      <c r="G594" t="s">
        <v>1760</v>
      </c>
      <c r="H594" t="s">
        <v>2331</v>
      </c>
      <c r="I594" t="s">
        <v>2332</v>
      </c>
      <c r="J594" t="s">
        <v>1757</v>
      </c>
      <c r="K594" s="2" t="str">
        <f>HYPERLINK("http://collections.slsa.sa.gov.au/godson/2/03000/PRG1258_2_2828.htm")</f>
        <v>http://collections.slsa.sa.gov.au/godson/2/03000/PRG1258_2_2828.htm</v>
      </c>
    </row>
    <row r="595" spans="1:11" x14ac:dyDescent="0.25">
      <c r="A595" t="s">
        <v>2333</v>
      </c>
      <c r="B595" s="1" t="str">
        <f>HYPERLINK("https://www.catalog.slsa.sa.gov.au/record=b2085965")</f>
        <v>https://www.catalog.slsa.sa.gov.au/record=b2085965</v>
      </c>
      <c r="C595" s="1" t="str">
        <f>HYPERLINK("https://www.catalog.slsa.sa.gov.au/xrecord=b2085965")</f>
        <v>https://www.catalog.slsa.sa.gov.au/xrecord=b2085965</v>
      </c>
      <c r="E595" t="s">
        <v>2334</v>
      </c>
      <c r="F595" t="s">
        <v>1926</v>
      </c>
      <c r="G595" t="s">
        <v>1760</v>
      </c>
      <c r="H595" t="s">
        <v>2335</v>
      </c>
      <c r="I595" t="s">
        <v>2336</v>
      </c>
      <c r="J595" t="s">
        <v>1757</v>
      </c>
      <c r="K595" s="2" t="str">
        <f>HYPERLINK("http://collections.slsa.sa.gov.au/godson/3/00250/PRG1258_3_51.htm")</f>
        <v>http://collections.slsa.sa.gov.au/godson/3/00250/PRG1258_3_51.htm</v>
      </c>
    </row>
    <row r="596" spans="1:11" x14ac:dyDescent="0.25">
      <c r="A596" t="s">
        <v>2337</v>
      </c>
      <c r="B596" s="1" t="str">
        <f>HYPERLINK("https://www.catalog.slsa.sa.gov.au/record=b2085966")</f>
        <v>https://www.catalog.slsa.sa.gov.au/record=b2085966</v>
      </c>
      <c r="C596" s="1" t="str">
        <f>HYPERLINK("https://www.catalog.slsa.sa.gov.au/xrecord=b2085966")</f>
        <v>https://www.catalog.slsa.sa.gov.au/xrecord=b2085966</v>
      </c>
      <c r="E596" t="s">
        <v>2338</v>
      </c>
      <c r="F596" t="s">
        <v>1926</v>
      </c>
      <c r="G596" t="s">
        <v>2339</v>
      </c>
      <c r="H596" t="s">
        <v>2340</v>
      </c>
      <c r="I596" t="s">
        <v>2341</v>
      </c>
      <c r="J596" t="s">
        <v>1757</v>
      </c>
      <c r="K596" s="2" t="str">
        <f>HYPERLINK("http://collections.slsa.sa.gov.au/godson/3/00250/PRG1258_3_54.htm")</f>
        <v>http://collections.slsa.sa.gov.au/godson/3/00250/PRG1258_3_54.htm</v>
      </c>
    </row>
    <row r="597" spans="1:11" x14ac:dyDescent="0.25">
      <c r="A597" t="s">
        <v>2342</v>
      </c>
      <c r="B597" s="1" t="str">
        <f>HYPERLINK("https://www.catalog.slsa.sa.gov.au/record=b2085967")</f>
        <v>https://www.catalog.slsa.sa.gov.au/record=b2085967</v>
      </c>
      <c r="C597" s="1" t="str">
        <f>HYPERLINK("https://www.catalog.slsa.sa.gov.au/xrecord=b2085967")</f>
        <v>https://www.catalog.slsa.sa.gov.au/xrecord=b2085967</v>
      </c>
      <c r="E597" t="s">
        <v>2343</v>
      </c>
      <c r="F597" t="s">
        <v>1926</v>
      </c>
      <c r="G597" t="s">
        <v>1775</v>
      </c>
      <c r="H597" t="s">
        <v>2344</v>
      </c>
      <c r="I597" t="s">
        <v>2345</v>
      </c>
      <c r="J597" t="s">
        <v>1757</v>
      </c>
      <c r="K597" s="2" t="str">
        <f>HYPERLINK("http://collections.slsa.sa.gov.au/godson/3/00250/PRG1258_3_55.htm")</f>
        <v>http://collections.slsa.sa.gov.au/godson/3/00250/PRG1258_3_55.htm</v>
      </c>
    </row>
    <row r="598" spans="1:11" x14ac:dyDescent="0.25">
      <c r="A598" t="s">
        <v>2346</v>
      </c>
      <c r="B598" s="1" t="str">
        <f>HYPERLINK("https://www.catalog.slsa.sa.gov.au/record=b2085973")</f>
        <v>https://www.catalog.slsa.sa.gov.au/record=b2085973</v>
      </c>
      <c r="C598" s="1" t="str">
        <f>HYPERLINK("https://www.catalog.slsa.sa.gov.au/xrecord=b2085973")</f>
        <v>https://www.catalog.slsa.sa.gov.au/xrecord=b2085973</v>
      </c>
      <c r="E598" t="s">
        <v>2347</v>
      </c>
      <c r="F598" t="s">
        <v>1926</v>
      </c>
      <c r="G598" t="s">
        <v>1760</v>
      </c>
      <c r="H598" t="s">
        <v>2348</v>
      </c>
      <c r="I598" t="s">
        <v>2349</v>
      </c>
      <c r="J598" t="s">
        <v>1757</v>
      </c>
      <c r="K598" s="2" t="str">
        <f>HYPERLINK("http://collections.slsa.sa.gov.au/godson/3/00250/PRG1258_3_79.htm")</f>
        <v>http://collections.slsa.sa.gov.au/godson/3/00250/PRG1258_3_79.htm</v>
      </c>
    </row>
    <row r="599" spans="1:11" x14ac:dyDescent="0.25">
      <c r="A599" t="s">
        <v>2350</v>
      </c>
      <c r="B599" s="1" t="str">
        <f>HYPERLINK("https://www.catalog.slsa.sa.gov.au/record=b2086620")</f>
        <v>https://www.catalog.slsa.sa.gov.au/record=b2086620</v>
      </c>
      <c r="C599" s="1" t="str">
        <f>HYPERLINK("https://www.catalog.slsa.sa.gov.au/xrecord=b2086620")</f>
        <v>https://www.catalog.slsa.sa.gov.au/xrecord=b2086620</v>
      </c>
      <c r="E599" t="s">
        <v>2351</v>
      </c>
      <c r="F599" t="s">
        <v>1926</v>
      </c>
      <c r="G599" t="s">
        <v>2027</v>
      </c>
      <c r="H599" t="s">
        <v>2352</v>
      </c>
      <c r="I599" t="s">
        <v>2353</v>
      </c>
      <c r="J599" t="s">
        <v>1757</v>
      </c>
      <c r="K599" s="2" t="str">
        <f>HYPERLINK("http://collections.slsa.sa.gov.au/godson/4/00250/PRG1258_4_12.htm")</f>
        <v>http://collections.slsa.sa.gov.au/godson/4/00250/PRG1258_4_12.htm</v>
      </c>
    </row>
    <row r="600" spans="1:11" x14ac:dyDescent="0.25">
      <c r="A600" t="s">
        <v>2354</v>
      </c>
      <c r="B600" s="1" t="str">
        <f>HYPERLINK("https://www.catalog.slsa.sa.gov.au/record=b2086001")</f>
        <v>https://www.catalog.slsa.sa.gov.au/record=b2086001</v>
      </c>
      <c r="C600" s="1" t="str">
        <f>HYPERLINK("https://www.catalog.slsa.sa.gov.au/xrecord=b2086001")</f>
        <v>https://www.catalog.slsa.sa.gov.au/xrecord=b2086001</v>
      </c>
      <c r="E600" t="s">
        <v>2355</v>
      </c>
      <c r="F600" t="s">
        <v>1926</v>
      </c>
      <c r="G600" t="s">
        <v>2356</v>
      </c>
      <c r="H600" t="s">
        <v>2357</v>
      </c>
      <c r="I600" t="s">
        <v>2358</v>
      </c>
      <c r="J600" t="s">
        <v>1757</v>
      </c>
      <c r="K600" s="2" t="str">
        <f>HYPERLINK("http://collections.slsa.sa.gov.au/godson/4/00250/PRG1258_4_28.htm")</f>
        <v>http://collections.slsa.sa.gov.au/godson/4/00250/PRG1258_4_28.htm</v>
      </c>
    </row>
    <row r="601" spans="1:11" x14ac:dyDescent="0.25">
      <c r="A601" t="s">
        <v>2359</v>
      </c>
      <c r="B601" s="1" t="str">
        <f>HYPERLINK("https://www.catalog.slsa.sa.gov.au/record=b2086002")</f>
        <v>https://www.catalog.slsa.sa.gov.au/record=b2086002</v>
      </c>
      <c r="C601" s="1" t="str">
        <f>HYPERLINK("https://www.catalog.slsa.sa.gov.au/xrecord=b2086002")</f>
        <v>https://www.catalog.slsa.sa.gov.au/xrecord=b2086002</v>
      </c>
      <c r="E601" t="s">
        <v>2360</v>
      </c>
      <c r="F601" t="s">
        <v>1926</v>
      </c>
      <c r="G601" t="s">
        <v>2356</v>
      </c>
      <c r="H601" t="s">
        <v>2361</v>
      </c>
      <c r="I601" t="s">
        <v>2358</v>
      </c>
      <c r="J601" t="s">
        <v>1757</v>
      </c>
      <c r="K601" s="2" t="str">
        <f>HYPERLINK("http://collections.slsa.sa.gov.au/godson/4/00250/PRG1258_4_29.htm")</f>
        <v>http://collections.slsa.sa.gov.au/godson/4/00250/PRG1258_4_29.htm</v>
      </c>
    </row>
    <row r="602" spans="1:11" x14ac:dyDescent="0.25">
      <c r="A602" t="s">
        <v>2362</v>
      </c>
      <c r="B602" s="1" t="str">
        <f>HYPERLINK("https://www.catalog.slsa.sa.gov.au/record=b2086006")</f>
        <v>https://www.catalog.slsa.sa.gov.au/record=b2086006</v>
      </c>
      <c r="C602" s="1" t="str">
        <f>HYPERLINK("https://www.catalog.slsa.sa.gov.au/xrecord=b2086006")</f>
        <v>https://www.catalog.slsa.sa.gov.au/xrecord=b2086006</v>
      </c>
      <c r="E602" t="s">
        <v>2363</v>
      </c>
      <c r="F602" t="s">
        <v>1926</v>
      </c>
      <c r="G602" t="s">
        <v>2364</v>
      </c>
      <c r="H602" t="s">
        <v>2365</v>
      </c>
      <c r="I602" t="s">
        <v>2366</v>
      </c>
      <c r="J602" t="s">
        <v>1757</v>
      </c>
      <c r="K602" s="2" t="str">
        <f>HYPERLINK("http://collections.slsa.sa.gov.au/godson/4/00250/PRG1258_4_35.htm")</f>
        <v>http://collections.slsa.sa.gov.au/godson/4/00250/PRG1258_4_35.htm</v>
      </c>
    </row>
    <row r="603" spans="1:11" x14ac:dyDescent="0.25">
      <c r="A603" t="s">
        <v>2367</v>
      </c>
      <c r="B603" s="1" t="str">
        <f>HYPERLINK("https://www.catalog.slsa.sa.gov.au/record=b2086007")</f>
        <v>https://www.catalog.slsa.sa.gov.au/record=b2086007</v>
      </c>
      <c r="C603" s="1" t="str">
        <f>HYPERLINK("https://www.catalog.slsa.sa.gov.au/xrecord=b2086007")</f>
        <v>https://www.catalog.slsa.sa.gov.au/xrecord=b2086007</v>
      </c>
      <c r="E603" t="s">
        <v>2368</v>
      </c>
      <c r="F603" t="s">
        <v>1926</v>
      </c>
      <c r="G603" t="s">
        <v>2369</v>
      </c>
      <c r="H603" t="s">
        <v>2370</v>
      </c>
      <c r="I603" t="s">
        <v>2366</v>
      </c>
      <c r="J603" t="s">
        <v>1757</v>
      </c>
      <c r="K603" s="2" t="str">
        <f>HYPERLINK("http://collections.slsa.sa.gov.au/godson/4/00250/PRG1258_4_36.htm")</f>
        <v>http://collections.slsa.sa.gov.au/godson/4/00250/PRG1258_4_36.htm</v>
      </c>
    </row>
    <row r="604" spans="1:11" x14ac:dyDescent="0.25">
      <c r="A604" t="s">
        <v>2371</v>
      </c>
      <c r="B604" s="1" t="str">
        <f>HYPERLINK("https://www.catalog.slsa.sa.gov.au/record=b2086008")</f>
        <v>https://www.catalog.slsa.sa.gov.au/record=b2086008</v>
      </c>
      <c r="C604" s="1" t="str">
        <f>HYPERLINK("https://www.catalog.slsa.sa.gov.au/xrecord=b2086008")</f>
        <v>https://www.catalog.slsa.sa.gov.au/xrecord=b2086008</v>
      </c>
      <c r="E604" t="s">
        <v>2372</v>
      </c>
      <c r="F604" t="s">
        <v>1926</v>
      </c>
      <c r="G604" t="s">
        <v>2302</v>
      </c>
      <c r="H604" t="s">
        <v>2373</v>
      </c>
      <c r="I604" t="s">
        <v>2374</v>
      </c>
      <c r="J604" t="s">
        <v>1757</v>
      </c>
      <c r="K604" s="2" t="str">
        <f>HYPERLINK("http://collections.slsa.sa.gov.au/godson/4/00250/PRG1258_4_37.htm")</f>
        <v>http://collections.slsa.sa.gov.au/godson/4/00250/PRG1258_4_37.htm</v>
      </c>
    </row>
    <row r="605" spans="1:11" x14ac:dyDescent="0.25">
      <c r="A605" t="s">
        <v>2375</v>
      </c>
      <c r="B605" s="1" t="str">
        <f>HYPERLINK("https://www.catalog.slsa.sa.gov.au/record=b2086619")</f>
        <v>https://www.catalog.slsa.sa.gov.au/record=b2086619</v>
      </c>
      <c r="C605" s="1" t="str">
        <f>HYPERLINK("https://www.catalog.slsa.sa.gov.au/xrecord=b2086619")</f>
        <v>https://www.catalog.slsa.sa.gov.au/xrecord=b2086619</v>
      </c>
      <c r="E605" t="s">
        <v>2376</v>
      </c>
      <c r="F605" t="s">
        <v>1926</v>
      </c>
      <c r="G605" t="s">
        <v>2027</v>
      </c>
      <c r="H605" t="s">
        <v>2377</v>
      </c>
      <c r="I605" t="s">
        <v>2378</v>
      </c>
      <c r="J605" t="s">
        <v>1757</v>
      </c>
      <c r="K605" s="2" t="str">
        <f>HYPERLINK("http://collections.slsa.sa.gov.au/godson/4/00250/PRG1258_4_4.htm")</f>
        <v>http://collections.slsa.sa.gov.au/godson/4/00250/PRG1258_4_4.htm</v>
      </c>
    </row>
    <row r="606" spans="1:11" x14ac:dyDescent="0.25">
      <c r="A606" t="s">
        <v>2379</v>
      </c>
      <c r="B606" s="1" t="str">
        <f>HYPERLINK("https://www.catalog.slsa.sa.gov.au/record=b2086038")</f>
        <v>https://www.catalog.slsa.sa.gov.au/record=b2086038</v>
      </c>
      <c r="C606" s="1" t="str">
        <f>HYPERLINK("https://www.catalog.slsa.sa.gov.au/xrecord=b2086038")</f>
        <v>https://www.catalog.slsa.sa.gov.au/xrecord=b2086038</v>
      </c>
      <c r="E606" t="s">
        <v>2380</v>
      </c>
      <c r="F606" t="s">
        <v>1926</v>
      </c>
      <c r="G606" t="s">
        <v>1775</v>
      </c>
      <c r="H606" t="s">
        <v>2381</v>
      </c>
      <c r="I606" t="s">
        <v>2382</v>
      </c>
      <c r="J606" t="s">
        <v>1757</v>
      </c>
      <c r="K606" s="2" t="str">
        <f>HYPERLINK("http://collections.slsa.sa.gov.au/godson/4/00250/PRG1258_4_74.htm")</f>
        <v>http://collections.slsa.sa.gov.au/godson/4/00250/PRG1258_4_74.htm</v>
      </c>
    </row>
    <row r="607" spans="1:11" x14ac:dyDescent="0.25">
      <c r="A607" t="s">
        <v>2383</v>
      </c>
      <c r="B607" s="1" t="str">
        <f>HYPERLINK("https://www.catalog.slsa.sa.gov.au/record=b2086047")</f>
        <v>https://www.catalog.slsa.sa.gov.au/record=b2086047</v>
      </c>
      <c r="C607" s="1" t="str">
        <f>HYPERLINK("https://www.catalog.slsa.sa.gov.au/xrecord=b2086047")</f>
        <v>https://www.catalog.slsa.sa.gov.au/xrecord=b2086047</v>
      </c>
      <c r="E607" t="s">
        <v>2384</v>
      </c>
      <c r="F607" t="s">
        <v>1926</v>
      </c>
      <c r="G607" t="s">
        <v>2385</v>
      </c>
      <c r="H607" t="s">
        <v>2386</v>
      </c>
      <c r="I607" t="s">
        <v>2387</v>
      </c>
      <c r="J607" t="s">
        <v>1757</v>
      </c>
      <c r="K607" s="2" t="str">
        <f>HYPERLINK("http://collections.slsa.sa.gov.au/godson/4/00250/PRG1258_4_84.htm")</f>
        <v>http://collections.slsa.sa.gov.au/godson/4/00250/PRG1258_4_84.htm</v>
      </c>
    </row>
    <row r="608" spans="1:11" x14ac:dyDescent="0.25">
      <c r="A608" t="s">
        <v>2388</v>
      </c>
      <c r="B608" s="1" t="str">
        <f>HYPERLINK("https://www.catalog.slsa.sa.gov.au/record=b2086055")</f>
        <v>https://www.catalog.slsa.sa.gov.au/record=b2086055</v>
      </c>
      <c r="C608" s="1" t="str">
        <f>HYPERLINK("https://www.catalog.slsa.sa.gov.au/xrecord=b2086055")</f>
        <v>https://www.catalog.slsa.sa.gov.au/xrecord=b2086055</v>
      </c>
      <c r="E608" t="s">
        <v>2389</v>
      </c>
      <c r="F608" t="s">
        <v>1926</v>
      </c>
      <c r="G608" t="s">
        <v>2032</v>
      </c>
      <c r="H608" t="s">
        <v>2390</v>
      </c>
      <c r="I608" t="s">
        <v>2391</v>
      </c>
      <c r="J608" t="s">
        <v>1757</v>
      </c>
      <c r="K608" s="2" t="str">
        <f>HYPERLINK("http://collections.slsa.sa.gov.au/godson/4/00250/PRG1258_4_92.htm")</f>
        <v>http://collections.slsa.sa.gov.au/godson/4/00250/PRG1258_4_92.htm</v>
      </c>
    </row>
    <row r="609" spans="1:11" x14ac:dyDescent="0.25">
      <c r="A609" t="s">
        <v>2392</v>
      </c>
      <c r="B609" s="1" t="str">
        <f>HYPERLINK("https://www.catalog.slsa.sa.gov.au/record=b2109532")</f>
        <v>https://www.catalog.slsa.sa.gov.au/record=b2109532</v>
      </c>
      <c r="C609" s="1" t="str">
        <f>HYPERLINK("https://www.catalog.slsa.sa.gov.au/xrecord=b2109532")</f>
        <v>https://www.catalog.slsa.sa.gov.au/xrecord=b2109532</v>
      </c>
      <c r="D609" t="s">
        <v>2393</v>
      </c>
      <c r="E609" t="s">
        <v>2394</v>
      </c>
      <c r="F609" t="s">
        <v>1926</v>
      </c>
      <c r="G609" t="s">
        <v>2395</v>
      </c>
      <c r="H609" t="s">
        <v>2396</v>
      </c>
      <c r="I609" t="s">
        <v>2397</v>
      </c>
      <c r="J609" t="s">
        <v>2398</v>
      </c>
      <c r="K609" s="2" t="str">
        <f>HYPERLINK("http://collections.slsa.sa.gov.au/prg/1386/3/PRG1386_3_27.htm")</f>
        <v>http://collections.slsa.sa.gov.au/prg/1386/3/PRG1386_3_27.htm</v>
      </c>
    </row>
    <row r="610" spans="1:11" x14ac:dyDescent="0.25">
      <c r="A610" t="s">
        <v>2399</v>
      </c>
      <c r="B610" s="1" t="str">
        <f>HYPERLINK("https://www.catalog.slsa.sa.gov.au/record=b2927641")</f>
        <v>https://www.catalog.slsa.sa.gov.au/record=b2927641</v>
      </c>
      <c r="C610" s="1" t="str">
        <f>HYPERLINK("https://www.catalog.slsa.sa.gov.au/xrecord=b2927641")</f>
        <v>https://www.catalog.slsa.sa.gov.au/xrecord=b2927641</v>
      </c>
      <c r="D610" t="s">
        <v>2400</v>
      </c>
      <c r="E610" t="s">
        <v>2401</v>
      </c>
      <c r="F610" t="s">
        <v>1926</v>
      </c>
      <c r="G610" t="s">
        <v>2402</v>
      </c>
      <c r="H610" t="s">
        <v>2403</v>
      </c>
      <c r="I610" t="s">
        <v>2404</v>
      </c>
      <c r="J610" t="s">
        <v>2405</v>
      </c>
      <c r="K610" s="2" t="str">
        <f>HYPERLINK("http://collections.slsa.sa.gov.au/prg/1617/7/PRG1617_7_3.htm")</f>
        <v>http://collections.slsa.sa.gov.au/prg/1617/7/PRG1617_7_3.htm</v>
      </c>
    </row>
    <row r="611" spans="1:11" x14ac:dyDescent="0.25">
      <c r="A611" t="s">
        <v>2406</v>
      </c>
      <c r="B611" s="1" t="str">
        <f>HYPERLINK("https://www.catalog.slsa.sa.gov.au/record=b2927640")</f>
        <v>https://www.catalog.slsa.sa.gov.au/record=b2927640</v>
      </c>
      <c r="C611" s="1" t="str">
        <f>HYPERLINK("https://www.catalog.slsa.sa.gov.au/xrecord=b2927640")</f>
        <v>https://www.catalog.slsa.sa.gov.au/xrecord=b2927640</v>
      </c>
      <c r="D611" t="s">
        <v>2407</v>
      </c>
      <c r="E611" t="s">
        <v>2408</v>
      </c>
      <c r="F611" t="s">
        <v>1926</v>
      </c>
      <c r="G611" t="s">
        <v>2409</v>
      </c>
      <c r="H611" t="s">
        <v>2410</v>
      </c>
      <c r="I611" t="s">
        <v>2411</v>
      </c>
      <c r="J611" t="s">
        <v>2405</v>
      </c>
      <c r="K611" s="2" t="str">
        <f>HYPERLINK("http://collections.slsa.sa.gov.au/prg/1617/7/PRG1617_7_4.htm")</f>
        <v>http://collections.slsa.sa.gov.au/prg/1617/7/PRG1617_7_4.htm</v>
      </c>
    </row>
    <row r="612" spans="1:11" x14ac:dyDescent="0.25">
      <c r="A612" t="s">
        <v>2412</v>
      </c>
      <c r="B612" s="1" t="str">
        <f>HYPERLINK("https://www.catalog.slsa.sa.gov.au/record=b2928595")</f>
        <v>https://www.catalog.slsa.sa.gov.au/record=b2928595</v>
      </c>
      <c r="C612" s="1" t="str">
        <f>HYPERLINK("https://www.catalog.slsa.sa.gov.au/xrecord=b2928595")</f>
        <v>https://www.catalog.slsa.sa.gov.au/xrecord=b2928595</v>
      </c>
      <c r="E612" t="s">
        <v>2413</v>
      </c>
      <c r="F612" t="s">
        <v>1926</v>
      </c>
      <c r="G612" t="s">
        <v>2414</v>
      </c>
      <c r="H612" t="s">
        <v>2415</v>
      </c>
      <c r="I612" t="s">
        <v>2416</v>
      </c>
      <c r="K612" s="2" t="str">
        <f>HYPERLINK("http://collections.slsa.sa.gov.au/prg/1620/11/PRG1620_11_7.htm")</f>
        <v>http://collections.slsa.sa.gov.au/prg/1620/11/PRG1620_11_7.htm</v>
      </c>
    </row>
    <row r="613" spans="1:11" x14ac:dyDescent="0.25">
      <c r="A613" t="s">
        <v>2417</v>
      </c>
      <c r="B613" s="1" t="str">
        <f>HYPERLINK("https://www.catalog.slsa.sa.gov.au/record=b3203078")</f>
        <v>https://www.catalog.slsa.sa.gov.au/record=b3203078</v>
      </c>
      <c r="C613" s="1" t="str">
        <f>HYPERLINK("https://www.catalog.slsa.sa.gov.au/xrecord=b3203078")</f>
        <v>https://www.catalog.slsa.sa.gov.au/xrecord=b3203078</v>
      </c>
      <c r="E613" t="s">
        <v>2418</v>
      </c>
      <c r="F613" t="s">
        <v>2419</v>
      </c>
      <c r="G613" t="s">
        <v>2420</v>
      </c>
      <c r="H613" t="s">
        <v>2421</v>
      </c>
      <c r="I613" t="s">
        <v>2422</v>
      </c>
      <c r="J613" t="s">
        <v>1809</v>
      </c>
      <c r="K613" s="2" t="str">
        <f>HYPERLINK("http://collections.slsa.sa.gov.au/resource/BRG+215/52")</f>
        <v>http://collections.slsa.sa.gov.au/resource/BRG+215/52</v>
      </c>
    </row>
    <row r="614" spans="1:11" x14ac:dyDescent="0.25">
      <c r="A614" t="s">
        <v>2423</v>
      </c>
      <c r="B614" s="1" t="str">
        <f>HYPERLINK("https://www.catalog.slsa.sa.gov.au/record=b3131575")</f>
        <v>https://www.catalog.slsa.sa.gov.au/record=b3131575</v>
      </c>
      <c r="C614" s="1" t="str">
        <f>HYPERLINK("https://www.catalog.slsa.sa.gov.au/xrecord=b3131575")</f>
        <v>https://www.catalog.slsa.sa.gov.au/xrecord=b3131575</v>
      </c>
      <c r="D614" t="s">
        <v>1792</v>
      </c>
      <c r="E614" t="s">
        <v>2424</v>
      </c>
      <c r="F614" t="s">
        <v>1926</v>
      </c>
      <c r="G614" t="s">
        <v>2425</v>
      </c>
      <c r="H614" t="s">
        <v>2426</v>
      </c>
      <c r="I614" t="s">
        <v>2427</v>
      </c>
      <c r="K614" s="2" t="str">
        <f>HYPERLINK("http://collections.slsa.sa.gov.au/resource/BRG+332/12/105")</f>
        <v>http://collections.slsa.sa.gov.au/resource/BRG+332/12/105</v>
      </c>
    </row>
    <row r="615" spans="1:11" x14ac:dyDescent="0.25">
      <c r="A615" t="s">
        <v>2428</v>
      </c>
      <c r="B615" s="1" t="str">
        <f>HYPERLINK("https://www.catalog.slsa.sa.gov.au/record=b3131576")</f>
        <v>https://www.catalog.slsa.sa.gov.au/record=b3131576</v>
      </c>
      <c r="C615" s="1" t="str">
        <f>HYPERLINK("https://www.catalog.slsa.sa.gov.au/xrecord=b3131576")</f>
        <v>https://www.catalog.slsa.sa.gov.au/xrecord=b3131576</v>
      </c>
      <c r="D615" t="s">
        <v>1792</v>
      </c>
      <c r="E615" t="s">
        <v>2429</v>
      </c>
      <c r="F615" t="s">
        <v>1926</v>
      </c>
      <c r="G615" t="s">
        <v>2430</v>
      </c>
      <c r="H615" t="s">
        <v>2431</v>
      </c>
      <c r="I615" t="s">
        <v>1796</v>
      </c>
      <c r="K615" s="2" t="str">
        <f>HYPERLINK("http://collections.slsa.sa.gov.au/resource/BRG+332/12/106")</f>
        <v>http://collections.slsa.sa.gov.au/resource/BRG+332/12/106</v>
      </c>
    </row>
    <row r="616" spans="1:11" x14ac:dyDescent="0.25">
      <c r="A616" t="s">
        <v>2432</v>
      </c>
      <c r="B616" s="1" t="str">
        <f>HYPERLINK("https://www.catalog.slsa.sa.gov.au/record=b3131577")</f>
        <v>https://www.catalog.slsa.sa.gov.au/record=b3131577</v>
      </c>
      <c r="C616" s="1" t="str">
        <f>HYPERLINK("https://www.catalog.slsa.sa.gov.au/xrecord=b3131577")</f>
        <v>https://www.catalog.slsa.sa.gov.au/xrecord=b3131577</v>
      </c>
      <c r="D616" t="s">
        <v>1792</v>
      </c>
      <c r="E616" t="s">
        <v>2433</v>
      </c>
      <c r="F616" t="s">
        <v>1926</v>
      </c>
      <c r="G616" t="s">
        <v>2434</v>
      </c>
      <c r="H616" t="s">
        <v>2435</v>
      </c>
      <c r="I616" t="s">
        <v>1796</v>
      </c>
      <c r="K616" s="2" t="str">
        <f>HYPERLINK("http://collections.slsa.sa.gov.au/resource/BRG+332/12/107")</f>
        <v>http://collections.slsa.sa.gov.au/resource/BRG+332/12/107</v>
      </c>
    </row>
    <row r="617" spans="1:11" x14ac:dyDescent="0.25">
      <c r="A617" t="s">
        <v>2436</v>
      </c>
      <c r="B617" s="1" t="str">
        <f>HYPERLINK("https://www.catalog.slsa.sa.gov.au/record=b3131578")</f>
        <v>https://www.catalog.slsa.sa.gov.au/record=b3131578</v>
      </c>
      <c r="C617" s="1" t="str">
        <f>HYPERLINK("https://www.catalog.slsa.sa.gov.au/xrecord=b3131578")</f>
        <v>https://www.catalog.slsa.sa.gov.au/xrecord=b3131578</v>
      </c>
      <c r="D617" t="s">
        <v>1792</v>
      </c>
      <c r="E617" t="s">
        <v>2437</v>
      </c>
      <c r="F617" t="s">
        <v>1926</v>
      </c>
      <c r="G617" t="s">
        <v>2438</v>
      </c>
      <c r="H617" t="s">
        <v>2439</v>
      </c>
      <c r="I617" t="s">
        <v>1796</v>
      </c>
      <c r="K617" s="2" t="str">
        <f>HYPERLINK("http://collections.slsa.sa.gov.au/resource/BRG+332/12/108")</f>
        <v>http://collections.slsa.sa.gov.au/resource/BRG+332/12/108</v>
      </c>
    </row>
    <row r="618" spans="1:11" x14ac:dyDescent="0.25">
      <c r="A618" t="s">
        <v>2440</v>
      </c>
      <c r="B618" s="1" t="str">
        <f>HYPERLINK("https://www.catalog.slsa.sa.gov.au/record=b3131590")</f>
        <v>https://www.catalog.slsa.sa.gov.au/record=b3131590</v>
      </c>
      <c r="C618" s="1" t="str">
        <f>HYPERLINK("https://www.catalog.slsa.sa.gov.au/xrecord=b3131590")</f>
        <v>https://www.catalog.slsa.sa.gov.au/xrecord=b3131590</v>
      </c>
      <c r="D618" t="s">
        <v>1792</v>
      </c>
      <c r="E618" t="s">
        <v>2441</v>
      </c>
      <c r="F618" t="s">
        <v>1926</v>
      </c>
      <c r="G618" t="s">
        <v>2442</v>
      </c>
      <c r="H618" t="s">
        <v>2443</v>
      </c>
      <c r="I618" t="s">
        <v>1796</v>
      </c>
      <c r="K618" s="2" t="str">
        <f>HYPERLINK("http://collections.slsa.sa.gov.au/resource/BRG+332/12/133")</f>
        <v>http://collections.slsa.sa.gov.au/resource/BRG+332/12/133</v>
      </c>
    </row>
    <row r="619" spans="1:11" x14ac:dyDescent="0.25">
      <c r="A619" t="s">
        <v>2444</v>
      </c>
      <c r="B619" s="1" t="str">
        <f>HYPERLINK("https://www.catalog.slsa.sa.gov.au/record=b3131591")</f>
        <v>https://www.catalog.slsa.sa.gov.au/record=b3131591</v>
      </c>
      <c r="C619" s="1" t="str">
        <f>HYPERLINK("https://www.catalog.slsa.sa.gov.au/xrecord=b3131591")</f>
        <v>https://www.catalog.slsa.sa.gov.au/xrecord=b3131591</v>
      </c>
      <c r="D619" t="s">
        <v>1792</v>
      </c>
      <c r="E619" t="s">
        <v>2445</v>
      </c>
      <c r="F619" t="s">
        <v>1926</v>
      </c>
      <c r="G619" t="s">
        <v>2446</v>
      </c>
      <c r="H619" t="s">
        <v>2447</v>
      </c>
      <c r="I619" t="s">
        <v>1796</v>
      </c>
      <c r="K619" s="2" t="str">
        <f>HYPERLINK("http://collections.slsa.sa.gov.au/resource/BRG+332/12/138")</f>
        <v>http://collections.slsa.sa.gov.au/resource/BRG+332/12/138</v>
      </c>
    </row>
    <row r="620" spans="1:11" x14ac:dyDescent="0.25">
      <c r="A620" t="s">
        <v>2448</v>
      </c>
      <c r="B620" s="1" t="str">
        <f>HYPERLINK("https://www.catalog.slsa.sa.gov.au/record=b3131603")</f>
        <v>https://www.catalog.slsa.sa.gov.au/record=b3131603</v>
      </c>
      <c r="C620" s="1" t="str">
        <f>HYPERLINK("https://www.catalog.slsa.sa.gov.au/xrecord=b3131603")</f>
        <v>https://www.catalog.slsa.sa.gov.au/xrecord=b3131603</v>
      </c>
      <c r="D620" t="s">
        <v>1792</v>
      </c>
      <c r="E620" t="s">
        <v>2449</v>
      </c>
      <c r="F620" t="s">
        <v>1926</v>
      </c>
      <c r="G620" t="s">
        <v>2450</v>
      </c>
      <c r="H620" t="s">
        <v>2451</v>
      </c>
      <c r="I620" t="s">
        <v>1796</v>
      </c>
      <c r="K620" s="2" t="str">
        <f>HYPERLINK("http://collections.slsa.sa.gov.au/resource/BRG+332/12/153")</f>
        <v>http://collections.slsa.sa.gov.au/resource/BRG+332/12/153</v>
      </c>
    </row>
    <row r="621" spans="1:11" x14ac:dyDescent="0.25">
      <c r="A621" t="s">
        <v>2452</v>
      </c>
      <c r="B621" s="1" t="str">
        <f>HYPERLINK("https://www.catalog.slsa.sa.gov.au/record=b3131606")</f>
        <v>https://www.catalog.slsa.sa.gov.au/record=b3131606</v>
      </c>
      <c r="C621" s="1" t="str">
        <f>HYPERLINK("https://www.catalog.slsa.sa.gov.au/xrecord=b3131606")</f>
        <v>https://www.catalog.slsa.sa.gov.au/xrecord=b3131606</v>
      </c>
      <c r="D621" t="s">
        <v>1792</v>
      </c>
      <c r="E621" t="s">
        <v>2453</v>
      </c>
      <c r="F621" t="s">
        <v>1926</v>
      </c>
      <c r="G621" t="s">
        <v>2454</v>
      </c>
      <c r="H621" t="s">
        <v>2455</v>
      </c>
      <c r="I621" t="s">
        <v>1796</v>
      </c>
      <c r="K621" s="2" t="str">
        <f>HYPERLINK("http://collections.slsa.sa.gov.au/resource/BRG+332/12/156")</f>
        <v>http://collections.slsa.sa.gov.au/resource/BRG+332/12/156</v>
      </c>
    </row>
    <row r="622" spans="1:11" x14ac:dyDescent="0.25">
      <c r="A622" t="s">
        <v>2456</v>
      </c>
      <c r="B622" s="1" t="str">
        <f>HYPERLINK("https://www.catalog.slsa.sa.gov.au/record=b3131513")</f>
        <v>https://www.catalog.slsa.sa.gov.au/record=b3131513</v>
      </c>
      <c r="C622" s="1" t="str">
        <f>HYPERLINK("https://www.catalog.slsa.sa.gov.au/xrecord=b3131513")</f>
        <v>https://www.catalog.slsa.sa.gov.au/xrecord=b3131513</v>
      </c>
      <c r="D622" t="s">
        <v>1792</v>
      </c>
      <c r="E622" t="s">
        <v>2457</v>
      </c>
      <c r="F622" t="s">
        <v>1926</v>
      </c>
      <c r="G622" t="s">
        <v>2458</v>
      </c>
      <c r="H622" t="s">
        <v>2459</v>
      </c>
      <c r="I622" t="s">
        <v>2460</v>
      </c>
      <c r="K622" s="2" t="str">
        <f>HYPERLINK("http://collections.slsa.sa.gov.au/resource/BRG+332/12/20")</f>
        <v>http://collections.slsa.sa.gov.au/resource/BRG+332/12/20</v>
      </c>
    </row>
    <row r="623" spans="1:11" x14ac:dyDescent="0.25">
      <c r="A623" t="s">
        <v>2461</v>
      </c>
      <c r="B623" s="1" t="str">
        <f>HYPERLINK("https://www.catalog.slsa.sa.gov.au/record=b3131514")</f>
        <v>https://www.catalog.slsa.sa.gov.au/record=b3131514</v>
      </c>
      <c r="C623" s="1" t="str">
        <f>HYPERLINK("https://www.catalog.slsa.sa.gov.au/xrecord=b3131514")</f>
        <v>https://www.catalog.slsa.sa.gov.au/xrecord=b3131514</v>
      </c>
      <c r="D623" t="s">
        <v>1792</v>
      </c>
      <c r="E623" t="s">
        <v>2462</v>
      </c>
      <c r="F623" t="s">
        <v>1926</v>
      </c>
      <c r="G623" t="s">
        <v>2463</v>
      </c>
      <c r="H623" t="s">
        <v>2464</v>
      </c>
      <c r="I623" t="s">
        <v>2465</v>
      </c>
      <c r="K623" s="2" t="str">
        <f>HYPERLINK("http://collections.slsa.sa.gov.au/resource/BRG+332/12/21")</f>
        <v>http://collections.slsa.sa.gov.au/resource/BRG+332/12/21</v>
      </c>
    </row>
    <row r="624" spans="1:11" x14ac:dyDescent="0.25">
      <c r="A624" t="s">
        <v>2466</v>
      </c>
      <c r="B624" s="1" t="str">
        <f>HYPERLINK("https://www.catalog.slsa.sa.gov.au/record=b3131515")</f>
        <v>https://www.catalog.slsa.sa.gov.au/record=b3131515</v>
      </c>
      <c r="C624" s="1" t="str">
        <f>HYPERLINK("https://www.catalog.slsa.sa.gov.au/xrecord=b3131515")</f>
        <v>https://www.catalog.slsa.sa.gov.au/xrecord=b3131515</v>
      </c>
      <c r="D624" t="s">
        <v>1792</v>
      </c>
      <c r="E624" t="s">
        <v>2467</v>
      </c>
      <c r="F624" t="s">
        <v>1926</v>
      </c>
      <c r="G624" t="s">
        <v>2468</v>
      </c>
      <c r="H624" t="s">
        <v>2469</v>
      </c>
      <c r="I624" t="s">
        <v>2470</v>
      </c>
      <c r="K624" s="2" t="str">
        <f>HYPERLINK("http://collections.slsa.sa.gov.au/resource/BRG+332/12/22")</f>
        <v>http://collections.slsa.sa.gov.au/resource/BRG+332/12/22</v>
      </c>
    </row>
    <row r="625" spans="1:11" x14ac:dyDescent="0.25">
      <c r="A625" t="s">
        <v>2471</v>
      </c>
      <c r="B625" s="1" t="str">
        <f>HYPERLINK("https://www.catalog.slsa.sa.gov.au/record=b3131517")</f>
        <v>https://www.catalog.slsa.sa.gov.au/record=b3131517</v>
      </c>
      <c r="C625" s="1" t="str">
        <f>HYPERLINK("https://www.catalog.slsa.sa.gov.au/xrecord=b3131517")</f>
        <v>https://www.catalog.slsa.sa.gov.au/xrecord=b3131517</v>
      </c>
      <c r="D625" t="s">
        <v>1792</v>
      </c>
      <c r="E625" t="s">
        <v>2472</v>
      </c>
      <c r="F625" t="s">
        <v>1926</v>
      </c>
      <c r="G625" t="s">
        <v>2473</v>
      </c>
      <c r="H625" t="s">
        <v>2474</v>
      </c>
      <c r="I625" t="s">
        <v>2475</v>
      </c>
      <c r="K625" s="2" t="str">
        <f>HYPERLINK("http://collections.slsa.sa.gov.au/resource/BRG+332/12/24")</f>
        <v>http://collections.slsa.sa.gov.au/resource/BRG+332/12/24</v>
      </c>
    </row>
    <row r="626" spans="1:11" x14ac:dyDescent="0.25">
      <c r="A626" t="s">
        <v>2476</v>
      </c>
      <c r="B626" s="1" t="str">
        <f>HYPERLINK("https://www.catalog.slsa.sa.gov.au/record=b3131520")</f>
        <v>https://www.catalog.slsa.sa.gov.au/record=b3131520</v>
      </c>
      <c r="C626" s="1" t="str">
        <f>HYPERLINK("https://www.catalog.slsa.sa.gov.au/xrecord=b3131520")</f>
        <v>https://www.catalog.slsa.sa.gov.au/xrecord=b3131520</v>
      </c>
      <c r="D626" t="s">
        <v>1792</v>
      </c>
      <c r="E626" t="s">
        <v>2477</v>
      </c>
      <c r="F626" t="s">
        <v>1926</v>
      </c>
      <c r="G626" t="s">
        <v>2478</v>
      </c>
      <c r="H626" t="s">
        <v>2479</v>
      </c>
      <c r="I626" t="s">
        <v>2465</v>
      </c>
      <c r="K626" s="2" t="str">
        <f>HYPERLINK("http://collections.slsa.sa.gov.au/resource/BRG+332/12/27")</f>
        <v>http://collections.slsa.sa.gov.au/resource/BRG+332/12/27</v>
      </c>
    </row>
    <row r="627" spans="1:11" x14ac:dyDescent="0.25">
      <c r="A627" t="s">
        <v>2480</v>
      </c>
      <c r="B627" s="1" t="str">
        <f>HYPERLINK("https://www.catalog.slsa.sa.gov.au/record=b3131522")</f>
        <v>https://www.catalog.slsa.sa.gov.au/record=b3131522</v>
      </c>
      <c r="C627" s="1" t="str">
        <f>HYPERLINK("https://www.catalog.slsa.sa.gov.au/xrecord=b3131522")</f>
        <v>https://www.catalog.slsa.sa.gov.au/xrecord=b3131522</v>
      </c>
      <c r="D627" t="s">
        <v>1792</v>
      </c>
      <c r="E627" t="s">
        <v>2481</v>
      </c>
      <c r="F627" t="s">
        <v>1926</v>
      </c>
      <c r="G627" t="s">
        <v>2482</v>
      </c>
      <c r="H627" t="s">
        <v>2483</v>
      </c>
      <c r="I627" t="s">
        <v>2484</v>
      </c>
      <c r="K627" s="2" t="str">
        <f>HYPERLINK("http://collections.slsa.sa.gov.au/resource/BRG+332/12/29")</f>
        <v>http://collections.slsa.sa.gov.au/resource/BRG+332/12/29</v>
      </c>
    </row>
    <row r="628" spans="1:11" x14ac:dyDescent="0.25">
      <c r="A628" t="s">
        <v>2485</v>
      </c>
      <c r="B628" s="1" t="str">
        <f>HYPERLINK("https://www.catalog.slsa.sa.gov.au/record=b3131531")</f>
        <v>https://www.catalog.slsa.sa.gov.au/record=b3131531</v>
      </c>
      <c r="C628" s="1" t="str">
        <f>HYPERLINK("https://www.catalog.slsa.sa.gov.au/xrecord=b3131531")</f>
        <v>https://www.catalog.slsa.sa.gov.au/xrecord=b3131531</v>
      </c>
      <c r="D628" t="s">
        <v>1792</v>
      </c>
      <c r="E628" t="s">
        <v>2486</v>
      </c>
      <c r="F628" t="s">
        <v>1926</v>
      </c>
      <c r="G628" t="s">
        <v>2487</v>
      </c>
      <c r="H628" t="s">
        <v>2488</v>
      </c>
      <c r="I628" t="s">
        <v>2489</v>
      </c>
      <c r="K628" s="2" t="str">
        <f>HYPERLINK("http://collections.slsa.sa.gov.au/resource/BRG+332/12/38")</f>
        <v>http://collections.slsa.sa.gov.au/resource/BRG+332/12/38</v>
      </c>
    </row>
    <row r="629" spans="1:11" x14ac:dyDescent="0.25">
      <c r="A629" t="s">
        <v>2490</v>
      </c>
      <c r="B629" s="1" t="str">
        <f>HYPERLINK("https://www.catalog.slsa.sa.gov.au/record=b3131532")</f>
        <v>https://www.catalog.slsa.sa.gov.au/record=b3131532</v>
      </c>
      <c r="C629" s="1" t="str">
        <f>HYPERLINK("https://www.catalog.slsa.sa.gov.au/xrecord=b3131532")</f>
        <v>https://www.catalog.slsa.sa.gov.au/xrecord=b3131532</v>
      </c>
      <c r="D629" t="s">
        <v>1792</v>
      </c>
      <c r="E629" t="s">
        <v>2486</v>
      </c>
      <c r="F629" t="s">
        <v>1926</v>
      </c>
      <c r="G629" t="s">
        <v>2491</v>
      </c>
      <c r="H629" t="s">
        <v>2492</v>
      </c>
      <c r="I629" t="s">
        <v>1796</v>
      </c>
      <c r="K629" s="2" t="str">
        <f>HYPERLINK("http://collections.slsa.sa.gov.au/resource/BRG+332/12/39")</f>
        <v>http://collections.slsa.sa.gov.au/resource/BRG+332/12/39</v>
      </c>
    </row>
    <row r="630" spans="1:11" x14ac:dyDescent="0.25">
      <c r="A630" t="s">
        <v>2493</v>
      </c>
      <c r="B630" s="1" t="str">
        <f>HYPERLINK("https://www.catalog.slsa.sa.gov.au/record=b3131560")</f>
        <v>https://www.catalog.slsa.sa.gov.au/record=b3131560</v>
      </c>
      <c r="C630" s="1" t="str">
        <f>HYPERLINK("https://www.catalog.slsa.sa.gov.au/xrecord=b3131560")</f>
        <v>https://www.catalog.slsa.sa.gov.au/xrecord=b3131560</v>
      </c>
      <c r="D630" t="s">
        <v>1792</v>
      </c>
      <c r="E630" t="s">
        <v>2494</v>
      </c>
      <c r="F630" t="s">
        <v>1926</v>
      </c>
      <c r="G630" t="s">
        <v>2495</v>
      </c>
      <c r="H630" t="s">
        <v>2496</v>
      </c>
      <c r="I630" t="s">
        <v>2497</v>
      </c>
      <c r="K630" s="2" t="str">
        <f>HYPERLINK("http://collections.slsa.sa.gov.au/resource/BRG+332/12/77")</f>
        <v>http://collections.slsa.sa.gov.au/resource/BRG+332/12/77</v>
      </c>
    </row>
    <row r="631" spans="1:11" x14ac:dyDescent="0.25">
      <c r="A631" t="s">
        <v>2498</v>
      </c>
      <c r="B631" s="1" t="str">
        <f>HYPERLINK("https://www.catalog.slsa.sa.gov.au/record=b3131561")</f>
        <v>https://www.catalog.slsa.sa.gov.au/record=b3131561</v>
      </c>
      <c r="C631" s="1" t="str">
        <f>HYPERLINK("https://www.catalog.slsa.sa.gov.au/xrecord=b3131561")</f>
        <v>https://www.catalog.slsa.sa.gov.au/xrecord=b3131561</v>
      </c>
      <c r="D631" t="s">
        <v>1792</v>
      </c>
      <c r="E631" t="s">
        <v>2494</v>
      </c>
      <c r="F631" t="s">
        <v>1926</v>
      </c>
      <c r="G631" t="s">
        <v>2495</v>
      </c>
      <c r="H631" t="s">
        <v>2499</v>
      </c>
      <c r="I631" t="s">
        <v>2497</v>
      </c>
      <c r="K631" s="2" t="str">
        <f>HYPERLINK("http://collections.slsa.sa.gov.au/resource/BRG+332/12/78")</f>
        <v>http://collections.slsa.sa.gov.au/resource/BRG+332/12/78</v>
      </c>
    </row>
    <row r="632" spans="1:11" x14ac:dyDescent="0.25">
      <c r="A632" t="s">
        <v>2500</v>
      </c>
      <c r="B632" s="1" t="str">
        <f>HYPERLINK("https://www.catalog.slsa.sa.gov.au/record=b3131562")</f>
        <v>https://www.catalog.slsa.sa.gov.au/record=b3131562</v>
      </c>
      <c r="C632" s="1" t="str">
        <f>HYPERLINK("https://www.catalog.slsa.sa.gov.au/xrecord=b3131562")</f>
        <v>https://www.catalog.slsa.sa.gov.au/xrecord=b3131562</v>
      </c>
      <c r="D632" t="s">
        <v>1792</v>
      </c>
      <c r="E632" t="s">
        <v>2501</v>
      </c>
      <c r="F632" t="s">
        <v>1926</v>
      </c>
      <c r="G632" t="s">
        <v>2473</v>
      </c>
      <c r="H632" t="s">
        <v>2502</v>
      </c>
      <c r="I632" t="s">
        <v>2503</v>
      </c>
      <c r="K632" s="2" t="str">
        <f>HYPERLINK("http://collections.slsa.sa.gov.au/resource/BRG+332/12/79")</f>
        <v>http://collections.slsa.sa.gov.au/resource/BRG+332/12/79</v>
      </c>
    </row>
    <row r="633" spans="1:11" x14ac:dyDescent="0.25">
      <c r="A633" t="s">
        <v>2504</v>
      </c>
      <c r="B633" s="1" t="str">
        <f>HYPERLINK("https://www.catalog.slsa.sa.gov.au/record=b3141770")</f>
        <v>https://www.catalog.slsa.sa.gov.au/record=b3141770</v>
      </c>
      <c r="C633" s="1" t="str">
        <f>HYPERLINK("https://www.catalog.slsa.sa.gov.au/xrecord=b3141770")</f>
        <v>https://www.catalog.slsa.sa.gov.au/xrecord=b3141770</v>
      </c>
      <c r="D633" t="s">
        <v>2505</v>
      </c>
      <c r="E633" t="s">
        <v>2506</v>
      </c>
      <c r="F633" t="s">
        <v>2419</v>
      </c>
      <c r="G633" t="s">
        <v>2507</v>
      </c>
      <c r="H633" t="s">
        <v>2508</v>
      </c>
      <c r="I633" t="s">
        <v>2509</v>
      </c>
      <c r="J633" t="s">
        <v>2510</v>
      </c>
      <c r="K633" s="2" t="str">
        <f>HYPERLINK("http://collections.slsa.sa.gov.au/resource/BRG+386/18")</f>
        <v>http://collections.slsa.sa.gov.au/resource/BRG+386/18</v>
      </c>
    </row>
    <row r="634" spans="1:11" x14ac:dyDescent="0.25">
      <c r="A634" t="s">
        <v>2511</v>
      </c>
      <c r="B634" s="1" t="str">
        <f>HYPERLINK("https://www.catalog.slsa.sa.gov.au/record=b2957227")</f>
        <v>https://www.catalog.slsa.sa.gov.au/record=b2957227</v>
      </c>
      <c r="C634" s="1" t="str">
        <f>HYPERLINK("https://www.catalog.slsa.sa.gov.au/xrecord=b2957227")</f>
        <v>https://www.catalog.slsa.sa.gov.au/xrecord=b2957227</v>
      </c>
      <c r="E634" t="s">
        <v>2512</v>
      </c>
      <c r="F634" t="s">
        <v>1926</v>
      </c>
      <c r="G634" t="s">
        <v>2513</v>
      </c>
      <c r="H634" t="s">
        <v>2514</v>
      </c>
      <c r="I634" t="s">
        <v>2515</v>
      </c>
      <c r="J634" t="s">
        <v>2516</v>
      </c>
      <c r="K634" s="2" t="str">
        <f>HYPERLINK("http://collections.slsa.sa.gov.au/resource/PRG+1631/45/37a")</f>
        <v>http://collections.slsa.sa.gov.au/resource/PRG+1631/45/37a</v>
      </c>
    </row>
    <row r="635" spans="1:11" x14ac:dyDescent="0.25">
      <c r="A635" t="s">
        <v>2517</v>
      </c>
      <c r="B635" s="1" t="str">
        <f>HYPERLINK("https://www.catalog.slsa.sa.gov.au/record=b2957228")</f>
        <v>https://www.catalog.slsa.sa.gov.au/record=b2957228</v>
      </c>
      <c r="C635" s="1" t="str">
        <f>HYPERLINK("https://www.catalog.slsa.sa.gov.au/xrecord=b2957228")</f>
        <v>https://www.catalog.slsa.sa.gov.au/xrecord=b2957228</v>
      </c>
      <c r="E635" t="s">
        <v>2518</v>
      </c>
      <c r="F635" t="s">
        <v>1926</v>
      </c>
      <c r="G635" t="s">
        <v>2519</v>
      </c>
      <c r="H635" t="s">
        <v>2520</v>
      </c>
      <c r="I635" t="s">
        <v>2515</v>
      </c>
      <c r="J635" t="s">
        <v>2516</v>
      </c>
      <c r="K635" s="2" t="str">
        <f>HYPERLINK("http://collections.slsa.sa.gov.au/resource/PRG+1631/45/37b")</f>
        <v>http://collections.slsa.sa.gov.au/resource/PRG+1631/45/37b</v>
      </c>
    </row>
    <row r="636" spans="1:11" x14ac:dyDescent="0.25">
      <c r="A636" t="s">
        <v>2521</v>
      </c>
      <c r="B636" s="1" t="str">
        <f>HYPERLINK("https://www.catalog.slsa.sa.gov.au/record=b2952678")</f>
        <v>https://www.catalog.slsa.sa.gov.au/record=b2952678</v>
      </c>
      <c r="C636" s="1" t="str">
        <f>HYPERLINK("https://www.catalog.slsa.sa.gov.au/xrecord=b2952678")</f>
        <v>https://www.catalog.slsa.sa.gov.au/xrecord=b2952678</v>
      </c>
      <c r="E636" t="s">
        <v>2522</v>
      </c>
      <c r="F636" t="s">
        <v>1926</v>
      </c>
      <c r="G636" t="s">
        <v>2523</v>
      </c>
      <c r="H636" t="s">
        <v>2524</v>
      </c>
      <c r="I636" t="s">
        <v>2525</v>
      </c>
      <c r="J636" t="s">
        <v>2526</v>
      </c>
      <c r="K636" s="2" t="str">
        <f>HYPERLINK("http://collections.slsa.sa.gov.au/resource/PRG+1631/5/95")</f>
        <v>http://collections.slsa.sa.gov.au/resource/PRG+1631/5/95</v>
      </c>
    </row>
    <row r="637" spans="1:11" x14ac:dyDescent="0.25">
      <c r="A637" t="s">
        <v>2527</v>
      </c>
      <c r="B637" s="1" t="str">
        <f>HYPERLINK("https://www.catalog.slsa.sa.gov.au/record=b2952679")</f>
        <v>https://www.catalog.slsa.sa.gov.au/record=b2952679</v>
      </c>
      <c r="C637" s="1" t="str">
        <f>HYPERLINK("https://www.catalog.slsa.sa.gov.au/xrecord=b2952679")</f>
        <v>https://www.catalog.slsa.sa.gov.au/xrecord=b2952679</v>
      </c>
      <c r="E637" t="s">
        <v>2522</v>
      </c>
      <c r="F637" t="s">
        <v>1926</v>
      </c>
      <c r="G637" t="s">
        <v>2528</v>
      </c>
      <c r="H637" t="s">
        <v>2529</v>
      </c>
      <c r="I637" t="s">
        <v>2525</v>
      </c>
      <c r="J637" t="s">
        <v>2526</v>
      </c>
      <c r="K637" s="2" t="str">
        <f>HYPERLINK("http://collections.slsa.sa.gov.au/resource/PRG+1631/5/96")</f>
        <v>http://collections.slsa.sa.gov.au/resource/PRG+1631/5/96</v>
      </c>
    </row>
    <row r="638" spans="1:11" x14ac:dyDescent="0.25">
      <c r="A638" t="s">
        <v>2530</v>
      </c>
      <c r="B638" s="1" t="str">
        <f>HYPERLINK("https://www.catalog.slsa.sa.gov.au/record=b2952680")</f>
        <v>https://www.catalog.slsa.sa.gov.au/record=b2952680</v>
      </c>
      <c r="C638" s="1" t="str">
        <f>HYPERLINK("https://www.catalog.slsa.sa.gov.au/xrecord=b2952680")</f>
        <v>https://www.catalog.slsa.sa.gov.au/xrecord=b2952680</v>
      </c>
      <c r="E638" t="s">
        <v>2522</v>
      </c>
      <c r="F638" t="s">
        <v>1926</v>
      </c>
      <c r="G638" t="s">
        <v>2531</v>
      </c>
      <c r="H638" t="s">
        <v>2532</v>
      </c>
      <c r="I638" t="s">
        <v>2525</v>
      </c>
      <c r="J638" t="s">
        <v>2526</v>
      </c>
      <c r="K638" s="2" t="str">
        <f>HYPERLINK("http://collections.slsa.sa.gov.au/resource/PRG+1631/5/97")</f>
        <v>http://collections.slsa.sa.gov.au/resource/PRG+1631/5/97</v>
      </c>
    </row>
    <row r="639" spans="1:11" x14ac:dyDescent="0.25">
      <c r="A639" t="s">
        <v>2533</v>
      </c>
      <c r="B639" s="1" t="str">
        <f>HYPERLINK("https://www.catalog.slsa.sa.gov.au/record=b2959438")</f>
        <v>https://www.catalog.slsa.sa.gov.au/record=b2959438</v>
      </c>
      <c r="C639" s="1" t="str">
        <f>HYPERLINK("https://www.catalog.slsa.sa.gov.au/xrecord=b2959438")</f>
        <v>https://www.catalog.slsa.sa.gov.au/xrecord=b2959438</v>
      </c>
      <c r="D639" t="s">
        <v>2534</v>
      </c>
      <c r="E639" t="s">
        <v>2535</v>
      </c>
      <c r="F639" t="s">
        <v>1926</v>
      </c>
      <c r="G639" t="s">
        <v>2536</v>
      </c>
      <c r="H639" t="s">
        <v>2537</v>
      </c>
      <c r="I639" t="s">
        <v>2538</v>
      </c>
      <c r="J639" t="s">
        <v>2539</v>
      </c>
      <c r="K639" s="2" t="str">
        <f>HYPERLINK("http://collections.slsa.sa.gov.au/resource/PRG+1631/77/11")</f>
        <v>http://collections.slsa.sa.gov.au/resource/PRG+1631/77/11</v>
      </c>
    </row>
    <row r="640" spans="1:11" x14ac:dyDescent="0.25">
      <c r="A640" t="s">
        <v>2540</v>
      </c>
      <c r="B640" s="1" t="str">
        <f>HYPERLINK("https://www.catalog.slsa.sa.gov.au/record=b2959441")</f>
        <v>https://www.catalog.slsa.sa.gov.au/record=b2959441</v>
      </c>
      <c r="C640" s="1" t="str">
        <f>HYPERLINK("https://www.catalog.slsa.sa.gov.au/xrecord=b2959441")</f>
        <v>https://www.catalog.slsa.sa.gov.au/xrecord=b2959441</v>
      </c>
      <c r="D640" t="s">
        <v>2534</v>
      </c>
      <c r="E640" t="s">
        <v>2541</v>
      </c>
      <c r="F640" t="s">
        <v>1926</v>
      </c>
      <c r="G640" t="s">
        <v>2542</v>
      </c>
      <c r="H640" t="s">
        <v>2543</v>
      </c>
      <c r="I640" t="s">
        <v>2544</v>
      </c>
      <c r="J640" t="s">
        <v>2539</v>
      </c>
      <c r="K640" s="2" t="str">
        <f>HYPERLINK("http://collections.slsa.sa.gov.au/resource/PRG+1631/77/13")</f>
        <v>http://collections.slsa.sa.gov.au/resource/PRG+1631/77/13</v>
      </c>
    </row>
    <row r="641" spans="1:11" x14ac:dyDescent="0.25">
      <c r="A641" t="s">
        <v>2545</v>
      </c>
      <c r="B641" s="1" t="str">
        <f>HYPERLINK("https://www.catalog.slsa.sa.gov.au/record=b3013806")</f>
        <v>https://www.catalog.slsa.sa.gov.au/record=b3013806</v>
      </c>
      <c r="C641" s="1" t="str">
        <f>HYPERLINK("https://www.catalog.slsa.sa.gov.au/xrecord=b3013806")</f>
        <v>https://www.catalog.slsa.sa.gov.au/xrecord=b3013806</v>
      </c>
      <c r="E641" t="s">
        <v>2546</v>
      </c>
      <c r="F641" t="s">
        <v>1926</v>
      </c>
      <c r="G641" t="s">
        <v>2547</v>
      </c>
      <c r="H641" t="s">
        <v>2548</v>
      </c>
      <c r="I641" t="s">
        <v>2549</v>
      </c>
      <c r="J641" t="s">
        <v>2550</v>
      </c>
      <c r="K641" s="2" t="str">
        <f>HYPERLINK("http://collections.slsa.sa.gov.au/resource/PRG+1642/13/104")</f>
        <v>http://collections.slsa.sa.gov.au/resource/PRG+1642/13/104</v>
      </c>
    </row>
    <row r="642" spans="1:11" x14ac:dyDescent="0.25">
      <c r="A642" t="s">
        <v>2551</v>
      </c>
      <c r="B642" s="1" t="str">
        <f>HYPERLINK("https://www.catalog.slsa.sa.gov.au/record=b3013807")</f>
        <v>https://www.catalog.slsa.sa.gov.au/record=b3013807</v>
      </c>
      <c r="C642" s="1" t="str">
        <f>HYPERLINK("https://www.catalog.slsa.sa.gov.au/xrecord=b3013807")</f>
        <v>https://www.catalog.slsa.sa.gov.au/xrecord=b3013807</v>
      </c>
      <c r="E642" t="s">
        <v>2552</v>
      </c>
      <c r="F642" t="s">
        <v>1926</v>
      </c>
      <c r="G642" t="s">
        <v>2553</v>
      </c>
      <c r="H642" t="s">
        <v>2554</v>
      </c>
      <c r="I642" t="s">
        <v>2549</v>
      </c>
      <c r="J642" t="s">
        <v>2550</v>
      </c>
      <c r="K642" s="2" t="str">
        <f>HYPERLINK("http://collections.slsa.sa.gov.au/resource/PRG+1642/13/105")</f>
        <v>http://collections.slsa.sa.gov.au/resource/PRG+1642/13/105</v>
      </c>
    </row>
    <row r="643" spans="1:11" x14ac:dyDescent="0.25">
      <c r="A643" t="s">
        <v>2555</v>
      </c>
      <c r="B643" s="1" t="str">
        <f>HYPERLINK("https://www.catalog.slsa.sa.gov.au/record=b3013809")</f>
        <v>https://www.catalog.slsa.sa.gov.au/record=b3013809</v>
      </c>
      <c r="C643" s="1" t="str">
        <f>HYPERLINK("https://www.catalog.slsa.sa.gov.au/xrecord=b3013809")</f>
        <v>https://www.catalog.slsa.sa.gov.au/xrecord=b3013809</v>
      </c>
      <c r="E643" t="s">
        <v>2556</v>
      </c>
      <c r="F643" t="s">
        <v>1926</v>
      </c>
      <c r="G643" t="s">
        <v>2557</v>
      </c>
      <c r="H643" t="s">
        <v>2558</v>
      </c>
      <c r="I643" t="s">
        <v>2549</v>
      </c>
      <c r="J643" t="s">
        <v>2550</v>
      </c>
      <c r="K643" s="2" t="str">
        <f>HYPERLINK("http://collections.slsa.sa.gov.au/resource/PRG+1642/13/106")</f>
        <v>http://collections.slsa.sa.gov.au/resource/PRG+1642/13/106</v>
      </c>
    </row>
    <row r="644" spans="1:11" x14ac:dyDescent="0.25">
      <c r="A644" t="s">
        <v>2559</v>
      </c>
      <c r="B644" s="1" t="str">
        <f>HYPERLINK("https://www.catalog.slsa.sa.gov.au/record=b3013812")</f>
        <v>https://www.catalog.slsa.sa.gov.au/record=b3013812</v>
      </c>
      <c r="C644" s="1" t="str">
        <f>HYPERLINK("https://www.catalog.slsa.sa.gov.au/xrecord=b3013812")</f>
        <v>https://www.catalog.slsa.sa.gov.au/xrecord=b3013812</v>
      </c>
      <c r="E644" t="s">
        <v>2560</v>
      </c>
      <c r="F644" t="s">
        <v>1926</v>
      </c>
      <c r="G644" t="s">
        <v>2547</v>
      </c>
      <c r="H644" t="s">
        <v>2561</v>
      </c>
      <c r="I644" t="s">
        <v>2549</v>
      </c>
      <c r="J644" t="s">
        <v>2550</v>
      </c>
      <c r="K644" s="2" t="str">
        <f>HYPERLINK("http://collections.slsa.sa.gov.au/resource/PRG+1642/13/112")</f>
        <v>http://collections.slsa.sa.gov.au/resource/PRG+1642/13/112</v>
      </c>
    </row>
    <row r="645" spans="1:11" x14ac:dyDescent="0.25">
      <c r="A645" t="s">
        <v>2562</v>
      </c>
      <c r="B645" s="1" t="str">
        <f>HYPERLINK("https://www.catalog.slsa.sa.gov.au/record=b3015368")</f>
        <v>https://www.catalog.slsa.sa.gov.au/record=b3015368</v>
      </c>
      <c r="C645" s="1" t="str">
        <f>HYPERLINK("https://www.catalog.slsa.sa.gov.au/xrecord=b3015368")</f>
        <v>https://www.catalog.slsa.sa.gov.au/xrecord=b3015368</v>
      </c>
      <c r="E645" t="s">
        <v>2563</v>
      </c>
      <c r="F645" t="s">
        <v>1926</v>
      </c>
      <c r="G645" t="s">
        <v>2564</v>
      </c>
      <c r="H645" t="s">
        <v>2565</v>
      </c>
      <c r="I645" t="s">
        <v>2566</v>
      </c>
      <c r="J645" t="s">
        <v>2567</v>
      </c>
      <c r="K645" s="2" t="str">
        <f>HYPERLINK("http://collections.slsa.sa.gov.au/resource/PRG+1642/24/279")</f>
        <v>http://collections.slsa.sa.gov.au/resource/PRG+1642/24/279</v>
      </c>
    </row>
    <row r="646" spans="1:11" x14ac:dyDescent="0.25">
      <c r="A646" t="s">
        <v>2568</v>
      </c>
      <c r="B646" s="1" t="str">
        <f>HYPERLINK("https://www.catalog.slsa.sa.gov.au/record=b3013569")</f>
        <v>https://www.catalog.slsa.sa.gov.au/record=b3013569</v>
      </c>
      <c r="C646" s="1" t="str">
        <f>HYPERLINK("https://www.catalog.slsa.sa.gov.au/xrecord=b3013569")</f>
        <v>https://www.catalog.slsa.sa.gov.au/xrecord=b3013569</v>
      </c>
      <c r="E646" t="s">
        <v>2569</v>
      </c>
      <c r="F646" t="s">
        <v>1926</v>
      </c>
      <c r="G646" t="s">
        <v>2570</v>
      </c>
      <c r="H646" t="s">
        <v>2571</v>
      </c>
      <c r="I646" t="s">
        <v>2572</v>
      </c>
      <c r="J646" t="s">
        <v>2573</v>
      </c>
      <c r="K646" s="2" t="str">
        <f>HYPERLINK("http://collections.slsa.sa.gov.au/resource/PRG+1644/2/10")</f>
        <v>http://collections.slsa.sa.gov.au/resource/PRG+1644/2/10</v>
      </c>
    </row>
    <row r="647" spans="1:11" x14ac:dyDescent="0.25">
      <c r="A647" t="s">
        <v>2574</v>
      </c>
      <c r="B647" s="1" t="str">
        <f>HYPERLINK("https://www.catalog.slsa.sa.gov.au/record=b3022478")</f>
        <v>https://www.catalog.slsa.sa.gov.au/record=b3022478</v>
      </c>
      <c r="C647" s="1" t="str">
        <f>HYPERLINK("https://www.catalog.slsa.sa.gov.au/xrecord=b3022478")</f>
        <v>https://www.catalog.slsa.sa.gov.au/xrecord=b3022478</v>
      </c>
      <c r="E647" t="s">
        <v>2575</v>
      </c>
      <c r="F647" t="s">
        <v>1926</v>
      </c>
      <c r="G647" t="s">
        <v>2576</v>
      </c>
      <c r="H647" t="s">
        <v>2577</v>
      </c>
      <c r="I647" t="s">
        <v>2578</v>
      </c>
      <c r="J647" t="s">
        <v>2579</v>
      </c>
      <c r="K647" s="2" t="str">
        <f>HYPERLINK("http://collections.slsa.sa.gov.au/resource/PRG+1652/61/21")</f>
        <v>http://collections.slsa.sa.gov.au/resource/PRG+1652/61/21</v>
      </c>
    </row>
    <row r="648" spans="1:11" x14ac:dyDescent="0.25">
      <c r="A648" t="s">
        <v>2580</v>
      </c>
      <c r="B648" s="1" t="str">
        <f>HYPERLINK("https://www.catalog.slsa.sa.gov.au/record=b3022481")</f>
        <v>https://www.catalog.slsa.sa.gov.au/record=b3022481</v>
      </c>
      <c r="C648" s="1" t="str">
        <f>HYPERLINK("https://www.catalog.slsa.sa.gov.au/xrecord=b3022481")</f>
        <v>https://www.catalog.slsa.sa.gov.au/xrecord=b3022481</v>
      </c>
      <c r="E648" t="s">
        <v>2575</v>
      </c>
      <c r="F648" t="s">
        <v>1926</v>
      </c>
      <c r="G648" t="s">
        <v>2581</v>
      </c>
      <c r="H648" t="s">
        <v>2582</v>
      </c>
      <c r="I648" t="s">
        <v>2578</v>
      </c>
      <c r="J648" t="s">
        <v>2579</v>
      </c>
      <c r="K648" s="2" t="str">
        <f>HYPERLINK("http://collections.slsa.sa.gov.au/resource/PRG+1652/61/22")</f>
        <v>http://collections.slsa.sa.gov.au/resource/PRG+1652/61/22</v>
      </c>
    </row>
    <row r="649" spans="1:11" x14ac:dyDescent="0.25">
      <c r="A649" t="s">
        <v>2583</v>
      </c>
      <c r="B649" s="1" t="str">
        <f>HYPERLINK("https://www.catalog.slsa.sa.gov.au/record=b3026579")</f>
        <v>https://www.catalog.slsa.sa.gov.au/record=b3026579</v>
      </c>
      <c r="C649" s="1" t="str">
        <f>HYPERLINK("https://www.catalog.slsa.sa.gov.au/xrecord=b3026579")</f>
        <v>https://www.catalog.slsa.sa.gov.au/xrecord=b3026579</v>
      </c>
      <c r="D649" t="s">
        <v>2584</v>
      </c>
      <c r="E649" t="s">
        <v>2585</v>
      </c>
      <c r="F649" t="s">
        <v>1926</v>
      </c>
      <c r="G649" t="s">
        <v>2586</v>
      </c>
      <c r="H649" t="s">
        <v>2587</v>
      </c>
      <c r="I649" t="s">
        <v>2588</v>
      </c>
      <c r="J649" t="s">
        <v>1809</v>
      </c>
      <c r="K649" s="2" t="str">
        <f>HYPERLINK("http://collections.slsa.sa.gov.au/resource/PRG+1658/1/1")</f>
        <v>http://collections.slsa.sa.gov.au/resource/PRG+1658/1/1</v>
      </c>
    </row>
    <row r="650" spans="1:11" x14ac:dyDescent="0.25">
      <c r="A650" t="s">
        <v>2589</v>
      </c>
      <c r="B650" s="1" t="str">
        <f>HYPERLINK("https://www.catalog.slsa.sa.gov.au/record=b3029704")</f>
        <v>https://www.catalog.slsa.sa.gov.au/record=b3029704</v>
      </c>
      <c r="C650" s="1" t="str">
        <f>HYPERLINK("https://www.catalog.slsa.sa.gov.au/xrecord=b3029704")</f>
        <v>https://www.catalog.slsa.sa.gov.au/xrecord=b3029704</v>
      </c>
      <c r="E650" t="s">
        <v>2590</v>
      </c>
      <c r="F650" t="s">
        <v>1926</v>
      </c>
      <c r="G650" t="s">
        <v>2591</v>
      </c>
      <c r="H650" t="s">
        <v>2592</v>
      </c>
      <c r="I650" t="s">
        <v>2593</v>
      </c>
      <c r="K650" s="2" t="str">
        <f>HYPERLINK("http://collections.slsa.sa.gov.au/resource/PRG+1664/15/1")</f>
        <v>http://collections.slsa.sa.gov.au/resource/PRG+1664/15/1</v>
      </c>
    </row>
    <row r="651" spans="1:11" x14ac:dyDescent="0.25">
      <c r="A651" t="s">
        <v>2594</v>
      </c>
      <c r="B651" s="1" t="str">
        <f>HYPERLINK("https://www.catalog.slsa.sa.gov.au/record=b3029749")</f>
        <v>https://www.catalog.slsa.sa.gov.au/record=b3029749</v>
      </c>
      <c r="C651" s="1" t="str">
        <f>HYPERLINK("https://www.catalog.slsa.sa.gov.au/xrecord=b3029749")</f>
        <v>https://www.catalog.slsa.sa.gov.au/xrecord=b3029749</v>
      </c>
      <c r="E651" t="s">
        <v>2595</v>
      </c>
      <c r="F651" t="s">
        <v>1926</v>
      </c>
      <c r="G651" t="s">
        <v>2591</v>
      </c>
      <c r="H651" t="s">
        <v>2596</v>
      </c>
      <c r="I651" t="s">
        <v>2597</v>
      </c>
      <c r="K651" s="2" t="str">
        <f>HYPERLINK("http://collections.slsa.sa.gov.au/resource/PRG+1664/15/13")</f>
        <v>http://collections.slsa.sa.gov.au/resource/PRG+1664/15/13</v>
      </c>
    </row>
    <row r="652" spans="1:11" x14ac:dyDescent="0.25">
      <c r="A652" t="s">
        <v>2598</v>
      </c>
      <c r="B652" s="1" t="str">
        <f>HYPERLINK("https://www.catalog.slsa.sa.gov.au/record=b3029750")</f>
        <v>https://www.catalog.slsa.sa.gov.au/record=b3029750</v>
      </c>
      <c r="C652" s="1" t="str">
        <f>HYPERLINK("https://www.catalog.slsa.sa.gov.au/xrecord=b3029750")</f>
        <v>https://www.catalog.slsa.sa.gov.au/xrecord=b3029750</v>
      </c>
      <c r="E652" t="s">
        <v>2599</v>
      </c>
      <c r="F652" t="s">
        <v>1926</v>
      </c>
      <c r="G652" t="s">
        <v>2591</v>
      </c>
      <c r="H652" t="s">
        <v>2600</v>
      </c>
      <c r="I652" t="s">
        <v>2601</v>
      </c>
      <c r="K652" s="2" t="str">
        <f>HYPERLINK("http://collections.slsa.sa.gov.au/resource/PRG+1664/15/14")</f>
        <v>http://collections.slsa.sa.gov.au/resource/PRG+1664/15/14</v>
      </c>
    </row>
    <row r="653" spans="1:11" x14ac:dyDescent="0.25">
      <c r="A653" t="s">
        <v>2602</v>
      </c>
      <c r="B653" s="1" t="str">
        <f>HYPERLINK("https://www.catalog.slsa.sa.gov.au/record=b3029751")</f>
        <v>https://www.catalog.slsa.sa.gov.au/record=b3029751</v>
      </c>
      <c r="C653" s="1" t="str">
        <f>HYPERLINK("https://www.catalog.slsa.sa.gov.au/xrecord=b3029751")</f>
        <v>https://www.catalog.slsa.sa.gov.au/xrecord=b3029751</v>
      </c>
      <c r="E653" t="s">
        <v>2603</v>
      </c>
      <c r="F653" t="s">
        <v>1926</v>
      </c>
      <c r="G653" t="s">
        <v>2591</v>
      </c>
      <c r="H653" t="s">
        <v>2604</v>
      </c>
      <c r="I653" t="s">
        <v>2605</v>
      </c>
      <c r="K653" s="2" t="str">
        <f>HYPERLINK("http://collections.slsa.sa.gov.au/resource/PRG+1664/15/15")</f>
        <v>http://collections.slsa.sa.gov.au/resource/PRG+1664/15/15</v>
      </c>
    </row>
    <row r="654" spans="1:11" x14ac:dyDescent="0.25">
      <c r="A654" t="s">
        <v>2606</v>
      </c>
      <c r="B654" s="1" t="str">
        <f>HYPERLINK("https://www.catalog.slsa.sa.gov.au/record=b3029752")</f>
        <v>https://www.catalog.slsa.sa.gov.au/record=b3029752</v>
      </c>
      <c r="C654" s="1" t="str">
        <f>HYPERLINK("https://www.catalog.slsa.sa.gov.au/xrecord=b3029752")</f>
        <v>https://www.catalog.slsa.sa.gov.au/xrecord=b3029752</v>
      </c>
      <c r="E654" t="s">
        <v>2607</v>
      </c>
      <c r="F654" t="s">
        <v>1926</v>
      </c>
      <c r="G654" t="s">
        <v>2608</v>
      </c>
      <c r="H654" t="s">
        <v>2609</v>
      </c>
      <c r="I654" t="s">
        <v>2610</v>
      </c>
      <c r="K654" s="2" t="str">
        <f>HYPERLINK("http://collections.slsa.sa.gov.au/resource/PRG+1664/15/16")</f>
        <v>http://collections.slsa.sa.gov.au/resource/PRG+1664/15/16</v>
      </c>
    </row>
    <row r="655" spans="1:11" x14ac:dyDescent="0.25">
      <c r="A655" t="s">
        <v>2611</v>
      </c>
      <c r="B655" s="1" t="str">
        <f>HYPERLINK("https://www.catalog.slsa.sa.gov.au/record=b3029755")</f>
        <v>https://www.catalog.slsa.sa.gov.au/record=b3029755</v>
      </c>
      <c r="C655" s="1" t="str">
        <f>HYPERLINK("https://www.catalog.slsa.sa.gov.au/xrecord=b3029755")</f>
        <v>https://www.catalog.slsa.sa.gov.au/xrecord=b3029755</v>
      </c>
      <c r="E655" t="s">
        <v>2612</v>
      </c>
      <c r="F655" t="s">
        <v>1926</v>
      </c>
      <c r="G655" t="s">
        <v>2591</v>
      </c>
      <c r="H655" t="s">
        <v>2613</v>
      </c>
      <c r="I655" t="s">
        <v>2614</v>
      </c>
      <c r="K655" s="2" t="str">
        <f>HYPERLINK("http://collections.slsa.sa.gov.au/resource/PRG+1664/15/18")</f>
        <v>http://collections.slsa.sa.gov.au/resource/PRG+1664/15/18</v>
      </c>
    </row>
    <row r="656" spans="1:11" x14ac:dyDescent="0.25">
      <c r="A656" t="s">
        <v>2615</v>
      </c>
      <c r="B656" s="1" t="str">
        <f>HYPERLINK("https://www.catalog.slsa.sa.gov.au/record=b3029759")</f>
        <v>https://www.catalog.slsa.sa.gov.au/record=b3029759</v>
      </c>
      <c r="C656" s="1" t="str">
        <f>HYPERLINK("https://www.catalog.slsa.sa.gov.au/xrecord=b3029759")</f>
        <v>https://www.catalog.slsa.sa.gov.au/xrecord=b3029759</v>
      </c>
      <c r="E656" t="s">
        <v>2616</v>
      </c>
      <c r="F656" t="s">
        <v>1926</v>
      </c>
      <c r="G656" t="s">
        <v>2617</v>
      </c>
      <c r="H656" t="s">
        <v>2618</v>
      </c>
      <c r="I656" t="s">
        <v>2619</v>
      </c>
      <c r="K656" s="2" t="str">
        <f>HYPERLINK("http://collections.slsa.sa.gov.au/resource/PRG+1664/15/21")</f>
        <v>http://collections.slsa.sa.gov.au/resource/PRG+1664/15/21</v>
      </c>
    </row>
    <row r="657" spans="1:11" x14ac:dyDescent="0.25">
      <c r="A657" t="s">
        <v>2620</v>
      </c>
      <c r="B657" s="1" t="str">
        <f>HYPERLINK("https://www.catalog.slsa.sa.gov.au/record=b3029761")</f>
        <v>https://www.catalog.slsa.sa.gov.au/record=b3029761</v>
      </c>
      <c r="C657" s="1" t="str">
        <f>HYPERLINK("https://www.catalog.slsa.sa.gov.au/xrecord=b3029761")</f>
        <v>https://www.catalog.slsa.sa.gov.au/xrecord=b3029761</v>
      </c>
      <c r="E657" t="s">
        <v>2621</v>
      </c>
      <c r="F657" t="s">
        <v>1926</v>
      </c>
      <c r="G657" t="s">
        <v>2622</v>
      </c>
      <c r="H657" t="s">
        <v>2623</v>
      </c>
      <c r="I657" t="s">
        <v>2624</v>
      </c>
      <c r="K657" s="2" t="str">
        <f>HYPERLINK("http://collections.slsa.sa.gov.au/resource/PRG+1664/15/22")</f>
        <v>http://collections.slsa.sa.gov.au/resource/PRG+1664/15/22</v>
      </c>
    </row>
    <row r="658" spans="1:11" x14ac:dyDescent="0.25">
      <c r="A658" t="s">
        <v>2625</v>
      </c>
      <c r="B658" s="1" t="str">
        <f>HYPERLINK("https://www.catalog.slsa.sa.gov.au/record=b3029764")</f>
        <v>https://www.catalog.slsa.sa.gov.au/record=b3029764</v>
      </c>
      <c r="C658" s="1" t="str">
        <f>HYPERLINK("https://www.catalog.slsa.sa.gov.au/xrecord=b3029764")</f>
        <v>https://www.catalog.slsa.sa.gov.au/xrecord=b3029764</v>
      </c>
      <c r="E658" t="s">
        <v>2626</v>
      </c>
      <c r="F658" t="s">
        <v>1926</v>
      </c>
      <c r="G658" t="s">
        <v>2627</v>
      </c>
      <c r="H658" t="s">
        <v>2628</v>
      </c>
      <c r="I658" t="s">
        <v>2629</v>
      </c>
      <c r="K658" s="2" t="str">
        <f>HYPERLINK("http://collections.slsa.sa.gov.au/resource/PRG+1664/15/23")</f>
        <v>http://collections.slsa.sa.gov.au/resource/PRG+1664/15/23</v>
      </c>
    </row>
    <row r="659" spans="1:11" x14ac:dyDescent="0.25">
      <c r="A659" t="s">
        <v>2630</v>
      </c>
      <c r="B659" s="1" t="str">
        <f>HYPERLINK("https://www.catalog.slsa.sa.gov.au/record=b3029831")</f>
        <v>https://www.catalog.slsa.sa.gov.au/record=b3029831</v>
      </c>
      <c r="C659" s="1" t="str">
        <f>HYPERLINK("https://www.catalog.slsa.sa.gov.au/xrecord=b3029831")</f>
        <v>https://www.catalog.slsa.sa.gov.au/xrecord=b3029831</v>
      </c>
      <c r="E659" t="s">
        <v>2631</v>
      </c>
      <c r="F659" t="s">
        <v>1926</v>
      </c>
      <c r="G659" t="s">
        <v>2632</v>
      </c>
      <c r="H659" t="s">
        <v>2633</v>
      </c>
      <c r="I659" t="s">
        <v>2634</v>
      </c>
      <c r="K659" s="2" t="str">
        <f>HYPERLINK("http://collections.slsa.sa.gov.au/resource/PRG+1664/15/26")</f>
        <v>http://collections.slsa.sa.gov.au/resource/PRG+1664/15/26</v>
      </c>
    </row>
    <row r="660" spans="1:11" x14ac:dyDescent="0.25">
      <c r="A660" t="s">
        <v>2635</v>
      </c>
      <c r="B660" s="1" t="str">
        <f>HYPERLINK("https://www.catalog.slsa.sa.gov.au/record=b3029837")</f>
        <v>https://www.catalog.slsa.sa.gov.au/record=b3029837</v>
      </c>
      <c r="C660" s="1" t="str">
        <f>HYPERLINK("https://www.catalog.slsa.sa.gov.au/xrecord=b3029837")</f>
        <v>https://www.catalog.slsa.sa.gov.au/xrecord=b3029837</v>
      </c>
      <c r="E660" t="s">
        <v>2636</v>
      </c>
      <c r="F660" t="s">
        <v>1926</v>
      </c>
      <c r="G660" t="s">
        <v>2637</v>
      </c>
      <c r="H660" t="s">
        <v>2638</v>
      </c>
      <c r="I660" t="s">
        <v>2639</v>
      </c>
      <c r="K660" s="2" t="str">
        <f>HYPERLINK("http://collections.slsa.sa.gov.au/resource/PRG+1664/15/28")</f>
        <v>http://collections.slsa.sa.gov.au/resource/PRG+1664/15/28</v>
      </c>
    </row>
    <row r="661" spans="1:11" x14ac:dyDescent="0.25">
      <c r="A661" t="s">
        <v>2640</v>
      </c>
      <c r="B661" s="1" t="str">
        <f>HYPERLINK("https://www.catalog.slsa.sa.gov.au/record=b3029708")</f>
        <v>https://www.catalog.slsa.sa.gov.au/record=b3029708</v>
      </c>
      <c r="C661" s="1" t="str">
        <f>HYPERLINK("https://www.catalog.slsa.sa.gov.au/xrecord=b3029708")</f>
        <v>https://www.catalog.slsa.sa.gov.au/xrecord=b3029708</v>
      </c>
      <c r="E661" t="s">
        <v>2641</v>
      </c>
      <c r="F661" t="s">
        <v>1926</v>
      </c>
      <c r="G661" t="s">
        <v>2642</v>
      </c>
      <c r="H661" t="s">
        <v>2643</v>
      </c>
      <c r="I661" t="s">
        <v>2601</v>
      </c>
      <c r="K661" s="2" t="str">
        <f>HYPERLINK("http://collections.slsa.sa.gov.au/resource/PRG+1664/15/4")</f>
        <v>http://collections.slsa.sa.gov.au/resource/PRG+1664/15/4</v>
      </c>
    </row>
    <row r="662" spans="1:11" x14ac:dyDescent="0.25">
      <c r="A662" t="s">
        <v>2644</v>
      </c>
      <c r="B662" s="1" t="str">
        <f>HYPERLINK("https://www.catalog.slsa.sa.gov.au/record=b3029969")</f>
        <v>https://www.catalog.slsa.sa.gov.au/record=b3029969</v>
      </c>
      <c r="C662" s="1" t="str">
        <f>HYPERLINK("https://www.catalog.slsa.sa.gov.au/xrecord=b3029969")</f>
        <v>https://www.catalog.slsa.sa.gov.au/xrecord=b3029969</v>
      </c>
      <c r="E662" t="s">
        <v>2645</v>
      </c>
      <c r="F662" t="s">
        <v>1926</v>
      </c>
      <c r="G662" t="s">
        <v>2646</v>
      </c>
      <c r="H662" t="s">
        <v>2647</v>
      </c>
      <c r="I662" t="s">
        <v>2648</v>
      </c>
      <c r="K662" s="2" t="str">
        <f>HYPERLINK("http://collections.slsa.sa.gov.au/resource/PRG+1664/18/18")</f>
        <v>http://collections.slsa.sa.gov.au/resource/PRG+1664/18/18</v>
      </c>
    </row>
    <row r="663" spans="1:11" x14ac:dyDescent="0.25">
      <c r="A663" t="s">
        <v>2649</v>
      </c>
      <c r="B663" s="1" t="str">
        <f>HYPERLINK("https://www.catalog.slsa.sa.gov.au/record=b3029971")</f>
        <v>https://www.catalog.slsa.sa.gov.au/record=b3029971</v>
      </c>
      <c r="C663" s="1" t="str">
        <f>HYPERLINK("https://www.catalog.slsa.sa.gov.au/xrecord=b3029971")</f>
        <v>https://www.catalog.slsa.sa.gov.au/xrecord=b3029971</v>
      </c>
      <c r="E663" t="s">
        <v>2650</v>
      </c>
      <c r="F663" t="s">
        <v>1926</v>
      </c>
      <c r="G663" t="s">
        <v>2651</v>
      </c>
      <c r="H663" t="s">
        <v>2652</v>
      </c>
      <c r="I663" t="s">
        <v>2653</v>
      </c>
      <c r="J663" t="s">
        <v>2654</v>
      </c>
      <c r="K663" s="2" t="str">
        <f>HYPERLINK("http://collections.slsa.sa.gov.au/resource/PRG+1664/18/19")</f>
        <v>http://collections.slsa.sa.gov.au/resource/PRG+1664/18/19</v>
      </c>
    </row>
    <row r="664" spans="1:11" x14ac:dyDescent="0.25">
      <c r="A664" t="s">
        <v>2655</v>
      </c>
      <c r="B664" s="1" t="str">
        <f>HYPERLINK("https://www.catalog.slsa.sa.gov.au/record=b3029972")</f>
        <v>https://www.catalog.slsa.sa.gov.au/record=b3029972</v>
      </c>
      <c r="C664" s="1" t="str">
        <f>HYPERLINK("https://www.catalog.slsa.sa.gov.au/xrecord=b3029972")</f>
        <v>https://www.catalog.slsa.sa.gov.au/xrecord=b3029972</v>
      </c>
      <c r="E664" t="s">
        <v>2650</v>
      </c>
      <c r="F664" t="s">
        <v>1926</v>
      </c>
      <c r="G664" t="s">
        <v>2656</v>
      </c>
      <c r="H664" t="s">
        <v>2652</v>
      </c>
      <c r="I664" t="s">
        <v>2653</v>
      </c>
      <c r="J664" t="s">
        <v>2654</v>
      </c>
      <c r="K664" s="2" t="str">
        <f>HYPERLINK("http://collections.slsa.sa.gov.au/resource/PRG+1664/18/20")</f>
        <v>http://collections.slsa.sa.gov.au/resource/PRG+1664/18/20</v>
      </c>
    </row>
    <row r="665" spans="1:11" x14ac:dyDescent="0.25">
      <c r="A665" t="s">
        <v>2657</v>
      </c>
      <c r="B665" s="1" t="str">
        <f>HYPERLINK("https://www.catalog.slsa.sa.gov.au/record=b3029973")</f>
        <v>https://www.catalog.slsa.sa.gov.au/record=b3029973</v>
      </c>
      <c r="C665" s="1" t="str">
        <f>HYPERLINK("https://www.catalog.slsa.sa.gov.au/xrecord=b3029973")</f>
        <v>https://www.catalog.slsa.sa.gov.au/xrecord=b3029973</v>
      </c>
      <c r="E665" t="s">
        <v>2650</v>
      </c>
      <c r="F665" t="s">
        <v>1926</v>
      </c>
      <c r="G665" t="s">
        <v>2658</v>
      </c>
      <c r="H665" t="s">
        <v>2659</v>
      </c>
      <c r="I665" t="s">
        <v>2660</v>
      </c>
      <c r="K665" s="2" t="str">
        <f>HYPERLINK("http://collections.slsa.sa.gov.au/resource/PRG+1664/18/21")</f>
        <v>http://collections.slsa.sa.gov.au/resource/PRG+1664/18/21</v>
      </c>
    </row>
    <row r="666" spans="1:11" x14ac:dyDescent="0.25">
      <c r="A666" t="s">
        <v>2661</v>
      </c>
      <c r="B666" s="1" t="str">
        <f>HYPERLINK("https://www.catalog.slsa.sa.gov.au/record=b3029975")</f>
        <v>https://www.catalog.slsa.sa.gov.au/record=b3029975</v>
      </c>
      <c r="C666" s="1" t="str">
        <f>HYPERLINK("https://www.catalog.slsa.sa.gov.au/xrecord=b3029975")</f>
        <v>https://www.catalog.slsa.sa.gov.au/xrecord=b3029975</v>
      </c>
      <c r="E666" t="s">
        <v>2650</v>
      </c>
      <c r="F666" t="s">
        <v>1926</v>
      </c>
      <c r="G666" t="s">
        <v>2658</v>
      </c>
      <c r="H666" t="s">
        <v>2662</v>
      </c>
      <c r="I666" t="s">
        <v>2660</v>
      </c>
      <c r="K666" s="2" t="str">
        <f>HYPERLINK("http://collections.slsa.sa.gov.au/resource/PRG+1664/18/22")</f>
        <v>http://collections.slsa.sa.gov.au/resource/PRG+1664/18/22</v>
      </c>
    </row>
    <row r="667" spans="1:11" x14ac:dyDescent="0.25">
      <c r="A667" t="s">
        <v>2663</v>
      </c>
      <c r="B667" s="1" t="str">
        <f>HYPERLINK("https://www.catalog.slsa.sa.gov.au/record=b3029977")</f>
        <v>https://www.catalog.slsa.sa.gov.au/record=b3029977</v>
      </c>
      <c r="C667" s="1" t="str">
        <f>HYPERLINK("https://www.catalog.slsa.sa.gov.au/xrecord=b3029977")</f>
        <v>https://www.catalog.slsa.sa.gov.au/xrecord=b3029977</v>
      </c>
      <c r="E667" t="s">
        <v>2650</v>
      </c>
      <c r="F667" t="s">
        <v>1926</v>
      </c>
      <c r="G667" t="s">
        <v>2622</v>
      </c>
      <c r="H667" t="s">
        <v>2664</v>
      </c>
      <c r="I667" t="s">
        <v>2660</v>
      </c>
      <c r="K667" s="2" t="str">
        <f>HYPERLINK("http://collections.slsa.sa.gov.au/resource/PRG+1664/18/23")</f>
        <v>http://collections.slsa.sa.gov.au/resource/PRG+1664/18/23</v>
      </c>
    </row>
    <row r="668" spans="1:11" x14ac:dyDescent="0.25">
      <c r="A668" t="s">
        <v>2665</v>
      </c>
      <c r="B668" s="1" t="str">
        <f>HYPERLINK("https://www.catalog.slsa.sa.gov.au/record=b3027851")</f>
        <v>https://www.catalog.slsa.sa.gov.au/record=b3027851</v>
      </c>
      <c r="C668" s="1" t="str">
        <f>HYPERLINK("https://www.catalog.slsa.sa.gov.au/xrecord=b3027851")</f>
        <v>https://www.catalog.slsa.sa.gov.au/xrecord=b3027851</v>
      </c>
      <c r="D668" t="s">
        <v>2666</v>
      </c>
      <c r="E668" t="s">
        <v>2667</v>
      </c>
      <c r="F668" t="s">
        <v>1926</v>
      </c>
      <c r="G668" t="s">
        <v>2668</v>
      </c>
      <c r="H668" t="s">
        <v>2669</v>
      </c>
      <c r="I668" t="s">
        <v>2670</v>
      </c>
      <c r="K668" s="2" t="str">
        <f>HYPERLINK("http://collections.slsa.sa.gov.au/resource/PRG+1664/6/5")</f>
        <v>http://collections.slsa.sa.gov.au/resource/PRG+1664/6/5</v>
      </c>
    </row>
    <row r="669" spans="1:11" x14ac:dyDescent="0.25">
      <c r="A669" t="s">
        <v>2671</v>
      </c>
      <c r="B669" s="1" t="str">
        <f>HYPERLINK("https://www.catalog.slsa.sa.gov.au/record=b3028963")</f>
        <v>https://www.catalog.slsa.sa.gov.au/record=b3028963</v>
      </c>
      <c r="C669" s="1" t="str">
        <f>HYPERLINK("https://www.catalog.slsa.sa.gov.au/xrecord=b3028963")</f>
        <v>https://www.catalog.slsa.sa.gov.au/xrecord=b3028963</v>
      </c>
      <c r="E669" t="s">
        <v>2672</v>
      </c>
      <c r="F669" t="s">
        <v>1926</v>
      </c>
      <c r="G669" t="s">
        <v>2673</v>
      </c>
      <c r="H669" t="s">
        <v>2674</v>
      </c>
      <c r="I669" t="s">
        <v>2675</v>
      </c>
      <c r="K669" s="2" t="str">
        <f>HYPERLINK("http://collections.slsa.sa.gov.au/resource/PRG+1664/6/6")</f>
        <v>http://collections.slsa.sa.gov.au/resource/PRG+1664/6/6</v>
      </c>
    </row>
    <row r="670" spans="1:11" x14ac:dyDescent="0.25">
      <c r="A670" t="s">
        <v>2676</v>
      </c>
      <c r="B670" s="1" t="str">
        <f>HYPERLINK("https://www.catalog.slsa.sa.gov.au/record=b3112373")</f>
        <v>https://www.catalog.slsa.sa.gov.au/record=b3112373</v>
      </c>
      <c r="C670" s="1" t="str">
        <f>HYPERLINK("https://www.catalog.slsa.sa.gov.au/xrecord=b3112373")</f>
        <v>https://www.catalog.slsa.sa.gov.au/xrecord=b3112373</v>
      </c>
      <c r="E670" t="s">
        <v>2677</v>
      </c>
      <c r="F670" t="s">
        <v>1926</v>
      </c>
      <c r="G670" t="s">
        <v>2678</v>
      </c>
      <c r="H670" t="s">
        <v>2679</v>
      </c>
      <c r="I670" t="s">
        <v>2680</v>
      </c>
      <c r="K670" s="2" t="str">
        <f>HYPERLINK("http://collections.slsa.sa.gov.au/resource/PRG+1681/10/31")</f>
        <v>http://collections.slsa.sa.gov.au/resource/PRG+1681/10/31</v>
      </c>
    </row>
    <row r="671" spans="1:11" x14ac:dyDescent="0.25">
      <c r="A671" t="s">
        <v>2681</v>
      </c>
      <c r="B671" s="1" t="str">
        <f>HYPERLINK("https://www.catalog.slsa.sa.gov.au/record=b3112378")</f>
        <v>https://www.catalog.slsa.sa.gov.au/record=b3112378</v>
      </c>
      <c r="C671" s="1" t="str">
        <f>HYPERLINK("https://www.catalog.slsa.sa.gov.au/xrecord=b3112378")</f>
        <v>https://www.catalog.slsa.sa.gov.au/xrecord=b3112378</v>
      </c>
      <c r="E671" t="s">
        <v>2682</v>
      </c>
      <c r="F671" t="s">
        <v>1926</v>
      </c>
      <c r="G671" t="s">
        <v>2683</v>
      </c>
      <c r="H671" t="s">
        <v>2684</v>
      </c>
      <c r="I671" t="s">
        <v>2685</v>
      </c>
      <c r="K671" s="2" t="str">
        <f>HYPERLINK("http://collections.slsa.sa.gov.au/resource/PRG+1681/10/34")</f>
        <v>http://collections.slsa.sa.gov.au/resource/PRG+1681/10/34</v>
      </c>
    </row>
    <row r="672" spans="1:11" x14ac:dyDescent="0.25">
      <c r="A672" t="s">
        <v>2686</v>
      </c>
      <c r="B672" s="1" t="str">
        <f>HYPERLINK("https://www.catalog.slsa.sa.gov.au/record=b3112380")</f>
        <v>https://www.catalog.slsa.sa.gov.au/record=b3112380</v>
      </c>
      <c r="C672" s="1" t="str">
        <f>HYPERLINK("https://www.catalog.slsa.sa.gov.au/xrecord=b3112380")</f>
        <v>https://www.catalog.slsa.sa.gov.au/xrecord=b3112380</v>
      </c>
      <c r="E672" t="s">
        <v>2687</v>
      </c>
      <c r="F672" t="s">
        <v>1926</v>
      </c>
      <c r="G672" t="s">
        <v>2683</v>
      </c>
      <c r="H672" t="s">
        <v>2688</v>
      </c>
      <c r="I672" t="s">
        <v>2689</v>
      </c>
      <c r="K672" s="2" t="str">
        <f>HYPERLINK("http://collections.slsa.sa.gov.au/resource/PRG+1681/10/37")</f>
        <v>http://collections.slsa.sa.gov.au/resource/PRG+1681/10/37</v>
      </c>
    </row>
    <row r="673" spans="1:11" x14ac:dyDescent="0.25">
      <c r="A673" t="s">
        <v>2690</v>
      </c>
      <c r="B673" s="1" t="str">
        <f>HYPERLINK("https://www.catalog.slsa.sa.gov.au/record=b3112406")</f>
        <v>https://www.catalog.slsa.sa.gov.au/record=b3112406</v>
      </c>
      <c r="C673" s="1" t="str">
        <f>HYPERLINK("https://www.catalog.slsa.sa.gov.au/xrecord=b3112406")</f>
        <v>https://www.catalog.slsa.sa.gov.au/xrecord=b3112406</v>
      </c>
      <c r="E673" t="s">
        <v>2691</v>
      </c>
      <c r="F673" t="s">
        <v>1926</v>
      </c>
      <c r="G673" t="s">
        <v>2692</v>
      </c>
      <c r="H673" t="s">
        <v>2693</v>
      </c>
      <c r="I673" t="s">
        <v>2694</v>
      </c>
      <c r="J673" t="s">
        <v>2695</v>
      </c>
      <c r="K673" s="2" t="str">
        <f>HYPERLINK("http://collections.slsa.sa.gov.au/resource/PRG+1681/11/107")</f>
        <v>http://collections.slsa.sa.gov.au/resource/PRG+1681/11/107</v>
      </c>
    </row>
    <row r="674" spans="1:11" x14ac:dyDescent="0.25">
      <c r="A674" t="s">
        <v>2696</v>
      </c>
      <c r="B674" s="1" t="str">
        <f>HYPERLINK("https://www.catalog.slsa.sa.gov.au/record=b3112408")</f>
        <v>https://www.catalog.slsa.sa.gov.au/record=b3112408</v>
      </c>
      <c r="C674" s="1" t="str">
        <f>HYPERLINK("https://www.catalog.slsa.sa.gov.au/xrecord=b3112408")</f>
        <v>https://www.catalog.slsa.sa.gov.au/xrecord=b3112408</v>
      </c>
      <c r="E674" t="s">
        <v>2697</v>
      </c>
      <c r="F674" t="s">
        <v>1926</v>
      </c>
      <c r="G674" t="s">
        <v>2698</v>
      </c>
      <c r="H674" t="s">
        <v>2699</v>
      </c>
      <c r="I674" t="s">
        <v>2694</v>
      </c>
      <c r="J674" t="s">
        <v>2700</v>
      </c>
      <c r="K674" s="2" t="str">
        <f>HYPERLINK("http://collections.slsa.sa.gov.au/resource/PRG+1681/11/111")</f>
        <v>http://collections.slsa.sa.gov.au/resource/PRG+1681/11/111</v>
      </c>
    </row>
    <row r="675" spans="1:11" x14ac:dyDescent="0.25">
      <c r="A675" t="s">
        <v>2701</v>
      </c>
      <c r="B675" s="1" t="str">
        <f>HYPERLINK("https://www.catalog.slsa.sa.gov.au/record=b3112415")</f>
        <v>https://www.catalog.slsa.sa.gov.au/record=b3112415</v>
      </c>
      <c r="C675" s="1" t="str">
        <f>HYPERLINK("https://www.catalog.slsa.sa.gov.au/xrecord=b3112415")</f>
        <v>https://www.catalog.slsa.sa.gov.au/xrecord=b3112415</v>
      </c>
      <c r="E675" t="s">
        <v>2702</v>
      </c>
      <c r="F675" t="s">
        <v>1926</v>
      </c>
      <c r="G675" t="s">
        <v>2703</v>
      </c>
      <c r="H675" t="s">
        <v>2704</v>
      </c>
      <c r="I675" t="s">
        <v>2705</v>
      </c>
      <c r="J675" t="s">
        <v>2700</v>
      </c>
      <c r="K675" s="2" t="str">
        <f>HYPERLINK("http://collections.slsa.sa.gov.au/resource/PRG+1681/11/113")</f>
        <v>http://collections.slsa.sa.gov.au/resource/PRG+1681/11/113</v>
      </c>
    </row>
    <row r="676" spans="1:11" x14ac:dyDescent="0.25">
      <c r="A676" t="s">
        <v>2706</v>
      </c>
      <c r="B676" s="1" t="str">
        <f>HYPERLINK("https://www.catalog.slsa.sa.gov.au/record=b3112416")</f>
        <v>https://www.catalog.slsa.sa.gov.au/record=b3112416</v>
      </c>
      <c r="C676" s="1" t="str">
        <f>HYPERLINK("https://www.catalog.slsa.sa.gov.au/xrecord=b3112416")</f>
        <v>https://www.catalog.slsa.sa.gov.au/xrecord=b3112416</v>
      </c>
      <c r="E676" t="s">
        <v>2707</v>
      </c>
      <c r="F676" t="s">
        <v>1926</v>
      </c>
      <c r="G676" t="s">
        <v>2708</v>
      </c>
      <c r="H676" t="s">
        <v>2709</v>
      </c>
      <c r="I676" t="s">
        <v>2710</v>
      </c>
      <c r="J676" t="s">
        <v>2700</v>
      </c>
      <c r="K676" s="2" t="str">
        <f>HYPERLINK("http://collections.slsa.sa.gov.au/resource/PRG+1681/11/114")</f>
        <v>http://collections.slsa.sa.gov.au/resource/PRG+1681/11/114</v>
      </c>
    </row>
    <row r="677" spans="1:11" x14ac:dyDescent="0.25">
      <c r="A677" t="s">
        <v>2711</v>
      </c>
      <c r="B677" s="1" t="str">
        <f>HYPERLINK("https://www.catalog.slsa.sa.gov.au/record=b3112418")</f>
        <v>https://www.catalog.slsa.sa.gov.au/record=b3112418</v>
      </c>
      <c r="C677" s="1" t="str">
        <f>HYPERLINK("https://www.catalog.slsa.sa.gov.au/xrecord=b3112418")</f>
        <v>https://www.catalog.slsa.sa.gov.au/xrecord=b3112418</v>
      </c>
      <c r="E677" t="s">
        <v>2712</v>
      </c>
      <c r="F677" t="s">
        <v>1926</v>
      </c>
      <c r="G677" t="s">
        <v>2708</v>
      </c>
      <c r="H677" t="s">
        <v>2713</v>
      </c>
      <c r="I677" t="s">
        <v>2714</v>
      </c>
      <c r="J677" t="s">
        <v>2700</v>
      </c>
      <c r="K677" s="2" t="str">
        <f>HYPERLINK("http://collections.slsa.sa.gov.au/resource/PRG+1681/11/116")</f>
        <v>http://collections.slsa.sa.gov.au/resource/PRG+1681/11/116</v>
      </c>
    </row>
    <row r="678" spans="1:11" x14ac:dyDescent="0.25">
      <c r="A678" t="s">
        <v>2715</v>
      </c>
      <c r="B678" s="1" t="str">
        <f>HYPERLINK("https://www.catalog.slsa.sa.gov.au/record=b3112527")</f>
        <v>https://www.catalog.slsa.sa.gov.au/record=b3112527</v>
      </c>
      <c r="C678" s="1" t="str">
        <f>HYPERLINK("https://www.catalog.slsa.sa.gov.au/xrecord=b3112527")</f>
        <v>https://www.catalog.slsa.sa.gov.au/xrecord=b3112527</v>
      </c>
      <c r="E678" t="s">
        <v>2716</v>
      </c>
      <c r="F678" t="s">
        <v>1926</v>
      </c>
      <c r="G678" t="s">
        <v>2708</v>
      </c>
      <c r="H678" t="s">
        <v>2717</v>
      </c>
      <c r="I678" t="s">
        <v>2718</v>
      </c>
      <c r="K678" s="2" t="str">
        <f>HYPERLINK("http://collections.slsa.sa.gov.au/resource/PRG+1681/11/117")</f>
        <v>http://collections.slsa.sa.gov.au/resource/PRG+1681/11/117</v>
      </c>
    </row>
    <row r="679" spans="1:11" x14ac:dyDescent="0.25">
      <c r="A679" t="s">
        <v>2719</v>
      </c>
      <c r="B679" s="1" t="str">
        <f>HYPERLINK("https://www.catalog.slsa.sa.gov.au/record=b3112529")</f>
        <v>https://www.catalog.slsa.sa.gov.au/record=b3112529</v>
      </c>
      <c r="C679" s="1" t="str">
        <f>HYPERLINK("https://www.catalog.slsa.sa.gov.au/xrecord=b3112529")</f>
        <v>https://www.catalog.slsa.sa.gov.au/xrecord=b3112529</v>
      </c>
      <c r="E679" t="s">
        <v>2716</v>
      </c>
      <c r="F679" t="s">
        <v>1926</v>
      </c>
      <c r="G679" t="s">
        <v>2708</v>
      </c>
      <c r="H679" t="s">
        <v>2717</v>
      </c>
      <c r="I679" t="s">
        <v>2718</v>
      </c>
      <c r="K679" s="2" t="str">
        <f>HYPERLINK("http://collections.slsa.sa.gov.au/resource/PRG+1681/11/118")</f>
        <v>http://collections.slsa.sa.gov.au/resource/PRG+1681/11/118</v>
      </c>
    </row>
    <row r="680" spans="1:11" x14ac:dyDescent="0.25">
      <c r="A680" t="s">
        <v>2720</v>
      </c>
      <c r="B680" s="1" t="str">
        <f>HYPERLINK("https://www.catalog.slsa.sa.gov.au/record=b3112534")</f>
        <v>https://www.catalog.slsa.sa.gov.au/record=b3112534</v>
      </c>
      <c r="C680" s="1" t="str">
        <f>HYPERLINK("https://www.catalog.slsa.sa.gov.au/xrecord=b3112534")</f>
        <v>https://www.catalog.slsa.sa.gov.au/xrecord=b3112534</v>
      </c>
      <c r="E680" t="s">
        <v>2721</v>
      </c>
      <c r="F680" t="s">
        <v>1926</v>
      </c>
      <c r="G680" t="s">
        <v>2722</v>
      </c>
      <c r="H680" t="s">
        <v>2723</v>
      </c>
      <c r="I680" t="s">
        <v>2724</v>
      </c>
      <c r="K680" s="2" t="str">
        <f>HYPERLINK("http://collections.slsa.sa.gov.au/resource/PRG+1681/11/119")</f>
        <v>http://collections.slsa.sa.gov.au/resource/PRG+1681/11/119</v>
      </c>
    </row>
    <row r="681" spans="1:11" x14ac:dyDescent="0.25">
      <c r="A681" t="s">
        <v>2725</v>
      </c>
      <c r="B681" s="1" t="str">
        <f>HYPERLINK("https://www.catalog.slsa.sa.gov.au/record=b3112535")</f>
        <v>https://www.catalog.slsa.sa.gov.au/record=b3112535</v>
      </c>
      <c r="C681" s="1" t="str">
        <f>HYPERLINK("https://www.catalog.slsa.sa.gov.au/xrecord=b3112535")</f>
        <v>https://www.catalog.slsa.sa.gov.au/xrecord=b3112535</v>
      </c>
      <c r="E681" t="s">
        <v>2721</v>
      </c>
      <c r="F681" t="s">
        <v>1926</v>
      </c>
      <c r="G681" t="s">
        <v>2722</v>
      </c>
      <c r="H681" t="s">
        <v>2723</v>
      </c>
      <c r="I681" t="s">
        <v>2724</v>
      </c>
      <c r="K681" s="2" t="str">
        <f>HYPERLINK("http://collections.slsa.sa.gov.au/resource/PRG+1681/11/120")</f>
        <v>http://collections.slsa.sa.gov.au/resource/PRG+1681/11/120</v>
      </c>
    </row>
    <row r="682" spans="1:11" x14ac:dyDescent="0.25">
      <c r="A682" t="s">
        <v>2726</v>
      </c>
      <c r="B682" s="1" t="str">
        <f>HYPERLINK("https://www.catalog.slsa.sa.gov.au/record=b3112536")</f>
        <v>https://www.catalog.slsa.sa.gov.au/record=b3112536</v>
      </c>
      <c r="C682" s="1" t="str">
        <f>HYPERLINK("https://www.catalog.slsa.sa.gov.au/xrecord=b3112536")</f>
        <v>https://www.catalog.slsa.sa.gov.au/xrecord=b3112536</v>
      </c>
      <c r="E682" t="s">
        <v>2727</v>
      </c>
      <c r="F682" t="s">
        <v>1926</v>
      </c>
      <c r="G682" t="s">
        <v>2728</v>
      </c>
      <c r="H682" t="s">
        <v>2729</v>
      </c>
      <c r="I682" t="s">
        <v>2730</v>
      </c>
      <c r="K682" s="2" t="str">
        <f>HYPERLINK("http://collections.slsa.sa.gov.au/resource/PRG+1681/11/121")</f>
        <v>http://collections.slsa.sa.gov.au/resource/PRG+1681/11/121</v>
      </c>
    </row>
    <row r="683" spans="1:11" x14ac:dyDescent="0.25">
      <c r="A683" t="s">
        <v>2731</v>
      </c>
      <c r="B683" s="1" t="str">
        <f>HYPERLINK("https://www.catalog.slsa.sa.gov.au/record=b3112537")</f>
        <v>https://www.catalog.slsa.sa.gov.au/record=b3112537</v>
      </c>
      <c r="C683" s="1" t="str">
        <f>HYPERLINK("https://www.catalog.slsa.sa.gov.au/xrecord=b3112537")</f>
        <v>https://www.catalog.slsa.sa.gov.au/xrecord=b3112537</v>
      </c>
      <c r="E683" t="s">
        <v>2732</v>
      </c>
      <c r="F683" t="s">
        <v>1926</v>
      </c>
      <c r="G683" t="s">
        <v>2733</v>
      </c>
      <c r="H683" t="s">
        <v>2734</v>
      </c>
      <c r="I683" t="s">
        <v>2735</v>
      </c>
      <c r="K683" s="2" t="str">
        <f>HYPERLINK("http://collections.slsa.sa.gov.au/resource/PRG+1681/11/124")</f>
        <v>http://collections.slsa.sa.gov.au/resource/PRG+1681/11/124</v>
      </c>
    </row>
    <row r="684" spans="1:11" x14ac:dyDescent="0.25">
      <c r="A684" t="s">
        <v>2736</v>
      </c>
      <c r="B684" s="1" t="str">
        <f>HYPERLINK("https://www.catalog.slsa.sa.gov.au/record=b3112538")</f>
        <v>https://www.catalog.slsa.sa.gov.au/record=b3112538</v>
      </c>
      <c r="C684" s="1" t="str">
        <f>HYPERLINK("https://www.catalog.slsa.sa.gov.au/xrecord=b3112538")</f>
        <v>https://www.catalog.slsa.sa.gov.au/xrecord=b3112538</v>
      </c>
      <c r="E684" t="s">
        <v>2737</v>
      </c>
      <c r="F684" t="s">
        <v>1926</v>
      </c>
      <c r="G684" t="s">
        <v>2733</v>
      </c>
      <c r="H684" t="s">
        <v>2738</v>
      </c>
      <c r="I684" t="s">
        <v>2735</v>
      </c>
      <c r="K684" s="2" t="str">
        <f>HYPERLINK("http://collections.slsa.sa.gov.au/resource/PRG+1681/11/125")</f>
        <v>http://collections.slsa.sa.gov.au/resource/PRG+1681/11/125</v>
      </c>
    </row>
    <row r="685" spans="1:11" x14ac:dyDescent="0.25">
      <c r="A685" t="s">
        <v>2739</v>
      </c>
      <c r="B685" s="1" t="str">
        <f>HYPERLINK("https://www.catalog.slsa.sa.gov.au/record=b3112540")</f>
        <v>https://www.catalog.slsa.sa.gov.au/record=b3112540</v>
      </c>
      <c r="C685" s="1" t="str">
        <f>HYPERLINK("https://www.catalog.slsa.sa.gov.au/xrecord=b3112540")</f>
        <v>https://www.catalog.slsa.sa.gov.au/xrecord=b3112540</v>
      </c>
      <c r="E685" t="s">
        <v>2740</v>
      </c>
      <c r="F685" t="s">
        <v>1926</v>
      </c>
      <c r="G685" t="s">
        <v>2733</v>
      </c>
      <c r="H685" t="s">
        <v>2741</v>
      </c>
      <c r="I685" t="s">
        <v>2742</v>
      </c>
      <c r="K685" s="2" t="str">
        <f>HYPERLINK("http://collections.slsa.sa.gov.au/resource/PRG+1681/11/126")</f>
        <v>http://collections.slsa.sa.gov.au/resource/PRG+1681/11/126</v>
      </c>
    </row>
    <row r="686" spans="1:11" x14ac:dyDescent="0.25">
      <c r="A686" t="s">
        <v>2743</v>
      </c>
      <c r="B686" s="1" t="str">
        <f>HYPERLINK("https://www.catalog.slsa.sa.gov.au/record=b3112541")</f>
        <v>https://www.catalog.slsa.sa.gov.au/record=b3112541</v>
      </c>
      <c r="C686" s="1" t="str">
        <f>HYPERLINK("https://www.catalog.slsa.sa.gov.au/xrecord=b3112541")</f>
        <v>https://www.catalog.slsa.sa.gov.au/xrecord=b3112541</v>
      </c>
      <c r="E686" t="s">
        <v>2744</v>
      </c>
      <c r="F686" t="s">
        <v>1926</v>
      </c>
      <c r="G686" t="s">
        <v>2733</v>
      </c>
      <c r="H686" t="s">
        <v>2745</v>
      </c>
      <c r="I686" t="s">
        <v>2746</v>
      </c>
      <c r="K686" s="2" t="str">
        <f>HYPERLINK("http://collections.slsa.sa.gov.au/resource/PRG+1681/11/127")</f>
        <v>http://collections.slsa.sa.gov.au/resource/PRG+1681/11/127</v>
      </c>
    </row>
    <row r="687" spans="1:11" x14ac:dyDescent="0.25">
      <c r="A687" t="s">
        <v>2747</v>
      </c>
      <c r="B687" s="1" t="str">
        <f>HYPERLINK("https://www.catalog.slsa.sa.gov.au/record=b3112544")</f>
        <v>https://www.catalog.slsa.sa.gov.au/record=b3112544</v>
      </c>
      <c r="C687" s="1" t="str">
        <f>HYPERLINK("https://www.catalog.slsa.sa.gov.au/xrecord=b3112544")</f>
        <v>https://www.catalog.slsa.sa.gov.au/xrecord=b3112544</v>
      </c>
      <c r="E687" t="s">
        <v>2748</v>
      </c>
      <c r="F687" t="s">
        <v>1926</v>
      </c>
      <c r="G687" t="s">
        <v>2749</v>
      </c>
      <c r="H687" t="s">
        <v>2750</v>
      </c>
      <c r="I687" t="s">
        <v>2751</v>
      </c>
      <c r="K687" s="2" t="str">
        <f>HYPERLINK("http://collections.slsa.sa.gov.au/resource/PRG+1681/11/128")</f>
        <v>http://collections.slsa.sa.gov.au/resource/PRG+1681/11/128</v>
      </c>
    </row>
    <row r="688" spans="1:11" x14ac:dyDescent="0.25">
      <c r="A688" t="s">
        <v>2752</v>
      </c>
      <c r="B688" s="1" t="str">
        <f>HYPERLINK("https://www.catalog.slsa.sa.gov.au/record=b3112546")</f>
        <v>https://www.catalog.slsa.sa.gov.au/record=b3112546</v>
      </c>
      <c r="C688" s="1" t="str">
        <f>HYPERLINK("https://www.catalog.slsa.sa.gov.au/xrecord=b3112546")</f>
        <v>https://www.catalog.slsa.sa.gov.au/xrecord=b3112546</v>
      </c>
      <c r="E688" t="s">
        <v>2748</v>
      </c>
      <c r="F688" t="s">
        <v>1926</v>
      </c>
      <c r="G688" t="s">
        <v>2749</v>
      </c>
      <c r="H688" t="s">
        <v>2750</v>
      </c>
      <c r="I688" t="s">
        <v>2751</v>
      </c>
      <c r="K688" s="2" t="str">
        <f>HYPERLINK("http://collections.slsa.sa.gov.au/resource/PRG+1681/11/129")</f>
        <v>http://collections.slsa.sa.gov.au/resource/PRG+1681/11/129</v>
      </c>
    </row>
    <row r="689" spans="1:11" x14ac:dyDescent="0.25">
      <c r="A689" t="s">
        <v>2753</v>
      </c>
      <c r="B689" s="1" t="str">
        <f>HYPERLINK("https://www.catalog.slsa.sa.gov.au/record=b3112548")</f>
        <v>https://www.catalog.slsa.sa.gov.au/record=b3112548</v>
      </c>
      <c r="C689" s="1" t="str">
        <f>HYPERLINK("https://www.catalog.slsa.sa.gov.au/xrecord=b3112548")</f>
        <v>https://www.catalog.slsa.sa.gov.au/xrecord=b3112548</v>
      </c>
      <c r="E689" t="s">
        <v>2754</v>
      </c>
      <c r="F689" t="s">
        <v>1926</v>
      </c>
      <c r="G689" t="s">
        <v>2749</v>
      </c>
      <c r="H689" t="s">
        <v>2755</v>
      </c>
      <c r="I689" t="s">
        <v>2756</v>
      </c>
      <c r="K689" s="2" t="str">
        <f>HYPERLINK("http://collections.slsa.sa.gov.au/resource/PRG+1681/11/130")</f>
        <v>http://collections.slsa.sa.gov.au/resource/PRG+1681/11/130</v>
      </c>
    </row>
    <row r="690" spans="1:11" x14ac:dyDescent="0.25">
      <c r="A690" t="s">
        <v>2757</v>
      </c>
      <c r="B690" s="1" t="str">
        <f>HYPERLINK("https://www.catalog.slsa.sa.gov.au/record=b3112554")</f>
        <v>https://www.catalog.slsa.sa.gov.au/record=b3112554</v>
      </c>
      <c r="C690" s="1" t="str">
        <f>HYPERLINK("https://www.catalog.slsa.sa.gov.au/xrecord=b3112554")</f>
        <v>https://www.catalog.slsa.sa.gov.au/xrecord=b3112554</v>
      </c>
      <c r="E690" t="s">
        <v>2758</v>
      </c>
      <c r="F690" t="s">
        <v>1926</v>
      </c>
      <c r="G690" t="s">
        <v>2749</v>
      </c>
      <c r="H690" t="s">
        <v>2759</v>
      </c>
      <c r="I690" t="s">
        <v>2760</v>
      </c>
      <c r="K690" s="2" t="str">
        <f>HYPERLINK("http://collections.slsa.sa.gov.au/resource/PRG+1681/11/133")</f>
        <v>http://collections.slsa.sa.gov.au/resource/PRG+1681/11/133</v>
      </c>
    </row>
    <row r="691" spans="1:11" x14ac:dyDescent="0.25">
      <c r="A691" t="s">
        <v>2761</v>
      </c>
      <c r="B691" s="1" t="str">
        <f>HYPERLINK("https://www.catalog.slsa.sa.gov.au/record=b3112559")</f>
        <v>https://www.catalog.slsa.sa.gov.au/record=b3112559</v>
      </c>
      <c r="C691" s="1" t="str">
        <f>HYPERLINK("https://www.catalog.slsa.sa.gov.au/xrecord=b3112559")</f>
        <v>https://www.catalog.slsa.sa.gov.au/xrecord=b3112559</v>
      </c>
      <c r="E691" t="s">
        <v>2762</v>
      </c>
      <c r="F691" t="s">
        <v>1926</v>
      </c>
      <c r="G691" t="s">
        <v>2763</v>
      </c>
      <c r="H691" t="s">
        <v>2764</v>
      </c>
      <c r="I691" t="s">
        <v>2765</v>
      </c>
      <c r="K691" s="2" t="str">
        <f>HYPERLINK("http://collections.slsa.sa.gov.au/resource/PRG+1681/11/134")</f>
        <v>http://collections.slsa.sa.gov.au/resource/PRG+1681/11/134</v>
      </c>
    </row>
    <row r="692" spans="1:11" x14ac:dyDescent="0.25">
      <c r="A692" t="s">
        <v>2766</v>
      </c>
      <c r="B692" s="1" t="str">
        <f>HYPERLINK("https://www.catalog.slsa.sa.gov.au/record=b3112552")</f>
        <v>https://www.catalog.slsa.sa.gov.au/record=b3112552</v>
      </c>
      <c r="C692" s="1" t="str">
        <f>HYPERLINK("https://www.catalog.slsa.sa.gov.au/xrecord=b3112552")</f>
        <v>https://www.catalog.slsa.sa.gov.au/xrecord=b3112552</v>
      </c>
      <c r="E692" t="s">
        <v>2767</v>
      </c>
      <c r="F692" t="s">
        <v>1926</v>
      </c>
      <c r="G692" t="s">
        <v>2768</v>
      </c>
      <c r="H692" t="s">
        <v>2769</v>
      </c>
      <c r="I692" t="s">
        <v>2770</v>
      </c>
      <c r="K692" s="2" t="str">
        <f>HYPERLINK("http://collections.slsa.sa.gov.au/resource/PRG+1681/11/137")</f>
        <v>http://collections.slsa.sa.gov.au/resource/PRG+1681/11/137</v>
      </c>
    </row>
    <row r="693" spans="1:11" x14ac:dyDescent="0.25">
      <c r="A693" t="s">
        <v>2771</v>
      </c>
      <c r="B693" s="1" t="str">
        <f>HYPERLINK("https://www.catalog.slsa.sa.gov.au/record=b3112402")</f>
        <v>https://www.catalog.slsa.sa.gov.au/record=b3112402</v>
      </c>
      <c r="C693" s="1" t="str">
        <f>HYPERLINK("https://www.catalog.slsa.sa.gov.au/xrecord=b3112402")</f>
        <v>https://www.catalog.slsa.sa.gov.au/xrecord=b3112402</v>
      </c>
      <c r="E693" t="s">
        <v>2772</v>
      </c>
      <c r="F693" t="s">
        <v>1926</v>
      </c>
      <c r="G693" t="s">
        <v>2773</v>
      </c>
      <c r="H693" t="s">
        <v>2774</v>
      </c>
      <c r="I693" t="s">
        <v>2775</v>
      </c>
      <c r="J693" t="s">
        <v>2510</v>
      </c>
      <c r="K693" s="2" t="str">
        <f>HYPERLINK("http://collections.slsa.sa.gov.au/resource/PRG+1681/13/10")</f>
        <v>http://collections.slsa.sa.gov.au/resource/PRG+1681/13/10</v>
      </c>
    </row>
    <row r="694" spans="1:11" x14ac:dyDescent="0.25">
      <c r="A694" t="s">
        <v>2776</v>
      </c>
      <c r="B694" s="1" t="str">
        <f>HYPERLINK("https://www.catalog.slsa.sa.gov.au/record=b3112403")</f>
        <v>https://www.catalog.slsa.sa.gov.au/record=b3112403</v>
      </c>
      <c r="C694" s="1" t="str">
        <f>HYPERLINK("https://www.catalog.slsa.sa.gov.au/xrecord=b3112403")</f>
        <v>https://www.catalog.slsa.sa.gov.au/xrecord=b3112403</v>
      </c>
      <c r="E694" t="s">
        <v>2777</v>
      </c>
      <c r="F694" t="s">
        <v>1926</v>
      </c>
      <c r="G694" t="s">
        <v>2778</v>
      </c>
      <c r="H694" t="s">
        <v>2779</v>
      </c>
      <c r="I694" t="s">
        <v>2780</v>
      </c>
      <c r="J694" t="s">
        <v>2510</v>
      </c>
      <c r="K694" s="2" t="str">
        <f>HYPERLINK("http://collections.slsa.sa.gov.au/resource/PRG+1681/13/12")</f>
        <v>http://collections.slsa.sa.gov.au/resource/PRG+1681/13/12</v>
      </c>
    </row>
    <row r="695" spans="1:11" x14ac:dyDescent="0.25">
      <c r="A695" t="s">
        <v>2781</v>
      </c>
      <c r="B695" s="1" t="str">
        <f>HYPERLINK("https://www.catalog.slsa.sa.gov.au/record=b3112404")</f>
        <v>https://www.catalog.slsa.sa.gov.au/record=b3112404</v>
      </c>
      <c r="C695" s="1" t="str">
        <f>HYPERLINK("https://www.catalog.slsa.sa.gov.au/xrecord=b3112404")</f>
        <v>https://www.catalog.slsa.sa.gov.au/xrecord=b3112404</v>
      </c>
      <c r="E695" t="s">
        <v>2782</v>
      </c>
      <c r="F695" t="s">
        <v>1926</v>
      </c>
      <c r="G695" t="s">
        <v>2783</v>
      </c>
      <c r="H695" t="s">
        <v>2784</v>
      </c>
      <c r="I695" t="s">
        <v>2785</v>
      </c>
      <c r="J695" t="s">
        <v>2510</v>
      </c>
      <c r="K695" s="2" t="str">
        <f>HYPERLINK("http://collections.slsa.sa.gov.au/resource/PRG+1681/13/13")</f>
        <v>http://collections.slsa.sa.gov.au/resource/PRG+1681/13/13</v>
      </c>
    </row>
    <row r="696" spans="1:11" x14ac:dyDescent="0.25">
      <c r="A696" t="s">
        <v>2786</v>
      </c>
      <c r="B696" s="1" t="str">
        <f>HYPERLINK("https://www.catalog.slsa.sa.gov.au/record=b3112383")</f>
        <v>https://www.catalog.slsa.sa.gov.au/record=b3112383</v>
      </c>
      <c r="C696" s="1" t="str">
        <f>HYPERLINK("https://www.catalog.slsa.sa.gov.au/xrecord=b3112383")</f>
        <v>https://www.catalog.slsa.sa.gov.au/xrecord=b3112383</v>
      </c>
      <c r="E696" t="s">
        <v>2787</v>
      </c>
      <c r="F696" t="s">
        <v>1926</v>
      </c>
      <c r="G696" t="s">
        <v>2788</v>
      </c>
      <c r="H696" t="s">
        <v>2789</v>
      </c>
      <c r="I696" t="s">
        <v>2790</v>
      </c>
      <c r="J696" t="s">
        <v>2510</v>
      </c>
      <c r="K696" s="2" t="str">
        <f>HYPERLINK("http://collections.slsa.sa.gov.au/resource/PRG+1681/13/2")</f>
        <v>http://collections.slsa.sa.gov.au/resource/PRG+1681/13/2</v>
      </c>
    </row>
    <row r="697" spans="1:11" x14ac:dyDescent="0.25">
      <c r="A697" t="s">
        <v>2791</v>
      </c>
      <c r="B697" s="1" t="str">
        <f>HYPERLINK("https://www.catalog.slsa.sa.gov.au/record=b3112636")</f>
        <v>https://www.catalog.slsa.sa.gov.au/record=b3112636</v>
      </c>
      <c r="C697" s="1" t="str">
        <f>HYPERLINK("https://www.catalog.slsa.sa.gov.au/xrecord=b3112636")</f>
        <v>https://www.catalog.slsa.sa.gov.au/xrecord=b3112636</v>
      </c>
      <c r="E697" t="s">
        <v>2792</v>
      </c>
      <c r="F697" t="s">
        <v>1926</v>
      </c>
      <c r="G697" t="s">
        <v>2793</v>
      </c>
      <c r="H697" t="s">
        <v>2794</v>
      </c>
      <c r="I697" t="s">
        <v>2795</v>
      </c>
      <c r="J697" t="s">
        <v>2510</v>
      </c>
      <c r="K697" s="2" t="str">
        <f>HYPERLINK("http://collections.slsa.sa.gov.au/resource/PRG+1681/16/10")</f>
        <v>http://collections.slsa.sa.gov.au/resource/PRG+1681/16/10</v>
      </c>
    </row>
    <row r="698" spans="1:11" x14ac:dyDescent="0.25">
      <c r="A698" t="s">
        <v>2796</v>
      </c>
      <c r="B698" s="1" t="str">
        <f>HYPERLINK("https://www.catalog.slsa.sa.gov.au/record=b3112655")</f>
        <v>https://www.catalog.slsa.sa.gov.au/record=b3112655</v>
      </c>
      <c r="C698" s="1" t="str">
        <f>HYPERLINK("https://www.catalog.slsa.sa.gov.au/xrecord=b3112655")</f>
        <v>https://www.catalog.slsa.sa.gov.au/xrecord=b3112655</v>
      </c>
      <c r="E698" t="s">
        <v>2797</v>
      </c>
      <c r="F698" t="s">
        <v>1926</v>
      </c>
      <c r="G698" t="s">
        <v>2798</v>
      </c>
      <c r="H698" t="s">
        <v>2799</v>
      </c>
      <c r="I698" t="s">
        <v>2800</v>
      </c>
      <c r="J698" t="s">
        <v>2801</v>
      </c>
      <c r="K698" s="2" t="str">
        <f>HYPERLINK("http://collections.slsa.sa.gov.au/resource/PRG+1681/16/26")</f>
        <v>http://collections.slsa.sa.gov.au/resource/PRG+1681/16/26</v>
      </c>
    </row>
    <row r="699" spans="1:11" x14ac:dyDescent="0.25">
      <c r="A699" t="s">
        <v>2802</v>
      </c>
      <c r="B699" s="1" t="str">
        <f>HYPERLINK("https://www.catalog.slsa.sa.gov.au/record=b3112631")</f>
        <v>https://www.catalog.slsa.sa.gov.au/record=b3112631</v>
      </c>
      <c r="C699" s="1" t="str">
        <f>HYPERLINK("https://www.catalog.slsa.sa.gov.au/xrecord=b3112631")</f>
        <v>https://www.catalog.slsa.sa.gov.au/xrecord=b3112631</v>
      </c>
      <c r="E699" t="s">
        <v>2803</v>
      </c>
      <c r="F699" t="s">
        <v>1926</v>
      </c>
      <c r="G699" t="s">
        <v>2804</v>
      </c>
      <c r="H699" t="s">
        <v>2805</v>
      </c>
      <c r="I699" t="s">
        <v>2806</v>
      </c>
      <c r="J699" t="s">
        <v>2807</v>
      </c>
      <c r="K699" s="2" t="str">
        <f>HYPERLINK("http://collections.slsa.sa.gov.au/resource/PRG+1681/16/5")</f>
        <v>http://collections.slsa.sa.gov.au/resource/PRG+1681/16/5</v>
      </c>
    </row>
    <row r="700" spans="1:11" x14ac:dyDescent="0.25">
      <c r="A700" t="s">
        <v>2808</v>
      </c>
      <c r="B700" s="1" t="str">
        <f>HYPERLINK("https://www.catalog.slsa.sa.gov.au/record=b3112699")</f>
        <v>https://www.catalog.slsa.sa.gov.au/record=b3112699</v>
      </c>
      <c r="C700" s="1" t="str">
        <f>HYPERLINK("https://www.catalog.slsa.sa.gov.au/xrecord=b3112699")</f>
        <v>https://www.catalog.slsa.sa.gov.au/xrecord=b3112699</v>
      </c>
      <c r="D700" t="s">
        <v>2809</v>
      </c>
      <c r="E700" t="s">
        <v>2810</v>
      </c>
      <c r="F700" t="s">
        <v>1926</v>
      </c>
      <c r="G700" t="s">
        <v>2811</v>
      </c>
      <c r="H700" t="s">
        <v>2812</v>
      </c>
      <c r="I700" t="s">
        <v>2813</v>
      </c>
      <c r="J700" t="s">
        <v>1809</v>
      </c>
      <c r="K700" s="2" t="str">
        <f>HYPERLINK("http://collections.slsa.sa.gov.au/resource/PRG+1681/17/17")</f>
        <v>http://collections.slsa.sa.gov.au/resource/PRG+1681/17/17</v>
      </c>
    </row>
    <row r="701" spans="1:11" x14ac:dyDescent="0.25">
      <c r="A701" t="s">
        <v>2814</v>
      </c>
      <c r="B701" s="1" t="str">
        <f>HYPERLINK("https://www.catalog.slsa.sa.gov.au/record=b3112677")</f>
        <v>https://www.catalog.slsa.sa.gov.au/record=b3112677</v>
      </c>
      <c r="C701" s="1" t="str">
        <f>HYPERLINK("https://www.catalog.slsa.sa.gov.au/xrecord=b3112677")</f>
        <v>https://www.catalog.slsa.sa.gov.au/xrecord=b3112677</v>
      </c>
      <c r="D701" t="s">
        <v>1811</v>
      </c>
      <c r="E701" t="s">
        <v>2815</v>
      </c>
      <c r="F701" t="s">
        <v>1926</v>
      </c>
      <c r="G701" t="s">
        <v>2816</v>
      </c>
      <c r="H701" t="s">
        <v>2817</v>
      </c>
      <c r="I701" t="s">
        <v>2818</v>
      </c>
      <c r="J701" t="s">
        <v>2510</v>
      </c>
      <c r="K701" s="2" t="str">
        <f>HYPERLINK("http://collections.slsa.sa.gov.au/resource/PRG+1681/17/8")</f>
        <v>http://collections.slsa.sa.gov.au/resource/PRG+1681/17/8</v>
      </c>
    </row>
    <row r="702" spans="1:11" x14ac:dyDescent="0.25">
      <c r="A702" t="s">
        <v>2819</v>
      </c>
      <c r="B702" s="1" t="str">
        <f>HYPERLINK("https://www.catalog.slsa.sa.gov.au/record=b3145944")</f>
        <v>https://www.catalog.slsa.sa.gov.au/record=b3145944</v>
      </c>
      <c r="C702" s="1" t="str">
        <f>HYPERLINK("https://www.catalog.slsa.sa.gov.au/xrecord=b3145944")</f>
        <v>https://www.catalog.slsa.sa.gov.au/xrecord=b3145944</v>
      </c>
      <c r="D702" t="s">
        <v>2820</v>
      </c>
      <c r="E702" t="s">
        <v>2821</v>
      </c>
      <c r="F702" t="s">
        <v>1926</v>
      </c>
      <c r="G702" t="s">
        <v>2822</v>
      </c>
      <c r="H702" t="s">
        <v>2823</v>
      </c>
      <c r="I702" t="s">
        <v>2824</v>
      </c>
      <c r="J702" t="s">
        <v>2825</v>
      </c>
      <c r="K702" s="2" t="str">
        <f>HYPERLINK("http://collections.slsa.sa.gov.au/resource/PRG+1712/3/6")</f>
        <v>http://collections.slsa.sa.gov.au/resource/PRG+1712/3/6</v>
      </c>
    </row>
    <row r="703" spans="1:11" x14ac:dyDescent="0.25">
      <c r="A703" t="s">
        <v>2826</v>
      </c>
      <c r="B703" s="1" t="str">
        <f>HYPERLINK("https://www.catalog.slsa.sa.gov.au/record=b3112369")</f>
        <v>https://www.catalog.slsa.sa.gov.au/record=b3112369</v>
      </c>
      <c r="C703" s="1" t="str">
        <f>HYPERLINK("https://www.catalog.slsa.sa.gov.au/xrecord=b3112369")</f>
        <v>https://www.catalog.slsa.sa.gov.au/xrecord=b3112369</v>
      </c>
      <c r="D703" t="s">
        <v>2827</v>
      </c>
      <c r="E703" t="s">
        <v>2828</v>
      </c>
      <c r="F703" t="s">
        <v>1926</v>
      </c>
      <c r="G703" t="s">
        <v>2829</v>
      </c>
      <c r="H703" t="s">
        <v>2830</v>
      </c>
      <c r="I703" t="s">
        <v>2831</v>
      </c>
      <c r="K703" s="2" t="str">
        <f>HYPERLINK("http://collections.slsa.sa.gov.au/resource/PRG+331/10/45")</f>
        <v>http://collections.slsa.sa.gov.au/resource/PRG+331/10/45</v>
      </c>
    </row>
    <row r="704" spans="1:11" x14ac:dyDescent="0.25">
      <c r="A704" t="s">
        <v>2832</v>
      </c>
      <c r="B704" s="1" t="str">
        <f>HYPERLINK("https://www.catalog.slsa.sa.gov.au/record=b3112371")</f>
        <v>https://www.catalog.slsa.sa.gov.au/record=b3112371</v>
      </c>
      <c r="C704" s="1" t="str">
        <f>HYPERLINK("https://www.catalog.slsa.sa.gov.au/xrecord=b3112371")</f>
        <v>https://www.catalog.slsa.sa.gov.au/xrecord=b3112371</v>
      </c>
      <c r="D704" t="s">
        <v>2827</v>
      </c>
      <c r="E704" t="s">
        <v>2828</v>
      </c>
      <c r="F704" t="s">
        <v>1926</v>
      </c>
      <c r="G704" t="s">
        <v>2833</v>
      </c>
      <c r="H704" t="s">
        <v>2834</v>
      </c>
      <c r="I704" t="s">
        <v>2831</v>
      </c>
      <c r="K704" s="2" t="str">
        <f>HYPERLINK("http://collections.slsa.sa.gov.au/resource/PRG+331/10/46")</f>
        <v>http://collections.slsa.sa.gov.au/resource/PRG+331/10/46</v>
      </c>
    </row>
    <row r="705" spans="1:11" x14ac:dyDescent="0.25">
      <c r="A705" t="s">
        <v>2835</v>
      </c>
      <c r="B705" s="1" t="str">
        <f>HYPERLINK("https://www.catalog.slsa.sa.gov.au/record=b3112372")</f>
        <v>https://www.catalog.slsa.sa.gov.au/record=b3112372</v>
      </c>
      <c r="C705" s="1" t="str">
        <f>HYPERLINK("https://www.catalog.slsa.sa.gov.au/xrecord=b3112372")</f>
        <v>https://www.catalog.slsa.sa.gov.au/xrecord=b3112372</v>
      </c>
      <c r="D705" t="s">
        <v>2827</v>
      </c>
      <c r="E705" t="s">
        <v>2836</v>
      </c>
      <c r="F705" t="s">
        <v>1926</v>
      </c>
      <c r="G705" t="s">
        <v>2837</v>
      </c>
      <c r="H705" t="s">
        <v>2838</v>
      </c>
      <c r="I705" t="s">
        <v>2831</v>
      </c>
      <c r="K705" s="2" t="str">
        <f>HYPERLINK("http://collections.slsa.sa.gov.au/resource/PRG+331/10/47")</f>
        <v>http://collections.slsa.sa.gov.au/resource/PRG+331/10/47</v>
      </c>
    </row>
    <row r="706" spans="1:11" x14ac:dyDescent="0.25">
      <c r="A706" t="s">
        <v>2839</v>
      </c>
      <c r="B706" s="1" t="str">
        <f>HYPERLINK("https://www.catalog.slsa.sa.gov.au/record=b3112602")</f>
        <v>https://www.catalog.slsa.sa.gov.au/record=b3112602</v>
      </c>
      <c r="C706" s="1" t="str">
        <f>HYPERLINK("https://www.catalog.slsa.sa.gov.au/xrecord=b3112602")</f>
        <v>https://www.catalog.slsa.sa.gov.au/xrecord=b3112602</v>
      </c>
      <c r="D706" t="s">
        <v>2827</v>
      </c>
      <c r="E706" t="s">
        <v>2840</v>
      </c>
      <c r="F706" t="s">
        <v>1926</v>
      </c>
      <c r="G706" t="s">
        <v>2841</v>
      </c>
      <c r="H706" t="s">
        <v>2842</v>
      </c>
      <c r="I706" t="s">
        <v>2831</v>
      </c>
      <c r="K706" s="2" t="str">
        <f>HYPERLINK("http://collections.slsa.sa.gov.au/resource/PRG+331/10/56")</f>
        <v>http://collections.slsa.sa.gov.au/resource/PRG+331/10/56</v>
      </c>
    </row>
    <row r="707" spans="1:11" x14ac:dyDescent="0.25">
      <c r="A707" t="s">
        <v>2843</v>
      </c>
      <c r="B707" s="1" t="str">
        <f>HYPERLINK("https://www.catalog.slsa.sa.gov.au/record=b3138831")</f>
        <v>https://www.catalog.slsa.sa.gov.au/record=b3138831</v>
      </c>
      <c r="C707" s="1" t="str">
        <f>HYPERLINK("https://www.catalog.slsa.sa.gov.au/xrecord=b3138831")</f>
        <v>https://www.catalog.slsa.sa.gov.au/xrecord=b3138831</v>
      </c>
      <c r="E707" t="s">
        <v>2844</v>
      </c>
      <c r="F707" t="s">
        <v>2419</v>
      </c>
      <c r="G707" t="s">
        <v>2845</v>
      </c>
      <c r="H707" t="s">
        <v>2846</v>
      </c>
      <c r="I707" t="s">
        <v>2847</v>
      </c>
      <c r="J707" t="s">
        <v>2848</v>
      </c>
      <c r="K707" s="2" t="str">
        <f>HYPERLINK("http://collections.slsa.sa.gov.au/resource/PRG+830/20/201")</f>
        <v>http://collections.slsa.sa.gov.au/resource/PRG+830/20/201</v>
      </c>
    </row>
    <row r="708" spans="1:11" x14ac:dyDescent="0.25">
      <c r="A708" t="s">
        <v>2849</v>
      </c>
      <c r="B708" s="1" t="str">
        <f>HYPERLINK("https://www.catalog.slsa.sa.gov.au/record=b3138832")</f>
        <v>https://www.catalog.slsa.sa.gov.au/record=b3138832</v>
      </c>
      <c r="C708" s="1" t="str">
        <f>HYPERLINK("https://www.catalog.slsa.sa.gov.au/xrecord=b3138832")</f>
        <v>https://www.catalog.slsa.sa.gov.au/xrecord=b3138832</v>
      </c>
      <c r="E708" t="s">
        <v>2850</v>
      </c>
      <c r="F708" t="s">
        <v>2419</v>
      </c>
      <c r="G708" t="s">
        <v>2845</v>
      </c>
      <c r="H708" t="s">
        <v>2851</v>
      </c>
      <c r="I708" t="s">
        <v>2847</v>
      </c>
      <c r="J708" t="s">
        <v>2848</v>
      </c>
      <c r="K708" s="2" t="str">
        <f>HYPERLINK("http://collections.slsa.sa.gov.au/resource/PRG+830/20/202")</f>
        <v>http://collections.slsa.sa.gov.au/resource/PRG+830/20/202</v>
      </c>
    </row>
    <row r="709" spans="1:11" x14ac:dyDescent="0.25">
      <c r="A709" t="s">
        <v>2852</v>
      </c>
      <c r="B709" s="1" t="str">
        <f>HYPERLINK("https://www.catalog.slsa.sa.gov.au/record=b3138833")</f>
        <v>https://www.catalog.slsa.sa.gov.au/record=b3138833</v>
      </c>
      <c r="C709" s="1" t="str">
        <f>HYPERLINK("https://www.catalog.slsa.sa.gov.au/xrecord=b3138833")</f>
        <v>https://www.catalog.slsa.sa.gov.au/xrecord=b3138833</v>
      </c>
      <c r="E709" t="s">
        <v>2853</v>
      </c>
      <c r="F709" t="s">
        <v>2419</v>
      </c>
      <c r="G709" t="s">
        <v>2854</v>
      </c>
      <c r="H709" t="s">
        <v>2855</v>
      </c>
      <c r="I709" t="s">
        <v>2847</v>
      </c>
      <c r="J709" t="s">
        <v>2848</v>
      </c>
      <c r="K709" s="2" t="str">
        <f>HYPERLINK("http://collections.slsa.sa.gov.au/resource/PRG+830/20/203")</f>
        <v>http://collections.slsa.sa.gov.au/resource/PRG+830/20/203</v>
      </c>
    </row>
    <row r="710" spans="1:11" x14ac:dyDescent="0.25">
      <c r="A710" t="s">
        <v>2856</v>
      </c>
      <c r="B710" s="1" t="str">
        <f>HYPERLINK("https://www.catalog.slsa.sa.gov.au/record=b3138834")</f>
        <v>https://www.catalog.slsa.sa.gov.au/record=b3138834</v>
      </c>
      <c r="C710" s="1" t="str">
        <f>HYPERLINK("https://www.catalog.slsa.sa.gov.au/xrecord=b3138834")</f>
        <v>https://www.catalog.slsa.sa.gov.au/xrecord=b3138834</v>
      </c>
      <c r="E710" t="s">
        <v>2857</v>
      </c>
      <c r="F710" t="s">
        <v>2419</v>
      </c>
      <c r="G710" t="s">
        <v>2854</v>
      </c>
      <c r="H710" t="s">
        <v>2858</v>
      </c>
      <c r="I710" t="s">
        <v>2847</v>
      </c>
      <c r="J710" t="s">
        <v>2848</v>
      </c>
      <c r="K710" s="2" t="str">
        <f>HYPERLINK("http://collections.slsa.sa.gov.au/resource/PRG+830/20/204")</f>
        <v>http://collections.slsa.sa.gov.au/resource/PRG+830/20/204</v>
      </c>
    </row>
    <row r="711" spans="1:11" x14ac:dyDescent="0.25">
      <c r="A711" t="s">
        <v>2859</v>
      </c>
      <c r="B711" s="1" t="str">
        <f>HYPERLINK("https://www.catalog.slsa.sa.gov.au/record=b3138835")</f>
        <v>https://www.catalog.slsa.sa.gov.au/record=b3138835</v>
      </c>
      <c r="C711" s="1" t="str">
        <f>HYPERLINK("https://www.catalog.slsa.sa.gov.au/xrecord=b3138835")</f>
        <v>https://www.catalog.slsa.sa.gov.au/xrecord=b3138835</v>
      </c>
      <c r="E711" t="s">
        <v>2860</v>
      </c>
      <c r="F711" t="s">
        <v>2419</v>
      </c>
      <c r="G711" t="s">
        <v>2854</v>
      </c>
      <c r="H711" t="s">
        <v>2861</v>
      </c>
      <c r="I711" t="s">
        <v>2847</v>
      </c>
      <c r="J711" t="s">
        <v>2848</v>
      </c>
      <c r="K711" s="2" t="str">
        <f>HYPERLINK("http://collections.slsa.sa.gov.au/resource/PRG+830/20/205")</f>
        <v>http://collections.slsa.sa.gov.au/resource/PRG+830/20/205</v>
      </c>
    </row>
    <row r="712" spans="1:11" x14ac:dyDescent="0.25">
      <c r="A712" t="s">
        <v>2862</v>
      </c>
      <c r="B712" s="1" t="str">
        <f>HYPERLINK("https://www.catalog.slsa.sa.gov.au/record=b3138836")</f>
        <v>https://www.catalog.slsa.sa.gov.au/record=b3138836</v>
      </c>
      <c r="C712" s="1" t="str">
        <f>HYPERLINK("https://www.catalog.slsa.sa.gov.au/xrecord=b3138836")</f>
        <v>https://www.catalog.slsa.sa.gov.au/xrecord=b3138836</v>
      </c>
      <c r="E712" t="s">
        <v>2863</v>
      </c>
      <c r="F712" t="s">
        <v>2419</v>
      </c>
      <c r="G712" t="s">
        <v>2854</v>
      </c>
      <c r="H712" t="s">
        <v>2864</v>
      </c>
      <c r="I712" t="s">
        <v>2865</v>
      </c>
      <c r="J712" t="s">
        <v>1824</v>
      </c>
      <c r="K712" s="2" t="str">
        <f>HYPERLINK("http://collections.slsa.sa.gov.au/resource/PRG+830/20/206")</f>
        <v>http://collections.slsa.sa.gov.au/resource/PRG+830/20/206</v>
      </c>
    </row>
    <row r="713" spans="1:11" x14ac:dyDescent="0.25">
      <c r="A713" t="s">
        <v>2866</v>
      </c>
      <c r="B713" s="1" t="str">
        <f>HYPERLINK("https://www.catalog.slsa.sa.gov.au/record=b3138838")</f>
        <v>https://www.catalog.slsa.sa.gov.au/record=b3138838</v>
      </c>
      <c r="C713" s="1" t="str">
        <f>HYPERLINK("https://www.catalog.slsa.sa.gov.au/xrecord=b3138838")</f>
        <v>https://www.catalog.slsa.sa.gov.au/xrecord=b3138838</v>
      </c>
      <c r="E713" t="s">
        <v>2867</v>
      </c>
      <c r="F713" t="s">
        <v>2419</v>
      </c>
      <c r="G713" t="s">
        <v>2868</v>
      </c>
      <c r="H713" t="s">
        <v>2869</v>
      </c>
      <c r="I713" t="s">
        <v>2870</v>
      </c>
      <c r="J713" t="s">
        <v>1824</v>
      </c>
      <c r="K713" s="2" t="str">
        <f>HYPERLINK("http://collections.slsa.sa.gov.au/resource/PRG+830/20/208")</f>
        <v>http://collections.slsa.sa.gov.au/resource/PRG+830/20/208</v>
      </c>
    </row>
    <row r="714" spans="1:11" x14ac:dyDescent="0.25">
      <c r="A714" t="s">
        <v>2871</v>
      </c>
      <c r="B714" s="1" t="str">
        <f>HYPERLINK("https://www.catalog.slsa.sa.gov.au/record=b3138839")</f>
        <v>https://www.catalog.slsa.sa.gov.au/record=b3138839</v>
      </c>
      <c r="C714" s="1" t="str">
        <f>HYPERLINK("https://www.catalog.slsa.sa.gov.au/xrecord=b3138839")</f>
        <v>https://www.catalog.slsa.sa.gov.au/xrecord=b3138839</v>
      </c>
      <c r="E714" t="s">
        <v>2867</v>
      </c>
      <c r="F714" t="s">
        <v>2419</v>
      </c>
      <c r="G714" t="s">
        <v>2872</v>
      </c>
      <c r="H714" t="s">
        <v>2873</v>
      </c>
      <c r="I714" t="s">
        <v>2874</v>
      </c>
      <c r="J714" t="s">
        <v>1824</v>
      </c>
      <c r="K714" s="2" t="str">
        <f>HYPERLINK("http://collections.slsa.sa.gov.au/resource/PRG+830/20/209")</f>
        <v>http://collections.slsa.sa.gov.au/resource/PRG+830/20/209</v>
      </c>
    </row>
    <row r="715" spans="1:11" x14ac:dyDescent="0.25">
      <c r="A715" t="s">
        <v>2875</v>
      </c>
      <c r="B715" s="1" t="str">
        <f>HYPERLINK("https://www.catalog.slsa.sa.gov.au/record=b3138840")</f>
        <v>https://www.catalog.slsa.sa.gov.au/record=b3138840</v>
      </c>
      <c r="C715" s="1" t="str">
        <f>HYPERLINK("https://www.catalog.slsa.sa.gov.au/xrecord=b3138840")</f>
        <v>https://www.catalog.slsa.sa.gov.au/xrecord=b3138840</v>
      </c>
      <c r="D715" t="s">
        <v>2876</v>
      </c>
      <c r="E715" t="s">
        <v>2877</v>
      </c>
      <c r="F715" t="s">
        <v>2419</v>
      </c>
      <c r="G715" t="s">
        <v>2878</v>
      </c>
      <c r="H715" t="s">
        <v>2879</v>
      </c>
      <c r="I715" t="s">
        <v>2880</v>
      </c>
      <c r="J715" t="s">
        <v>2881</v>
      </c>
      <c r="K715" s="2" t="str">
        <f>HYPERLINK("http://collections.slsa.sa.gov.au/resource/PRG+830/20/210")</f>
        <v>http://collections.slsa.sa.gov.au/resource/PRG+830/20/210</v>
      </c>
    </row>
    <row r="716" spans="1:11" x14ac:dyDescent="0.25">
      <c r="A716" t="s">
        <v>2882</v>
      </c>
      <c r="B716" s="1" t="str">
        <f>HYPERLINK("https://www.catalog.slsa.sa.gov.au/record=b3138851")</f>
        <v>https://www.catalog.slsa.sa.gov.au/record=b3138851</v>
      </c>
      <c r="C716" s="1" t="str">
        <f>HYPERLINK("https://www.catalog.slsa.sa.gov.au/xrecord=b3138851")</f>
        <v>https://www.catalog.slsa.sa.gov.au/xrecord=b3138851</v>
      </c>
      <c r="D716" t="s">
        <v>2876</v>
      </c>
      <c r="E716" t="s">
        <v>2883</v>
      </c>
      <c r="F716" t="s">
        <v>2419</v>
      </c>
      <c r="G716" t="s">
        <v>2884</v>
      </c>
      <c r="H716" t="s">
        <v>2885</v>
      </c>
      <c r="I716" t="s">
        <v>2886</v>
      </c>
      <c r="J716" t="s">
        <v>1824</v>
      </c>
      <c r="K716" s="2" t="str">
        <f>HYPERLINK("http://collections.slsa.sa.gov.au/resource/PRG+830/20/221")</f>
        <v>http://collections.slsa.sa.gov.au/resource/PRG+830/20/221</v>
      </c>
    </row>
    <row r="717" spans="1:11" x14ac:dyDescent="0.25">
      <c r="A717" t="s">
        <v>2887</v>
      </c>
      <c r="B717" s="1" t="str">
        <f>HYPERLINK("https://www.catalog.slsa.sa.gov.au/record=b3138852")</f>
        <v>https://www.catalog.slsa.sa.gov.au/record=b3138852</v>
      </c>
      <c r="C717" s="1" t="str">
        <f>HYPERLINK("https://www.catalog.slsa.sa.gov.au/xrecord=b3138852")</f>
        <v>https://www.catalog.slsa.sa.gov.au/xrecord=b3138852</v>
      </c>
      <c r="E717" t="s">
        <v>2888</v>
      </c>
      <c r="F717" t="s">
        <v>2419</v>
      </c>
      <c r="G717" t="s">
        <v>2889</v>
      </c>
      <c r="H717" t="s">
        <v>2890</v>
      </c>
      <c r="I717" t="s">
        <v>2886</v>
      </c>
      <c r="J717" t="s">
        <v>1824</v>
      </c>
      <c r="K717" s="2" t="str">
        <f>HYPERLINK("http://collections.slsa.sa.gov.au/resource/PRG+830/20/222")</f>
        <v>http://collections.slsa.sa.gov.au/resource/PRG+830/20/222</v>
      </c>
    </row>
    <row r="718" spans="1:11" x14ac:dyDescent="0.25">
      <c r="A718" t="s">
        <v>2891</v>
      </c>
      <c r="B718" s="1" t="str">
        <f>HYPERLINK("https://www.catalog.slsa.sa.gov.au/record=b3138853")</f>
        <v>https://www.catalog.slsa.sa.gov.au/record=b3138853</v>
      </c>
      <c r="C718" s="1" t="str">
        <f>HYPERLINK("https://www.catalog.slsa.sa.gov.au/xrecord=b3138853")</f>
        <v>https://www.catalog.slsa.sa.gov.au/xrecord=b3138853</v>
      </c>
      <c r="D718" t="s">
        <v>1811</v>
      </c>
      <c r="E718" t="s">
        <v>2892</v>
      </c>
      <c r="F718" t="s">
        <v>2419</v>
      </c>
      <c r="G718" t="s">
        <v>2893</v>
      </c>
      <c r="H718" t="s">
        <v>2894</v>
      </c>
      <c r="I718" t="s">
        <v>2895</v>
      </c>
      <c r="J718" t="s">
        <v>1824</v>
      </c>
      <c r="K718" s="2" t="str">
        <f>HYPERLINK("http://collections.slsa.sa.gov.au/resource/PRG+830/20/223")</f>
        <v>http://collections.slsa.sa.gov.au/resource/PRG+830/20/223</v>
      </c>
    </row>
    <row r="719" spans="1:11" x14ac:dyDescent="0.25">
      <c r="A719" t="s">
        <v>2896</v>
      </c>
      <c r="B719" s="1" t="str">
        <f>HYPERLINK("https://www.catalog.slsa.sa.gov.au/record=b3138854")</f>
        <v>https://www.catalog.slsa.sa.gov.au/record=b3138854</v>
      </c>
      <c r="C719" s="1" t="str">
        <f>HYPERLINK("https://www.catalog.slsa.sa.gov.au/xrecord=b3138854")</f>
        <v>https://www.catalog.slsa.sa.gov.au/xrecord=b3138854</v>
      </c>
      <c r="D719" t="s">
        <v>1811</v>
      </c>
      <c r="E719" t="s">
        <v>2892</v>
      </c>
      <c r="F719" t="s">
        <v>2419</v>
      </c>
      <c r="G719" t="s">
        <v>2893</v>
      </c>
      <c r="H719" t="s">
        <v>2897</v>
      </c>
      <c r="I719" t="s">
        <v>2898</v>
      </c>
      <c r="J719" t="s">
        <v>1824</v>
      </c>
      <c r="K719" s="2" t="str">
        <f>HYPERLINK("http://collections.slsa.sa.gov.au/resource/PRG+830/20/224")</f>
        <v>http://collections.slsa.sa.gov.au/resource/PRG+830/20/224</v>
      </c>
    </row>
    <row r="720" spans="1:11" x14ac:dyDescent="0.25">
      <c r="A720" t="s">
        <v>2899</v>
      </c>
      <c r="B720" s="1" t="str">
        <f>HYPERLINK("https://www.catalog.slsa.sa.gov.au/record=b2190332")</f>
        <v>https://www.catalog.slsa.sa.gov.au/record=b2190332</v>
      </c>
      <c r="C720" s="1" t="str">
        <f>HYPERLINK("https://www.catalog.slsa.sa.gov.au/xrecord=b2190332")</f>
        <v>https://www.catalog.slsa.sa.gov.au/xrecord=b2190332</v>
      </c>
      <c r="D720" t="s">
        <v>2900</v>
      </c>
      <c r="E720" t="s">
        <v>2901</v>
      </c>
      <c r="F720" t="s">
        <v>2902</v>
      </c>
      <c r="G720" t="s">
        <v>2903</v>
      </c>
      <c r="H720" t="s">
        <v>2904</v>
      </c>
      <c r="I720" t="s">
        <v>2905</v>
      </c>
      <c r="K720" s="2" t="str">
        <f>HYPERLINK("http://collections.slsa.sa.gov.au/resource/PRG+1060/3")</f>
        <v>http://collections.slsa.sa.gov.au/resource/PRG+1060/3</v>
      </c>
    </row>
    <row r="721" spans="1:11" x14ac:dyDescent="0.25">
      <c r="A721" t="s">
        <v>2906</v>
      </c>
      <c r="B721" s="1" t="str">
        <f>HYPERLINK("https://www.catalog.slsa.sa.gov.au/record=b3026712")</f>
        <v>https://www.catalog.slsa.sa.gov.au/record=b3026712</v>
      </c>
      <c r="C721" s="1" t="str">
        <f>HYPERLINK("https://www.catalog.slsa.sa.gov.au/xrecord=b3026712")</f>
        <v>https://www.catalog.slsa.sa.gov.au/xrecord=b3026712</v>
      </c>
      <c r="D721" t="s">
        <v>1811</v>
      </c>
      <c r="E721" t="s">
        <v>2907</v>
      </c>
      <c r="F721" t="s">
        <v>2908</v>
      </c>
      <c r="G721" t="s">
        <v>1817</v>
      </c>
      <c r="H721" t="s">
        <v>2909</v>
      </c>
      <c r="I721" t="s">
        <v>2910</v>
      </c>
      <c r="K721" s="2" t="str">
        <f>HYPERLINK("http://collections.slsa.sa.gov.au/resource/PRG+1658/1/35")</f>
        <v>http://collections.slsa.sa.gov.au/resource/PRG+1658/1/35</v>
      </c>
    </row>
    <row r="722" spans="1:11" x14ac:dyDescent="0.25">
      <c r="A722" t="s">
        <v>2911</v>
      </c>
      <c r="B722" s="1" t="str">
        <f>HYPERLINK("https://www.catalog.slsa.sa.gov.au/record=b3138644")</f>
        <v>https://www.catalog.slsa.sa.gov.au/record=b3138644</v>
      </c>
      <c r="C722" s="1" t="str">
        <f>HYPERLINK("https://www.catalog.slsa.sa.gov.au/xrecord=b3138644")</f>
        <v>https://www.catalog.slsa.sa.gov.au/xrecord=b3138644</v>
      </c>
      <c r="E722" t="s">
        <v>2912</v>
      </c>
      <c r="F722" t="s">
        <v>2913</v>
      </c>
      <c r="G722" t="s">
        <v>2914</v>
      </c>
      <c r="H722" t="s">
        <v>2915</v>
      </c>
      <c r="I722" t="s">
        <v>2916</v>
      </c>
      <c r="J722" t="s">
        <v>1824</v>
      </c>
      <c r="K722" s="2" t="str">
        <f>HYPERLINK("http://collections.slsa.sa.gov.au/resource/PRG+830/20/14")</f>
        <v>http://collections.slsa.sa.gov.au/resource/PRG+830/20/14</v>
      </c>
    </row>
    <row r="723" spans="1:11" x14ac:dyDescent="0.25">
      <c r="A723" t="s">
        <v>2917</v>
      </c>
      <c r="B723" s="1" t="str">
        <f>HYPERLINK("https://www.catalog.slsa.sa.gov.au/record=b2927678")</f>
        <v>https://www.catalog.slsa.sa.gov.au/record=b2927678</v>
      </c>
      <c r="C723" s="1" t="str">
        <f>HYPERLINK("https://www.catalog.slsa.sa.gov.au/xrecord=b2927678")</f>
        <v>https://www.catalog.slsa.sa.gov.au/xrecord=b2927678</v>
      </c>
      <c r="E723" t="s">
        <v>2918</v>
      </c>
      <c r="F723" t="s">
        <v>2919</v>
      </c>
      <c r="G723" t="s">
        <v>2920</v>
      </c>
      <c r="H723" t="s">
        <v>2921</v>
      </c>
      <c r="I723" t="s">
        <v>2922</v>
      </c>
      <c r="J723" t="s">
        <v>2405</v>
      </c>
      <c r="K723" s="2" t="str">
        <f>HYPERLINK("http://collections.slsa.sa.gov.au/prg/1617/5/PRG1617_5_5.htm")</f>
        <v>http://collections.slsa.sa.gov.au/prg/1617/5/PRG1617_5_5.htm</v>
      </c>
    </row>
    <row r="724" spans="1:11" x14ac:dyDescent="0.25">
      <c r="A724" t="s">
        <v>2923</v>
      </c>
      <c r="B724" s="1" t="str">
        <f>HYPERLINK("https://www.catalog.slsa.sa.gov.au/record=b2927679")</f>
        <v>https://www.catalog.slsa.sa.gov.au/record=b2927679</v>
      </c>
      <c r="C724" s="1" t="str">
        <f>HYPERLINK("https://www.catalog.slsa.sa.gov.au/xrecord=b2927679")</f>
        <v>https://www.catalog.slsa.sa.gov.au/xrecord=b2927679</v>
      </c>
      <c r="E724" t="s">
        <v>2918</v>
      </c>
      <c r="F724" t="s">
        <v>2919</v>
      </c>
      <c r="G724" t="s">
        <v>2924</v>
      </c>
      <c r="H724" t="s">
        <v>2925</v>
      </c>
      <c r="I724" t="s">
        <v>2922</v>
      </c>
      <c r="J724" t="s">
        <v>2405</v>
      </c>
      <c r="K724" s="2" t="str">
        <f>HYPERLINK("http://collections.slsa.sa.gov.au/prg/1617/5/PRG1617_5_6.htm")</f>
        <v>http://collections.slsa.sa.gov.au/prg/1617/5/PRG1617_5_6.htm</v>
      </c>
    </row>
    <row r="725" spans="1:11" x14ac:dyDescent="0.25">
      <c r="A725" t="s">
        <v>2926</v>
      </c>
      <c r="B725" s="1" t="str">
        <f>HYPERLINK("https://www.catalog.slsa.sa.gov.au/record=b3112638")</f>
        <v>https://www.catalog.slsa.sa.gov.au/record=b3112638</v>
      </c>
      <c r="C725" s="1" t="str">
        <f>HYPERLINK("https://www.catalog.slsa.sa.gov.au/xrecord=b3112638")</f>
        <v>https://www.catalog.slsa.sa.gov.au/xrecord=b3112638</v>
      </c>
      <c r="E725" t="s">
        <v>2927</v>
      </c>
      <c r="F725" t="s">
        <v>2928</v>
      </c>
      <c r="G725" t="s">
        <v>2929</v>
      </c>
      <c r="H725" t="s">
        <v>2930</v>
      </c>
      <c r="I725" t="s">
        <v>2931</v>
      </c>
      <c r="J725" t="s">
        <v>2932</v>
      </c>
      <c r="K725" s="2" t="str">
        <f>HYPERLINK("http://collections.slsa.sa.gov.au/resource/PRG+1681/16/13")</f>
        <v>http://collections.slsa.sa.gov.au/resource/PRG+1681/16/13</v>
      </c>
    </row>
    <row r="726" spans="1:11" x14ac:dyDescent="0.25">
      <c r="A726" t="s">
        <v>2933</v>
      </c>
      <c r="B726" s="1" t="str">
        <f>HYPERLINK("https://www.catalog.slsa.sa.gov.au/record=b2117262")</f>
        <v>https://www.catalog.slsa.sa.gov.au/record=b2117262</v>
      </c>
      <c r="C726" s="1" t="str">
        <f>HYPERLINK("https://www.catalog.slsa.sa.gov.au/xrecord=b2117262")</f>
        <v>https://www.catalog.slsa.sa.gov.au/xrecord=b2117262</v>
      </c>
      <c r="D726" t="s">
        <v>66</v>
      </c>
      <c r="E726" t="s">
        <v>2934</v>
      </c>
      <c r="F726" t="s">
        <v>2935</v>
      </c>
      <c r="G726" t="s">
        <v>121</v>
      </c>
      <c r="H726" t="s">
        <v>2936</v>
      </c>
      <c r="I726" t="s">
        <v>2937</v>
      </c>
      <c r="J726" t="s">
        <v>71</v>
      </c>
      <c r="K726" s="2" t="str">
        <f>HYPERLINK("http://collections.slsa.sa.gov.au/arthur/06000/BRG347_5966.htm")</f>
        <v>http://collections.slsa.sa.gov.au/arthur/06000/BRG347_5966.htm</v>
      </c>
    </row>
    <row r="727" spans="1:11" x14ac:dyDescent="0.25">
      <c r="A727" t="s">
        <v>2938</v>
      </c>
      <c r="B727" s="1" t="str">
        <f>HYPERLINK("https://www.catalog.slsa.sa.gov.au/record=b3138645")</f>
        <v>https://www.catalog.slsa.sa.gov.au/record=b3138645</v>
      </c>
      <c r="C727" s="1" t="str">
        <f>HYPERLINK("https://www.catalog.slsa.sa.gov.au/xrecord=b3138645")</f>
        <v>https://www.catalog.slsa.sa.gov.au/xrecord=b3138645</v>
      </c>
      <c r="D727" t="s">
        <v>2939</v>
      </c>
      <c r="E727" t="s">
        <v>2940</v>
      </c>
      <c r="F727" t="s">
        <v>2941</v>
      </c>
      <c r="G727" t="s">
        <v>2942</v>
      </c>
      <c r="H727" t="s">
        <v>2943</v>
      </c>
      <c r="I727" t="s">
        <v>2944</v>
      </c>
      <c r="J727" t="s">
        <v>1824</v>
      </c>
      <c r="K727" s="2" t="str">
        <f>HYPERLINK("http://collections.slsa.sa.gov.au/resource/PRG+830/20/15")</f>
        <v>http://collections.slsa.sa.gov.au/resource/PRG+830/20/15</v>
      </c>
    </row>
    <row r="728" spans="1:11" x14ac:dyDescent="0.25">
      <c r="A728" t="s">
        <v>2945</v>
      </c>
      <c r="B728" s="1" t="str">
        <f>HYPERLINK("https://www.catalog.slsa.sa.gov.au/record=b2927004")</f>
        <v>https://www.catalog.slsa.sa.gov.au/record=b2927004</v>
      </c>
      <c r="C728" s="1" t="str">
        <f>HYPERLINK("https://www.catalog.slsa.sa.gov.au/xrecord=b2927004")</f>
        <v>https://www.catalog.slsa.sa.gov.au/xrecord=b2927004</v>
      </c>
      <c r="D728" t="s">
        <v>2946</v>
      </c>
      <c r="E728" t="s">
        <v>2947</v>
      </c>
      <c r="F728" t="s">
        <v>2948</v>
      </c>
      <c r="G728" t="s">
        <v>2949</v>
      </c>
      <c r="H728" t="s">
        <v>2950</v>
      </c>
      <c r="I728" t="s">
        <v>2951</v>
      </c>
      <c r="J728" t="s">
        <v>2952</v>
      </c>
      <c r="K728" s="2" t="str">
        <f>HYPERLINK("http://collections.slsa.sa.gov.au/prg/1561/5/PRG1561_5_1_12.htm")</f>
        <v>http://collections.slsa.sa.gov.au/prg/1561/5/PRG1561_5_1_12.htm</v>
      </c>
    </row>
    <row r="729" spans="1:11" x14ac:dyDescent="0.25">
      <c r="A729" t="s">
        <v>2953</v>
      </c>
      <c r="B729" s="1" t="str">
        <f>HYPERLINK("https://www.catalog.slsa.sa.gov.au/record=b2927001")</f>
        <v>https://www.catalog.slsa.sa.gov.au/record=b2927001</v>
      </c>
      <c r="C729" s="1" t="str">
        <f>HYPERLINK("https://www.catalog.slsa.sa.gov.au/xrecord=b2927001")</f>
        <v>https://www.catalog.slsa.sa.gov.au/xrecord=b2927001</v>
      </c>
      <c r="D729" t="s">
        <v>2946</v>
      </c>
      <c r="E729" t="s">
        <v>2947</v>
      </c>
      <c r="F729" t="s">
        <v>2954</v>
      </c>
      <c r="G729" t="s">
        <v>2955</v>
      </c>
      <c r="H729" t="s">
        <v>2956</v>
      </c>
      <c r="I729" t="s">
        <v>2951</v>
      </c>
      <c r="J729" t="s">
        <v>2952</v>
      </c>
      <c r="K729" s="2" t="str">
        <f>HYPERLINK("http://collections.slsa.sa.gov.au/resource/PRG+1561/5/1/11a")</f>
        <v>http://collections.slsa.sa.gov.au/resource/PRG+1561/5/1/11a</v>
      </c>
    </row>
    <row r="730" spans="1:11" x14ac:dyDescent="0.25">
      <c r="A730" t="s">
        <v>2957</v>
      </c>
      <c r="B730" s="1" t="str">
        <f>HYPERLINK("https://www.catalog.slsa.sa.gov.au/record=b3112637")</f>
        <v>https://www.catalog.slsa.sa.gov.au/record=b3112637</v>
      </c>
      <c r="C730" s="1" t="str">
        <f>HYPERLINK("https://www.catalog.slsa.sa.gov.au/xrecord=b3112637")</f>
        <v>https://www.catalog.slsa.sa.gov.au/xrecord=b3112637</v>
      </c>
      <c r="E730" t="s">
        <v>2958</v>
      </c>
      <c r="F730" t="s">
        <v>2959</v>
      </c>
      <c r="G730" t="s">
        <v>2960</v>
      </c>
      <c r="H730" t="s">
        <v>2961</v>
      </c>
      <c r="I730" t="s">
        <v>2962</v>
      </c>
      <c r="J730" t="s">
        <v>2963</v>
      </c>
      <c r="K730" s="2" t="str">
        <f>HYPERLINK("http://collections.slsa.sa.gov.au/resource/PRG+1681/16/11")</f>
        <v>http://collections.slsa.sa.gov.au/resource/PRG+1681/16/11</v>
      </c>
    </row>
    <row r="731" spans="1:11" x14ac:dyDescent="0.25">
      <c r="A731" t="s">
        <v>2964</v>
      </c>
      <c r="B731" s="1" t="str">
        <f>HYPERLINK("https://www.catalog.slsa.sa.gov.au/record=b3198915")</f>
        <v>https://www.catalog.slsa.sa.gov.au/record=b3198915</v>
      </c>
      <c r="C731" s="1" t="str">
        <f>HYPERLINK("https://www.catalog.slsa.sa.gov.au/xrecord=b3198915")</f>
        <v>https://www.catalog.slsa.sa.gov.au/xrecord=b3198915</v>
      </c>
      <c r="D731" t="s">
        <v>1924</v>
      </c>
      <c r="E731" t="s">
        <v>2965</v>
      </c>
      <c r="F731" t="s">
        <v>2966</v>
      </c>
      <c r="G731" t="s">
        <v>2967</v>
      </c>
      <c r="H731" t="s">
        <v>2968</v>
      </c>
      <c r="I731" t="s">
        <v>2969</v>
      </c>
      <c r="J731" t="s">
        <v>1930</v>
      </c>
      <c r="K731" s="2" t="str">
        <f>HYPERLINK("http://collections.slsa.sa.gov.au/resource/PRG+18/14/10")</f>
        <v>http://collections.slsa.sa.gov.au/resource/PRG+18/14/10</v>
      </c>
    </row>
    <row r="732" spans="1:11" x14ac:dyDescent="0.25">
      <c r="A732" t="s">
        <v>2970</v>
      </c>
      <c r="B732" s="1" t="str">
        <f>HYPERLINK("https://www.catalog.slsa.sa.gov.au/record=b3112641")</f>
        <v>https://www.catalog.slsa.sa.gov.au/record=b3112641</v>
      </c>
      <c r="C732" s="1" t="str">
        <f>HYPERLINK("https://www.catalog.slsa.sa.gov.au/xrecord=b3112641")</f>
        <v>https://www.catalog.slsa.sa.gov.au/xrecord=b3112641</v>
      </c>
      <c r="E732" t="s">
        <v>2971</v>
      </c>
      <c r="F732" t="s">
        <v>2972</v>
      </c>
      <c r="G732" t="s">
        <v>2804</v>
      </c>
      <c r="H732" t="s">
        <v>2973</v>
      </c>
      <c r="I732" t="s">
        <v>2974</v>
      </c>
      <c r="J732" t="s">
        <v>2975</v>
      </c>
      <c r="K732" s="2" t="str">
        <f>HYPERLINK("http://collections.slsa.sa.gov.au/resource/PRG+1681/16/15")</f>
        <v>http://collections.slsa.sa.gov.au/resource/PRG+1681/16/15</v>
      </c>
    </row>
    <row r="733" spans="1:11" x14ac:dyDescent="0.25">
      <c r="A733" t="s">
        <v>2976</v>
      </c>
      <c r="B733" s="1" t="str">
        <f>HYPERLINK("https://www.catalog.slsa.sa.gov.au/record=b3138079")</f>
        <v>https://www.catalog.slsa.sa.gov.au/record=b3138079</v>
      </c>
      <c r="C733" s="1" t="str">
        <f>HYPERLINK("https://www.catalog.slsa.sa.gov.au/xrecord=b3138079")</f>
        <v>https://www.catalog.slsa.sa.gov.au/xrecord=b3138079</v>
      </c>
      <c r="E733" t="s">
        <v>2977</v>
      </c>
      <c r="F733" t="s">
        <v>2978</v>
      </c>
      <c r="G733" t="s">
        <v>2979</v>
      </c>
      <c r="H733" t="s">
        <v>2980</v>
      </c>
      <c r="I733" t="s">
        <v>2981</v>
      </c>
      <c r="J733" t="s">
        <v>2982</v>
      </c>
      <c r="K733" s="2" t="str">
        <f>HYPERLINK("http://collections.slsa.sa.gov.au/resource/PRG+1719/3/1")</f>
        <v>http://collections.slsa.sa.gov.au/resource/PRG+1719/3/1</v>
      </c>
    </row>
    <row r="734" spans="1:11" x14ac:dyDescent="0.25">
      <c r="A734" t="s">
        <v>2983</v>
      </c>
      <c r="B734" s="1" t="str">
        <f>HYPERLINK("https://www.catalog.slsa.sa.gov.au/record=b2927665")</f>
        <v>https://www.catalog.slsa.sa.gov.au/record=b2927665</v>
      </c>
      <c r="C734" s="1" t="str">
        <f>HYPERLINK("https://www.catalog.slsa.sa.gov.au/xrecord=b2927665")</f>
        <v>https://www.catalog.slsa.sa.gov.au/xrecord=b2927665</v>
      </c>
      <c r="E734" t="s">
        <v>2984</v>
      </c>
      <c r="F734" t="s">
        <v>2985</v>
      </c>
      <c r="G734" t="s">
        <v>2986</v>
      </c>
      <c r="H734" t="s">
        <v>2987</v>
      </c>
      <c r="I734" t="s">
        <v>2988</v>
      </c>
      <c r="J734" t="s">
        <v>2405</v>
      </c>
      <c r="K734" s="2" t="str">
        <f>HYPERLINK("http://collections.slsa.sa.gov.au/prg/1617/5/PRG1617_5_4.htm")</f>
        <v>http://collections.slsa.sa.gov.au/prg/1617/5/PRG1617_5_4.htm</v>
      </c>
    </row>
    <row r="735" spans="1:11" x14ac:dyDescent="0.25">
      <c r="A735" t="s">
        <v>2989</v>
      </c>
      <c r="B735" s="1" t="str">
        <f>HYPERLINK("https://www.catalog.slsa.sa.gov.au/record=b2927007")</f>
        <v>https://www.catalog.slsa.sa.gov.au/record=b2927007</v>
      </c>
      <c r="C735" s="1" t="str">
        <f>HYPERLINK("https://www.catalog.slsa.sa.gov.au/xrecord=b2927007")</f>
        <v>https://www.catalog.slsa.sa.gov.au/xrecord=b2927007</v>
      </c>
      <c r="D735" t="s">
        <v>2946</v>
      </c>
      <c r="E735" t="s">
        <v>2947</v>
      </c>
      <c r="F735" t="s">
        <v>2990</v>
      </c>
      <c r="G735" t="s">
        <v>2991</v>
      </c>
      <c r="H735" t="s">
        <v>2992</v>
      </c>
      <c r="I735" t="s">
        <v>2951</v>
      </c>
      <c r="J735" t="s">
        <v>2952</v>
      </c>
      <c r="K735" s="2" t="str">
        <f>HYPERLINK("http://collections.slsa.sa.gov.au/prg/1561/5/PRG1561_5_1_14.htm")</f>
        <v>http://collections.slsa.sa.gov.au/prg/1561/5/PRG1561_5_1_14.htm</v>
      </c>
    </row>
    <row r="736" spans="1:11" x14ac:dyDescent="0.25">
      <c r="A736" t="s">
        <v>2993</v>
      </c>
      <c r="B736" s="1" t="str">
        <f>HYPERLINK("https://www.catalog.slsa.sa.gov.au/record=b2927006")</f>
        <v>https://www.catalog.slsa.sa.gov.au/record=b2927006</v>
      </c>
      <c r="C736" s="1" t="str">
        <f>HYPERLINK("https://www.catalog.slsa.sa.gov.au/xrecord=b2927006")</f>
        <v>https://www.catalog.slsa.sa.gov.au/xrecord=b2927006</v>
      </c>
      <c r="D736" t="s">
        <v>2946</v>
      </c>
      <c r="E736" t="s">
        <v>2994</v>
      </c>
      <c r="F736" t="s">
        <v>2995</v>
      </c>
      <c r="G736" t="s">
        <v>2949</v>
      </c>
      <c r="H736" t="s">
        <v>2996</v>
      </c>
      <c r="I736" t="s">
        <v>2997</v>
      </c>
      <c r="J736" t="s">
        <v>2952</v>
      </c>
      <c r="K736" s="2" t="str">
        <f>HYPERLINK("http://collections.slsa.sa.gov.au/prg/1561/5/PRG1561_5_1_13.htm")</f>
        <v>http://collections.slsa.sa.gov.au/prg/1561/5/PRG1561_5_1_13.htm</v>
      </c>
    </row>
    <row r="737" spans="1:11" x14ac:dyDescent="0.25">
      <c r="A737" t="s">
        <v>2998</v>
      </c>
      <c r="B737" s="1" t="str">
        <f>HYPERLINK("https://www.catalog.slsa.sa.gov.au/record=b3198921")</f>
        <v>https://www.catalog.slsa.sa.gov.au/record=b3198921</v>
      </c>
      <c r="C737" s="1" t="str">
        <f>HYPERLINK("https://www.catalog.slsa.sa.gov.au/xrecord=b3198921")</f>
        <v>https://www.catalog.slsa.sa.gov.au/xrecord=b3198921</v>
      </c>
      <c r="D737" t="s">
        <v>1924</v>
      </c>
      <c r="E737" t="s">
        <v>2999</v>
      </c>
      <c r="F737" t="s">
        <v>3000</v>
      </c>
      <c r="G737" t="s">
        <v>3001</v>
      </c>
      <c r="H737" t="s">
        <v>3002</v>
      </c>
      <c r="I737" t="s">
        <v>3003</v>
      </c>
      <c r="J737" t="s">
        <v>1930</v>
      </c>
      <c r="K737" s="2" t="str">
        <f>HYPERLINK("http://collections.slsa.sa.gov.au/resource/PRG+18/14/12")</f>
        <v>http://collections.slsa.sa.gov.au/resource/PRG+18/14/12</v>
      </c>
    </row>
    <row r="738" spans="1:11" x14ac:dyDescent="0.25">
      <c r="A738" t="s">
        <v>3004</v>
      </c>
      <c r="B738" s="1" t="str">
        <f>HYPERLINK("https://www.catalog.slsa.sa.gov.au/record=b3198919")</f>
        <v>https://www.catalog.slsa.sa.gov.au/record=b3198919</v>
      </c>
      <c r="C738" s="1" t="str">
        <f>HYPERLINK("https://www.catalog.slsa.sa.gov.au/xrecord=b3198919")</f>
        <v>https://www.catalog.slsa.sa.gov.au/xrecord=b3198919</v>
      </c>
      <c r="D738" t="s">
        <v>1924</v>
      </c>
      <c r="E738" t="s">
        <v>3005</v>
      </c>
      <c r="F738" t="s">
        <v>3000</v>
      </c>
      <c r="G738" t="s">
        <v>3006</v>
      </c>
      <c r="H738" t="s">
        <v>3007</v>
      </c>
      <c r="I738" t="s">
        <v>3008</v>
      </c>
      <c r="J738" t="s">
        <v>1930</v>
      </c>
      <c r="K738" s="2" t="str">
        <f>HYPERLINK("http://collections.slsa.sa.gov.au/resource/PRG+18/14/11")</f>
        <v>http://collections.slsa.sa.gov.au/resource/PRG+18/14/11</v>
      </c>
    </row>
    <row r="739" spans="1:11" x14ac:dyDescent="0.25">
      <c r="A739" t="s">
        <v>3009</v>
      </c>
      <c r="B739" s="1" t="str">
        <f>HYPERLINK("https://www.catalog.slsa.sa.gov.au/record=b3025965")</f>
        <v>https://www.catalog.slsa.sa.gov.au/record=b3025965</v>
      </c>
      <c r="C739" s="1" t="str">
        <f>HYPERLINK("https://www.catalog.slsa.sa.gov.au/xrecord=b3025965")</f>
        <v>https://www.catalog.slsa.sa.gov.au/xrecord=b3025965</v>
      </c>
      <c r="E739" t="s">
        <v>3010</v>
      </c>
      <c r="F739" t="s">
        <v>3011</v>
      </c>
      <c r="G739" t="s">
        <v>3012</v>
      </c>
      <c r="H739" t="s">
        <v>3013</v>
      </c>
      <c r="I739" t="s">
        <v>3014</v>
      </c>
      <c r="J739" t="s">
        <v>1902</v>
      </c>
      <c r="K739" s="2" t="str">
        <f>HYPERLINK("http://collections.slsa.sa.gov.au/resource/SRG+873/1/177")</f>
        <v>http://collections.slsa.sa.gov.au/resource/SRG+873/1/177</v>
      </c>
    </row>
    <row r="740" spans="1:11" x14ac:dyDescent="0.25">
      <c r="A740" t="s">
        <v>3015</v>
      </c>
      <c r="B740" s="1" t="str">
        <f>HYPERLINK("https://www.catalog.slsa.sa.gov.au/record=b3084914")</f>
        <v>https://www.catalog.slsa.sa.gov.au/record=b3084914</v>
      </c>
      <c r="C740" s="1" t="str">
        <f>HYPERLINK("https://www.catalog.slsa.sa.gov.au/xrecord=b3084914")</f>
        <v>https://www.catalog.slsa.sa.gov.au/xrecord=b3084914</v>
      </c>
      <c r="D740" t="s">
        <v>3016</v>
      </c>
      <c r="E740" t="s">
        <v>3017</v>
      </c>
      <c r="F740" t="s">
        <v>3018</v>
      </c>
      <c r="G740" t="s">
        <v>3019</v>
      </c>
      <c r="H740" t="s">
        <v>3020</v>
      </c>
      <c r="I740" t="s">
        <v>1917</v>
      </c>
      <c r="J740" t="s">
        <v>1902</v>
      </c>
      <c r="K740" s="2" t="str">
        <f>HYPERLINK("http://collections.slsa.sa.gov.au/resource/SRG+873/1/471")</f>
        <v>http://collections.slsa.sa.gov.au/resource/SRG+873/1/471</v>
      </c>
    </row>
    <row r="741" spans="1:11" x14ac:dyDescent="0.25">
      <c r="A741" t="s">
        <v>3021</v>
      </c>
      <c r="B741" s="1" t="str">
        <f>HYPERLINK("https://www.catalog.slsa.sa.gov.au/record=b2959431")</f>
        <v>https://www.catalog.slsa.sa.gov.au/record=b2959431</v>
      </c>
      <c r="C741" s="1" t="str">
        <f>HYPERLINK("https://www.catalog.slsa.sa.gov.au/xrecord=b2959431")</f>
        <v>https://www.catalog.slsa.sa.gov.au/xrecord=b2959431</v>
      </c>
      <c r="D741" t="s">
        <v>2534</v>
      </c>
      <c r="E741" t="s">
        <v>2535</v>
      </c>
      <c r="F741" t="s">
        <v>3022</v>
      </c>
      <c r="G741" t="s">
        <v>3023</v>
      </c>
      <c r="H741" t="s">
        <v>3024</v>
      </c>
      <c r="I741" t="s">
        <v>3025</v>
      </c>
      <c r="J741" t="s">
        <v>2539</v>
      </c>
      <c r="K741" s="2" t="str">
        <f>HYPERLINK("http://collections.slsa.sa.gov.au/resource/PRG+1631/77/7")</f>
        <v>http://collections.slsa.sa.gov.au/resource/PRG+1631/77/7</v>
      </c>
    </row>
    <row r="742" spans="1:11" x14ac:dyDescent="0.25">
      <c r="A742" t="s">
        <v>3026</v>
      </c>
      <c r="B742" s="1" t="str">
        <f>HYPERLINK("https://www.catalog.slsa.sa.gov.au/record=b2927656")</f>
        <v>https://www.catalog.slsa.sa.gov.au/record=b2927656</v>
      </c>
      <c r="C742" s="1" t="str">
        <f>HYPERLINK("https://www.catalog.slsa.sa.gov.au/xrecord=b2927656")</f>
        <v>https://www.catalog.slsa.sa.gov.au/xrecord=b2927656</v>
      </c>
      <c r="E742" t="s">
        <v>2984</v>
      </c>
      <c r="F742" t="s">
        <v>3027</v>
      </c>
      <c r="G742" t="s">
        <v>3028</v>
      </c>
      <c r="H742" t="s">
        <v>3029</v>
      </c>
      <c r="I742" t="s">
        <v>2988</v>
      </c>
      <c r="J742" t="s">
        <v>2405</v>
      </c>
      <c r="K742" s="2" t="str">
        <f>HYPERLINK("http://collections.slsa.sa.gov.au/prg/1617/5/PRG1617_5_3.htm")</f>
        <v>http://collections.slsa.sa.gov.au/prg/1617/5/PRG1617_5_3.htm</v>
      </c>
    </row>
    <row r="743" spans="1:11" x14ac:dyDescent="0.25">
      <c r="A743" t="s">
        <v>3030</v>
      </c>
      <c r="B743" s="1" t="str">
        <f>HYPERLINK("https://www.catalog.slsa.sa.gov.au/record=b2118338")</f>
        <v>https://www.catalog.slsa.sa.gov.au/record=b2118338</v>
      </c>
      <c r="C743" s="1" t="str">
        <f>HYPERLINK("https://www.catalog.slsa.sa.gov.au/xrecord=b2118338")</f>
        <v>https://www.catalog.slsa.sa.gov.au/xrecord=b2118338</v>
      </c>
      <c r="D743" t="s">
        <v>66</v>
      </c>
      <c r="E743" t="s">
        <v>3031</v>
      </c>
      <c r="F743" t="s">
        <v>3032</v>
      </c>
      <c r="G743" t="s">
        <v>121</v>
      </c>
      <c r="H743" t="s">
        <v>3033</v>
      </c>
      <c r="I743" t="s">
        <v>3034</v>
      </c>
      <c r="J743" t="s">
        <v>71</v>
      </c>
      <c r="K743" s="2" t="str">
        <f>HYPERLINK("http://collections.slsa.sa.gov.au/arthur/06500/BRG347_6434.htm")</f>
        <v>http://collections.slsa.sa.gov.au/arthur/06500/BRG347_6434.htm</v>
      </c>
    </row>
    <row r="744" spans="1:11" x14ac:dyDescent="0.25">
      <c r="A744" t="s">
        <v>3035</v>
      </c>
      <c r="B744" s="1" t="str">
        <f>HYPERLINK("https://www.catalog.slsa.sa.gov.au/record=b3182633")</f>
        <v>https://www.catalog.slsa.sa.gov.au/record=b3182633</v>
      </c>
      <c r="C744" s="1" t="str">
        <f>HYPERLINK("https://www.catalog.slsa.sa.gov.au/xrecord=b3182633")</f>
        <v>https://www.catalog.slsa.sa.gov.au/xrecord=b3182633</v>
      </c>
      <c r="D744" t="s">
        <v>3036</v>
      </c>
      <c r="E744" t="s">
        <v>3037</v>
      </c>
      <c r="F744" t="s">
        <v>3038</v>
      </c>
      <c r="G744" t="s">
        <v>3039</v>
      </c>
      <c r="H744" t="s">
        <v>3040</v>
      </c>
      <c r="I744" t="s">
        <v>3041</v>
      </c>
      <c r="J744" t="s">
        <v>3042</v>
      </c>
      <c r="K744" s="2" t="str">
        <f>HYPERLINK("http://collections.slsa.sa.gov.au/resource/PRG+1662/2/19/1")</f>
        <v>http://collections.slsa.sa.gov.au/resource/PRG+1662/2/19/1</v>
      </c>
    </row>
    <row r="745" spans="1:11" x14ac:dyDescent="0.25">
      <c r="A745" t="s">
        <v>3043</v>
      </c>
      <c r="B745" s="1" t="str">
        <f>HYPERLINK("https://www.catalog.slsa.sa.gov.au/record=b3182784")</f>
        <v>https://www.catalog.slsa.sa.gov.au/record=b3182784</v>
      </c>
      <c r="C745" s="1" t="str">
        <f>HYPERLINK("https://www.catalog.slsa.sa.gov.au/xrecord=b3182784")</f>
        <v>https://www.catalog.slsa.sa.gov.au/xrecord=b3182784</v>
      </c>
      <c r="D745" t="s">
        <v>3036</v>
      </c>
      <c r="E745" t="s">
        <v>3040</v>
      </c>
      <c r="F745" t="s">
        <v>3038</v>
      </c>
      <c r="G745" t="s">
        <v>3039</v>
      </c>
      <c r="H745" t="s">
        <v>3044</v>
      </c>
      <c r="I745" t="s">
        <v>3041</v>
      </c>
      <c r="J745" t="s">
        <v>3042</v>
      </c>
      <c r="K745" s="2" t="str">
        <f>HYPERLINK("http://collections.slsa.sa.gov.au/resource/PRG+1662/2/19/10")</f>
        <v>http://collections.slsa.sa.gov.au/resource/PRG+1662/2/19/10</v>
      </c>
    </row>
    <row r="746" spans="1:11" x14ac:dyDescent="0.25">
      <c r="A746" t="s">
        <v>3045</v>
      </c>
      <c r="B746" s="1" t="str">
        <f>HYPERLINK("https://www.catalog.slsa.sa.gov.au/record=b3182832")</f>
        <v>https://www.catalog.slsa.sa.gov.au/record=b3182832</v>
      </c>
      <c r="C746" s="1" t="str">
        <f>HYPERLINK("https://www.catalog.slsa.sa.gov.au/xrecord=b3182832")</f>
        <v>https://www.catalog.slsa.sa.gov.au/xrecord=b3182832</v>
      </c>
      <c r="D746" t="s">
        <v>3036</v>
      </c>
      <c r="E746" t="s">
        <v>3046</v>
      </c>
      <c r="F746" t="s">
        <v>3038</v>
      </c>
      <c r="G746" t="s">
        <v>3039</v>
      </c>
      <c r="H746" t="s">
        <v>3047</v>
      </c>
      <c r="I746" t="s">
        <v>3048</v>
      </c>
      <c r="J746" t="s">
        <v>3042</v>
      </c>
      <c r="K746" s="2" t="str">
        <f>HYPERLINK("http://collections.slsa.sa.gov.au/resource/PRG+1662/2/19/11")</f>
        <v>http://collections.slsa.sa.gov.au/resource/PRG+1662/2/19/11</v>
      </c>
    </row>
    <row r="747" spans="1:11" x14ac:dyDescent="0.25">
      <c r="A747" t="s">
        <v>3049</v>
      </c>
      <c r="B747" s="1" t="str">
        <f>HYPERLINK("https://www.catalog.slsa.sa.gov.au/record=b3182833")</f>
        <v>https://www.catalog.slsa.sa.gov.au/record=b3182833</v>
      </c>
      <c r="C747" s="1" t="str">
        <f>HYPERLINK("https://www.catalog.slsa.sa.gov.au/xrecord=b3182833")</f>
        <v>https://www.catalog.slsa.sa.gov.au/xrecord=b3182833</v>
      </c>
      <c r="D747" t="s">
        <v>3036</v>
      </c>
      <c r="E747" t="s">
        <v>3040</v>
      </c>
      <c r="F747" t="s">
        <v>3038</v>
      </c>
      <c r="G747" t="s">
        <v>3039</v>
      </c>
      <c r="H747" t="s">
        <v>3050</v>
      </c>
      <c r="I747" t="s">
        <v>3051</v>
      </c>
      <c r="J747" t="s">
        <v>3042</v>
      </c>
      <c r="K747" s="2" t="str">
        <f>HYPERLINK("http://collections.slsa.sa.gov.au/resource/PRG+1662/2/19/12")</f>
        <v>http://collections.slsa.sa.gov.au/resource/PRG+1662/2/19/12</v>
      </c>
    </row>
    <row r="748" spans="1:11" x14ac:dyDescent="0.25">
      <c r="A748" t="s">
        <v>3052</v>
      </c>
      <c r="B748" s="1" t="str">
        <f>HYPERLINK("https://www.catalog.slsa.sa.gov.au/record=b3182838")</f>
        <v>https://www.catalog.slsa.sa.gov.au/record=b3182838</v>
      </c>
      <c r="C748" s="1" t="str">
        <f>HYPERLINK("https://www.catalog.slsa.sa.gov.au/xrecord=b3182838")</f>
        <v>https://www.catalog.slsa.sa.gov.au/xrecord=b3182838</v>
      </c>
      <c r="D748" t="s">
        <v>3036</v>
      </c>
      <c r="E748" t="s">
        <v>3040</v>
      </c>
      <c r="F748" t="s">
        <v>3038</v>
      </c>
      <c r="G748" t="s">
        <v>3039</v>
      </c>
      <c r="H748" t="s">
        <v>3053</v>
      </c>
      <c r="I748" t="s">
        <v>3054</v>
      </c>
      <c r="J748" t="s">
        <v>3042</v>
      </c>
      <c r="K748" s="2" t="str">
        <f>HYPERLINK("http://collections.slsa.sa.gov.au/resource/PRG+1662/2/19/13")</f>
        <v>http://collections.slsa.sa.gov.au/resource/PRG+1662/2/19/13</v>
      </c>
    </row>
    <row r="749" spans="1:11" x14ac:dyDescent="0.25">
      <c r="A749" t="s">
        <v>3055</v>
      </c>
      <c r="B749" s="1" t="str">
        <f>HYPERLINK("https://www.catalog.slsa.sa.gov.au/record=b3182839")</f>
        <v>https://www.catalog.slsa.sa.gov.au/record=b3182839</v>
      </c>
      <c r="C749" s="1" t="str">
        <f>HYPERLINK("https://www.catalog.slsa.sa.gov.au/xrecord=b3182839")</f>
        <v>https://www.catalog.slsa.sa.gov.au/xrecord=b3182839</v>
      </c>
      <c r="D749" t="s">
        <v>3036</v>
      </c>
      <c r="E749" t="s">
        <v>3056</v>
      </c>
      <c r="F749" t="s">
        <v>3038</v>
      </c>
      <c r="G749" t="s">
        <v>3039</v>
      </c>
      <c r="H749" t="s">
        <v>3057</v>
      </c>
      <c r="I749" t="s">
        <v>3058</v>
      </c>
      <c r="J749" t="s">
        <v>3042</v>
      </c>
      <c r="K749" s="2" t="str">
        <f>HYPERLINK("http://collections.slsa.sa.gov.au/resource/PRG+1662/2/19/14")</f>
        <v>http://collections.slsa.sa.gov.au/resource/PRG+1662/2/19/14</v>
      </c>
    </row>
    <row r="750" spans="1:11" x14ac:dyDescent="0.25">
      <c r="A750" t="s">
        <v>3059</v>
      </c>
      <c r="B750" s="1" t="str">
        <f>HYPERLINK("https://www.catalog.slsa.sa.gov.au/record=b3182840")</f>
        <v>https://www.catalog.slsa.sa.gov.au/record=b3182840</v>
      </c>
      <c r="C750" s="1" t="str">
        <f>HYPERLINK("https://www.catalog.slsa.sa.gov.au/xrecord=b3182840")</f>
        <v>https://www.catalog.slsa.sa.gov.au/xrecord=b3182840</v>
      </c>
      <c r="D750" t="s">
        <v>3036</v>
      </c>
      <c r="E750" t="s">
        <v>3056</v>
      </c>
      <c r="F750" t="s">
        <v>3038</v>
      </c>
      <c r="G750" t="s">
        <v>3039</v>
      </c>
      <c r="H750" t="s">
        <v>3057</v>
      </c>
      <c r="I750" t="s">
        <v>3058</v>
      </c>
      <c r="J750" t="s">
        <v>3042</v>
      </c>
      <c r="K750" s="2" t="str">
        <f>HYPERLINK("http://collections.slsa.sa.gov.au/resource/PRG+1662/2/19/15")</f>
        <v>http://collections.slsa.sa.gov.au/resource/PRG+1662/2/19/15</v>
      </c>
    </row>
    <row r="751" spans="1:11" x14ac:dyDescent="0.25">
      <c r="A751" t="s">
        <v>3060</v>
      </c>
      <c r="B751" s="1" t="str">
        <f>HYPERLINK("https://www.catalog.slsa.sa.gov.au/record=b3182635")</f>
        <v>https://www.catalog.slsa.sa.gov.au/record=b3182635</v>
      </c>
      <c r="C751" s="1" t="str">
        <f>HYPERLINK("https://www.catalog.slsa.sa.gov.au/xrecord=b3182635")</f>
        <v>https://www.catalog.slsa.sa.gov.au/xrecord=b3182635</v>
      </c>
      <c r="D751" t="s">
        <v>3036</v>
      </c>
      <c r="E751" t="s">
        <v>3037</v>
      </c>
      <c r="F751" t="s">
        <v>3038</v>
      </c>
      <c r="G751" t="s">
        <v>3039</v>
      </c>
      <c r="H751" t="s">
        <v>3040</v>
      </c>
      <c r="I751" t="s">
        <v>3041</v>
      </c>
      <c r="J751" t="s">
        <v>3042</v>
      </c>
      <c r="K751" s="2" t="str">
        <f>HYPERLINK("http://collections.slsa.sa.gov.au/resource/PRG+1662/2/19/4")</f>
        <v>http://collections.slsa.sa.gov.au/resource/PRG+1662/2/19/4</v>
      </c>
    </row>
    <row r="752" spans="1:11" x14ac:dyDescent="0.25">
      <c r="A752" t="s">
        <v>3061</v>
      </c>
      <c r="B752" s="1" t="str">
        <f>HYPERLINK("https://www.catalog.slsa.sa.gov.au/record=b3182636")</f>
        <v>https://www.catalog.slsa.sa.gov.au/record=b3182636</v>
      </c>
      <c r="C752" s="1" t="str">
        <f>HYPERLINK("https://www.catalog.slsa.sa.gov.au/xrecord=b3182636")</f>
        <v>https://www.catalog.slsa.sa.gov.au/xrecord=b3182636</v>
      </c>
      <c r="D752" t="s">
        <v>3036</v>
      </c>
      <c r="E752" t="s">
        <v>3062</v>
      </c>
      <c r="F752" t="s">
        <v>3038</v>
      </c>
      <c r="G752" t="s">
        <v>3039</v>
      </c>
      <c r="H752" t="s">
        <v>3063</v>
      </c>
      <c r="I752" t="s">
        <v>3051</v>
      </c>
      <c r="J752" t="s">
        <v>3042</v>
      </c>
      <c r="K752" s="2" t="str">
        <f>HYPERLINK("http://collections.slsa.sa.gov.au/resource/PRG+1662/2/19/6")</f>
        <v>http://collections.slsa.sa.gov.au/resource/PRG+1662/2/19/6</v>
      </c>
    </row>
    <row r="753" spans="1:11" x14ac:dyDescent="0.25">
      <c r="A753" t="s">
        <v>3064</v>
      </c>
      <c r="B753" s="1" t="str">
        <f>HYPERLINK("https://www.catalog.slsa.sa.gov.au/record=b3182638")</f>
        <v>https://www.catalog.slsa.sa.gov.au/record=b3182638</v>
      </c>
      <c r="C753" s="1" t="str">
        <f>HYPERLINK("https://www.catalog.slsa.sa.gov.au/xrecord=b3182638")</f>
        <v>https://www.catalog.slsa.sa.gov.au/xrecord=b3182638</v>
      </c>
      <c r="D753" t="s">
        <v>3036</v>
      </c>
      <c r="E753" t="s">
        <v>3065</v>
      </c>
      <c r="F753" t="s">
        <v>3038</v>
      </c>
      <c r="G753" t="s">
        <v>3039</v>
      </c>
      <c r="H753" t="s">
        <v>3065</v>
      </c>
      <c r="I753" t="s">
        <v>3066</v>
      </c>
      <c r="J753" t="s">
        <v>3042</v>
      </c>
      <c r="K753" s="2" t="str">
        <f>HYPERLINK("http://collections.slsa.sa.gov.au/resource/PRG+1662/2/19/7")</f>
        <v>http://collections.slsa.sa.gov.au/resource/PRG+1662/2/19/7</v>
      </c>
    </row>
    <row r="754" spans="1:11" x14ac:dyDescent="0.25">
      <c r="A754" t="s">
        <v>3067</v>
      </c>
      <c r="B754" s="1" t="str">
        <f>HYPERLINK("https://www.catalog.slsa.sa.gov.au/record=b3182758")</f>
        <v>https://www.catalog.slsa.sa.gov.au/record=b3182758</v>
      </c>
      <c r="C754" s="1" t="str">
        <f>HYPERLINK("https://www.catalog.slsa.sa.gov.au/xrecord=b3182758")</f>
        <v>https://www.catalog.slsa.sa.gov.au/xrecord=b3182758</v>
      </c>
      <c r="D754" t="s">
        <v>3036</v>
      </c>
      <c r="E754" t="s">
        <v>3068</v>
      </c>
      <c r="F754" t="s">
        <v>3038</v>
      </c>
      <c r="G754" t="s">
        <v>3039</v>
      </c>
      <c r="H754" t="s">
        <v>3069</v>
      </c>
      <c r="I754" t="s">
        <v>3070</v>
      </c>
      <c r="J754" t="s">
        <v>3042</v>
      </c>
      <c r="K754" s="2" t="str">
        <f>HYPERLINK("http://collections.slsa.sa.gov.au/resource/PRG+1662/2/19/8")</f>
        <v>http://collections.slsa.sa.gov.au/resource/PRG+1662/2/19/8</v>
      </c>
    </row>
    <row r="755" spans="1:11" x14ac:dyDescent="0.25">
      <c r="A755" t="s">
        <v>3071</v>
      </c>
      <c r="B755" s="1" t="str">
        <f>HYPERLINK("https://www.catalog.slsa.sa.gov.au/record=b3182778")</f>
        <v>https://www.catalog.slsa.sa.gov.au/record=b3182778</v>
      </c>
      <c r="C755" s="1" t="str">
        <f>HYPERLINK("https://www.catalog.slsa.sa.gov.au/xrecord=b3182778")</f>
        <v>https://www.catalog.slsa.sa.gov.au/xrecord=b3182778</v>
      </c>
      <c r="D755" t="s">
        <v>3036</v>
      </c>
      <c r="E755" t="s">
        <v>3072</v>
      </c>
      <c r="F755" t="s">
        <v>3038</v>
      </c>
      <c r="G755" t="s">
        <v>3039</v>
      </c>
      <c r="H755" t="s">
        <v>3073</v>
      </c>
      <c r="I755" t="s">
        <v>3074</v>
      </c>
      <c r="J755" t="s">
        <v>3042</v>
      </c>
      <c r="K755" s="2" t="str">
        <f>HYPERLINK("http://collections.slsa.sa.gov.au/resource/PRG+1662/2/19/9")</f>
        <v>http://collections.slsa.sa.gov.au/resource/PRG+1662/2/19/9</v>
      </c>
    </row>
    <row r="756" spans="1:11" x14ac:dyDescent="0.25">
      <c r="A756" t="s">
        <v>3075</v>
      </c>
      <c r="B756" s="1" t="str">
        <f>HYPERLINK("https://www.catalog.slsa.sa.gov.au/record=b3182841")</f>
        <v>https://www.catalog.slsa.sa.gov.au/record=b3182841</v>
      </c>
      <c r="C756" s="1" t="str">
        <f>HYPERLINK("https://www.catalog.slsa.sa.gov.au/xrecord=b3182841")</f>
        <v>https://www.catalog.slsa.sa.gov.au/xrecord=b3182841</v>
      </c>
      <c r="D756" t="s">
        <v>3036</v>
      </c>
      <c r="E756" t="s">
        <v>3076</v>
      </c>
      <c r="F756" t="s">
        <v>3038</v>
      </c>
      <c r="G756" t="s">
        <v>3039</v>
      </c>
      <c r="H756" t="s">
        <v>3077</v>
      </c>
      <c r="I756" t="s">
        <v>3078</v>
      </c>
      <c r="J756" t="s">
        <v>3042</v>
      </c>
      <c r="K756" s="2" t="str">
        <f>HYPERLINK("http://collections.slsa.sa.gov.au/resource/PRG+1662/2/27/1")</f>
        <v>http://collections.slsa.sa.gov.au/resource/PRG+1662/2/27/1</v>
      </c>
    </row>
    <row r="757" spans="1:11" x14ac:dyDescent="0.25">
      <c r="A757" t="s">
        <v>3079</v>
      </c>
      <c r="B757" s="1" t="str">
        <f>HYPERLINK("https://www.catalog.slsa.sa.gov.au/record=b3182842")</f>
        <v>https://www.catalog.slsa.sa.gov.au/record=b3182842</v>
      </c>
      <c r="C757" s="1" t="str">
        <f>HYPERLINK("https://www.catalog.slsa.sa.gov.au/xrecord=b3182842")</f>
        <v>https://www.catalog.slsa.sa.gov.au/xrecord=b3182842</v>
      </c>
      <c r="D757" t="s">
        <v>3036</v>
      </c>
      <c r="E757" t="s">
        <v>3076</v>
      </c>
      <c r="F757" t="s">
        <v>3038</v>
      </c>
      <c r="G757" t="s">
        <v>3039</v>
      </c>
      <c r="H757" t="s">
        <v>3077</v>
      </c>
      <c r="I757" t="s">
        <v>3078</v>
      </c>
      <c r="J757" t="s">
        <v>3042</v>
      </c>
      <c r="K757" s="2" t="str">
        <f>HYPERLINK("http://collections.slsa.sa.gov.au/resource/PRG+1662/2/27/2")</f>
        <v>http://collections.slsa.sa.gov.au/resource/PRG+1662/2/27/2</v>
      </c>
    </row>
    <row r="758" spans="1:11" x14ac:dyDescent="0.25">
      <c r="A758" t="s">
        <v>3080</v>
      </c>
      <c r="B758" s="1" t="str">
        <f>HYPERLINK("https://www.catalog.slsa.sa.gov.au/record=b3182844")</f>
        <v>https://www.catalog.slsa.sa.gov.au/record=b3182844</v>
      </c>
      <c r="C758" s="1" t="str">
        <f>HYPERLINK("https://www.catalog.slsa.sa.gov.au/xrecord=b3182844")</f>
        <v>https://www.catalog.slsa.sa.gov.au/xrecord=b3182844</v>
      </c>
      <c r="D758" t="s">
        <v>3036</v>
      </c>
      <c r="E758" t="s">
        <v>3076</v>
      </c>
      <c r="F758" t="s">
        <v>3038</v>
      </c>
      <c r="G758" t="s">
        <v>3039</v>
      </c>
      <c r="H758" t="s">
        <v>3077</v>
      </c>
      <c r="I758" t="s">
        <v>3078</v>
      </c>
      <c r="J758" t="s">
        <v>3042</v>
      </c>
      <c r="K758" s="2" t="str">
        <f>HYPERLINK("http://collections.slsa.sa.gov.au/resource/PRG+1662/2/27/5")</f>
        <v>http://collections.slsa.sa.gov.au/resource/PRG+1662/2/27/5</v>
      </c>
    </row>
    <row r="759" spans="1:11" x14ac:dyDescent="0.25">
      <c r="A759" t="s">
        <v>3081</v>
      </c>
      <c r="B759" s="1" t="str">
        <f>HYPERLINK("https://www.catalog.slsa.sa.gov.au/record=b3182845")</f>
        <v>https://www.catalog.slsa.sa.gov.au/record=b3182845</v>
      </c>
      <c r="C759" s="1" t="str">
        <f>HYPERLINK("https://www.catalog.slsa.sa.gov.au/xrecord=b3182845")</f>
        <v>https://www.catalog.slsa.sa.gov.au/xrecord=b3182845</v>
      </c>
      <c r="D759" t="s">
        <v>3036</v>
      </c>
      <c r="E759" t="s">
        <v>3076</v>
      </c>
      <c r="F759" t="s">
        <v>3038</v>
      </c>
      <c r="G759" t="s">
        <v>3039</v>
      </c>
      <c r="H759" t="s">
        <v>3077</v>
      </c>
      <c r="I759" t="s">
        <v>3078</v>
      </c>
      <c r="J759" t="s">
        <v>3042</v>
      </c>
      <c r="K759" s="2" t="str">
        <f>HYPERLINK("http://collections.slsa.sa.gov.au/resource/PRG+1662/2/27/6")</f>
        <v>http://collections.slsa.sa.gov.au/resource/PRG+1662/2/27/6</v>
      </c>
    </row>
    <row r="760" spans="1:11" x14ac:dyDescent="0.25">
      <c r="A760" t="s">
        <v>3082</v>
      </c>
      <c r="B760" s="1" t="str">
        <f>HYPERLINK("https://www.catalog.slsa.sa.gov.au/record=b3182846")</f>
        <v>https://www.catalog.slsa.sa.gov.au/record=b3182846</v>
      </c>
      <c r="C760" s="1" t="str">
        <f>HYPERLINK("https://www.catalog.slsa.sa.gov.au/xrecord=b3182846")</f>
        <v>https://www.catalog.slsa.sa.gov.au/xrecord=b3182846</v>
      </c>
      <c r="D760" t="s">
        <v>3036</v>
      </c>
      <c r="E760" t="s">
        <v>3083</v>
      </c>
      <c r="F760" t="s">
        <v>3038</v>
      </c>
      <c r="G760" t="s">
        <v>3039</v>
      </c>
      <c r="H760" t="s">
        <v>3084</v>
      </c>
      <c r="I760" t="s">
        <v>3085</v>
      </c>
      <c r="J760" t="s">
        <v>3042</v>
      </c>
      <c r="K760" s="2" t="str">
        <f>HYPERLINK("http://collections.slsa.sa.gov.au/resource/PRG+1662/2/27/8")</f>
        <v>http://collections.slsa.sa.gov.au/resource/PRG+1662/2/27/8</v>
      </c>
    </row>
    <row r="761" spans="1:11" x14ac:dyDescent="0.25">
      <c r="A761" t="s">
        <v>3086</v>
      </c>
      <c r="B761" s="1" t="str">
        <f>HYPERLINK("https://www.catalog.slsa.sa.gov.au/record=b3182847")</f>
        <v>https://www.catalog.slsa.sa.gov.au/record=b3182847</v>
      </c>
      <c r="C761" s="1" t="str">
        <f>HYPERLINK("https://www.catalog.slsa.sa.gov.au/xrecord=b3182847")</f>
        <v>https://www.catalog.slsa.sa.gov.au/xrecord=b3182847</v>
      </c>
      <c r="D761" t="s">
        <v>3036</v>
      </c>
      <c r="E761" t="s">
        <v>3087</v>
      </c>
      <c r="F761" t="s">
        <v>3038</v>
      </c>
      <c r="G761" t="s">
        <v>3039</v>
      </c>
      <c r="H761" t="s">
        <v>3088</v>
      </c>
      <c r="I761" t="s">
        <v>3089</v>
      </c>
      <c r="J761" t="s">
        <v>3042</v>
      </c>
      <c r="K761" s="2" t="str">
        <f>HYPERLINK("http://collections.slsa.sa.gov.au/resource/PRG+1662/2/31/1")</f>
        <v>http://collections.slsa.sa.gov.au/resource/PRG+1662/2/31/1</v>
      </c>
    </row>
    <row r="762" spans="1:11" x14ac:dyDescent="0.25">
      <c r="A762" t="s">
        <v>3090</v>
      </c>
      <c r="B762" s="1" t="str">
        <f>HYPERLINK("https://www.catalog.slsa.sa.gov.au/record=b3182860")</f>
        <v>https://www.catalog.slsa.sa.gov.au/record=b3182860</v>
      </c>
      <c r="C762" s="1" t="str">
        <f>HYPERLINK("https://www.catalog.slsa.sa.gov.au/xrecord=b3182860")</f>
        <v>https://www.catalog.slsa.sa.gov.au/xrecord=b3182860</v>
      </c>
      <c r="D762" t="s">
        <v>3036</v>
      </c>
      <c r="E762" t="s">
        <v>3087</v>
      </c>
      <c r="F762" t="s">
        <v>3038</v>
      </c>
      <c r="G762" t="s">
        <v>3039</v>
      </c>
      <c r="H762" t="s">
        <v>3088</v>
      </c>
      <c r="I762" t="s">
        <v>3091</v>
      </c>
      <c r="J762" t="s">
        <v>3042</v>
      </c>
      <c r="K762" s="2" t="str">
        <f>HYPERLINK("http://collections.slsa.sa.gov.au/resource/PRG+1662/2/31/2")</f>
        <v>http://collections.slsa.sa.gov.au/resource/PRG+1662/2/31/2</v>
      </c>
    </row>
    <row r="763" spans="1:11" x14ac:dyDescent="0.25">
      <c r="A763" t="s">
        <v>3092</v>
      </c>
      <c r="B763" s="1" t="str">
        <f>HYPERLINK("https://www.catalog.slsa.sa.gov.au/record=b3182862")</f>
        <v>https://www.catalog.slsa.sa.gov.au/record=b3182862</v>
      </c>
      <c r="C763" s="1" t="str">
        <f>HYPERLINK("https://www.catalog.slsa.sa.gov.au/xrecord=b3182862")</f>
        <v>https://www.catalog.slsa.sa.gov.au/xrecord=b3182862</v>
      </c>
      <c r="D763" t="s">
        <v>3036</v>
      </c>
      <c r="E763" t="s">
        <v>3087</v>
      </c>
      <c r="F763" t="s">
        <v>3038</v>
      </c>
      <c r="G763" t="s">
        <v>3039</v>
      </c>
      <c r="H763" t="s">
        <v>3088</v>
      </c>
      <c r="I763" t="s">
        <v>3089</v>
      </c>
      <c r="J763" t="s">
        <v>3042</v>
      </c>
      <c r="K763" s="2" t="str">
        <f>HYPERLINK("http://collections.slsa.sa.gov.au/resource/PRG+1662/2/31/3")</f>
        <v>http://collections.slsa.sa.gov.au/resource/PRG+1662/2/31/3</v>
      </c>
    </row>
    <row r="764" spans="1:11" x14ac:dyDescent="0.25">
      <c r="A764" t="s">
        <v>3093</v>
      </c>
      <c r="B764" s="1" t="str">
        <f>HYPERLINK("https://www.catalog.slsa.sa.gov.au/record=b3182863")</f>
        <v>https://www.catalog.slsa.sa.gov.au/record=b3182863</v>
      </c>
      <c r="C764" s="1" t="str">
        <f>HYPERLINK("https://www.catalog.slsa.sa.gov.au/xrecord=b3182863")</f>
        <v>https://www.catalog.slsa.sa.gov.au/xrecord=b3182863</v>
      </c>
      <c r="D764" t="s">
        <v>3036</v>
      </c>
      <c r="E764" t="s">
        <v>3087</v>
      </c>
      <c r="F764" t="s">
        <v>3038</v>
      </c>
      <c r="G764" t="s">
        <v>3039</v>
      </c>
      <c r="H764" t="s">
        <v>3088</v>
      </c>
      <c r="I764" t="s">
        <v>3089</v>
      </c>
      <c r="J764" t="s">
        <v>3042</v>
      </c>
      <c r="K764" s="2" t="str">
        <f>HYPERLINK("http://collections.slsa.sa.gov.au/resource/PRG+1662/2/31/4")</f>
        <v>http://collections.slsa.sa.gov.au/resource/PRG+1662/2/31/4</v>
      </c>
    </row>
    <row r="765" spans="1:11" x14ac:dyDescent="0.25">
      <c r="A765" t="s">
        <v>3094</v>
      </c>
      <c r="B765" s="1" t="str">
        <f>HYPERLINK("https://www.catalog.slsa.sa.gov.au/record=b3182864")</f>
        <v>https://www.catalog.slsa.sa.gov.au/record=b3182864</v>
      </c>
      <c r="C765" s="1" t="str">
        <f>HYPERLINK("https://www.catalog.slsa.sa.gov.au/xrecord=b3182864")</f>
        <v>https://www.catalog.slsa.sa.gov.au/xrecord=b3182864</v>
      </c>
      <c r="D765" t="s">
        <v>3036</v>
      </c>
      <c r="E765" t="s">
        <v>3087</v>
      </c>
      <c r="F765" t="s">
        <v>3038</v>
      </c>
      <c r="G765" t="s">
        <v>3039</v>
      </c>
      <c r="H765" t="s">
        <v>3088</v>
      </c>
      <c r="I765" t="s">
        <v>3089</v>
      </c>
      <c r="J765" t="s">
        <v>3042</v>
      </c>
      <c r="K765" s="2" t="str">
        <f>HYPERLINK("http://collections.slsa.sa.gov.au/resource/PRG+1662/2/31/5")</f>
        <v>http://collections.slsa.sa.gov.au/resource/PRG+1662/2/31/5</v>
      </c>
    </row>
    <row r="766" spans="1:11" x14ac:dyDescent="0.25">
      <c r="A766" t="s">
        <v>3095</v>
      </c>
      <c r="B766" s="1" t="str">
        <f>HYPERLINK("https://www.catalog.slsa.sa.gov.au/record=b3182865")</f>
        <v>https://www.catalog.slsa.sa.gov.au/record=b3182865</v>
      </c>
      <c r="C766" s="1" t="str">
        <f>HYPERLINK("https://www.catalog.slsa.sa.gov.au/xrecord=b3182865")</f>
        <v>https://www.catalog.slsa.sa.gov.au/xrecord=b3182865</v>
      </c>
      <c r="D766" t="s">
        <v>3036</v>
      </c>
      <c r="E766" t="s">
        <v>3087</v>
      </c>
      <c r="F766" t="s">
        <v>3038</v>
      </c>
      <c r="G766" t="s">
        <v>3039</v>
      </c>
      <c r="H766" t="s">
        <v>3088</v>
      </c>
      <c r="I766" t="s">
        <v>3089</v>
      </c>
      <c r="J766" t="s">
        <v>3042</v>
      </c>
      <c r="K766" s="2" t="str">
        <f>HYPERLINK("http://collections.slsa.sa.gov.au/resource/PRG+1662/2/31/6")</f>
        <v>http://collections.slsa.sa.gov.au/resource/PRG+1662/2/31/6</v>
      </c>
    </row>
    <row r="767" spans="1:11" x14ac:dyDescent="0.25">
      <c r="A767" t="s">
        <v>3096</v>
      </c>
      <c r="B767" s="1" t="str">
        <f>HYPERLINK("https://www.catalog.slsa.sa.gov.au/record=b3182610")</f>
        <v>https://www.catalog.slsa.sa.gov.au/record=b3182610</v>
      </c>
      <c r="C767" s="1" t="str">
        <f>HYPERLINK("https://www.catalog.slsa.sa.gov.au/xrecord=b3182610")</f>
        <v>https://www.catalog.slsa.sa.gov.au/xrecord=b3182610</v>
      </c>
      <c r="D767" t="s">
        <v>3036</v>
      </c>
      <c r="E767" t="s">
        <v>3097</v>
      </c>
      <c r="F767" t="s">
        <v>3098</v>
      </c>
      <c r="G767" t="s">
        <v>3039</v>
      </c>
      <c r="H767" t="s">
        <v>3099</v>
      </c>
      <c r="I767" t="s">
        <v>3100</v>
      </c>
      <c r="J767" t="s">
        <v>3042</v>
      </c>
      <c r="K767" s="2" t="str">
        <f>HYPERLINK("http://collections.slsa.sa.gov.au/resource/PRG+1662/2/15/10")</f>
        <v>http://collections.slsa.sa.gov.au/resource/PRG+1662/2/15/10</v>
      </c>
    </row>
    <row r="768" spans="1:11" x14ac:dyDescent="0.25">
      <c r="A768" t="s">
        <v>3101</v>
      </c>
      <c r="B768" s="1" t="str">
        <f>HYPERLINK("https://www.catalog.slsa.sa.gov.au/record=b3182612")</f>
        <v>https://www.catalog.slsa.sa.gov.au/record=b3182612</v>
      </c>
      <c r="C768" s="1" t="str">
        <f>HYPERLINK("https://www.catalog.slsa.sa.gov.au/xrecord=b3182612")</f>
        <v>https://www.catalog.slsa.sa.gov.au/xrecord=b3182612</v>
      </c>
      <c r="D768" t="s">
        <v>3036</v>
      </c>
      <c r="E768" t="s">
        <v>3097</v>
      </c>
      <c r="F768" t="s">
        <v>3098</v>
      </c>
      <c r="G768" t="s">
        <v>3039</v>
      </c>
      <c r="H768" t="s">
        <v>3099</v>
      </c>
      <c r="I768" t="s">
        <v>3100</v>
      </c>
      <c r="J768" t="s">
        <v>3042</v>
      </c>
      <c r="K768" s="2" t="str">
        <f>HYPERLINK("http://collections.slsa.sa.gov.au/resource/PRG+1662/2/15/11")</f>
        <v>http://collections.slsa.sa.gov.au/resource/PRG+1662/2/15/11</v>
      </c>
    </row>
    <row r="769" spans="1:11" x14ac:dyDescent="0.25">
      <c r="A769" t="s">
        <v>3102</v>
      </c>
      <c r="B769" s="1" t="str">
        <f>HYPERLINK("https://www.catalog.slsa.sa.gov.au/record=b3182614")</f>
        <v>https://www.catalog.slsa.sa.gov.au/record=b3182614</v>
      </c>
      <c r="C769" s="1" t="str">
        <f>HYPERLINK("https://www.catalog.slsa.sa.gov.au/xrecord=b3182614")</f>
        <v>https://www.catalog.slsa.sa.gov.au/xrecord=b3182614</v>
      </c>
      <c r="D769" t="s">
        <v>3036</v>
      </c>
      <c r="E769" t="s">
        <v>3097</v>
      </c>
      <c r="F769" t="s">
        <v>3098</v>
      </c>
      <c r="G769" t="s">
        <v>3039</v>
      </c>
      <c r="H769" t="s">
        <v>3099</v>
      </c>
      <c r="I769" t="s">
        <v>3100</v>
      </c>
      <c r="J769" t="s">
        <v>3042</v>
      </c>
      <c r="K769" s="2" t="str">
        <f>HYPERLINK("http://collections.slsa.sa.gov.au/resource/PRG+1662/2/15/16")</f>
        <v>http://collections.slsa.sa.gov.au/resource/PRG+1662/2/15/16</v>
      </c>
    </row>
    <row r="770" spans="1:11" x14ac:dyDescent="0.25">
      <c r="A770" t="s">
        <v>3103</v>
      </c>
      <c r="B770" s="1" t="str">
        <f>HYPERLINK("https://www.catalog.slsa.sa.gov.au/record=b3182615")</f>
        <v>https://www.catalog.slsa.sa.gov.au/record=b3182615</v>
      </c>
      <c r="C770" s="1" t="str">
        <f>HYPERLINK("https://www.catalog.slsa.sa.gov.au/xrecord=b3182615")</f>
        <v>https://www.catalog.slsa.sa.gov.au/xrecord=b3182615</v>
      </c>
      <c r="D770" t="s">
        <v>3036</v>
      </c>
      <c r="E770" t="s">
        <v>3097</v>
      </c>
      <c r="F770" t="s">
        <v>3098</v>
      </c>
      <c r="G770" t="s">
        <v>3039</v>
      </c>
      <c r="H770" t="s">
        <v>3099</v>
      </c>
      <c r="I770" t="s">
        <v>3100</v>
      </c>
      <c r="J770" t="s">
        <v>3042</v>
      </c>
      <c r="K770" s="2" t="str">
        <f>HYPERLINK("http://collections.slsa.sa.gov.au/resource/PRG+1662/2/15/17")</f>
        <v>http://collections.slsa.sa.gov.au/resource/PRG+1662/2/15/17</v>
      </c>
    </row>
    <row r="771" spans="1:11" x14ac:dyDescent="0.25">
      <c r="A771" t="s">
        <v>3104</v>
      </c>
      <c r="B771" s="1" t="str">
        <f>HYPERLINK("https://www.catalog.slsa.sa.gov.au/record=b3182616")</f>
        <v>https://www.catalog.slsa.sa.gov.au/record=b3182616</v>
      </c>
      <c r="C771" s="1" t="str">
        <f>HYPERLINK("https://www.catalog.slsa.sa.gov.au/xrecord=b3182616")</f>
        <v>https://www.catalog.slsa.sa.gov.au/xrecord=b3182616</v>
      </c>
      <c r="D771" t="s">
        <v>3036</v>
      </c>
      <c r="E771" t="s">
        <v>3097</v>
      </c>
      <c r="F771" t="s">
        <v>3098</v>
      </c>
      <c r="G771" t="s">
        <v>3039</v>
      </c>
      <c r="H771" t="s">
        <v>3099</v>
      </c>
      <c r="I771" t="s">
        <v>3100</v>
      </c>
      <c r="J771" t="s">
        <v>3042</v>
      </c>
      <c r="K771" s="2" t="str">
        <f>HYPERLINK("http://collections.slsa.sa.gov.au/resource/PRG+1662/2/15/19")</f>
        <v>http://collections.slsa.sa.gov.au/resource/PRG+1662/2/15/19</v>
      </c>
    </row>
    <row r="772" spans="1:11" x14ac:dyDescent="0.25">
      <c r="A772" t="s">
        <v>3105</v>
      </c>
      <c r="B772" s="1" t="str">
        <f>HYPERLINK("https://www.catalog.slsa.sa.gov.au/record=b3182604")</f>
        <v>https://www.catalog.slsa.sa.gov.au/record=b3182604</v>
      </c>
      <c r="C772" s="1" t="str">
        <f>HYPERLINK("https://www.catalog.slsa.sa.gov.au/xrecord=b3182604")</f>
        <v>https://www.catalog.slsa.sa.gov.au/xrecord=b3182604</v>
      </c>
      <c r="D772" t="s">
        <v>3036</v>
      </c>
      <c r="E772" t="s">
        <v>3097</v>
      </c>
      <c r="F772" t="s">
        <v>3098</v>
      </c>
      <c r="G772" t="s">
        <v>3039</v>
      </c>
      <c r="H772" t="s">
        <v>3106</v>
      </c>
      <c r="I772" t="s">
        <v>3100</v>
      </c>
      <c r="J772" t="s">
        <v>3042</v>
      </c>
      <c r="K772" s="2" t="str">
        <f>HYPERLINK("http://collections.slsa.sa.gov.au/resource/PRG+1662/2/15/2")</f>
        <v>http://collections.slsa.sa.gov.au/resource/PRG+1662/2/15/2</v>
      </c>
    </row>
    <row r="773" spans="1:11" x14ac:dyDescent="0.25">
      <c r="A773" t="s">
        <v>3107</v>
      </c>
      <c r="B773" s="1" t="str">
        <f>HYPERLINK("https://www.catalog.slsa.sa.gov.au/record=b3182618")</f>
        <v>https://www.catalog.slsa.sa.gov.au/record=b3182618</v>
      </c>
      <c r="C773" s="1" t="str">
        <f>HYPERLINK("https://www.catalog.slsa.sa.gov.au/xrecord=b3182618")</f>
        <v>https://www.catalog.slsa.sa.gov.au/xrecord=b3182618</v>
      </c>
      <c r="D773" t="s">
        <v>3036</v>
      </c>
      <c r="E773" t="s">
        <v>3097</v>
      </c>
      <c r="F773" t="s">
        <v>3098</v>
      </c>
      <c r="G773" t="s">
        <v>3039</v>
      </c>
      <c r="H773" t="s">
        <v>3099</v>
      </c>
      <c r="I773" t="s">
        <v>3100</v>
      </c>
      <c r="J773" t="s">
        <v>3042</v>
      </c>
      <c r="K773" s="2" t="str">
        <f>HYPERLINK("http://collections.slsa.sa.gov.au/resource/PRG+1662/2/15/20")</f>
        <v>http://collections.slsa.sa.gov.au/resource/PRG+1662/2/15/20</v>
      </c>
    </row>
    <row r="774" spans="1:11" x14ac:dyDescent="0.25">
      <c r="A774" t="s">
        <v>3108</v>
      </c>
      <c r="B774" s="1" t="str">
        <f>HYPERLINK("https://www.catalog.slsa.sa.gov.au/record=b3182619")</f>
        <v>https://www.catalog.slsa.sa.gov.au/record=b3182619</v>
      </c>
      <c r="C774" s="1" t="str">
        <f>HYPERLINK("https://www.catalog.slsa.sa.gov.au/xrecord=b3182619")</f>
        <v>https://www.catalog.slsa.sa.gov.au/xrecord=b3182619</v>
      </c>
      <c r="D774" t="s">
        <v>3036</v>
      </c>
      <c r="E774" t="s">
        <v>3097</v>
      </c>
      <c r="F774" t="s">
        <v>3098</v>
      </c>
      <c r="G774" t="s">
        <v>3039</v>
      </c>
      <c r="H774" t="s">
        <v>3099</v>
      </c>
      <c r="I774" t="s">
        <v>3100</v>
      </c>
      <c r="J774" t="s">
        <v>3042</v>
      </c>
      <c r="K774" s="2" t="str">
        <f>HYPERLINK("http://collections.slsa.sa.gov.au/resource/PRG+1662/2/15/21")</f>
        <v>http://collections.slsa.sa.gov.au/resource/PRG+1662/2/15/21</v>
      </c>
    </row>
    <row r="775" spans="1:11" x14ac:dyDescent="0.25">
      <c r="A775" t="s">
        <v>3109</v>
      </c>
      <c r="B775" s="1" t="str">
        <f>HYPERLINK("https://www.catalog.slsa.sa.gov.au/record=b3182620")</f>
        <v>https://www.catalog.slsa.sa.gov.au/record=b3182620</v>
      </c>
      <c r="C775" s="1" t="str">
        <f>HYPERLINK("https://www.catalog.slsa.sa.gov.au/xrecord=b3182620")</f>
        <v>https://www.catalog.slsa.sa.gov.au/xrecord=b3182620</v>
      </c>
      <c r="D775" t="s">
        <v>3036</v>
      </c>
      <c r="E775" t="s">
        <v>3097</v>
      </c>
      <c r="F775" t="s">
        <v>3098</v>
      </c>
      <c r="G775" t="s">
        <v>3039</v>
      </c>
      <c r="H775" t="s">
        <v>3099</v>
      </c>
      <c r="I775" t="s">
        <v>3100</v>
      </c>
      <c r="J775" t="s">
        <v>3042</v>
      </c>
      <c r="K775" s="2" t="str">
        <f>HYPERLINK("http://collections.slsa.sa.gov.au/resource/PRG+1662/2/15/22")</f>
        <v>http://collections.slsa.sa.gov.au/resource/PRG+1662/2/15/22</v>
      </c>
    </row>
    <row r="776" spans="1:11" x14ac:dyDescent="0.25">
      <c r="A776" t="s">
        <v>3110</v>
      </c>
      <c r="B776" s="1" t="str">
        <f>HYPERLINK("https://www.catalog.slsa.sa.gov.au/record=b3182621")</f>
        <v>https://www.catalog.slsa.sa.gov.au/record=b3182621</v>
      </c>
      <c r="C776" s="1" t="str">
        <f>HYPERLINK("https://www.catalog.slsa.sa.gov.au/xrecord=b3182621")</f>
        <v>https://www.catalog.slsa.sa.gov.au/xrecord=b3182621</v>
      </c>
      <c r="D776" t="s">
        <v>3036</v>
      </c>
      <c r="E776" t="s">
        <v>3097</v>
      </c>
      <c r="F776" t="s">
        <v>3098</v>
      </c>
      <c r="G776" t="s">
        <v>3039</v>
      </c>
      <c r="H776" t="s">
        <v>3099</v>
      </c>
      <c r="I776" t="s">
        <v>3100</v>
      </c>
      <c r="J776" t="s">
        <v>3042</v>
      </c>
      <c r="K776" s="2" t="str">
        <f>HYPERLINK("http://collections.slsa.sa.gov.au/resource/PRG+1662/2/15/23")</f>
        <v>http://collections.slsa.sa.gov.au/resource/PRG+1662/2/15/23</v>
      </c>
    </row>
    <row r="777" spans="1:11" x14ac:dyDescent="0.25">
      <c r="A777" t="s">
        <v>3111</v>
      </c>
      <c r="B777" s="1" t="str">
        <f>HYPERLINK("https://www.catalog.slsa.sa.gov.au/record=b3182625")</f>
        <v>https://www.catalog.slsa.sa.gov.au/record=b3182625</v>
      </c>
      <c r="C777" s="1" t="str">
        <f>HYPERLINK("https://www.catalog.slsa.sa.gov.au/xrecord=b3182625")</f>
        <v>https://www.catalog.slsa.sa.gov.au/xrecord=b3182625</v>
      </c>
      <c r="D777" t="s">
        <v>3036</v>
      </c>
      <c r="E777" t="s">
        <v>3112</v>
      </c>
      <c r="F777" t="s">
        <v>3098</v>
      </c>
      <c r="G777" t="s">
        <v>3039</v>
      </c>
      <c r="H777" t="s">
        <v>3113</v>
      </c>
      <c r="I777" t="s">
        <v>3114</v>
      </c>
      <c r="J777" t="s">
        <v>3042</v>
      </c>
      <c r="K777" s="2" t="str">
        <f>HYPERLINK("http://collections.slsa.sa.gov.au/resource/PRG+1662/2/15/24")</f>
        <v>http://collections.slsa.sa.gov.au/resource/PRG+1662/2/15/24</v>
      </c>
    </row>
    <row r="778" spans="1:11" x14ac:dyDescent="0.25">
      <c r="A778" t="s">
        <v>3115</v>
      </c>
      <c r="B778" s="1" t="str">
        <f>HYPERLINK("https://www.catalog.slsa.sa.gov.au/record=b3182622")</f>
        <v>https://www.catalog.slsa.sa.gov.au/record=b3182622</v>
      </c>
      <c r="C778" s="1" t="str">
        <f>HYPERLINK("https://www.catalog.slsa.sa.gov.au/xrecord=b3182622")</f>
        <v>https://www.catalog.slsa.sa.gov.au/xrecord=b3182622</v>
      </c>
      <c r="D778" t="s">
        <v>3036</v>
      </c>
      <c r="E778" t="s">
        <v>3097</v>
      </c>
      <c r="F778" t="s">
        <v>3098</v>
      </c>
      <c r="G778" t="s">
        <v>3039</v>
      </c>
      <c r="H778" t="s">
        <v>3099</v>
      </c>
      <c r="I778" t="s">
        <v>3100</v>
      </c>
      <c r="J778" t="s">
        <v>3042</v>
      </c>
      <c r="K778" s="2" t="str">
        <f>HYPERLINK("http://collections.slsa.sa.gov.au/resource/PRG+1662/2/15/25")</f>
        <v>http://collections.slsa.sa.gov.au/resource/PRG+1662/2/15/25</v>
      </c>
    </row>
    <row r="779" spans="1:11" x14ac:dyDescent="0.25">
      <c r="A779" t="s">
        <v>3116</v>
      </c>
      <c r="B779" s="1" t="str">
        <f>HYPERLINK("https://www.catalog.slsa.sa.gov.au/record=b3182623")</f>
        <v>https://www.catalog.slsa.sa.gov.au/record=b3182623</v>
      </c>
      <c r="C779" s="1" t="str">
        <f>HYPERLINK("https://www.catalog.slsa.sa.gov.au/xrecord=b3182623")</f>
        <v>https://www.catalog.slsa.sa.gov.au/xrecord=b3182623</v>
      </c>
      <c r="D779" t="s">
        <v>3036</v>
      </c>
      <c r="E779" t="s">
        <v>3097</v>
      </c>
      <c r="F779" t="s">
        <v>3098</v>
      </c>
      <c r="G779" t="s">
        <v>3039</v>
      </c>
      <c r="H779" t="s">
        <v>3099</v>
      </c>
      <c r="I779" t="s">
        <v>3100</v>
      </c>
      <c r="J779" t="s">
        <v>3042</v>
      </c>
      <c r="K779" s="2" t="str">
        <f>HYPERLINK("http://collections.slsa.sa.gov.au/resource/PRG+1662/2/15/26")</f>
        <v>http://collections.slsa.sa.gov.au/resource/PRG+1662/2/15/26</v>
      </c>
    </row>
    <row r="780" spans="1:11" x14ac:dyDescent="0.25">
      <c r="A780" t="s">
        <v>3117</v>
      </c>
      <c r="B780" s="1" t="str">
        <f>HYPERLINK("https://www.catalog.slsa.sa.gov.au/record=b3182624")</f>
        <v>https://www.catalog.slsa.sa.gov.au/record=b3182624</v>
      </c>
      <c r="C780" s="1" t="str">
        <f>HYPERLINK("https://www.catalog.slsa.sa.gov.au/xrecord=b3182624")</f>
        <v>https://www.catalog.slsa.sa.gov.au/xrecord=b3182624</v>
      </c>
      <c r="D780" t="s">
        <v>3036</v>
      </c>
      <c r="E780" t="s">
        <v>3097</v>
      </c>
      <c r="F780" t="s">
        <v>3098</v>
      </c>
      <c r="G780" t="s">
        <v>3039</v>
      </c>
      <c r="H780" t="s">
        <v>3099</v>
      </c>
      <c r="I780" t="s">
        <v>3100</v>
      </c>
      <c r="J780" t="s">
        <v>3042</v>
      </c>
      <c r="K780" s="2" t="str">
        <f>HYPERLINK("http://collections.slsa.sa.gov.au/resource/PRG+1662/2/15/27")</f>
        <v>http://collections.slsa.sa.gov.au/resource/PRG+1662/2/15/27</v>
      </c>
    </row>
    <row r="781" spans="1:11" x14ac:dyDescent="0.25">
      <c r="A781" t="s">
        <v>3118</v>
      </c>
      <c r="B781" s="1" t="str">
        <f>HYPERLINK("https://www.catalog.slsa.sa.gov.au/record=b3182608")</f>
        <v>https://www.catalog.slsa.sa.gov.au/record=b3182608</v>
      </c>
      <c r="C781" s="1" t="str">
        <f>HYPERLINK("https://www.catalog.slsa.sa.gov.au/xrecord=b3182608")</f>
        <v>https://www.catalog.slsa.sa.gov.au/xrecord=b3182608</v>
      </c>
      <c r="D781" t="s">
        <v>3036</v>
      </c>
      <c r="E781" t="s">
        <v>3097</v>
      </c>
      <c r="F781" t="s">
        <v>3098</v>
      </c>
      <c r="G781" t="s">
        <v>3039</v>
      </c>
      <c r="H781" t="s">
        <v>3099</v>
      </c>
      <c r="I781" t="s">
        <v>3100</v>
      </c>
      <c r="J781" t="s">
        <v>3042</v>
      </c>
      <c r="K781" s="2" t="str">
        <f>HYPERLINK("http://collections.slsa.sa.gov.au/resource/PRG+1662/2/15/4")</f>
        <v>http://collections.slsa.sa.gov.au/resource/PRG+1662/2/15/4</v>
      </c>
    </row>
    <row r="782" spans="1:11" x14ac:dyDescent="0.25">
      <c r="A782" t="s">
        <v>3119</v>
      </c>
      <c r="B782" s="1" t="str">
        <f>HYPERLINK("https://www.catalog.slsa.sa.gov.au/record=b3182609")</f>
        <v>https://www.catalog.slsa.sa.gov.au/record=b3182609</v>
      </c>
      <c r="C782" s="1" t="str">
        <f>HYPERLINK("https://www.catalog.slsa.sa.gov.au/xrecord=b3182609")</f>
        <v>https://www.catalog.slsa.sa.gov.au/xrecord=b3182609</v>
      </c>
      <c r="D782" t="s">
        <v>3036</v>
      </c>
      <c r="E782" t="s">
        <v>3097</v>
      </c>
      <c r="F782" t="s">
        <v>3098</v>
      </c>
      <c r="G782" t="s">
        <v>3039</v>
      </c>
      <c r="H782" t="s">
        <v>3099</v>
      </c>
      <c r="I782" t="s">
        <v>3100</v>
      </c>
      <c r="J782" t="s">
        <v>3042</v>
      </c>
      <c r="K782" s="2" t="str">
        <f>HYPERLINK("http://collections.slsa.sa.gov.au/resource/PRG+1662/2/15/8")</f>
        <v>http://collections.slsa.sa.gov.au/resource/PRG+1662/2/15/8</v>
      </c>
    </row>
    <row r="783" spans="1:11" x14ac:dyDescent="0.25">
      <c r="A783" t="s">
        <v>3120</v>
      </c>
      <c r="B783" s="1" t="str">
        <f>HYPERLINK("https://www.catalog.slsa.sa.gov.au/record=b3127568")</f>
        <v>https://www.catalog.slsa.sa.gov.au/record=b3127568</v>
      </c>
      <c r="C783" s="1" t="str">
        <f>HYPERLINK("https://www.catalog.slsa.sa.gov.au/xrecord=b3127568")</f>
        <v>https://www.catalog.slsa.sa.gov.au/xrecord=b3127568</v>
      </c>
      <c r="D783" t="s">
        <v>3036</v>
      </c>
      <c r="E783" t="s">
        <v>3121</v>
      </c>
      <c r="F783" t="s">
        <v>3122</v>
      </c>
      <c r="G783" t="s">
        <v>3039</v>
      </c>
      <c r="H783" t="s">
        <v>3123</v>
      </c>
      <c r="I783" t="s">
        <v>3124</v>
      </c>
      <c r="J783" t="s">
        <v>3042</v>
      </c>
      <c r="K783" s="2" t="str">
        <f>HYPERLINK("http://collections.slsa.sa.gov.au/resource/PRG+1662/2/11/2")</f>
        <v>http://collections.slsa.sa.gov.au/resource/PRG+1662/2/11/2</v>
      </c>
    </row>
    <row r="784" spans="1:11" x14ac:dyDescent="0.25">
      <c r="A784" t="s">
        <v>3125</v>
      </c>
      <c r="B784" s="1" t="str">
        <f>HYPERLINK("https://www.catalog.slsa.sa.gov.au/record=b3127569")</f>
        <v>https://www.catalog.slsa.sa.gov.au/record=b3127569</v>
      </c>
      <c r="C784" s="1" t="str">
        <f>HYPERLINK("https://www.catalog.slsa.sa.gov.au/xrecord=b3127569")</f>
        <v>https://www.catalog.slsa.sa.gov.au/xrecord=b3127569</v>
      </c>
      <c r="D784" t="s">
        <v>3036</v>
      </c>
      <c r="E784" t="s">
        <v>3121</v>
      </c>
      <c r="F784" t="s">
        <v>3122</v>
      </c>
      <c r="G784" t="s">
        <v>3039</v>
      </c>
      <c r="H784" t="s">
        <v>3126</v>
      </c>
      <c r="I784" t="s">
        <v>3127</v>
      </c>
      <c r="J784" t="s">
        <v>3042</v>
      </c>
      <c r="K784" s="2" t="str">
        <f>HYPERLINK("http://collections.slsa.sa.gov.au/resource/PRG+1662/2/11/4")</f>
        <v>http://collections.slsa.sa.gov.au/resource/PRG+1662/2/11/4</v>
      </c>
    </row>
    <row r="785" spans="1:11" x14ac:dyDescent="0.25">
      <c r="A785" t="s">
        <v>3128</v>
      </c>
      <c r="B785" s="1" t="str">
        <f>HYPERLINK("https://www.catalog.slsa.sa.gov.au/record=b3127572")</f>
        <v>https://www.catalog.slsa.sa.gov.au/record=b3127572</v>
      </c>
      <c r="C785" s="1" t="str">
        <f>HYPERLINK("https://www.catalog.slsa.sa.gov.au/xrecord=b3127572")</f>
        <v>https://www.catalog.slsa.sa.gov.au/xrecord=b3127572</v>
      </c>
      <c r="D785" t="s">
        <v>3036</v>
      </c>
      <c r="E785" t="s">
        <v>3121</v>
      </c>
      <c r="F785" t="s">
        <v>3122</v>
      </c>
      <c r="G785" t="s">
        <v>3039</v>
      </c>
      <c r="H785" t="s">
        <v>3129</v>
      </c>
      <c r="I785" t="s">
        <v>3127</v>
      </c>
      <c r="J785" t="s">
        <v>3042</v>
      </c>
      <c r="K785" s="2" t="str">
        <f>HYPERLINK("http://collections.slsa.sa.gov.au/resource/PRG+1662/2/11/6")</f>
        <v>http://collections.slsa.sa.gov.au/resource/PRG+1662/2/11/6</v>
      </c>
    </row>
    <row r="786" spans="1:11" x14ac:dyDescent="0.25">
      <c r="A786" t="s">
        <v>3130</v>
      </c>
      <c r="B786" s="1" t="str">
        <f>HYPERLINK("https://www.catalog.slsa.sa.gov.au/record=b3127574")</f>
        <v>https://www.catalog.slsa.sa.gov.au/record=b3127574</v>
      </c>
      <c r="C786" s="1" t="str">
        <f>HYPERLINK("https://www.catalog.slsa.sa.gov.au/xrecord=b3127574")</f>
        <v>https://www.catalog.slsa.sa.gov.au/xrecord=b3127574</v>
      </c>
      <c r="D786" t="s">
        <v>3036</v>
      </c>
      <c r="E786" t="s">
        <v>3121</v>
      </c>
      <c r="F786" t="s">
        <v>3122</v>
      </c>
      <c r="G786" t="s">
        <v>3039</v>
      </c>
      <c r="H786" t="s">
        <v>3131</v>
      </c>
      <c r="I786" t="s">
        <v>3132</v>
      </c>
      <c r="J786" t="s">
        <v>3042</v>
      </c>
      <c r="K786" s="2" t="str">
        <f>HYPERLINK("http://collections.slsa.sa.gov.au/resource/PRG+1662/2/11/7")</f>
        <v>http://collections.slsa.sa.gov.au/resource/PRG+1662/2/11/7</v>
      </c>
    </row>
    <row r="787" spans="1:11" x14ac:dyDescent="0.25">
      <c r="A787" t="s">
        <v>3133</v>
      </c>
      <c r="B787" s="1" t="str">
        <f>HYPERLINK("https://www.catalog.slsa.sa.gov.au/record=b3127575")</f>
        <v>https://www.catalog.slsa.sa.gov.au/record=b3127575</v>
      </c>
      <c r="C787" s="1" t="str">
        <f>HYPERLINK("https://www.catalog.slsa.sa.gov.au/xrecord=b3127575")</f>
        <v>https://www.catalog.slsa.sa.gov.au/xrecord=b3127575</v>
      </c>
      <c r="D787" t="s">
        <v>3036</v>
      </c>
      <c r="E787" t="s">
        <v>3121</v>
      </c>
      <c r="F787" t="s">
        <v>3122</v>
      </c>
      <c r="G787" t="s">
        <v>3039</v>
      </c>
      <c r="H787" t="s">
        <v>3131</v>
      </c>
      <c r="I787" t="s">
        <v>3132</v>
      </c>
      <c r="J787" t="s">
        <v>3042</v>
      </c>
      <c r="K787" s="2" t="str">
        <f>HYPERLINK("http://collections.slsa.sa.gov.au/resource/PRG+1662/2/11/8")</f>
        <v>http://collections.slsa.sa.gov.au/resource/PRG+1662/2/11/8</v>
      </c>
    </row>
    <row r="788" spans="1:11" x14ac:dyDescent="0.25">
      <c r="A788" t="s">
        <v>3134</v>
      </c>
      <c r="B788" s="1" t="str">
        <f>HYPERLINK("https://www.catalog.slsa.sa.gov.au/record=b3127576")</f>
        <v>https://www.catalog.slsa.sa.gov.au/record=b3127576</v>
      </c>
      <c r="C788" s="1" t="str">
        <f>HYPERLINK("https://www.catalog.slsa.sa.gov.au/xrecord=b3127576")</f>
        <v>https://www.catalog.slsa.sa.gov.au/xrecord=b3127576</v>
      </c>
      <c r="D788" t="s">
        <v>3036</v>
      </c>
      <c r="E788" t="s">
        <v>3121</v>
      </c>
      <c r="F788" t="s">
        <v>3122</v>
      </c>
      <c r="G788" t="s">
        <v>3039</v>
      </c>
      <c r="H788" t="s">
        <v>3135</v>
      </c>
      <c r="I788" t="s">
        <v>3136</v>
      </c>
      <c r="J788" t="s">
        <v>3042</v>
      </c>
      <c r="K788" s="2" t="str">
        <f>HYPERLINK("http://collections.slsa.sa.gov.au/resource/PRG+1662/2/11/9")</f>
        <v>http://collections.slsa.sa.gov.au/resource/PRG+1662/2/11/9</v>
      </c>
    </row>
    <row r="789" spans="1:11" x14ac:dyDescent="0.25">
      <c r="A789" t="s">
        <v>3137</v>
      </c>
      <c r="B789" s="1" t="str">
        <f>HYPERLINK("https://www.catalog.slsa.sa.gov.au/record=b3182593")</f>
        <v>https://www.catalog.slsa.sa.gov.au/record=b3182593</v>
      </c>
      <c r="C789" s="1" t="str">
        <f>HYPERLINK("https://www.catalog.slsa.sa.gov.au/xrecord=b3182593")</f>
        <v>https://www.catalog.slsa.sa.gov.au/xrecord=b3182593</v>
      </c>
      <c r="D789" t="s">
        <v>3036</v>
      </c>
      <c r="E789" t="s">
        <v>3138</v>
      </c>
      <c r="F789" t="s">
        <v>3122</v>
      </c>
      <c r="G789" t="s">
        <v>3039</v>
      </c>
      <c r="H789" t="s">
        <v>3139</v>
      </c>
      <c r="I789" t="s">
        <v>3140</v>
      </c>
      <c r="J789" t="s">
        <v>3042</v>
      </c>
      <c r="K789" s="2" t="str">
        <f>HYPERLINK("http://collections.slsa.sa.gov.au/resource/PRG+1662/2/12/2")</f>
        <v>http://collections.slsa.sa.gov.au/resource/PRG+1662/2/12/2</v>
      </c>
    </row>
    <row r="790" spans="1:11" x14ac:dyDescent="0.25">
      <c r="A790" t="s">
        <v>3141</v>
      </c>
      <c r="B790" s="1" t="str">
        <f>HYPERLINK("https://www.catalog.slsa.sa.gov.au/record=b3182598")</f>
        <v>https://www.catalog.slsa.sa.gov.au/record=b3182598</v>
      </c>
      <c r="C790" s="1" t="str">
        <f>HYPERLINK("https://www.catalog.slsa.sa.gov.au/xrecord=b3182598")</f>
        <v>https://www.catalog.slsa.sa.gov.au/xrecord=b3182598</v>
      </c>
      <c r="D790" t="s">
        <v>3036</v>
      </c>
      <c r="E790" t="s">
        <v>3142</v>
      </c>
      <c r="F790" t="s">
        <v>3122</v>
      </c>
      <c r="G790" t="s">
        <v>3039</v>
      </c>
      <c r="H790" t="s">
        <v>3143</v>
      </c>
      <c r="I790" t="s">
        <v>3144</v>
      </c>
      <c r="J790" t="s">
        <v>3042</v>
      </c>
      <c r="K790" s="2" t="str">
        <f>HYPERLINK("http://collections.slsa.sa.gov.au/resource/PRG+1662/2/13/1")</f>
        <v>http://collections.slsa.sa.gov.au/resource/PRG+1662/2/13/1</v>
      </c>
    </row>
    <row r="791" spans="1:11" x14ac:dyDescent="0.25">
      <c r="A791" t="s">
        <v>3145</v>
      </c>
      <c r="B791" s="1" t="str">
        <f>HYPERLINK("https://www.catalog.slsa.sa.gov.au/record=b3182599")</f>
        <v>https://www.catalog.slsa.sa.gov.au/record=b3182599</v>
      </c>
      <c r="C791" s="1" t="str">
        <f>HYPERLINK("https://www.catalog.slsa.sa.gov.au/xrecord=b3182599")</f>
        <v>https://www.catalog.slsa.sa.gov.au/xrecord=b3182599</v>
      </c>
      <c r="D791" t="s">
        <v>3036</v>
      </c>
      <c r="E791" t="s">
        <v>3146</v>
      </c>
      <c r="F791" t="s">
        <v>3122</v>
      </c>
      <c r="G791" t="s">
        <v>3039</v>
      </c>
      <c r="H791" t="s">
        <v>3147</v>
      </c>
      <c r="I791" t="s">
        <v>3144</v>
      </c>
      <c r="J791" t="s">
        <v>3042</v>
      </c>
      <c r="K791" s="2" t="str">
        <f>HYPERLINK("http://collections.slsa.sa.gov.au/resource/PRG+1662/2/13/4")</f>
        <v>http://collections.slsa.sa.gov.au/resource/PRG+1662/2/13/4</v>
      </c>
    </row>
    <row r="792" spans="1:11" x14ac:dyDescent="0.25">
      <c r="A792" t="s">
        <v>3148</v>
      </c>
      <c r="B792" s="1" t="str">
        <f>HYPERLINK("https://www.catalog.slsa.sa.gov.au/record=b3026733")</f>
        <v>https://www.catalog.slsa.sa.gov.au/record=b3026733</v>
      </c>
      <c r="C792" s="1" t="str">
        <f>HYPERLINK("https://www.catalog.slsa.sa.gov.au/xrecord=b3026733")</f>
        <v>https://www.catalog.slsa.sa.gov.au/xrecord=b3026733</v>
      </c>
      <c r="D792" t="s">
        <v>3036</v>
      </c>
      <c r="E792" t="s">
        <v>3149</v>
      </c>
      <c r="F792" t="s">
        <v>3150</v>
      </c>
      <c r="G792" t="s">
        <v>3039</v>
      </c>
      <c r="H792" t="s">
        <v>3151</v>
      </c>
      <c r="I792" t="s">
        <v>3152</v>
      </c>
      <c r="J792" t="s">
        <v>3042</v>
      </c>
      <c r="K792" s="2" t="str">
        <f>HYPERLINK("http://collections.slsa.sa.gov.au/resource/PRG+1662/1/2/1")</f>
        <v>http://collections.slsa.sa.gov.au/resource/PRG+1662/1/2/1</v>
      </c>
    </row>
    <row r="793" spans="1:11" x14ac:dyDescent="0.25">
      <c r="A793" t="s">
        <v>3153</v>
      </c>
      <c r="B793" s="1" t="str">
        <f>HYPERLINK("https://www.catalog.slsa.sa.gov.au/record=b3026737")</f>
        <v>https://www.catalog.slsa.sa.gov.au/record=b3026737</v>
      </c>
      <c r="C793" s="1" t="str">
        <f>HYPERLINK("https://www.catalog.slsa.sa.gov.au/xrecord=b3026737")</f>
        <v>https://www.catalog.slsa.sa.gov.au/xrecord=b3026737</v>
      </c>
      <c r="D793" t="s">
        <v>3036</v>
      </c>
      <c r="E793" t="s">
        <v>3149</v>
      </c>
      <c r="F793" t="s">
        <v>3150</v>
      </c>
      <c r="G793" t="s">
        <v>3039</v>
      </c>
      <c r="H793" t="s">
        <v>3151</v>
      </c>
      <c r="I793" t="s">
        <v>3154</v>
      </c>
      <c r="J793" t="s">
        <v>3042</v>
      </c>
      <c r="K793" s="2" t="str">
        <f>HYPERLINK("http://collections.slsa.sa.gov.au/resource/PRG+1662/1/2/11")</f>
        <v>http://collections.slsa.sa.gov.au/resource/PRG+1662/1/2/11</v>
      </c>
    </row>
    <row r="794" spans="1:11" x14ac:dyDescent="0.25">
      <c r="A794" t="s">
        <v>3155</v>
      </c>
      <c r="B794" s="1" t="str">
        <f>HYPERLINK("https://www.catalog.slsa.sa.gov.au/record=b3026736")</f>
        <v>https://www.catalog.slsa.sa.gov.au/record=b3026736</v>
      </c>
      <c r="C794" s="1" t="str">
        <f>HYPERLINK("https://www.catalog.slsa.sa.gov.au/xrecord=b3026736")</f>
        <v>https://www.catalog.slsa.sa.gov.au/xrecord=b3026736</v>
      </c>
      <c r="D794" t="s">
        <v>3036</v>
      </c>
      <c r="E794" t="s">
        <v>3149</v>
      </c>
      <c r="F794" t="s">
        <v>3150</v>
      </c>
      <c r="G794" t="s">
        <v>3039</v>
      </c>
      <c r="H794" t="s">
        <v>3151</v>
      </c>
      <c r="I794" t="s">
        <v>3154</v>
      </c>
      <c r="J794" t="s">
        <v>3042</v>
      </c>
      <c r="K794" s="2" t="str">
        <f>HYPERLINK("http://collections.slsa.sa.gov.au/resource/PRG+1662/1/2/4")</f>
        <v>http://collections.slsa.sa.gov.au/resource/PRG+1662/1/2/4</v>
      </c>
    </row>
    <row r="795" spans="1:11" x14ac:dyDescent="0.25">
      <c r="A795" t="s">
        <v>3156</v>
      </c>
      <c r="B795" s="1" t="str">
        <f>HYPERLINK("https://www.catalog.slsa.sa.gov.au/record=b3026743")</f>
        <v>https://www.catalog.slsa.sa.gov.au/record=b3026743</v>
      </c>
      <c r="C795" s="1" t="str">
        <f>HYPERLINK("https://www.catalog.slsa.sa.gov.au/xrecord=b3026743")</f>
        <v>https://www.catalog.slsa.sa.gov.au/xrecord=b3026743</v>
      </c>
      <c r="D795" t="s">
        <v>3036</v>
      </c>
      <c r="E795" t="s">
        <v>3157</v>
      </c>
      <c r="F795" t="s">
        <v>3158</v>
      </c>
      <c r="G795" t="s">
        <v>3039</v>
      </c>
      <c r="H795" t="s">
        <v>3159</v>
      </c>
      <c r="I795" t="s">
        <v>3160</v>
      </c>
      <c r="J795" t="s">
        <v>3042</v>
      </c>
      <c r="K795" s="2" t="str">
        <f>HYPERLINK("http://collections.slsa.sa.gov.au/resource/PRG+1662/1/4/22")</f>
        <v>http://collections.slsa.sa.gov.au/resource/PRG+1662/1/4/22</v>
      </c>
    </row>
    <row r="796" spans="1:11" x14ac:dyDescent="0.25">
      <c r="A796" t="s">
        <v>3161</v>
      </c>
      <c r="B796" s="1" t="str">
        <f>HYPERLINK("https://www.catalog.slsa.sa.gov.au/record=b3026750")</f>
        <v>https://www.catalog.slsa.sa.gov.au/record=b3026750</v>
      </c>
      <c r="C796" s="1" t="str">
        <f>HYPERLINK("https://www.catalog.slsa.sa.gov.au/xrecord=b3026750")</f>
        <v>https://www.catalog.slsa.sa.gov.au/xrecord=b3026750</v>
      </c>
      <c r="D796" t="s">
        <v>3036</v>
      </c>
      <c r="E796" t="s">
        <v>3157</v>
      </c>
      <c r="F796" t="s">
        <v>3158</v>
      </c>
      <c r="G796" t="s">
        <v>3039</v>
      </c>
      <c r="H796" t="s">
        <v>3159</v>
      </c>
      <c r="I796" t="s">
        <v>3162</v>
      </c>
      <c r="J796" t="s">
        <v>3042</v>
      </c>
      <c r="K796" s="2" t="str">
        <f>HYPERLINK("http://collections.slsa.sa.gov.au/resource/PRG+1662/1/4/33")</f>
        <v>http://collections.slsa.sa.gov.au/resource/PRG+1662/1/4/33</v>
      </c>
    </row>
    <row r="797" spans="1:11" x14ac:dyDescent="0.25">
      <c r="A797" t="s">
        <v>3163</v>
      </c>
      <c r="B797" s="1" t="str">
        <f>HYPERLINK("https://www.catalog.slsa.sa.gov.au/record=b3026751")</f>
        <v>https://www.catalog.slsa.sa.gov.au/record=b3026751</v>
      </c>
      <c r="C797" s="1" t="str">
        <f>HYPERLINK("https://www.catalog.slsa.sa.gov.au/xrecord=b3026751")</f>
        <v>https://www.catalog.slsa.sa.gov.au/xrecord=b3026751</v>
      </c>
      <c r="D797" t="s">
        <v>3036</v>
      </c>
      <c r="E797" t="s">
        <v>3157</v>
      </c>
      <c r="F797" t="s">
        <v>3158</v>
      </c>
      <c r="G797" t="s">
        <v>3039</v>
      </c>
      <c r="H797" t="s">
        <v>3159</v>
      </c>
      <c r="I797" t="s">
        <v>3162</v>
      </c>
      <c r="J797" t="s">
        <v>3042</v>
      </c>
      <c r="K797" s="2" t="str">
        <f>HYPERLINK("http://collections.slsa.sa.gov.au/resource/PRG+1662/1/4/38")</f>
        <v>http://collections.slsa.sa.gov.au/resource/PRG+1662/1/4/38</v>
      </c>
    </row>
    <row r="798" spans="1:11" x14ac:dyDescent="0.25">
      <c r="A798" t="s">
        <v>3164</v>
      </c>
      <c r="B798" s="1" t="str">
        <f>HYPERLINK("https://www.catalog.slsa.sa.gov.au/record=b3026742")</f>
        <v>https://www.catalog.slsa.sa.gov.au/record=b3026742</v>
      </c>
      <c r="C798" s="1" t="str">
        <f>HYPERLINK("https://www.catalog.slsa.sa.gov.au/xrecord=b3026742")</f>
        <v>https://www.catalog.slsa.sa.gov.au/xrecord=b3026742</v>
      </c>
      <c r="D798" t="s">
        <v>3036</v>
      </c>
      <c r="E798" t="s">
        <v>3157</v>
      </c>
      <c r="F798" t="s">
        <v>3158</v>
      </c>
      <c r="G798" t="s">
        <v>3039</v>
      </c>
      <c r="H798" t="s">
        <v>3159</v>
      </c>
      <c r="I798" t="s">
        <v>3162</v>
      </c>
      <c r="J798" t="s">
        <v>3042</v>
      </c>
      <c r="K798" s="2" t="str">
        <f>HYPERLINK("http://collections.slsa.sa.gov.au/resource/PRG+1662/1/4/4")</f>
        <v>http://collections.slsa.sa.gov.au/resource/PRG+1662/1/4/4</v>
      </c>
    </row>
    <row r="799" spans="1:11" x14ac:dyDescent="0.25">
      <c r="A799" t="s">
        <v>3165</v>
      </c>
      <c r="B799" s="1" t="str">
        <f>HYPERLINK("https://www.catalog.slsa.sa.gov.au/record=b3182915")</f>
        <v>https://www.catalog.slsa.sa.gov.au/record=b3182915</v>
      </c>
      <c r="C799" s="1" t="str">
        <f>HYPERLINK("https://www.catalog.slsa.sa.gov.au/xrecord=b3182915")</f>
        <v>https://www.catalog.slsa.sa.gov.au/xrecord=b3182915</v>
      </c>
      <c r="D799" t="s">
        <v>3036</v>
      </c>
      <c r="E799" t="s">
        <v>3166</v>
      </c>
      <c r="F799" t="s">
        <v>3167</v>
      </c>
      <c r="G799" t="s">
        <v>3039</v>
      </c>
      <c r="H799" t="s">
        <v>3168</v>
      </c>
      <c r="I799" t="s">
        <v>3169</v>
      </c>
      <c r="J799" t="s">
        <v>3042</v>
      </c>
      <c r="K799" s="2" t="str">
        <f>HYPERLINK("http://collections.slsa.sa.gov.au/resource/PRG+1662/2/54/1")</f>
        <v>http://collections.slsa.sa.gov.au/resource/PRG+1662/2/54/1</v>
      </c>
    </row>
    <row r="800" spans="1:11" x14ac:dyDescent="0.25">
      <c r="A800" t="s">
        <v>3170</v>
      </c>
      <c r="B800" s="1" t="str">
        <f>HYPERLINK("https://www.catalog.slsa.sa.gov.au/record=b3182955")</f>
        <v>https://www.catalog.slsa.sa.gov.au/record=b3182955</v>
      </c>
      <c r="C800" s="1" t="str">
        <f>HYPERLINK("https://www.catalog.slsa.sa.gov.au/xrecord=b3182955")</f>
        <v>https://www.catalog.slsa.sa.gov.au/xrecord=b3182955</v>
      </c>
      <c r="D800" t="s">
        <v>3036</v>
      </c>
      <c r="E800" t="s">
        <v>3171</v>
      </c>
      <c r="F800" t="s">
        <v>3167</v>
      </c>
      <c r="G800" t="s">
        <v>3039</v>
      </c>
      <c r="H800" t="s">
        <v>3172</v>
      </c>
      <c r="I800" t="s">
        <v>3173</v>
      </c>
      <c r="J800" t="s">
        <v>3042</v>
      </c>
      <c r="K800" s="2" t="str">
        <f>HYPERLINK("http://collections.slsa.sa.gov.au/resource/PRG+1662/2/54/10")</f>
        <v>http://collections.slsa.sa.gov.au/resource/PRG+1662/2/54/10</v>
      </c>
    </row>
    <row r="801" spans="1:11" x14ac:dyDescent="0.25">
      <c r="A801" t="s">
        <v>3174</v>
      </c>
      <c r="B801" s="1" t="str">
        <f>HYPERLINK("https://www.catalog.slsa.sa.gov.au/record=b3182956")</f>
        <v>https://www.catalog.slsa.sa.gov.au/record=b3182956</v>
      </c>
      <c r="C801" s="1" t="str">
        <f>HYPERLINK("https://www.catalog.slsa.sa.gov.au/xrecord=b3182956")</f>
        <v>https://www.catalog.slsa.sa.gov.au/xrecord=b3182956</v>
      </c>
      <c r="D801" t="s">
        <v>3036</v>
      </c>
      <c r="E801" t="s">
        <v>3171</v>
      </c>
      <c r="F801" t="s">
        <v>3167</v>
      </c>
      <c r="G801" t="s">
        <v>3039</v>
      </c>
      <c r="H801" t="s">
        <v>3172</v>
      </c>
      <c r="I801" t="s">
        <v>3173</v>
      </c>
      <c r="J801" t="s">
        <v>3042</v>
      </c>
      <c r="K801" s="2" t="str">
        <f>HYPERLINK("http://collections.slsa.sa.gov.au/resource/PRG+1662/2/54/11")</f>
        <v>http://collections.slsa.sa.gov.au/resource/PRG+1662/2/54/11</v>
      </c>
    </row>
    <row r="802" spans="1:11" x14ac:dyDescent="0.25">
      <c r="A802" t="s">
        <v>3175</v>
      </c>
      <c r="B802" s="1" t="str">
        <f>HYPERLINK("https://www.catalog.slsa.sa.gov.au/record=b3182957")</f>
        <v>https://www.catalog.slsa.sa.gov.au/record=b3182957</v>
      </c>
      <c r="C802" s="1" t="str">
        <f>HYPERLINK("https://www.catalog.slsa.sa.gov.au/xrecord=b3182957")</f>
        <v>https://www.catalog.slsa.sa.gov.au/xrecord=b3182957</v>
      </c>
      <c r="D802" t="s">
        <v>3036</v>
      </c>
      <c r="E802" t="s">
        <v>3171</v>
      </c>
      <c r="F802" t="s">
        <v>3167</v>
      </c>
      <c r="G802" t="s">
        <v>3039</v>
      </c>
      <c r="H802" t="s">
        <v>3172</v>
      </c>
      <c r="I802" t="s">
        <v>3173</v>
      </c>
      <c r="J802" t="s">
        <v>3042</v>
      </c>
      <c r="K802" s="2" t="str">
        <f>HYPERLINK("http://collections.slsa.sa.gov.au/resource/PRG+1662/2/54/12")</f>
        <v>http://collections.slsa.sa.gov.au/resource/PRG+1662/2/54/12</v>
      </c>
    </row>
    <row r="803" spans="1:11" x14ac:dyDescent="0.25">
      <c r="A803" t="s">
        <v>3176</v>
      </c>
      <c r="B803" s="1" t="str">
        <f>HYPERLINK("https://www.catalog.slsa.sa.gov.au/record=b3182959")</f>
        <v>https://www.catalog.slsa.sa.gov.au/record=b3182959</v>
      </c>
      <c r="C803" s="1" t="str">
        <f>HYPERLINK("https://www.catalog.slsa.sa.gov.au/xrecord=b3182959")</f>
        <v>https://www.catalog.slsa.sa.gov.au/xrecord=b3182959</v>
      </c>
      <c r="D803" t="s">
        <v>3036</v>
      </c>
      <c r="E803" t="s">
        <v>3171</v>
      </c>
      <c r="F803" t="s">
        <v>3167</v>
      </c>
      <c r="G803" t="s">
        <v>3039</v>
      </c>
      <c r="H803" t="s">
        <v>3172</v>
      </c>
      <c r="I803" t="s">
        <v>3173</v>
      </c>
      <c r="J803" t="s">
        <v>3042</v>
      </c>
      <c r="K803" s="2" t="str">
        <f>HYPERLINK("http://collections.slsa.sa.gov.au/resource/PRG+1662/2/54/13")</f>
        <v>http://collections.slsa.sa.gov.au/resource/PRG+1662/2/54/13</v>
      </c>
    </row>
    <row r="804" spans="1:11" x14ac:dyDescent="0.25">
      <c r="A804" t="s">
        <v>3177</v>
      </c>
      <c r="B804" s="1" t="str">
        <f>HYPERLINK("https://www.catalog.slsa.sa.gov.au/record=b3182960")</f>
        <v>https://www.catalog.slsa.sa.gov.au/record=b3182960</v>
      </c>
      <c r="C804" s="1" t="str">
        <f>HYPERLINK("https://www.catalog.slsa.sa.gov.au/xrecord=b3182960")</f>
        <v>https://www.catalog.slsa.sa.gov.au/xrecord=b3182960</v>
      </c>
      <c r="D804" t="s">
        <v>3036</v>
      </c>
      <c r="E804" t="s">
        <v>3171</v>
      </c>
      <c r="F804" t="s">
        <v>3167</v>
      </c>
      <c r="G804" t="s">
        <v>3039</v>
      </c>
      <c r="H804" t="s">
        <v>3172</v>
      </c>
      <c r="I804" t="s">
        <v>3173</v>
      </c>
      <c r="J804" t="s">
        <v>3042</v>
      </c>
      <c r="K804" s="2" t="str">
        <f>HYPERLINK("http://collections.slsa.sa.gov.au/resource/PRG+1662/2/54/14")</f>
        <v>http://collections.slsa.sa.gov.au/resource/PRG+1662/2/54/14</v>
      </c>
    </row>
    <row r="805" spans="1:11" x14ac:dyDescent="0.25">
      <c r="A805" t="s">
        <v>3178</v>
      </c>
      <c r="B805" s="1" t="str">
        <f>HYPERLINK("https://www.catalog.slsa.sa.gov.au/record=b3182961")</f>
        <v>https://www.catalog.slsa.sa.gov.au/record=b3182961</v>
      </c>
      <c r="C805" s="1" t="str">
        <f>HYPERLINK("https://www.catalog.slsa.sa.gov.au/xrecord=b3182961")</f>
        <v>https://www.catalog.slsa.sa.gov.au/xrecord=b3182961</v>
      </c>
      <c r="D805" t="s">
        <v>3036</v>
      </c>
      <c r="E805" t="s">
        <v>3179</v>
      </c>
      <c r="F805" t="s">
        <v>3167</v>
      </c>
      <c r="G805" t="s">
        <v>3039</v>
      </c>
      <c r="H805" t="s">
        <v>3180</v>
      </c>
      <c r="I805" t="s">
        <v>3181</v>
      </c>
      <c r="J805" t="s">
        <v>3042</v>
      </c>
      <c r="K805" s="2" t="str">
        <f>HYPERLINK("http://collections.slsa.sa.gov.au/resource/PRG+1662/2/54/15")</f>
        <v>http://collections.slsa.sa.gov.au/resource/PRG+1662/2/54/15</v>
      </c>
    </row>
    <row r="806" spans="1:11" x14ac:dyDescent="0.25">
      <c r="A806" t="s">
        <v>3182</v>
      </c>
      <c r="B806" s="1" t="str">
        <f>HYPERLINK("https://www.catalog.slsa.sa.gov.au/record=b3182962")</f>
        <v>https://www.catalog.slsa.sa.gov.au/record=b3182962</v>
      </c>
      <c r="C806" s="1" t="str">
        <f>HYPERLINK("https://www.catalog.slsa.sa.gov.au/xrecord=b3182962")</f>
        <v>https://www.catalog.slsa.sa.gov.au/xrecord=b3182962</v>
      </c>
      <c r="D806" t="s">
        <v>3036</v>
      </c>
      <c r="E806" t="s">
        <v>3179</v>
      </c>
      <c r="F806" t="s">
        <v>3167</v>
      </c>
      <c r="G806" t="s">
        <v>3039</v>
      </c>
      <c r="H806" t="s">
        <v>3180</v>
      </c>
      <c r="I806" t="s">
        <v>3181</v>
      </c>
      <c r="J806" t="s">
        <v>3042</v>
      </c>
      <c r="K806" s="2" t="str">
        <f>HYPERLINK("http://collections.slsa.sa.gov.au/resource/PRG+1662/2/54/16")</f>
        <v>http://collections.slsa.sa.gov.au/resource/PRG+1662/2/54/16</v>
      </c>
    </row>
    <row r="807" spans="1:11" x14ac:dyDescent="0.25">
      <c r="A807" t="s">
        <v>3183</v>
      </c>
      <c r="B807" s="1" t="str">
        <f>HYPERLINK("https://www.catalog.slsa.sa.gov.au/record=b3182963")</f>
        <v>https://www.catalog.slsa.sa.gov.au/record=b3182963</v>
      </c>
      <c r="C807" s="1" t="str">
        <f>HYPERLINK("https://www.catalog.slsa.sa.gov.au/xrecord=b3182963")</f>
        <v>https://www.catalog.slsa.sa.gov.au/xrecord=b3182963</v>
      </c>
      <c r="D807" t="s">
        <v>3036</v>
      </c>
      <c r="E807" t="s">
        <v>3179</v>
      </c>
      <c r="F807" t="s">
        <v>3167</v>
      </c>
      <c r="G807" t="s">
        <v>3039</v>
      </c>
      <c r="H807" t="s">
        <v>3180</v>
      </c>
      <c r="I807" t="s">
        <v>3181</v>
      </c>
      <c r="J807" t="s">
        <v>3042</v>
      </c>
      <c r="K807" s="2" t="str">
        <f>HYPERLINK("http://collections.slsa.sa.gov.au/resource/PRG+1662/2/54/17")</f>
        <v>http://collections.slsa.sa.gov.au/resource/PRG+1662/2/54/17</v>
      </c>
    </row>
    <row r="808" spans="1:11" x14ac:dyDescent="0.25">
      <c r="A808" t="s">
        <v>3184</v>
      </c>
      <c r="B808" s="1" t="str">
        <f>HYPERLINK("https://www.catalog.slsa.sa.gov.au/record=b3182964")</f>
        <v>https://www.catalog.slsa.sa.gov.au/record=b3182964</v>
      </c>
      <c r="C808" s="1" t="str">
        <f>HYPERLINK("https://www.catalog.slsa.sa.gov.au/xrecord=b3182964")</f>
        <v>https://www.catalog.slsa.sa.gov.au/xrecord=b3182964</v>
      </c>
      <c r="D808" t="s">
        <v>3036</v>
      </c>
      <c r="E808" t="s">
        <v>3179</v>
      </c>
      <c r="F808" t="s">
        <v>3167</v>
      </c>
      <c r="G808" t="s">
        <v>3039</v>
      </c>
      <c r="H808" t="s">
        <v>3180</v>
      </c>
      <c r="I808" t="s">
        <v>3181</v>
      </c>
      <c r="J808" t="s">
        <v>3042</v>
      </c>
      <c r="K808" s="2" t="str">
        <f>HYPERLINK("http://collections.slsa.sa.gov.au/resource/PRG+1662/2/54/18")</f>
        <v>http://collections.slsa.sa.gov.au/resource/PRG+1662/2/54/18</v>
      </c>
    </row>
    <row r="809" spans="1:11" x14ac:dyDescent="0.25">
      <c r="A809" t="s">
        <v>3185</v>
      </c>
      <c r="B809" s="1" t="str">
        <f>HYPERLINK("https://www.catalog.slsa.sa.gov.au/record=b3182965")</f>
        <v>https://www.catalog.slsa.sa.gov.au/record=b3182965</v>
      </c>
      <c r="C809" s="1" t="str">
        <f>HYPERLINK("https://www.catalog.slsa.sa.gov.au/xrecord=b3182965")</f>
        <v>https://www.catalog.slsa.sa.gov.au/xrecord=b3182965</v>
      </c>
      <c r="D809" t="s">
        <v>3036</v>
      </c>
      <c r="E809" t="s">
        <v>3179</v>
      </c>
      <c r="F809" t="s">
        <v>3167</v>
      </c>
      <c r="G809" t="s">
        <v>3039</v>
      </c>
      <c r="H809" t="s">
        <v>3180</v>
      </c>
      <c r="I809" t="s">
        <v>3181</v>
      </c>
      <c r="J809" t="s">
        <v>3042</v>
      </c>
      <c r="K809" s="2" t="str">
        <f>HYPERLINK("http://collections.slsa.sa.gov.au/resource/PRG+1662/2/54/19")</f>
        <v>http://collections.slsa.sa.gov.au/resource/PRG+1662/2/54/19</v>
      </c>
    </row>
    <row r="810" spans="1:11" x14ac:dyDescent="0.25">
      <c r="A810" t="s">
        <v>3186</v>
      </c>
      <c r="B810" s="1" t="str">
        <f>HYPERLINK("https://www.catalog.slsa.sa.gov.au/record=b3182917")</f>
        <v>https://www.catalog.slsa.sa.gov.au/record=b3182917</v>
      </c>
      <c r="C810" s="1" t="str">
        <f>HYPERLINK("https://www.catalog.slsa.sa.gov.au/xrecord=b3182917")</f>
        <v>https://www.catalog.slsa.sa.gov.au/xrecord=b3182917</v>
      </c>
      <c r="D810" t="s">
        <v>3036</v>
      </c>
      <c r="E810" t="s">
        <v>3166</v>
      </c>
      <c r="F810" t="s">
        <v>3167</v>
      </c>
      <c r="G810" t="s">
        <v>3039</v>
      </c>
      <c r="H810" t="s">
        <v>3168</v>
      </c>
      <c r="I810" t="s">
        <v>3169</v>
      </c>
      <c r="J810" t="s">
        <v>3042</v>
      </c>
      <c r="K810" s="2" t="str">
        <f>HYPERLINK("http://collections.slsa.sa.gov.au/resource/PRG+1662/2/54/2")</f>
        <v>http://collections.slsa.sa.gov.au/resource/PRG+1662/2/54/2</v>
      </c>
    </row>
    <row r="811" spans="1:11" x14ac:dyDescent="0.25">
      <c r="A811" t="s">
        <v>3187</v>
      </c>
      <c r="B811" s="1" t="str">
        <f>HYPERLINK("https://www.catalog.slsa.sa.gov.au/record=b3182966")</f>
        <v>https://www.catalog.slsa.sa.gov.au/record=b3182966</v>
      </c>
      <c r="C811" s="1" t="str">
        <f>HYPERLINK("https://www.catalog.slsa.sa.gov.au/xrecord=b3182966")</f>
        <v>https://www.catalog.slsa.sa.gov.au/xrecord=b3182966</v>
      </c>
      <c r="D811" t="s">
        <v>3036</v>
      </c>
      <c r="E811" t="s">
        <v>3179</v>
      </c>
      <c r="F811" t="s">
        <v>3167</v>
      </c>
      <c r="G811" t="s">
        <v>3039</v>
      </c>
      <c r="H811" t="s">
        <v>3180</v>
      </c>
      <c r="I811" t="s">
        <v>3181</v>
      </c>
      <c r="J811" t="s">
        <v>3042</v>
      </c>
      <c r="K811" s="2" t="str">
        <f>HYPERLINK("http://collections.slsa.sa.gov.au/resource/PRG+1662/2/54/20")</f>
        <v>http://collections.slsa.sa.gov.au/resource/PRG+1662/2/54/20</v>
      </c>
    </row>
    <row r="812" spans="1:11" x14ac:dyDescent="0.25">
      <c r="A812" t="s">
        <v>3188</v>
      </c>
      <c r="B812" s="1" t="str">
        <f>HYPERLINK("https://www.catalog.slsa.sa.gov.au/record=b3182967")</f>
        <v>https://www.catalog.slsa.sa.gov.au/record=b3182967</v>
      </c>
      <c r="C812" s="1" t="str">
        <f>HYPERLINK("https://www.catalog.slsa.sa.gov.au/xrecord=b3182967")</f>
        <v>https://www.catalog.slsa.sa.gov.au/xrecord=b3182967</v>
      </c>
      <c r="D812" t="s">
        <v>3036</v>
      </c>
      <c r="E812" t="s">
        <v>3179</v>
      </c>
      <c r="F812" t="s">
        <v>3167</v>
      </c>
      <c r="G812" t="s">
        <v>3039</v>
      </c>
      <c r="H812" t="s">
        <v>3180</v>
      </c>
      <c r="I812" t="s">
        <v>3181</v>
      </c>
      <c r="J812" t="s">
        <v>3042</v>
      </c>
      <c r="K812" s="2" t="str">
        <f>HYPERLINK("http://collections.slsa.sa.gov.au/resource/PRG+1662/2/54/21")</f>
        <v>http://collections.slsa.sa.gov.au/resource/PRG+1662/2/54/21</v>
      </c>
    </row>
    <row r="813" spans="1:11" x14ac:dyDescent="0.25">
      <c r="A813" t="s">
        <v>3189</v>
      </c>
      <c r="B813" s="1" t="str">
        <f>HYPERLINK("https://www.catalog.slsa.sa.gov.au/record=b3182968")</f>
        <v>https://www.catalog.slsa.sa.gov.au/record=b3182968</v>
      </c>
      <c r="C813" s="1" t="str">
        <f>HYPERLINK("https://www.catalog.slsa.sa.gov.au/xrecord=b3182968")</f>
        <v>https://www.catalog.slsa.sa.gov.au/xrecord=b3182968</v>
      </c>
      <c r="D813" t="s">
        <v>3036</v>
      </c>
      <c r="E813" t="s">
        <v>3190</v>
      </c>
      <c r="F813" t="s">
        <v>3167</v>
      </c>
      <c r="G813" t="s">
        <v>3039</v>
      </c>
      <c r="H813" t="s">
        <v>3191</v>
      </c>
      <c r="I813" t="s">
        <v>3192</v>
      </c>
      <c r="J813" t="s">
        <v>3042</v>
      </c>
      <c r="K813" s="2" t="str">
        <f>HYPERLINK("http://collections.slsa.sa.gov.au/resource/PRG+1662/2/54/22")</f>
        <v>http://collections.slsa.sa.gov.au/resource/PRG+1662/2/54/22</v>
      </c>
    </row>
    <row r="814" spans="1:11" x14ac:dyDescent="0.25">
      <c r="A814" t="s">
        <v>3193</v>
      </c>
      <c r="B814" s="1" t="str">
        <f>HYPERLINK("https://www.catalog.slsa.sa.gov.au/record=b3182969")</f>
        <v>https://www.catalog.slsa.sa.gov.au/record=b3182969</v>
      </c>
      <c r="C814" s="1" t="str">
        <f>HYPERLINK("https://www.catalog.slsa.sa.gov.au/xrecord=b3182969")</f>
        <v>https://www.catalog.slsa.sa.gov.au/xrecord=b3182969</v>
      </c>
      <c r="D814" t="s">
        <v>3036</v>
      </c>
      <c r="E814" t="s">
        <v>3190</v>
      </c>
      <c r="F814" t="s">
        <v>3167</v>
      </c>
      <c r="G814" t="s">
        <v>3039</v>
      </c>
      <c r="H814" t="s">
        <v>3191</v>
      </c>
      <c r="I814" t="s">
        <v>3192</v>
      </c>
      <c r="J814" t="s">
        <v>3042</v>
      </c>
      <c r="K814" s="2" t="str">
        <f>HYPERLINK("http://collections.slsa.sa.gov.au/resource/PRG+1662/2/54/23")</f>
        <v>http://collections.slsa.sa.gov.au/resource/PRG+1662/2/54/23</v>
      </c>
    </row>
    <row r="815" spans="1:11" x14ac:dyDescent="0.25">
      <c r="A815" t="s">
        <v>3194</v>
      </c>
      <c r="B815" s="1" t="str">
        <f>HYPERLINK("https://www.catalog.slsa.sa.gov.au/record=b3182918")</f>
        <v>https://www.catalog.slsa.sa.gov.au/record=b3182918</v>
      </c>
      <c r="C815" s="1" t="str">
        <f>HYPERLINK("https://www.catalog.slsa.sa.gov.au/xrecord=b3182918")</f>
        <v>https://www.catalog.slsa.sa.gov.au/xrecord=b3182918</v>
      </c>
      <c r="D815" t="s">
        <v>3036</v>
      </c>
      <c r="E815" t="s">
        <v>3166</v>
      </c>
      <c r="F815" t="s">
        <v>3167</v>
      </c>
      <c r="G815" t="s">
        <v>3039</v>
      </c>
      <c r="H815" t="s">
        <v>3168</v>
      </c>
      <c r="I815" t="s">
        <v>3169</v>
      </c>
      <c r="J815" t="s">
        <v>3042</v>
      </c>
      <c r="K815" s="2" t="str">
        <f>HYPERLINK("http://collections.slsa.sa.gov.au/resource/PRG+1662/2/54/3")</f>
        <v>http://collections.slsa.sa.gov.au/resource/PRG+1662/2/54/3</v>
      </c>
    </row>
    <row r="816" spans="1:11" x14ac:dyDescent="0.25">
      <c r="A816" t="s">
        <v>3195</v>
      </c>
      <c r="B816" s="1" t="str">
        <f>HYPERLINK("https://www.catalog.slsa.sa.gov.au/record=b3182919")</f>
        <v>https://www.catalog.slsa.sa.gov.au/record=b3182919</v>
      </c>
      <c r="C816" s="1" t="str">
        <f>HYPERLINK("https://www.catalog.slsa.sa.gov.au/xrecord=b3182919")</f>
        <v>https://www.catalog.slsa.sa.gov.au/xrecord=b3182919</v>
      </c>
      <c r="D816" t="s">
        <v>3036</v>
      </c>
      <c r="E816" t="s">
        <v>3166</v>
      </c>
      <c r="F816" t="s">
        <v>3167</v>
      </c>
      <c r="G816" t="s">
        <v>3039</v>
      </c>
      <c r="H816" t="s">
        <v>3168</v>
      </c>
      <c r="I816" t="s">
        <v>3169</v>
      </c>
      <c r="J816" t="s">
        <v>3042</v>
      </c>
      <c r="K816" s="2" t="str">
        <f>HYPERLINK("http://collections.slsa.sa.gov.au/resource/PRG+1662/2/54/4")</f>
        <v>http://collections.slsa.sa.gov.au/resource/PRG+1662/2/54/4</v>
      </c>
    </row>
    <row r="817" spans="1:11" x14ac:dyDescent="0.25">
      <c r="A817" t="s">
        <v>3196</v>
      </c>
      <c r="B817" s="1" t="str">
        <f>HYPERLINK("https://www.catalog.slsa.sa.gov.au/record=b3182920")</f>
        <v>https://www.catalog.slsa.sa.gov.au/record=b3182920</v>
      </c>
      <c r="C817" s="1" t="str">
        <f>HYPERLINK("https://www.catalog.slsa.sa.gov.au/xrecord=b3182920")</f>
        <v>https://www.catalog.slsa.sa.gov.au/xrecord=b3182920</v>
      </c>
      <c r="D817" t="s">
        <v>3036</v>
      </c>
      <c r="E817" t="s">
        <v>3166</v>
      </c>
      <c r="F817" t="s">
        <v>3167</v>
      </c>
      <c r="G817" t="s">
        <v>3039</v>
      </c>
      <c r="H817" t="s">
        <v>3168</v>
      </c>
      <c r="I817" t="s">
        <v>3169</v>
      </c>
      <c r="J817" t="s">
        <v>3042</v>
      </c>
      <c r="K817" s="2" t="str">
        <f>HYPERLINK("http://collections.slsa.sa.gov.au/resource/PRG+1662/2/54/5")</f>
        <v>http://collections.slsa.sa.gov.au/resource/PRG+1662/2/54/5</v>
      </c>
    </row>
    <row r="818" spans="1:11" x14ac:dyDescent="0.25">
      <c r="A818" t="s">
        <v>3197</v>
      </c>
      <c r="B818" s="1" t="str">
        <f>HYPERLINK("https://www.catalog.slsa.sa.gov.au/record=b3182951")</f>
        <v>https://www.catalog.slsa.sa.gov.au/record=b3182951</v>
      </c>
      <c r="C818" s="1" t="str">
        <f>HYPERLINK("https://www.catalog.slsa.sa.gov.au/xrecord=b3182951")</f>
        <v>https://www.catalog.slsa.sa.gov.au/xrecord=b3182951</v>
      </c>
      <c r="D818" t="s">
        <v>3036</v>
      </c>
      <c r="E818" t="s">
        <v>3166</v>
      </c>
      <c r="F818" t="s">
        <v>3167</v>
      </c>
      <c r="G818" t="s">
        <v>3039</v>
      </c>
      <c r="H818" t="s">
        <v>3168</v>
      </c>
      <c r="I818" t="s">
        <v>3169</v>
      </c>
      <c r="J818" t="s">
        <v>3042</v>
      </c>
      <c r="K818" s="2" t="str">
        <f>HYPERLINK("http://collections.slsa.sa.gov.au/resource/PRG+1662/2/54/6")</f>
        <v>http://collections.slsa.sa.gov.au/resource/PRG+1662/2/54/6</v>
      </c>
    </row>
    <row r="819" spans="1:11" x14ac:dyDescent="0.25">
      <c r="A819" t="s">
        <v>3198</v>
      </c>
      <c r="B819" s="1" t="str">
        <f>HYPERLINK("https://www.catalog.slsa.sa.gov.au/record=b3182952")</f>
        <v>https://www.catalog.slsa.sa.gov.au/record=b3182952</v>
      </c>
      <c r="C819" s="1" t="str">
        <f>HYPERLINK("https://www.catalog.slsa.sa.gov.au/xrecord=b3182952")</f>
        <v>https://www.catalog.slsa.sa.gov.au/xrecord=b3182952</v>
      </c>
      <c r="D819" t="s">
        <v>3036</v>
      </c>
      <c r="E819" t="s">
        <v>3166</v>
      </c>
      <c r="F819" t="s">
        <v>3167</v>
      </c>
      <c r="G819" t="s">
        <v>3039</v>
      </c>
      <c r="H819" t="s">
        <v>3168</v>
      </c>
      <c r="I819" t="s">
        <v>3169</v>
      </c>
      <c r="J819" t="s">
        <v>3042</v>
      </c>
      <c r="K819" s="2" t="str">
        <f>HYPERLINK("http://collections.slsa.sa.gov.au/resource/PRG+1662/2/54/7")</f>
        <v>http://collections.slsa.sa.gov.au/resource/PRG+1662/2/54/7</v>
      </c>
    </row>
    <row r="820" spans="1:11" x14ac:dyDescent="0.25">
      <c r="A820" t="s">
        <v>3199</v>
      </c>
      <c r="B820" s="1" t="str">
        <f>HYPERLINK("https://www.catalog.slsa.sa.gov.au/record=b3182953")</f>
        <v>https://www.catalog.slsa.sa.gov.au/record=b3182953</v>
      </c>
      <c r="C820" s="1" t="str">
        <f>HYPERLINK("https://www.catalog.slsa.sa.gov.au/xrecord=b3182953")</f>
        <v>https://www.catalog.slsa.sa.gov.au/xrecord=b3182953</v>
      </c>
      <c r="D820" t="s">
        <v>3036</v>
      </c>
      <c r="E820" t="s">
        <v>3171</v>
      </c>
      <c r="F820" t="s">
        <v>3167</v>
      </c>
      <c r="G820" t="s">
        <v>3039</v>
      </c>
      <c r="H820" t="s">
        <v>3172</v>
      </c>
      <c r="I820" t="s">
        <v>3173</v>
      </c>
      <c r="J820" t="s">
        <v>3042</v>
      </c>
      <c r="K820" s="2" t="str">
        <f>HYPERLINK("http://collections.slsa.sa.gov.au/resource/PRG+1662/2/54/8")</f>
        <v>http://collections.slsa.sa.gov.au/resource/PRG+1662/2/54/8</v>
      </c>
    </row>
    <row r="821" spans="1:11" x14ac:dyDescent="0.25">
      <c r="A821" t="s">
        <v>3200</v>
      </c>
      <c r="B821" s="1" t="str">
        <f>HYPERLINK("https://www.catalog.slsa.sa.gov.au/record=b3182954")</f>
        <v>https://www.catalog.slsa.sa.gov.au/record=b3182954</v>
      </c>
      <c r="C821" s="1" t="str">
        <f>HYPERLINK("https://www.catalog.slsa.sa.gov.au/xrecord=b3182954")</f>
        <v>https://www.catalog.slsa.sa.gov.au/xrecord=b3182954</v>
      </c>
      <c r="D821" t="s">
        <v>3036</v>
      </c>
      <c r="E821" t="s">
        <v>3171</v>
      </c>
      <c r="F821" t="s">
        <v>3167</v>
      </c>
      <c r="G821" t="s">
        <v>3039</v>
      </c>
      <c r="H821" t="s">
        <v>3172</v>
      </c>
      <c r="I821" t="s">
        <v>3173</v>
      </c>
      <c r="J821" t="s">
        <v>3042</v>
      </c>
      <c r="K821" s="2" t="str">
        <f>HYPERLINK("http://collections.slsa.sa.gov.au/resource/PRG+1662/2/54/9")</f>
        <v>http://collections.slsa.sa.gov.au/resource/PRG+1662/2/54/9</v>
      </c>
    </row>
    <row r="822" spans="1:11" x14ac:dyDescent="0.25">
      <c r="A822" t="s">
        <v>3201</v>
      </c>
      <c r="B822" s="1" t="str">
        <f>HYPERLINK("https://www.catalog.slsa.sa.gov.au/record=b3026856")</f>
        <v>https://www.catalog.slsa.sa.gov.au/record=b3026856</v>
      </c>
      <c r="C822" s="1" t="str">
        <f>HYPERLINK("https://www.catalog.slsa.sa.gov.au/xrecord=b3026856")</f>
        <v>https://www.catalog.slsa.sa.gov.au/xrecord=b3026856</v>
      </c>
      <c r="D822" t="s">
        <v>3036</v>
      </c>
      <c r="E822" t="s">
        <v>3202</v>
      </c>
      <c r="F822" t="s">
        <v>3203</v>
      </c>
      <c r="G822" t="s">
        <v>3039</v>
      </c>
      <c r="H822" t="s">
        <v>3204</v>
      </c>
      <c r="I822" t="s">
        <v>3205</v>
      </c>
      <c r="J822" t="s">
        <v>3042</v>
      </c>
      <c r="K822" s="2" t="str">
        <f>HYPERLINK("http://collections.slsa.sa.gov.au/resource/PRG+1662/1/5/17")</f>
        <v>http://collections.slsa.sa.gov.au/resource/PRG+1662/1/5/17</v>
      </c>
    </row>
    <row r="823" spans="1:11" x14ac:dyDescent="0.25">
      <c r="A823" t="s">
        <v>3206</v>
      </c>
      <c r="B823" s="1" t="str">
        <f>HYPERLINK("https://www.catalog.slsa.sa.gov.au/record=b3026857")</f>
        <v>https://www.catalog.slsa.sa.gov.au/record=b3026857</v>
      </c>
      <c r="C823" s="1" t="str">
        <f>HYPERLINK("https://www.catalog.slsa.sa.gov.au/xrecord=b3026857")</f>
        <v>https://www.catalog.slsa.sa.gov.au/xrecord=b3026857</v>
      </c>
      <c r="D823" t="s">
        <v>3036</v>
      </c>
      <c r="E823" t="s">
        <v>3202</v>
      </c>
      <c r="F823" t="s">
        <v>3203</v>
      </c>
      <c r="G823" t="s">
        <v>3039</v>
      </c>
      <c r="H823" t="s">
        <v>3204</v>
      </c>
      <c r="I823" t="s">
        <v>3205</v>
      </c>
      <c r="J823" t="s">
        <v>3042</v>
      </c>
      <c r="K823" s="2" t="str">
        <f>HYPERLINK("http://collections.slsa.sa.gov.au/resource/PRG+1662/1/5/22")</f>
        <v>http://collections.slsa.sa.gov.au/resource/PRG+1662/1/5/22</v>
      </c>
    </row>
    <row r="824" spans="1:11" x14ac:dyDescent="0.25">
      <c r="A824" t="s">
        <v>3207</v>
      </c>
      <c r="B824" s="1" t="str">
        <f>HYPERLINK("https://www.catalog.slsa.sa.gov.au/record=b3026859")</f>
        <v>https://www.catalog.slsa.sa.gov.au/record=b3026859</v>
      </c>
      <c r="C824" s="1" t="str">
        <f>HYPERLINK("https://www.catalog.slsa.sa.gov.au/xrecord=b3026859")</f>
        <v>https://www.catalog.slsa.sa.gov.au/xrecord=b3026859</v>
      </c>
      <c r="D824" t="s">
        <v>3036</v>
      </c>
      <c r="E824" t="s">
        <v>3202</v>
      </c>
      <c r="F824" t="s">
        <v>3203</v>
      </c>
      <c r="G824" t="s">
        <v>3039</v>
      </c>
      <c r="H824" t="s">
        <v>3204</v>
      </c>
      <c r="I824" t="s">
        <v>3208</v>
      </c>
      <c r="J824" t="s">
        <v>3042</v>
      </c>
      <c r="K824" s="2" t="str">
        <f>HYPERLINK("http://collections.slsa.sa.gov.au/resource/PRG+1662/1/5/23")</f>
        <v>http://collections.slsa.sa.gov.au/resource/PRG+1662/1/5/23</v>
      </c>
    </row>
    <row r="825" spans="1:11" x14ac:dyDescent="0.25">
      <c r="A825" t="s">
        <v>3209</v>
      </c>
      <c r="B825" s="1" t="str">
        <f>HYPERLINK("https://www.catalog.slsa.sa.gov.au/record=b3026860")</f>
        <v>https://www.catalog.slsa.sa.gov.au/record=b3026860</v>
      </c>
      <c r="C825" s="1" t="str">
        <f>HYPERLINK("https://www.catalog.slsa.sa.gov.au/xrecord=b3026860")</f>
        <v>https://www.catalog.slsa.sa.gov.au/xrecord=b3026860</v>
      </c>
      <c r="D825" t="s">
        <v>3036</v>
      </c>
      <c r="E825" t="s">
        <v>3202</v>
      </c>
      <c r="F825" t="s">
        <v>3203</v>
      </c>
      <c r="G825" t="s">
        <v>3039</v>
      </c>
      <c r="H825" t="s">
        <v>3204</v>
      </c>
      <c r="I825" t="s">
        <v>3208</v>
      </c>
      <c r="J825" t="s">
        <v>3042</v>
      </c>
      <c r="K825" s="2" t="str">
        <f>HYPERLINK("http://collections.slsa.sa.gov.au/resource/PRG+1662/1/5/24")</f>
        <v>http://collections.slsa.sa.gov.au/resource/PRG+1662/1/5/24</v>
      </c>
    </row>
    <row r="826" spans="1:11" x14ac:dyDescent="0.25">
      <c r="A826" t="s">
        <v>3210</v>
      </c>
      <c r="B826" s="1" t="str">
        <f>HYPERLINK("https://www.catalog.slsa.sa.gov.au/record=b3026855")</f>
        <v>https://www.catalog.slsa.sa.gov.au/record=b3026855</v>
      </c>
      <c r="C826" s="1" t="str">
        <f>HYPERLINK("https://www.catalog.slsa.sa.gov.au/xrecord=b3026855")</f>
        <v>https://www.catalog.slsa.sa.gov.au/xrecord=b3026855</v>
      </c>
      <c r="D826" t="s">
        <v>3036</v>
      </c>
      <c r="E826" t="s">
        <v>3202</v>
      </c>
      <c r="F826" t="s">
        <v>3203</v>
      </c>
      <c r="G826" t="s">
        <v>3039</v>
      </c>
      <c r="H826" t="s">
        <v>3204</v>
      </c>
      <c r="I826" t="s">
        <v>3205</v>
      </c>
      <c r="J826" t="s">
        <v>3042</v>
      </c>
      <c r="K826" s="2" t="str">
        <f>HYPERLINK("http://collections.slsa.sa.gov.au/resource/PRG+1662/1/5/3")</f>
        <v>http://collections.slsa.sa.gov.au/resource/PRG+1662/1/5/3</v>
      </c>
    </row>
    <row r="827" spans="1:11" x14ac:dyDescent="0.25">
      <c r="A827" t="s">
        <v>3211</v>
      </c>
      <c r="B827" s="1" t="str">
        <f>HYPERLINK("https://www.catalog.slsa.sa.gov.au/record=b3026875")</f>
        <v>https://www.catalog.slsa.sa.gov.au/record=b3026875</v>
      </c>
      <c r="C827" s="1" t="str">
        <f>HYPERLINK("https://www.catalog.slsa.sa.gov.au/xrecord=b3026875")</f>
        <v>https://www.catalog.slsa.sa.gov.au/xrecord=b3026875</v>
      </c>
      <c r="D827" t="s">
        <v>3036</v>
      </c>
      <c r="E827" t="s">
        <v>3212</v>
      </c>
      <c r="F827" t="s">
        <v>3213</v>
      </c>
      <c r="G827" t="s">
        <v>3039</v>
      </c>
      <c r="H827" t="s">
        <v>3214</v>
      </c>
      <c r="I827" t="s">
        <v>3215</v>
      </c>
      <c r="J827" t="s">
        <v>3042</v>
      </c>
      <c r="K827" s="2" t="str">
        <f>HYPERLINK("http://collections.slsa.sa.gov.au/resource/PRG+1662/1/6/12")</f>
        <v>http://collections.slsa.sa.gov.au/resource/PRG+1662/1/6/12</v>
      </c>
    </row>
    <row r="828" spans="1:11" x14ac:dyDescent="0.25">
      <c r="A828" t="s">
        <v>3216</v>
      </c>
      <c r="B828" s="1" t="str">
        <f>HYPERLINK("https://www.catalog.slsa.sa.gov.au/record=b3026878")</f>
        <v>https://www.catalog.slsa.sa.gov.au/record=b3026878</v>
      </c>
      <c r="C828" s="1" t="str">
        <f>HYPERLINK("https://www.catalog.slsa.sa.gov.au/xrecord=b3026878")</f>
        <v>https://www.catalog.slsa.sa.gov.au/xrecord=b3026878</v>
      </c>
      <c r="D828" t="s">
        <v>3036</v>
      </c>
      <c r="E828" t="s">
        <v>3212</v>
      </c>
      <c r="F828" t="s">
        <v>3213</v>
      </c>
      <c r="G828" t="s">
        <v>3039</v>
      </c>
      <c r="H828" t="s">
        <v>3214</v>
      </c>
      <c r="I828" t="s">
        <v>3215</v>
      </c>
      <c r="J828" t="s">
        <v>3042</v>
      </c>
      <c r="K828" s="2" t="str">
        <f>HYPERLINK("http://collections.slsa.sa.gov.au/resource/PRG+1662/1/6/13")</f>
        <v>http://collections.slsa.sa.gov.au/resource/PRG+1662/1/6/13</v>
      </c>
    </row>
    <row r="829" spans="1:11" x14ac:dyDescent="0.25">
      <c r="A829" t="s">
        <v>3217</v>
      </c>
      <c r="B829" s="1" t="str">
        <f>HYPERLINK("https://www.catalog.slsa.sa.gov.au/record=b3026880")</f>
        <v>https://www.catalog.slsa.sa.gov.au/record=b3026880</v>
      </c>
      <c r="C829" s="1" t="str">
        <f>HYPERLINK("https://www.catalog.slsa.sa.gov.au/xrecord=b3026880")</f>
        <v>https://www.catalog.slsa.sa.gov.au/xrecord=b3026880</v>
      </c>
      <c r="D829" t="s">
        <v>3036</v>
      </c>
      <c r="E829" t="s">
        <v>3212</v>
      </c>
      <c r="F829" t="s">
        <v>3213</v>
      </c>
      <c r="G829" t="s">
        <v>3039</v>
      </c>
      <c r="H829" t="s">
        <v>3214</v>
      </c>
      <c r="I829" t="s">
        <v>3215</v>
      </c>
      <c r="J829" t="s">
        <v>3042</v>
      </c>
      <c r="K829" s="2" t="str">
        <f>HYPERLINK("http://collections.slsa.sa.gov.au/resource/PRG+1662/1/6/18")</f>
        <v>http://collections.slsa.sa.gov.au/resource/PRG+1662/1/6/18</v>
      </c>
    </row>
    <row r="830" spans="1:11" x14ac:dyDescent="0.25">
      <c r="A830" t="s">
        <v>3218</v>
      </c>
      <c r="B830" s="1" t="str">
        <f>HYPERLINK("https://www.catalog.slsa.sa.gov.au/record=b3026881")</f>
        <v>https://www.catalog.slsa.sa.gov.au/record=b3026881</v>
      </c>
      <c r="C830" s="1" t="str">
        <f>HYPERLINK("https://www.catalog.slsa.sa.gov.au/xrecord=b3026881")</f>
        <v>https://www.catalog.slsa.sa.gov.au/xrecord=b3026881</v>
      </c>
      <c r="D830" t="s">
        <v>3036</v>
      </c>
      <c r="E830" t="s">
        <v>3212</v>
      </c>
      <c r="F830" t="s">
        <v>3213</v>
      </c>
      <c r="G830" t="s">
        <v>3039</v>
      </c>
      <c r="H830" t="s">
        <v>3214</v>
      </c>
      <c r="I830" t="s">
        <v>3215</v>
      </c>
      <c r="J830" t="s">
        <v>3042</v>
      </c>
      <c r="K830" s="2" t="str">
        <f>HYPERLINK("http://collections.slsa.sa.gov.au/resource/PRG+1662/1/6/31")</f>
        <v>http://collections.slsa.sa.gov.au/resource/PRG+1662/1/6/31</v>
      </c>
    </row>
    <row r="831" spans="1:11" x14ac:dyDescent="0.25">
      <c r="A831" t="s">
        <v>3219</v>
      </c>
      <c r="B831" s="1" t="str">
        <f>HYPERLINK("https://www.catalog.slsa.sa.gov.au/record=b3026872")</f>
        <v>https://www.catalog.slsa.sa.gov.au/record=b3026872</v>
      </c>
      <c r="C831" s="1" t="str">
        <f>HYPERLINK("https://www.catalog.slsa.sa.gov.au/xrecord=b3026872")</f>
        <v>https://www.catalog.slsa.sa.gov.au/xrecord=b3026872</v>
      </c>
      <c r="D831" t="s">
        <v>3036</v>
      </c>
      <c r="E831" t="s">
        <v>3212</v>
      </c>
      <c r="F831" t="s">
        <v>3213</v>
      </c>
      <c r="G831" t="s">
        <v>3039</v>
      </c>
      <c r="H831" t="s">
        <v>3214</v>
      </c>
      <c r="I831" t="s">
        <v>3220</v>
      </c>
      <c r="J831" t="s">
        <v>3042</v>
      </c>
      <c r="K831" s="2" t="str">
        <f>HYPERLINK("http://collections.slsa.sa.gov.au/resource/PRG+1662/1/6/8")</f>
        <v>http://collections.slsa.sa.gov.au/resource/PRG+1662/1/6/8</v>
      </c>
    </row>
    <row r="832" spans="1:11" x14ac:dyDescent="0.25">
      <c r="A832" t="s">
        <v>3221</v>
      </c>
      <c r="B832" s="1" t="str">
        <f>HYPERLINK("https://www.catalog.slsa.sa.gov.au/record=b2959436")</f>
        <v>https://www.catalog.slsa.sa.gov.au/record=b2959436</v>
      </c>
      <c r="C832" s="1" t="str">
        <f>HYPERLINK("https://www.catalog.slsa.sa.gov.au/xrecord=b2959436")</f>
        <v>https://www.catalog.slsa.sa.gov.au/xrecord=b2959436</v>
      </c>
      <c r="D832" t="s">
        <v>2534</v>
      </c>
      <c r="E832" t="s">
        <v>3222</v>
      </c>
      <c r="F832" t="s">
        <v>3223</v>
      </c>
      <c r="G832" t="s">
        <v>3224</v>
      </c>
      <c r="H832" t="s">
        <v>3225</v>
      </c>
      <c r="I832" t="s">
        <v>3025</v>
      </c>
      <c r="J832" t="s">
        <v>2539</v>
      </c>
      <c r="K832" s="2" t="str">
        <f>HYPERLINK("http://collections.slsa.sa.gov.au/resource/PRG+1631/77/10")</f>
        <v>http://collections.slsa.sa.gov.au/resource/PRG+1631/77/10</v>
      </c>
    </row>
    <row r="833" spans="1:11" x14ac:dyDescent="0.25">
      <c r="A833" t="s">
        <v>3226</v>
      </c>
      <c r="B833" s="1" t="str">
        <f>HYPERLINK("https://www.catalog.slsa.sa.gov.au/record=b3112896")</f>
        <v>https://www.catalog.slsa.sa.gov.au/record=b3112896</v>
      </c>
      <c r="C833" s="1" t="str">
        <f>HYPERLINK("https://www.catalog.slsa.sa.gov.au/xrecord=b3112896")</f>
        <v>https://www.catalog.slsa.sa.gov.au/xrecord=b3112896</v>
      </c>
      <c r="D833" t="s">
        <v>3036</v>
      </c>
      <c r="E833" t="s">
        <v>3227</v>
      </c>
      <c r="F833" t="s">
        <v>3228</v>
      </c>
      <c r="G833" t="s">
        <v>3039</v>
      </c>
      <c r="H833" t="s">
        <v>3229</v>
      </c>
      <c r="I833" t="s">
        <v>3230</v>
      </c>
      <c r="J833" t="s">
        <v>3042</v>
      </c>
      <c r="K833" s="2" t="str">
        <f>HYPERLINK("http://collections.slsa.sa.gov.au/resource/PRG+1662/1/22/17")</f>
        <v>http://collections.slsa.sa.gov.au/resource/PRG+1662/1/22/17</v>
      </c>
    </row>
    <row r="834" spans="1:11" x14ac:dyDescent="0.25">
      <c r="A834" t="s">
        <v>3231</v>
      </c>
      <c r="B834" s="1" t="str">
        <f>HYPERLINK("https://www.catalog.slsa.sa.gov.au/record=b3112897")</f>
        <v>https://www.catalog.slsa.sa.gov.au/record=b3112897</v>
      </c>
      <c r="C834" s="1" t="str">
        <f>HYPERLINK("https://www.catalog.slsa.sa.gov.au/xrecord=b3112897")</f>
        <v>https://www.catalog.slsa.sa.gov.au/xrecord=b3112897</v>
      </c>
      <c r="D834" t="s">
        <v>3036</v>
      </c>
      <c r="E834" t="s">
        <v>3227</v>
      </c>
      <c r="F834" t="s">
        <v>3228</v>
      </c>
      <c r="G834" t="s">
        <v>3039</v>
      </c>
      <c r="H834" t="s">
        <v>3229</v>
      </c>
      <c r="I834" t="s">
        <v>3232</v>
      </c>
      <c r="J834" t="s">
        <v>3042</v>
      </c>
      <c r="K834" s="2" t="str">
        <f>HYPERLINK("http://collections.slsa.sa.gov.au/resource/PRG+1662/1/22/22")</f>
        <v>http://collections.slsa.sa.gov.au/resource/PRG+1662/1/22/22</v>
      </c>
    </row>
    <row r="835" spans="1:11" x14ac:dyDescent="0.25">
      <c r="A835" t="s">
        <v>3233</v>
      </c>
      <c r="B835" s="1" t="str">
        <f>HYPERLINK("https://www.catalog.slsa.sa.gov.au/record=b3112898")</f>
        <v>https://www.catalog.slsa.sa.gov.au/record=b3112898</v>
      </c>
      <c r="C835" s="1" t="str">
        <f>HYPERLINK("https://www.catalog.slsa.sa.gov.au/xrecord=b3112898")</f>
        <v>https://www.catalog.slsa.sa.gov.au/xrecord=b3112898</v>
      </c>
      <c r="D835" t="s">
        <v>3036</v>
      </c>
      <c r="E835" t="s">
        <v>3227</v>
      </c>
      <c r="F835" t="s">
        <v>3228</v>
      </c>
      <c r="G835" t="s">
        <v>3039</v>
      </c>
      <c r="H835" t="s">
        <v>3229</v>
      </c>
      <c r="I835" t="s">
        <v>3234</v>
      </c>
      <c r="J835" t="s">
        <v>3042</v>
      </c>
      <c r="K835" s="2" t="str">
        <f>HYPERLINK("http://collections.slsa.sa.gov.au/resource/PRG+1662/1/22/24")</f>
        <v>http://collections.slsa.sa.gov.au/resource/PRG+1662/1/22/24</v>
      </c>
    </row>
    <row r="836" spans="1:11" x14ac:dyDescent="0.25">
      <c r="A836" t="s">
        <v>3235</v>
      </c>
      <c r="B836" s="1" t="str">
        <f>HYPERLINK("https://www.catalog.slsa.sa.gov.au/record=b3112899")</f>
        <v>https://www.catalog.slsa.sa.gov.au/record=b3112899</v>
      </c>
      <c r="C836" s="1" t="str">
        <f>HYPERLINK("https://www.catalog.slsa.sa.gov.au/xrecord=b3112899")</f>
        <v>https://www.catalog.slsa.sa.gov.au/xrecord=b3112899</v>
      </c>
      <c r="D836" t="s">
        <v>3036</v>
      </c>
      <c r="E836" t="s">
        <v>3227</v>
      </c>
      <c r="F836" t="s">
        <v>3228</v>
      </c>
      <c r="G836" t="s">
        <v>3039</v>
      </c>
      <c r="H836" t="s">
        <v>3229</v>
      </c>
      <c r="I836" t="s">
        <v>3236</v>
      </c>
      <c r="J836" t="s">
        <v>3042</v>
      </c>
      <c r="K836" s="2" t="str">
        <f>HYPERLINK("http://collections.slsa.sa.gov.au/resource/PRG+1662/1/22/35")</f>
        <v>http://collections.slsa.sa.gov.au/resource/PRG+1662/1/22/35</v>
      </c>
    </row>
    <row r="837" spans="1:11" x14ac:dyDescent="0.25">
      <c r="A837" t="s">
        <v>3237</v>
      </c>
      <c r="B837" s="1" t="str">
        <f>HYPERLINK("https://www.catalog.slsa.sa.gov.au/record=b3112895")</f>
        <v>https://www.catalog.slsa.sa.gov.au/record=b3112895</v>
      </c>
      <c r="C837" s="1" t="str">
        <f>HYPERLINK("https://www.catalog.slsa.sa.gov.au/xrecord=b3112895")</f>
        <v>https://www.catalog.slsa.sa.gov.au/xrecord=b3112895</v>
      </c>
      <c r="D837" t="s">
        <v>3036</v>
      </c>
      <c r="E837" t="s">
        <v>3227</v>
      </c>
      <c r="F837" t="s">
        <v>3228</v>
      </c>
      <c r="G837" t="s">
        <v>3039</v>
      </c>
      <c r="H837" t="s">
        <v>3229</v>
      </c>
      <c r="I837" t="s">
        <v>3230</v>
      </c>
      <c r="J837" t="s">
        <v>3042</v>
      </c>
      <c r="K837" s="2" t="str">
        <f>HYPERLINK("http://collections.slsa.sa.gov.au/resource/PRG+1662/1/22/8")</f>
        <v>http://collections.slsa.sa.gov.au/resource/PRG+1662/1/22/8</v>
      </c>
    </row>
    <row r="838" spans="1:11" x14ac:dyDescent="0.25">
      <c r="A838" t="s">
        <v>3238</v>
      </c>
      <c r="B838" s="1" t="str">
        <f>HYPERLINK("https://www.catalog.slsa.sa.gov.au/record=b3112886")</f>
        <v>https://www.catalog.slsa.sa.gov.au/record=b3112886</v>
      </c>
      <c r="C838" s="1" t="str">
        <f>HYPERLINK("https://www.catalog.slsa.sa.gov.au/xrecord=b3112886")</f>
        <v>https://www.catalog.slsa.sa.gov.au/xrecord=b3112886</v>
      </c>
      <c r="D838" t="s">
        <v>3036</v>
      </c>
      <c r="E838" t="s">
        <v>3227</v>
      </c>
      <c r="F838" t="s">
        <v>3239</v>
      </c>
      <c r="G838" t="s">
        <v>3039</v>
      </c>
      <c r="H838" t="s">
        <v>3240</v>
      </c>
      <c r="I838" t="s">
        <v>3230</v>
      </c>
      <c r="J838" t="s">
        <v>3042</v>
      </c>
      <c r="K838" s="2" t="str">
        <f>HYPERLINK("http://collections.slsa.sa.gov.au/resource/PRG+1662/1/21/12")</f>
        <v>http://collections.slsa.sa.gov.au/resource/PRG+1662/1/21/12</v>
      </c>
    </row>
    <row r="839" spans="1:11" x14ac:dyDescent="0.25">
      <c r="A839" t="s">
        <v>3241</v>
      </c>
      <c r="B839" s="1" t="str">
        <f>HYPERLINK("https://www.catalog.slsa.sa.gov.au/record=b3112884")</f>
        <v>https://www.catalog.slsa.sa.gov.au/record=b3112884</v>
      </c>
      <c r="C839" s="1" t="str">
        <f>HYPERLINK("https://www.catalog.slsa.sa.gov.au/xrecord=b3112884")</f>
        <v>https://www.catalog.slsa.sa.gov.au/xrecord=b3112884</v>
      </c>
      <c r="D839" t="s">
        <v>3036</v>
      </c>
      <c r="E839" t="s">
        <v>3227</v>
      </c>
      <c r="F839" t="s">
        <v>3239</v>
      </c>
      <c r="G839" t="s">
        <v>3039</v>
      </c>
      <c r="H839" t="s">
        <v>3240</v>
      </c>
      <c r="I839" t="s">
        <v>3230</v>
      </c>
      <c r="J839" t="s">
        <v>3042</v>
      </c>
      <c r="K839" s="2" t="str">
        <f>HYPERLINK("http://collections.slsa.sa.gov.au/resource/PRG+1662/1/21/2")</f>
        <v>http://collections.slsa.sa.gov.au/resource/PRG+1662/1/21/2</v>
      </c>
    </row>
    <row r="840" spans="1:11" x14ac:dyDescent="0.25">
      <c r="A840" t="s">
        <v>3242</v>
      </c>
      <c r="B840" s="1" t="str">
        <f>HYPERLINK("https://www.catalog.slsa.sa.gov.au/record=b3112887")</f>
        <v>https://www.catalog.slsa.sa.gov.au/record=b3112887</v>
      </c>
      <c r="C840" s="1" t="str">
        <f>HYPERLINK("https://www.catalog.slsa.sa.gov.au/xrecord=b3112887")</f>
        <v>https://www.catalog.slsa.sa.gov.au/xrecord=b3112887</v>
      </c>
      <c r="D840" t="s">
        <v>3036</v>
      </c>
      <c r="E840" t="s">
        <v>3227</v>
      </c>
      <c r="F840" t="s">
        <v>3239</v>
      </c>
      <c r="G840" t="s">
        <v>3039</v>
      </c>
      <c r="H840" t="s">
        <v>3240</v>
      </c>
      <c r="I840" t="s">
        <v>3243</v>
      </c>
      <c r="J840" t="s">
        <v>3042</v>
      </c>
      <c r="K840" s="2" t="str">
        <f>HYPERLINK("http://collections.slsa.sa.gov.au/resource/PRG+1662/1/21/35")</f>
        <v>http://collections.slsa.sa.gov.au/resource/PRG+1662/1/21/35</v>
      </c>
    </row>
    <row r="841" spans="1:11" x14ac:dyDescent="0.25">
      <c r="A841" t="s">
        <v>3244</v>
      </c>
      <c r="B841" s="1" t="str">
        <f>HYPERLINK("https://www.catalog.slsa.sa.gov.au/record=b3112885")</f>
        <v>https://www.catalog.slsa.sa.gov.au/record=b3112885</v>
      </c>
      <c r="C841" s="1" t="str">
        <f>HYPERLINK("https://www.catalog.slsa.sa.gov.au/xrecord=b3112885")</f>
        <v>https://www.catalog.slsa.sa.gov.au/xrecord=b3112885</v>
      </c>
      <c r="D841" t="s">
        <v>3036</v>
      </c>
      <c r="E841" t="s">
        <v>3227</v>
      </c>
      <c r="F841" t="s">
        <v>3239</v>
      </c>
      <c r="G841" t="s">
        <v>3039</v>
      </c>
      <c r="H841" t="s">
        <v>3240</v>
      </c>
      <c r="I841" t="s">
        <v>3230</v>
      </c>
      <c r="J841" t="s">
        <v>3042</v>
      </c>
      <c r="K841" s="2" t="str">
        <f>HYPERLINK("http://collections.slsa.sa.gov.au/resource/PRG+1662/1/21/5")</f>
        <v>http://collections.slsa.sa.gov.au/resource/PRG+1662/1/21/5</v>
      </c>
    </row>
    <row r="842" spans="1:11" x14ac:dyDescent="0.25">
      <c r="A842" t="s">
        <v>3245</v>
      </c>
      <c r="B842" s="1" t="str">
        <f>HYPERLINK("https://www.catalog.slsa.sa.gov.au/record=b3112831")</f>
        <v>https://www.catalog.slsa.sa.gov.au/record=b3112831</v>
      </c>
      <c r="C842" s="1" t="str">
        <f>HYPERLINK("https://www.catalog.slsa.sa.gov.au/xrecord=b3112831")</f>
        <v>https://www.catalog.slsa.sa.gov.au/xrecord=b3112831</v>
      </c>
      <c r="D842" t="s">
        <v>3036</v>
      </c>
      <c r="E842" t="s">
        <v>3246</v>
      </c>
      <c r="F842" t="s">
        <v>3247</v>
      </c>
      <c r="G842" t="s">
        <v>3039</v>
      </c>
      <c r="H842" t="s">
        <v>3248</v>
      </c>
      <c r="I842" t="s">
        <v>3249</v>
      </c>
      <c r="J842" t="s">
        <v>3042</v>
      </c>
      <c r="K842" s="2" t="str">
        <f>HYPERLINK("http://collections.slsa.sa.gov.au/resource/PRG+1662/1/19/15")</f>
        <v>http://collections.slsa.sa.gov.au/resource/PRG+1662/1/19/15</v>
      </c>
    </row>
    <row r="843" spans="1:11" x14ac:dyDescent="0.25">
      <c r="A843" t="s">
        <v>3250</v>
      </c>
      <c r="B843" s="1" t="str">
        <f>HYPERLINK("https://www.catalog.slsa.sa.gov.au/record=b3112833")</f>
        <v>https://www.catalog.slsa.sa.gov.au/record=b3112833</v>
      </c>
      <c r="C843" s="1" t="str">
        <f>HYPERLINK("https://www.catalog.slsa.sa.gov.au/xrecord=b3112833")</f>
        <v>https://www.catalog.slsa.sa.gov.au/xrecord=b3112833</v>
      </c>
      <c r="D843" t="s">
        <v>3036</v>
      </c>
      <c r="E843" t="s">
        <v>3246</v>
      </c>
      <c r="F843" t="s">
        <v>3247</v>
      </c>
      <c r="G843" t="s">
        <v>3039</v>
      </c>
      <c r="H843" t="s">
        <v>3248</v>
      </c>
      <c r="I843" t="s">
        <v>3251</v>
      </c>
      <c r="J843" t="s">
        <v>3042</v>
      </c>
      <c r="K843" s="2" t="str">
        <f>HYPERLINK("http://collections.slsa.sa.gov.au/resource/PRG+1662/1/19/17")</f>
        <v>http://collections.slsa.sa.gov.au/resource/PRG+1662/1/19/17</v>
      </c>
    </row>
    <row r="844" spans="1:11" x14ac:dyDescent="0.25">
      <c r="A844" t="s">
        <v>3252</v>
      </c>
      <c r="B844" s="1" t="str">
        <f>HYPERLINK("https://www.catalog.slsa.sa.gov.au/record=b3085077")</f>
        <v>https://www.catalog.slsa.sa.gov.au/record=b3085077</v>
      </c>
      <c r="C844" s="1" t="str">
        <f>HYPERLINK("https://www.catalog.slsa.sa.gov.au/xrecord=b3085077")</f>
        <v>https://www.catalog.slsa.sa.gov.au/xrecord=b3085077</v>
      </c>
      <c r="D844" t="s">
        <v>3036</v>
      </c>
      <c r="E844" t="s">
        <v>3246</v>
      </c>
      <c r="F844" t="s">
        <v>3247</v>
      </c>
      <c r="G844" t="s">
        <v>3039</v>
      </c>
      <c r="H844" t="s">
        <v>3248</v>
      </c>
      <c r="I844" t="s">
        <v>3253</v>
      </c>
      <c r="J844" t="s">
        <v>3042</v>
      </c>
      <c r="K844" s="2" t="str">
        <f>HYPERLINK("http://collections.slsa.sa.gov.au/resource/PRG+1662/1/19/3")</f>
        <v>http://collections.slsa.sa.gov.au/resource/PRG+1662/1/19/3</v>
      </c>
    </row>
    <row r="845" spans="1:11" x14ac:dyDescent="0.25">
      <c r="A845" t="s">
        <v>3254</v>
      </c>
      <c r="B845" s="1" t="str">
        <f>HYPERLINK("https://www.catalog.slsa.sa.gov.au/record=b3112834")</f>
        <v>https://www.catalog.slsa.sa.gov.au/record=b3112834</v>
      </c>
      <c r="C845" s="1" t="str">
        <f>HYPERLINK("https://www.catalog.slsa.sa.gov.au/xrecord=b3112834")</f>
        <v>https://www.catalog.slsa.sa.gov.au/xrecord=b3112834</v>
      </c>
      <c r="D845" t="s">
        <v>3036</v>
      </c>
      <c r="E845" t="s">
        <v>3246</v>
      </c>
      <c r="F845" t="s">
        <v>3247</v>
      </c>
      <c r="G845" t="s">
        <v>3039</v>
      </c>
      <c r="H845" t="s">
        <v>3248</v>
      </c>
      <c r="I845" t="s">
        <v>3251</v>
      </c>
      <c r="J845" t="s">
        <v>3042</v>
      </c>
      <c r="K845" s="2" t="str">
        <f>HYPERLINK("http://collections.slsa.sa.gov.au/resource/PRG+1662/1/19/30")</f>
        <v>http://collections.slsa.sa.gov.au/resource/PRG+1662/1/19/30</v>
      </c>
    </row>
    <row r="846" spans="1:11" x14ac:dyDescent="0.25">
      <c r="A846" t="s">
        <v>3255</v>
      </c>
      <c r="B846" s="1" t="str">
        <f>HYPERLINK("https://www.catalog.slsa.sa.gov.au/record=b3112851")</f>
        <v>https://www.catalog.slsa.sa.gov.au/record=b3112851</v>
      </c>
      <c r="C846" s="1" t="str">
        <f>HYPERLINK("https://www.catalog.slsa.sa.gov.au/xrecord=b3112851")</f>
        <v>https://www.catalog.slsa.sa.gov.au/xrecord=b3112851</v>
      </c>
      <c r="D846" t="s">
        <v>3036</v>
      </c>
      <c r="E846" t="s">
        <v>3246</v>
      </c>
      <c r="F846" t="s">
        <v>3247</v>
      </c>
      <c r="G846" t="s">
        <v>3039</v>
      </c>
      <c r="H846" t="s">
        <v>3248</v>
      </c>
      <c r="I846" t="s">
        <v>3256</v>
      </c>
      <c r="J846" t="s">
        <v>3042</v>
      </c>
      <c r="K846" s="2" t="str">
        <f>HYPERLINK("http://collections.slsa.sa.gov.au/resource/PRG+1662/1/19/33")</f>
        <v>http://collections.slsa.sa.gov.au/resource/PRG+1662/1/19/33</v>
      </c>
    </row>
    <row r="847" spans="1:11" x14ac:dyDescent="0.25">
      <c r="A847" t="s">
        <v>3257</v>
      </c>
      <c r="B847" s="1" t="str">
        <f>HYPERLINK("https://www.catalog.slsa.sa.gov.au/record=b3112853")</f>
        <v>https://www.catalog.slsa.sa.gov.au/record=b3112853</v>
      </c>
      <c r="C847" s="1" t="str">
        <f>HYPERLINK("https://www.catalog.slsa.sa.gov.au/xrecord=b3112853")</f>
        <v>https://www.catalog.slsa.sa.gov.au/xrecord=b3112853</v>
      </c>
      <c r="D847" t="s">
        <v>3036</v>
      </c>
      <c r="E847" t="s">
        <v>3246</v>
      </c>
      <c r="F847" t="s">
        <v>3247</v>
      </c>
      <c r="G847" t="s">
        <v>3039</v>
      </c>
      <c r="H847" t="s">
        <v>3248</v>
      </c>
      <c r="I847" t="s">
        <v>3258</v>
      </c>
      <c r="J847" t="s">
        <v>3042</v>
      </c>
      <c r="K847" s="2" t="str">
        <f>HYPERLINK("http://collections.slsa.sa.gov.au/resource/PRG+1662/1/19/35")</f>
        <v>http://collections.slsa.sa.gov.au/resource/PRG+1662/1/19/35</v>
      </c>
    </row>
    <row r="848" spans="1:11" x14ac:dyDescent="0.25">
      <c r="A848" t="s">
        <v>3259</v>
      </c>
      <c r="B848" s="1" t="str">
        <f>HYPERLINK("https://www.catalog.slsa.sa.gov.au/record=b3112829")</f>
        <v>https://www.catalog.slsa.sa.gov.au/record=b3112829</v>
      </c>
      <c r="C848" s="1" t="str">
        <f>HYPERLINK("https://www.catalog.slsa.sa.gov.au/xrecord=b3112829")</f>
        <v>https://www.catalog.slsa.sa.gov.au/xrecord=b3112829</v>
      </c>
      <c r="D848" t="s">
        <v>3036</v>
      </c>
      <c r="E848" t="s">
        <v>3246</v>
      </c>
      <c r="F848" t="s">
        <v>3247</v>
      </c>
      <c r="G848" t="s">
        <v>3039</v>
      </c>
      <c r="H848" t="s">
        <v>3248</v>
      </c>
      <c r="I848" t="s">
        <v>3260</v>
      </c>
      <c r="J848" t="s">
        <v>3042</v>
      </c>
      <c r="K848" s="2" t="str">
        <f>HYPERLINK("http://collections.slsa.sa.gov.au/resource/PRG+1662/1/19/6")</f>
        <v>http://collections.slsa.sa.gov.au/resource/PRG+1662/1/19/6</v>
      </c>
    </row>
    <row r="849" spans="1:11" x14ac:dyDescent="0.25">
      <c r="A849" t="s">
        <v>3261</v>
      </c>
      <c r="B849" s="1" t="str">
        <f>HYPERLINK("https://www.catalog.slsa.sa.gov.au/record=b3112830")</f>
        <v>https://www.catalog.slsa.sa.gov.au/record=b3112830</v>
      </c>
      <c r="C849" s="1" t="str">
        <f>HYPERLINK("https://www.catalog.slsa.sa.gov.au/xrecord=b3112830")</f>
        <v>https://www.catalog.slsa.sa.gov.au/xrecord=b3112830</v>
      </c>
      <c r="D849" t="s">
        <v>3036</v>
      </c>
      <c r="E849" t="s">
        <v>3246</v>
      </c>
      <c r="F849" t="s">
        <v>3247</v>
      </c>
      <c r="G849" t="s">
        <v>3039</v>
      </c>
      <c r="H849" t="s">
        <v>3248</v>
      </c>
      <c r="I849" t="s">
        <v>3260</v>
      </c>
      <c r="J849" t="s">
        <v>3042</v>
      </c>
      <c r="K849" s="2" t="str">
        <f>HYPERLINK("http://collections.slsa.sa.gov.au/resource/PRG+1662/1/19/8")</f>
        <v>http://collections.slsa.sa.gov.au/resource/PRG+1662/1/19/8</v>
      </c>
    </row>
    <row r="850" spans="1:11" x14ac:dyDescent="0.25">
      <c r="A850" t="s">
        <v>3262</v>
      </c>
      <c r="B850" s="1" t="str">
        <f>HYPERLINK("https://www.catalog.slsa.sa.gov.au/record=b3112873")</f>
        <v>https://www.catalog.slsa.sa.gov.au/record=b3112873</v>
      </c>
      <c r="C850" s="1" t="str">
        <f>HYPERLINK("https://www.catalog.slsa.sa.gov.au/xrecord=b3112873")</f>
        <v>https://www.catalog.slsa.sa.gov.au/xrecord=b3112873</v>
      </c>
      <c r="D850" t="s">
        <v>3036</v>
      </c>
      <c r="E850" t="s">
        <v>3263</v>
      </c>
      <c r="F850" t="s">
        <v>3247</v>
      </c>
      <c r="G850" t="s">
        <v>3039</v>
      </c>
      <c r="H850" t="s">
        <v>3264</v>
      </c>
      <c r="I850" t="s">
        <v>3265</v>
      </c>
      <c r="J850" t="s">
        <v>3042</v>
      </c>
      <c r="K850" s="2" t="str">
        <f>HYPERLINK("http://collections.slsa.sa.gov.au/resource/PRG+1662/1/20/1")</f>
        <v>http://collections.slsa.sa.gov.au/resource/PRG+1662/1/20/1</v>
      </c>
    </row>
    <row r="851" spans="1:11" x14ac:dyDescent="0.25">
      <c r="A851" t="s">
        <v>3266</v>
      </c>
      <c r="B851" s="1" t="str">
        <f>HYPERLINK("https://www.catalog.slsa.sa.gov.au/record=b3112880")</f>
        <v>https://www.catalog.slsa.sa.gov.au/record=b3112880</v>
      </c>
      <c r="C851" s="1" t="str">
        <f>HYPERLINK("https://www.catalog.slsa.sa.gov.au/xrecord=b3112880")</f>
        <v>https://www.catalog.slsa.sa.gov.au/xrecord=b3112880</v>
      </c>
      <c r="D851" t="s">
        <v>3036</v>
      </c>
      <c r="E851" t="s">
        <v>3263</v>
      </c>
      <c r="F851" t="s">
        <v>3247</v>
      </c>
      <c r="G851" t="s">
        <v>3039</v>
      </c>
      <c r="H851" t="s">
        <v>3264</v>
      </c>
      <c r="I851" t="s">
        <v>3267</v>
      </c>
      <c r="J851" t="s">
        <v>3042</v>
      </c>
      <c r="K851" s="2" t="str">
        <f>HYPERLINK("http://collections.slsa.sa.gov.au/resource/PRG+1662/1/20/12")</f>
        <v>http://collections.slsa.sa.gov.au/resource/PRG+1662/1/20/12</v>
      </c>
    </row>
    <row r="852" spans="1:11" x14ac:dyDescent="0.25">
      <c r="A852" t="s">
        <v>3268</v>
      </c>
      <c r="B852" s="1" t="str">
        <f>HYPERLINK("https://www.catalog.slsa.sa.gov.au/record=b3112876")</f>
        <v>https://www.catalog.slsa.sa.gov.au/record=b3112876</v>
      </c>
      <c r="C852" s="1" t="str">
        <f>HYPERLINK("https://www.catalog.slsa.sa.gov.au/xrecord=b3112876")</f>
        <v>https://www.catalog.slsa.sa.gov.au/xrecord=b3112876</v>
      </c>
      <c r="D852" t="s">
        <v>3036</v>
      </c>
      <c r="E852" t="s">
        <v>3263</v>
      </c>
      <c r="F852" t="s">
        <v>3247</v>
      </c>
      <c r="G852" t="s">
        <v>3039</v>
      </c>
      <c r="H852" t="s">
        <v>3264</v>
      </c>
      <c r="I852" t="s">
        <v>3265</v>
      </c>
      <c r="J852" t="s">
        <v>3042</v>
      </c>
      <c r="K852" s="2" t="str">
        <f>HYPERLINK("http://collections.slsa.sa.gov.au/resource/PRG+1662/1/20/3")</f>
        <v>http://collections.slsa.sa.gov.au/resource/PRG+1662/1/20/3</v>
      </c>
    </row>
    <row r="853" spans="1:11" x14ac:dyDescent="0.25">
      <c r="A853" t="s">
        <v>3269</v>
      </c>
      <c r="B853" s="1" t="str">
        <f>HYPERLINK("https://www.catalog.slsa.sa.gov.au/record=b3112877")</f>
        <v>https://www.catalog.slsa.sa.gov.au/record=b3112877</v>
      </c>
      <c r="C853" s="1" t="str">
        <f>HYPERLINK("https://www.catalog.slsa.sa.gov.au/xrecord=b3112877")</f>
        <v>https://www.catalog.slsa.sa.gov.au/xrecord=b3112877</v>
      </c>
      <c r="D853" t="s">
        <v>3036</v>
      </c>
      <c r="E853" t="s">
        <v>3263</v>
      </c>
      <c r="F853" t="s">
        <v>3247</v>
      </c>
      <c r="G853" t="s">
        <v>3039</v>
      </c>
      <c r="H853" t="s">
        <v>3264</v>
      </c>
      <c r="I853" t="s">
        <v>3265</v>
      </c>
      <c r="J853" t="s">
        <v>3042</v>
      </c>
      <c r="K853" s="2" t="str">
        <f>HYPERLINK("http://collections.slsa.sa.gov.au/resource/PRG+1662/1/20/5")</f>
        <v>http://collections.slsa.sa.gov.au/resource/PRG+1662/1/20/5</v>
      </c>
    </row>
    <row r="854" spans="1:11" x14ac:dyDescent="0.25">
      <c r="A854" t="s">
        <v>3270</v>
      </c>
      <c r="B854" s="1" t="str">
        <f>HYPERLINK("https://www.catalog.slsa.sa.gov.au/record=b3112878")</f>
        <v>https://www.catalog.slsa.sa.gov.au/record=b3112878</v>
      </c>
      <c r="C854" s="1" t="str">
        <f>HYPERLINK("https://www.catalog.slsa.sa.gov.au/xrecord=b3112878")</f>
        <v>https://www.catalog.slsa.sa.gov.au/xrecord=b3112878</v>
      </c>
      <c r="D854" t="s">
        <v>3036</v>
      </c>
      <c r="E854" t="s">
        <v>3263</v>
      </c>
      <c r="F854" t="s">
        <v>3247</v>
      </c>
      <c r="G854" t="s">
        <v>3039</v>
      </c>
      <c r="H854" t="s">
        <v>3264</v>
      </c>
      <c r="I854" t="s">
        <v>3265</v>
      </c>
      <c r="J854" t="s">
        <v>3042</v>
      </c>
      <c r="K854" s="2" t="str">
        <f>HYPERLINK("http://collections.slsa.sa.gov.au/resource/PRG+1662/1/20/6")</f>
        <v>http://collections.slsa.sa.gov.au/resource/PRG+1662/1/20/6</v>
      </c>
    </row>
    <row r="855" spans="1:11" x14ac:dyDescent="0.25">
      <c r="A855" t="s">
        <v>3271</v>
      </c>
      <c r="B855" s="1" t="str">
        <f>HYPERLINK("https://www.catalog.slsa.sa.gov.au/record=b3112879")</f>
        <v>https://www.catalog.slsa.sa.gov.au/record=b3112879</v>
      </c>
      <c r="C855" s="1" t="str">
        <f>HYPERLINK("https://www.catalog.slsa.sa.gov.au/xrecord=b3112879")</f>
        <v>https://www.catalog.slsa.sa.gov.au/xrecord=b3112879</v>
      </c>
      <c r="D855" t="s">
        <v>3036</v>
      </c>
      <c r="E855" t="s">
        <v>3263</v>
      </c>
      <c r="F855" t="s">
        <v>3247</v>
      </c>
      <c r="G855" t="s">
        <v>3039</v>
      </c>
      <c r="H855" t="s">
        <v>3264</v>
      </c>
      <c r="I855" t="s">
        <v>3265</v>
      </c>
      <c r="J855" t="s">
        <v>3042</v>
      </c>
      <c r="K855" s="2" t="str">
        <f>HYPERLINK("http://collections.slsa.sa.gov.au/resource/PRG+1662/1/20/8")</f>
        <v>http://collections.slsa.sa.gov.au/resource/PRG+1662/1/20/8</v>
      </c>
    </row>
    <row r="856" spans="1:11" x14ac:dyDescent="0.25">
      <c r="A856" t="s">
        <v>3272</v>
      </c>
      <c r="B856" s="1" t="str">
        <f>HYPERLINK("https://www.catalog.slsa.sa.gov.au/record=b3026738")</f>
        <v>https://www.catalog.slsa.sa.gov.au/record=b3026738</v>
      </c>
      <c r="C856" s="1" t="str">
        <f>HYPERLINK("https://www.catalog.slsa.sa.gov.au/xrecord=b3026738")</f>
        <v>https://www.catalog.slsa.sa.gov.au/xrecord=b3026738</v>
      </c>
      <c r="D856" t="s">
        <v>3036</v>
      </c>
      <c r="E856" t="s">
        <v>3273</v>
      </c>
      <c r="F856" t="s">
        <v>3274</v>
      </c>
      <c r="G856" t="s">
        <v>3039</v>
      </c>
      <c r="H856" t="s">
        <v>3275</v>
      </c>
      <c r="I856" t="s">
        <v>3276</v>
      </c>
      <c r="J856" t="s">
        <v>3042</v>
      </c>
      <c r="K856" s="2" t="str">
        <f>HYPERLINK("http://collections.slsa.sa.gov.au/resource/PRG+1662/1/3/18")</f>
        <v>http://collections.slsa.sa.gov.au/resource/PRG+1662/1/3/18</v>
      </c>
    </row>
    <row r="857" spans="1:11" x14ac:dyDescent="0.25">
      <c r="A857" t="s">
        <v>3277</v>
      </c>
      <c r="B857" s="1" t="str">
        <f>HYPERLINK("https://www.catalog.slsa.sa.gov.au/record=b3026739")</f>
        <v>https://www.catalog.slsa.sa.gov.au/record=b3026739</v>
      </c>
      <c r="C857" s="1" t="str">
        <f>HYPERLINK("https://www.catalog.slsa.sa.gov.au/xrecord=b3026739")</f>
        <v>https://www.catalog.slsa.sa.gov.au/xrecord=b3026739</v>
      </c>
      <c r="D857" t="s">
        <v>3036</v>
      </c>
      <c r="E857" t="s">
        <v>3273</v>
      </c>
      <c r="F857" t="s">
        <v>3274</v>
      </c>
      <c r="G857" t="s">
        <v>3039</v>
      </c>
      <c r="H857" t="s">
        <v>3275</v>
      </c>
      <c r="I857" t="s">
        <v>3276</v>
      </c>
      <c r="J857" t="s">
        <v>3042</v>
      </c>
      <c r="K857" s="2" t="str">
        <f>HYPERLINK("http://collections.slsa.sa.gov.au/resource/PRG+1662/1/3/26")</f>
        <v>http://collections.slsa.sa.gov.au/resource/PRG+1662/1/3/26</v>
      </c>
    </row>
    <row r="858" spans="1:11" x14ac:dyDescent="0.25">
      <c r="A858" t="s">
        <v>3278</v>
      </c>
      <c r="B858" s="1" t="str">
        <f>HYPERLINK("https://www.catalog.slsa.sa.gov.au/record=b3026740")</f>
        <v>https://www.catalog.slsa.sa.gov.au/record=b3026740</v>
      </c>
      <c r="C858" s="1" t="str">
        <f>HYPERLINK("https://www.catalog.slsa.sa.gov.au/xrecord=b3026740")</f>
        <v>https://www.catalog.slsa.sa.gov.au/xrecord=b3026740</v>
      </c>
      <c r="D858" t="s">
        <v>3036</v>
      </c>
      <c r="E858" t="s">
        <v>3273</v>
      </c>
      <c r="F858" t="s">
        <v>3274</v>
      </c>
      <c r="G858" t="s">
        <v>3039</v>
      </c>
      <c r="H858" t="s">
        <v>3275</v>
      </c>
      <c r="I858" t="s">
        <v>3276</v>
      </c>
      <c r="J858" t="s">
        <v>3042</v>
      </c>
      <c r="K858" s="2" t="str">
        <f>HYPERLINK("http://collections.slsa.sa.gov.au/resource/PRG+1662/1/3/41")</f>
        <v>http://collections.slsa.sa.gov.au/resource/PRG+1662/1/3/41</v>
      </c>
    </row>
    <row r="859" spans="1:11" x14ac:dyDescent="0.25">
      <c r="A859" t="s">
        <v>3279</v>
      </c>
      <c r="B859" s="1" t="str">
        <f>HYPERLINK("https://www.catalog.slsa.sa.gov.au/record=b2927664")</f>
        <v>https://www.catalog.slsa.sa.gov.au/record=b2927664</v>
      </c>
      <c r="C859" s="1" t="str">
        <f>HYPERLINK("https://www.catalog.slsa.sa.gov.au/xrecord=b2927664")</f>
        <v>https://www.catalog.slsa.sa.gov.au/xrecord=b2927664</v>
      </c>
      <c r="E859" t="s">
        <v>3280</v>
      </c>
      <c r="F859" t="s">
        <v>3281</v>
      </c>
      <c r="G859" t="s">
        <v>3282</v>
      </c>
      <c r="H859" t="s">
        <v>3283</v>
      </c>
      <c r="I859" t="s">
        <v>3284</v>
      </c>
      <c r="J859" t="s">
        <v>2405</v>
      </c>
      <c r="K859" s="2" t="str">
        <f>HYPERLINK("http://collections.slsa.sa.gov.au/prg/1617/5/PRG1617_5_2.htm")</f>
        <v>http://collections.slsa.sa.gov.au/prg/1617/5/PRG1617_5_2.htm</v>
      </c>
    </row>
    <row r="860" spans="1:11" x14ac:dyDescent="0.25">
      <c r="A860" t="s">
        <v>3285</v>
      </c>
      <c r="B860" s="1" t="str">
        <f>HYPERLINK("https://www.catalog.slsa.sa.gov.au/record=b3127343")</f>
        <v>https://www.catalog.slsa.sa.gov.au/record=b3127343</v>
      </c>
      <c r="C860" s="1" t="str">
        <f>HYPERLINK("https://www.catalog.slsa.sa.gov.au/xrecord=b3127343")</f>
        <v>https://www.catalog.slsa.sa.gov.au/xrecord=b3127343</v>
      </c>
      <c r="D860" t="s">
        <v>3036</v>
      </c>
      <c r="E860" t="s">
        <v>3286</v>
      </c>
      <c r="F860" t="s">
        <v>3287</v>
      </c>
      <c r="G860" t="s">
        <v>3039</v>
      </c>
      <c r="H860" t="s">
        <v>3288</v>
      </c>
      <c r="I860" t="s">
        <v>3289</v>
      </c>
      <c r="J860" t="s">
        <v>3042</v>
      </c>
      <c r="K860" s="2" t="str">
        <f>HYPERLINK("http://collections.slsa.sa.gov.au/resource/PRG+1662/2/2/1")</f>
        <v>http://collections.slsa.sa.gov.au/resource/PRG+1662/2/2/1</v>
      </c>
    </row>
    <row r="861" spans="1:11" x14ac:dyDescent="0.25">
      <c r="A861" t="s">
        <v>3290</v>
      </c>
      <c r="B861" s="1" t="str">
        <f>HYPERLINK("https://www.catalog.slsa.sa.gov.au/record=b3026641")</f>
        <v>https://www.catalog.slsa.sa.gov.au/record=b3026641</v>
      </c>
      <c r="C861" s="1" t="str">
        <f>HYPERLINK("https://www.catalog.slsa.sa.gov.au/xrecord=b3026641")</f>
        <v>https://www.catalog.slsa.sa.gov.au/xrecord=b3026641</v>
      </c>
      <c r="D861" t="s">
        <v>3036</v>
      </c>
      <c r="E861" t="s">
        <v>3291</v>
      </c>
      <c r="F861" t="s">
        <v>3292</v>
      </c>
      <c r="G861" t="s">
        <v>3039</v>
      </c>
      <c r="H861" t="s">
        <v>3293</v>
      </c>
      <c r="I861" t="s">
        <v>3294</v>
      </c>
      <c r="J861" t="s">
        <v>3042</v>
      </c>
      <c r="K861" s="2" t="str">
        <f>HYPERLINK("http://collections.slsa.sa.gov.au/resource/PRG+1662/1/1/1")</f>
        <v>http://collections.slsa.sa.gov.au/resource/PRG+1662/1/1/1</v>
      </c>
    </row>
    <row r="862" spans="1:11" x14ac:dyDescent="0.25">
      <c r="A862" t="s">
        <v>3295</v>
      </c>
      <c r="B862" s="1" t="str">
        <f>HYPERLINK("https://www.catalog.slsa.sa.gov.au/record=b3026731")</f>
        <v>https://www.catalog.slsa.sa.gov.au/record=b3026731</v>
      </c>
      <c r="C862" s="1" t="str">
        <f>HYPERLINK("https://www.catalog.slsa.sa.gov.au/xrecord=b3026731")</f>
        <v>https://www.catalog.slsa.sa.gov.au/xrecord=b3026731</v>
      </c>
      <c r="D862" t="s">
        <v>3036</v>
      </c>
      <c r="E862" t="s">
        <v>3291</v>
      </c>
      <c r="F862" t="s">
        <v>3292</v>
      </c>
      <c r="G862" t="s">
        <v>3039</v>
      </c>
      <c r="H862" t="s">
        <v>3293</v>
      </c>
      <c r="I862" t="s">
        <v>3294</v>
      </c>
      <c r="J862" t="s">
        <v>3042</v>
      </c>
      <c r="K862" s="2" t="str">
        <f>HYPERLINK("http://collections.slsa.sa.gov.au/resource/PRG+1662/1/1/2")</f>
        <v>http://collections.slsa.sa.gov.au/resource/PRG+1662/1/1/2</v>
      </c>
    </row>
    <row r="863" spans="1:11" x14ac:dyDescent="0.25">
      <c r="A863" t="s">
        <v>3296</v>
      </c>
      <c r="B863" s="1" t="str">
        <f>HYPERLINK("https://www.catalog.slsa.sa.gov.au/record=b3026732")</f>
        <v>https://www.catalog.slsa.sa.gov.au/record=b3026732</v>
      </c>
      <c r="C863" s="1" t="str">
        <f>HYPERLINK("https://www.catalog.slsa.sa.gov.au/xrecord=b3026732")</f>
        <v>https://www.catalog.slsa.sa.gov.au/xrecord=b3026732</v>
      </c>
      <c r="D863" t="s">
        <v>3036</v>
      </c>
      <c r="E863" t="s">
        <v>3291</v>
      </c>
      <c r="F863" t="s">
        <v>3292</v>
      </c>
      <c r="G863" t="s">
        <v>3039</v>
      </c>
      <c r="H863" t="s">
        <v>3297</v>
      </c>
      <c r="I863" t="s">
        <v>3294</v>
      </c>
      <c r="J863" t="s">
        <v>3042</v>
      </c>
      <c r="K863" s="2" t="str">
        <f>HYPERLINK("http://collections.slsa.sa.gov.au/resource/PRG+1662/1/1/3")</f>
        <v>http://collections.slsa.sa.gov.au/resource/PRG+1662/1/1/3</v>
      </c>
    </row>
    <row r="864" spans="1:11" x14ac:dyDescent="0.25">
      <c r="A864" t="s">
        <v>3298</v>
      </c>
      <c r="B864" s="1" t="str">
        <f>HYPERLINK("https://www.catalog.slsa.sa.gov.au/record=b3026897")</f>
        <v>https://www.catalog.slsa.sa.gov.au/record=b3026897</v>
      </c>
      <c r="C864" s="1" t="str">
        <f>HYPERLINK("https://www.catalog.slsa.sa.gov.au/xrecord=b3026897")</f>
        <v>https://www.catalog.slsa.sa.gov.au/xrecord=b3026897</v>
      </c>
      <c r="D864" t="s">
        <v>3036</v>
      </c>
      <c r="E864" t="s">
        <v>3299</v>
      </c>
      <c r="F864" t="s">
        <v>3300</v>
      </c>
      <c r="G864" t="s">
        <v>3039</v>
      </c>
      <c r="H864" t="s">
        <v>3301</v>
      </c>
      <c r="I864" t="s">
        <v>3302</v>
      </c>
      <c r="J864" t="s">
        <v>3042</v>
      </c>
      <c r="K864" s="2" t="str">
        <f>HYPERLINK("http://collections.slsa.sa.gov.au/resource/PRG+1662/1/9/17")</f>
        <v>http://collections.slsa.sa.gov.au/resource/PRG+1662/1/9/17</v>
      </c>
    </row>
    <row r="865" spans="1:11" x14ac:dyDescent="0.25">
      <c r="A865" t="s">
        <v>3303</v>
      </c>
      <c r="B865" s="1" t="str">
        <f>HYPERLINK("https://www.catalog.slsa.sa.gov.au/record=b3026899")</f>
        <v>https://www.catalog.slsa.sa.gov.au/record=b3026899</v>
      </c>
      <c r="C865" s="1" t="str">
        <f>HYPERLINK("https://www.catalog.slsa.sa.gov.au/xrecord=b3026899")</f>
        <v>https://www.catalog.slsa.sa.gov.au/xrecord=b3026899</v>
      </c>
      <c r="D865" t="s">
        <v>3036</v>
      </c>
      <c r="E865" t="s">
        <v>3299</v>
      </c>
      <c r="F865" t="s">
        <v>3300</v>
      </c>
      <c r="G865" t="s">
        <v>3039</v>
      </c>
      <c r="H865" t="s">
        <v>3301</v>
      </c>
      <c r="I865" t="s">
        <v>3302</v>
      </c>
      <c r="J865" t="s">
        <v>3042</v>
      </c>
      <c r="K865" s="2" t="str">
        <f>HYPERLINK("http://collections.slsa.sa.gov.au/resource/PRG+1662/1/9/23")</f>
        <v>http://collections.slsa.sa.gov.au/resource/PRG+1662/1/9/23</v>
      </c>
    </row>
    <row r="866" spans="1:11" x14ac:dyDescent="0.25">
      <c r="A866" t="s">
        <v>3304</v>
      </c>
      <c r="B866" s="1" t="str">
        <f>HYPERLINK("https://www.catalog.slsa.sa.gov.au/record=b3026901")</f>
        <v>https://www.catalog.slsa.sa.gov.au/record=b3026901</v>
      </c>
      <c r="C866" s="1" t="str">
        <f>HYPERLINK("https://www.catalog.slsa.sa.gov.au/xrecord=b3026901")</f>
        <v>https://www.catalog.slsa.sa.gov.au/xrecord=b3026901</v>
      </c>
      <c r="D866" t="s">
        <v>3036</v>
      </c>
      <c r="E866" t="s">
        <v>3299</v>
      </c>
      <c r="F866" t="s">
        <v>3300</v>
      </c>
      <c r="G866" t="s">
        <v>3039</v>
      </c>
      <c r="H866" t="s">
        <v>3301</v>
      </c>
      <c r="I866" t="s">
        <v>3302</v>
      </c>
      <c r="J866" t="s">
        <v>3042</v>
      </c>
      <c r="K866" s="2" t="str">
        <f>HYPERLINK("http://collections.slsa.sa.gov.au/resource/PRG+1662/1/9/43")</f>
        <v>http://collections.slsa.sa.gov.au/resource/PRG+1662/1/9/43</v>
      </c>
    </row>
    <row r="867" spans="1:11" x14ac:dyDescent="0.25">
      <c r="A867" t="s">
        <v>3305</v>
      </c>
      <c r="B867" s="1" t="str">
        <f>HYPERLINK("https://www.catalog.slsa.sa.gov.au/record=b3026895")</f>
        <v>https://www.catalog.slsa.sa.gov.au/record=b3026895</v>
      </c>
      <c r="C867" s="1" t="str">
        <f>HYPERLINK("https://www.catalog.slsa.sa.gov.au/xrecord=b3026895")</f>
        <v>https://www.catalog.slsa.sa.gov.au/xrecord=b3026895</v>
      </c>
      <c r="D867" t="s">
        <v>3036</v>
      </c>
      <c r="E867" t="s">
        <v>3299</v>
      </c>
      <c r="F867" t="s">
        <v>3300</v>
      </c>
      <c r="G867" t="s">
        <v>3039</v>
      </c>
      <c r="H867" t="s">
        <v>3301</v>
      </c>
      <c r="I867" t="s">
        <v>3302</v>
      </c>
      <c r="J867" t="s">
        <v>3042</v>
      </c>
      <c r="K867" s="2" t="str">
        <f>HYPERLINK("http://collections.slsa.sa.gov.au/resource/PRG+1662/1/9/7")</f>
        <v>http://collections.slsa.sa.gov.au/resource/PRG+1662/1/9/7</v>
      </c>
    </row>
    <row r="868" spans="1:11" x14ac:dyDescent="0.25">
      <c r="A868" t="s">
        <v>3306</v>
      </c>
      <c r="B868" s="1" t="str">
        <f>HYPERLINK("https://www.catalog.slsa.sa.gov.au/record=b3183138")</f>
        <v>https://www.catalog.slsa.sa.gov.au/record=b3183138</v>
      </c>
      <c r="C868" s="1" t="str">
        <f>HYPERLINK("https://www.catalog.slsa.sa.gov.au/xrecord=b3183138")</f>
        <v>https://www.catalog.slsa.sa.gov.au/xrecord=b3183138</v>
      </c>
      <c r="D868" t="s">
        <v>3036</v>
      </c>
      <c r="E868" t="s">
        <v>3307</v>
      </c>
      <c r="F868" t="s">
        <v>3308</v>
      </c>
      <c r="G868" t="s">
        <v>3039</v>
      </c>
      <c r="H868" t="s">
        <v>3309</v>
      </c>
      <c r="I868" t="s">
        <v>3310</v>
      </c>
      <c r="J868" t="s">
        <v>3042</v>
      </c>
      <c r="K868" s="2" t="str">
        <f>HYPERLINK("http://collections.slsa.sa.gov.au/resource/PRG+1662/2/67/1")</f>
        <v>http://collections.slsa.sa.gov.au/resource/PRG+1662/2/67/1</v>
      </c>
    </row>
    <row r="869" spans="1:11" x14ac:dyDescent="0.25">
      <c r="A869" t="s">
        <v>3311</v>
      </c>
      <c r="B869" s="1" t="str">
        <f>HYPERLINK("https://www.catalog.slsa.sa.gov.au/record=b3183148")</f>
        <v>https://www.catalog.slsa.sa.gov.au/record=b3183148</v>
      </c>
      <c r="C869" s="1" t="str">
        <f>HYPERLINK("https://www.catalog.slsa.sa.gov.au/xrecord=b3183148")</f>
        <v>https://www.catalog.slsa.sa.gov.au/xrecord=b3183148</v>
      </c>
      <c r="D869" t="s">
        <v>3036</v>
      </c>
      <c r="E869" t="s">
        <v>3312</v>
      </c>
      <c r="F869" t="s">
        <v>3308</v>
      </c>
      <c r="G869" t="s">
        <v>3039</v>
      </c>
      <c r="H869" t="s">
        <v>3313</v>
      </c>
      <c r="I869" t="s">
        <v>3314</v>
      </c>
      <c r="J869" t="s">
        <v>3042</v>
      </c>
      <c r="K869" s="2" t="str">
        <f>HYPERLINK("http://collections.slsa.sa.gov.au/resource/PRG+1662/2/67/10")</f>
        <v>http://collections.slsa.sa.gov.au/resource/PRG+1662/2/67/10</v>
      </c>
    </row>
    <row r="870" spans="1:11" x14ac:dyDescent="0.25">
      <c r="A870" t="s">
        <v>3315</v>
      </c>
      <c r="B870" s="1" t="str">
        <f>HYPERLINK("https://www.catalog.slsa.sa.gov.au/record=b3183149")</f>
        <v>https://www.catalog.slsa.sa.gov.au/record=b3183149</v>
      </c>
      <c r="C870" s="1" t="str">
        <f>HYPERLINK("https://www.catalog.slsa.sa.gov.au/xrecord=b3183149")</f>
        <v>https://www.catalog.slsa.sa.gov.au/xrecord=b3183149</v>
      </c>
      <c r="D870" t="s">
        <v>3036</v>
      </c>
      <c r="E870" t="s">
        <v>3312</v>
      </c>
      <c r="F870" t="s">
        <v>3308</v>
      </c>
      <c r="G870" t="s">
        <v>3039</v>
      </c>
      <c r="H870" t="s">
        <v>3313</v>
      </c>
      <c r="I870" t="s">
        <v>3314</v>
      </c>
      <c r="J870" t="s">
        <v>3042</v>
      </c>
      <c r="K870" s="2" t="str">
        <f>HYPERLINK("http://collections.slsa.sa.gov.au/resource/PRG+1662/2/67/11")</f>
        <v>http://collections.slsa.sa.gov.au/resource/PRG+1662/2/67/11</v>
      </c>
    </row>
    <row r="871" spans="1:11" x14ac:dyDescent="0.25">
      <c r="A871" t="s">
        <v>3316</v>
      </c>
      <c r="B871" s="1" t="str">
        <f>HYPERLINK("https://www.catalog.slsa.sa.gov.au/record=b3183150")</f>
        <v>https://www.catalog.slsa.sa.gov.au/record=b3183150</v>
      </c>
      <c r="C871" s="1" t="str">
        <f>HYPERLINK("https://www.catalog.slsa.sa.gov.au/xrecord=b3183150")</f>
        <v>https://www.catalog.slsa.sa.gov.au/xrecord=b3183150</v>
      </c>
      <c r="D871" t="s">
        <v>3036</v>
      </c>
      <c r="E871" t="s">
        <v>3312</v>
      </c>
      <c r="F871" t="s">
        <v>3308</v>
      </c>
      <c r="G871" t="s">
        <v>3039</v>
      </c>
      <c r="H871" t="s">
        <v>3313</v>
      </c>
      <c r="I871" t="s">
        <v>3314</v>
      </c>
      <c r="J871" t="s">
        <v>3042</v>
      </c>
      <c r="K871" s="2" t="str">
        <f>HYPERLINK("http://collections.slsa.sa.gov.au/resource/PRG+1662/2/67/12")</f>
        <v>http://collections.slsa.sa.gov.au/resource/PRG+1662/2/67/12</v>
      </c>
    </row>
    <row r="872" spans="1:11" x14ac:dyDescent="0.25">
      <c r="A872" t="s">
        <v>3317</v>
      </c>
      <c r="B872" s="1" t="str">
        <f>HYPERLINK("https://www.catalog.slsa.sa.gov.au/record=b3183151")</f>
        <v>https://www.catalog.slsa.sa.gov.au/record=b3183151</v>
      </c>
      <c r="C872" s="1" t="str">
        <f>HYPERLINK("https://www.catalog.slsa.sa.gov.au/xrecord=b3183151")</f>
        <v>https://www.catalog.slsa.sa.gov.au/xrecord=b3183151</v>
      </c>
      <c r="D872" t="s">
        <v>3036</v>
      </c>
      <c r="E872" t="s">
        <v>3312</v>
      </c>
      <c r="F872" t="s">
        <v>3308</v>
      </c>
      <c r="G872" t="s">
        <v>3039</v>
      </c>
      <c r="H872" t="s">
        <v>3313</v>
      </c>
      <c r="I872" t="s">
        <v>3314</v>
      </c>
      <c r="J872" t="s">
        <v>3042</v>
      </c>
      <c r="K872" s="2" t="str">
        <f>HYPERLINK("http://collections.slsa.sa.gov.au/resource/PRG+1662/2/67/13")</f>
        <v>http://collections.slsa.sa.gov.au/resource/PRG+1662/2/67/13</v>
      </c>
    </row>
    <row r="873" spans="1:11" x14ac:dyDescent="0.25">
      <c r="A873" t="s">
        <v>3318</v>
      </c>
      <c r="B873" s="1" t="str">
        <f>HYPERLINK("https://www.catalog.slsa.sa.gov.au/record=b3183139")</f>
        <v>https://www.catalog.slsa.sa.gov.au/record=b3183139</v>
      </c>
      <c r="C873" s="1" t="str">
        <f>HYPERLINK("https://www.catalog.slsa.sa.gov.au/xrecord=b3183139")</f>
        <v>https://www.catalog.slsa.sa.gov.au/xrecord=b3183139</v>
      </c>
      <c r="D873" t="s">
        <v>3036</v>
      </c>
      <c r="E873" t="s">
        <v>3307</v>
      </c>
      <c r="F873" t="s">
        <v>3308</v>
      </c>
      <c r="G873" t="s">
        <v>3039</v>
      </c>
      <c r="H873" t="s">
        <v>3309</v>
      </c>
      <c r="I873" t="s">
        <v>3310</v>
      </c>
      <c r="J873" t="s">
        <v>3042</v>
      </c>
      <c r="K873" s="2" t="str">
        <f>HYPERLINK("http://collections.slsa.sa.gov.au/resource/PRG+1662/2/67/2")</f>
        <v>http://collections.slsa.sa.gov.au/resource/PRG+1662/2/67/2</v>
      </c>
    </row>
    <row r="874" spans="1:11" x14ac:dyDescent="0.25">
      <c r="A874" t="s">
        <v>3319</v>
      </c>
      <c r="B874" s="1" t="str">
        <f>HYPERLINK("https://www.catalog.slsa.sa.gov.au/record=b3183140")</f>
        <v>https://www.catalog.slsa.sa.gov.au/record=b3183140</v>
      </c>
      <c r="C874" s="1" t="str">
        <f>HYPERLINK("https://www.catalog.slsa.sa.gov.au/xrecord=b3183140")</f>
        <v>https://www.catalog.slsa.sa.gov.au/xrecord=b3183140</v>
      </c>
      <c r="D874" t="s">
        <v>3036</v>
      </c>
      <c r="E874" t="s">
        <v>3307</v>
      </c>
      <c r="F874" t="s">
        <v>3308</v>
      </c>
      <c r="G874" t="s">
        <v>3039</v>
      </c>
      <c r="H874" t="s">
        <v>3309</v>
      </c>
      <c r="I874" t="s">
        <v>3310</v>
      </c>
      <c r="J874" t="s">
        <v>3042</v>
      </c>
      <c r="K874" s="2" t="str">
        <f>HYPERLINK("http://collections.slsa.sa.gov.au/resource/PRG+1662/2/67/3")</f>
        <v>http://collections.slsa.sa.gov.au/resource/PRG+1662/2/67/3</v>
      </c>
    </row>
    <row r="875" spans="1:11" x14ac:dyDescent="0.25">
      <c r="A875" t="s">
        <v>3320</v>
      </c>
      <c r="B875" s="1" t="str">
        <f>HYPERLINK("https://www.catalog.slsa.sa.gov.au/record=b3183141")</f>
        <v>https://www.catalog.slsa.sa.gov.au/record=b3183141</v>
      </c>
      <c r="C875" s="1" t="str">
        <f>HYPERLINK("https://www.catalog.slsa.sa.gov.au/xrecord=b3183141")</f>
        <v>https://www.catalog.slsa.sa.gov.au/xrecord=b3183141</v>
      </c>
      <c r="D875" t="s">
        <v>3036</v>
      </c>
      <c r="E875" t="s">
        <v>3321</v>
      </c>
      <c r="F875" t="s">
        <v>3308</v>
      </c>
      <c r="G875" t="s">
        <v>3039</v>
      </c>
      <c r="H875" t="s">
        <v>3322</v>
      </c>
      <c r="I875" t="s">
        <v>3323</v>
      </c>
      <c r="J875" t="s">
        <v>3042</v>
      </c>
      <c r="K875" s="2" t="str">
        <f>HYPERLINK("http://collections.slsa.sa.gov.au/resource/PRG+1662/2/67/4")</f>
        <v>http://collections.slsa.sa.gov.au/resource/PRG+1662/2/67/4</v>
      </c>
    </row>
    <row r="876" spans="1:11" x14ac:dyDescent="0.25">
      <c r="A876" t="s">
        <v>3324</v>
      </c>
      <c r="B876" s="1" t="str">
        <f>HYPERLINK("https://www.catalog.slsa.sa.gov.au/record=b3183142")</f>
        <v>https://www.catalog.slsa.sa.gov.au/record=b3183142</v>
      </c>
      <c r="C876" s="1" t="str">
        <f>HYPERLINK("https://www.catalog.slsa.sa.gov.au/xrecord=b3183142")</f>
        <v>https://www.catalog.slsa.sa.gov.au/xrecord=b3183142</v>
      </c>
      <c r="D876" t="s">
        <v>3036</v>
      </c>
      <c r="E876" t="s">
        <v>3321</v>
      </c>
      <c r="F876" t="s">
        <v>3308</v>
      </c>
      <c r="G876" t="s">
        <v>3039</v>
      </c>
      <c r="H876" t="s">
        <v>3322</v>
      </c>
      <c r="I876" t="s">
        <v>3323</v>
      </c>
      <c r="J876" t="s">
        <v>3042</v>
      </c>
      <c r="K876" s="2" t="str">
        <f>HYPERLINK("http://collections.slsa.sa.gov.au/resource/PRG+1662/2/67/5")</f>
        <v>http://collections.slsa.sa.gov.au/resource/PRG+1662/2/67/5</v>
      </c>
    </row>
    <row r="877" spans="1:11" x14ac:dyDescent="0.25">
      <c r="A877" t="s">
        <v>3325</v>
      </c>
      <c r="B877" s="1" t="str">
        <f>HYPERLINK("https://www.catalog.slsa.sa.gov.au/record=b3183143")</f>
        <v>https://www.catalog.slsa.sa.gov.au/record=b3183143</v>
      </c>
      <c r="C877" s="1" t="str">
        <f>HYPERLINK("https://www.catalog.slsa.sa.gov.au/xrecord=b3183143")</f>
        <v>https://www.catalog.slsa.sa.gov.au/xrecord=b3183143</v>
      </c>
      <c r="D877" t="s">
        <v>3036</v>
      </c>
      <c r="E877" t="s">
        <v>3321</v>
      </c>
      <c r="F877" t="s">
        <v>3308</v>
      </c>
      <c r="G877" t="s">
        <v>3039</v>
      </c>
      <c r="H877" t="s">
        <v>3322</v>
      </c>
      <c r="I877" t="s">
        <v>3323</v>
      </c>
      <c r="J877" t="s">
        <v>3042</v>
      </c>
      <c r="K877" s="2" t="str">
        <f>HYPERLINK("http://collections.slsa.sa.gov.au/resource/PRG+1662/2/67/6")</f>
        <v>http://collections.slsa.sa.gov.au/resource/PRG+1662/2/67/6</v>
      </c>
    </row>
    <row r="878" spans="1:11" x14ac:dyDescent="0.25">
      <c r="A878" t="s">
        <v>3326</v>
      </c>
      <c r="B878" s="1" t="str">
        <f>HYPERLINK("https://www.catalog.slsa.sa.gov.au/record=b3183144")</f>
        <v>https://www.catalog.slsa.sa.gov.au/record=b3183144</v>
      </c>
      <c r="C878" s="1" t="str">
        <f>HYPERLINK("https://www.catalog.slsa.sa.gov.au/xrecord=b3183144")</f>
        <v>https://www.catalog.slsa.sa.gov.au/xrecord=b3183144</v>
      </c>
      <c r="D878" t="s">
        <v>3036</v>
      </c>
      <c r="E878" t="s">
        <v>3327</v>
      </c>
      <c r="F878" t="s">
        <v>3308</v>
      </c>
      <c r="G878" t="s">
        <v>3039</v>
      </c>
      <c r="H878" t="s">
        <v>3328</v>
      </c>
      <c r="I878" t="s">
        <v>3329</v>
      </c>
      <c r="J878" t="s">
        <v>3042</v>
      </c>
      <c r="K878" s="2" t="str">
        <f>HYPERLINK("http://collections.slsa.sa.gov.au/resource/PRG+1662/2/67/7")</f>
        <v>http://collections.slsa.sa.gov.au/resource/PRG+1662/2/67/7</v>
      </c>
    </row>
    <row r="879" spans="1:11" x14ac:dyDescent="0.25">
      <c r="A879" t="s">
        <v>3330</v>
      </c>
      <c r="B879" s="1" t="str">
        <f>HYPERLINK("https://www.catalog.slsa.sa.gov.au/record=b3183146")</f>
        <v>https://www.catalog.slsa.sa.gov.au/record=b3183146</v>
      </c>
      <c r="C879" s="1" t="str">
        <f>HYPERLINK("https://www.catalog.slsa.sa.gov.au/xrecord=b3183146")</f>
        <v>https://www.catalog.slsa.sa.gov.au/xrecord=b3183146</v>
      </c>
      <c r="D879" t="s">
        <v>3036</v>
      </c>
      <c r="E879" t="s">
        <v>3327</v>
      </c>
      <c r="F879" t="s">
        <v>3308</v>
      </c>
      <c r="G879" t="s">
        <v>3039</v>
      </c>
      <c r="H879" t="s">
        <v>3328</v>
      </c>
      <c r="I879" t="s">
        <v>3329</v>
      </c>
      <c r="J879" t="s">
        <v>3042</v>
      </c>
      <c r="K879" s="2" t="str">
        <f>HYPERLINK("http://collections.slsa.sa.gov.au/resource/PRG+1662/2/67/8")</f>
        <v>http://collections.slsa.sa.gov.au/resource/PRG+1662/2/67/8</v>
      </c>
    </row>
    <row r="880" spans="1:11" x14ac:dyDescent="0.25">
      <c r="A880" t="s">
        <v>3331</v>
      </c>
      <c r="B880" s="1" t="str">
        <f>HYPERLINK("https://www.catalog.slsa.sa.gov.au/record=b3183147")</f>
        <v>https://www.catalog.slsa.sa.gov.au/record=b3183147</v>
      </c>
      <c r="C880" s="1" t="str">
        <f>HYPERLINK("https://www.catalog.slsa.sa.gov.au/xrecord=b3183147")</f>
        <v>https://www.catalog.slsa.sa.gov.au/xrecord=b3183147</v>
      </c>
      <c r="D880" t="s">
        <v>3036</v>
      </c>
      <c r="E880" t="s">
        <v>3307</v>
      </c>
      <c r="F880" t="s">
        <v>3308</v>
      </c>
      <c r="G880" t="s">
        <v>3039</v>
      </c>
      <c r="H880" t="s">
        <v>3309</v>
      </c>
      <c r="I880" t="s">
        <v>3310</v>
      </c>
      <c r="J880" t="s">
        <v>3042</v>
      </c>
      <c r="K880" s="2" t="str">
        <f>HYPERLINK("http://collections.slsa.sa.gov.au/resource/PRG+1662/2/67/9")</f>
        <v>http://collections.slsa.sa.gov.au/resource/PRG+1662/2/67/9</v>
      </c>
    </row>
    <row r="881" spans="1:11" x14ac:dyDescent="0.25">
      <c r="A881" t="s">
        <v>3332</v>
      </c>
      <c r="B881" s="1" t="str">
        <f>HYPERLINK("https://www.catalog.slsa.sa.gov.au/record=b3138646")</f>
        <v>https://www.catalog.slsa.sa.gov.au/record=b3138646</v>
      </c>
      <c r="C881" s="1" t="str">
        <f>HYPERLINK("https://www.catalog.slsa.sa.gov.au/xrecord=b3138646")</f>
        <v>https://www.catalog.slsa.sa.gov.au/xrecord=b3138646</v>
      </c>
      <c r="E881" t="s">
        <v>3333</v>
      </c>
      <c r="F881" t="s">
        <v>3334</v>
      </c>
      <c r="G881" t="s">
        <v>3335</v>
      </c>
      <c r="H881" t="s">
        <v>3336</v>
      </c>
      <c r="I881" t="s">
        <v>3337</v>
      </c>
      <c r="J881" t="s">
        <v>1824</v>
      </c>
      <c r="K881" s="2" t="str">
        <f>HYPERLINK("http://collections.slsa.sa.gov.au/resource/PRG+830/20/16")</f>
        <v>http://collections.slsa.sa.gov.au/resource/PRG+830/20/16</v>
      </c>
    </row>
    <row r="882" spans="1:11" x14ac:dyDescent="0.25">
      <c r="A882" t="s">
        <v>3338</v>
      </c>
      <c r="B882" s="1" t="str">
        <f>HYPERLINK("https://www.catalog.slsa.sa.gov.au/record=b3138647")</f>
        <v>https://www.catalog.slsa.sa.gov.au/record=b3138647</v>
      </c>
      <c r="C882" s="1" t="str">
        <f>HYPERLINK("https://www.catalog.slsa.sa.gov.au/xrecord=b3138647")</f>
        <v>https://www.catalog.slsa.sa.gov.au/xrecord=b3138647</v>
      </c>
      <c r="E882" t="s">
        <v>3339</v>
      </c>
      <c r="F882" t="s">
        <v>3334</v>
      </c>
      <c r="G882" t="s">
        <v>2884</v>
      </c>
      <c r="H882" t="s">
        <v>3340</v>
      </c>
      <c r="I882" t="s">
        <v>3341</v>
      </c>
      <c r="J882" t="s">
        <v>1824</v>
      </c>
      <c r="K882" s="2" t="str">
        <f>HYPERLINK("http://collections.slsa.sa.gov.au/resource/PRG+830/20/17")</f>
        <v>http://collections.slsa.sa.gov.au/resource/PRG+830/20/17</v>
      </c>
    </row>
    <row r="883" spans="1:11" x14ac:dyDescent="0.25">
      <c r="A883" t="s">
        <v>3342</v>
      </c>
      <c r="B883" s="1" t="str">
        <f>HYPERLINK("https://www.catalog.slsa.sa.gov.au/record=b3138648")</f>
        <v>https://www.catalog.slsa.sa.gov.au/record=b3138648</v>
      </c>
      <c r="C883" s="1" t="str">
        <f>HYPERLINK("https://www.catalog.slsa.sa.gov.au/xrecord=b3138648")</f>
        <v>https://www.catalog.slsa.sa.gov.au/xrecord=b3138648</v>
      </c>
      <c r="E883" t="s">
        <v>3339</v>
      </c>
      <c r="F883" t="s">
        <v>3334</v>
      </c>
      <c r="G883" t="s">
        <v>2884</v>
      </c>
      <c r="H883" t="s">
        <v>3343</v>
      </c>
      <c r="I883" t="s">
        <v>3344</v>
      </c>
      <c r="J883" t="s">
        <v>1824</v>
      </c>
      <c r="K883" s="2" t="str">
        <f>HYPERLINK("http://collections.slsa.sa.gov.au/resource/PRG+830/20/18")</f>
        <v>http://collections.slsa.sa.gov.au/resource/PRG+830/20/18</v>
      </c>
    </row>
    <row r="884" spans="1:11" x14ac:dyDescent="0.25">
      <c r="A884" t="s">
        <v>3345</v>
      </c>
      <c r="B884" s="1" t="str">
        <f>HYPERLINK("https://www.catalog.slsa.sa.gov.au/record=b3183688")</f>
        <v>https://www.catalog.slsa.sa.gov.au/record=b3183688</v>
      </c>
      <c r="C884" s="1" t="str">
        <f>HYPERLINK("https://www.catalog.slsa.sa.gov.au/xrecord=b3183688")</f>
        <v>https://www.catalog.slsa.sa.gov.au/xrecord=b3183688</v>
      </c>
      <c r="D884" t="s">
        <v>3036</v>
      </c>
      <c r="E884" t="s">
        <v>3346</v>
      </c>
      <c r="F884" t="s">
        <v>3347</v>
      </c>
      <c r="G884" t="s">
        <v>3039</v>
      </c>
      <c r="H884" t="s">
        <v>3348</v>
      </c>
      <c r="I884" t="s">
        <v>3349</v>
      </c>
      <c r="J884" t="s">
        <v>3042</v>
      </c>
      <c r="K884" s="2" t="str">
        <f>HYPERLINK("http://collections.slsa.sa.gov.au/resource/PRG+1662/2/45/1")</f>
        <v>http://collections.slsa.sa.gov.au/resource/PRG+1662/2/45/1</v>
      </c>
    </row>
    <row r="885" spans="1:11" x14ac:dyDescent="0.25">
      <c r="A885" t="s">
        <v>3350</v>
      </c>
      <c r="B885" s="1" t="str">
        <f>HYPERLINK("https://www.catalog.slsa.sa.gov.au/record=b3183689")</f>
        <v>https://www.catalog.slsa.sa.gov.au/record=b3183689</v>
      </c>
      <c r="C885" s="1" t="str">
        <f>HYPERLINK("https://www.catalog.slsa.sa.gov.au/xrecord=b3183689")</f>
        <v>https://www.catalog.slsa.sa.gov.au/xrecord=b3183689</v>
      </c>
      <c r="D885" t="s">
        <v>3036</v>
      </c>
      <c r="E885" t="s">
        <v>3351</v>
      </c>
      <c r="F885" t="s">
        <v>3347</v>
      </c>
      <c r="G885" t="s">
        <v>3039</v>
      </c>
      <c r="H885" t="s">
        <v>3352</v>
      </c>
      <c r="I885" t="s">
        <v>3353</v>
      </c>
      <c r="J885" t="s">
        <v>3042</v>
      </c>
      <c r="K885" s="2" t="str">
        <f>HYPERLINK("http://collections.slsa.sa.gov.au/resource/PRG+1662/2/45/2")</f>
        <v>http://collections.slsa.sa.gov.au/resource/PRG+1662/2/45/2</v>
      </c>
    </row>
    <row r="886" spans="1:11" x14ac:dyDescent="0.25">
      <c r="A886" t="s">
        <v>3354</v>
      </c>
      <c r="B886" s="1" t="str">
        <f>HYPERLINK("https://www.catalog.slsa.sa.gov.au/record=b3183712")</f>
        <v>https://www.catalog.slsa.sa.gov.au/record=b3183712</v>
      </c>
      <c r="C886" s="1" t="str">
        <f>HYPERLINK("https://www.catalog.slsa.sa.gov.au/xrecord=b3183712")</f>
        <v>https://www.catalog.slsa.sa.gov.au/xrecord=b3183712</v>
      </c>
      <c r="D886" t="s">
        <v>3036</v>
      </c>
      <c r="E886" t="s">
        <v>3355</v>
      </c>
      <c r="F886" t="s">
        <v>3347</v>
      </c>
      <c r="G886" t="s">
        <v>3039</v>
      </c>
      <c r="H886" t="s">
        <v>3356</v>
      </c>
      <c r="I886" t="s">
        <v>3357</v>
      </c>
      <c r="J886" t="s">
        <v>3042</v>
      </c>
      <c r="K886" s="2" t="str">
        <f>HYPERLINK("http://collections.slsa.sa.gov.au/resource/PRG+1662/2/45/3")</f>
        <v>http://collections.slsa.sa.gov.au/resource/PRG+1662/2/45/3</v>
      </c>
    </row>
    <row r="887" spans="1:11" x14ac:dyDescent="0.25">
      <c r="A887" t="s">
        <v>3358</v>
      </c>
      <c r="B887" s="1" t="str">
        <f>HYPERLINK("https://www.catalog.slsa.sa.gov.au/record=b3183713")</f>
        <v>https://www.catalog.slsa.sa.gov.au/record=b3183713</v>
      </c>
      <c r="C887" s="1" t="str">
        <f>HYPERLINK("https://www.catalog.slsa.sa.gov.au/xrecord=b3183713")</f>
        <v>https://www.catalog.slsa.sa.gov.au/xrecord=b3183713</v>
      </c>
      <c r="D887" t="s">
        <v>3036</v>
      </c>
      <c r="E887" t="s">
        <v>3359</v>
      </c>
      <c r="F887" t="s">
        <v>3347</v>
      </c>
      <c r="G887" t="s">
        <v>3039</v>
      </c>
      <c r="H887" t="s">
        <v>3360</v>
      </c>
      <c r="I887" t="s">
        <v>3361</v>
      </c>
      <c r="J887" t="s">
        <v>3042</v>
      </c>
      <c r="K887" s="2" t="str">
        <f>HYPERLINK("http://collections.slsa.sa.gov.au/resource/PRG+1662/2/45/4")</f>
        <v>http://collections.slsa.sa.gov.au/resource/PRG+1662/2/45/4</v>
      </c>
    </row>
    <row r="888" spans="1:11" x14ac:dyDescent="0.25">
      <c r="A888" t="s">
        <v>3362</v>
      </c>
      <c r="B888" s="1" t="str">
        <f>HYPERLINK("https://www.catalog.slsa.sa.gov.au/record=b3183714")</f>
        <v>https://www.catalog.slsa.sa.gov.au/record=b3183714</v>
      </c>
      <c r="C888" s="1" t="str">
        <f>HYPERLINK("https://www.catalog.slsa.sa.gov.au/xrecord=b3183714")</f>
        <v>https://www.catalog.slsa.sa.gov.au/xrecord=b3183714</v>
      </c>
      <c r="D888" t="s">
        <v>3036</v>
      </c>
      <c r="E888" t="s">
        <v>3359</v>
      </c>
      <c r="F888" t="s">
        <v>3347</v>
      </c>
      <c r="G888" t="s">
        <v>3039</v>
      </c>
      <c r="H888" t="s">
        <v>3363</v>
      </c>
      <c r="I888" t="s">
        <v>3364</v>
      </c>
      <c r="J888" t="s">
        <v>3042</v>
      </c>
      <c r="K888" s="2" t="str">
        <f>HYPERLINK("http://collections.slsa.sa.gov.au/resource/PRG+1662/2/45/5")</f>
        <v>http://collections.slsa.sa.gov.au/resource/PRG+1662/2/45/5</v>
      </c>
    </row>
    <row r="889" spans="1:11" x14ac:dyDescent="0.25">
      <c r="A889" t="s">
        <v>3365</v>
      </c>
      <c r="B889" s="1" t="str">
        <f>HYPERLINK("https://www.catalog.slsa.sa.gov.au/record=b3183715")</f>
        <v>https://www.catalog.slsa.sa.gov.au/record=b3183715</v>
      </c>
      <c r="C889" s="1" t="str">
        <f>HYPERLINK("https://www.catalog.slsa.sa.gov.au/xrecord=b3183715")</f>
        <v>https://www.catalog.slsa.sa.gov.au/xrecord=b3183715</v>
      </c>
      <c r="D889" t="s">
        <v>3036</v>
      </c>
      <c r="E889" t="s">
        <v>3366</v>
      </c>
      <c r="F889" t="s">
        <v>3347</v>
      </c>
      <c r="G889" t="s">
        <v>3039</v>
      </c>
      <c r="H889" t="s">
        <v>3367</v>
      </c>
      <c r="I889" t="s">
        <v>3364</v>
      </c>
      <c r="J889" t="s">
        <v>3042</v>
      </c>
      <c r="K889" s="2" t="str">
        <f>HYPERLINK("http://collections.slsa.sa.gov.au/resource/PRG+1662/2/45/6")</f>
        <v>http://collections.slsa.sa.gov.au/resource/PRG+1662/2/45/6</v>
      </c>
    </row>
    <row r="890" spans="1:11" x14ac:dyDescent="0.25">
      <c r="A890" t="s">
        <v>3368</v>
      </c>
      <c r="B890" s="1" t="str">
        <f>HYPERLINK("https://www.catalog.slsa.sa.gov.au/record=b3183726")</f>
        <v>https://www.catalog.slsa.sa.gov.au/record=b3183726</v>
      </c>
      <c r="C890" s="1" t="str">
        <f>HYPERLINK("https://www.catalog.slsa.sa.gov.au/xrecord=b3183726")</f>
        <v>https://www.catalog.slsa.sa.gov.au/xrecord=b3183726</v>
      </c>
      <c r="D890" t="s">
        <v>3036</v>
      </c>
      <c r="E890" t="s">
        <v>3369</v>
      </c>
      <c r="F890" t="s">
        <v>3347</v>
      </c>
      <c r="G890" t="s">
        <v>3039</v>
      </c>
      <c r="H890" t="s">
        <v>3370</v>
      </c>
      <c r="I890" t="s">
        <v>3371</v>
      </c>
      <c r="J890" t="s">
        <v>3372</v>
      </c>
      <c r="K890" s="2" t="str">
        <f>HYPERLINK("http://collections.slsa.sa.gov.au/resource/PRG+1662/2/45/7")</f>
        <v>http://collections.slsa.sa.gov.au/resource/PRG+1662/2/45/7</v>
      </c>
    </row>
    <row r="891" spans="1:11" x14ac:dyDescent="0.25">
      <c r="A891" t="s">
        <v>3373</v>
      </c>
      <c r="B891" s="1" t="str">
        <f>HYPERLINK("https://www.catalog.slsa.sa.gov.au/record=b3183727")</f>
        <v>https://www.catalog.slsa.sa.gov.au/record=b3183727</v>
      </c>
      <c r="C891" s="1" t="str">
        <f>HYPERLINK("https://www.catalog.slsa.sa.gov.au/xrecord=b3183727")</f>
        <v>https://www.catalog.slsa.sa.gov.au/xrecord=b3183727</v>
      </c>
      <c r="D891" t="s">
        <v>3036</v>
      </c>
      <c r="E891" t="s">
        <v>3374</v>
      </c>
      <c r="F891" t="s">
        <v>3347</v>
      </c>
      <c r="G891" t="s">
        <v>3039</v>
      </c>
      <c r="H891" t="s">
        <v>3375</v>
      </c>
      <c r="I891" t="s">
        <v>3376</v>
      </c>
      <c r="J891" t="s">
        <v>3377</v>
      </c>
      <c r="K891" s="2" t="str">
        <f>HYPERLINK("http://collections.slsa.sa.gov.au/resource/PRG+1662/2/45/8")</f>
        <v>http://collections.slsa.sa.gov.au/resource/PRG+1662/2/45/8</v>
      </c>
    </row>
    <row r="892" spans="1:11" x14ac:dyDescent="0.25">
      <c r="A892" t="s">
        <v>3378</v>
      </c>
      <c r="B892" s="1" t="str">
        <f>HYPERLINK("https://www.catalog.slsa.sa.gov.au/record=b3145778")</f>
        <v>https://www.catalog.slsa.sa.gov.au/record=b3145778</v>
      </c>
      <c r="C892" s="1" t="str">
        <f>HYPERLINK("https://www.catalog.slsa.sa.gov.au/xrecord=b3145778")</f>
        <v>https://www.catalog.slsa.sa.gov.au/xrecord=b3145778</v>
      </c>
      <c r="D892" t="s">
        <v>2820</v>
      </c>
      <c r="E892" t="s">
        <v>2821</v>
      </c>
      <c r="F892" t="s">
        <v>3347</v>
      </c>
      <c r="G892" t="s">
        <v>3379</v>
      </c>
      <c r="H892" t="s">
        <v>3380</v>
      </c>
      <c r="J892" t="s">
        <v>2825</v>
      </c>
      <c r="K892" s="2" t="str">
        <f>HYPERLINK("http://collections.slsa.sa.gov.au/resource/PRG+1712/3/72")</f>
        <v>http://collections.slsa.sa.gov.au/resource/PRG+1712/3/72</v>
      </c>
    </row>
    <row r="893" spans="1:11" x14ac:dyDescent="0.25">
      <c r="A893" t="s">
        <v>3381</v>
      </c>
      <c r="B893" s="1" t="str">
        <f>HYPERLINK("https://www.catalog.slsa.sa.gov.au/record=b3145772")</f>
        <v>https://www.catalog.slsa.sa.gov.au/record=b3145772</v>
      </c>
      <c r="C893" s="1" t="str">
        <f>HYPERLINK("https://www.catalog.slsa.sa.gov.au/xrecord=b3145772")</f>
        <v>https://www.catalog.slsa.sa.gov.au/xrecord=b3145772</v>
      </c>
      <c r="D893" t="s">
        <v>2820</v>
      </c>
      <c r="E893" t="s">
        <v>3382</v>
      </c>
      <c r="F893" t="s">
        <v>3347</v>
      </c>
      <c r="G893" t="s">
        <v>3379</v>
      </c>
      <c r="H893" t="s">
        <v>3383</v>
      </c>
      <c r="J893" t="s">
        <v>2825</v>
      </c>
      <c r="K893" s="2" t="str">
        <f>HYPERLINK("http://collections.slsa.sa.gov.au/resource/PRG+1712/3/73")</f>
        <v>http://collections.slsa.sa.gov.au/resource/PRG+1712/3/73</v>
      </c>
    </row>
    <row r="894" spans="1:11" x14ac:dyDescent="0.25">
      <c r="A894" t="s">
        <v>3384</v>
      </c>
      <c r="B894" s="1" t="str">
        <f>HYPERLINK("https://www.catalog.slsa.sa.gov.au/record=b3138660")</f>
        <v>https://www.catalog.slsa.sa.gov.au/record=b3138660</v>
      </c>
      <c r="C894" s="1" t="str">
        <f>HYPERLINK("https://www.catalog.slsa.sa.gov.au/xrecord=b3138660")</f>
        <v>https://www.catalog.slsa.sa.gov.au/xrecord=b3138660</v>
      </c>
      <c r="E894" t="s">
        <v>3385</v>
      </c>
      <c r="F894" t="s">
        <v>3347</v>
      </c>
      <c r="G894" t="s">
        <v>2884</v>
      </c>
      <c r="H894" t="s">
        <v>3386</v>
      </c>
      <c r="I894" t="s">
        <v>3387</v>
      </c>
      <c r="J894" t="s">
        <v>1824</v>
      </c>
      <c r="K894" s="2" t="str">
        <f>HYPERLINK("http://collections.slsa.sa.gov.au/resource/PRG+830/20/30")</f>
        <v>http://collections.slsa.sa.gov.au/resource/PRG+830/20/30</v>
      </c>
    </row>
    <row r="895" spans="1:11" x14ac:dyDescent="0.25">
      <c r="A895" t="s">
        <v>3388</v>
      </c>
      <c r="B895" s="1" t="str">
        <f>HYPERLINK("https://www.catalog.slsa.sa.gov.au/record=b3138661")</f>
        <v>https://www.catalog.slsa.sa.gov.au/record=b3138661</v>
      </c>
      <c r="C895" s="1" t="str">
        <f>HYPERLINK("https://www.catalog.slsa.sa.gov.au/xrecord=b3138661")</f>
        <v>https://www.catalog.slsa.sa.gov.au/xrecord=b3138661</v>
      </c>
      <c r="E895" t="s">
        <v>3389</v>
      </c>
      <c r="F895" t="s">
        <v>3347</v>
      </c>
      <c r="G895" t="s">
        <v>2889</v>
      </c>
      <c r="H895" t="s">
        <v>3390</v>
      </c>
      <c r="I895" t="s">
        <v>3391</v>
      </c>
      <c r="J895" t="s">
        <v>1824</v>
      </c>
      <c r="K895" s="2" t="str">
        <f>HYPERLINK("http://collections.slsa.sa.gov.au/resource/PRG+830/20/31")</f>
        <v>http://collections.slsa.sa.gov.au/resource/PRG+830/20/31</v>
      </c>
    </row>
    <row r="896" spans="1:11" x14ac:dyDescent="0.25">
      <c r="A896" t="s">
        <v>3392</v>
      </c>
      <c r="B896" s="1" t="str">
        <f>HYPERLINK("https://www.catalog.slsa.sa.gov.au/record=b3138662")</f>
        <v>https://www.catalog.slsa.sa.gov.au/record=b3138662</v>
      </c>
      <c r="C896" s="1" t="str">
        <f>HYPERLINK("https://www.catalog.slsa.sa.gov.au/xrecord=b3138662")</f>
        <v>https://www.catalog.slsa.sa.gov.au/xrecord=b3138662</v>
      </c>
      <c r="E896" t="s">
        <v>3393</v>
      </c>
      <c r="F896" t="s">
        <v>3347</v>
      </c>
      <c r="G896" t="s">
        <v>2889</v>
      </c>
      <c r="H896" t="s">
        <v>3394</v>
      </c>
      <c r="I896" t="s">
        <v>3395</v>
      </c>
      <c r="J896" t="s">
        <v>1824</v>
      </c>
      <c r="K896" s="2" t="str">
        <f>HYPERLINK("http://collections.slsa.sa.gov.au/resource/PRG+830/20/32")</f>
        <v>http://collections.slsa.sa.gov.au/resource/PRG+830/20/32</v>
      </c>
    </row>
    <row r="897" spans="1:11" x14ac:dyDescent="0.25">
      <c r="A897" t="s">
        <v>3396</v>
      </c>
      <c r="B897" s="1" t="str">
        <f>HYPERLINK("https://www.catalog.slsa.sa.gov.au/record=b3138663")</f>
        <v>https://www.catalog.slsa.sa.gov.au/record=b3138663</v>
      </c>
      <c r="C897" s="1" t="str">
        <f>HYPERLINK("https://www.catalog.slsa.sa.gov.au/xrecord=b3138663")</f>
        <v>https://www.catalog.slsa.sa.gov.au/xrecord=b3138663</v>
      </c>
      <c r="E897" t="s">
        <v>3397</v>
      </c>
      <c r="F897" t="s">
        <v>3347</v>
      </c>
      <c r="G897" t="s">
        <v>2889</v>
      </c>
      <c r="H897" t="s">
        <v>3398</v>
      </c>
      <c r="I897" t="s">
        <v>3399</v>
      </c>
      <c r="J897" t="s">
        <v>1824</v>
      </c>
      <c r="K897" s="2" t="str">
        <f>HYPERLINK("http://collections.slsa.sa.gov.au/resource/PRG+830/20/33")</f>
        <v>http://collections.slsa.sa.gov.au/resource/PRG+830/20/33</v>
      </c>
    </row>
    <row r="898" spans="1:11" x14ac:dyDescent="0.25">
      <c r="A898" t="s">
        <v>3400</v>
      </c>
      <c r="B898" s="1" t="str">
        <f>HYPERLINK("https://www.catalog.slsa.sa.gov.au/record=b3138664")</f>
        <v>https://www.catalog.slsa.sa.gov.au/record=b3138664</v>
      </c>
      <c r="C898" s="1" t="str">
        <f>HYPERLINK("https://www.catalog.slsa.sa.gov.au/xrecord=b3138664")</f>
        <v>https://www.catalog.slsa.sa.gov.au/xrecord=b3138664</v>
      </c>
      <c r="E898" t="s">
        <v>3401</v>
      </c>
      <c r="F898" t="s">
        <v>3347</v>
      </c>
      <c r="G898" t="s">
        <v>2889</v>
      </c>
      <c r="H898" t="s">
        <v>3402</v>
      </c>
      <c r="I898" t="s">
        <v>3403</v>
      </c>
      <c r="J898" t="s">
        <v>1824</v>
      </c>
      <c r="K898" s="2" t="str">
        <f>HYPERLINK("http://collections.slsa.sa.gov.au/resource/PRG+830/20/34")</f>
        <v>http://collections.slsa.sa.gov.au/resource/PRG+830/20/34</v>
      </c>
    </row>
    <row r="899" spans="1:11" x14ac:dyDescent="0.25">
      <c r="A899" t="s">
        <v>3404</v>
      </c>
      <c r="B899" s="1" t="str">
        <f>HYPERLINK("https://www.catalog.slsa.sa.gov.au/record=b3138665")</f>
        <v>https://www.catalog.slsa.sa.gov.au/record=b3138665</v>
      </c>
      <c r="C899" s="1" t="str">
        <f>HYPERLINK("https://www.catalog.slsa.sa.gov.au/xrecord=b3138665")</f>
        <v>https://www.catalog.slsa.sa.gov.au/xrecord=b3138665</v>
      </c>
      <c r="E899" t="s">
        <v>3405</v>
      </c>
      <c r="F899" t="s">
        <v>3347</v>
      </c>
      <c r="G899" t="s">
        <v>2889</v>
      </c>
      <c r="H899" t="s">
        <v>3406</v>
      </c>
      <c r="I899" t="s">
        <v>3407</v>
      </c>
      <c r="J899" t="s">
        <v>1824</v>
      </c>
      <c r="K899" s="2" t="str">
        <f>HYPERLINK("http://collections.slsa.sa.gov.au/resource/PRG+830/20/35")</f>
        <v>http://collections.slsa.sa.gov.au/resource/PRG+830/20/35</v>
      </c>
    </row>
    <row r="900" spans="1:11" x14ac:dyDescent="0.25">
      <c r="A900" t="s">
        <v>3408</v>
      </c>
      <c r="B900" s="1" t="str">
        <f>HYPERLINK("https://www.catalog.slsa.sa.gov.au/record=b3138666")</f>
        <v>https://www.catalog.slsa.sa.gov.au/record=b3138666</v>
      </c>
      <c r="C900" s="1" t="str">
        <f>HYPERLINK("https://www.catalog.slsa.sa.gov.au/xrecord=b3138666")</f>
        <v>https://www.catalog.slsa.sa.gov.au/xrecord=b3138666</v>
      </c>
      <c r="E900" t="s">
        <v>3409</v>
      </c>
      <c r="F900" t="s">
        <v>3347</v>
      </c>
      <c r="G900" t="s">
        <v>3410</v>
      </c>
      <c r="H900" t="s">
        <v>3411</v>
      </c>
      <c r="I900" t="s">
        <v>3412</v>
      </c>
      <c r="J900" t="s">
        <v>1824</v>
      </c>
      <c r="K900" s="2" t="str">
        <f>HYPERLINK("http://collections.slsa.sa.gov.au/resource/PRG+830/20/36")</f>
        <v>http://collections.slsa.sa.gov.au/resource/PRG+830/20/36</v>
      </c>
    </row>
    <row r="901" spans="1:11" x14ac:dyDescent="0.25">
      <c r="A901" t="s">
        <v>3413</v>
      </c>
      <c r="B901" s="1" t="str">
        <f>HYPERLINK("https://www.catalog.slsa.sa.gov.au/record=b3138667")</f>
        <v>https://www.catalog.slsa.sa.gov.au/record=b3138667</v>
      </c>
      <c r="C901" s="1" t="str">
        <f>HYPERLINK("https://www.catalog.slsa.sa.gov.au/xrecord=b3138667")</f>
        <v>https://www.catalog.slsa.sa.gov.au/xrecord=b3138667</v>
      </c>
      <c r="E901" t="s">
        <v>3409</v>
      </c>
      <c r="F901" t="s">
        <v>3347</v>
      </c>
      <c r="G901" t="s">
        <v>3414</v>
      </c>
      <c r="H901" t="s">
        <v>3415</v>
      </c>
      <c r="I901" t="s">
        <v>3412</v>
      </c>
      <c r="J901" t="s">
        <v>1824</v>
      </c>
      <c r="K901" s="2" t="str">
        <f>HYPERLINK("http://collections.slsa.sa.gov.au/resource/PRG+830/20/37")</f>
        <v>http://collections.slsa.sa.gov.au/resource/PRG+830/20/37</v>
      </c>
    </row>
    <row r="902" spans="1:11" x14ac:dyDescent="0.25">
      <c r="A902" t="s">
        <v>3416</v>
      </c>
      <c r="B902" s="1" t="str">
        <f>HYPERLINK("https://www.catalog.slsa.sa.gov.au/record=b3183744")</f>
        <v>https://www.catalog.slsa.sa.gov.au/record=b3183744</v>
      </c>
      <c r="C902" s="1" t="str">
        <f>HYPERLINK("https://www.catalog.slsa.sa.gov.au/xrecord=b3183744")</f>
        <v>https://www.catalog.slsa.sa.gov.au/xrecord=b3183744</v>
      </c>
      <c r="D902" t="s">
        <v>3036</v>
      </c>
      <c r="E902" t="s">
        <v>3417</v>
      </c>
      <c r="F902" t="s">
        <v>3418</v>
      </c>
      <c r="G902" t="s">
        <v>3039</v>
      </c>
      <c r="H902" t="s">
        <v>3419</v>
      </c>
      <c r="I902" t="s">
        <v>3420</v>
      </c>
      <c r="J902" t="s">
        <v>3421</v>
      </c>
      <c r="K902" s="2" t="str">
        <f>HYPERLINK("http://collections.slsa.sa.gov.au/resource/PRG+1662/2/46/1")</f>
        <v>http://collections.slsa.sa.gov.au/resource/PRG+1662/2/46/1</v>
      </c>
    </row>
    <row r="903" spans="1:11" x14ac:dyDescent="0.25">
      <c r="A903" t="s">
        <v>3422</v>
      </c>
      <c r="B903" s="1" t="str">
        <f>HYPERLINK("https://www.catalog.slsa.sa.gov.au/record=b3183752")</f>
        <v>https://www.catalog.slsa.sa.gov.au/record=b3183752</v>
      </c>
      <c r="C903" s="1" t="str">
        <f>HYPERLINK("https://www.catalog.slsa.sa.gov.au/xrecord=b3183752")</f>
        <v>https://www.catalog.slsa.sa.gov.au/xrecord=b3183752</v>
      </c>
      <c r="D903" t="s">
        <v>3036</v>
      </c>
      <c r="E903" t="s">
        <v>3417</v>
      </c>
      <c r="F903" t="s">
        <v>3418</v>
      </c>
      <c r="G903" t="s">
        <v>3039</v>
      </c>
      <c r="H903" t="s">
        <v>3423</v>
      </c>
      <c r="I903" t="s">
        <v>3424</v>
      </c>
      <c r="J903" t="s">
        <v>3421</v>
      </c>
      <c r="K903" s="2" t="str">
        <f>HYPERLINK("http://collections.slsa.sa.gov.au/resource/PRG+1662/2/46/2")</f>
        <v>http://collections.slsa.sa.gov.au/resource/PRG+1662/2/46/2</v>
      </c>
    </row>
    <row r="904" spans="1:11" x14ac:dyDescent="0.25">
      <c r="A904" t="s">
        <v>3425</v>
      </c>
      <c r="B904" s="1" t="str">
        <f>HYPERLINK("https://www.catalog.slsa.sa.gov.au/record=b3138656")</f>
        <v>https://www.catalog.slsa.sa.gov.au/record=b3138656</v>
      </c>
      <c r="C904" s="1" t="str">
        <f>HYPERLINK("https://www.catalog.slsa.sa.gov.au/xrecord=b3138656")</f>
        <v>https://www.catalog.slsa.sa.gov.au/xrecord=b3138656</v>
      </c>
      <c r="E904" t="s">
        <v>3426</v>
      </c>
      <c r="F904" t="s">
        <v>3418</v>
      </c>
      <c r="G904" t="s">
        <v>2889</v>
      </c>
      <c r="H904" t="s">
        <v>3427</v>
      </c>
      <c r="I904" t="s">
        <v>3428</v>
      </c>
      <c r="J904" t="s">
        <v>1824</v>
      </c>
      <c r="K904" s="2" t="str">
        <f>HYPERLINK("http://collections.slsa.sa.gov.au/resource/PRG+830/20/26")</f>
        <v>http://collections.slsa.sa.gov.au/resource/PRG+830/20/26</v>
      </c>
    </row>
    <row r="905" spans="1:11" x14ac:dyDescent="0.25">
      <c r="A905" t="s">
        <v>3429</v>
      </c>
      <c r="B905" s="1" t="str">
        <f>HYPERLINK("https://www.catalog.slsa.sa.gov.au/record=b3138657")</f>
        <v>https://www.catalog.slsa.sa.gov.au/record=b3138657</v>
      </c>
      <c r="C905" s="1" t="str">
        <f>HYPERLINK("https://www.catalog.slsa.sa.gov.au/xrecord=b3138657")</f>
        <v>https://www.catalog.slsa.sa.gov.au/xrecord=b3138657</v>
      </c>
      <c r="E905" t="s">
        <v>3426</v>
      </c>
      <c r="F905" t="s">
        <v>3418</v>
      </c>
      <c r="G905" t="s">
        <v>2889</v>
      </c>
      <c r="H905" t="s">
        <v>3430</v>
      </c>
      <c r="I905" t="s">
        <v>3428</v>
      </c>
      <c r="J905" t="s">
        <v>1824</v>
      </c>
      <c r="K905" s="2" t="str">
        <f>HYPERLINK("http://collections.slsa.sa.gov.au/resource/PRG+830/20/27")</f>
        <v>http://collections.slsa.sa.gov.au/resource/PRG+830/20/27</v>
      </c>
    </row>
    <row r="906" spans="1:11" x14ac:dyDescent="0.25">
      <c r="A906" t="s">
        <v>3431</v>
      </c>
      <c r="B906" s="1" t="str">
        <f>HYPERLINK("https://www.catalog.slsa.sa.gov.au/record=b3183764")</f>
        <v>https://www.catalog.slsa.sa.gov.au/record=b3183764</v>
      </c>
      <c r="C906" s="1" t="str">
        <f>HYPERLINK("https://www.catalog.slsa.sa.gov.au/xrecord=b3183764")</f>
        <v>https://www.catalog.slsa.sa.gov.au/xrecord=b3183764</v>
      </c>
      <c r="D906" t="s">
        <v>3036</v>
      </c>
      <c r="E906" t="s">
        <v>3417</v>
      </c>
      <c r="F906" t="s">
        <v>3432</v>
      </c>
      <c r="G906" t="s">
        <v>3039</v>
      </c>
      <c r="H906" t="s">
        <v>3433</v>
      </c>
      <c r="I906" t="s">
        <v>3434</v>
      </c>
      <c r="J906" t="s">
        <v>3042</v>
      </c>
      <c r="K906" s="2" t="str">
        <f>HYPERLINK("http://collections.slsa.sa.gov.au/resource/PRG+1662/2/46/3")</f>
        <v>http://collections.slsa.sa.gov.au/resource/PRG+1662/2/46/3</v>
      </c>
    </row>
    <row r="907" spans="1:11" x14ac:dyDescent="0.25">
      <c r="A907" t="s">
        <v>3435</v>
      </c>
      <c r="B907" s="1" t="str">
        <f>HYPERLINK("https://www.catalog.slsa.sa.gov.au/record=b3183800")</f>
        <v>https://www.catalog.slsa.sa.gov.au/record=b3183800</v>
      </c>
      <c r="C907" s="1" t="str">
        <f>HYPERLINK("https://www.catalog.slsa.sa.gov.au/xrecord=b3183800")</f>
        <v>https://www.catalog.slsa.sa.gov.au/xrecord=b3183800</v>
      </c>
      <c r="D907" t="s">
        <v>3036</v>
      </c>
      <c r="E907" t="s">
        <v>3417</v>
      </c>
      <c r="F907" t="s">
        <v>3432</v>
      </c>
      <c r="G907" t="s">
        <v>3039</v>
      </c>
      <c r="H907" t="s">
        <v>3436</v>
      </c>
      <c r="I907" t="s">
        <v>3434</v>
      </c>
      <c r="J907" t="s">
        <v>3042</v>
      </c>
      <c r="K907" s="2" t="str">
        <f>HYPERLINK("http://collections.slsa.sa.gov.au/resource/PRG+1662/2/46/4")</f>
        <v>http://collections.slsa.sa.gov.au/resource/PRG+1662/2/46/4</v>
      </c>
    </row>
    <row r="908" spans="1:11" x14ac:dyDescent="0.25">
      <c r="A908" t="s">
        <v>3437</v>
      </c>
      <c r="B908" s="1" t="str">
        <f>HYPERLINK("https://www.catalog.slsa.sa.gov.au/record=b3183801")</f>
        <v>https://www.catalog.slsa.sa.gov.au/record=b3183801</v>
      </c>
      <c r="C908" s="1" t="str">
        <f>HYPERLINK("https://www.catalog.slsa.sa.gov.au/xrecord=b3183801")</f>
        <v>https://www.catalog.slsa.sa.gov.au/xrecord=b3183801</v>
      </c>
      <c r="D908" t="s">
        <v>3036</v>
      </c>
      <c r="E908" t="s">
        <v>3417</v>
      </c>
      <c r="F908" t="s">
        <v>3432</v>
      </c>
      <c r="G908" t="s">
        <v>3039</v>
      </c>
      <c r="H908" t="s">
        <v>3436</v>
      </c>
      <c r="I908" t="s">
        <v>3434</v>
      </c>
      <c r="J908" t="s">
        <v>3042</v>
      </c>
      <c r="K908" s="2" t="str">
        <f>HYPERLINK("http://collections.slsa.sa.gov.au/resource/PRG+1662/2/46/5")</f>
        <v>http://collections.slsa.sa.gov.au/resource/PRG+1662/2/46/5</v>
      </c>
    </row>
    <row r="909" spans="1:11" x14ac:dyDescent="0.25">
      <c r="A909" t="s">
        <v>3438</v>
      </c>
      <c r="B909" s="1" t="str">
        <f>HYPERLINK("https://www.catalog.slsa.sa.gov.au/record=b3183802")</f>
        <v>https://www.catalog.slsa.sa.gov.au/record=b3183802</v>
      </c>
      <c r="C909" s="1" t="str">
        <f>HYPERLINK("https://www.catalog.slsa.sa.gov.au/xrecord=b3183802")</f>
        <v>https://www.catalog.slsa.sa.gov.au/xrecord=b3183802</v>
      </c>
      <c r="D909" t="s">
        <v>3036</v>
      </c>
      <c r="E909" t="s">
        <v>3417</v>
      </c>
      <c r="F909" t="s">
        <v>3432</v>
      </c>
      <c r="G909" t="s">
        <v>3039</v>
      </c>
      <c r="H909" t="s">
        <v>3436</v>
      </c>
      <c r="I909" t="s">
        <v>3434</v>
      </c>
      <c r="J909" t="s">
        <v>3042</v>
      </c>
      <c r="K909" s="2" t="str">
        <f>HYPERLINK("http://collections.slsa.sa.gov.au/resource/PRG+1662/2/46/6")</f>
        <v>http://collections.slsa.sa.gov.au/resource/PRG+1662/2/46/6</v>
      </c>
    </row>
    <row r="910" spans="1:11" x14ac:dyDescent="0.25">
      <c r="A910" t="s">
        <v>3439</v>
      </c>
      <c r="B910" s="1" t="str">
        <f>HYPERLINK("https://www.catalog.slsa.sa.gov.au/record=b3183803")</f>
        <v>https://www.catalog.slsa.sa.gov.au/record=b3183803</v>
      </c>
      <c r="C910" s="1" t="str">
        <f>HYPERLINK("https://www.catalog.slsa.sa.gov.au/xrecord=b3183803")</f>
        <v>https://www.catalog.slsa.sa.gov.au/xrecord=b3183803</v>
      </c>
      <c r="D910" t="s">
        <v>3036</v>
      </c>
      <c r="E910" t="s">
        <v>3417</v>
      </c>
      <c r="F910" t="s">
        <v>3432</v>
      </c>
      <c r="G910" t="s">
        <v>3039</v>
      </c>
      <c r="H910" t="s">
        <v>3440</v>
      </c>
      <c r="I910" t="s">
        <v>3434</v>
      </c>
      <c r="J910" t="s">
        <v>3042</v>
      </c>
      <c r="K910" s="2" t="str">
        <f>HYPERLINK("http://collections.slsa.sa.gov.au/resource/PRG+1662/2/46/7")</f>
        <v>http://collections.slsa.sa.gov.au/resource/PRG+1662/2/46/7</v>
      </c>
    </row>
    <row r="911" spans="1:11" x14ac:dyDescent="0.25">
      <c r="A911" t="s">
        <v>3441</v>
      </c>
      <c r="B911" s="1" t="str">
        <f>HYPERLINK("https://www.catalog.slsa.sa.gov.au/record=b3183804")</f>
        <v>https://www.catalog.slsa.sa.gov.au/record=b3183804</v>
      </c>
      <c r="C911" s="1" t="str">
        <f>HYPERLINK("https://www.catalog.slsa.sa.gov.au/xrecord=b3183804")</f>
        <v>https://www.catalog.slsa.sa.gov.au/xrecord=b3183804</v>
      </c>
      <c r="D911" t="s">
        <v>3036</v>
      </c>
      <c r="E911" t="s">
        <v>3417</v>
      </c>
      <c r="F911" t="s">
        <v>3432</v>
      </c>
      <c r="G911" t="s">
        <v>3039</v>
      </c>
      <c r="H911" t="s">
        <v>3442</v>
      </c>
      <c r="I911" t="s">
        <v>3443</v>
      </c>
      <c r="J911" t="s">
        <v>3042</v>
      </c>
      <c r="K911" s="2" t="str">
        <f>HYPERLINK("http://collections.slsa.sa.gov.au/resource/PRG+1662/2/46/8")</f>
        <v>http://collections.slsa.sa.gov.au/resource/PRG+1662/2/46/8</v>
      </c>
    </row>
    <row r="912" spans="1:11" x14ac:dyDescent="0.25">
      <c r="A912" t="s">
        <v>3444</v>
      </c>
      <c r="B912" s="1" t="str">
        <f>HYPERLINK("https://www.catalog.slsa.sa.gov.au/record=b3138658")</f>
        <v>https://www.catalog.slsa.sa.gov.au/record=b3138658</v>
      </c>
      <c r="C912" s="1" t="str">
        <f>HYPERLINK("https://www.catalog.slsa.sa.gov.au/xrecord=b3138658")</f>
        <v>https://www.catalog.slsa.sa.gov.au/xrecord=b3138658</v>
      </c>
      <c r="E912" t="s">
        <v>3445</v>
      </c>
      <c r="F912" t="s">
        <v>3432</v>
      </c>
      <c r="G912" t="s">
        <v>2889</v>
      </c>
      <c r="H912" t="s">
        <v>3446</v>
      </c>
      <c r="I912" t="s">
        <v>3447</v>
      </c>
      <c r="J912" t="s">
        <v>1824</v>
      </c>
      <c r="K912" s="2" t="str">
        <f>HYPERLINK("http://collections.slsa.sa.gov.au/resource/PRG+830/20/28")</f>
        <v>http://collections.slsa.sa.gov.au/resource/PRG+830/20/28</v>
      </c>
    </row>
    <row r="913" spans="1:11" x14ac:dyDescent="0.25">
      <c r="A913" t="s">
        <v>3448</v>
      </c>
      <c r="B913" s="1" t="str">
        <f>HYPERLINK("https://www.catalog.slsa.sa.gov.au/record=b3138659")</f>
        <v>https://www.catalog.slsa.sa.gov.au/record=b3138659</v>
      </c>
      <c r="C913" s="1" t="str">
        <f>HYPERLINK("https://www.catalog.slsa.sa.gov.au/xrecord=b3138659")</f>
        <v>https://www.catalog.slsa.sa.gov.au/xrecord=b3138659</v>
      </c>
      <c r="E913" t="s">
        <v>3449</v>
      </c>
      <c r="F913" t="s">
        <v>3432</v>
      </c>
      <c r="G913" t="s">
        <v>2889</v>
      </c>
      <c r="H913" t="s">
        <v>3450</v>
      </c>
      <c r="I913" t="s">
        <v>3451</v>
      </c>
      <c r="J913" t="s">
        <v>1824</v>
      </c>
      <c r="K913" s="2" t="str">
        <f>HYPERLINK("http://collections.slsa.sa.gov.au/resource/PRG+830/20/29")</f>
        <v>http://collections.slsa.sa.gov.au/resource/PRG+830/20/29</v>
      </c>
    </row>
    <row r="914" spans="1:11" x14ac:dyDescent="0.25">
      <c r="A914" t="s">
        <v>3452</v>
      </c>
      <c r="B914" s="1" t="str">
        <f>HYPERLINK("https://www.catalog.slsa.sa.gov.au/record=b2927008")</f>
        <v>https://www.catalog.slsa.sa.gov.au/record=b2927008</v>
      </c>
      <c r="C914" s="1" t="str">
        <f>HYPERLINK("https://www.catalog.slsa.sa.gov.au/xrecord=b2927008")</f>
        <v>https://www.catalog.slsa.sa.gov.au/xrecord=b2927008</v>
      </c>
      <c r="D914" t="s">
        <v>2946</v>
      </c>
      <c r="E914" t="s">
        <v>3453</v>
      </c>
      <c r="F914" t="s">
        <v>3454</v>
      </c>
      <c r="G914" t="s">
        <v>3455</v>
      </c>
      <c r="H914" t="s">
        <v>3456</v>
      </c>
      <c r="I914" t="s">
        <v>3457</v>
      </c>
      <c r="J914" t="s">
        <v>2952</v>
      </c>
      <c r="K914" s="2" t="str">
        <f>HYPERLINK("http://collections.slsa.sa.gov.au/prg/1561/5/PRG1561_5_1_15.htm")</f>
        <v>http://collections.slsa.sa.gov.au/prg/1561/5/PRG1561_5_1_15.htm</v>
      </c>
    </row>
    <row r="915" spans="1:11" x14ac:dyDescent="0.25">
      <c r="A915" t="s">
        <v>3458</v>
      </c>
      <c r="B915" s="1" t="str">
        <f>HYPERLINK("https://www.catalog.slsa.sa.gov.au/record=b2927009")</f>
        <v>https://www.catalog.slsa.sa.gov.au/record=b2927009</v>
      </c>
      <c r="C915" s="1" t="str">
        <f>HYPERLINK("https://www.catalog.slsa.sa.gov.au/xrecord=b2927009")</f>
        <v>https://www.catalog.slsa.sa.gov.au/xrecord=b2927009</v>
      </c>
      <c r="D915" t="s">
        <v>2946</v>
      </c>
      <c r="E915" t="s">
        <v>3459</v>
      </c>
      <c r="F915" t="s">
        <v>3454</v>
      </c>
      <c r="G915" t="s">
        <v>3460</v>
      </c>
      <c r="H915" t="s">
        <v>3461</v>
      </c>
      <c r="I915" t="s">
        <v>3462</v>
      </c>
      <c r="J915" t="s">
        <v>2952</v>
      </c>
      <c r="K915" s="2" t="str">
        <f>HYPERLINK("http://collections.slsa.sa.gov.au/prg/1561/5/PRG1561_5_1_16.htm")</f>
        <v>http://collections.slsa.sa.gov.au/prg/1561/5/PRG1561_5_1_16.htm</v>
      </c>
    </row>
    <row r="916" spans="1:11" x14ac:dyDescent="0.25">
      <c r="A916" t="s">
        <v>3463</v>
      </c>
      <c r="B916" s="1" t="str">
        <f>HYPERLINK("https://www.catalog.slsa.sa.gov.au/record=b3026885")</f>
        <v>https://www.catalog.slsa.sa.gov.au/record=b3026885</v>
      </c>
      <c r="C916" s="1" t="str">
        <f>HYPERLINK("https://www.catalog.slsa.sa.gov.au/xrecord=b3026885")</f>
        <v>https://www.catalog.slsa.sa.gov.au/xrecord=b3026885</v>
      </c>
      <c r="D916" t="s">
        <v>3036</v>
      </c>
      <c r="E916" t="s">
        <v>3464</v>
      </c>
      <c r="F916" t="s">
        <v>3465</v>
      </c>
      <c r="G916" t="s">
        <v>3039</v>
      </c>
      <c r="H916" t="s">
        <v>3466</v>
      </c>
      <c r="I916" t="s">
        <v>3467</v>
      </c>
      <c r="J916" t="s">
        <v>3042</v>
      </c>
      <c r="K916" s="2" t="str">
        <f>HYPERLINK("http://collections.slsa.sa.gov.au/resource/PRG+1662/1/7/15")</f>
        <v>http://collections.slsa.sa.gov.au/resource/PRG+1662/1/7/15</v>
      </c>
    </row>
    <row r="917" spans="1:11" x14ac:dyDescent="0.25">
      <c r="A917" t="s">
        <v>3468</v>
      </c>
      <c r="B917" s="1" t="str">
        <f>HYPERLINK("https://www.catalog.slsa.sa.gov.au/record=b3026886")</f>
        <v>https://www.catalog.slsa.sa.gov.au/record=b3026886</v>
      </c>
      <c r="C917" s="1" t="str">
        <f>HYPERLINK("https://www.catalog.slsa.sa.gov.au/xrecord=b3026886")</f>
        <v>https://www.catalog.slsa.sa.gov.au/xrecord=b3026886</v>
      </c>
      <c r="D917" t="s">
        <v>3036</v>
      </c>
      <c r="E917" t="s">
        <v>3464</v>
      </c>
      <c r="F917" t="s">
        <v>3465</v>
      </c>
      <c r="G917" t="s">
        <v>3039</v>
      </c>
      <c r="H917" t="s">
        <v>3466</v>
      </c>
      <c r="I917" t="s">
        <v>3467</v>
      </c>
      <c r="J917" t="s">
        <v>3042</v>
      </c>
      <c r="K917" s="2" t="str">
        <f>HYPERLINK("http://collections.slsa.sa.gov.au/resource/PRG+1662/1/7/21")</f>
        <v>http://collections.slsa.sa.gov.au/resource/PRG+1662/1/7/21</v>
      </c>
    </row>
    <row r="918" spans="1:11" x14ac:dyDescent="0.25">
      <c r="A918" t="s">
        <v>3469</v>
      </c>
      <c r="B918" s="1" t="str">
        <f>HYPERLINK("https://www.catalog.slsa.sa.gov.au/record=b3026887")</f>
        <v>https://www.catalog.slsa.sa.gov.au/record=b3026887</v>
      </c>
      <c r="C918" s="1" t="str">
        <f>HYPERLINK("https://www.catalog.slsa.sa.gov.au/xrecord=b3026887")</f>
        <v>https://www.catalog.slsa.sa.gov.au/xrecord=b3026887</v>
      </c>
      <c r="D918" t="s">
        <v>3036</v>
      </c>
      <c r="E918" t="s">
        <v>3464</v>
      </c>
      <c r="F918" t="s">
        <v>3465</v>
      </c>
      <c r="G918" t="s">
        <v>3039</v>
      </c>
      <c r="H918" t="s">
        <v>3466</v>
      </c>
      <c r="I918" t="s">
        <v>3467</v>
      </c>
      <c r="J918" t="s">
        <v>3042</v>
      </c>
      <c r="K918" s="2" t="str">
        <f>HYPERLINK("http://collections.slsa.sa.gov.au/resource/PRG+1662/1/7/22")</f>
        <v>http://collections.slsa.sa.gov.au/resource/PRG+1662/1/7/22</v>
      </c>
    </row>
    <row r="919" spans="1:11" x14ac:dyDescent="0.25">
      <c r="A919" t="s">
        <v>3470</v>
      </c>
      <c r="B919" s="1" t="str">
        <f>HYPERLINK("https://www.catalog.slsa.sa.gov.au/record=b3026888")</f>
        <v>https://www.catalog.slsa.sa.gov.au/record=b3026888</v>
      </c>
      <c r="C919" s="1" t="str">
        <f>HYPERLINK("https://www.catalog.slsa.sa.gov.au/xrecord=b3026888")</f>
        <v>https://www.catalog.slsa.sa.gov.au/xrecord=b3026888</v>
      </c>
      <c r="D919" t="s">
        <v>3036</v>
      </c>
      <c r="E919" t="s">
        <v>3464</v>
      </c>
      <c r="F919" t="s">
        <v>3465</v>
      </c>
      <c r="G919" t="s">
        <v>3039</v>
      </c>
      <c r="H919" t="s">
        <v>3466</v>
      </c>
      <c r="I919" t="s">
        <v>3467</v>
      </c>
      <c r="J919" t="s">
        <v>3042</v>
      </c>
      <c r="K919" s="2" t="str">
        <f>HYPERLINK("http://collections.slsa.sa.gov.au/resource/PRG+1662/1/7/44")</f>
        <v>http://collections.slsa.sa.gov.au/resource/PRG+1662/1/7/44</v>
      </c>
    </row>
    <row r="920" spans="1:11" x14ac:dyDescent="0.25">
      <c r="A920" t="s">
        <v>3471</v>
      </c>
      <c r="B920" s="1" t="str">
        <f>HYPERLINK("https://www.catalog.slsa.sa.gov.au/record=b3026883")</f>
        <v>https://www.catalog.slsa.sa.gov.au/record=b3026883</v>
      </c>
      <c r="C920" s="1" t="str">
        <f>HYPERLINK("https://www.catalog.slsa.sa.gov.au/xrecord=b3026883")</f>
        <v>https://www.catalog.slsa.sa.gov.au/xrecord=b3026883</v>
      </c>
      <c r="D920" t="s">
        <v>3036</v>
      </c>
      <c r="E920" t="s">
        <v>3464</v>
      </c>
      <c r="F920" t="s">
        <v>3465</v>
      </c>
      <c r="G920" t="s">
        <v>3039</v>
      </c>
      <c r="H920" t="s">
        <v>3466</v>
      </c>
      <c r="I920" t="s">
        <v>3467</v>
      </c>
      <c r="J920" t="s">
        <v>3042</v>
      </c>
      <c r="K920" s="2" t="str">
        <f>HYPERLINK("http://collections.slsa.sa.gov.au/resource/PRG+1662/1/7/9")</f>
        <v>http://collections.slsa.sa.gov.au/resource/PRG+1662/1/7/9</v>
      </c>
    </row>
    <row r="921" spans="1:11" x14ac:dyDescent="0.25">
      <c r="A921" t="s">
        <v>3472</v>
      </c>
      <c r="B921" s="1" t="str">
        <f>HYPERLINK("https://www.catalog.slsa.sa.gov.au/record=b3026891")</f>
        <v>https://www.catalog.slsa.sa.gov.au/record=b3026891</v>
      </c>
      <c r="C921" s="1" t="str">
        <f>HYPERLINK("https://www.catalog.slsa.sa.gov.au/xrecord=b3026891")</f>
        <v>https://www.catalog.slsa.sa.gov.au/xrecord=b3026891</v>
      </c>
      <c r="D921" t="s">
        <v>3036</v>
      </c>
      <c r="E921" t="s">
        <v>3473</v>
      </c>
      <c r="F921" t="s">
        <v>3474</v>
      </c>
      <c r="G921" t="s">
        <v>3039</v>
      </c>
      <c r="H921" t="s">
        <v>3475</v>
      </c>
      <c r="I921" t="s">
        <v>3476</v>
      </c>
      <c r="J921" t="s">
        <v>3042</v>
      </c>
      <c r="K921" s="2" t="str">
        <f>HYPERLINK("http://collections.slsa.sa.gov.au/resource/PRG+1662/1/8/2")</f>
        <v>http://collections.slsa.sa.gov.au/resource/PRG+1662/1/8/2</v>
      </c>
    </row>
    <row r="922" spans="1:11" x14ac:dyDescent="0.25">
      <c r="A922" t="s">
        <v>3477</v>
      </c>
      <c r="B922" s="1" t="str">
        <f>HYPERLINK("https://www.catalog.slsa.sa.gov.au/record=b3026892")</f>
        <v>https://www.catalog.slsa.sa.gov.au/record=b3026892</v>
      </c>
      <c r="C922" s="1" t="str">
        <f>HYPERLINK("https://www.catalog.slsa.sa.gov.au/xrecord=b3026892")</f>
        <v>https://www.catalog.slsa.sa.gov.au/xrecord=b3026892</v>
      </c>
      <c r="D922" t="s">
        <v>3036</v>
      </c>
      <c r="E922" t="s">
        <v>3473</v>
      </c>
      <c r="F922" t="s">
        <v>3474</v>
      </c>
      <c r="G922" t="s">
        <v>3039</v>
      </c>
      <c r="H922" t="s">
        <v>3475</v>
      </c>
      <c r="I922" t="s">
        <v>3476</v>
      </c>
      <c r="J922" t="s">
        <v>3042</v>
      </c>
      <c r="K922" s="2" t="str">
        <f>HYPERLINK("http://collections.slsa.sa.gov.au/resource/PRG+1662/1/8/20")</f>
        <v>http://collections.slsa.sa.gov.au/resource/PRG+1662/1/8/20</v>
      </c>
    </row>
    <row r="923" spans="1:11" x14ac:dyDescent="0.25">
      <c r="A923" t="s">
        <v>3478</v>
      </c>
      <c r="B923" s="1" t="str">
        <f>HYPERLINK("https://www.catalog.slsa.sa.gov.au/record=b3026893")</f>
        <v>https://www.catalog.slsa.sa.gov.au/record=b3026893</v>
      </c>
      <c r="C923" s="1" t="str">
        <f>HYPERLINK("https://www.catalog.slsa.sa.gov.au/xrecord=b3026893")</f>
        <v>https://www.catalog.slsa.sa.gov.au/xrecord=b3026893</v>
      </c>
      <c r="D923" t="s">
        <v>3036</v>
      </c>
      <c r="E923" t="s">
        <v>3473</v>
      </c>
      <c r="F923" t="s">
        <v>3474</v>
      </c>
      <c r="G923" t="s">
        <v>3039</v>
      </c>
      <c r="H923" t="s">
        <v>3475</v>
      </c>
      <c r="I923" t="s">
        <v>3476</v>
      </c>
      <c r="J923" t="s">
        <v>3042</v>
      </c>
      <c r="K923" s="2" t="str">
        <f>HYPERLINK("http://collections.slsa.sa.gov.au/resource/PRG+1662/1/8/22")</f>
        <v>http://collections.slsa.sa.gov.au/resource/PRG+1662/1/8/22</v>
      </c>
    </row>
    <row r="924" spans="1:11" x14ac:dyDescent="0.25">
      <c r="A924" t="s">
        <v>3479</v>
      </c>
      <c r="B924" s="1" t="str">
        <f>HYPERLINK("https://www.catalog.slsa.sa.gov.au/record=b3026894")</f>
        <v>https://www.catalog.slsa.sa.gov.au/record=b3026894</v>
      </c>
      <c r="C924" s="1" t="str">
        <f>HYPERLINK("https://www.catalog.slsa.sa.gov.au/xrecord=b3026894")</f>
        <v>https://www.catalog.slsa.sa.gov.au/xrecord=b3026894</v>
      </c>
      <c r="D924" t="s">
        <v>3036</v>
      </c>
      <c r="E924" t="s">
        <v>3473</v>
      </c>
      <c r="F924" t="s">
        <v>3474</v>
      </c>
      <c r="G924" t="s">
        <v>3039</v>
      </c>
      <c r="H924" t="s">
        <v>3475</v>
      </c>
      <c r="I924" t="s">
        <v>3476</v>
      </c>
      <c r="J924" t="s">
        <v>3042</v>
      </c>
      <c r="K924" s="2" t="str">
        <f>HYPERLINK("http://collections.slsa.sa.gov.au/resource/PRG+1662/1/8/43")</f>
        <v>http://collections.slsa.sa.gov.au/resource/PRG+1662/1/8/43</v>
      </c>
    </row>
    <row r="925" spans="1:11" x14ac:dyDescent="0.25">
      <c r="A925" t="s">
        <v>3480</v>
      </c>
      <c r="B925" s="1" t="str">
        <f>HYPERLINK("https://www.catalog.slsa.sa.gov.au/record=b3198268")</f>
        <v>https://www.catalog.slsa.sa.gov.au/record=b3198268</v>
      </c>
      <c r="C925" s="1" t="str">
        <f>HYPERLINK("https://www.catalog.slsa.sa.gov.au/xrecord=b3198268")</f>
        <v>https://www.catalog.slsa.sa.gov.au/xrecord=b3198268</v>
      </c>
      <c r="E925" t="s">
        <v>3481</v>
      </c>
      <c r="F925" t="s">
        <v>3482</v>
      </c>
      <c r="G925" t="s">
        <v>3483</v>
      </c>
      <c r="H925" t="s">
        <v>3484</v>
      </c>
      <c r="I925" t="s">
        <v>3485</v>
      </c>
      <c r="J925" t="s">
        <v>3486</v>
      </c>
      <c r="K925" s="2" t="str">
        <f>HYPERLINK("http://collections.slsa.sa.gov.au/resource/BRG+205/1/51")</f>
        <v>http://collections.slsa.sa.gov.au/resource/BRG+205/1/51</v>
      </c>
    </row>
    <row r="926" spans="1:11" x14ac:dyDescent="0.25">
      <c r="A926" t="s">
        <v>3487</v>
      </c>
      <c r="B926" s="1" t="str">
        <f>HYPERLINK("https://www.catalog.slsa.sa.gov.au/record=b3085045")</f>
        <v>https://www.catalog.slsa.sa.gov.au/record=b3085045</v>
      </c>
      <c r="C926" s="1" t="str">
        <f>HYPERLINK("https://www.catalog.slsa.sa.gov.au/xrecord=b3085045")</f>
        <v>https://www.catalog.slsa.sa.gov.au/xrecord=b3085045</v>
      </c>
      <c r="D926" t="s">
        <v>3036</v>
      </c>
      <c r="E926" t="s">
        <v>3488</v>
      </c>
      <c r="F926" t="s">
        <v>3489</v>
      </c>
      <c r="G926" t="s">
        <v>3039</v>
      </c>
      <c r="H926" t="s">
        <v>3490</v>
      </c>
      <c r="I926" t="s">
        <v>3491</v>
      </c>
      <c r="J926" t="s">
        <v>3042</v>
      </c>
      <c r="K926" s="2" t="str">
        <f>HYPERLINK("http://collections.slsa.sa.gov.au/resource/PRG+1662/1/16/16")</f>
        <v>http://collections.slsa.sa.gov.au/resource/PRG+1662/1/16/16</v>
      </c>
    </row>
    <row r="927" spans="1:11" x14ac:dyDescent="0.25">
      <c r="A927" t="s">
        <v>3492</v>
      </c>
      <c r="B927" s="1" t="str">
        <f>HYPERLINK("https://www.catalog.slsa.sa.gov.au/record=b3085049")</f>
        <v>https://www.catalog.slsa.sa.gov.au/record=b3085049</v>
      </c>
      <c r="C927" s="1" t="str">
        <f>HYPERLINK("https://www.catalog.slsa.sa.gov.au/xrecord=b3085049")</f>
        <v>https://www.catalog.slsa.sa.gov.au/xrecord=b3085049</v>
      </c>
      <c r="D927" t="s">
        <v>3036</v>
      </c>
      <c r="E927" t="s">
        <v>3488</v>
      </c>
      <c r="F927" t="s">
        <v>3489</v>
      </c>
      <c r="G927" t="s">
        <v>3039</v>
      </c>
      <c r="H927" t="s">
        <v>3490</v>
      </c>
      <c r="I927" t="s">
        <v>3493</v>
      </c>
      <c r="J927" t="s">
        <v>3042</v>
      </c>
      <c r="K927" s="2" t="str">
        <f>HYPERLINK("http://collections.slsa.sa.gov.au/resource/PRG+1662/1/16/34")</f>
        <v>http://collections.slsa.sa.gov.au/resource/PRG+1662/1/16/34</v>
      </c>
    </row>
    <row r="928" spans="1:11" x14ac:dyDescent="0.25">
      <c r="A928" t="s">
        <v>3494</v>
      </c>
      <c r="B928" s="1" t="str">
        <f>HYPERLINK("https://www.catalog.slsa.sa.gov.au/record=b3085050")</f>
        <v>https://www.catalog.slsa.sa.gov.au/record=b3085050</v>
      </c>
      <c r="C928" s="1" t="str">
        <f>HYPERLINK("https://www.catalog.slsa.sa.gov.au/xrecord=b3085050")</f>
        <v>https://www.catalog.slsa.sa.gov.au/xrecord=b3085050</v>
      </c>
      <c r="D928" t="s">
        <v>3036</v>
      </c>
      <c r="E928" t="s">
        <v>3488</v>
      </c>
      <c r="F928" t="s">
        <v>3489</v>
      </c>
      <c r="G928" t="s">
        <v>3039</v>
      </c>
      <c r="H928" t="s">
        <v>3490</v>
      </c>
      <c r="I928" t="s">
        <v>3493</v>
      </c>
      <c r="J928" t="s">
        <v>3042</v>
      </c>
      <c r="K928" s="2" t="str">
        <f>HYPERLINK("http://collections.slsa.sa.gov.au/resource/PRG+1662/1/16/38")</f>
        <v>http://collections.slsa.sa.gov.au/resource/PRG+1662/1/16/38</v>
      </c>
    </row>
    <row r="929" spans="1:11" x14ac:dyDescent="0.25">
      <c r="A929" t="s">
        <v>3495</v>
      </c>
      <c r="B929" s="1" t="str">
        <f>HYPERLINK("https://www.catalog.slsa.sa.gov.au/record=b3085043")</f>
        <v>https://www.catalog.slsa.sa.gov.au/record=b3085043</v>
      </c>
      <c r="C929" s="1" t="str">
        <f>HYPERLINK("https://www.catalog.slsa.sa.gov.au/xrecord=b3085043")</f>
        <v>https://www.catalog.slsa.sa.gov.au/xrecord=b3085043</v>
      </c>
      <c r="D929" t="s">
        <v>3036</v>
      </c>
      <c r="E929" t="s">
        <v>3488</v>
      </c>
      <c r="F929" t="s">
        <v>3489</v>
      </c>
      <c r="G929" t="s">
        <v>3039</v>
      </c>
      <c r="H929" t="s">
        <v>3490</v>
      </c>
      <c r="I929" t="s">
        <v>3491</v>
      </c>
      <c r="J929" t="s">
        <v>3042</v>
      </c>
      <c r="K929" s="2" t="str">
        <f>HYPERLINK("http://collections.slsa.sa.gov.au/resource/PRG+1662/1/16/4")</f>
        <v>http://collections.slsa.sa.gov.au/resource/PRG+1662/1/16/4</v>
      </c>
    </row>
    <row r="930" spans="1:11" x14ac:dyDescent="0.25">
      <c r="A930" t="s">
        <v>3496</v>
      </c>
      <c r="B930" s="1" t="str">
        <f>HYPERLINK("https://www.catalog.slsa.sa.gov.au/record=b3085051")</f>
        <v>https://www.catalog.slsa.sa.gov.au/record=b3085051</v>
      </c>
      <c r="C930" s="1" t="str">
        <f>HYPERLINK("https://www.catalog.slsa.sa.gov.au/xrecord=b3085051")</f>
        <v>https://www.catalog.slsa.sa.gov.au/xrecord=b3085051</v>
      </c>
      <c r="D930" t="s">
        <v>3036</v>
      </c>
      <c r="E930" t="s">
        <v>3488</v>
      </c>
      <c r="F930" t="s">
        <v>3489</v>
      </c>
      <c r="G930" t="s">
        <v>3039</v>
      </c>
      <c r="H930" t="s">
        <v>3490</v>
      </c>
      <c r="I930" t="s">
        <v>3491</v>
      </c>
      <c r="J930" t="s">
        <v>3042</v>
      </c>
      <c r="K930" s="2" t="str">
        <f>HYPERLINK("http://collections.slsa.sa.gov.au/resource/PRG+1662/1/16/44")</f>
        <v>http://collections.slsa.sa.gov.au/resource/PRG+1662/1/16/44</v>
      </c>
    </row>
    <row r="931" spans="1:11" x14ac:dyDescent="0.25">
      <c r="A931" t="s">
        <v>3497</v>
      </c>
      <c r="B931" s="1" t="str">
        <f>HYPERLINK("https://www.catalog.slsa.sa.gov.au/record=b3085032")</f>
        <v>https://www.catalog.slsa.sa.gov.au/record=b3085032</v>
      </c>
      <c r="C931" s="1" t="str">
        <f>HYPERLINK("https://www.catalog.slsa.sa.gov.au/xrecord=b3085032")</f>
        <v>https://www.catalog.slsa.sa.gov.au/xrecord=b3085032</v>
      </c>
      <c r="D931" t="s">
        <v>3036</v>
      </c>
      <c r="E931" t="s">
        <v>3488</v>
      </c>
      <c r="F931" t="s">
        <v>3489</v>
      </c>
      <c r="G931" t="s">
        <v>3039</v>
      </c>
      <c r="H931" t="s">
        <v>3490</v>
      </c>
      <c r="I931" t="s">
        <v>3491</v>
      </c>
      <c r="J931" t="s">
        <v>3042</v>
      </c>
      <c r="K931" s="2" t="str">
        <f>HYPERLINK("http://collections.slsa.sa.gov.au/resource/PRG+1662/1/16/9")</f>
        <v>http://collections.slsa.sa.gov.au/resource/PRG+1662/1/16/9</v>
      </c>
    </row>
    <row r="932" spans="1:11" x14ac:dyDescent="0.25">
      <c r="A932" t="s">
        <v>3498</v>
      </c>
      <c r="B932" s="1" t="str">
        <f>HYPERLINK("https://www.catalog.slsa.sa.gov.au/record=b3085056")</f>
        <v>https://www.catalog.slsa.sa.gov.au/record=b3085056</v>
      </c>
      <c r="C932" s="1" t="str">
        <f>HYPERLINK("https://www.catalog.slsa.sa.gov.au/xrecord=b3085056")</f>
        <v>https://www.catalog.slsa.sa.gov.au/xrecord=b3085056</v>
      </c>
      <c r="D932" t="s">
        <v>3036</v>
      </c>
      <c r="E932" t="s">
        <v>3499</v>
      </c>
      <c r="F932" t="s">
        <v>3500</v>
      </c>
      <c r="G932" t="s">
        <v>3039</v>
      </c>
      <c r="H932" t="s">
        <v>3501</v>
      </c>
      <c r="I932" t="s">
        <v>3230</v>
      </c>
      <c r="J932" t="s">
        <v>3042</v>
      </c>
      <c r="K932" s="2" t="str">
        <f>HYPERLINK("http://collections.slsa.sa.gov.au/resource/PRG+1662/1/17/16")</f>
        <v>http://collections.slsa.sa.gov.au/resource/PRG+1662/1/17/16</v>
      </c>
    </row>
    <row r="933" spans="1:11" x14ac:dyDescent="0.25">
      <c r="A933" t="s">
        <v>3502</v>
      </c>
      <c r="B933" s="1" t="str">
        <f>HYPERLINK("https://www.catalog.slsa.sa.gov.au/record=b3085058")</f>
        <v>https://www.catalog.slsa.sa.gov.au/record=b3085058</v>
      </c>
      <c r="C933" s="1" t="str">
        <f>HYPERLINK("https://www.catalog.slsa.sa.gov.au/xrecord=b3085058")</f>
        <v>https://www.catalog.slsa.sa.gov.au/xrecord=b3085058</v>
      </c>
      <c r="D933" t="s">
        <v>3036</v>
      </c>
      <c r="E933" t="s">
        <v>3499</v>
      </c>
      <c r="F933" t="s">
        <v>3500</v>
      </c>
      <c r="G933" t="s">
        <v>3039</v>
      </c>
      <c r="H933" t="s">
        <v>3501</v>
      </c>
      <c r="I933" t="s">
        <v>3230</v>
      </c>
      <c r="J933" t="s">
        <v>3042</v>
      </c>
      <c r="K933" s="2" t="str">
        <f>HYPERLINK("http://collections.slsa.sa.gov.au/resource/PRG+1662/1/17/20")</f>
        <v>http://collections.slsa.sa.gov.au/resource/PRG+1662/1/17/20</v>
      </c>
    </row>
    <row r="934" spans="1:11" x14ac:dyDescent="0.25">
      <c r="A934" t="s">
        <v>3503</v>
      </c>
      <c r="B934" s="1" t="str">
        <f>HYPERLINK("https://www.catalog.slsa.sa.gov.au/record=b3085053")</f>
        <v>https://www.catalog.slsa.sa.gov.au/record=b3085053</v>
      </c>
      <c r="C934" s="1" t="str">
        <f>HYPERLINK("https://www.catalog.slsa.sa.gov.au/xrecord=b3085053")</f>
        <v>https://www.catalog.slsa.sa.gov.au/xrecord=b3085053</v>
      </c>
      <c r="D934" t="s">
        <v>3036</v>
      </c>
      <c r="E934" t="s">
        <v>3499</v>
      </c>
      <c r="F934" t="s">
        <v>3500</v>
      </c>
      <c r="G934" t="s">
        <v>3039</v>
      </c>
      <c r="H934" t="s">
        <v>3501</v>
      </c>
      <c r="I934" t="s">
        <v>3230</v>
      </c>
      <c r="J934" t="s">
        <v>3042</v>
      </c>
      <c r="K934" s="2" t="str">
        <f>HYPERLINK("http://collections.slsa.sa.gov.au/resource/PRG+1662/1/17/8")</f>
        <v>http://collections.slsa.sa.gov.au/resource/PRG+1662/1/17/8</v>
      </c>
    </row>
    <row r="935" spans="1:11" x14ac:dyDescent="0.25">
      <c r="A935" t="s">
        <v>3504</v>
      </c>
      <c r="B935" s="1" t="str">
        <f>HYPERLINK("https://www.catalog.slsa.sa.gov.au/record=b3085073")</f>
        <v>https://www.catalog.slsa.sa.gov.au/record=b3085073</v>
      </c>
      <c r="C935" s="1" t="str">
        <f>HYPERLINK("https://www.catalog.slsa.sa.gov.au/xrecord=b3085073")</f>
        <v>https://www.catalog.slsa.sa.gov.au/xrecord=b3085073</v>
      </c>
      <c r="D935" t="s">
        <v>3036</v>
      </c>
      <c r="E935" t="s">
        <v>3505</v>
      </c>
      <c r="F935" t="s">
        <v>3506</v>
      </c>
      <c r="G935" t="s">
        <v>3039</v>
      </c>
      <c r="H935" t="s">
        <v>3507</v>
      </c>
      <c r="I935" t="s">
        <v>3508</v>
      </c>
      <c r="J935" t="s">
        <v>3042</v>
      </c>
      <c r="K935" s="2" t="str">
        <f>HYPERLINK("http://collections.slsa.sa.gov.au/resource/PRG+1662/1/18/11")</f>
        <v>http://collections.slsa.sa.gov.au/resource/PRG+1662/1/18/11</v>
      </c>
    </row>
    <row r="936" spans="1:11" x14ac:dyDescent="0.25">
      <c r="A936" t="s">
        <v>3509</v>
      </c>
      <c r="B936" s="1" t="str">
        <f>HYPERLINK("https://www.catalog.slsa.sa.gov.au/record=b3085074")</f>
        <v>https://www.catalog.slsa.sa.gov.au/record=b3085074</v>
      </c>
      <c r="C936" s="1" t="str">
        <f>HYPERLINK("https://www.catalog.slsa.sa.gov.au/xrecord=b3085074")</f>
        <v>https://www.catalog.slsa.sa.gov.au/xrecord=b3085074</v>
      </c>
      <c r="D936" t="s">
        <v>3036</v>
      </c>
      <c r="E936" t="s">
        <v>3505</v>
      </c>
      <c r="F936" t="s">
        <v>3506</v>
      </c>
      <c r="G936" t="s">
        <v>3039</v>
      </c>
      <c r="H936" t="s">
        <v>3507</v>
      </c>
      <c r="I936" t="s">
        <v>3508</v>
      </c>
      <c r="J936" t="s">
        <v>3042</v>
      </c>
      <c r="K936" s="2" t="str">
        <f>HYPERLINK("http://collections.slsa.sa.gov.au/resource/PRG+1662/1/18/12")</f>
        <v>http://collections.slsa.sa.gov.au/resource/PRG+1662/1/18/12</v>
      </c>
    </row>
    <row r="937" spans="1:11" x14ac:dyDescent="0.25">
      <c r="A937" t="s">
        <v>3510</v>
      </c>
      <c r="B937" s="1" t="str">
        <f>HYPERLINK("https://www.catalog.slsa.sa.gov.au/record=b3085076")</f>
        <v>https://www.catalog.slsa.sa.gov.au/record=b3085076</v>
      </c>
      <c r="C937" s="1" t="str">
        <f>HYPERLINK("https://www.catalog.slsa.sa.gov.au/xrecord=b3085076")</f>
        <v>https://www.catalog.slsa.sa.gov.au/xrecord=b3085076</v>
      </c>
      <c r="D937" t="s">
        <v>3036</v>
      </c>
      <c r="E937" t="s">
        <v>3505</v>
      </c>
      <c r="F937" t="s">
        <v>3506</v>
      </c>
      <c r="G937" t="s">
        <v>3039</v>
      </c>
      <c r="H937" t="s">
        <v>3507</v>
      </c>
      <c r="I937" t="s">
        <v>3511</v>
      </c>
      <c r="J937" t="s">
        <v>3042</v>
      </c>
      <c r="K937" s="2" t="str">
        <f>HYPERLINK("http://collections.slsa.sa.gov.au/resource/PRG+1662/1/18/20")</f>
        <v>http://collections.slsa.sa.gov.au/resource/PRG+1662/1/18/20</v>
      </c>
    </row>
    <row r="938" spans="1:11" x14ac:dyDescent="0.25">
      <c r="A938" t="s">
        <v>3512</v>
      </c>
      <c r="B938" s="1" t="str">
        <f>HYPERLINK("https://www.catalog.slsa.sa.gov.au/record=b3085060")</f>
        <v>https://www.catalog.slsa.sa.gov.au/record=b3085060</v>
      </c>
      <c r="C938" s="1" t="str">
        <f>HYPERLINK("https://www.catalog.slsa.sa.gov.au/xrecord=b3085060")</f>
        <v>https://www.catalog.slsa.sa.gov.au/xrecord=b3085060</v>
      </c>
      <c r="D938" t="s">
        <v>3036</v>
      </c>
      <c r="E938" t="s">
        <v>3505</v>
      </c>
      <c r="F938" t="s">
        <v>3506</v>
      </c>
      <c r="G938" t="s">
        <v>3039</v>
      </c>
      <c r="H938" t="s">
        <v>3507</v>
      </c>
      <c r="I938" t="s">
        <v>3511</v>
      </c>
      <c r="J938" t="s">
        <v>3042</v>
      </c>
      <c r="K938" s="2" t="str">
        <f>HYPERLINK("http://collections.slsa.sa.gov.au/resource/PRG+1662/1/18/8")</f>
        <v>http://collections.slsa.sa.gov.au/resource/PRG+1662/1/18/8</v>
      </c>
    </row>
    <row r="939" spans="1:11" x14ac:dyDescent="0.25">
      <c r="A939" t="s">
        <v>3513</v>
      </c>
      <c r="B939" s="1" t="str">
        <f>HYPERLINK("https://www.catalog.slsa.sa.gov.au/record=b3057658")</f>
        <v>https://www.catalog.slsa.sa.gov.au/record=b3057658</v>
      </c>
      <c r="C939" s="1" t="str">
        <f>HYPERLINK("https://www.catalog.slsa.sa.gov.au/xrecord=b3057658")</f>
        <v>https://www.catalog.slsa.sa.gov.au/xrecord=b3057658</v>
      </c>
      <c r="D939" t="s">
        <v>3036</v>
      </c>
      <c r="E939" t="s">
        <v>3514</v>
      </c>
      <c r="F939" t="s">
        <v>3515</v>
      </c>
      <c r="G939" t="s">
        <v>3039</v>
      </c>
      <c r="H939" t="s">
        <v>3516</v>
      </c>
      <c r="I939" t="s">
        <v>3517</v>
      </c>
      <c r="J939" t="s">
        <v>3042</v>
      </c>
      <c r="K939" s="2" t="str">
        <f>HYPERLINK("http://collections.slsa.sa.gov.au/resource/PRG+1662/1/12/13")</f>
        <v>http://collections.slsa.sa.gov.au/resource/PRG+1662/1/12/13</v>
      </c>
    </row>
    <row r="940" spans="1:11" x14ac:dyDescent="0.25">
      <c r="A940" t="s">
        <v>3518</v>
      </c>
      <c r="B940" s="1" t="str">
        <f>HYPERLINK("https://www.catalog.slsa.sa.gov.au/record=b3057634")</f>
        <v>https://www.catalog.slsa.sa.gov.au/record=b3057634</v>
      </c>
      <c r="C940" s="1" t="str">
        <f>HYPERLINK("https://www.catalog.slsa.sa.gov.au/xrecord=b3057634")</f>
        <v>https://www.catalog.slsa.sa.gov.au/xrecord=b3057634</v>
      </c>
      <c r="D940" t="s">
        <v>3036</v>
      </c>
      <c r="E940" t="s">
        <v>3514</v>
      </c>
      <c r="F940" t="s">
        <v>3515</v>
      </c>
      <c r="G940" t="s">
        <v>3039</v>
      </c>
      <c r="H940" t="s">
        <v>3516</v>
      </c>
      <c r="I940" t="s">
        <v>3517</v>
      </c>
      <c r="J940" t="s">
        <v>3042</v>
      </c>
      <c r="K940" s="2" t="str">
        <f>HYPERLINK("http://collections.slsa.sa.gov.au/resource/PRG+1662/1/12/2")</f>
        <v>http://collections.slsa.sa.gov.au/resource/PRG+1662/1/12/2</v>
      </c>
    </row>
    <row r="941" spans="1:11" x14ac:dyDescent="0.25">
      <c r="A941" t="s">
        <v>3519</v>
      </c>
      <c r="B941" s="1" t="str">
        <f>HYPERLINK("https://www.catalog.slsa.sa.gov.au/record=b3057659")</f>
        <v>https://www.catalog.slsa.sa.gov.au/record=b3057659</v>
      </c>
      <c r="C941" s="1" t="str">
        <f>HYPERLINK("https://www.catalog.slsa.sa.gov.au/xrecord=b3057659")</f>
        <v>https://www.catalog.slsa.sa.gov.au/xrecord=b3057659</v>
      </c>
      <c r="D941" t="s">
        <v>3036</v>
      </c>
      <c r="E941" t="s">
        <v>3514</v>
      </c>
      <c r="F941" t="s">
        <v>3515</v>
      </c>
      <c r="G941" t="s">
        <v>3039</v>
      </c>
      <c r="H941" t="s">
        <v>3516</v>
      </c>
      <c r="I941" t="s">
        <v>3517</v>
      </c>
      <c r="J941" t="s">
        <v>3042</v>
      </c>
      <c r="K941" s="2" t="str">
        <f>HYPERLINK("http://collections.slsa.sa.gov.au/resource/PRG+1662/1/12/20")</f>
        <v>http://collections.slsa.sa.gov.au/resource/PRG+1662/1/12/20</v>
      </c>
    </row>
    <row r="942" spans="1:11" x14ac:dyDescent="0.25">
      <c r="A942" t="s">
        <v>3520</v>
      </c>
      <c r="B942" s="1" t="str">
        <f>HYPERLINK("https://www.catalog.slsa.sa.gov.au/record=b3057661")</f>
        <v>https://www.catalog.slsa.sa.gov.au/record=b3057661</v>
      </c>
      <c r="C942" s="1" t="str">
        <f>HYPERLINK("https://www.catalog.slsa.sa.gov.au/xrecord=b3057661")</f>
        <v>https://www.catalog.slsa.sa.gov.au/xrecord=b3057661</v>
      </c>
      <c r="D942" t="s">
        <v>3036</v>
      </c>
      <c r="E942" t="s">
        <v>3514</v>
      </c>
      <c r="F942" t="s">
        <v>3515</v>
      </c>
      <c r="G942" t="s">
        <v>3039</v>
      </c>
      <c r="H942" t="s">
        <v>3516</v>
      </c>
      <c r="I942" t="s">
        <v>3517</v>
      </c>
      <c r="J942" t="s">
        <v>3042</v>
      </c>
      <c r="K942" s="2" t="str">
        <f>HYPERLINK("http://collections.slsa.sa.gov.au/resource/PRG+1662/1/12/30")</f>
        <v>http://collections.slsa.sa.gov.au/resource/PRG+1662/1/12/30</v>
      </c>
    </row>
    <row r="943" spans="1:11" x14ac:dyDescent="0.25">
      <c r="A943" t="s">
        <v>3521</v>
      </c>
      <c r="B943" s="1" t="str">
        <f>HYPERLINK("https://www.catalog.slsa.sa.gov.au/record=b3057663")</f>
        <v>https://www.catalog.slsa.sa.gov.au/record=b3057663</v>
      </c>
      <c r="C943" s="1" t="str">
        <f>HYPERLINK("https://www.catalog.slsa.sa.gov.au/xrecord=b3057663")</f>
        <v>https://www.catalog.slsa.sa.gov.au/xrecord=b3057663</v>
      </c>
      <c r="D943" t="s">
        <v>3036</v>
      </c>
      <c r="E943" t="s">
        <v>3514</v>
      </c>
      <c r="F943" t="s">
        <v>3515</v>
      </c>
      <c r="G943" t="s">
        <v>3039</v>
      </c>
      <c r="H943" t="s">
        <v>3516</v>
      </c>
      <c r="I943" t="s">
        <v>3517</v>
      </c>
      <c r="J943" t="s">
        <v>3042</v>
      </c>
      <c r="K943" s="2" t="str">
        <f>HYPERLINK("http://collections.slsa.sa.gov.au/resource/PRG+1662/1/12/40")</f>
        <v>http://collections.slsa.sa.gov.au/resource/PRG+1662/1/12/40</v>
      </c>
    </row>
    <row r="944" spans="1:11" x14ac:dyDescent="0.25">
      <c r="A944" t="s">
        <v>3522</v>
      </c>
      <c r="B944" s="1" t="str">
        <f>HYPERLINK("https://www.catalog.slsa.sa.gov.au/record=b3057664")</f>
        <v>https://www.catalog.slsa.sa.gov.au/record=b3057664</v>
      </c>
      <c r="C944" s="1" t="str">
        <f>HYPERLINK("https://www.catalog.slsa.sa.gov.au/xrecord=b3057664")</f>
        <v>https://www.catalog.slsa.sa.gov.au/xrecord=b3057664</v>
      </c>
      <c r="D944" t="s">
        <v>3036</v>
      </c>
      <c r="E944" t="s">
        <v>3514</v>
      </c>
      <c r="F944" t="s">
        <v>3515</v>
      </c>
      <c r="G944" t="s">
        <v>3039</v>
      </c>
      <c r="H944" t="s">
        <v>3516</v>
      </c>
      <c r="I944" t="s">
        <v>3517</v>
      </c>
      <c r="J944" t="s">
        <v>3042</v>
      </c>
      <c r="K944" s="2" t="str">
        <f>HYPERLINK("http://collections.slsa.sa.gov.au/resource/PRG+1662/1/12/41")</f>
        <v>http://collections.slsa.sa.gov.au/resource/PRG+1662/1/12/41</v>
      </c>
    </row>
    <row r="945" spans="1:11" x14ac:dyDescent="0.25">
      <c r="A945" t="s">
        <v>3523</v>
      </c>
      <c r="B945" s="1" t="str">
        <f>HYPERLINK("https://www.catalog.slsa.sa.gov.au/record=b3057654")</f>
        <v>https://www.catalog.slsa.sa.gov.au/record=b3057654</v>
      </c>
      <c r="C945" s="1" t="str">
        <f>HYPERLINK("https://www.catalog.slsa.sa.gov.au/xrecord=b3057654")</f>
        <v>https://www.catalog.slsa.sa.gov.au/xrecord=b3057654</v>
      </c>
      <c r="D945" t="s">
        <v>3036</v>
      </c>
      <c r="E945" t="s">
        <v>3514</v>
      </c>
      <c r="F945" t="s">
        <v>3515</v>
      </c>
      <c r="G945" t="s">
        <v>3039</v>
      </c>
      <c r="H945" t="s">
        <v>3516</v>
      </c>
      <c r="I945" t="s">
        <v>3517</v>
      </c>
      <c r="J945" t="s">
        <v>3042</v>
      </c>
      <c r="K945" s="2" t="str">
        <f>HYPERLINK("http://collections.slsa.sa.gov.au/resource/PRG+1662/1/12/7")</f>
        <v>http://collections.slsa.sa.gov.au/resource/PRG+1662/1/12/7</v>
      </c>
    </row>
    <row r="946" spans="1:11" x14ac:dyDescent="0.25">
      <c r="A946" t="s">
        <v>3524</v>
      </c>
      <c r="B946" s="1" t="str">
        <f>HYPERLINK("https://www.catalog.slsa.sa.gov.au/record=b3124489")</f>
        <v>https://www.catalog.slsa.sa.gov.au/record=b3124489</v>
      </c>
      <c r="C946" s="1" t="str">
        <f>HYPERLINK("https://www.catalog.slsa.sa.gov.au/xrecord=b3124489")</f>
        <v>https://www.catalog.slsa.sa.gov.au/xrecord=b3124489</v>
      </c>
      <c r="E946" t="s">
        <v>3525</v>
      </c>
      <c r="F946" t="s">
        <v>3515</v>
      </c>
      <c r="G946" t="s">
        <v>3526</v>
      </c>
      <c r="H946" t="s">
        <v>3527</v>
      </c>
      <c r="I946" t="s">
        <v>3528</v>
      </c>
      <c r="J946" t="s">
        <v>3529</v>
      </c>
      <c r="K946" s="2" t="str">
        <f>HYPERLINK("http://collections.slsa.sa.gov.au/resource/PRG+1696/8/10")</f>
        <v>http://collections.slsa.sa.gov.au/resource/PRG+1696/8/10</v>
      </c>
    </row>
    <row r="947" spans="1:11" x14ac:dyDescent="0.25">
      <c r="A947" t="s">
        <v>3530</v>
      </c>
      <c r="B947" s="1" t="str">
        <f>HYPERLINK("https://www.catalog.slsa.sa.gov.au/record=b3124494")</f>
        <v>https://www.catalog.slsa.sa.gov.au/record=b3124494</v>
      </c>
      <c r="C947" s="1" t="str">
        <f>HYPERLINK("https://www.catalog.slsa.sa.gov.au/xrecord=b3124494")</f>
        <v>https://www.catalog.slsa.sa.gov.au/xrecord=b3124494</v>
      </c>
      <c r="E947" t="s">
        <v>3531</v>
      </c>
      <c r="F947" t="s">
        <v>3515</v>
      </c>
      <c r="G947" t="s">
        <v>3532</v>
      </c>
      <c r="H947" t="s">
        <v>3533</v>
      </c>
      <c r="I947" t="s">
        <v>3534</v>
      </c>
      <c r="J947" t="s">
        <v>3529</v>
      </c>
      <c r="K947" s="2" t="str">
        <f>HYPERLINK("http://collections.slsa.sa.gov.au/resource/PRG+1696/8/11")</f>
        <v>http://collections.slsa.sa.gov.au/resource/PRG+1696/8/11</v>
      </c>
    </row>
    <row r="948" spans="1:11" x14ac:dyDescent="0.25">
      <c r="A948" t="s">
        <v>3535</v>
      </c>
      <c r="B948" s="1" t="str">
        <f>HYPERLINK("https://www.catalog.slsa.sa.gov.au/record=b3124495")</f>
        <v>https://www.catalog.slsa.sa.gov.au/record=b3124495</v>
      </c>
      <c r="C948" s="1" t="str">
        <f>HYPERLINK("https://www.catalog.slsa.sa.gov.au/xrecord=b3124495")</f>
        <v>https://www.catalog.slsa.sa.gov.au/xrecord=b3124495</v>
      </c>
      <c r="E948" t="s">
        <v>3536</v>
      </c>
      <c r="F948" t="s">
        <v>3515</v>
      </c>
      <c r="G948" t="s">
        <v>3537</v>
      </c>
      <c r="H948" t="s">
        <v>3538</v>
      </c>
      <c r="I948" t="s">
        <v>3539</v>
      </c>
      <c r="J948" t="s">
        <v>3529</v>
      </c>
      <c r="K948" s="2" t="str">
        <f>HYPERLINK("http://collections.slsa.sa.gov.au/resource/PRG+1696/8/12")</f>
        <v>http://collections.slsa.sa.gov.au/resource/PRG+1696/8/12</v>
      </c>
    </row>
    <row r="949" spans="1:11" x14ac:dyDescent="0.25">
      <c r="A949" t="s">
        <v>3540</v>
      </c>
      <c r="B949" s="1" t="str">
        <f>HYPERLINK("https://www.catalog.slsa.sa.gov.au/record=b3124497")</f>
        <v>https://www.catalog.slsa.sa.gov.au/record=b3124497</v>
      </c>
      <c r="C949" s="1" t="str">
        <f>HYPERLINK("https://www.catalog.slsa.sa.gov.au/xrecord=b3124497")</f>
        <v>https://www.catalog.slsa.sa.gov.au/xrecord=b3124497</v>
      </c>
      <c r="E949" t="s">
        <v>3541</v>
      </c>
      <c r="F949" t="s">
        <v>3515</v>
      </c>
      <c r="G949" t="s">
        <v>3542</v>
      </c>
      <c r="H949" t="s">
        <v>3543</v>
      </c>
      <c r="I949" t="s">
        <v>3544</v>
      </c>
      <c r="J949" t="s">
        <v>3529</v>
      </c>
      <c r="K949" s="2" t="str">
        <f>HYPERLINK("http://collections.slsa.sa.gov.au/resource/PRG+1696/8/13")</f>
        <v>http://collections.slsa.sa.gov.au/resource/PRG+1696/8/13</v>
      </c>
    </row>
    <row r="950" spans="1:11" x14ac:dyDescent="0.25">
      <c r="A950" t="s">
        <v>3545</v>
      </c>
      <c r="B950" s="1" t="str">
        <f>HYPERLINK("https://www.catalog.slsa.sa.gov.au/record=b3124487")</f>
        <v>https://www.catalog.slsa.sa.gov.au/record=b3124487</v>
      </c>
      <c r="C950" s="1" t="str">
        <f>HYPERLINK("https://www.catalog.slsa.sa.gov.au/xrecord=b3124487")</f>
        <v>https://www.catalog.slsa.sa.gov.au/xrecord=b3124487</v>
      </c>
      <c r="E950" t="s">
        <v>3546</v>
      </c>
      <c r="F950" t="s">
        <v>3515</v>
      </c>
      <c r="G950" t="s">
        <v>3526</v>
      </c>
      <c r="H950" t="s">
        <v>3547</v>
      </c>
      <c r="I950" t="s">
        <v>3534</v>
      </c>
      <c r="J950" t="s">
        <v>3529</v>
      </c>
      <c r="K950" s="2" t="str">
        <f>HYPERLINK("http://collections.slsa.sa.gov.au/resource/PRG+1696/8/8")</f>
        <v>http://collections.slsa.sa.gov.au/resource/PRG+1696/8/8</v>
      </c>
    </row>
    <row r="951" spans="1:11" x14ac:dyDescent="0.25">
      <c r="A951" t="s">
        <v>3548</v>
      </c>
      <c r="B951" s="1" t="str">
        <f>HYPERLINK("https://www.catalog.slsa.sa.gov.au/record=b3124488")</f>
        <v>https://www.catalog.slsa.sa.gov.au/record=b3124488</v>
      </c>
      <c r="C951" s="1" t="str">
        <f>HYPERLINK("https://www.catalog.slsa.sa.gov.au/xrecord=b3124488")</f>
        <v>https://www.catalog.slsa.sa.gov.au/xrecord=b3124488</v>
      </c>
      <c r="E951" t="s">
        <v>3549</v>
      </c>
      <c r="F951" t="s">
        <v>3515</v>
      </c>
      <c r="G951" t="s">
        <v>3526</v>
      </c>
      <c r="H951" t="s">
        <v>3550</v>
      </c>
      <c r="I951" t="s">
        <v>3534</v>
      </c>
      <c r="J951" t="s">
        <v>3529</v>
      </c>
      <c r="K951" s="2" t="str">
        <f>HYPERLINK("http://collections.slsa.sa.gov.au/resource/PRG+1696/8/9")</f>
        <v>http://collections.slsa.sa.gov.au/resource/PRG+1696/8/9</v>
      </c>
    </row>
    <row r="952" spans="1:11" x14ac:dyDescent="0.25">
      <c r="A952" t="s">
        <v>3551</v>
      </c>
      <c r="B952" s="1" t="str">
        <f>HYPERLINK("https://www.catalog.slsa.sa.gov.au/record=b3057665")</f>
        <v>https://www.catalog.slsa.sa.gov.au/record=b3057665</v>
      </c>
      <c r="C952" s="1" t="str">
        <f>HYPERLINK("https://www.catalog.slsa.sa.gov.au/xrecord=b3057665")</f>
        <v>https://www.catalog.slsa.sa.gov.au/xrecord=b3057665</v>
      </c>
      <c r="D952" t="s">
        <v>3036</v>
      </c>
      <c r="E952" t="s">
        <v>3552</v>
      </c>
      <c r="F952" t="s">
        <v>3553</v>
      </c>
      <c r="G952" t="s">
        <v>3039</v>
      </c>
      <c r="H952" t="s">
        <v>3554</v>
      </c>
      <c r="I952" t="s">
        <v>3555</v>
      </c>
      <c r="J952" t="s">
        <v>3042</v>
      </c>
      <c r="K952" s="2" t="str">
        <f>HYPERLINK("http://collections.slsa.sa.gov.au/resource/PRG+1662/1/13/14")</f>
        <v>http://collections.slsa.sa.gov.au/resource/PRG+1662/1/13/14</v>
      </c>
    </row>
    <row r="953" spans="1:11" x14ac:dyDescent="0.25">
      <c r="A953" t="s">
        <v>3556</v>
      </c>
      <c r="B953" s="1" t="str">
        <f>HYPERLINK("https://www.catalog.slsa.sa.gov.au/record=b3057671")</f>
        <v>https://www.catalog.slsa.sa.gov.au/record=b3057671</v>
      </c>
      <c r="C953" s="1" t="str">
        <f>HYPERLINK("https://www.catalog.slsa.sa.gov.au/xrecord=b3057671")</f>
        <v>https://www.catalog.slsa.sa.gov.au/xrecord=b3057671</v>
      </c>
      <c r="D953" t="s">
        <v>3036</v>
      </c>
      <c r="E953" t="s">
        <v>3552</v>
      </c>
      <c r="F953" t="s">
        <v>3553</v>
      </c>
      <c r="G953" t="s">
        <v>3039</v>
      </c>
      <c r="H953" t="s">
        <v>3554</v>
      </c>
      <c r="I953" t="s">
        <v>3555</v>
      </c>
      <c r="J953" t="s">
        <v>3042</v>
      </c>
      <c r="K953" s="2" t="str">
        <f>HYPERLINK("http://collections.slsa.sa.gov.au/resource/PRG+1662/1/13/27")</f>
        <v>http://collections.slsa.sa.gov.au/resource/PRG+1662/1/13/27</v>
      </c>
    </row>
    <row r="954" spans="1:11" x14ac:dyDescent="0.25">
      <c r="A954" t="s">
        <v>3557</v>
      </c>
      <c r="B954" s="1" t="str">
        <f>HYPERLINK("https://www.catalog.slsa.sa.gov.au/record=b3057672")</f>
        <v>https://www.catalog.slsa.sa.gov.au/record=b3057672</v>
      </c>
      <c r="C954" s="1" t="str">
        <f>HYPERLINK("https://www.catalog.slsa.sa.gov.au/xrecord=b3057672")</f>
        <v>https://www.catalog.slsa.sa.gov.au/xrecord=b3057672</v>
      </c>
      <c r="D954" t="s">
        <v>3036</v>
      </c>
      <c r="E954" t="s">
        <v>3552</v>
      </c>
      <c r="F954" t="s">
        <v>3553</v>
      </c>
      <c r="G954" t="s">
        <v>3039</v>
      </c>
      <c r="H954" t="s">
        <v>3554</v>
      </c>
      <c r="I954" t="s">
        <v>3555</v>
      </c>
      <c r="J954" t="s">
        <v>3042</v>
      </c>
      <c r="K954" s="2" t="str">
        <f>HYPERLINK("http://collections.slsa.sa.gov.au/resource/PRG+1662/1/13/37")</f>
        <v>http://collections.slsa.sa.gov.au/resource/PRG+1662/1/13/37</v>
      </c>
    </row>
    <row r="955" spans="1:11" x14ac:dyDescent="0.25">
      <c r="A955" t="s">
        <v>3558</v>
      </c>
      <c r="B955" s="1" t="str">
        <f>HYPERLINK("https://www.catalog.slsa.sa.gov.au/record=b3057673")</f>
        <v>https://www.catalog.slsa.sa.gov.au/record=b3057673</v>
      </c>
      <c r="C955" s="1" t="str">
        <f>HYPERLINK("https://www.catalog.slsa.sa.gov.au/xrecord=b3057673")</f>
        <v>https://www.catalog.slsa.sa.gov.au/xrecord=b3057673</v>
      </c>
      <c r="D955" t="s">
        <v>3036</v>
      </c>
      <c r="E955" t="s">
        <v>3552</v>
      </c>
      <c r="F955" t="s">
        <v>3553</v>
      </c>
      <c r="G955" t="s">
        <v>3039</v>
      </c>
      <c r="H955" t="s">
        <v>3554</v>
      </c>
      <c r="I955" t="s">
        <v>3555</v>
      </c>
      <c r="J955" t="s">
        <v>3042</v>
      </c>
      <c r="K955" s="2" t="str">
        <f>HYPERLINK("http://collections.slsa.sa.gov.au/resource/PRG+1662/1/13/45")</f>
        <v>http://collections.slsa.sa.gov.au/resource/PRG+1662/1/13/45</v>
      </c>
    </row>
    <row r="956" spans="1:11" x14ac:dyDescent="0.25">
      <c r="A956" t="s">
        <v>3559</v>
      </c>
      <c r="B956" s="1" t="str">
        <f>HYPERLINK("https://www.catalog.slsa.sa.gov.au/record=b3057674")</f>
        <v>https://www.catalog.slsa.sa.gov.au/record=b3057674</v>
      </c>
      <c r="C956" s="1" t="str">
        <f>HYPERLINK("https://www.catalog.slsa.sa.gov.au/xrecord=b3057674")</f>
        <v>https://www.catalog.slsa.sa.gov.au/xrecord=b3057674</v>
      </c>
      <c r="D956" t="s">
        <v>3036</v>
      </c>
      <c r="E956" t="s">
        <v>3552</v>
      </c>
      <c r="F956" t="s">
        <v>3553</v>
      </c>
      <c r="G956" t="s">
        <v>3039</v>
      </c>
      <c r="H956" t="s">
        <v>3554</v>
      </c>
      <c r="I956" t="s">
        <v>3555</v>
      </c>
      <c r="J956" t="s">
        <v>3042</v>
      </c>
      <c r="K956" s="2" t="str">
        <f>HYPERLINK("http://collections.slsa.sa.gov.au/resource/PRG+1662/1/13/50")</f>
        <v>http://collections.slsa.sa.gov.au/resource/PRG+1662/1/13/50</v>
      </c>
    </row>
    <row r="957" spans="1:11" x14ac:dyDescent="0.25">
      <c r="A957" t="s">
        <v>3560</v>
      </c>
      <c r="B957" s="1" t="str">
        <f>HYPERLINK("https://www.catalog.slsa.sa.gov.au/record=b3183286")</f>
        <v>https://www.catalog.slsa.sa.gov.au/record=b3183286</v>
      </c>
      <c r="C957" s="1" t="str">
        <f>HYPERLINK("https://www.catalog.slsa.sa.gov.au/xrecord=b3183286")</f>
        <v>https://www.catalog.slsa.sa.gov.au/xrecord=b3183286</v>
      </c>
      <c r="D957" t="s">
        <v>3036</v>
      </c>
      <c r="E957" t="s">
        <v>3561</v>
      </c>
      <c r="F957" t="s">
        <v>3553</v>
      </c>
      <c r="G957" t="s">
        <v>3039</v>
      </c>
      <c r="H957" t="s">
        <v>3562</v>
      </c>
      <c r="I957" t="s">
        <v>3563</v>
      </c>
      <c r="J957" t="s">
        <v>3042</v>
      </c>
      <c r="K957" s="2" t="str">
        <f>HYPERLINK("http://collections.slsa.sa.gov.au/resource/PRG+1662/2/33/3")</f>
        <v>http://collections.slsa.sa.gov.au/resource/PRG+1662/2/33/3</v>
      </c>
    </row>
    <row r="958" spans="1:11" x14ac:dyDescent="0.25">
      <c r="A958" t="s">
        <v>3564</v>
      </c>
      <c r="B958" s="1" t="str">
        <f>HYPERLINK("https://www.catalog.slsa.sa.gov.au/record=b3057676")</f>
        <v>https://www.catalog.slsa.sa.gov.au/record=b3057676</v>
      </c>
      <c r="C958" s="1" t="str">
        <f>HYPERLINK("https://www.catalog.slsa.sa.gov.au/xrecord=b3057676")</f>
        <v>https://www.catalog.slsa.sa.gov.au/xrecord=b3057676</v>
      </c>
      <c r="D958" t="s">
        <v>3036</v>
      </c>
      <c r="E958" t="s">
        <v>3565</v>
      </c>
      <c r="F958" t="s">
        <v>3566</v>
      </c>
      <c r="G958" t="s">
        <v>3039</v>
      </c>
      <c r="H958" t="s">
        <v>3567</v>
      </c>
      <c r="I958" t="s">
        <v>3568</v>
      </c>
      <c r="J958" t="s">
        <v>3042</v>
      </c>
      <c r="K958" s="2" t="str">
        <f>HYPERLINK("http://collections.slsa.sa.gov.au/resource/PRG+1662/1/14/1")</f>
        <v>http://collections.slsa.sa.gov.au/resource/PRG+1662/1/14/1</v>
      </c>
    </row>
    <row r="959" spans="1:11" x14ac:dyDescent="0.25">
      <c r="A959" t="s">
        <v>3569</v>
      </c>
      <c r="B959" s="1" t="str">
        <f>HYPERLINK("https://www.catalog.slsa.sa.gov.au/record=b3057683")</f>
        <v>https://www.catalog.slsa.sa.gov.au/record=b3057683</v>
      </c>
      <c r="C959" s="1" t="str">
        <f>HYPERLINK("https://www.catalog.slsa.sa.gov.au/xrecord=b3057683")</f>
        <v>https://www.catalog.slsa.sa.gov.au/xrecord=b3057683</v>
      </c>
      <c r="D959" t="s">
        <v>3036</v>
      </c>
      <c r="E959" t="s">
        <v>3565</v>
      </c>
      <c r="F959" t="s">
        <v>3566</v>
      </c>
      <c r="G959" t="s">
        <v>3039</v>
      </c>
      <c r="H959" t="s">
        <v>3567</v>
      </c>
      <c r="I959" t="s">
        <v>3568</v>
      </c>
      <c r="J959" t="s">
        <v>3042</v>
      </c>
      <c r="K959" s="2" t="str">
        <f>HYPERLINK("http://collections.slsa.sa.gov.au/resource/PRG+1662/1/14/14")</f>
        <v>http://collections.slsa.sa.gov.au/resource/PRG+1662/1/14/14</v>
      </c>
    </row>
    <row r="960" spans="1:11" x14ac:dyDescent="0.25">
      <c r="A960" t="s">
        <v>3570</v>
      </c>
      <c r="B960" s="1" t="str">
        <f>HYPERLINK("https://www.catalog.slsa.sa.gov.au/record=b3057684")</f>
        <v>https://www.catalog.slsa.sa.gov.au/record=b3057684</v>
      </c>
      <c r="C960" s="1" t="str">
        <f>HYPERLINK("https://www.catalog.slsa.sa.gov.au/xrecord=b3057684")</f>
        <v>https://www.catalog.slsa.sa.gov.au/xrecord=b3057684</v>
      </c>
      <c r="D960" t="s">
        <v>3036</v>
      </c>
      <c r="E960" t="s">
        <v>3565</v>
      </c>
      <c r="F960" t="s">
        <v>3566</v>
      </c>
      <c r="G960" t="s">
        <v>3039</v>
      </c>
      <c r="H960" t="s">
        <v>3567</v>
      </c>
      <c r="I960" t="s">
        <v>3571</v>
      </c>
      <c r="J960" t="s">
        <v>3042</v>
      </c>
      <c r="K960" s="2" t="str">
        <f>HYPERLINK("http://collections.slsa.sa.gov.au/resource/PRG+1662/1/14/17")</f>
        <v>http://collections.slsa.sa.gov.au/resource/PRG+1662/1/14/17</v>
      </c>
    </row>
    <row r="961" spans="1:11" x14ac:dyDescent="0.25">
      <c r="A961" t="s">
        <v>3572</v>
      </c>
      <c r="B961" s="1" t="str">
        <f>HYPERLINK("https://www.catalog.slsa.sa.gov.au/record=b3057678")</f>
        <v>https://www.catalog.slsa.sa.gov.au/record=b3057678</v>
      </c>
      <c r="C961" s="1" t="str">
        <f>HYPERLINK("https://www.catalog.slsa.sa.gov.au/xrecord=b3057678")</f>
        <v>https://www.catalog.slsa.sa.gov.au/xrecord=b3057678</v>
      </c>
      <c r="D961" t="s">
        <v>3036</v>
      </c>
      <c r="E961" t="s">
        <v>3565</v>
      </c>
      <c r="F961" t="s">
        <v>3566</v>
      </c>
      <c r="G961" t="s">
        <v>3039</v>
      </c>
      <c r="H961" t="s">
        <v>3567</v>
      </c>
      <c r="I961" t="s">
        <v>3568</v>
      </c>
      <c r="J961" t="s">
        <v>3042</v>
      </c>
      <c r="K961" s="2" t="str">
        <f>HYPERLINK("http://collections.slsa.sa.gov.au/resource/PRG+1662/1/14/4")</f>
        <v>http://collections.slsa.sa.gov.au/resource/PRG+1662/1/14/4</v>
      </c>
    </row>
    <row r="962" spans="1:11" x14ac:dyDescent="0.25">
      <c r="A962" t="s">
        <v>3573</v>
      </c>
      <c r="B962" s="1" t="str">
        <f>HYPERLINK("https://www.catalog.slsa.sa.gov.au/record=b3057685")</f>
        <v>https://www.catalog.slsa.sa.gov.au/record=b3057685</v>
      </c>
      <c r="C962" s="1" t="str">
        <f>HYPERLINK("https://www.catalog.slsa.sa.gov.au/xrecord=b3057685")</f>
        <v>https://www.catalog.slsa.sa.gov.au/xrecord=b3057685</v>
      </c>
      <c r="D962" t="s">
        <v>3036</v>
      </c>
      <c r="E962" t="s">
        <v>3565</v>
      </c>
      <c r="F962" t="s">
        <v>3566</v>
      </c>
      <c r="G962" t="s">
        <v>3039</v>
      </c>
      <c r="H962" t="s">
        <v>3567</v>
      </c>
      <c r="I962" t="s">
        <v>3571</v>
      </c>
      <c r="J962" t="s">
        <v>3042</v>
      </c>
      <c r="K962" s="2" t="str">
        <f>HYPERLINK("http://collections.slsa.sa.gov.au/resource/PRG+1662/1/14/48")</f>
        <v>http://collections.slsa.sa.gov.au/resource/PRG+1662/1/14/48</v>
      </c>
    </row>
    <row r="963" spans="1:11" x14ac:dyDescent="0.25">
      <c r="A963" t="s">
        <v>3574</v>
      </c>
      <c r="B963" s="1" t="str">
        <f>HYPERLINK("https://www.catalog.slsa.sa.gov.au/record=b3057679")</f>
        <v>https://www.catalog.slsa.sa.gov.au/record=b3057679</v>
      </c>
      <c r="C963" s="1" t="str">
        <f>HYPERLINK("https://www.catalog.slsa.sa.gov.au/xrecord=b3057679")</f>
        <v>https://www.catalog.slsa.sa.gov.au/xrecord=b3057679</v>
      </c>
      <c r="D963" t="s">
        <v>3036</v>
      </c>
      <c r="E963" t="s">
        <v>3565</v>
      </c>
      <c r="F963" t="s">
        <v>3566</v>
      </c>
      <c r="G963" t="s">
        <v>3039</v>
      </c>
      <c r="H963" t="s">
        <v>3567</v>
      </c>
      <c r="I963" t="s">
        <v>3568</v>
      </c>
      <c r="J963" t="s">
        <v>3042</v>
      </c>
      <c r="K963" s="2" t="str">
        <f>HYPERLINK("http://collections.slsa.sa.gov.au/resource/PRG+1662/1/14/8")</f>
        <v>http://collections.slsa.sa.gov.au/resource/PRG+1662/1/14/8</v>
      </c>
    </row>
    <row r="964" spans="1:11" x14ac:dyDescent="0.25">
      <c r="A964" t="s">
        <v>3575</v>
      </c>
      <c r="B964" s="1" t="str">
        <f>HYPERLINK("https://www.catalog.slsa.sa.gov.au/record=b3057700")</f>
        <v>https://www.catalog.slsa.sa.gov.au/record=b3057700</v>
      </c>
      <c r="C964" s="1" t="str">
        <f>HYPERLINK("https://www.catalog.slsa.sa.gov.au/xrecord=b3057700")</f>
        <v>https://www.catalog.slsa.sa.gov.au/xrecord=b3057700</v>
      </c>
      <c r="D964" t="s">
        <v>3036</v>
      </c>
      <c r="E964" t="s">
        <v>3576</v>
      </c>
      <c r="F964" t="s">
        <v>3566</v>
      </c>
      <c r="G964" t="s">
        <v>3039</v>
      </c>
      <c r="H964" t="s">
        <v>3577</v>
      </c>
      <c r="I964" t="s">
        <v>3578</v>
      </c>
      <c r="J964" t="s">
        <v>3042</v>
      </c>
      <c r="K964" s="2" t="str">
        <f>HYPERLINK("http://collections.slsa.sa.gov.au/resource/PRG+1662/1/15/11")</f>
        <v>http://collections.slsa.sa.gov.au/resource/PRG+1662/1/15/11</v>
      </c>
    </row>
    <row r="965" spans="1:11" x14ac:dyDescent="0.25">
      <c r="A965" t="s">
        <v>3579</v>
      </c>
      <c r="B965" s="1" t="str">
        <f>HYPERLINK("https://www.catalog.slsa.sa.gov.au/record=b3057686")</f>
        <v>https://www.catalog.slsa.sa.gov.au/record=b3057686</v>
      </c>
      <c r="C965" s="1" t="str">
        <f>HYPERLINK("https://www.catalog.slsa.sa.gov.au/xrecord=b3057686")</f>
        <v>https://www.catalog.slsa.sa.gov.au/xrecord=b3057686</v>
      </c>
      <c r="D965" t="s">
        <v>3036</v>
      </c>
      <c r="E965" t="s">
        <v>3576</v>
      </c>
      <c r="F965" t="s">
        <v>3566</v>
      </c>
      <c r="G965" t="s">
        <v>3039</v>
      </c>
      <c r="H965" t="s">
        <v>3577</v>
      </c>
      <c r="I965" t="s">
        <v>3578</v>
      </c>
      <c r="J965" t="s">
        <v>3042</v>
      </c>
      <c r="K965" s="2" t="str">
        <f>HYPERLINK("http://collections.slsa.sa.gov.au/resource/PRG+1662/1/15/16")</f>
        <v>http://collections.slsa.sa.gov.au/resource/PRG+1662/1/15/16</v>
      </c>
    </row>
    <row r="966" spans="1:11" x14ac:dyDescent="0.25">
      <c r="A966" t="s">
        <v>3580</v>
      </c>
      <c r="B966" s="1" t="str">
        <f>HYPERLINK("https://www.catalog.slsa.sa.gov.au/record=b3057702")</f>
        <v>https://www.catalog.slsa.sa.gov.au/record=b3057702</v>
      </c>
      <c r="C966" s="1" t="str">
        <f>HYPERLINK("https://www.catalog.slsa.sa.gov.au/xrecord=b3057702")</f>
        <v>https://www.catalog.slsa.sa.gov.au/xrecord=b3057702</v>
      </c>
      <c r="D966" t="s">
        <v>3036</v>
      </c>
      <c r="E966" t="s">
        <v>3576</v>
      </c>
      <c r="F966" t="s">
        <v>3566</v>
      </c>
      <c r="G966" t="s">
        <v>3039</v>
      </c>
      <c r="H966" t="s">
        <v>3577</v>
      </c>
      <c r="I966" t="s">
        <v>3578</v>
      </c>
      <c r="J966" t="s">
        <v>3042</v>
      </c>
      <c r="K966" s="2" t="str">
        <f>HYPERLINK("http://collections.slsa.sa.gov.au/resource/PRG+1662/1/15/23")</f>
        <v>http://collections.slsa.sa.gov.au/resource/PRG+1662/1/15/23</v>
      </c>
    </row>
    <row r="967" spans="1:11" x14ac:dyDescent="0.25">
      <c r="A967" t="s">
        <v>3581</v>
      </c>
      <c r="B967" s="1" t="str">
        <f>HYPERLINK("https://www.catalog.slsa.sa.gov.au/record=b3057703")</f>
        <v>https://www.catalog.slsa.sa.gov.au/record=b3057703</v>
      </c>
      <c r="C967" s="1" t="str">
        <f>HYPERLINK("https://www.catalog.slsa.sa.gov.au/xrecord=b3057703")</f>
        <v>https://www.catalog.slsa.sa.gov.au/xrecord=b3057703</v>
      </c>
      <c r="D967" t="s">
        <v>3036</v>
      </c>
      <c r="E967" t="s">
        <v>3576</v>
      </c>
      <c r="F967" t="s">
        <v>3566</v>
      </c>
      <c r="G967" t="s">
        <v>3039</v>
      </c>
      <c r="H967" t="s">
        <v>3577</v>
      </c>
      <c r="I967" t="s">
        <v>3578</v>
      </c>
      <c r="J967" t="s">
        <v>3042</v>
      </c>
      <c r="K967" s="2" t="str">
        <f>HYPERLINK("http://collections.slsa.sa.gov.au/resource/PRG+1662/1/15/27")</f>
        <v>http://collections.slsa.sa.gov.au/resource/PRG+1662/1/15/27</v>
      </c>
    </row>
    <row r="968" spans="1:11" x14ac:dyDescent="0.25">
      <c r="A968" t="s">
        <v>3582</v>
      </c>
      <c r="B968" s="1" t="str">
        <f>HYPERLINK("https://www.catalog.slsa.sa.gov.au/record=b3057704")</f>
        <v>https://www.catalog.slsa.sa.gov.au/record=b3057704</v>
      </c>
      <c r="C968" s="1" t="str">
        <f>HYPERLINK("https://www.catalog.slsa.sa.gov.au/xrecord=b3057704")</f>
        <v>https://www.catalog.slsa.sa.gov.au/xrecord=b3057704</v>
      </c>
      <c r="D968" t="s">
        <v>3036</v>
      </c>
      <c r="E968" t="s">
        <v>3576</v>
      </c>
      <c r="F968" t="s">
        <v>3566</v>
      </c>
      <c r="G968" t="s">
        <v>3039</v>
      </c>
      <c r="H968" t="s">
        <v>3577</v>
      </c>
      <c r="I968" t="s">
        <v>3578</v>
      </c>
      <c r="J968" t="s">
        <v>3042</v>
      </c>
      <c r="K968" s="2" t="str">
        <f>HYPERLINK("http://collections.slsa.sa.gov.au/resource/PRG+1662/1/15/32")</f>
        <v>http://collections.slsa.sa.gov.au/resource/PRG+1662/1/15/32</v>
      </c>
    </row>
    <row r="969" spans="1:11" x14ac:dyDescent="0.25">
      <c r="A969" t="s">
        <v>3583</v>
      </c>
      <c r="B969" s="1" t="str">
        <f>HYPERLINK("https://www.catalog.slsa.sa.gov.au/record=b2927651")</f>
        <v>https://www.catalog.slsa.sa.gov.au/record=b2927651</v>
      </c>
      <c r="C969" s="1" t="str">
        <f>HYPERLINK("https://www.catalog.slsa.sa.gov.au/xrecord=b2927651")</f>
        <v>https://www.catalog.slsa.sa.gov.au/xrecord=b2927651</v>
      </c>
      <c r="E969" t="s">
        <v>3584</v>
      </c>
      <c r="F969" t="s">
        <v>3585</v>
      </c>
      <c r="G969" t="s">
        <v>3586</v>
      </c>
      <c r="H969" t="s">
        <v>3587</v>
      </c>
      <c r="I969" t="s">
        <v>3588</v>
      </c>
      <c r="J969" t="s">
        <v>2405</v>
      </c>
      <c r="K969" s="2" t="str">
        <f>HYPERLINK("http://collections.slsa.sa.gov.au/prg/1617/5/PRG1617_5_1.htm")</f>
        <v>http://collections.slsa.sa.gov.au/prg/1617/5/PRG1617_5_1.htm</v>
      </c>
    </row>
    <row r="970" spans="1:11" x14ac:dyDescent="0.25">
      <c r="A970" t="s">
        <v>3589</v>
      </c>
      <c r="B970" s="1" t="str">
        <f>HYPERLINK("https://www.catalog.slsa.sa.gov.au/record=b3026907")</f>
        <v>https://www.catalog.slsa.sa.gov.au/record=b3026907</v>
      </c>
      <c r="C970" s="1" t="str">
        <f>HYPERLINK("https://www.catalog.slsa.sa.gov.au/xrecord=b3026907")</f>
        <v>https://www.catalog.slsa.sa.gov.au/xrecord=b3026907</v>
      </c>
      <c r="D970" t="s">
        <v>3036</v>
      </c>
      <c r="E970" t="s">
        <v>3590</v>
      </c>
      <c r="F970" t="s">
        <v>3591</v>
      </c>
      <c r="G970" t="s">
        <v>3039</v>
      </c>
      <c r="H970" t="s">
        <v>3592</v>
      </c>
      <c r="I970" t="s">
        <v>3593</v>
      </c>
      <c r="J970" t="s">
        <v>3042</v>
      </c>
      <c r="K970" s="2" t="str">
        <f>HYPERLINK("http://collections.slsa.sa.gov.au/resource/PRG+1662/1/11/14")</f>
        <v>http://collections.slsa.sa.gov.au/resource/PRG+1662/1/11/14</v>
      </c>
    </row>
    <row r="971" spans="1:11" x14ac:dyDescent="0.25">
      <c r="A971" t="s">
        <v>3594</v>
      </c>
      <c r="B971" s="1" t="str">
        <f>HYPERLINK("https://www.catalog.slsa.sa.gov.au/record=b3026908")</f>
        <v>https://www.catalog.slsa.sa.gov.au/record=b3026908</v>
      </c>
      <c r="C971" s="1" t="str">
        <f>HYPERLINK("https://www.catalog.slsa.sa.gov.au/xrecord=b3026908")</f>
        <v>https://www.catalog.slsa.sa.gov.au/xrecord=b3026908</v>
      </c>
      <c r="D971" t="s">
        <v>3036</v>
      </c>
      <c r="E971" t="s">
        <v>3590</v>
      </c>
      <c r="F971" t="s">
        <v>3591</v>
      </c>
      <c r="G971" t="s">
        <v>3039</v>
      </c>
      <c r="H971" t="s">
        <v>3592</v>
      </c>
      <c r="I971" t="s">
        <v>3593</v>
      </c>
      <c r="J971" t="s">
        <v>3042</v>
      </c>
      <c r="K971" s="2" t="str">
        <f>HYPERLINK("http://collections.slsa.sa.gov.au/resource/PRG+1662/1/11/23")</f>
        <v>http://collections.slsa.sa.gov.au/resource/PRG+1662/1/11/23</v>
      </c>
    </row>
    <row r="972" spans="1:11" x14ac:dyDescent="0.25">
      <c r="A972" t="s">
        <v>3595</v>
      </c>
      <c r="B972" s="1" t="str">
        <f>HYPERLINK("https://www.catalog.slsa.sa.gov.au/record=b3026904")</f>
        <v>https://www.catalog.slsa.sa.gov.au/record=b3026904</v>
      </c>
      <c r="C972" s="1" t="str">
        <f>HYPERLINK("https://www.catalog.slsa.sa.gov.au/xrecord=b3026904")</f>
        <v>https://www.catalog.slsa.sa.gov.au/xrecord=b3026904</v>
      </c>
      <c r="D972" t="s">
        <v>3036</v>
      </c>
      <c r="E972" t="s">
        <v>3590</v>
      </c>
      <c r="F972" t="s">
        <v>3591</v>
      </c>
      <c r="G972" t="s">
        <v>3039</v>
      </c>
      <c r="H972" t="s">
        <v>3592</v>
      </c>
      <c r="I972" t="s">
        <v>3593</v>
      </c>
      <c r="J972" t="s">
        <v>3042</v>
      </c>
      <c r="K972" s="2" t="str">
        <f>HYPERLINK("http://collections.slsa.sa.gov.au/resource/PRG+1662/1/11/6")</f>
        <v>http://collections.slsa.sa.gov.au/resource/PRG+1662/1/11/6</v>
      </c>
    </row>
    <row r="973" spans="1:11" x14ac:dyDescent="0.25">
      <c r="A973" t="s">
        <v>3596</v>
      </c>
      <c r="B973" s="1" t="str">
        <f>HYPERLINK("https://www.catalog.slsa.sa.gov.au/record=b3138649")</f>
        <v>https://www.catalog.slsa.sa.gov.au/record=b3138649</v>
      </c>
      <c r="C973" s="1" t="str">
        <f>HYPERLINK("https://www.catalog.slsa.sa.gov.au/xrecord=b3138649")</f>
        <v>https://www.catalog.slsa.sa.gov.au/xrecord=b3138649</v>
      </c>
      <c r="E973" t="s">
        <v>3597</v>
      </c>
      <c r="F973" t="s">
        <v>3598</v>
      </c>
      <c r="G973" t="s">
        <v>2884</v>
      </c>
      <c r="H973" t="s">
        <v>3599</v>
      </c>
      <c r="I973" t="s">
        <v>3600</v>
      </c>
      <c r="J973" t="s">
        <v>1824</v>
      </c>
      <c r="K973" s="2" t="str">
        <f>HYPERLINK("http://collections.slsa.sa.gov.au/resource/PRG+830/20/19")</f>
        <v>http://collections.slsa.sa.gov.au/resource/PRG+830/20/19</v>
      </c>
    </row>
    <row r="974" spans="1:11" x14ac:dyDescent="0.25">
      <c r="A974" t="s">
        <v>3601</v>
      </c>
      <c r="B974" s="1" t="str">
        <f>HYPERLINK("https://www.catalog.slsa.sa.gov.au/record=b3138650")</f>
        <v>https://www.catalog.slsa.sa.gov.au/record=b3138650</v>
      </c>
      <c r="C974" s="1" t="str">
        <f>HYPERLINK("https://www.catalog.slsa.sa.gov.au/xrecord=b3138650")</f>
        <v>https://www.catalog.slsa.sa.gov.au/xrecord=b3138650</v>
      </c>
      <c r="D974" t="s">
        <v>3602</v>
      </c>
      <c r="E974" t="s">
        <v>3597</v>
      </c>
      <c r="F974" t="s">
        <v>3598</v>
      </c>
      <c r="G974" t="s">
        <v>2884</v>
      </c>
      <c r="H974" t="s">
        <v>3603</v>
      </c>
      <c r="I974" t="s">
        <v>3604</v>
      </c>
      <c r="J974" t="s">
        <v>1824</v>
      </c>
      <c r="K974" s="2" t="str">
        <f>HYPERLINK("http://collections.slsa.sa.gov.au/resource/PRG+830/20/20")</f>
        <v>http://collections.slsa.sa.gov.au/resource/PRG+830/20/20</v>
      </c>
    </row>
    <row r="975" spans="1:11" x14ac:dyDescent="0.25">
      <c r="A975" t="s">
        <v>3605</v>
      </c>
      <c r="B975" s="1" t="str">
        <f>HYPERLINK("https://www.catalog.slsa.sa.gov.au/record=b3138651")</f>
        <v>https://www.catalog.slsa.sa.gov.au/record=b3138651</v>
      </c>
      <c r="C975" s="1" t="str">
        <f>HYPERLINK("https://www.catalog.slsa.sa.gov.au/xrecord=b3138651")</f>
        <v>https://www.catalog.slsa.sa.gov.au/xrecord=b3138651</v>
      </c>
      <c r="D975" t="s">
        <v>3602</v>
      </c>
      <c r="E975" t="s">
        <v>3597</v>
      </c>
      <c r="F975" t="s">
        <v>3598</v>
      </c>
      <c r="G975" t="s">
        <v>2884</v>
      </c>
      <c r="H975" t="s">
        <v>3606</v>
      </c>
      <c r="I975" t="s">
        <v>3607</v>
      </c>
      <c r="J975" t="s">
        <v>1824</v>
      </c>
      <c r="K975" s="2" t="str">
        <f>HYPERLINK("http://collections.slsa.sa.gov.au/resource/PRG+830/20/21")</f>
        <v>http://collections.slsa.sa.gov.au/resource/PRG+830/20/21</v>
      </c>
    </row>
    <row r="976" spans="1:11" x14ac:dyDescent="0.25">
      <c r="A976" t="s">
        <v>3608</v>
      </c>
      <c r="B976" s="1" t="str">
        <f>HYPERLINK("https://www.catalog.slsa.sa.gov.au/record=b3138652")</f>
        <v>https://www.catalog.slsa.sa.gov.au/record=b3138652</v>
      </c>
      <c r="C976" s="1" t="str">
        <f>HYPERLINK("https://www.catalog.slsa.sa.gov.au/xrecord=b3138652")</f>
        <v>https://www.catalog.slsa.sa.gov.au/xrecord=b3138652</v>
      </c>
      <c r="D976" t="s">
        <v>3602</v>
      </c>
      <c r="E976" t="s">
        <v>3597</v>
      </c>
      <c r="F976" t="s">
        <v>3598</v>
      </c>
      <c r="G976" t="s">
        <v>2884</v>
      </c>
      <c r="H976" t="s">
        <v>3609</v>
      </c>
      <c r="I976" t="s">
        <v>3610</v>
      </c>
      <c r="J976" t="s">
        <v>1824</v>
      </c>
      <c r="K976" s="2" t="str">
        <f>HYPERLINK("http://collections.slsa.sa.gov.au/resource/PRG+830/20/22")</f>
        <v>http://collections.slsa.sa.gov.au/resource/PRG+830/20/22</v>
      </c>
    </row>
    <row r="977" spans="1:11" x14ac:dyDescent="0.25">
      <c r="A977" t="s">
        <v>3611</v>
      </c>
      <c r="B977" s="1" t="str">
        <f>HYPERLINK("https://www.catalog.slsa.sa.gov.au/record=b3138653")</f>
        <v>https://www.catalog.slsa.sa.gov.au/record=b3138653</v>
      </c>
      <c r="C977" s="1" t="str">
        <f>HYPERLINK("https://www.catalog.slsa.sa.gov.au/xrecord=b3138653")</f>
        <v>https://www.catalog.slsa.sa.gov.au/xrecord=b3138653</v>
      </c>
      <c r="D977" t="s">
        <v>3602</v>
      </c>
      <c r="E977" t="s">
        <v>3597</v>
      </c>
      <c r="F977" t="s">
        <v>3598</v>
      </c>
      <c r="G977" t="s">
        <v>2884</v>
      </c>
      <c r="H977" t="s">
        <v>3612</v>
      </c>
      <c r="I977" t="s">
        <v>3613</v>
      </c>
      <c r="J977" t="s">
        <v>1824</v>
      </c>
      <c r="K977" s="2" t="str">
        <f>HYPERLINK("http://collections.slsa.sa.gov.au/resource/PRG+830/20/23")</f>
        <v>http://collections.slsa.sa.gov.au/resource/PRG+830/20/23</v>
      </c>
    </row>
    <row r="978" spans="1:11" x14ac:dyDescent="0.25">
      <c r="A978" t="s">
        <v>3614</v>
      </c>
      <c r="B978" s="1" t="str">
        <f>HYPERLINK("https://www.catalog.slsa.sa.gov.au/record=b3138654")</f>
        <v>https://www.catalog.slsa.sa.gov.au/record=b3138654</v>
      </c>
      <c r="C978" s="1" t="str">
        <f>HYPERLINK("https://www.catalog.slsa.sa.gov.au/xrecord=b3138654")</f>
        <v>https://www.catalog.slsa.sa.gov.au/xrecord=b3138654</v>
      </c>
      <c r="D978" t="s">
        <v>3602</v>
      </c>
      <c r="E978" t="s">
        <v>3597</v>
      </c>
      <c r="F978" t="s">
        <v>3598</v>
      </c>
      <c r="G978" t="s">
        <v>2884</v>
      </c>
      <c r="H978" t="s">
        <v>3615</v>
      </c>
      <c r="I978" t="s">
        <v>3613</v>
      </c>
      <c r="J978" t="s">
        <v>1824</v>
      </c>
      <c r="K978" s="2" t="str">
        <f>HYPERLINK("http://collections.slsa.sa.gov.au/resource/PRG+830/20/24")</f>
        <v>http://collections.slsa.sa.gov.au/resource/PRG+830/20/24</v>
      </c>
    </row>
    <row r="979" spans="1:11" x14ac:dyDescent="0.25">
      <c r="A979" t="s">
        <v>3616</v>
      </c>
      <c r="B979" s="1" t="str">
        <f>HYPERLINK("https://www.catalog.slsa.sa.gov.au/record=b3138655")</f>
        <v>https://www.catalog.slsa.sa.gov.au/record=b3138655</v>
      </c>
      <c r="C979" s="1" t="str">
        <f>HYPERLINK("https://www.catalog.slsa.sa.gov.au/xrecord=b3138655")</f>
        <v>https://www.catalog.slsa.sa.gov.au/xrecord=b3138655</v>
      </c>
      <c r="D979" t="s">
        <v>3602</v>
      </c>
      <c r="E979" t="s">
        <v>3597</v>
      </c>
      <c r="F979" t="s">
        <v>3598</v>
      </c>
      <c r="G979" t="s">
        <v>2884</v>
      </c>
      <c r="H979" t="s">
        <v>3617</v>
      </c>
      <c r="I979" t="s">
        <v>3618</v>
      </c>
      <c r="J979" t="s">
        <v>1824</v>
      </c>
      <c r="K979" s="2" t="str">
        <f>HYPERLINK("http://collections.slsa.sa.gov.au/resource/PRG+830/20/25")</f>
        <v>http://collections.slsa.sa.gov.au/resource/PRG+830/20/25</v>
      </c>
    </row>
    <row r="980" spans="1:11" x14ac:dyDescent="0.25">
      <c r="A980" t="s">
        <v>3619</v>
      </c>
      <c r="B980" s="1" t="str">
        <f>HYPERLINK("https://www.catalog.slsa.sa.gov.au/record=b3026913")</f>
        <v>https://www.catalog.slsa.sa.gov.au/record=b3026913</v>
      </c>
      <c r="C980" s="1" t="str">
        <f>HYPERLINK("https://www.catalog.slsa.sa.gov.au/xrecord=b3026913")</f>
        <v>https://www.catalog.slsa.sa.gov.au/xrecord=b3026913</v>
      </c>
      <c r="D980" t="s">
        <v>3036</v>
      </c>
      <c r="E980" t="s">
        <v>3620</v>
      </c>
      <c r="F980" t="s">
        <v>3621</v>
      </c>
      <c r="G980" t="s">
        <v>3039</v>
      </c>
      <c r="H980" t="s">
        <v>3622</v>
      </c>
      <c r="I980" t="s">
        <v>3623</v>
      </c>
      <c r="J980" t="s">
        <v>3042</v>
      </c>
      <c r="K980" s="2" t="str">
        <f>HYPERLINK("http://collections.slsa.sa.gov.au/resource/PRG+1662/1/10/15")</f>
        <v>http://collections.slsa.sa.gov.au/resource/PRG+1662/1/10/15</v>
      </c>
    </row>
    <row r="981" spans="1:11" x14ac:dyDescent="0.25">
      <c r="A981" t="s">
        <v>3624</v>
      </c>
      <c r="B981" s="1" t="str">
        <f>HYPERLINK("https://www.catalog.slsa.sa.gov.au/record=b3026914")</f>
        <v>https://www.catalog.slsa.sa.gov.au/record=b3026914</v>
      </c>
      <c r="C981" s="1" t="str">
        <f>HYPERLINK("https://www.catalog.slsa.sa.gov.au/xrecord=b3026914")</f>
        <v>https://www.catalog.slsa.sa.gov.au/xrecord=b3026914</v>
      </c>
      <c r="D981" t="s">
        <v>3036</v>
      </c>
      <c r="E981" t="s">
        <v>3620</v>
      </c>
      <c r="F981" t="s">
        <v>3621</v>
      </c>
      <c r="G981" t="s">
        <v>3039</v>
      </c>
      <c r="H981" t="s">
        <v>3622</v>
      </c>
      <c r="I981" t="s">
        <v>3623</v>
      </c>
      <c r="J981" t="s">
        <v>3042</v>
      </c>
      <c r="K981" s="2" t="str">
        <f>HYPERLINK("http://collections.slsa.sa.gov.au/resource/PRG+1662/1/10/28")</f>
        <v>http://collections.slsa.sa.gov.au/resource/PRG+1662/1/10/28</v>
      </c>
    </row>
    <row r="982" spans="1:11" x14ac:dyDescent="0.25">
      <c r="A982" t="s">
        <v>3625</v>
      </c>
      <c r="B982" s="1" t="str">
        <f>HYPERLINK("https://www.catalog.slsa.sa.gov.au/record=b3026915")</f>
        <v>https://www.catalog.slsa.sa.gov.au/record=b3026915</v>
      </c>
      <c r="C982" s="1" t="str">
        <f>HYPERLINK("https://www.catalog.slsa.sa.gov.au/xrecord=b3026915")</f>
        <v>https://www.catalog.slsa.sa.gov.au/xrecord=b3026915</v>
      </c>
      <c r="D982" t="s">
        <v>3036</v>
      </c>
      <c r="E982" t="s">
        <v>3620</v>
      </c>
      <c r="F982" t="s">
        <v>3621</v>
      </c>
      <c r="G982" t="s">
        <v>3039</v>
      </c>
      <c r="H982" t="s">
        <v>3622</v>
      </c>
      <c r="I982" t="s">
        <v>3623</v>
      </c>
      <c r="J982" t="s">
        <v>3042</v>
      </c>
      <c r="K982" s="2" t="str">
        <f>HYPERLINK("http://collections.slsa.sa.gov.au/resource/PRG+1662/1/10/46")</f>
        <v>http://collections.slsa.sa.gov.au/resource/PRG+1662/1/10/46</v>
      </c>
    </row>
    <row r="983" spans="1:11" x14ac:dyDescent="0.25">
      <c r="A983" t="s">
        <v>3626</v>
      </c>
      <c r="B983" s="1" t="str">
        <f>HYPERLINK("https://www.catalog.slsa.sa.gov.au/record=b3026911")</f>
        <v>https://www.catalog.slsa.sa.gov.au/record=b3026911</v>
      </c>
      <c r="C983" s="1" t="str">
        <f>HYPERLINK("https://www.catalog.slsa.sa.gov.au/xrecord=b3026911")</f>
        <v>https://www.catalog.slsa.sa.gov.au/xrecord=b3026911</v>
      </c>
      <c r="D983" t="s">
        <v>3036</v>
      </c>
      <c r="E983" t="s">
        <v>3620</v>
      </c>
      <c r="F983" t="s">
        <v>3621</v>
      </c>
      <c r="G983" t="s">
        <v>3039</v>
      </c>
      <c r="H983" t="s">
        <v>3622</v>
      </c>
      <c r="I983" t="s">
        <v>3623</v>
      </c>
      <c r="J983" t="s">
        <v>3042</v>
      </c>
      <c r="K983" s="2" t="str">
        <f>HYPERLINK("http://collections.slsa.sa.gov.au/resource/PRG+1662/1/10/6")</f>
        <v>http://collections.slsa.sa.gov.au/resource/PRG+1662/1/10/6</v>
      </c>
    </row>
    <row r="984" spans="1:11" x14ac:dyDescent="0.25">
      <c r="A984" t="s">
        <v>3627</v>
      </c>
      <c r="B984" s="1" t="str">
        <f>HYPERLINK("https://www.catalog.slsa.sa.gov.au/record=b2193236")</f>
        <v>https://www.catalog.slsa.sa.gov.au/record=b2193236</v>
      </c>
      <c r="C984" s="1" t="str">
        <f>HYPERLINK("https://www.catalog.slsa.sa.gov.au/xrecord=b2193236")</f>
        <v>https://www.catalog.slsa.sa.gov.au/xrecord=b2193236</v>
      </c>
      <c r="D984" t="s">
        <v>3628</v>
      </c>
      <c r="E984" t="s">
        <v>3629</v>
      </c>
      <c r="F984" t="s">
        <v>3630</v>
      </c>
      <c r="G984" t="s">
        <v>3631</v>
      </c>
      <c r="H984" t="s">
        <v>3632</v>
      </c>
      <c r="I984" t="s">
        <v>3633</v>
      </c>
      <c r="K984" s="2" t="str">
        <f>HYPERLINK("http://collections.slsa.sa.gov.au/resource/PRG+560/68")</f>
        <v>http://collections.slsa.sa.gov.au/resource/PRG+560/68</v>
      </c>
    </row>
    <row r="985" spans="1:11" x14ac:dyDescent="0.25">
      <c r="A985" t="s">
        <v>3634</v>
      </c>
      <c r="B985" s="1" t="str">
        <f>HYPERLINK("https://www.catalog.slsa.sa.gov.au/record=b3138696")</f>
        <v>https://www.catalog.slsa.sa.gov.au/record=b3138696</v>
      </c>
      <c r="C985" s="1" t="str">
        <f>HYPERLINK("https://www.catalog.slsa.sa.gov.au/xrecord=b3138696")</f>
        <v>https://www.catalog.slsa.sa.gov.au/xrecord=b3138696</v>
      </c>
      <c r="E985" t="s">
        <v>3635</v>
      </c>
      <c r="F985" t="s">
        <v>3636</v>
      </c>
      <c r="G985" t="s">
        <v>3637</v>
      </c>
      <c r="H985" t="s">
        <v>3638</v>
      </c>
      <c r="I985" t="s">
        <v>3639</v>
      </c>
      <c r="J985" t="s">
        <v>3640</v>
      </c>
      <c r="K985" s="2" t="str">
        <f>HYPERLINK("http://collections.slsa.sa.gov.au/resource/PRG+830/20/66")</f>
        <v>http://collections.slsa.sa.gov.au/resource/PRG+830/20/66</v>
      </c>
    </row>
    <row r="986" spans="1:11" x14ac:dyDescent="0.25">
      <c r="A986" t="s">
        <v>3641</v>
      </c>
      <c r="B986" s="1" t="str">
        <f>HYPERLINK("https://www.catalog.slsa.sa.gov.au/record=b3138697")</f>
        <v>https://www.catalog.slsa.sa.gov.au/record=b3138697</v>
      </c>
      <c r="C986" s="1" t="str">
        <f>HYPERLINK("https://www.catalog.slsa.sa.gov.au/xrecord=b3138697")</f>
        <v>https://www.catalog.slsa.sa.gov.au/xrecord=b3138697</v>
      </c>
      <c r="E986" t="s">
        <v>3635</v>
      </c>
      <c r="F986" t="s">
        <v>3636</v>
      </c>
      <c r="G986" t="s">
        <v>3637</v>
      </c>
      <c r="H986" t="s">
        <v>3638</v>
      </c>
      <c r="I986" t="s">
        <v>3639</v>
      </c>
      <c r="J986" t="s">
        <v>3640</v>
      </c>
      <c r="K986" s="2" t="str">
        <f>HYPERLINK("http://collections.slsa.sa.gov.au/resource/PRG+830/20/67")</f>
        <v>http://collections.slsa.sa.gov.au/resource/PRG+830/20/67</v>
      </c>
    </row>
    <row r="987" spans="1:11" x14ac:dyDescent="0.25">
      <c r="A987" t="s">
        <v>3642</v>
      </c>
      <c r="B987" s="1" t="str">
        <f>HYPERLINK("https://www.catalog.slsa.sa.gov.au/record=b2112634")</f>
        <v>https://www.catalog.slsa.sa.gov.au/record=b2112634</v>
      </c>
      <c r="C987" s="1" t="str">
        <f>HYPERLINK("https://www.catalog.slsa.sa.gov.au/xrecord=b2112634")</f>
        <v>https://www.catalog.slsa.sa.gov.au/xrecord=b2112634</v>
      </c>
      <c r="D987" t="s">
        <v>66</v>
      </c>
      <c r="E987" t="s">
        <v>3643</v>
      </c>
      <c r="F987" t="s">
        <v>3644</v>
      </c>
      <c r="G987" t="s">
        <v>121</v>
      </c>
      <c r="H987" t="s">
        <v>3645</v>
      </c>
      <c r="I987" t="s">
        <v>3646</v>
      </c>
      <c r="J987" t="s">
        <v>71</v>
      </c>
      <c r="K987" s="2" t="str">
        <f>HYPERLINK("http://collections.slsa.sa.gov.au/arthur/03000/BRG347_2903.htm")</f>
        <v>http://collections.slsa.sa.gov.au/arthur/03000/BRG347_2903.htm</v>
      </c>
    </row>
    <row r="988" spans="1:11" x14ac:dyDescent="0.25">
      <c r="A988" t="s">
        <v>3647</v>
      </c>
      <c r="B988" s="1" t="str">
        <f>HYPERLINK("https://www.catalog.slsa.sa.gov.au/record=b3138699")</f>
        <v>https://www.catalog.slsa.sa.gov.au/record=b3138699</v>
      </c>
      <c r="C988" s="1" t="str">
        <f>HYPERLINK("https://www.catalog.slsa.sa.gov.au/xrecord=b3138699")</f>
        <v>https://www.catalog.slsa.sa.gov.au/xrecord=b3138699</v>
      </c>
      <c r="E988" t="s">
        <v>3648</v>
      </c>
      <c r="F988" t="s">
        <v>3649</v>
      </c>
      <c r="G988" t="s">
        <v>3650</v>
      </c>
      <c r="H988" t="s">
        <v>3651</v>
      </c>
      <c r="I988" t="s">
        <v>3652</v>
      </c>
      <c r="J988" t="s">
        <v>1824</v>
      </c>
      <c r="K988" s="2" t="str">
        <f>HYPERLINK("http://collections.slsa.sa.gov.au/resource/PRG+830/20/69")</f>
        <v>http://collections.slsa.sa.gov.au/resource/PRG+830/20/69</v>
      </c>
    </row>
    <row r="989" spans="1:11" x14ac:dyDescent="0.25">
      <c r="A989" t="s">
        <v>3653</v>
      </c>
      <c r="B989" s="1" t="str">
        <f>HYPERLINK("https://www.catalog.slsa.sa.gov.au/record=b2111259")</f>
        <v>https://www.catalog.slsa.sa.gov.au/record=b2111259</v>
      </c>
      <c r="C989" s="1" t="str">
        <f>HYPERLINK("https://www.catalog.slsa.sa.gov.au/xrecord=b2111259")</f>
        <v>https://www.catalog.slsa.sa.gov.au/xrecord=b2111259</v>
      </c>
      <c r="D989" t="s">
        <v>66</v>
      </c>
      <c r="E989" t="s">
        <v>3654</v>
      </c>
      <c r="F989" t="s">
        <v>3655</v>
      </c>
      <c r="G989" t="s">
        <v>121</v>
      </c>
      <c r="H989" t="s">
        <v>3656</v>
      </c>
      <c r="I989" t="s">
        <v>3657</v>
      </c>
      <c r="J989" t="s">
        <v>71</v>
      </c>
      <c r="K989" s="2" t="str">
        <f>HYPERLINK("http://collections.slsa.sa.gov.au/arthur/02000/BRG347_1929.htm")</f>
        <v>http://collections.slsa.sa.gov.au/arthur/02000/BRG347_1929.htm</v>
      </c>
    </row>
    <row r="990" spans="1:11" x14ac:dyDescent="0.25">
      <c r="A990" t="s">
        <v>3658</v>
      </c>
      <c r="B990" s="1" t="str">
        <f>HYPERLINK("https://www.catalog.slsa.sa.gov.au/record=b2111459")</f>
        <v>https://www.catalog.slsa.sa.gov.au/record=b2111459</v>
      </c>
      <c r="C990" s="1" t="str">
        <f>HYPERLINK("https://www.catalog.slsa.sa.gov.au/xrecord=b2111459")</f>
        <v>https://www.catalog.slsa.sa.gov.au/xrecord=b2111459</v>
      </c>
      <c r="D990" t="s">
        <v>66</v>
      </c>
      <c r="E990" t="s">
        <v>3659</v>
      </c>
      <c r="F990" t="s">
        <v>3660</v>
      </c>
      <c r="G990" t="s">
        <v>121</v>
      </c>
      <c r="H990" t="s">
        <v>3661</v>
      </c>
      <c r="I990" t="s">
        <v>3662</v>
      </c>
      <c r="J990" t="s">
        <v>71</v>
      </c>
      <c r="K990" s="2" t="str">
        <f>HYPERLINK("http://collections.slsa.sa.gov.au/arthur/02250/BRG347_2095.htm")</f>
        <v>http://collections.slsa.sa.gov.au/arthur/02250/BRG347_2095.htm</v>
      </c>
    </row>
    <row r="991" spans="1:11" x14ac:dyDescent="0.25">
      <c r="A991" t="s">
        <v>3663</v>
      </c>
      <c r="B991" s="1" t="str">
        <f>HYPERLINK("https://www.catalog.slsa.sa.gov.au/record=b3013541")</f>
        <v>https://www.catalog.slsa.sa.gov.au/record=b3013541</v>
      </c>
      <c r="C991" s="1" t="str">
        <f>HYPERLINK("https://www.catalog.slsa.sa.gov.au/xrecord=b3013541")</f>
        <v>https://www.catalog.slsa.sa.gov.au/xrecord=b3013541</v>
      </c>
      <c r="D991" t="s">
        <v>3664</v>
      </c>
      <c r="E991" t="s">
        <v>3665</v>
      </c>
      <c r="F991" t="s">
        <v>3666</v>
      </c>
      <c r="G991" t="s">
        <v>3667</v>
      </c>
      <c r="H991" t="s">
        <v>3668</v>
      </c>
      <c r="I991" t="s">
        <v>3669</v>
      </c>
      <c r="J991" t="s">
        <v>2573</v>
      </c>
      <c r="K991" s="2" t="str">
        <f>HYPERLINK("http://collections.slsa.sa.gov.au/resource/PRG+1644/2/7")</f>
        <v>http://collections.slsa.sa.gov.au/resource/PRG+1644/2/7</v>
      </c>
    </row>
    <row r="992" spans="1:11" x14ac:dyDescent="0.25">
      <c r="A992" t="s">
        <v>3670</v>
      </c>
      <c r="B992" s="1" t="str">
        <f>HYPERLINK("https://www.catalog.slsa.sa.gov.au/record=b3127911")</f>
        <v>https://www.catalog.slsa.sa.gov.au/record=b3127911</v>
      </c>
      <c r="C992" s="1" t="str">
        <f>HYPERLINK("https://www.catalog.slsa.sa.gov.au/xrecord=b3127911")</f>
        <v>https://www.catalog.slsa.sa.gov.au/xrecord=b3127911</v>
      </c>
      <c r="D992" t="s">
        <v>3036</v>
      </c>
      <c r="E992" t="s">
        <v>3671</v>
      </c>
      <c r="F992" t="s">
        <v>3672</v>
      </c>
      <c r="G992" t="s">
        <v>3039</v>
      </c>
      <c r="H992" t="s">
        <v>3673</v>
      </c>
      <c r="I992" t="s">
        <v>3674</v>
      </c>
      <c r="J992" t="s">
        <v>3675</v>
      </c>
      <c r="K992" s="2" t="str">
        <f>HYPERLINK("http://collections.slsa.sa.gov.au/resource/PRG+1662/2/3/1")</f>
        <v>http://collections.slsa.sa.gov.au/resource/PRG+1662/2/3/1</v>
      </c>
    </row>
    <row r="993" spans="1:11" x14ac:dyDescent="0.25">
      <c r="A993" t="s">
        <v>3676</v>
      </c>
      <c r="B993" s="1" t="str">
        <f>HYPERLINK("https://www.catalog.slsa.sa.gov.au/record=b3127914")</f>
        <v>https://www.catalog.slsa.sa.gov.au/record=b3127914</v>
      </c>
      <c r="C993" s="1" t="str">
        <f>HYPERLINK("https://www.catalog.slsa.sa.gov.au/xrecord=b3127914")</f>
        <v>https://www.catalog.slsa.sa.gov.au/xrecord=b3127914</v>
      </c>
      <c r="D993" t="s">
        <v>3036</v>
      </c>
      <c r="E993" t="s">
        <v>3671</v>
      </c>
      <c r="F993" t="s">
        <v>3672</v>
      </c>
      <c r="G993" t="s">
        <v>3039</v>
      </c>
      <c r="H993" t="s">
        <v>3677</v>
      </c>
      <c r="I993" t="s">
        <v>3678</v>
      </c>
      <c r="J993" t="s">
        <v>3675</v>
      </c>
      <c r="K993" s="2" t="str">
        <f>HYPERLINK("http://collections.slsa.sa.gov.au/resource/PRG+1662/2/3/2")</f>
        <v>http://collections.slsa.sa.gov.au/resource/PRG+1662/2/3/2</v>
      </c>
    </row>
    <row r="994" spans="1:11" x14ac:dyDescent="0.25">
      <c r="A994" t="s">
        <v>3679</v>
      </c>
      <c r="B994" s="1" t="str">
        <f>HYPERLINK("https://www.catalog.slsa.sa.gov.au/record=b3127915")</f>
        <v>https://www.catalog.slsa.sa.gov.au/record=b3127915</v>
      </c>
      <c r="C994" s="1" t="str">
        <f>HYPERLINK("https://www.catalog.slsa.sa.gov.au/xrecord=b3127915")</f>
        <v>https://www.catalog.slsa.sa.gov.au/xrecord=b3127915</v>
      </c>
      <c r="D994" t="s">
        <v>3036</v>
      </c>
      <c r="E994" t="s">
        <v>3671</v>
      </c>
      <c r="F994" t="s">
        <v>3672</v>
      </c>
      <c r="G994" t="s">
        <v>3039</v>
      </c>
      <c r="H994" t="s">
        <v>3680</v>
      </c>
      <c r="I994" t="s">
        <v>3681</v>
      </c>
      <c r="J994" t="s">
        <v>3675</v>
      </c>
      <c r="K994" s="2" t="str">
        <f>HYPERLINK("http://collections.slsa.sa.gov.au/resource/PRG+1662/2/3/3")</f>
        <v>http://collections.slsa.sa.gov.au/resource/PRG+1662/2/3/3</v>
      </c>
    </row>
    <row r="995" spans="1:11" x14ac:dyDescent="0.25">
      <c r="A995" t="s">
        <v>3682</v>
      </c>
      <c r="B995" s="1" t="str">
        <f>HYPERLINK("https://www.catalog.slsa.sa.gov.au/record=b3127917")</f>
        <v>https://www.catalog.slsa.sa.gov.au/record=b3127917</v>
      </c>
      <c r="C995" s="1" t="str">
        <f>HYPERLINK("https://www.catalog.slsa.sa.gov.au/xrecord=b3127917")</f>
        <v>https://www.catalog.slsa.sa.gov.au/xrecord=b3127917</v>
      </c>
      <c r="D995" t="s">
        <v>3036</v>
      </c>
      <c r="E995" t="s">
        <v>3671</v>
      </c>
      <c r="F995" t="s">
        <v>3672</v>
      </c>
      <c r="G995" t="s">
        <v>3039</v>
      </c>
      <c r="H995" t="s">
        <v>3683</v>
      </c>
      <c r="I995" t="s">
        <v>3684</v>
      </c>
      <c r="J995" t="s">
        <v>3675</v>
      </c>
      <c r="K995" s="2" t="str">
        <f>HYPERLINK("http://collections.slsa.sa.gov.au/resource/PRG+1662/2/3/4")</f>
        <v>http://collections.slsa.sa.gov.au/resource/PRG+1662/2/3/4</v>
      </c>
    </row>
    <row r="996" spans="1:11" x14ac:dyDescent="0.25">
      <c r="A996" t="s">
        <v>3685</v>
      </c>
      <c r="B996" s="1" t="str">
        <f>HYPERLINK("https://www.catalog.slsa.sa.gov.au/record=b3127919")</f>
        <v>https://www.catalog.slsa.sa.gov.au/record=b3127919</v>
      </c>
      <c r="C996" s="1" t="str">
        <f>HYPERLINK("https://www.catalog.slsa.sa.gov.au/xrecord=b3127919")</f>
        <v>https://www.catalog.slsa.sa.gov.au/xrecord=b3127919</v>
      </c>
      <c r="D996" t="s">
        <v>3036</v>
      </c>
      <c r="E996" t="s">
        <v>3671</v>
      </c>
      <c r="F996" t="s">
        <v>3672</v>
      </c>
      <c r="G996" t="s">
        <v>3039</v>
      </c>
      <c r="H996" t="s">
        <v>3686</v>
      </c>
      <c r="I996" t="s">
        <v>3687</v>
      </c>
      <c r="J996" t="s">
        <v>3675</v>
      </c>
      <c r="K996" s="2" t="str">
        <f>HYPERLINK("http://collections.slsa.sa.gov.au/resource/PRG+1662/2/3/5")</f>
        <v>http://collections.slsa.sa.gov.au/resource/PRG+1662/2/3/5</v>
      </c>
    </row>
    <row r="997" spans="1:11" x14ac:dyDescent="0.25">
      <c r="A997" t="s">
        <v>3688</v>
      </c>
      <c r="B997" s="1" t="str">
        <f>HYPERLINK("https://www.catalog.slsa.sa.gov.au/record=b3127920")</f>
        <v>https://www.catalog.slsa.sa.gov.au/record=b3127920</v>
      </c>
      <c r="C997" s="1" t="str">
        <f>HYPERLINK("https://www.catalog.slsa.sa.gov.au/xrecord=b3127920")</f>
        <v>https://www.catalog.slsa.sa.gov.au/xrecord=b3127920</v>
      </c>
      <c r="D997" t="s">
        <v>3036</v>
      </c>
      <c r="E997" t="s">
        <v>3671</v>
      </c>
      <c r="F997" t="s">
        <v>3672</v>
      </c>
      <c r="G997" t="s">
        <v>3039</v>
      </c>
      <c r="H997" t="s">
        <v>3689</v>
      </c>
      <c r="I997" t="s">
        <v>3681</v>
      </c>
      <c r="J997" t="s">
        <v>3675</v>
      </c>
      <c r="K997" s="2" t="str">
        <f>HYPERLINK("http://collections.slsa.sa.gov.au/resource/PRG+1662/2/3/6")</f>
        <v>http://collections.slsa.sa.gov.au/resource/PRG+1662/2/3/6</v>
      </c>
    </row>
    <row r="998" spans="1:11" x14ac:dyDescent="0.25">
      <c r="A998" t="s">
        <v>3690</v>
      </c>
      <c r="B998" s="1" t="str">
        <f>HYPERLINK("https://www.catalog.slsa.sa.gov.au/record=b3127921")</f>
        <v>https://www.catalog.slsa.sa.gov.au/record=b3127921</v>
      </c>
      <c r="C998" s="1" t="str">
        <f>HYPERLINK("https://www.catalog.slsa.sa.gov.au/xrecord=b3127921")</f>
        <v>https://www.catalog.slsa.sa.gov.au/xrecord=b3127921</v>
      </c>
      <c r="D998" t="s">
        <v>3036</v>
      </c>
      <c r="E998" t="s">
        <v>3671</v>
      </c>
      <c r="F998" t="s">
        <v>3672</v>
      </c>
      <c r="G998" t="s">
        <v>3039</v>
      </c>
      <c r="H998" t="s">
        <v>3691</v>
      </c>
      <c r="I998" t="s">
        <v>3681</v>
      </c>
      <c r="J998" t="s">
        <v>3675</v>
      </c>
      <c r="K998" s="2" t="str">
        <f>HYPERLINK("http://collections.slsa.sa.gov.au/resource/PRG+1662/2/3/7")</f>
        <v>http://collections.slsa.sa.gov.au/resource/PRG+1662/2/3/7</v>
      </c>
    </row>
    <row r="999" spans="1:11" x14ac:dyDescent="0.25">
      <c r="A999" t="s">
        <v>3692</v>
      </c>
      <c r="B999" s="1" t="str">
        <f>HYPERLINK("https://www.catalog.slsa.sa.gov.au/record=b3127922")</f>
        <v>https://www.catalog.slsa.sa.gov.au/record=b3127922</v>
      </c>
      <c r="C999" s="1" t="str">
        <f>HYPERLINK("https://www.catalog.slsa.sa.gov.au/xrecord=b3127922")</f>
        <v>https://www.catalog.slsa.sa.gov.au/xrecord=b3127922</v>
      </c>
      <c r="D999" t="s">
        <v>3036</v>
      </c>
      <c r="E999" t="s">
        <v>3671</v>
      </c>
      <c r="F999" t="s">
        <v>3672</v>
      </c>
      <c r="G999" t="s">
        <v>3039</v>
      </c>
      <c r="H999" t="s">
        <v>3693</v>
      </c>
      <c r="I999" t="s">
        <v>3694</v>
      </c>
      <c r="J999" t="s">
        <v>3675</v>
      </c>
      <c r="K999" s="2" t="str">
        <f>HYPERLINK("http://collections.slsa.sa.gov.au/resource/PRG+1662/2/3/8")</f>
        <v>http://collections.slsa.sa.gov.au/resource/PRG+1662/2/3/8</v>
      </c>
    </row>
    <row r="1000" spans="1:11" x14ac:dyDescent="0.25">
      <c r="A1000" t="s">
        <v>3695</v>
      </c>
      <c r="B1000" s="1" t="str">
        <f>HYPERLINK("https://www.catalog.slsa.sa.gov.au/record=b3127923")</f>
        <v>https://www.catalog.slsa.sa.gov.au/record=b3127923</v>
      </c>
      <c r="C1000" s="1" t="str">
        <f>HYPERLINK("https://www.catalog.slsa.sa.gov.au/xrecord=b3127923")</f>
        <v>https://www.catalog.slsa.sa.gov.au/xrecord=b3127923</v>
      </c>
      <c r="D1000" t="s">
        <v>3036</v>
      </c>
      <c r="E1000" t="s">
        <v>3671</v>
      </c>
      <c r="F1000" t="s">
        <v>3672</v>
      </c>
      <c r="G1000" t="s">
        <v>3039</v>
      </c>
      <c r="H1000" t="s">
        <v>3696</v>
      </c>
      <c r="I1000" t="s">
        <v>3694</v>
      </c>
      <c r="J1000" t="s">
        <v>3675</v>
      </c>
      <c r="K1000" s="2" t="str">
        <f>HYPERLINK("http://collections.slsa.sa.gov.au/resource/PRG+1662/2/3/9")</f>
        <v>http://collections.slsa.sa.gov.au/resource/PRG+1662/2/3/9</v>
      </c>
    </row>
    <row r="1001" spans="1:11" x14ac:dyDescent="0.25">
      <c r="A1001" t="s">
        <v>3697</v>
      </c>
      <c r="B1001" s="1" t="str">
        <f>HYPERLINK("https://www.catalog.slsa.sa.gov.au/record=b3138708")</f>
        <v>https://www.catalog.slsa.sa.gov.au/record=b3138708</v>
      </c>
      <c r="C1001" s="1" t="str">
        <f>HYPERLINK("https://www.catalog.slsa.sa.gov.au/xrecord=b3138708")</f>
        <v>https://www.catalog.slsa.sa.gov.au/xrecord=b3138708</v>
      </c>
      <c r="D1001" t="s">
        <v>3698</v>
      </c>
      <c r="E1001" t="s">
        <v>3699</v>
      </c>
      <c r="F1001" t="s">
        <v>3700</v>
      </c>
      <c r="G1001" t="s">
        <v>3701</v>
      </c>
      <c r="H1001" t="s">
        <v>3702</v>
      </c>
      <c r="I1001" t="s">
        <v>3703</v>
      </c>
      <c r="J1001" t="s">
        <v>1824</v>
      </c>
      <c r="K1001" s="2" t="str">
        <f>HYPERLINK("http://collections.slsa.sa.gov.au/resource/PRG+830/20/78")</f>
        <v>http://collections.slsa.sa.gov.au/resource/PRG+830/20/78</v>
      </c>
    </row>
    <row r="1002" spans="1:11" x14ac:dyDescent="0.25">
      <c r="A1002" t="s">
        <v>3704</v>
      </c>
      <c r="B1002" s="1" t="str">
        <f>HYPERLINK("https://www.catalog.slsa.sa.gov.au/record=b3138709")</f>
        <v>https://www.catalog.slsa.sa.gov.au/record=b3138709</v>
      </c>
      <c r="C1002" s="1" t="str">
        <f>HYPERLINK("https://www.catalog.slsa.sa.gov.au/xrecord=b3138709")</f>
        <v>https://www.catalog.slsa.sa.gov.au/xrecord=b3138709</v>
      </c>
      <c r="D1002" t="s">
        <v>3698</v>
      </c>
      <c r="E1002" t="s">
        <v>3699</v>
      </c>
      <c r="F1002" t="s">
        <v>3700</v>
      </c>
      <c r="G1002" t="s">
        <v>3701</v>
      </c>
      <c r="H1002" t="s">
        <v>3705</v>
      </c>
      <c r="I1002" t="s">
        <v>3703</v>
      </c>
      <c r="J1002" t="s">
        <v>1824</v>
      </c>
      <c r="K1002" s="2" t="str">
        <f>HYPERLINK("http://collections.slsa.sa.gov.au/resource/PRG+830/20/79")</f>
        <v>http://collections.slsa.sa.gov.au/resource/PRG+830/20/79</v>
      </c>
    </row>
    <row r="1003" spans="1:11" x14ac:dyDescent="0.25">
      <c r="A1003" t="s">
        <v>3706</v>
      </c>
      <c r="B1003" s="1" t="str">
        <f>HYPERLINK("https://www.catalog.slsa.sa.gov.au/record=b2110755")</f>
        <v>https://www.catalog.slsa.sa.gov.au/record=b2110755</v>
      </c>
      <c r="C1003" s="1" t="str">
        <f>HYPERLINK("https://www.catalog.slsa.sa.gov.au/xrecord=b2110755")</f>
        <v>https://www.catalog.slsa.sa.gov.au/xrecord=b2110755</v>
      </c>
      <c r="D1003" t="s">
        <v>66</v>
      </c>
      <c r="E1003" t="s">
        <v>3707</v>
      </c>
      <c r="F1003" t="s">
        <v>3708</v>
      </c>
      <c r="G1003" t="s">
        <v>121</v>
      </c>
      <c r="H1003" t="s">
        <v>3709</v>
      </c>
      <c r="I1003" t="s">
        <v>3710</v>
      </c>
      <c r="J1003" t="s">
        <v>71</v>
      </c>
      <c r="K1003" s="2" t="str">
        <f>HYPERLINK("http://collections.slsa.sa.gov.au/arthur/01500/BRG347_1475.htm")</f>
        <v>http://collections.slsa.sa.gov.au/arthur/01500/BRG347_1475.htm</v>
      </c>
    </row>
    <row r="1004" spans="1:11" x14ac:dyDescent="0.25">
      <c r="A1004" t="s">
        <v>3711</v>
      </c>
      <c r="B1004" s="1" t="str">
        <f>HYPERLINK("https://www.catalog.slsa.sa.gov.au/record=b2116511")</f>
        <v>https://www.catalog.slsa.sa.gov.au/record=b2116511</v>
      </c>
      <c r="C1004" s="1" t="str">
        <f>HYPERLINK("https://www.catalog.slsa.sa.gov.au/xrecord=b2116511")</f>
        <v>https://www.catalog.slsa.sa.gov.au/xrecord=b2116511</v>
      </c>
      <c r="D1004" t="s">
        <v>66</v>
      </c>
      <c r="E1004" t="s">
        <v>3712</v>
      </c>
      <c r="F1004" t="s">
        <v>3713</v>
      </c>
      <c r="G1004" t="s">
        <v>121</v>
      </c>
      <c r="H1004" t="s">
        <v>3714</v>
      </c>
      <c r="I1004" t="s">
        <v>3715</v>
      </c>
      <c r="J1004" t="s">
        <v>71</v>
      </c>
      <c r="K1004" s="2" t="str">
        <f>HYPERLINK("http://collections.slsa.sa.gov.au/arthur/05750/BRG347_5526.htm")</f>
        <v>http://collections.slsa.sa.gov.au/arthur/05750/BRG347_5526.htm</v>
      </c>
    </row>
    <row r="1005" spans="1:11" x14ac:dyDescent="0.25">
      <c r="A1005" t="s">
        <v>3716</v>
      </c>
      <c r="B1005" s="1" t="str">
        <f>HYPERLINK("https://www.catalog.slsa.sa.gov.au/record=b2116512")</f>
        <v>https://www.catalog.slsa.sa.gov.au/record=b2116512</v>
      </c>
      <c r="C1005" s="1" t="str">
        <f>HYPERLINK("https://www.catalog.slsa.sa.gov.au/xrecord=b2116512")</f>
        <v>https://www.catalog.slsa.sa.gov.au/xrecord=b2116512</v>
      </c>
      <c r="D1005" t="s">
        <v>66</v>
      </c>
      <c r="E1005" t="s">
        <v>3717</v>
      </c>
      <c r="F1005" t="s">
        <v>3713</v>
      </c>
      <c r="G1005" t="s">
        <v>121</v>
      </c>
      <c r="H1005" t="s">
        <v>3718</v>
      </c>
      <c r="I1005" t="s">
        <v>3719</v>
      </c>
      <c r="J1005" t="s">
        <v>71</v>
      </c>
      <c r="K1005" s="2" t="str">
        <f>HYPERLINK("http://collections.slsa.sa.gov.au/arthur/05750/BRG347_5527.htm")</f>
        <v>http://collections.slsa.sa.gov.au/arthur/05750/BRG347_5527.htm</v>
      </c>
    </row>
    <row r="1006" spans="1:11" x14ac:dyDescent="0.25">
      <c r="A1006" t="s">
        <v>3720</v>
      </c>
      <c r="B1006" s="1" t="str">
        <f>HYPERLINK("https://www.catalog.slsa.sa.gov.au/record=b2116513")</f>
        <v>https://www.catalog.slsa.sa.gov.au/record=b2116513</v>
      </c>
      <c r="C1006" s="1" t="str">
        <f>HYPERLINK("https://www.catalog.slsa.sa.gov.au/xrecord=b2116513")</f>
        <v>https://www.catalog.slsa.sa.gov.au/xrecord=b2116513</v>
      </c>
      <c r="D1006" t="s">
        <v>66</v>
      </c>
      <c r="E1006" t="s">
        <v>3717</v>
      </c>
      <c r="F1006" t="s">
        <v>3713</v>
      </c>
      <c r="G1006" t="s">
        <v>121</v>
      </c>
      <c r="H1006" t="s">
        <v>3718</v>
      </c>
      <c r="I1006" t="s">
        <v>3719</v>
      </c>
      <c r="J1006" t="s">
        <v>71</v>
      </c>
      <c r="K1006" s="2" t="str">
        <f>HYPERLINK("http://collections.slsa.sa.gov.au/arthur/05750/BRG347_5528.htm")</f>
        <v>http://collections.slsa.sa.gov.au/arthur/05750/BRG347_5528.htm</v>
      </c>
    </row>
    <row r="1007" spans="1:11" x14ac:dyDescent="0.25">
      <c r="A1007" t="s">
        <v>3721</v>
      </c>
      <c r="B1007" s="1" t="str">
        <f>HYPERLINK("https://www.catalog.slsa.sa.gov.au/record=b2116514")</f>
        <v>https://www.catalog.slsa.sa.gov.au/record=b2116514</v>
      </c>
      <c r="C1007" s="1" t="str">
        <f>HYPERLINK("https://www.catalog.slsa.sa.gov.au/xrecord=b2116514")</f>
        <v>https://www.catalog.slsa.sa.gov.au/xrecord=b2116514</v>
      </c>
      <c r="D1007" t="s">
        <v>66</v>
      </c>
      <c r="E1007" t="s">
        <v>3722</v>
      </c>
      <c r="F1007" t="s">
        <v>3713</v>
      </c>
      <c r="G1007" t="s">
        <v>121</v>
      </c>
      <c r="H1007" t="s">
        <v>3723</v>
      </c>
      <c r="I1007" t="s">
        <v>3724</v>
      </c>
      <c r="J1007" t="s">
        <v>71</v>
      </c>
      <c r="K1007" s="2" t="str">
        <f>HYPERLINK("http://collections.slsa.sa.gov.au/arthur/05750/BRG347_5529.htm")</f>
        <v>http://collections.slsa.sa.gov.au/arthur/05750/BRG347_5529.htm</v>
      </c>
    </row>
    <row r="1008" spans="1:11" x14ac:dyDescent="0.25">
      <c r="A1008" t="s">
        <v>3725</v>
      </c>
      <c r="B1008" s="1" t="str">
        <f>HYPERLINK("https://www.catalog.slsa.sa.gov.au/record=b2116515")</f>
        <v>https://www.catalog.slsa.sa.gov.au/record=b2116515</v>
      </c>
      <c r="C1008" s="1" t="str">
        <f>HYPERLINK("https://www.catalog.slsa.sa.gov.au/xrecord=b2116515")</f>
        <v>https://www.catalog.slsa.sa.gov.au/xrecord=b2116515</v>
      </c>
      <c r="D1008" t="s">
        <v>66</v>
      </c>
      <c r="E1008" t="s">
        <v>3726</v>
      </c>
      <c r="F1008" t="s">
        <v>3713</v>
      </c>
      <c r="G1008" t="s">
        <v>121</v>
      </c>
      <c r="H1008" t="s">
        <v>3727</v>
      </c>
      <c r="I1008" t="s">
        <v>3728</v>
      </c>
      <c r="J1008" t="s">
        <v>71</v>
      </c>
      <c r="K1008" s="2" t="str">
        <f>HYPERLINK("http://collections.slsa.sa.gov.au/arthur/05750/BRG347_5530.htm")</f>
        <v>http://collections.slsa.sa.gov.au/arthur/05750/BRG347_5530.htm</v>
      </c>
    </row>
    <row r="1009" spans="1:11" x14ac:dyDescent="0.25">
      <c r="A1009" t="s">
        <v>3729</v>
      </c>
      <c r="B1009" s="1" t="str">
        <f>HYPERLINK("https://www.catalog.slsa.sa.gov.au/record=b2116516")</f>
        <v>https://www.catalog.slsa.sa.gov.au/record=b2116516</v>
      </c>
      <c r="C1009" s="1" t="str">
        <f>HYPERLINK("https://www.catalog.slsa.sa.gov.au/xrecord=b2116516")</f>
        <v>https://www.catalog.slsa.sa.gov.au/xrecord=b2116516</v>
      </c>
      <c r="D1009" t="s">
        <v>66</v>
      </c>
      <c r="E1009" t="s">
        <v>3730</v>
      </c>
      <c r="F1009" t="s">
        <v>3713</v>
      </c>
      <c r="G1009" t="s">
        <v>121</v>
      </c>
      <c r="H1009" t="s">
        <v>3731</v>
      </c>
      <c r="I1009" t="s">
        <v>3732</v>
      </c>
      <c r="J1009" t="s">
        <v>71</v>
      </c>
      <c r="K1009" s="2" t="str">
        <f>HYPERLINK("http://collections.slsa.sa.gov.au/arthur/05750/BRG347_5531.htm")</f>
        <v>http://collections.slsa.sa.gov.au/arthur/05750/BRG347_5531.htm</v>
      </c>
    </row>
    <row r="1010" spans="1:11" x14ac:dyDescent="0.25">
      <c r="A1010" t="s">
        <v>3733</v>
      </c>
      <c r="B1010" s="1" t="str">
        <f>HYPERLINK("https://www.catalog.slsa.sa.gov.au/record=b2116517")</f>
        <v>https://www.catalog.slsa.sa.gov.au/record=b2116517</v>
      </c>
      <c r="C1010" s="1" t="str">
        <f>HYPERLINK("https://www.catalog.slsa.sa.gov.au/xrecord=b2116517")</f>
        <v>https://www.catalog.slsa.sa.gov.au/xrecord=b2116517</v>
      </c>
      <c r="D1010" t="s">
        <v>66</v>
      </c>
      <c r="E1010" t="s">
        <v>3734</v>
      </c>
      <c r="F1010" t="s">
        <v>3713</v>
      </c>
      <c r="G1010" t="s">
        <v>121</v>
      </c>
      <c r="H1010" t="s">
        <v>3735</v>
      </c>
      <c r="I1010" t="s">
        <v>3736</v>
      </c>
      <c r="J1010" t="s">
        <v>71</v>
      </c>
      <c r="K1010" s="2" t="str">
        <f>HYPERLINK("http://collections.slsa.sa.gov.au/arthur/05750/BRG347_5532.htm")</f>
        <v>http://collections.slsa.sa.gov.au/arthur/05750/BRG347_5532.htm</v>
      </c>
    </row>
    <row r="1011" spans="1:11" x14ac:dyDescent="0.25">
      <c r="A1011" t="s">
        <v>3737</v>
      </c>
      <c r="B1011" s="1" t="str">
        <f>HYPERLINK("https://www.catalog.slsa.sa.gov.au/record=b2116518")</f>
        <v>https://www.catalog.slsa.sa.gov.au/record=b2116518</v>
      </c>
      <c r="C1011" s="1" t="str">
        <f>HYPERLINK("https://www.catalog.slsa.sa.gov.au/xrecord=b2116518")</f>
        <v>https://www.catalog.slsa.sa.gov.au/xrecord=b2116518</v>
      </c>
      <c r="D1011" t="s">
        <v>66</v>
      </c>
      <c r="E1011" t="s">
        <v>3738</v>
      </c>
      <c r="F1011" t="s">
        <v>3713</v>
      </c>
      <c r="G1011" t="s">
        <v>121</v>
      </c>
      <c r="H1011" t="s">
        <v>3739</v>
      </c>
      <c r="I1011" t="s">
        <v>3740</v>
      </c>
      <c r="J1011" t="s">
        <v>71</v>
      </c>
      <c r="K1011" s="2" t="str">
        <f>HYPERLINK("http://collections.slsa.sa.gov.au/arthur/05750/BRG347_5533.htm")</f>
        <v>http://collections.slsa.sa.gov.au/arthur/05750/BRG347_5533.htm</v>
      </c>
    </row>
    <row r="1012" spans="1:11" x14ac:dyDescent="0.25">
      <c r="A1012" t="s">
        <v>3741</v>
      </c>
      <c r="B1012" s="1" t="str">
        <f>HYPERLINK("https://www.catalog.slsa.sa.gov.au/record=b2116519")</f>
        <v>https://www.catalog.slsa.sa.gov.au/record=b2116519</v>
      </c>
      <c r="C1012" s="1" t="str">
        <f>HYPERLINK("https://www.catalog.slsa.sa.gov.au/xrecord=b2116519")</f>
        <v>https://www.catalog.slsa.sa.gov.au/xrecord=b2116519</v>
      </c>
      <c r="D1012" t="s">
        <v>66</v>
      </c>
      <c r="E1012" t="s">
        <v>3742</v>
      </c>
      <c r="F1012" t="s">
        <v>3713</v>
      </c>
      <c r="G1012" t="s">
        <v>121</v>
      </c>
      <c r="H1012" t="s">
        <v>3743</v>
      </c>
      <c r="I1012" t="s">
        <v>3744</v>
      </c>
      <c r="J1012" t="s">
        <v>71</v>
      </c>
      <c r="K1012" s="2" t="str">
        <f>HYPERLINK("http://collections.slsa.sa.gov.au/arthur/05750/BRG347_5534.htm")</f>
        <v>http://collections.slsa.sa.gov.au/arthur/05750/BRG347_5534.htm</v>
      </c>
    </row>
    <row r="1013" spans="1:11" x14ac:dyDescent="0.25">
      <c r="A1013" t="s">
        <v>3745</v>
      </c>
      <c r="B1013" s="1" t="str">
        <f>HYPERLINK("https://www.catalog.slsa.sa.gov.au/record=b2116520")</f>
        <v>https://www.catalog.slsa.sa.gov.au/record=b2116520</v>
      </c>
      <c r="C1013" s="1" t="str">
        <f>HYPERLINK("https://www.catalog.slsa.sa.gov.au/xrecord=b2116520")</f>
        <v>https://www.catalog.slsa.sa.gov.au/xrecord=b2116520</v>
      </c>
      <c r="D1013" t="s">
        <v>66</v>
      </c>
      <c r="E1013" t="s">
        <v>3746</v>
      </c>
      <c r="F1013" t="s">
        <v>3713</v>
      </c>
      <c r="G1013" t="s">
        <v>121</v>
      </c>
      <c r="H1013" t="s">
        <v>3747</v>
      </c>
      <c r="I1013" t="s">
        <v>3748</v>
      </c>
      <c r="J1013" t="s">
        <v>71</v>
      </c>
      <c r="K1013" s="2" t="str">
        <f>HYPERLINK("http://collections.slsa.sa.gov.au/arthur/05750/BRG347_5535.htm")</f>
        <v>http://collections.slsa.sa.gov.au/arthur/05750/BRG347_5535.htm</v>
      </c>
    </row>
    <row r="1014" spans="1:11" x14ac:dyDescent="0.25">
      <c r="A1014" t="s">
        <v>3749</v>
      </c>
      <c r="B1014" s="1" t="str">
        <f>HYPERLINK("https://www.catalog.slsa.sa.gov.au/record=b2116521")</f>
        <v>https://www.catalog.slsa.sa.gov.au/record=b2116521</v>
      </c>
      <c r="C1014" s="1" t="str">
        <f>HYPERLINK("https://www.catalog.slsa.sa.gov.au/xrecord=b2116521")</f>
        <v>https://www.catalog.slsa.sa.gov.au/xrecord=b2116521</v>
      </c>
      <c r="D1014" t="s">
        <v>66</v>
      </c>
      <c r="E1014" t="s">
        <v>3750</v>
      </c>
      <c r="F1014" t="s">
        <v>3713</v>
      </c>
      <c r="G1014" t="s">
        <v>121</v>
      </c>
      <c r="H1014" t="s">
        <v>3751</v>
      </c>
      <c r="I1014" t="s">
        <v>3752</v>
      </c>
      <c r="J1014" t="s">
        <v>71</v>
      </c>
      <c r="K1014" s="2" t="str">
        <f>HYPERLINK("http://collections.slsa.sa.gov.au/arthur/05750/BRG347_5536.htm")</f>
        <v>http://collections.slsa.sa.gov.au/arthur/05750/BRG347_5536.htm</v>
      </c>
    </row>
    <row r="1015" spans="1:11" x14ac:dyDescent="0.25">
      <c r="A1015" t="s">
        <v>3753</v>
      </c>
      <c r="B1015" s="1" t="str">
        <f>HYPERLINK("https://www.catalog.slsa.sa.gov.au/record=b2081423")</f>
        <v>https://www.catalog.slsa.sa.gov.au/record=b2081423</v>
      </c>
      <c r="C1015" s="1" t="str">
        <f>HYPERLINK("https://www.catalog.slsa.sa.gov.au/xrecord=b2081423")</f>
        <v>https://www.catalog.slsa.sa.gov.au/xrecord=b2081423</v>
      </c>
      <c r="D1015" t="s">
        <v>1837</v>
      </c>
      <c r="E1015" t="s">
        <v>3754</v>
      </c>
      <c r="F1015" t="s">
        <v>3713</v>
      </c>
      <c r="G1015" t="s">
        <v>3755</v>
      </c>
      <c r="H1015" t="s">
        <v>3756</v>
      </c>
      <c r="I1015" t="s">
        <v>3757</v>
      </c>
      <c r="J1015" t="s">
        <v>1848</v>
      </c>
      <c r="K1015" s="2" t="str">
        <f>HYPERLINK("http://collections.slsa.sa.gov.au/resource/SRG+488/18/142")</f>
        <v>http://collections.slsa.sa.gov.au/resource/SRG+488/18/142</v>
      </c>
    </row>
    <row r="1016" spans="1:11" x14ac:dyDescent="0.25">
      <c r="A1016" t="s">
        <v>3758</v>
      </c>
      <c r="B1016" s="1" t="str">
        <f>HYPERLINK("https://www.catalog.slsa.sa.gov.au/record=b2081487")</f>
        <v>https://www.catalog.slsa.sa.gov.au/record=b2081487</v>
      </c>
      <c r="C1016" s="1" t="str">
        <f>HYPERLINK("https://www.catalog.slsa.sa.gov.au/xrecord=b2081487")</f>
        <v>https://www.catalog.slsa.sa.gov.au/xrecord=b2081487</v>
      </c>
      <c r="D1016" t="s">
        <v>1837</v>
      </c>
      <c r="E1016" t="s">
        <v>3759</v>
      </c>
      <c r="F1016" t="s">
        <v>3713</v>
      </c>
      <c r="G1016" t="s">
        <v>3760</v>
      </c>
      <c r="H1016" t="s">
        <v>3761</v>
      </c>
      <c r="I1016" t="s">
        <v>3762</v>
      </c>
      <c r="J1016" t="s">
        <v>1848</v>
      </c>
      <c r="K1016" s="2" t="str">
        <f>HYPERLINK("http://collections.slsa.sa.gov.au/resource/SRG+488/18/40")</f>
        <v>http://collections.slsa.sa.gov.au/resource/SRG+488/18/40</v>
      </c>
    </row>
    <row r="1017" spans="1:11" x14ac:dyDescent="0.25">
      <c r="A1017" t="s">
        <v>3763</v>
      </c>
      <c r="B1017" s="1" t="str">
        <f>HYPERLINK("https://www.catalog.slsa.sa.gov.au/record=b2081483")</f>
        <v>https://www.catalog.slsa.sa.gov.au/record=b2081483</v>
      </c>
      <c r="C1017" s="1" t="str">
        <f>HYPERLINK("https://www.catalog.slsa.sa.gov.au/xrecord=b2081483")</f>
        <v>https://www.catalog.slsa.sa.gov.au/xrecord=b2081483</v>
      </c>
      <c r="D1017" t="s">
        <v>1837</v>
      </c>
      <c r="E1017" t="s">
        <v>3764</v>
      </c>
      <c r="F1017" t="s">
        <v>3713</v>
      </c>
      <c r="G1017" t="s">
        <v>3765</v>
      </c>
      <c r="H1017" t="s">
        <v>3766</v>
      </c>
      <c r="I1017" t="s">
        <v>3767</v>
      </c>
      <c r="J1017" t="s">
        <v>1848</v>
      </c>
      <c r="K1017" s="2" t="str">
        <f>HYPERLINK("http://collections.slsa.sa.gov.au/resource/SRG+488/18/47")</f>
        <v>http://collections.slsa.sa.gov.au/resource/SRG+488/18/47</v>
      </c>
    </row>
    <row r="1018" spans="1:11" x14ac:dyDescent="0.25">
      <c r="A1018" t="s">
        <v>3768</v>
      </c>
      <c r="B1018" s="1" t="str">
        <f>HYPERLINK("https://www.catalog.slsa.sa.gov.au/record=b2663955")</f>
        <v>https://www.catalog.slsa.sa.gov.au/record=b2663955</v>
      </c>
      <c r="C1018" s="1" t="str">
        <f>HYPERLINK("https://www.catalog.slsa.sa.gov.au/xrecord=b2663955")</f>
        <v>https://www.catalog.slsa.sa.gov.au/xrecord=b2663955</v>
      </c>
      <c r="D1018" t="s">
        <v>3769</v>
      </c>
      <c r="E1018" t="s">
        <v>3770</v>
      </c>
      <c r="F1018" t="s">
        <v>3713</v>
      </c>
      <c r="G1018" t="s">
        <v>3771</v>
      </c>
      <c r="H1018" t="s">
        <v>3772</v>
      </c>
      <c r="I1018" t="s">
        <v>3773</v>
      </c>
      <c r="K1018" s="2" t="str">
        <f>HYPERLINK("http://collections.slsa.sa.gov.au/resource/SRG+94/A70/29")</f>
        <v>http://collections.slsa.sa.gov.au/resource/SRG+94/A70/29</v>
      </c>
    </row>
    <row r="1019" spans="1:11" x14ac:dyDescent="0.25">
      <c r="A1019" t="s">
        <v>3774</v>
      </c>
      <c r="B1019" s="1" t="str">
        <f>HYPERLINK("https://www.catalog.slsa.sa.gov.au/record=b2923958")</f>
        <v>https://www.catalog.slsa.sa.gov.au/record=b2923958</v>
      </c>
      <c r="C1019" s="1" t="str">
        <f>HYPERLINK("https://www.catalog.slsa.sa.gov.au/xrecord=b2923958")</f>
        <v>https://www.catalog.slsa.sa.gov.au/xrecord=b2923958</v>
      </c>
      <c r="D1019" t="s">
        <v>3775</v>
      </c>
      <c r="E1019" t="s">
        <v>3776</v>
      </c>
      <c r="F1019" t="s">
        <v>3713</v>
      </c>
      <c r="G1019" t="s">
        <v>3777</v>
      </c>
      <c r="H1019" t="s">
        <v>3778</v>
      </c>
      <c r="I1019" t="s">
        <v>3779</v>
      </c>
      <c r="J1019" t="s">
        <v>3780</v>
      </c>
      <c r="K1019" s="2" t="str">
        <f>HYPERLINK("http://collections.slsa.sa.gov.au/srg/94/A1/SRG94_A1_75_3.htm")</f>
        <v>http://collections.slsa.sa.gov.au/srg/94/A1/SRG94_A1_75_3.htm</v>
      </c>
    </row>
    <row r="1020" spans="1:11" x14ac:dyDescent="0.25">
      <c r="A1020" t="s">
        <v>3781</v>
      </c>
      <c r="B1020" s="1" t="str">
        <f>HYPERLINK("https://www.catalog.slsa.sa.gov.au/record=b3017067")</f>
        <v>https://www.catalog.slsa.sa.gov.au/record=b3017067</v>
      </c>
      <c r="C1020" s="1" t="str">
        <f>HYPERLINK("https://www.catalog.slsa.sa.gov.au/xrecord=b3017067")</f>
        <v>https://www.catalog.slsa.sa.gov.au/xrecord=b3017067</v>
      </c>
      <c r="E1020" t="s">
        <v>3782</v>
      </c>
      <c r="F1020" t="s">
        <v>3783</v>
      </c>
      <c r="G1020" t="s">
        <v>1806</v>
      </c>
      <c r="H1020" t="s">
        <v>3784</v>
      </c>
      <c r="I1020" t="s">
        <v>3785</v>
      </c>
      <c r="J1020" t="s">
        <v>1809</v>
      </c>
      <c r="K1020" s="2" t="str">
        <f>HYPERLINK("http://collections.slsa.sa.gov.au/resource/PRG+1489/3/8")</f>
        <v>http://collections.slsa.sa.gov.au/resource/PRG+1489/3/8</v>
      </c>
    </row>
    <row r="1021" spans="1:11" x14ac:dyDescent="0.25">
      <c r="A1021" t="s">
        <v>3786</v>
      </c>
      <c r="B1021" s="1" t="str">
        <f>HYPERLINK("https://www.catalog.slsa.sa.gov.au/record=b2926139")</f>
        <v>https://www.catalog.slsa.sa.gov.au/record=b2926139</v>
      </c>
      <c r="C1021" s="1" t="str">
        <f>HYPERLINK("https://www.catalog.slsa.sa.gov.au/xrecord=b2926139")</f>
        <v>https://www.catalog.slsa.sa.gov.au/xrecord=b2926139</v>
      </c>
      <c r="D1021" t="s">
        <v>3787</v>
      </c>
      <c r="E1021" t="s">
        <v>3788</v>
      </c>
      <c r="F1021" t="s">
        <v>3789</v>
      </c>
      <c r="G1021" t="s">
        <v>3790</v>
      </c>
      <c r="H1021" t="s">
        <v>3791</v>
      </c>
      <c r="I1021" t="s">
        <v>3792</v>
      </c>
      <c r="J1021" t="s">
        <v>3793</v>
      </c>
      <c r="K1021" s="2" t="str">
        <f>HYPERLINK("http://collections.slsa.sa.gov.au/prg/1611/20/PRG1611_20_25.htm")</f>
        <v>http://collections.slsa.sa.gov.au/prg/1611/20/PRG1611_20_25.htm</v>
      </c>
    </row>
    <row r="1022" spans="1:11" x14ac:dyDescent="0.25">
      <c r="A1022" t="s">
        <v>3794</v>
      </c>
      <c r="B1022" s="1" t="str">
        <f>HYPERLINK("https://www.catalog.slsa.sa.gov.au/record=b3124457")</f>
        <v>https://www.catalog.slsa.sa.gov.au/record=b3124457</v>
      </c>
      <c r="C1022" s="1" t="str">
        <f>HYPERLINK("https://www.catalog.slsa.sa.gov.au/xrecord=b3124457")</f>
        <v>https://www.catalog.slsa.sa.gov.au/xrecord=b3124457</v>
      </c>
      <c r="E1022" t="s">
        <v>3795</v>
      </c>
      <c r="F1022" t="s">
        <v>3796</v>
      </c>
      <c r="G1022" t="s">
        <v>3797</v>
      </c>
      <c r="H1022" t="s">
        <v>3798</v>
      </c>
      <c r="I1022" t="s">
        <v>3799</v>
      </c>
      <c r="J1022" t="s">
        <v>3529</v>
      </c>
      <c r="K1022" s="2" t="str">
        <f>HYPERLINK("http://collections.slsa.sa.gov.au/resource/PRG+1696/7/58")</f>
        <v>http://collections.slsa.sa.gov.au/resource/PRG+1696/7/58</v>
      </c>
    </row>
    <row r="1023" spans="1:11" x14ac:dyDescent="0.25">
      <c r="A1023" t="s">
        <v>3800</v>
      </c>
      <c r="B1023" s="1" t="str">
        <f>HYPERLINK("https://www.catalog.slsa.sa.gov.au/record=b2926138")</f>
        <v>https://www.catalog.slsa.sa.gov.au/record=b2926138</v>
      </c>
      <c r="C1023" s="1" t="str">
        <f>HYPERLINK("https://www.catalog.slsa.sa.gov.au/xrecord=b2926138")</f>
        <v>https://www.catalog.slsa.sa.gov.au/xrecord=b2926138</v>
      </c>
      <c r="D1023" t="s">
        <v>3787</v>
      </c>
      <c r="E1023" t="s">
        <v>3801</v>
      </c>
      <c r="F1023" t="s">
        <v>3802</v>
      </c>
      <c r="G1023" t="s">
        <v>3803</v>
      </c>
      <c r="H1023" t="s">
        <v>3804</v>
      </c>
      <c r="I1023" t="s">
        <v>3805</v>
      </c>
      <c r="J1023" t="s">
        <v>3793</v>
      </c>
      <c r="K1023" s="2" t="str">
        <f>HYPERLINK("http://collections.slsa.sa.gov.au/prg/1611/20/PRG1611_20_24.htm")</f>
        <v>http://collections.slsa.sa.gov.au/prg/1611/20/PRG1611_20_24.htm</v>
      </c>
    </row>
    <row r="1024" spans="1:11" x14ac:dyDescent="0.25">
      <c r="A1024" t="s">
        <v>3806</v>
      </c>
      <c r="B1024" s="1" t="str">
        <f>HYPERLINK("https://www.catalog.slsa.sa.gov.au/record=b3124470")</f>
        <v>https://www.catalog.slsa.sa.gov.au/record=b3124470</v>
      </c>
      <c r="C1024" s="1" t="str">
        <f>HYPERLINK("https://www.catalog.slsa.sa.gov.au/xrecord=b3124470")</f>
        <v>https://www.catalog.slsa.sa.gov.au/xrecord=b3124470</v>
      </c>
      <c r="E1024" t="s">
        <v>3807</v>
      </c>
      <c r="F1024" t="s">
        <v>3808</v>
      </c>
      <c r="G1024" t="s">
        <v>3809</v>
      </c>
      <c r="H1024" t="s">
        <v>3810</v>
      </c>
      <c r="I1024" t="s">
        <v>3811</v>
      </c>
      <c r="J1024" t="s">
        <v>3529</v>
      </c>
      <c r="K1024" s="2" t="str">
        <f>HYPERLINK("http://collections.slsa.sa.gov.au/resource/PRG+1696/8/2")</f>
        <v>http://collections.slsa.sa.gov.au/resource/PRG+1696/8/2</v>
      </c>
    </row>
    <row r="1025" spans="1:11" x14ac:dyDescent="0.25">
      <c r="A1025" t="s">
        <v>3812</v>
      </c>
      <c r="B1025" s="1" t="str">
        <f>HYPERLINK("https://www.catalog.slsa.sa.gov.au/record=b3124471")</f>
        <v>https://www.catalog.slsa.sa.gov.au/record=b3124471</v>
      </c>
      <c r="C1025" s="1" t="str">
        <f>HYPERLINK("https://www.catalog.slsa.sa.gov.au/xrecord=b3124471")</f>
        <v>https://www.catalog.slsa.sa.gov.au/xrecord=b3124471</v>
      </c>
      <c r="E1025" t="s">
        <v>3813</v>
      </c>
      <c r="F1025" t="s">
        <v>3808</v>
      </c>
      <c r="G1025" t="s">
        <v>3814</v>
      </c>
      <c r="H1025" t="s">
        <v>3815</v>
      </c>
      <c r="I1025" t="s">
        <v>3816</v>
      </c>
      <c r="J1025" t="s">
        <v>3529</v>
      </c>
      <c r="K1025" s="2" t="str">
        <f>HYPERLINK("http://collections.slsa.sa.gov.au/resource/PRG+1696/8/3")</f>
        <v>http://collections.slsa.sa.gov.au/resource/PRG+1696/8/3</v>
      </c>
    </row>
    <row r="1026" spans="1:11" x14ac:dyDescent="0.25">
      <c r="A1026" t="s">
        <v>3817</v>
      </c>
      <c r="B1026" s="1" t="str">
        <f>HYPERLINK("https://www.catalog.slsa.sa.gov.au/record=b3124468")</f>
        <v>https://www.catalog.slsa.sa.gov.au/record=b3124468</v>
      </c>
      <c r="C1026" s="1" t="str">
        <f>HYPERLINK("https://www.catalog.slsa.sa.gov.au/xrecord=b3124468")</f>
        <v>https://www.catalog.slsa.sa.gov.au/xrecord=b3124468</v>
      </c>
      <c r="E1026" t="s">
        <v>3818</v>
      </c>
      <c r="F1026" t="s">
        <v>3819</v>
      </c>
      <c r="G1026" t="s">
        <v>3820</v>
      </c>
      <c r="H1026" t="s">
        <v>3821</v>
      </c>
      <c r="I1026" t="s">
        <v>3822</v>
      </c>
      <c r="J1026" t="s">
        <v>3529</v>
      </c>
      <c r="K1026" s="2" t="str">
        <f>HYPERLINK("http://collections.slsa.sa.gov.au/resource/PRG+1696/8/1")</f>
        <v>http://collections.slsa.sa.gov.au/resource/PRG+1696/8/1</v>
      </c>
    </row>
    <row r="1027" spans="1:11" x14ac:dyDescent="0.25">
      <c r="A1027" t="s">
        <v>3823</v>
      </c>
      <c r="B1027" s="1" t="str">
        <f>HYPERLINK("https://www.catalog.slsa.sa.gov.au/record=b3124472")</f>
        <v>https://www.catalog.slsa.sa.gov.au/record=b3124472</v>
      </c>
      <c r="C1027" s="1" t="str">
        <f>HYPERLINK("https://www.catalog.slsa.sa.gov.au/xrecord=b3124472")</f>
        <v>https://www.catalog.slsa.sa.gov.au/xrecord=b3124472</v>
      </c>
      <c r="E1027" t="s">
        <v>3824</v>
      </c>
      <c r="F1027" t="s">
        <v>3819</v>
      </c>
      <c r="G1027" t="s">
        <v>3825</v>
      </c>
      <c r="H1027" t="s">
        <v>3826</v>
      </c>
      <c r="I1027" t="s">
        <v>3811</v>
      </c>
      <c r="J1027" t="s">
        <v>3529</v>
      </c>
      <c r="K1027" s="2" t="str">
        <f>HYPERLINK("http://collections.slsa.sa.gov.au/resource/PRG+1696/8/4")</f>
        <v>http://collections.slsa.sa.gov.au/resource/PRG+1696/8/4</v>
      </c>
    </row>
    <row r="1028" spans="1:11" x14ac:dyDescent="0.25">
      <c r="A1028" t="s">
        <v>3827</v>
      </c>
      <c r="B1028" s="1" t="str">
        <f>HYPERLINK("https://www.catalog.slsa.sa.gov.au/record=b3124473")</f>
        <v>https://www.catalog.slsa.sa.gov.au/record=b3124473</v>
      </c>
      <c r="C1028" s="1" t="str">
        <f>HYPERLINK("https://www.catalog.slsa.sa.gov.au/xrecord=b3124473")</f>
        <v>https://www.catalog.slsa.sa.gov.au/xrecord=b3124473</v>
      </c>
      <c r="E1028" t="s">
        <v>3828</v>
      </c>
      <c r="F1028" t="s">
        <v>3819</v>
      </c>
      <c r="G1028" t="s">
        <v>3829</v>
      </c>
      <c r="H1028" t="s">
        <v>3830</v>
      </c>
      <c r="I1028" t="s">
        <v>3831</v>
      </c>
      <c r="J1028" t="s">
        <v>3529</v>
      </c>
      <c r="K1028" s="2" t="str">
        <f>HYPERLINK("http://collections.slsa.sa.gov.au/resource/PRG+1696/8/5")</f>
        <v>http://collections.slsa.sa.gov.au/resource/PRG+1696/8/5</v>
      </c>
    </row>
    <row r="1029" spans="1:11" x14ac:dyDescent="0.25">
      <c r="A1029" t="s">
        <v>3832</v>
      </c>
      <c r="B1029" s="1" t="str">
        <f>HYPERLINK("https://www.catalog.slsa.sa.gov.au/record=b3124474")</f>
        <v>https://www.catalog.slsa.sa.gov.au/record=b3124474</v>
      </c>
      <c r="C1029" s="1" t="str">
        <f>HYPERLINK("https://www.catalog.slsa.sa.gov.au/xrecord=b3124474")</f>
        <v>https://www.catalog.slsa.sa.gov.au/xrecord=b3124474</v>
      </c>
      <c r="E1029" t="s">
        <v>3824</v>
      </c>
      <c r="F1029" t="s">
        <v>3819</v>
      </c>
      <c r="G1029" t="s">
        <v>3833</v>
      </c>
      <c r="H1029" t="s">
        <v>3826</v>
      </c>
      <c r="I1029" t="s">
        <v>3811</v>
      </c>
      <c r="J1029" t="s">
        <v>3529</v>
      </c>
      <c r="K1029" s="2" t="str">
        <f>HYPERLINK("http://collections.slsa.sa.gov.au/resource/PRG+1696/8/6")</f>
        <v>http://collections.slsa.sa.gov.au/resource/PRG+1696/8/6</v>
      </c>
    </row>
    <row r="1030" spans="1:11" x14ac:dyDescent="0.25">
      <c r="A1030" t="s">
        <v>3834</v>
      </c>
      <c r="B1030" s="1" t="str">
        <f>HYPERLINK("https://www.catalog.slsa.sa.gov.au/record=b2107344")</f>
        <v>https://www.catalog.slsa.sa.gov.au/record=b2107344</v>
      </c>
      <c r="C1030" s="1" t="str">
        <f>HYPERLINK("https://www.catalog.slsa.sa.gov.au/xrecord=b2107344")</f>
        <v>https://www.catalog.slsa.sa.gov.au/xrecord=b2107344</v>
      </c>
      <c r="E1030" t="s">
        <v>3835</v>
      </c>
      <c r="F1030">
        <v>1951</v>
      </c>
      <c r="G1030" t="s">
        <v>3836</v>
      </c>
      <c r="H1030" t="s">
        <v>14</v>
      </c>
      <c r="I1030" t="s">
        <v>3837</v>
      </c>
      <c r="J1030" t="s">
        <v>16</v>
      </c>
      <c r="K1030" s="2" t="str">
        <f>HYPERLINK("http://collections.slsa.sa.gov.au/arbonlem/01000/PRG1324_906.htm")</f>
        <v>http://collections.slsa.sa.gov.au/arbonlem/01000/PRG1324_906.htm</v>
      </c>
    </row>
    <row r="1031" spans="1:11" x14ac:dyDescent="0.25">
      <c r="A1031" t="s">
        <v>3838</v>
      </c>
      <c r="B1031" s="1" t="str">
        <f>HYPERLINK("https://www.catalog.slsa.sa.gov.au/record=b2107811")</f>
        <v>https://www.catalog.slsa.sa.gov.au/record=b2107811</v>
      </c>
      <c r="C1031" s="1" t="str">
        <f>HYPERLINK("https://www.catalog.slsa.sa.gov.au/xrecord=b2107811")</f>
        <v>https://www.catalog.slsa.sa.gov.au/xrecord=b2107811</v>
      </c>
      <c r="E1031" t="s">
        <v>3839</v>
      </c>
      <c r="F1031">
        <v>1951</v>
      </c>
      <c r="G1031" t="s">
        <v>3840</v>
      </c>
      <c r="H1031" t="s">
        <v>14</v>
      </c>
      <c r="I1031" t="s">
        <v>3841</v>
      </c>
      <c r="J1031" t="s">
        <v>16</v>
      </c>
      <c r="K1031" s="2" t="str">
        <f>HYPERLINK("http://collections.slsa.sa.gov.au/arbonlem/01250/PRG1324_1238a.htm")</f>
        <v>http://collections.slsa.sa.gov.au/arbonlem/01250/PRG1324_1238a.htm</v>
      </c>
    </row>
    <row r="1032" spans="1:11" x14ac:dyDescent="0.25">
      <c r="A1032" t="s">
        <v>3842</v>
      </c>
      <c r="B1032" s="1" t="str">
        <f>HYPERLINK("https://www.catalog.slsa.sa.gov.au/record=b2107841")</f>
        <v>https://www.catalog.slsa.sa.gov.au/record=b2107841</v>
      </c>
      <c r="C1032" s="1" t="str">
        <f>HYPERLINK("https://www.catalog.slsa.sa.gov.au/xrecord=b2107841")</f>
        <v>https://www.catalog.slsa.sa.gov.au/xrecord=b2107841</v>
      </c>
      <c r="E1032" t="s">
        <v>3843</v>
      </c>
      <c r="F1032">
        <v>1951</v>
      </c>
      <c r="G1032" t="s">
        <v>27</v>
      </c>
      <c r="H1032" t="s">
        <v>14</v>
      </c>
      <c r="I1032" t="s">
        <v>3844</v>
      </c>
      <c r="J1032" t="s">
        <v>16</v>
      </c>
      <c r="K1032" s="2" t="str">
        <f>HYPERLINK("http://collections.slsa.sa.gov.au/arbonlem/01500/PRG1324_1268a.htm")</f>
        <v>http://collections.slsa.sa.gov.au/arbonlem/01500/PRG1324_1268a.htm</v>
      </c>
    </row>
    <row r="1033" spans="1:11" x14ac:dyDescent="0.25">
      <c r="A1033" t="s">
        <v>3845</v>
      </c>
      <c r="B1033" s="1" t="str">
        <f>HYPERLINK("https://www.catalog.slsa.sa.gov.au/record=b2107842")</f>
        <v>https://www.catalog.slsa.sa.gov.au/record=b2107842</v>
      </c>
      <c r="C1033" s="1" t="str">
        <f>HYPERLINK("https://www.catalog.slsa.sa.gov.au/xrecord=b2107842")</f>
        <v>https://www.catalog.slsa.sa.gov.au/xrecord=b2107842</v>
      </c>
      <c r="E1033" t="s">
        <v>3843</v>
      </c>
      <c r="F1033">
        <v>1951</v>
      </c>
      <c r="G1033" t="s">
        <v>27</v>
      </c>
      <c r="H1033" t="s">
        <v>14</v>
      </c>
      <c r="I1033" t="s">
        <v>3844</v>
      </c>
      <c r="J1033" t="s">
        <v>16</v>
      </c>
      <c r="K1033" s="2" t="str">
        <f>HYPERLINK("http://collections.slsa.sa.gov.au/arbonlem/01500/PRG1324_1269a.htm")</f>
        <v>http://collections.slsa.sa.gov.au/arbonlem/01500/PRG1324_1269a.htm</v>
      </c>
    </row>
    <row r="1034" spans="1:11" x14ac:dyDescent="0.25">
      <c r="A1034" t="s">
        <v>3846</v>
      </c>
      <c r="B1034" s="1" t="str">
        <f>HYPERLINK("https://www.catalog.slsa.sa.gov.au/record=b2107843")</f>
        <v>https://www.catalog.slsa.sa.gov.au/record=b2107843</v>
      </c>
      <c r="C1034" s="1" t="str">
        <f>HYPERLINK("https://www.catalog.slsa.sa.gov.au/xrecord=b2107843")</f>
        <v>https://www.catalog.slsa.sa.gov.au/xrecord=b2107843</v>
      </c>
      <c r="E1034" t="s">
        <v>3843</v>
      </c>
      <c r="F1034">
        <v>1951</v>
      </c>
      <c r="G1034" t="s">
        <v>3847</v>
      </c>
      <c r="H1034" t="s">
        <v>14</v>
      </c>
      <c r="I1034" t="s">
        <v>3844</v>
      </c>
      <c r="J1034" t="s">
        <v>16</v>
      </c>
      <c r="K1034" s="2" t="str">
        <f>HYPERLINK("http://collections.slsa.sa.gov.au/arbonlem/01500/PRG1324_1270a.htm")</f>
        <v>http://collections.slsa.sa.gov.au/arbonlem/01500/PRG1324_1270a.htm</v>
      </c>
    </row>
    <row r="1035" spans="1:11" x14ac:dyDescent="0.25">
      <c r="A1035" t="s">
        <v>3848</v>
      </c>
      <c r="B1035" s="1" t="str">
        <f>HYPERLINK("https://www.catalog.slsa.sa.gov.au/record=b2108161")</f>
        <v>https://www.catalog.slsa.sa.gov.au/record=b2108161</v>
      </c>
      <c r="C1035" s="1" t="str">
        <f>HYPERLINK("https://www.catalog.slsa.sa.gov.au/xrecord=b2108161")</f>
        <v>https://www.catalog.slsa.sa.gov.au/xrecord=b2108161</v>
      </c>
      <c r="E1035" t="s">
        <v>3849</v>
      </c>
      <c r="F1035">
        <v>1951</v>
      </c>
      <c r="G1035" t="s">
        <v>3850</v>
      </c>
      <c r="H1035" t="s">
        <v>14</v>
      </c>
      <c r="I1035" t="s">
        <v>3851</v>
      </c>
      <c r="J1035" t="s">
        <v>16</v>
      </c>
      <c r="K1035" s="2" t="str">
        <f>HYPERLINK("http://collections.slsa.sa.gov.au/arbonlem/01500/PRG1324_1416.htm")</f>
        <v>http://collections.slsa.sa.gov.au/arbonlem/01500/PRG1324_1416.htm</v>
      </c>
    </row>
    <row r="1036" spans="1:11" x14ac:dyDescent="0.25">
      <c r="A1036" t="s">
        <v>3852</v>
      </c>
      <c r="B1036" s="1" t="str">
        <f>HYPERLINK("https://www.catalog.slsa.sa.gov.au/record=b2108239")</f>
        <v>https://www.catalog.slsa.sa.gov.au/record=b2108239</v>
      </c>
      <c r="C1036" s="1" t="str">
        <f>HYPERLINK("https://www.catalog.slsa.sa.gov.au/xrecord=b2108239")</f>
        <v>https://www.catalog.slsa.sa.gov.au/xrecord=b2108239</v>
      </c>
      <c r="E1036" t="s">
        <v>3853</v>
      </c>
      <c r="F1036">
        <v>1951</v>
      </c>
      <c r="G1036" t="s">
        <v>3854</v>
      </c>
      <c r="H1036" t="s">
        <v>14</v>
      </c>
      <c r="I1036" t="s">
        <v>3855</v>
      </c>
      <c r="J1036" t="s">
        <v>16</v>
      </c>
      <c r="K1036" s="2" t="str">
        <f>HYPERLINK("http://collections.slsa.sa.gov.au/arbonlem/01500/PRG1324_1489.htm")</f>
        <v>http://collections.slsa.sa.gov.au/arbonlem/01500/PRG1324_1489.htm</v>
      </c>
    </row>
    <row r="1037" spans="1:11" x14ac:dyDescent="0.25">
      <c r="A1037" t="s">
        <v>3856</v>
      </c>
      <c r="B1037" s="1" t="str">
        <f>HYPERLINK("https://www.catalog.slsa.sa.gov.au/record=b2108250")</f>
        <v>https://www.catalog.slsa.sa.gov.au/record=b2108250</v>
      </c>
      <c r="C1037" s="1" t="str">
        <f>HYPERLINK("https://www.catalog.slsa.sa.gov.au/xrecord=b2108250")</f>
        <v>https://www.catalog.slsa.sa.gov.au/xrecord=b2108250</v>
      </c>
      <c r="E1037" t="s">
        <v>3857</v>
      </c>
      <c r="F1037">
        <v>1951</v>
      </c>
      <c r="G1037" t="s">
        <v>3858</v>
      </c>
      <c r="H1037" t="s">
        <v>14</v>
      </c>
      <c r="I1037" t="s">
        <v>3859</v>
      </c>
      <c r="J1037" t="s">
        <v>16</v>
      </c>
      <c r="K1037" s="2" t="str">
        <f>HYPERLINK("http://collections.slsa.sa.gov.au/arbonlem/01500/PRG1324_1500.htm")</f>
        <v>http://collections.slsa.sa.gov.au/arbonlem/01500/PRG1324_1500.htm</v>
      </c>
    </row>
    <row r="1038" spans="1:11" x14ac:dyDescent="0.25">
      <c r="A1038" t="s">
        <v>3860</v>
      </c>
      <c r="B1038" s="1" t="str">
        <f>HYPERLINK("https://www.catalog.slsa.sa.gov.au/record=b2108251")</f>
        <v>https://www.catalog.slsa.sa.gov.au/record=b2108251</v>
      </c>
      <c r="C1038" s="1" t="str">
        <f>HYPERLINK("https://www.catalog.slsa.sa.gov.au/xrecord=b2108251")</f>
        <v>https://www.catalog.slsa.sa.gov.au/xrecord=b2108251</v>
      </c>
      <c r="E1038" t="s">
        <v>3857</v>
      </c>
      <c r="F1038">
        <v>1951</v>
      </c>
      <c r="G1038" t="s">
        <v>3861</v>
      </c>
      <c r="H1038" t="s">
        <v>14</v>
      </c>
      <c r="I1038" t="s">
        <v>3859</v>
      </c>
      <c r="J1038" t="s">
        <v>16</v>
      </c>
      <c r="K1038" s="2" t="str">
        <f>HYPERLINK("http://collections.slsa.sa.gov.au/arbonlem/01750/PRG1324_1501.htm")</f>
        <v>http://collections.slsa.sa.gov.au/arbonlem/01750/PRG1324_1501.htm</v>
      </c>
    </row>
    <row r="1039" spans="1:11" x14ac:dyDescent="0.25">
      <c r="A1039" t="s">
        <v>3862</v>
      </c>
      <c r="B1039" s="1" t="str">
        <f>HYPERLINK("https://www.catalog.slsa.sa.gov.au/record=b2110210")</f>
        <v>https://www.catalog.slsa.sa.gov.au/record=b2110210</v>
      </c>
      <c r="C1039" s="1" t="str">
        <f>HYPERLINK("https://www.catalog.slsa.sa.gov.au/xrecord=b2110210")</f>
        <v>https://www.catalog.slsa.sa.gov.au/xrecord=b2110210</v>
      </c>
      <c r="D1039" t="s">
        <v>66</v>
      </c>
      <c r="E1039" t="s">
        <v>3863</v>
      </c>
      <c r="F1039">
        <v>1951</v>
      </c>
      <c r="G1039" t="s">
        <v>121</v>
      </c>
      <c r="H1039" t="s">
        <v>3864</v>
      </c>
      <c r="I1039" t="s">
        <v>3865</v>
      </c>
      <c r="J1039" t="s">
        <v>71</v>
      </c>
      <c r="K1039" s="2" t="str">
        <f>HYPERLINK("http://collections.slsa.sa.gov.au/arthur/01250/BRG347_1014.htm")</f>
        <v>http://collections.slsa.sa.gov.au/arthur/01250/BRG347_1014.htm</v>
      </c>
    </row>
    <row r="1040" spans="1:11" x14ac:dyDescent="0.25">
      <c r="A1040" t="s">
        <v>3866</v>
      </c>
      <c r="B1040" s="1" t="str">
        <f>HYPERLINK("https://www.catalog.slsa.sa.gov.au/record=b2110211")</f>
        <v>https://www.catalog.slsa.sa.gov.au/record=b2110211</v>
      </c>
      <c r="C1040" s="1" t="str">
        <f>HYPERLINK("https://www.catalog.slsa.sa.gov.au/xrecord=b2110211")</f>
        <v>https://www.catalog.slsa.sa.gov.au/xrecord=b2110211</v>
      </c>
      <c r="D1040" t="s">
        <v>66</v>
      </c>
      <c r="E1040" t="s">
        <v>3867</v>
      </c>
      <c r="F1040">
        <v>1951</v>
      </c>
      <c r="G1040" t="s">
        <v>121</v>
      </c>
      <c r="H1040" t="s">
        <v>3868</v>
      </c>
      <c r="I1040" t="s">
        <v>3869</v>
      </c>
      <c r="J1040" t="s">
        <v>71</v>
      </c>
      <c r="K1040" s="2" t="str">
        <f>HYPERLINK("http://collections.slsa.sa.gov.au/arthur/01250/BRG347_1015.htm")</f>
        <v>http://collections.slsa.sa.gov.au/arthur/01250/BRG347_1015.htm</v>
      </c>
    </row>
    <row r="1041" spans="1:11" x14ac:dyDescent="0.25">
      <c r="A1041" t="s">
        <v>3870</v>
      </c>
      <c r="B1041" s="1" t="str">
        <f>HYPERLINK("https://www.catalog.slsa.sa.gov.au/record=b2111271")</f>
        <v>https://www.catalog.slsa.sa.gov.au/record=b2111271</v>
      </c>
      <c r="C1041" s="1" t="str">
        <f>HYPERLINK("https://www.catalog.slsa.sa.gov.au/xrecord=b2111271")</f>
        <v>https://www.catalog.slsa.sa.gov.au/xrecord=b2111271</v>
      </c>
      <c r="D1041" t="s">
        <v>66</v>
      </c>
      <c r="E1041" t="s">
        <v>3871</v>
      </c>
      <c r="F1041">
        <v>1951</v>
      </c>
      <c r="G1041" t="s">
        <v>121</v>
      </c>
      <c r="H1041" t="s">
        <v>3872</v>
      </c>
      <c r="I1041" t="s">
        <v>3873</v>
      </c>
      <c r="J1041" t="s">
        <v>71</v>
      </c>
      <c r="K1041" s="2" t="str">
        <f>HYPERLINK("http://collections.slsa.sa.gov.au/arthur/02000/BRG347_1942.htm")</f>
        <v>http://collections.slsa.sa.gov.au/arthur/02000/BRG347_1942.htm</v>
      </c>
    </row>
    <row r="1042" spans="1:11" x14ac:dyDescent="0.25">
      <c r="A1042" t="s">
        <v>3874</v>
      </c>
      <c r="B1042" s="1" t="str">
        <f>HYPERLINK("https://www.catalog.slsa.sa.gov.au/record=b2111274")</f>
        <v>https://www.catalog.slsa.sa.gov.au/record=b2111274</v>
      </c>
      <c r="C1042" s="1" t="str">
        <f>HYPERLINK("https://www.catalog.slsa.sa.gov.au/xrecord=b2111274")</f>
        <v>https://www.catalog.slsa.sa.gov.au/xrecord=b2111274</v>
      </c>
      <c r="D1042" t="s">
        <v>66</v>
      </c>
      <c r="E1042" t="s">
        <v>3875</v>
      </c>
      <c r="F1042">
        <v>1951</v>
      </c>
      <c r="G1042" t="s">
        <v>121</v>
      </c>
      <c r="H1042" t="s">
        <v>3876</v>
      </c>
      <c r="I1042" t="s">
        <v>3877</v>
      </c>
      <c r="J1042" t="s">
        <v>71</v>
      </c>
      <c r="K1042" s="2" t="str">
        <f>HYPERLINK("http://collections.slsa.sa.gov.au/arthur/02000/BRG347_1945.htm")</f>
        <v>http://collections.slsa.sa.gov.au/arthur/02000/BRG347_1945.htm</v>
      </c>
    </row>
    <row r="1043" spans="1:11" x14ac:dyDescent="0.25">
      <c r="A1043" t="s">
        <v>3878</v>
      </c>
      <c r="B1043" s="1" t="str">
        <f>HYPERLINK("https://www.catalog.slsa.sa.gov.au/record=b2111275")</f>
        <v>https://www.catalog.slsa.sa.gov.au/record=b2111275</v>
      </c>
      <c r="C1043" s="1" t="str">
        <f>HYPERLINK("https://www.catalog.slsa.sa.gov.au/xrecord=b2111275")</f>
        <v>https://www.catalog.slsa.sa.gov.au/xrecord=b2111275</v>
      </c>
      <c r="D1043" t="s">
        <v>66</v>
      </c>
      <c r="E1043" t="s">
        <v>3879</v>
      </c>
      <c r="F1043">
        <v>1951</v>
      </c>
      <c r="G1043" t="s">
        <v>121</v>
      </c>
      <c r="H1043" t="s">
        <v>3880</v>
      </c>
      <c r="I1043" t="s">
        <v>3881</v>
      </c>
      <c r="J1043" t="s">
        <v>71</v>
      </c>
      <c r="K1043" s="2" t="str">
        <f>HYPERLINK("http://collections.slsa.sa.gov.au/arthur/02000/BRG347_1946.htm")</f>
        <v>http://collections.slsa.sa.gov.au/arthur/02000/BRG347_1946.htm</v>
      </c>
    </row>
    <row r="1044" spans="1:11" x14ac:dyDescent="0.25">
      <c r="A1044" t="s">
        <v>3882</v>
      </c>
      <c r="B1044" s="1" t="str">
        <f>HYPERLINK("https://www.catalog.slsa.sa.gov.au/record=b2112259")</f>
        <v>https://www.catalog.slsa.sa.gov.au/record=b2112259</v>
      </c>
      <c r="C1044" s="1" t="str">
        <f>HYPERLINK("https://www.catalog.slsa.sa.gov.au/xrecord=b2112259")</f>
        <v>https://www.catalog.slsa.sa.gov.au/xrecord=b2112259</v>
      </c>
      <c r="D1044" t="s">
        <v>66</v>
      </c>
      <c r="E1044" t="s">
        <v>3883</v>
      </c>
      <c r="F1044">
        <v>1951</v>
      </c>
      <c r="G1044" t="s">
        <v>121</v>
      </c>
      <c r="H1044" t="s">
        <v>3884</v>
      </c>
      <c r="I1044" t="s">
        <v>3885</v>
      </c>
      <c r="J1044" t="s">
        <v>71</v>
      </c>
      <c r="K1044" s="2" t="str">
        <f>HYPERLINK("http://collections.slsa.sa.gov.au/arthur/02750/BRG347_2694.htm")</f>
        <v>http://collections.slsa.sa.gov.au/arthur/02750/BRG347_2694.htm</v>
      </c>
    </row>
    <row r="1045" spans="1:11" x14ac:dyDescent="0.25">
      <c r="A1045" t="s">
        <v>3886</v>
      </c>
      <c r="B1045" s="1" t="str">
        <f>HYPERLINK("https://www.catalog.slsa.sa.gov.au/record=b2112422")</f>
        <v>https://www.catalog.slsa.sa.gov.au/record=b2112422</v>
      </c>
      <c r="C1045" s="1" t="str">
        <f>HYPERLINK("https://www.catalog.slsa.sa.gov.au/xrecord=b2112422")</f>
        <v>https://www.catalog.slsa.sa.gov.au/xrecord=b2112422</v>
      </c>
      <c r="D1045" t="s">
        <v>66</v>
      </c>
      <c r="E1045" t="s">
        <v>3887</v>
      </c>
      <c r="F1045">
        <v>1951</v>
      </c>
      <c r="G1045" t="s">
        <v>121</v>
      </c>
      <c r="H1045" t="s">
        <v>3888</v>
      </c>
      <c r="I1045" t="s">
        <v>3889</v>
      </c>
      <c r="J1045" t="s">
        <v>71</v>
      </c>
      <c r="K1045" s="2" t="str">
        <f>HYPERLINK("http://collections.slsa.sa.gov.au/arthur/02750/BRG347_2695.htm")</f>
        <v>http://collections.slsa.sa.gov.au/arthur/02750/BRG347_2695.htm</v>
      </c>
    </row>
    <row r="1046" spans="1:11" x14ac:dyDescent="0.25">
      <c r="A1046" t="s">
        <v>3890</v>
      </c>
      <c r="B1046" s="1" t="str">
        <f>HYPERLINK("https://www.catalog.slsa.sa.gov.au/record=b2112423")</f>
        <v>https://www.catalog.slsa.sa.gov.au/record=b2112423</v>
      </c>
      <c r="C1046" s="1" t="str">
        <f>HYPERLINK("https://www.catalog.slsa.sa.gov.au/xrecord=b2112423")</f>
        <v>https://www.catalog.slsa.sa.gov.au/xrecord=b2112423</v>
      </c>
      <c r="D1046" t="s">
        <v>3891</v>
      </c>
      <c r="E1046" t="s">
        <v>3892</v>
      </c>
      <c r="F1046">
        <v>1951</v>
      </c>
      <c r="G1046" t="s">
        <v>121</v>
      </c>
      <c r="H1046" t="s">
        <v>3893</v>
      </c>
      <c r="I1046" t="s">
        <v>3894</v>
      </c>
      <c r="J1046" t="s">
        <v>71</v>
      </c>
      <c r="K1046" s="2" t="str">
        <f>HYPERLINK("http://collections.slsa.sa.gov.au/arthur/02750/BRG347_2696.htm")</f>
        <v>http://collections.slsa.sa.gov.au/arthur/02750/BRG347_2696.htm</v>
      </c>
    </row>
    <row r="1047" spans="1:11" x14ac:dyDescent="0.25">
      <c r="A1047" t="s">
        <v>3895</v>
      </c>
      <c r="B1047" s="1" t="str">
        <f>HYPERLINK("https://www.catalog.slsa.sa.gov.au/record=b2112424")</f>
        <v>https://www.catalog.slsa.sa.gov.au/record=b2112424</v>
      </c>
      <c r="C1047" s="1" t="str">
        <f>HYPERLINK("https://www.catalog.slsa.sa.gov.au/xrecord=b2112424")</f>
        <v>https://www.catalog.slsa.sa.gov.au/xrecord=b2112424</v>
      </c>
      <c r="D1047" t="s">
        <v>66</v>
      </c>
      <c r="E1047" t="s">
        <v>3896</v>
      </c>
      <c r="F1047">
        <v>1951</v>
      </c>
      <c r="G1047" t="s">
        <v>121</v>
      </c>
      <c r="H1047" t="s">
        <v>3897</v>
      </c>
      <c r="I1047" t="s">
        <v>3898</v>
      </c>
      <c r="J1047" t="s">
        <v>71</v>
      </c>
      <c r="K1047" s="2" t="str">
        <f>HYPERLINK("http://collections.slsa.sa.gov.au/arthur/02750/BRG347_2698.htm")</f>
        <v>http://collections.slsa.sa.gov.au/arthur/02750/BRG347_2698.htm</v>
      </c>
    </row>
    <row r="1048" spans="1:11" x14ac:dyDescent="0.25">
      <c r="A1048" t="s">
        <v>3899</v>
      </c>
      <c r="B1048" s="1" t="str">
        <f>HYPERLINK("https://www.catalog.slsa.sa.gov.au/record=b2112425")</f>
        <v>https://www.catalog.slsa.sa.gov.au/record=b2112425</v>
      </c>
      <c r="C1048" s="1" t="str">
        <f>HYPERLINK("https://www.catalog.slsa.sa.gov.au/xrecord=b2112425")</f>
        <v>https://www.catalog.slsa.sa.gov.au/xrecord=b2112425</v>
      </c>
      <c r="D1048" t="s">
        <v>66</v>
      </c>
      <c r="E1048" t="s">
        <v>3900</v>
      </c>
      <c r="F1048">
        <v>1951</v>
      </c>
      <c r="G1048" t="s">
        <v>121</v>
      </c>
      <c r="H1048" t="s">
        <v>3901</v>
      </c>
      <c r="I1048" t="s">
        <v>3902</v>
      </c>
      <c r="J1048" t="s">
        <v>71</v>
      </c>
      <c r="K1048" s="2" t="str">
        <f>HYPERLINK("http://collections.slsa.sa.gov.au/arthur/02750/BRG347_2699.htm")</f>
        <v>http://collections.slsa.sa.gov.au/arthur/02750/BRG347_2699.htm</v>
      </c>
    </row>
    <row r="1049" spans="1:11" x14ac:dyDescent="0.25">
      <c r="A1049" t="s">
        <v>3903</v>
      </c>
      <c r="B1049" s="1" t="str">
        <f>HYPERLINK("https://www.catalog.slsa.sa.gov.au/record=b2112426")</f>
        <v>https://www.catalog.slsa.sa.gov.au/record=b2112426</v>
      </c>
      <c r="C1049" s="1" t="str">
        <f>HYPERLINK("https://www.catalog.slsa.sa.gov.au/xrecord=b2112426")</f>
        <v>https://www.catalog.slsa.sa.gov.au/xrecord=b2112426</v>
      </c>
      <c r="D1049" t="s">
        <v>66</v>
      </c>
      <c r="E1049" t="s">
        <v>3904</v>
      </c>
      <c r="F1049">
        <v>1951</v>
      </c>
      <c r="G1049" t="s">
        <v>121</v>
      </c>
      <c r="H1049" t="s">
        <v>3905</v>
      </c>
      <c r="I1049" t="s">
        <v>3906</v>
      </c>
      <c r="J1049" t="s">
        <v>71</v>
      </c>
      <c r="K1049" s="2" t="str">
        <f>HYPERLINK("http://collections.slsa.sa.gov.au/arthur/02750/BRG347_2700.htm")</f>
        <v>http://collections.slsa.sa.gov.au/arthur/02750/BRG347_2700.htm</v>
      </c>
    </row>
    <row r="1050" spans="1:11" x14ac:dyDescent="0.25">
      <c r="A1050" t="s">
        <v>3907</v>
      </c>
      <c r="B1050" s="1" t="str">
        <f>HYPERLINK("https://www.catalog.slsa.sa.gov.au/record=b2112427")</f>
        <v>https://www.catalog.slsa.sa.gov.au/record=b2112427</v>
      </c>
      <c r="C1050" s="1" t="str">
        <f>HYPERLINK("https://www.catalog.slsa.sa.gov.au/xrecord=b2112427")</f>
        <v>https://www.catalog.slsa.sa.gov.au/xrecord=b2112427</v>
      </c>
      <c r="D1050" t="s">
        <v>66</v>
      </c>
      <c r="E1050" t="s">
        <v>3908</v>
      </c>
      <c r="F1050">
        <v>1951</v>
      </c>
      <c r="G1050" t="s">
        <v>121</v>
      </c>
      <c r="H1050" t="s">
        <v>3909</v>
      </c>
      <c r="I1050" t="s">
        <v>3910</v>
      </c>
      <c r="J1050" t="s">
        <v>71</v>
      </c>
      <c r="K1050" s="2" t="str">
        <f>HYPERLINK("http://collections.slsa.sa.gov.au/arthur/02750/BRG347_2701.htm")</f>
        <v>http://collections.slsa.sa.gov.au/arthur/02750/BRG347_2701.htm</v>
      </c>
    </row>
    <row r="1051" spans="1:11" x14ac:dyDescent="0.25">
      <c r="A1051" t="s">
        <v>3911</v>
      </c>
      <c r="B1051" s="1" t="str">
        <f>HYPERLINK("https://www.catalog.slsa.sa.gov.au/record=b2112428")</f>
        <v>https://www.catalog.slsa.sa.gov.au/record=b2112428</v>
      </c>
      <c r="C1051" s="1" t="str">
        <f>HYPERLINK("https://www.catalog.slsa.sa.gov.au/xrecord=b2112428")</f>
        <v>https://www.catalog.slsa.sa.gov.au/xrecord=b2112428</v>
      </c>
      <c r="D1051" t="s">
        <v>66</v>
      </c>
      <c r="E1051" t="s">
        <v>3912</v>
      </c>
      <c r="F1051">
        <v>1951</v>
      </c>
      <c r="G1051" t="s">
        <v>121</v>
      </c>
      <c r="H1051" t="s">
        <v>3913</v>
      </c>
      <c r="I1051" t="s">
        <v>3914</v>
      </c>
      <c r="J1051" t="s">
        <v>71</v>
      </c>
      <c r="K1051" s="2" t="str">
        <f>HYPERLINK("http://collections.slsa.sa.gov.au/arthur/02750/BRG347_2702.htm")</f>
        <v>http://collections.slsa.sa.gov.au/arthur/02750/BRG347_2702.htm</v>
      </c>
    </row>
    <row r="1052" spans="1:11" x14ac:dyDescent="0.25">
      <c r="A1052" t="s">
        <v>3915</v>
      </c>
      <c r="B1052" s="1" t="str">
        <f>HYPERLINK("https://www.catalog.slsa.sa.gov.au/record=b2112429")</f>
        <v>https://www.catalog.slsa.sa.gov.au/record=b2112429</v>
      </c>
      <c r="C1052" s="1" t="str">
        <f>HYPERLINK("https://www.catalog.slsa.sa.gov.au/xrecord=b2112429")</f>
        <v>https://www.catalog.slsa.sa.gov.au/xrecord=b2112429</v>
      </c>
      <c r="D1052" t="s">
        <v>66</v>
      </c>
      <c r="E1052" t="s">
        <v>3916</v>
      </c>
      <c r="F1052">
        <v>1951</v>
      </c>
      <c r="G1052" t="s">
        <v>121</v>
      </c>
      <c r="H1052" t="s">
        <v>3917</v>
      </c>
      <c r="I1052" t="s">
        <v>3918</v>
      </c>
      <c r="J1052" t="s">
        <v>71</v>
      </c>
      <c r="K1052" s="2" t="str">
        <f>HYPERLINK("http://collections.slsa.sa.gov.au/arthur/02750/BRG347_2703.htm")</f>
        <v>http://collections.slsa.sa.gov.au/arthur/02750/BRG347_2703.htm</v>
      </c>
    </row>
    <row r="1053" spans="1:11" x14ac:dyDescent="0.25">
      <c r="A1053" t="s">
        <v>3919</v>
      </c>
      <c r="B1053" s="1" t="str">
        <f>HYPERLINK("https://www.catalog.slsa.sa.gov.au/record=b2112430")</f>
        <v>https://www.catalog.slsa.sa.gov.au/record=b2112430</v>
      </c>
      <c r="C1053" s="1" t="str">
        <f>HYPERLINK("https://www.catalog.slsa.sa.gov.au/xrecord=b2112430")</f>
        <v>https://www.catalog.slsa.sa.gov.au/xrecord=b2112430</v>
      </c>
      <c r="D1053" t="s">
        <v>66</v>
      </c>
      <c r="E1053" t="s">
        <v>3920</v>
      </c>
      <c r="F1053">
        <v>1951</v>
      </c>
      <c r="G1053" t="s">
        <v>121</v>
      </c>
      <c r="H1053" t="s">
        <v>3921</v>
      </c>
      <c r="I1053" t="s">
        <v>3922</v>
      </c>
      <c r="J1053" t="s">
        <v>71</v>
      </c>
      <c r="K1053" s="2" t="str">
        <f>HYPERLINK("http://collections.slsa.sa.gov.au/arthur/02750/BRG347_2704.htm")</f>
        <v>http://collections.slsa.sa.gov.au/arthur/02750/BRG347_2704.htm</v>
      </c>
    </row>
    <row r="1054" spans="1:11" x14ac:dyDescent="0.25">
      <c r="A1054" t="s">
        <v>3923</v>
      </c>
      <c r="B1054" s="1" t="str">
        <f>HYPERLINK("https://www.catalog.slsa.sa.gov.au/record=b2118034")</f>
        <v>https://www.catalog.slsa.sa.gov.au/record=b2118034</v>
      </c>
      <c r="C1054" s="1" t="str">
        <f>HYPERLINK("https://www.catalog.slsa.sa.gov.au/xrecord=b2118034")</f>
        <v>https://www.catalog.slsa.sa.gov.au/xrecord=b2118034</v>
      </c>
      <c r="D1054" t="s">
        <v>66</v>
      </c>
      <c r="E1054" t="s">
        <v>3924</v>
      </c>
      <c r="F1054">
        <v>1951</v>
      </c>
      <c r="G1054" t="s">
        <v>121</v>
      </c>
      <c r="H1054" t="s">
        <v>3925</v>
      </c>
      <c r="I1054" t="s">
        <v>3926</v>
      </c>
      <c r="J1054" t="s">
        <v>71</v>
      </c>
      <c r="K1054" s="2" t="str">
        <f>HYPERLINK("http://collections.slsa.sa.gov.au/arthur/02750/BRG347_2705.htm")</f>
        <v>http://collections.slsa.sa.gov.au/arthur/02750/BRG347_2705.htm</v>
      </c>
    </row>
    <row r="1055" spans="1:11" x14ac:dyDescent="0.25">
      <c r="A1055" t="s">
        <v>3927</v>
      </c>
      <c r="B1055" s="1" t="str">
        <f>HYPERLINK("https://www.catalog.slsa.sa.gov.au/record=b2112431")</f>
        <v>https://www.catalog.slsa.sa.gov.au/record=b2112431</v>
      </c>
      <c r="C1055" s="1" t="str">
        <f>HYPERLINK("https://www.catalog.slsa.sa.gov.au/xrecord=b2112431")</f>
        <v>https://www.catalog.slsa.sa.gov.au/xrecord=b2112431</v>
      </c>
      <c r="D1055" t="s">
        <v>66</v>
      </c>
      <c r="E1055" t="s">
        <v>3928</v>
      </c>
      <c r="F1055">
        <v>1951</v>
      </c>
      <c r="G1055" t="s">
        <v>121</v>
      </c>
      <c r="H1055" t="s">
        <v>3929</v>
      </c>
      <c r="I1055" t="s">
        <v>3930</v>
      </c>
      <c r="J1055" t="s">
        <v>71</v>
      </c>
      <c r="K1055" s="2" t="str">
        <f>HYPERLINK("http://collections.slsa.sa.gov.au/arthur/02750/BRG347_2706.htm")</f>
        <v>http://collections.slsa.sa.gov.au/arthur/02750/BRG347_2706.htm</v>
      </c>
    </row>
    <row r="1056" spans="1:11" x14ac:dyDescent="0.25">
      <c r="A1056" t="s">
        <v>3931</v>
      </c>
      <c r="B1056" s="1" t="str">
        <f>HYPERLINK("https://www.catalog.slsa.sa.gov.au/record=b2112432")</f>
        <v>https://www.catalog.slsa.sa.gov.au/record=b2112432</v>
      </c>
      <c r="C1056" s="1" t="str">
        <f>HYPERLINK("https://www.catalog.slsa.sa.gov.au/xrecord=b2112432")</f>
        <v>https://www.catalog.slsa.sa.gov.au/xrecord=b2112432</v>
      </c>
      <c r="D1056" t="s">
        <v>66</v>
      </c>
      <c r="E1056" t="s">
        <v>3932</v>
      </c>
      <c r="F1056">
        <v>1951</v>
      </c>
      <c r="G1056" t="s">
        <v>121</v>
      </c>
      <c r="H1056" t="s">
        <v>3933</v>
      </c>
      <c r="I1056" t="s">
        <v>3934</v>
      </c>
      <c r="J1056" t="s">
        <v>71</v>
      </c>
      <c r="K1056" s="2" t="str">
        <f>HYPERLINK("http://collections.slsa.sa.gov.au/arthur/02750/BRG347_2707.htm")</f>
        <v>http://collections.slsa.sa.gov.au/arthur/02750/BRG347_2707.htm</v>
      </c>
    </row>
    <row r="1057" spans="1:11" x14ac:dyDescent="0.25">
      <c r="A1057" t="s">
        <v>3935</v>
      </c>
      <c r="B1057" s="1" t="str">
        <f>HYPERLINK("https://www.catalog.slsa.sa.gov.au/record=b2112433")</f>
        <v>https://www.catalog.slsa.sa.gov.au/record=b2112433</v>
      </c>
      <c r="C1057" s="1" t="str">
        <f>HYPERLINK("https://www.catalog.slsa.sa.gov.au/xrecord=b2112433")</f>
        <v>https://www.catalog.slsa.sa.gov.au/xrecord=b2112433</v>
      </c>
      <c r="D1057" t="s">
        <v>66</v>
      </c>
      <c r="E1057" t="s">
        <v>3936</v>
      </c>
      <c r="F1057">
        <v>1951</v>
      </c>
      <c r="G1057" t="s">
        <v>121</v>
      </c>
      <c r="H1057" t="s">
        <v>3937</v>
      </c>
      <c r="I1057" t="s">
        <v>3938</v>
      </c>
      <c r="J1057" t="s">
        <v>71</v>
      </c>
      <c r="K1057" s="2" t="str">
        <f>HYPERLINK("http://collections.slsa.sa.gov.au/arthur/02750/BRG347_2708.htm")</f>
        <v>http://collections.slsa.sa.gov.au/arthur/02750/BRG347_2708.htm</v>
      </c>
    </row>
    <row r="1058" spans="1:11" x14ac:dyDescent="0.25">
      <c r="A1058" t="s">
        <v>3939</v>
      </c>
      <c r="B1058" s="1" t="str">
        <f>HYPERLINK("https://www.catalog.slsa.sa.gov.au/record=b2112434")</f>
        <v>https://www.catalog.slsa.sa.gov.au/record=b2112434</v>
      </c>
      <c r="C1058" s="1" t="str">
        <f>HYPERLINK("https://www.catalog.slsa.sa.gov.au/xrecord=b2112434")</f>
        <v>https://www.catalog.slsa.sa.gov.au/xrecord=b2112434</v>
      </c>
      <c r="D1058" t="s">
        <v>66</v>
      </c>
      <c r="E1058" t="s">
        <v>3940</v>
      </c>
      <c r="F1058">
        <v>1951</v>
      </c>
      <c r="G1058" t="s">
        <v>121</v>
      </c>
      <c r="H1058" t="s">
        <v>3941</v>
      </c>
      <c r="I1058" t="s">
        <v>3942</v>
      </c>
      <c r="J1058" t="s">
        <v>71</v>
      </c>
      <c r="K1058" s="2" t="str">
        <f>HYPERLINK("http://collections.slsa.sa.gov.au/arthur/02750/BRG347_2709.htm")</f>
        <v>http://collections.slsa.sa.gov.au/arthur/02750/BRG347_2709.htm</v>
      </c>
    </row>
    <row r="1059" spans="1:11" x14ac:dyDescent="0.25">
      <c r="A1059" t="s">
        <v>3943</v>
      </c>
      <c r="B1059" s="1" t="str">
        <f>HYPERLINK("https://www.catalog.slsa.sa.gov.au/record=b2112435")</f>
        <v>https://www.catalog.slsa.sa.gov.au/record=b2112435</v>
      </c>
      <c r="C1059" s="1" t="str">
        <f>HYPERLINK("https://www.catalog.slsa.sa.gov.au/xrecord=b2112435")</f>
        <v>https://www.catalog.slsa.sa.gov.au/xrecord=b2112435</v>
      </c>
      <c r="D1059" t="s">
        <v>66</v>
      </c>
      <c r="E1059" t="s">
        <v>3944</v>
      </c>
      <c r="F1059">
        <v>1951</v>
      </c>
      <c r="G1059" t="s">
        <v>121</v>
      </c>
      <c r="H1059" t="s">
        <v>3945</v>
      </c>
      <c r="I1059" t="s">
        <v>3946</v>
      </c>
      <c r="J1059" t="s">
        <v>71</v>
      </c>
      <c r="K1059" s="2" t="str">
        <f>HYPERLINK("http://collections.slsa.sa.gov.au/arthur/02750/BRG347_2710.htm")</f>
        <v>http://collections.slsa.sa.gov.au/arthur/02750/BRG347_2710.htm</v>
      </c>
    </row>
    <row r="1060" spans="1:11" x14ac:dyDescent="0.25">
      <c r="A1060" t="s">
        <v>3947</v>
      </c>
      <c r="B1060" s="1" t="str">
        <f>HYPERLINK("https://www.catalog.slsa.sa.gov.au/record=b2112436")</f>
        <v>https://www.catalog.slsa.sa.gov.au/record=b2112436</v>
      </c>
      <c r="C1060" s="1" t="str">
        <f>HYPERLINK("https://www.catalog.slsa.sa.gov.au/xrecord=b2112436")</f>
        <v>https://www.catalog.slsa.sa.gov.au/xrecord=b2112436</v>
      </c>
      <c r="D1060" t="s">
        <v>66</v>
      </c>
      <c r="E1060" t="s">
        <v>3948</v>
      </c>
      <c r="F1060">
        <v>1951</v>
      </c>
      <c r="G1060" t="s">
        <v>121</v>
      </c>
      <c r="H1060" t="s">
        <v>3949</v>
      </c>
      <c r="I1060" t="s">
        <v>3950</v>
      </c>
      <c r="J1060" t="s">
        <v>71</v>
      </c>
      <c r="K1060" s="2" t="str">
        <f>HYPERLINK("http://collections.slsa.sa.gov.au/arthur/02750/BRG347_2711.htm")</f>
        <v>http://collections.slsa.sa.gov.au/arthur/02750/BRG347_2711.htm</v>
      </c>
    </row>
    <row r="1061" spans="1:11" x14ac:dyDescent="0.25">
      <c r="A1061" t="s">
        <v>3951</v>
      </c>
      <c r="B1061" s="1" t="str">
        <f>HYPERLINK("https://www.catalog.slsa.sa.gov.au/record=b2112437")</f>
        <v>https://www.catalog.slsa.sa.gov.au/record=b2112437</v>
      </c>
      <c r="C1061" s="1" t="str">
        <f>HYPERLINK("https://www.catalog.slsa.sa.gov.au/xrecord=b2112437")</f>
        <v>https://www.catalog.slsa.sa.gov.au/xrecord=b2112437</v>
      </c>
      <c r="D1061" t="s">
        <v>66</v>
      </c>
      <c r="E1061" t="s">
        <v>3952</v>
      </c>
      <c r="F1061">
        <v>1951</v>
      </c>
      <c r="G1061" t="s">
        <v>121</v>
      </c>
      <c r="H1061" t="s">
        <v>3953</v>
      </c>
      <c r="I1061" t="s">
        <v>3954</v>
      </c>
      <c r="J1061" t="s">
        <v>71</v>
      </c>
      <c r="K1061" s="2" t="str">
        <f>HYPERLINK("http://collections.slsa.sa.gov.au/arthur/02750/BRG347_2712.htm")</f>
        <v>http://collections.slsa.sa.gov.au/arthur/02750/BRG347_2712.htm</v>
      </c>
    </row>
    <row r="1062" spans="1:11" x14ac:dyDescent="0.25">
      <c r="A1062" t="s">
        <v>3955</v>
      </c>
      <c r="B1062" s="1" t="str">
        <f>HYPERLINK("https://www.catalog.slsa.sa.gov.au/record=b2112438")</f>
        <v>https://www.catalog.slsa.sa.gov.au/record=b2112438</v>
      </c>
      <c r="C1062" s="1" t="str">
        <f>HYPERLINK("https://www.catalog.slsa.sa.gov.au/xrecord=b2112438")</f>
        <v>https://www.catalog.slsa.sa.gov.au/xrecord=b2112438</v>
      </c>
      <c r="D1062" t="s">
        <v>66</v>
      </c>
      <c r="E1062" t="s">
        <v>3956</v>
      </c>
      <c r="F1062">
        <v>1951</v>
      </c>
      <c r="G1062" t="s">
        <v>121</v>
      </c>
      <c r="H1062" t="s">
        <v>3957</v>
      </c>
      <c r="I1062" t="s">
        <v>3958</v>
      </c>
      <c r="J1062" t="s">
        <v>71</v>
      </c>
      <c r="K1062" s="2" t="str">
        <f>HYPERLINK("http://collections.slsa.sa.gov.au/arthur/02750/BRG347_2713.htm")</f>
        <v>http://collections.slsa.sa.gov.au/arthur/02750/BRG347_2713.htm</v>
      </c>
    </row>
    <row r="1063" spans="1:11" x14ac:dyDescent="0.25">
      <c r="A1063" t="s">
        <v>3959</v>
      </c>
      <c r="B1063" s="1" t="str">
        <f>HYPERLINK("https://www.catalog.slsa.sa.gov.au/record=b2112439")</f>
        <v>https://www.catalog.slsa.sa.gov.au/record=b2112439</v>
      </c>
      <c r="C1063" s="1" t="str">
        <f>HYPERLINK("https://www.catalog.slsa.sa.gov.au/xrecord=b2112439")</f>
        <v>https://www.catalog.slsa.sa.gov.au/xrecord=b2112439</v>
      </c>
      <c r="D1063" t="s">
        <v>66</v>
      </c>
      <c r="E1063" t="s">
        <v>3960</v>
      </c>
      <c r="F1063">
        <v>1951</v>
      </c>
      <c r="G1063" t="s">
        <v>121</v>
      </c>
      <c r="H1063" t="s">
        <v>3961</v>
      </c>
      <c r="I1063" t="s">
        <v>3962</v>
      </c>
      <c r="J1063" t="s">
        <v>71</v>
      </c>
      <c r="K1063" s="2" t="str">
        <f>HYPERLINK("http://collections.slsa.sa.gov.au/arthur/02750/BRG347_2714.htm")</f>
        <v>http://collections.slsa.sa.gov.au/arthur/02750/BRG347_2714.htm</v>
      </c>
    </row>
    <row r="1064" spans="1:11" x14ac:dyDescent="0.25">
      <c r="A1064" t="s">
        <v>3963</v>
      </c>
      <c r="B1064" s="1" t="str">
        <f>HYPERLINK("https://www.catalog.slsa.sa.gov.au/record=b2118035")</f>
        <v>https://www.catalog.slsa.sa.gov.au/record=b2118035</v>
      </c>
      <c r="C1064" s="1" t="str">
        <f>HYPERLINK("https://www.catalog.slsa.sa.gov.au/xrecord=b2118035")</f>
        <v>https://www.catalog.slsa.sa.gov.au/xrecord=b2118035</v>
      </c>
      <c r="D1064" t="s">
        <v>66</v>
      </c>
      <c r="E1064" t="s">
        <v>3964</v>
      </c>
      <c r="F1064">
        <v>1951</v>
      </c>
      <c r="G1064" t="s">
        <v>121</v>
      </c>
      <c r="H1064" t="s">
        <v>3965</v>
      </c>
      <c r="I1064" t="s">
        <v>3966</v>
      </c>
      <c r="J1064" t="s">
        <v>71</v>
      </c>
      <c r="K1064" s="2" t="str">
        <f>HYPERLINK("http://collections.slsa.sa.gov.au/arthur/02750/BRG347_2715.htm")</f>
        <v>http://collections.slsa.sa.gov.au/arthur/02750/BRG347_2715.htm</v>
      </c>
    </row>
    <row r="1065" spans="1:11" x14ac:dyDescent="0.25">
      <c r="A1065" t="s">
        <v>3967</v>
      </c>
      <c r="B1065" s="1" t="str">
        <f>HYPERLINK("https://www.catalog.slsa.sa.gov.au/record=b2112440")</f>
        <v>https://www.catalog.slsa.sa.gov.au/record=b2112440</v>
      </c>
      <c r="C1065" s="1" t="str">
        <f>HYPERLINK("https://www.catalog.slsa.sa.gov.au/xrecord=b2112440")</f>
        <v>https://www.catalog.slsa.sa.gov.au/xrecord=b2112440</v>
      </c>
      <c r="D1065" t="s">
        <v>66</v>
      </c>
      <c r="E1065" t="s">
        <v>3968</v>
      </c>
      <c r="F1065">
        <v>1951</v>
      </c>
      <c r="G1065" t="s">
        <v>121</v>
      </c>
      <c r="H1065" t="s">
        <v>3969</v>
      </c>
      <c r="I1065" t="s">
        <v>3970</v>
      </c>
      <c r="J1065" t="s">
        <v>71</v>
      </c>
      <c r="K1065" s="2" t="str">
        <f>HYPERLINK("http://collections.slsa.sa.gov.au/arthur/02750/BRG347_2716.htm")</f>
        <v>http://collections.slsa.sa.gov.au/arthur/02750/BRG347_2716.htm</v>
      </c>
    </row>
    <row r="1066" spans="1:11" x14ac:dyDescent="0.25">
      <c r="A1066" t="s">
        <v>3971</v>
      </c>
      <c r="B1066" s="1" t="str">
        <f>HYPERLINK("https://www.catalog.slsa.sa.gov.au/record=b2112456")</f>
        <v>https://www.catalog.slsa.sa.gov.au/record=b2112456</v>
      </c>
      <c r="C1066" s="1" t="str">
        <f>HYPERLINK("https://www.catalog.slsa.sa.gov.au/xrecord=b2112456")</f>
        <v>https://www.catalog.slsa.sa.gov.au/xrecord=b2112456</v>
      </c>
      <c r="D1066" t="s">
        <v>66</v>
      </c>
      <c r="E1066" t="s">
        <v>3972</v>
      </c>
      <c r="F1066">
        <v>1951</v>
      </c>
      <c r="G1066" t="s">
        <v>121</v>
      </c>
      <c r="H1066" t="s">
        <v>3973</v>
      </c>
      <c r="I1066" t="s">
        <v>3974</v>
      </c>
      <c r="J1066" t="s">
        <v>71</v>
      </c>
      <c r="K1066" s="2" t="str">
        <f>HYPERLINK("http://collections.slsa.sa.gov.au/arthur/02750/BRG347_2732.htm")</f>
        <v>http://collections.slsa.sa.gov.au/arthur/02750/BRG347_2732.htm</v>
      </c>
    </row>
    <row r="1067" spans="1:11" x14ac:dyDescent="0.25">
      <c r="A1067" t="s">
        <v>3975</v>
      </c>
      <c r="B1067" s="1" t="str">
        <f>HYPERLINK("https://www.catalog.slsa.sa.gov.au/record=b2112458")</f>
        <v>https://www.catalog.slsa.sa.gov.au/record=b2112458</v>
      </c>
      <c r="C1067" s="1" t="str">
        <f>HYPERLINK("https://www.catalog.slsa.sa.gov.au/xrecord=b2112458")</f>
        <v>https://www.catalog.slsa.sa.gov.au/xrecord=b2112458</v>
      </c>
      <c r="D1067" t="s">
        <v>66</v>
      </c>
      <c r="E1067" t="s">
        <v>3976</v>
      </c>
      <c r="F1067">
        <v>1951</v>
      </c>
      <c r="G1067" t="s">
        <v>121</v>
      </c>
      <c r="H1067" t="s">
        <v>3977</v>
      </c>
      <c r="I1067" t="s">
        <v>3978</v>
      </c>
      <c r="J1067" t="s">
        <v>71</v>
      </c>
      <c r="K1067" s="2" t="str">
        <f>HYPERLINK("http://collections.slsa.sa.gov.au/arthur/02750/BRG347_2734.htm")</f>
        <v>http://collections.slsa.sa.gov.au/arthur/02750/BRG347_2734.htm</v>
      </c>
    </row>
    <row r="1068" spans="1:11" x14ac:dyDescent="0.25">
      <c r="A1068" t="s">
        <v>3979</v>
      </c>
      <c r="B1068" s="1" t="str">
        <f>HYPERLINK("https://www.catalog.slsa.sa.gov.au/record=b2112459")</f>
        <v>https://www.catalog.slsa.sa.gov.au/record=b2112459</v>
      </c>
      <c r="C1068" s="1" t="str">
        <f>HYPERLINK("https://www.catalog.slsa.sa.gov.au/xrecord=b2112459")</f>
        <v>https://www.catalog.slsa.sa.gov.au/xrecord=b2112459</v>
      </c>
      <c r="D1068" t="s">
        <v>66</v>
      </c>
      <c r="E1068" t="s">
        <v>3980</v>
      </c>
      <c r="F1068">
        <v>1951</v>
      </c>
      <c r="G1068" t="s">
        <v>121</v>
      </c>
      <c r="H1068" t="s">
        <v>3981</v>
      </c>
      <c r="I1068" t="s">
        <v>3982</v>
      </c>
      <c r="J1068" t="s">
        <v>71</v>
      </c>
      <c r="K1068" s="2" t="str">
        <f>HYPERLINK("http://collections.slsa.sa.gov.au/arthur/02750/BRG347_2735.htm")</f>
        <v>http://collections.slsa.sa.gov.au/arthur/02750/BRG347_2735.htm</v>
      </c>
    </row>
    <row r="1069" spans="1:11" x14ac:dyDescent="0.25">
      <c r="A1069" t="s">
        <v>3983</v>
      </c>
      <c r="B1069" s="1" t="str">
        <f>HYPERLINK("https://www.catalog.slsa.sa.gov.au/record=b2112462")</f>
        <v>https://www.catalog.slsa.sa.gov.au/record=b2112462</v>
      </c>
      <c r="C1069" s="1" t="str">
        <f>HYPERLINK("https://www.catalog.slsa.sa.gov.au/xrecord=b2112462")</f>
        <v>https://www.catalog.slsa.sa.gov.au/xrecord=b2112462</v>
      </c>
      <c r="D1069" t="s">
        <v>66</v>
      </c>
      <c r="E1069" t="s">
        <v>3984</v>
      </c>
      <c r="F1069">
        <v>1951</v>
      </c>
      <c r="G1069" t="s">
        <v>121</v>
      </c>
      <c r="H1069" t="s">
        <v>3985</v>
      </c>
      <c r="I1069" t="s">
        <v>3986</v>
      </c>
      <c r="J1069" t="s">
        <v>71</v>
      </c>
      <c r="K1069" s="2" t="str">
        <f>HYPERLINK("http://collections.slsa.sa.gov.au/arthur/02750/BRG347_2738.htm")</f>
        <v>http://collections.slsa.sa.gov.au/arthur/02750/BRG347_2738.htm</v>
      </c>
    </row>
    <row r="1070" spans="1:11" x14ac:dyDescent="0.25">
      <c r="A1070" t="s">
        <v>3987</v>
      </c>
      <c r="B1070" s="1" t="str">
        <f>HYPERLINK("https://www.catalog.slsa.sa.gov.au/record=b2112464")</f>
        <v>https://www.catalog.slsa.sa.gov.au/record=b2112464</v>
      </c>
      <c r="C1070" s="1" t="str">
        <f>HYPERLINK("https://www.catalog.slsa.sa.gov.au/xrecord=b2112464")</f>
        <v>https://www.catalog.slsa.sa.gov.au/xrecord=b2112464</v>
      </c>
      <c r="D1070" t="s">
        <v>66</v>
      </c>
      <c r="E1070" t="s">
        <v>287</v>
      </c>
      <c r="F1070">
        <v>1951</v>
      </c>
      <c r="G1070" t="s">
        <v>121</v>
      </c>
      <c r="H1070" t="s">
        <v>3988</v>
      </c>
      <c r="I1070" t="s">
        <v>3989</v>
      </c>
      <c r="J1070" t="s">
        <v>71</v>
      </c>
      <c r="K1070" s="2" t="str">
        <f>HYPERLINK("http://collections.slsa.sa.gov.au/arthur/02750/BRG347_2739.htm")</f>
        <v>http://collections.slsa.sa.gov.au/arthur/02750/BRG347_2739.htm</v>
      </c>
    </row>
    <row r="1071" spans="1:11" x14ac:dyDescent="0.25">
      <c r="A1071" t="s">
        <v>3990</v>
      </c>
      <c r="B1071" s="1" t="str">
        <f>HYPERLINK("https://www.catalog.slsa.sa.gov.au/record=b2118039")</f>
        <v>https://www.catalog.slsa.sa.gov.au/record=b2118039</v>
      </c>
      <c r="C1071" s="1" t="str">
        <f>HYPERLINK("https://www.catalog.slsa.sa.gov.au/xrecord=b2118039")</f>
        <v>https://www.catalog.slsa.sa.gov.au/xrecord=b2118039</v>
      </c>
      <c r="D1071" t="s">
        <v>66</v>
      </c>
      <c r="E1071" t="s">
        <v>3991</v>
      </c>
      <c r="F1071">
        <v>1951</v>
      </c>
      <c r="G1071" t="s">
        <v>121</v>
      </c>
      <c r="H1071" t="s">
        <v>3992</v>
      </c>
      <c r="I1071" t="s">
        <v>3993</v>
      </c>
      <c r="J1071" t="s">
        <v>71</v>
      </c>
      <c r="K1071" s="2" t="str">
        <f>HYPERLINK("http://collections.slsa.sa.gov.au/arthur/02750/BRG347_2740.htm")</f>
        <v>http://collections.slsa.sa.gov.au/arthur/02750/BRG347_2740.htm</v>
      </c>
    </row>
    <row r="1072" spans="1:11" x14ac:dyDescent="0.25">
      <c r="A1072" t="s">
        <v>3994</v>
      </c>
      <c r="B1072" s="1" t="str">
        <f>HYPERLINK("https://www.catalog.slsa.sa.gov.au/record=b2112465")</f>
        <v>https://www.catalog.slsa.sa.gov.au/record=b2112465</v>
      </c>
      <c r="C1072" s="1" t="str">
        <f>HYPERLINK("https://www.catalog.slsa.sa.gov.au/xrecord=b2112465")</f>
        <v>https://www.catalog.slsa.sa.gov.au/xrecord=b2112465</v>
      </c>
      <c r="D1072" t="s">
        <v>66</v>
      </c>
      <c r="E1072" t="s">
        <v>3995</v>
      </c>
      <c r="F1072">
        <v>1951</v>
      </c>
      <c r="G1072" t="s">
        <v>121</v>
      </c>
      <c r="H1072" t="s">
        <v>3996</v>
      </c>
      <c r="I1072" t="s">
        <v>3997</v>
      </c>
      <c r="J1072" t="s">
        <v>71</v>
      </c>
      <c r="K1072" s="2" t="str">
        <f>HYPERLINK("http://collections.slsa.sa.gov.au/arthur/02750/BRG347_2741.htm")</f>
        <v>http://collections.slsa.sa.gov.au/arthur/02750/BRG347_2741.htm</v>
      </c>
    </row>
    <row r="1073" spans="1:11" x14ac:dyDescent="0.25">
      <c r="A1073" t="s">
        <v>3998</v>
      </c>
      <c r="B1073" s="1" t="str">
        <f>HYPERLINK("https://www.catalog.slsa.sa.gov.au/record=b2118040")</f>
        <v>https://www.catalog.slsa.sa.gov.au/record=b2118040</v>
      </c>
      <c r="C1073" s="1" t="str">
        <f>HYPERLINK("https://www.catalog.slsa.sa.gov.au/xrecord=b2118040")</f>
        <v>https://www.catalog.slsa.sa.gov.au/xrecord=b2118040</v>
      </c>
      <c r="D1073" t="s">
        <v>66</v>
      </c>
      <c r="E1073" t="s">
        <v>3999</v>
      </c>
      <c r="F1073">
        <v>1951</v>
      </c>
      <c r="G1073" t="s">
        <v>121</v>
      </c>
      <c r="H1073" t="s">
        <v>4000</v>
      </c>
      <c r="I1073" t="s">
        <v>4001</v>
      </c>
      <c r="J1073" t="s">
        <v>71</v>
      </c>
      <c r="K1073" s="2" t="str">
        <f>HYPERLINK("http://collections.slsa.sa.gov.au/arthur/02750/BRG347_2742.htm")</f>
        <v>http://collections.slsa.sa.gov.au/arthur/02750/BRG347_2742.htm</v>
      </c>
    </row>
    <row r="1074" spans="1:11" x14ac:dyDescent="0.25">
      <c r="A1074" t="s">
        <v>4002</v>
      </c>
      <c r="B1074" s="1" t="str">
        <f>HYPERLINK("https://www.catalog.slsa.sa.gov.au/record=b2118042")</f>
        <v>https://www.catalog.slsa.sa.gov.au/record=b2118042</v>
      </c>
      <c r="C1074" s="1" t="str">
        <f>HYPERLINK("https://www.catalog.slsa.sa.gov.au/xrecord=b2118042")</f>
        <v>https://www.catalog.slsa.sa.gov.au/xrecord=b2118042</v>
      </c>
      <c r="D1074" t="s">
        <v>66</v>
      </c>
      <c r="E1074" t="s">
        <v>4003</v>
      </c>
      <c r="F1074">
        <v>1951</v>
      </c>
      <c r="G1074" t="s">
        <v>121</v>
      </c>
      <c r="H1074" t="s">
        <v>4004</v>
      </c>
      <c r="I1074" t="s">
        <v>4005</v>
      </c>
      <c r="J1074" t="s">
        <v>71</v>
      </c>
      <c r="K1074" s="2" t="str">
        <f>HYPERLINK("http://collections.slsa.sa.gov.au/arthur/02750/BRG347_2743.htm")</f>
        <v>http://collections.slsa.sa.gov.au/arthur/02750/BRG347_2743.htm</v>
      </c>
    </row>
    <row r="1075" spans="1:11" x14ac:dyDescent="0.25">
      <c r="A1075" t="s">
        <v>4006</v>
      </c>
      <c r="B1075" s="1" t="str">
        <f>HYPERLINK("https://www.catalog.slsa.sa.gov.au/record=b2112466")</f>
        <v>https://www.catalog.slsa.sa.gov.au/record=b2112466</v>
      </c>
      <c r="C1075" s="1" t="str">
        <f>HYPERLINK("https://www.catalog.slsa.sa.gov.au/xrecord=b2112466")</f>
        <v>https://www.catalog.slsa.sa.gov.au/xrecord=b2112466</v>
      </c>
      <c r="D1075" t="s">
        <v>66</v>
      </c>
      <c r="E1075" t="s">
        <v>4007</v>
      </c>
      <c r="F1075">
        <v>1951</v>
      </c>
      <c r="G1075" t="s">
        <v>121</v>
      </c>
      <c r="H1075" t="s">
        <v>4008</v>
      </c>
      <c r="I1075" t="s">
        <v>4009</v>
      </c>
      <c r="J1075" t="s">
        <v>71</v>
      </c>
      <c r="K1075" s="2" t="str">
        <f>HYPERLINK("http://collections.slsa.sa.gov.au/arthur/02750/BRG347_2744.htm")</f>
        <v>http://collections.slsa.sa.gov.au/arthur/02750/BRG347_2744.htm</v>
      </c>
    </row>
    <row r="1076" spans="1:11" x14ac:dyDescent="0.25">
      <c r="A1076" t="s">
        <v>4010</v>
      </c>
      <c r="B1076" s="1" t="str">
        <f>HYPERLINK("https://www.catalog.slsa.sa.gov.au/record=b2112467")</f>
        <v>https://www.catalog.slsa.sa.gov.au/record=b2112467</v>
      </c>
      <c r="C1076" s="1" t="str">
        <f>HYPERLINK("https://www.catalog.slsa.sa.gov.au/xrecord=b2112467")</f>
        <v>https://www.catalog.slsa.sa.gov.au/xrecord=b2112467</v>
      </c>
      <c r="D1076" t="s">
        <v>66</v>
      </c>
      <c r="E1076" t="s">
        <v>4011</v>
      </c>
      <c r="F1076">
        <v>1951</v>
      </c>
      <c r="G1076" t="s">
        <v>121</v>
      </c>
      <c r="H1076" t="s">
        <v>4012</v>
      </c>
      <c r="I1076" t="s">
        <v>4013</v>
      </c>
      <c r="J1076" t="s">
        <v>71</v>
      </c>
      <c r="K1076" s="2" t="str">
        <f>HYPERLINK("http://collections.slsa.sa.gov.au/arthur/02750/BRG347_2745.htm")</f>
        <v>http://collections.slsa.sa.gov.au/arthur/02750/BRG347_2745.htm</v>
      </c>
    </row>
    <row r="1077" spans="1:11" x14ac:dyDescent="0.25">
      <c r="A1077" t="s">
        <v>4014</v>
      </c>
      <c r="B1077" s="1" t="str">
        <f>HYPERLINK("https://www.catalog.slsa.sa.gov.au/record=b2112468")</f>
        <v>https://www.catalog.slsa.sa.gov.au/record=b2112468</v>
      </c>
      <c r="C1077" s="1" t="str">
        <f>HYPERLINK("https://www.catalog.slsa.sa.gov.au/xrecord=b2112468")</f>
        <v>https://www.catalog.slsa.sa.gov.au/xrecord=b2112468</v>
      </c>
      <c r="D1077" t="s">
        <v>66</v>
      </c>
      <c r="E1077" t="s">
        <v>4015</v>
      </c>
      <c r="F1077">
        <v>1951</v>
      </c>
      <c r="G1077" t="s">
        <v>121</v>
      </c>
      <c r="H1077" t="s">
        <v>4016</v>
      </c>
      <c r="I1077" t="s">
        <v>4017</v>
      </c>
      <c r="J1077" t="s">
        <v>71</v>
      </c>
      <c r="K1077" s="2" t="str">
        <f>HYPERLINK("http://collections.slsa.sa.gov.au/arthur/02750/BRG347_2746.htm")</f>
        <v>http://collections.slsa.sa.gov.au/arthur/02750/BRG347_2746.htm</v>
      </c>
    </row>
    <row r="1078" spans="1:11" x14ac:dyDescent="0.25">
      <c r="A1078" t="s">
        <v>4018</v>
      </c>
      <c r="B1078" s="1" t="str">
        <f>HYPERLINK("https://www.catalog.slsa.sa.gov.au/record=b2112469")</f>
        <v>https://www.catalog.slsa.sa.gov.au/record=b2112469</v>
      </c>
      <c r="C1078" s="1" t="str">
        <f>HYPERLINK("https://www.catalog.slsa.sa.gov.au/xrecord=b2112469")</f>
        <v>https://www.catalog.slsa.sa.gov.au/xrecord=b2112469</v>
      </c>
      <c r="D1078" t="s">
        <v>66</v>
      </c>
      <c r="E1078" t="s">
        <v>4019</v>
      </c>
      <c r="F1078">
        <v>1951</v>
      </c>
      <c r="G1078" t="s">
        <v>121</v>
      </c>
      <c r="H1078" t="s">
        <v>4020</v>
      </c>
      <c r="I1078" t="s">
        <v>4021</v>
      </c>
      <c r="J1078" t="s">
        <v>71</v>
      </c>
      <c r="K1078" s="2" t="str">
        <f>HYPERLINK("http://collections.slsa.sa.gov.au/arthur/02750/BRG347_2747.htm")</f>
        <v>http://collections.slsa.sa.gov.au/arthur/02750/BRG347_2747.htm</v>
      </c>
    </row>
    <row r="1079" spans="1:11" x14ac:dyDescent="0.25">
      <c r="A1079" t="s">
        <v>4022</v>
      </c>
      <c r="B1079" s="1" t="str">
        <f>HYPERLINK("https://www.catalog.slsa.sa.gov.au/record=b2112470")</f>
        <v>https://www.catalog.slsa.sa.gov.au/record=b2112470</v>
      </c>
      <c r="C1079" s="1" t="str">
        <f>HYPERLINK("https://www.catalog.slsa.sa.gov.au/xrecord=b2112470")</f>
        <v>https://www.catalog.slsa.sa.gov.au/xrecord=b2112470</v>
      </c>
      <c r="D1079" t="s">
        <v>66</v>
      </c>
      <c r="E1079" t="s">
        <v>4023</v>
      </c>
      <c r="F1079">
        <v>1951</v>
      </c>
      <c r="G1079" t="s">
        <v>121</v>
      </c>
      <c r="H1079" t="s">
        <v>4024</v>
      </c>
      <c r="I1079" t="s">
        <v>4025</v>
      </c>
      <c r="J1079" t="s">
        <v>71</v>
      </c>
      <c r="K1079" s="2" t="str">
        <f>HYPERLINK("http://collections.slsa.sa.gov.au/arthur/02750/BRG347_2748.htm")</f>
        <v>http://collections.slsa.sa.gov.au/arthur/02750/BRG347_2748.htm</v>
      </c>
    </row>
    <row r="1080" spans="1:11" x14ac:dyDescent="0.25">
      <c r="A1080" t="s">
        <v>4026</v>
      </c>
      <c r="B1080" s="1" t="str">
        <f>HYPERLINK("https://www.catalog.slsa.sa.gov.au/record=b2118043")</f>
        <v>https://www.catalog.slsa.sa.gov.au/record=b2118043</v>
      </c>
      <c r="C1080" s="1" t="str">
        <f>HYPERLINK("https://www.catalog.slsa.sa.gov.au/xrecord=b2118043")</f>
        <v>https://www.catalog.slsa.sa.gov.au/xrecord=b2118043</v>
      </c>
      <c r="D1080" t="s">
        <v>66</v>
      </c>
      <c r="E1080" t="s">
        <v>4027</v>
      </c>
      <c r="F1080">
        <v>1951</v>
      </c>
      <c r="G1080" t="s">
        <v>121</v>
      </c>
      <c r="H1080" t="s">
        <v>4028</v>
      </c>
      <c r="I1080" t="s">
        <v>4029</v>
      </c>
      <c r="J1080" t="s">
        <v>71</v>
      </c>
      <c r="K1080" s="2" t="str">
        <f>HYPERLINK("http://collections.slsa.sa.gov.au/arthur/02750/BRG347_2749.htm")</f>
        <v>http://collections.slsa.sa.gov.au/arthur/02750/BRG347_2749.htm</v>
      </c>
    </row>
    <row r="1081" spans="1:11" x14ac:dyDescent="0.25">
      <c r="A1081" t="s">
        <v>4030</v>
      </c>
      <c r="B1081" s="1" t="str">
        <f>HYPERLINK("https://www.catalog.slsa.sa.gov.au/record=b2112471")</f>
        <v>https://www.catalog.slsa.sa.gov.au/record=b2112471</v>
      </c>
      <c r="C1081" s="1" t="str">
        <f>HYPERLINK("https://www.catalog.slsa.sa.gov.au/xrecord=b2112471")</f>
        <v>https://www.catalog.slsa.sa.gov.au/xrecord=b2112471</v>
      </c>
      <c r="D1081" t="s">
        <v>66</v>
      </c>
      <c r="E1081" t="s">
        <v>4031</v>
      </c>
      <c r="F1081">
        <v>1951</v>
      </c>
      <c r="G1081" t="s">
        <v>121</v>
      </c>
      <c r="H1081" t="s">
        <v>4032</v>
      </c>
      <c r="I1081" t="s">
        <v>4033</v>
      </c>
      <c r="J1081" t="s">
        <v>71</v>
      </c>
      <c r="K1081" s="2" t="str">
        <f>HYPERLINK("http://collections.slsa.sa.gov.au/arthur/02750/BRG347_2750.htm")</f>
        <v>http://collections.slsa.sa.gov.au/arthur/02750/BRG347_2750.htm</v>
      </c>
    </row>
    <row r="1082" spans="1:11" x14ac:dyDescent="0.25">
      <c r="A1082" t="s">
        <v>4034</v>
      </c>
      <c r="B1082" s="1" t="str">
        <f>HYPERLINK("https://www.catalog.slsa.sa.gov.au/record=b2112472")</f>
        <v>https://www.catalog.slsa.sa.gov.au/record=b2112472</v>
      </c>
      <c r="C1082" s="1" t="str">
        <f>HYPERLINK("https://www.catalog.slsa.sa.gov.au/xrecord=b2112472")</f>
        <v>https://www.catalog.slsa.sa.gov.au/xrecord=b2112472</v>
      </c>
      <c r="D1082" t="s">
        <v>66</v>
      </c>
      <c r="E1082" t="s">
        <v>4035</v>
      </c>
      <c r="F1082">
        <v>1951</v>
      </c>
      <c r="G1082" t="s">
        <v>121</v>
      </c>
      <c r="H1082" t="s">
        <v>4036</v>
      </c>
      <c r="I1082" t="s">
        <v>4037</v>
      </c>
      <c r="J1082" t="s">
        <v>71</v>
      </c>
      <c r="K1082" s="2" t="str">
        <f>HYPERLINK("http://collections.slsa.sa.gov.au/arthur/03000/BRG347_2751.htm")</f>
        <v>http://collections.slsa.sa.gov.au/arthur/03000/BRG347_2751.htm</v>
      </c>
    </row>
    <row r="1083" spans="1:11" x14ac:dyDescent="0.25">
      <c r="A1083" t="s">
        <v>4038</v>
      </c>
      <c r="B1083" s="1" t="str">
        <f>HYPERLINK("https://www.catalog.slsa.sa.gov.au/record=b2112491")</f>
        <v>https://www.catalog.slsa.sa.gov.au/record=b2112491</v>
      </c>
      <c r="C1083" s="1" t="str">
        <f>HYPERLINK("https://www.catalog.slsa.sa.gov.au/xrecord=b2112491")</f>
        <v>https://www.catalog.slsa.sa.gov.au/xrecord=b2112491</v>
      </c>
      <c r="D1083" t="s">
        <v>66</v>
      </c>
      <c r="E1083" t="s">
        <v>4039</v>
      </c>
      <c r="F1083">
        <v>1951</v>
      </c>
      <c r="G1083" t="s">
        <v>121</v>
      </c>
      <c r="H1083" t="s">
        <v>4040</v>
      </c>
      <c r="I1083" t="s">
        <v>4041</v>
      </c>
      <c r="J1083" t="s">
        <v>71</v>
      </c>
      <c r="K1083" s="2" t="str">
        <f>HYPERLINK("http://collections.slsa.sa.gov.au/arthur/03000/BRG347_2752.htm")</f>
        <v>http://collections.slsa.sa.gov.au/arthur/03000/BRG347_2752.htm</v>
      </c>
    </row>
    <row r="1084" spans="1:11" x14ac:dyDescent="0.25">
      <c r="A1084" t="s">
        <v>4042</v>
      </c>
      <c r="B1084" s="1" t="str">
        <f>HYPERLINK("https://www.catalog.slsa.sa.gov.au/record=b2112492")</f>
        <v>https://www.catalog.slsa.sa.gov.au/record=b2112492</v>
      </c>
      <c r="C1084" s="1" t="str">
        <f>HYPERLINK("https://www.catalog.slsa.sa.gov.au/xrecord=b2112492")</f>
        <v>https://www.catalog.slsa.sa.gov.au/xrecord=b2112492</v>
      </c>
      <c r="D1084" t="s">
        <v>66</v>
      </c>
      <c r="E1084" t="s">
        <v>4043</v>
      </c>
      <c r="F1084">
        <v>1951</v>
      </c>
      <c r="G1084" t="s">
        <v>121</v>
      </c>
      <c r="H1084" t="s">
        <v>4044</v>
      </c>
      <c r="I1084" t="s">
        <v>4045</v>
      </c>
      <c r="J1084" t="s">
        <v>71</v>
      </c>
      <c r="K1084" s="2" t="str">
        <f>HYPERLINK("http://collections.slsa.sa.gov.au/arthur/03000/BRG347_2753.htm")</f>
        <v>http://collections.slsa.sa.gov.au/arthur/03000/BRG347_2753.htm</v>
      </c>
    </row>
    <row r="1085" spans="1:11" x14ac:dyDescent="0.25">
      <c r="A1085" t="s">
        <v>4046</v>
      </c>
      <c r="B1085" s="1" t="str">
        <f>HYPERLINK("https://www.catalog.slsa.sa.gov.au/record=b2112493")</f>
        <v>https://www.catalog.slsa.sa.gov.au/record=b2112493</v>
      </c>
      <c r="C1085" s="1" t="str">
        <f>HYPERLINK("https://www.catalog.slsa.sa.gov.au/xrecord=b2112493")</f>
        <v>https://www.catalog.slsa.sa.gov.au/xrecord=b2112493</v>
      </c>
      <c r="D1085" t="s">
        <v>66</v>
      </c>
      <c r="E1085" t="s">
        <v>4047</v>
      </c>
      <c r="F1085">
        <v>1951</v>
      </c>
      <c r="G1085" t="s">
        <v>121</v>
      </c>
      <c r="H1085" t="s">
        <v>4048</v>
      </c>
      <c r="I1085" t="s">
        <v>4049</v>
      </c>
      <c r="J1085" t="s">
        <v>71</v>
      </c>
      <c r="K1085" s="2" t="str">
        <f>HYPERLINK("http://collections.slsa.sa.gov.au/arthur/03000/BRG347_2754.htm")</f>
        <v>http://collections.slsa.sa.gov.au/arthur/03000/BRG347_2754.htm</v>
      </c>
    </row>
    <row r="1086" spans="1:11" x14ac:dyDescent="0.25">
      <c r="A1086" t="s">
        <v>4050</v>
      </c>
      <c r="B1086" s="1" t="str">
        <f>HYPERLINK("https://www.catalog.slsa.sa.gov.au/record=b2112494")</f>
        <v>https://www.catalog.slsa.sa.gov.au/record=b2112494</v>
      </c>
      <c r="C1086" s="1" t="str">
        <f>HYPERLINK("https://www.catalog.slsa.sa.gov.au/xrecord=b2112494")</f>
        <v>https://www.catalog.slsa.sa.gov.au/xrecord=b2112494</v>
      </c>
      <c r="D1086" t="s">
        <v>66</v>
      </c>
      <c r="E1086" t="s">
        <v>4051</v>
      </c>
      <c r="F1086">
        <v>1951</v>
      </c>
      <c r="G1086" t="s">
        <v>121</v>
      </c>
      <c r="H1086" t="s">
        <v>4052</v>
      </c>
      <c r="I1086" t="s">
        <v>4053</v>
      </c>
      <c r="J1086" t="s">
        <v>71</v>
      </c>
      <c r="K1086" s="2" t="str">
        <f>HYPERLINK("http://collections.slsa.sa.gov.au/arthur/03000/BRG347_2755.htm")</f>
        <v>http://collections.slsa.sa.gov.au/arthur/03000/BRG347_2755.htm</v>
      </c>
    </row>
    <row r="1087" spans="1:11" x14ac:dyDescent="0.25">
      <c r="A1087" t="s">
        <v>4054</v>
      </c>
      <c r="B1087" s="1" t="str">
        <f>HYPERLINK("https://www.catalog.slsa.sa.gov.au/record=b2112495")</f>
        <v>https://www.catalog.slsa.sa.gov.au/record=b2112495</v>
      </c>
      <c r="C1087" s="1" t="str">
        <f>HYPERLINK("https://www.catalog.slsa.sa.gov.au/xrecord=b2112495")</f>
        <v>https://www.catalog.slsa.sa.gov.au/xrecord=b2112495</v>
      </c>
      <c r="D1087" t="s">
        <v>66</v>
      </c>
      <c r="E1087" t="s">
        <v>4055</v>
      </c>
      <c r="F1087">
        <v>1951</v>
      </c>
      <c r="G1087" t="s">
        <v>121</v>
      </c>
      <c r="H1087" t="s">
        <v>4056</v>
      </c>
      <c r="I1087" t="s">
        <v>4057</v>
      </c>
      <c r="J1087" t="s">
        <v>71</v>
      </c>
      <c r="K1087" s="2" t="str">
        <f>HYPERLINK("http://collections.slsa.sa.gov.au/arthur/03000/BRG347_2756.htm")</f>
        <v>http://collections.slsa.sa.gov.au/arthur/03000/BRG347_2756.htm</v>
      </c>
    </row>
    <row r="1088" spans="1:11" x14ac:dyDescent="0.25">
      <c r="A1088" t="s">
        <v>4058</v>
      </c>
      <c r="B1088" s="1" t="str">
        <f>HYPERLINK("https://www.catalog.slsa.sa.gov.au/record=b2113549")</f>
        <v>https://www.catalog.slsa.sa.gov.au/record=b2113549</v>
      </c>
      <c r="C1088" s="1" t="str">
        <f>HYPERLINK("https://www.catalog.slsa.sa.gov.au/xrecord=b2113549")</f>
        <v>https://www.catalog.slsa.sa.gov.au/xrecord=b2113549</v>
      </c>
      <c r="D1088" t="s">
        <v>66</v>
      </c>
      <c r="E1088" t="s">
        <v>4059</v>
      </c>
      <c r="F1088">
        <v>1951</v>
      </c>
      <c r="G1088" t="s">
        <v>121</v>
      </c>
      <c r="H1088" t="s">
        <v>4060</v>
      </c>
      <c r="I1088" t="s">
        <v>4061</v>
      </c>
      <c r="J1088" t="s">
        <v>71</v>
      </c>
      <c r="K1088" s="2" t="str">
        <f>HYPERLINK("http://collections.slsa.sa.gov.au/arthur/03750/BRG347_3610.htm")</f>
        <v>http://collections.slsa.sa.gov.au/arthur/03750/BRG347_3610.htm</v>
      </c>
    </row>
    <row r="1089" spans="1:11" x14ac:dyDescent="0.25">
      <c r="A1089" t="s">
        <v>4062</v>
      </c>
      <c r="B1089" s="1" t="str">
        <f>HYPERLINK("https://www.catalog.slsa.sa.gov.au/record=b2113550")</f>
        <v>https://www.catalog.slsa.sa.gov.au/record=b2113550</v>
      </c>
      <c r="C1089" s="1" t="str">
        <f>HYPERLINK("https://www.catalog.slsa.sa.gov.au/xrecord=b2113550")</f>
        <v>https://www.catalog.slsa.sa.gov.au/xrecord=b2113550</v>
      </c>
      <c r="D1089" t="s">
        <v>66</v>
      </c>
      <c r="E1089" t="s">
        <v>4063</v>
      </c>
      <c r="F1089">
        <v>1951</v>
      </c>
      <c r="G1089" t="s">
        <v>121</v>
      </c>
      <c r="H1089" t="s">
        <v>4064</v>
      </c>
      <c r="I1089" t="s">
        <v>4065</v>
      </c>
      <c r="J1089" t="s">
        <v>71</v>
      </c>
      <c r="K1089" s="2" t="str">
        <f>HYPERLINK("http://collections.slsa.sa.gov.au/arthur/03750/BRG347_3611.htm")</f>
        <v>http://collections.slsa.sa.gov.au/arthur/03750/BRG347_3611.htm</v>
      </c>
    </row>
    <row r="1090" spans="1:11" x14ac:dyDescent="0.25">
      <c r="A1090" t="s">
        <v>4066</v>
      </c>
      <c r="B1090" s="1" t="str">
        <f>HYPERLINK("https://www.catalog.slsa.sa.gov.au/record=b2113551")</f>
        <v>https://www.catalog.slsa.sa.gov.au/record=b2113551</v>
      </c>
      <c r="C1090" s="1" t="str">
        <f>HYPERLINK("https://www.catalog.slsa.sa.gov.au/xrecord=b2113551")</f>
        <v>https://www.catalog.slsa.sa.gov.au/xrecord=b2113551</v>
      </c>
      <c r="D1090" t="s">
        <v>66</v>
      </c>
      <c r="E1090" t="s">
        <v>4067</v>
      </c>
      <c r="F1090">
        <v>1951</v>
      </c>
      <c r="G1090" t="s">
        <v>121</v>
      </c>
      <c r="H1090" t="s">
        <v>4068</v>
      </c>
      <c r="I1090" t="s">
        <v>4069</v>
      </c>
      <c r="J1090" t="s">
        <v>71</v>
      </c>
      <c r="K1090" s="2" t="str">
        <f>HYPERLINK("http://collections.slsa.sa.gov.au/arthur/03750/BRG347_3612.htm")</f>
        <v>http://collections.slsa.sa.gov.au/arthur/03750/BRG347_3612.htm</v>
      </c>
    </row>
    <row r="1091" spans="1:11" x14ac:dyDescent="0.25">
      <c r="A1091" t="s">
        <v>4070</v>
      </c>
      <c r="B1091" s="1" t="str">
        <f>HYPERLINK("https://www.catalog.slsa.sa.gov.au/record=b2113552")</f>
        <v>https://www.catalog.slsa.sa.gov.au/record=b2113552</v>
      </c>
      <c r="C1091" s="1" t="str">
        <f>HYPERLINK("https://www.catalog.slsa.sa.gov.au/xrecord=b2113552")</f>
        <v>https://www.catalog.slsa.sa.gov.au/xrecord=b2113552</v>
      </c>
      <c r="D1091" t="s">
        <v>66</v>
      </c>
      <c r="E1091" t="s">
        <v>624</v>
      </c>
      <c r="F1091">
        <v>1951</v>
      </c>
      <c r="G1091" t="s">
        <v>121</v>
      </c>
      <c r="H1091" t="s">
        <v>4071</v>
      </c>
      <c r="I1091" t="s">
        <v>626</v>
      </c>
      <c r="J1091" t="s">
        <v>71</v>
      </c>
      <c r="K1091" s="2" t="str">
        <f>HYPERLINK("http://collections.slsa.sa.gov.au/arthur/03750/BRG347_3613.htm")</f>
        <v>http://collections.slsa.sa.gov.au/arthur/03750/BRG347_3613.htm</v>
      </c>
    </row>
    <row r="1092" spans="1:11" x14ac:dyDescent="0.25">
      <c r="A1092" t="s">
        <v>4072</v>
      </c>
      <c r="B1092" s="1" t="str">
        <f>HYPERLINK("https://www.catalog.slsa.sa.gov.au/record=b2113553")</f>
        <v>https://www.catalog.slsa.sa.gov.au/record=b2113553</v>
      </c>
      <c r="C1092" s="1" t="str">
        <f>HYPERLINK("https://www.catalog.slsa.sa.gov.au/xrecord=b2113553")</f>
        <v>https://www.catalog.slsa.sa.gov.au/xrecord=b2113553</v>
      </c>
      <c r="D1092" t="s">
        <v>66</v>
      </c>
      <c r="E1092" t="s">
        <v>4073</v>
      </c>
      <c r="F1092">
        <v>1951</v>
      </c>
      <c r="G1092" t="s">
        <v>121</v>
      </c>
      <c r="H1092" t="s">
        <v>4074</v>
      </c>
      <c r="I1092" t="s">
        <v>4075</v>
      </c>
      <c r="J1092" t="s">
        <v>71</v>
      </c>
      <c r="K1092" s="2" t="str">
        <f>HYPERLINK("http://collections.slsa.sa.gov.au/arthur/03750/BRG347_3614.htm")</f>
        <v>http://collections.slsa.sa.gov.au/arthur/03750/BRG347_3614.htm</v>
      </c>
    </row>
    <row r="1093" spans="1:11" x14ac:dyDescent="0.25">
      <c r="A1093" t="s">
        <v>4076</v>
      </c>
      <c r="B1093" s="1" t="str">
        <f>HYPERLINK("https://www.catalog.slsa.sa.gov.au/record=b2113554")</f>
        <v>https://www.catalog.slsa.sa.gov.au/record=b2113554</v>
      </c>
      <c r="C1093" s="1" t="str">
        <f>HYPERLINK("https://www.catalog.slsa.sa.gov.au/xrecord=b2113554")</f>
        <v>https://www.catalog.slsa.sa.gov.au/xrecord=b2113554</v>
      </c>
      <c r="D1093" t="s">
        <v>66</v>
      </c>
      <c r="E1093" t="s">
        <v>4073</v>
      </c>
      <c r="F1093">
        <v>1951</v>
      </c>
      <c r="G1093" t="s">
        <v>121</v>
      </c>
      <c r="H1093" t="s">
        <v>4077</v>
      </c>
      <c r="I1093" t="s">
        <v>4075</v>
      </c>
      <c r="J1093" t="s">
        <v>71</v>
      </c>
      <c r="K1093" s="2" t="str">
        <f>HYPERLINK("http://collections.slsa.sa.gov.au/arthur/03750/BRG347_3615.htm")</f>
        <v>http://collections.slsa.sa.gov.au/arthur/03750/BRG347_3615.htm</v>
      </c>
    </row>
    <row r="1094" spans="1:11" x14ac:dyDescent="0.25">
      <c r="A1094" t="s">
        <v>4078</v>
      </c>
      <c r="B1094" s="1" t="str">
        <f>HYPERLINK("https://www.catalog.slsa.sa.gov.au/record=b2113555")</f>
        <v>https://www.catalog.slsa.sa.gov.au/record=b2113555</v>
      </c>
      <c r="C1094" s="1" t="str">
        <f>HYPERLINK("https://www.catalog.slsa.sa.gov.au/xrecord=b2113555")</f>
        <v>https://www.catalog.slsa.sa.gov.au/xrecord=b2113555</v>
      </c>
      <c r="D1094" t="s">
        <v>66</v>
      </c>
      <c r="E1094" t="s">
        <v>4079</v>
      </c>
      <c r="F1094">
        <v>1951</v>
      </c>
      <c r="G1094" t="s">
        <v>121</v>
      </c>
      <c r="H1094" t="s">
        <v>4080</v>
      </c>
      <c r="I1094" t="s">
        <v>4081</v>
      </c>
      <c r="J1094" t="s">
        <v>71</v>
      </c>
      <c r="K1094" s="2" t="str">
        <f>HYPERLINK("http://collections.slsa.sa.gov.au/arthur/03750/BRG347_3616.htm")</f>
        <v>http://collections.slsa.sa.gov.au/arthur/03750/BRG347_3616.htm</v>
      </c>
    </row>
    <row r="1095" spans="1:11" x14ac:dyDescent="0.25">
      <c r="A1095" t="s">
        <v>4082</v>
      </c>
      <c r="B1095" s="1" t="str">
        <f>HYPERLINK("https://www.catalog.slsa.sa.gov.au/record=b2113556")</f>
        <v>https://www.catalog.slsa.sa.gov.au/record=b2113556</v>
      </c>
      <c r="C1095" s="1" t="str">
        <f>HYPERLINK("https://www.catalog.slsa.sa.gov.au/xrecord=b2113556")</f>
        <v>https://www.catalog.slsa.sa.gov.au/xrecord=b2113556</v>
      </c>
      <c r="D1095" t="s">
        <v>66</v>
      </c>
      <c r="E1095" t="s">
        <v>4083</v>
      </c>
      <c r="F1095">
        <v>1951</v>
      </c>
      <c r="G1095" t="s">
        <v>121</v>
      </c>
      <c r="H1095" t="s">
        <v>4084</v>
      </c>
      <c r="I1095" t="s">
        <v>4085</v>
      </c>
      <c r="J1095" t="s">
        <v>71</v>
      </c>
      <c r="K1095" s="2" t="str">
        <f>HYPERLINK("http://collections.slsa.sa.gov.au/arthur/03750/BRG347_3617.htm")</f>
        <v>http://collections.slsa.sa.gov.au/arthur/03750/BRG347_3617.htm</v>
      </c>
    </row>
    <row r="1096" spans="1:11" x14ac:dyDescent="0.25">
      <c r="A1096" t="s">
        <v>4086</v>
      </c>
      <c r="B1096" s="1" t="str">
        <f>HYPERLINK("https://www.catalog.slsa.sa.gov.au/record=b2113557")</f>
        <v>https://www.catalog.slsa.sa.gov.au/record=b2113557</v>
      </c>
      <c r="C1096" s="1" t="str">
        <f>HYPERLINK("https://www.catalog.slsa.sa.gov.au/xrecord=b2113557")</f>
        <v>https://www.catalog.slsa.sa.gov.au/xrecord=b2113557</v>
      </c>
      <c r="D1096" t="s">
        <v>66</v>
      </c>
      <c r="E1096" t="s">
        <v>4087</v>
      </c>
      <c r="F1096">
        <v>1951</v>
      </c>
      <c r="G1096" t="s">
        <v>121</v>
      </c>
      <c r="H1096" t="s">
        <v>4088</v>
      </c>
      <c r="I1096" t="s">
        <v>4089</v>
      </c>
      <c r="J1096" t="s">
        <v>71</v>
      </c>
      <c r="K1096" s="2" t="str">
        <f>HYPERLINK("http://collections.slsa.sa.gov.au/arthur/03750/BRG347_3618.htm")</f>
        <v>http://collections.slsa.sa.gov.au/arthur/03750/BRG347_3618.htm</v>
      </c>
    </row>
    <row r="1097" spans="1:11" x14ac:dyDescent="0.25">
      <c r="A1097" t="s">
        <v>4090</v>
      </c>
      <c r="B1097" s="1" t="str">
        <f>HYPERLINK("https://www.catalog.slsa.sa.gov.au/record=b2113558")</f>
        <v>https://www.catalog.slsa.sa.gov.au/record=b2113558</v>
      </c>
      <c r="C1097" s="1" t="str">
        <f>HYPERLINK("https://www.catalog.slsa.sa.gov.au/xrecord=b2113558")</f>
        <v>https://www.catalog.slsa.sa.gov.au/xrecord=b2113558</v>
      </c>
      <c r="D1097" t="s">
        <v>66</v>
      </c>
      <c r="E1097" t="s">
        <v>4091</v>
      </c>
      <c r="F1097">
        <v>1951</v>
      </c>
      <c r="G1097" t="s">
        <v>121</v>
      </c>
      <c r="H1097" t="s">
        <v>4092</v>
      </c>
      <c r="I1097" t="s">
        <v>4093</v>
      </c>
      <c r="J1097" t="s">
        <v>71</v>
      </c>
      <c r="K1097" s="2" t="str">
        <f>HYPERLINK("http://collections.slsa.sa.gov.au/arthur/03750/BRG347_3619.htm")</f>
        <v>http://collections.slsa.sa.gov.au/arthur/03750/BRG347_3619.htm</v>
      </c>
    </row>
    <row r="1098" spans="1:11" x14ac:dyDescent="0.25">
      <c r="A1098" t="s">
        <v>4094</v>
      </c>
      <c r="B1098" s="1" t="str">
        <f>HYPERLINK("https://www.catalog.slsa.sa.gov.au/record=b2113559")</f>
        <v>https://www.catalog.slsa.sa.gov.au/record=b2113559</v>
      </c>
      <c r="C1098" s="1" t="str">
        <f>HYPERLINK("https://www.catalog.slsa.sa.gov.au/xrecord=b2113559")</f>
        <v>https://www.catalog.slsa.sa.gov.au/xrecord=b2113559</v>
      </c>
      <c r="D1098" t="s">
        <v>66</v>
      </c>
      <c r="E1098" t="s">
        <v>4095</v>
      </c>
      <c r="F1098">
        <v>1951</v>
      </c>
      <c r="G1098" t="s">
        <v>121</v>
      </c>
      <c r="H1098" t="s">
        <v>4096</v>
      </c>
      <c r="I1098" t="s">
        <v>4097</v>
      </c>
      <c r="J1098" t="s">
        <v>71</v>
      </c>
      <c r="K1098" s="2" t="str">
        <f>HYPERLINK("http://collections.slsa.sa.gov.au/arthur/03750/BRG347_3620.htm")</f>
        <v>http://collections.slsa.sa.gov.au/arthur/03750/BRG347_3620.htm</v>
      </c>
    </row>
    <row r="1099" spans="1:11" x14ac:dyDescent="0.25">
      <c r="A1099" t="s">
        <v>4098</v>
      </c>
      <c r="B1099" s="1" t="str">
        <f>HYPERLINK("https://www.catalog.slsa.sa.gov.au/record=b2113560")</f>
        <v>https://www.catalog.slsa.sa.gov.au/record=b2113560</v>
      </c>
      <c r="C1099" s="1" t="str">
        <f>HYPERLINK("https://www.catalog.slsa.sa.gov.au/xrecord=b2113560")</f>
        <v>https://www.catalog.slsa.sa.gov.au/xrecord=b2113560</v>
      </c>
      <c r="D1099" t="s">
        <v>66</v>
      </c>
      <c r="E1099" t="s">
        <v>4099</v>
      </c>
      <c r="F1099">
        <v>1951</v>
      </c>
      <c r="G1099" t="s">
        <v>121</v>
      </c>
      <c r="H1099" t="s">
        <v>4100</v>
      </c>
      <c r="I1099" t="s">
        <v>4101</v>
      </c>
      <c r="J1099" t="s">
        <v>71</v>
      </c>
      <c r="K1099" s="2" t="str">
        <f>HYPERLINK("http://collections.slsa.sa.gov.au/arthur/03750/BRG347_3621.htm")</f>
        <v>http://collections.slsa.sa.gov.au/arthur/03750/BRG347_3621.htm</v>
      </c>
    </row>
    <row r="1100" spans="1:11" x14ac:dyDescent="0.25">
      <c r="A1100" t="s">
        <v>4102</v>
      </c>
      <c r="B1100" s="1" t="str">
        <f>HYPERLINK("https://www.catalog.slsa.sa.gov.au/record=b2113561")</f>
        <v>https://www.catalog.slsa.sa.gov.au/record=b2113561</v>
      </c>
      <c r="C1100" s="1" t="str">
        <f>HYPERLINK("https://www.catalog.slsa.sa.gov.au/xrecord=b2113561")</f>
        <v>https://www.catalog.slsa.sa.gov.au/xrecord=b2113561</v>
      </c>
      <c r="D1100" t="s">
        <v>66</v>
      </c>
      <c r="E1100" t="s">
        <v>4103</v>
      </c>
      <c r="F1100">
        <v>1951</v>
      </c>
      <c r="G1100" t="s">
        <v>121</v>
      </c>
      <c r="H1100" t="s">
        <v>4104</v>
      </c>
      <c r="I1100" t="s">
        <v>4105</v>
      </c>
      <c r="J1100" t="s">
        <v>71</v>
      </c>
      <c r="K1100" s="2" t="str">
        <f>HYPERLINK("http://collections.slsa.sa.gov.au/arthur/03750/BRG347_3622.htm")</f>
        <v>http://collections.slsa.sa.gov.au/arthur/03750/BRG347_3622.htm</v>
      </c>
    </row>
    <row r="1101" spans="1:11" x14ac:dyDescent="0.25">
      <c r="A1101" t="s">
        <v>4106</v>
      </c>
      <c r="B1101" s="1" t="str">
        <f>HYPERLINK("https://www.catalog.slsa.sa.gov.au/record=b2117765")</f>
        <v>https://www.catalog.slsa.sa.gov.au/record=b2117765</v>
      </c>
      <c r="C1101" s="1" t="str">
        <f>HYPERLINK("https://www.catalog.slsa.sa.gov.au/xrecord=b2117765")</f>
        <v>https://www.catalog.slsa.sa.gov.au/xrecord=b2117765</v>
      </c>
      <c r="D1101" t="s">
        <v>66</v>
      </c>
      <c r="E1101" t="s">
        <v>4107</v>
      </c>
      <c r="F1101">
        <v>1951</v>
      </c>
      <c r="G1101" t="s">
        <v>121</v>
      </c>
      <c r="H1101" t="s">
        <v>4108</v>
      </c>
      <c r="I1101" t="s">
        <v>4109</v>
      </c>
      <c r="J1101" t="s">
        <v>71</v>
      </c>
      <c r="K1101" s="2" t="str">
        <f>HYPERLINK("http://collections.slsa.sa.gov.au/arthur/03750/BRG347_3623.htm")</f>
        <v>http://collections.slsa.sa.gov.au/arthur/03750/BRG347_3623.htm</v>
      </c>
    </row>
    <row r="1102" spans="1:11" x14ac:dyDescent="0.25">
      <c r="A1102" t="s">
        <v>4110</v>
      </c>
      <c r="B1102" s="1" t="str">
        <f>HYPERLINK("https://www.catalog.slsa.sa.gov.au/record=b2113562")</f>
        <v>https://www.catalog.slsa.sa.gov.au/record=b2113562</v>
      </c>
      <c r="C1102" s="1" t="str">
        <f>HYPERLINK("https://www.catalog.slsa.sa.gov.au/xrecord=b2113562")</f>
        <v>https://www.catalog.slsa.sa.gov.au/xrecord=b2113562</v>
      </c>
      <c r="D1102" t="s">
        <v>66</v>
      </c>
      <c r="E1102" t="s">
        <v>4111</v>
      </c>
      <c r="F1102">
        <v>1951</v>
      </c>
      <c r="G1102" t="s">
        <v>121</v>
      </c>
      <c r="H1102" t="s">
        <v>4112</v>
      </c>
      <c r="I1102" t="s">
        <v>4113</v>
      </c>
      <c r="J1102" t="s">
        <v>71</v>
      </c>
      <c r="K1102" s="2" t="str">
        <f>HYPERLINK("http://collections.slsa.sa.gov.au/arthur/03750/BRG347_3624.htm")</f>
        <v>http://collections.slsa.sa.gov.au/arthur/03750/BRG347_3624.htm</v>
      </c>
    </row>
    <row r="1103" spans="1:11" x14ac:dyDescent="0.25">
      <c r="A1103" t="s">
        <v>4114</v>
      </c>
      <c r="B1103" s="1" t="str">
        <f>HYPERLINK("https://www.catalog.slsa.sa.gov.au/record=b2113563")</f>
        <v>https://www.catalog.slsa.sa.gov.au/record=b2113563</v>
      </c>
      <c r="C1103" s="1" t="str">
        <f>HYPERLINK("https://www.catalog.slsa.sa.gov.au/xrecord=b2113563")</f>
        <v>https://www.catalog.slsa.sa.gov.au/xrecord=b2113563</v>
      </c>
      <c r="D1103" t="s">
        <v>66</v>
      </c>
      <c r="E1103" t="s">
        <v>4115</v>
      </c>
      <c r="F1103">
        <v>1951</v>
      </c>
      <c r="G1103" t="s">
        <v>121</v>
      </c>
      <c r="H1103" t="s">
        <v>4116</v>
      </c>
      <c r="I1103" t="s">
        <v>4117</v>
      </c>
      <c r="J1103" t="s">
        <v>71</v>
      </c>
      <c r="K1103" s="2" t="str">
        <f>HYPERLINK("http://collections.slsa.sa.gov.au/arthur/03750/BRG347_3625.htm")</f>
        <v>http://collections.slsa.sa.gov.au/arthur/03750/BRG347_3625.htm</v>
      </c>
    </row>
    <row r="1104" spans="1:11" x14ac:dyDescent="0.25">
      <c r="A1104" t="s">
        <v>4118</v>
      </c>
      <c r="B1104" s="1" t="str">
        <f>HYPERLINK("https://www.catalog.slsa.sa.gov.au/record=b2117770")</f>
        <v>https://www.catalog.slsa.sa.gov.au/record=b2117770</v>
      </c>
      <c r="C1104" s="1" t="str">
        <f>HYPERLINK("https://www.catalog.slsa.sa.gov.au/xrecord=b2117770")</f>
        <v>https://www.catalog.slsa.sa.gov.au/xrecord=b2117770</v>
      </c>
      <c r="D1104" t="s">
        <v>66</v>
      </c>
      <c r="E1104" t="s">
        <v>4119</v>
      </c>
      <c r="F1104">
        <v>1951</v>
      </c>
      <c r="G1104" t="s">
        <v>121</v>
      </c>
      <c r="H1104" t="s">
        <v>4120</v>
      </c>
      <c r="I1104" t="s">
        <v>4121</v>
      </c>
      <c r="J1104" t="s">
        <v>71</v>
      </c>
      <c r="K1104" s="2" t="str">
        <f>HYPERLINK("http://collections.slsa.sa.gov.au/arthur/03750/BRG347_3626.htm")</f>
        <v>http://collections.slsa.sa.gov.au/arthur/03750/BRG347_3626.htm</v>
      </c>
    </row>
    <row r="1105" spans="1:11" x14ac:dyDescent="0.25">
      <c r="A1105" t="s">
        <v>4122</v>
      </c>
      <c r="B1105" s="1" t="str">
        <f>HYPERLINK("https://www.catalog.slsa.sa.gov.au/record=b2113565")</f>
        <v>https://www.catalog.slsa.sa.gov.au/record=b2113565</v>
      </c>
      <c r="C1105" s="1" t="str">
        <f>HYPERLINK("https://www.catalog.slsa.sa.gov.au/xrecord=b2113565")</f>
        <v>https://www.catalog.slsa.sa.gov.au/xrecord=b2113565</v>
      </c>
      <c r="D1105" t="s">
        <v>66</v>
      </c>
      <c r="E1105" t="s">
        <v>4123</v>
      </c>
      <c r="F1105">
        <v>1951</v>
      </c>
      <c r="G1105" t="s">
        <v>121</v>
      </c>
      <c r="H1105" t="s">
        <v>4124</v>
      </c>
      <c r="I1105" t="s">
        <v>4125</v>
      </c>
      <c r="J1105" t="s">
        <v>71</v>
      </c>
      <c r="K1105" s="2" t="str">
        <f>HYPERLINK("http://collections.slsa.sa.gov.au/arthur/03750/BRG347_3627.htm")</f>
        <v>http://collections.slsa.sa.gov.au/arthur/03750/BRG347_3627.htm</v>
      </c>
    </row>
    <row r="1106" spans="1:11" x14ac:dyDescent="0.25">
      <c r="A1106" t="s">
        <v>4126</v>
      </c>
      <c r="B1106" s="1" t="str">
        <f>HYPERLINK("https://www.catalog.slsa.sa.gov.au/record=b2113566")</f>
        <v>https://www.catalog.slsa.sa.gov.au/record=b2113566</v>
      </c>
      <c r="C1106" s="1" t="str">
        <f>HYPERLINK("https://www.catalog.slsa.sa.gov.au/xrecord=b2113566")</f>
        <v>https://www.catalog.slsa.sa.gov.au/xrecord=b2113566</v>
      </c>
      <c r="D1106" t="s">
        <v>66</v>
      </c>
      <c r="E1106" t="s">
        <v>4127</v>
      </c>
      <c r="F1106">
        <v>1951</v>
      </c>
      <c r="G1106" t="s">
        <v>121</v>
      </c>
      <c r="H1106" t="s">
        <v>4128</v>
      </c>
      <c r="I1106" t="s">
        <v>4129</v>
      </c>
      <c r="J1106" t="s">
        <v>71</v>
      </c>
      <c r="K1106" s="2" t="str">
        <f>HYPERLINK("http://collections.slsa.sa.gov.au/arthur/03750/BRG347_3628.htm")</f>
        <v>http://collections.slsa.sa.gov.au/arthur/03750/BRG347_3628.htm</v>
      </c>
    </row>
    <row r="1107" spans="1:11" x14ac:dyDescent="0.25">
      <c r="A1107" t="s">
        <v>4130</v>
      </c>
      <c r="B1107" s="1" t="str">
        <f>HYPERLINK("https://www.catalog.slsa.sa.gov.au/record=b2113567")</f>
        <v>https://www.catalog.slsa.sa.gov.au/record=b2113567</v>
      </c>
      <c r="C1107" s="1" t="str">
        <f>HYPERLINK("https://www.catalog.slsa.sa.gov.au/xrecord=b2113567")</f>
        <v>https://www.catalog.slsa.sa.gov.au/xrecord=b2113567</v>
      </c>
      <c r="D1107" t="s">
        <v>66</v>
      </c>
      <c r="E1107" t="s">
        <v>4131</v>
      </c>
      <c r="F1107">
        <v>1951</v>
      </c>
      <c r="G1107" t="s">
        <v>121</v>
      </c>
      <c r="H1107" t="s">
        <v>4132</v>
      </c>
      <c r="I1107" t="s">
        <v>4133</v>
      </c>
      <c r="J1107" t="s">
        <v>71</v>
      </c>
      <c r="K1107" s="2" t="str">
        <f>HYPERLINK("http://collections.slsa.sa.gov.au/arthur/03750/BRG347_3629.htm")</f>
        <v>http://collections.slsa.sa.gov.au/arthur/03750/BRG347_3629.htm</v>
      </c>
    </row>
    <row r="1108" spans="1:11" x14ac:dyDescent="0.25">
      <c r="A1108" t="s">
        <v>4134</v>
      </c>
      <c r="B1108" s="1" t="str">
        <f>HYPERLINK("https://www.catalog.slsa.sa.gov.au/record=b2117771")</f>
        <v>https://www.catalog.slsa.sa.gov.au/record=b2117771</v>
      </c>
      <c r="C1108" s="1" t="str">
        <f>HYPERLINK("https://www.catalog.slsa.sa.gov.au/xrecord=b2117771")</f>
        <v>https://www.catalog.slsa.sa.gov.au/xrecord=b2117771</v>
      </c>
      <c r="D1108" t="s">
        <v>66</v>
      </c>
      <c r="E1108" t="s">
        <v>4135</v>
      </c>
      <c r="F1108">
        <v>1951</v>
      </c>
      <c r="G1108" t="s">
        <v>121</v>
      </c>
      <c r="H1108" t="s">
        <v>4136</v>
      </c>
      <c r="I1108" t="s">
        <v>4137</v>
      </c>
      <c r="J1108" t="s">
        <v>71</v>
      </c>
      <c r="K1108" s="2" t="str">
        <f>HYPERLINK("http://collections.slsa.sa.gov.au/arthur/03750/BRG347_3630.htm")</f>
        <v>http://collections.slsa.sa.gov.au/arthur/03750/BRG347_3630.htm</v>
      </c>
    </row>
    <row r="1109" spans="1:11" x14ac:dyDescent="0.25">
      <c r="A1109" t="s">
        <v>4138</v>
      </c>
      <c r="B1109" s="1" t="str">
        <f>HYPERLINK("https://www.catalog.slsa.sa.gov.au/record=b2113568")</f>
        <v>https://www.catalog.slsa.sa.gov.au/record=b2113568</v>
      </c>
      <c r="C1109" s="1" t="str">
        <f>HYPERLINK("https://www.catalog.slsa.sa.gov.au/xrecord=b2113568")</f>
        <v>https://www.catalog.slsa.sa.gov.au/xrecord=b2113568</v>
      </c>
      <c r="D1109" t="s">
        <v>66</v>
      </c>
      <c r="E1109" t="s">
        <v>4139</v>
      </c>
      <c r="F1109">
        <v>1951</v>
      </c>
      <c r="G1109" t="s">
        <v>121</v>
      </c>
      <c r="H1109" t="s">
        <v>4140</v>
      </c>
      <c r="I1109" t="s">
        <v>4141</v>
      </c>
      <c r="J1109" t="s">
        <v>71</v>
      </c>
      <c r="K1109" s="2" t="str">
        <f>HYPERLINK("http://collections.slsa.sa.gov.au/arthur/03750/BRG347_3631.htm")</f>
        <v>http://collections.slsa.sa.gov.au/arthur/03750/BRG347_3631.htm</v>
      </c>
    </row>
    <row r="1110" spans="1:11" x14ac:dyDescent="0.25">
      <c r="A1110" t="s">
        <v>4142</v>
      </c>
      <c r="B1110" s="1" t="str">
        <f>HYPERLINK("https://www.catalog.slsa.sa.gov.au/record=b2113569")</f>
        <v>https://www.catalog.slsa.sa.gov.au/record=b2113569</v>
      </c>
      <c r="C1110" s="1" t="str">
        <f>HYPERLINK("https://www.catalog.slsa.sa.gov.au/xrecord=b2113569")</f>
        <v>https://www.catalog.slsa.sa.gov.au/xrecord=b2113569</v>
      </c>
      <c r="D1110" t="s">
        <v>66</v>
      </c>
      <c r="E1110" t="s">
        <v>4143</v>
      </c>
      <c r="F1110">
        <v>1951</v>
      </c>
      <c r="G1110" t="s">
        <v>121</v>
      </c>
      <c r="H1110" t="s">
        <v>4144</v>
      </c>
      <c r="I1110" t="s">
        <v>4145</v>
      </c>
      <c r="J1110" t="s">
        <v>71</v>
      </c>
      <c r="K1110" s="2" t="str">
        <f>HYPERLINK("http://collections.slsa.sa.gov.au/arthur/03750/BRG347_3632.htm")</f>
        <v>http://collections.slsa.sa.gov.au/arthur/03750/BRG347_3632.htm</v>
      </c>
    </row>
    <row r="1111" spans="1:11" x14ac:dyDescent="0.25">
      <c r="A1111" t="s">
        <v>4146</v>
      </c>
      <c r="B1111" s="1" t="str">
        <f>HYPERLINK("https://www.catalog.slsa.sa.gov.au/record=b2113570")</f>
        <v>https://www.catalog.slsa.sa.gov.au/record=b2113570</v>
      </c>
      <c r="C1111" s="1" t="str">
        <f>HYPERLINK("https://www.catalog.slsa.sa.gov.au/xrecord=b2113570")</f>
        <v>https://www.catalog.slsa.sa.gov.au/xrecord=b2113570</v>
      </c>
      <c r="D1111" t="s">
        <v>66</v>
      </c>
      <c r="E1111" t="s">
        <v>4147</v>
      </c>
      <c r="F1111">
        <v>1951</v>
      </c>
      <c r="G1111" t="s">
        <v>121</v>
      </c>
      <c r="H1111" t="s">
        <v>4148</v>
      </c>
      <c r="I1111" t="s">
        <v>4149</v>
      </c>
      <c r="J1111" t="s">
        <v>71</v>
      </c>
      <c r="K1111" s="2" t="str">
        <f>HYPERLINK("http://collections.slsa.sa.gov.au/arthur/03750/BRG347_3633.htm")</f>
        <v>http://collections.slsa.sa.gov.au/arthur/03750/BRG347_3633.htm</v>
      </c>
    </row>
    <row r="1112" spans="1:11" x14ac:dyDescent="0.25">
      <c r="A1112" t="s">
        <v>4150</v>
      </c>
      <c r="B1112" s="1" t="str">
        <f>HYPERLINK("https://www.catalog.slsa.sa.gov.au/record=b2113571")</f>
        <v>https://www.catalog.slsa.sa.gov.au/record=b2113571</v>
      </c>
      <c r="C1112" s="1" t="str">
        <f>HYPERLINK("https://www.catalog.slsa.sa.gov.au/xrecord=b2113571")</f>
        <v>https://www.catalog.slsa.sa.gov.au/xrecord=b2113571</v>
      </c>
      <c r="D1112" t="s">
        <v>66</v>
      </c>
      <c r="E1112" t="s">
        <v>4151</v>
      </c>
      <c r="F1112">
        <v>1951</v>
      </c>
      <c r="G1112" t="s">
        <v>121</v>
      </c>
      <c r="H1112" t="s">
        <v>4152</v>
      </c>
      <c r="I1112" t="s">
        <v>4153</v>
      </c>
      <c r="J1112" t="s">
        <v>71</v>
      </c>
      <c r="K1112" s="2" t="str">
        <f>HYPERLINK("http://collections.slsa.sa.gov.au/arthur/03750/BRG347_3634.htm")</f>
        <v>http://collections.slsa.sa.gov.au/arthur/03750/BRG347_3634.htm</v>
      </c>
    </row>
    <row r="1113" spans="1:11" x14ac:dyDescent="0.25">
      <c r="A1113" t="s">
        <v>4154</v>
      </c>
      <c r="B1113" s="1" t="str">
        <f>HYPERLINK("https://www.catalog.slsa.sa.gov.au/record=b2117773")</f>
        <v>https://www.catalog.slsa.sa.gov.au/record=b2117773</v>
      </c>
      <c r="C1113" s="1" t="str">
        <f>HYPERLINK("https://www.catalog.slsa.sa.gov.au/xrecord=b2117773")</f>
        <v>https://www.catalog.slsa.sa.gov.au/xrecord=b2117773</v>
      </c>
      <c r="D1113" t="s">
        <v>66</v>
      </c>
      <c r="E1113" t="s">
        <v>4155</v>
      </c>
      <c r="F1113">
        <v>1951</v>
      </c>
      <c r="G1113" t="s">
        <v>121</v>
      </c>
      <c r="H1113" t="s">
        <v>4156</v>
      </c>
      <c r="I1113" t="s">
        <v>4157</v>
      </c>
      <c r="J1113" t="s">
        <v>71</v>
      </c>
      <c r="K1113" s="2" t="str">
        <f>HYPERLINK("http://collections.slsa.sa.gov.au/arthur/03750/BRG347_3635.htm")</f>
        <v>http://collections.slsa.sa.gov.au/arthur/03750/BRG347_3635.htm</v>
      </c>
    </row>
    <row r="1114" spans="1:11" x14ac:dyDescent="0.25">
      <c r="A1114" t="s">
        <v>4158</v>
      </c>
      <c r="B1114" s="1" t="str">
        <f>HYPERLINK("https://www.catalog.slsa.sa.gov.au/record=b2113572")</f>
        <v>https://www.catalog.slsa.sa.gov.au/record=b2113572</v>
      </c>
      <c r="C1114" s="1" t="str">
        <f>HYPERLINK("https://www.catalog.slsa.sa.gov.au/xrecord=b2113572")</f>
        <v>https://www.catalog.slsa.sa.gov.au/xrecord=b2113572</v>
      </c>
      <c r="D1114" t="s">
        <v>66</v>
      </c>
      <c r="E1114" t="s">
        <v>4155</v>
      </c>
      <c r="F1114">
        <v>1951</v>
      </c>
      <c r="G1114" t="s">
        <v>121</v>
      </c>
      <c r="H1114" t="s">
        <v>4159</v>
      </c>
      <c r="I1114" t="s">
        <v>4157</v>
      </c>
      <c r="J1114" t="s">
        <v>71</v>
      </c>
      <c r="K1114" s="2" t="str">
        <f>HYPERLINK("http://collections.slsa.sa.gov.au/arthur/03750/BRG347_3636.htm")</f>
        <v>http://collections.slsa.sa.gov.au/arthur/03750/BRG347_3636.htm</v>
      </c>
    </row>
    <row r="1115" spans="1:11" x14ac:dyDescent="0.25">
      <c r="A1115" t="s">
        <v>4160</v>
      </c>
      <c r="B1115" s="1" t="str">
        <f>HYPERLINK("https://www.catalog.slsa.sa.gov.au/record=b2113573")</f>
        <v>https://www.catalog.slsa.sa.gov.au/record=b2113573</v>
      </c>
      <c r="C1115" s="1" t="str">
        <f>HYPERLINK("https://www.catalog.slsa.sa.gov.au/xrecord=b2113573")</f>
        <v>https://www.catalog.slsa.sa.gov.au/xrecord=b2113573</v>
      </c>
      <c r="D1115" t="s">
        <v>66</v>
      </c>
      <c r="E1115" t="s">
        <v>4161</v>
      </c>
      <c r="F1115">
        <v>1951</v>
      </c>
      <c r="G1115" t="s">
        <v>121</v>
      </c>
      <c r="H1115" t="s">
        <v>4162</v>
      </c>
      <c r="I1115" t="s">
        <v>4163</v>
      </c>
      <c r="J1115" t="s">
        <v>71</v>
      </c>
      <c r="K1115" s="2" t="str">
        <f>HYPERLINK("http://collections.slsa.sa.gov.au/arthur/03750/BRG347_3637.htm")</f>
        <v>http://collections.slsa.sa.gov.au/arthur/03750/BRG347_3637.htm</v>
      </c>
    </row>
    <row r="1116" spans="1:11" x14ac:dyDescent="0.25">
      <c r="A1116" t="s">
        <v>4164</v>
      </c>
      <c r="B1116" s="1" t="str">
        <f>HYPERLINK("https://www.catalog.slsa.sa.gov.au/record=b2113574")</f>
        <v>https://www.catalog.slsa.sa.gov.au/record=b2113574</v>
      </c>
      <c r="C1116" s="1" t="str">
        <f>HYPERLINK("https://www.catalog.slsa.sa.gov.au/xrecord=b2113574")</f>
        <v>https://www.catalog.slsa.sa.gov.au/xrecord=b2113574</v>
      </c>
      <c r="D1116" t="s">
        <v>66</v>
      </c>
      <c r="E1116" t="s">
        <v>4165</v>
      </c>
      <c r="F1116">
        <v>1951</v>
      </c>
      <c r="G1116" t="s">
        <v>121</v>
      </c>
      <c r="H1116" t="s">
        <v>4166</v>
      </c>
      <c r="I1116" t="s">
        <v>4167</v>
      </c>
      <c r="J1116" t="s">
        <v>71</v>
      </c>
      <c r="K1116" s="2" t="str">
        <f>HYPERLINK("http://collections.slsa.sa.gov.au/arthur/03750/BRG347_3638.htm")</f>
        <v>http://collections.slsa.sa.gov.au/arthur/03750/BRG347_3638.htm</v>
      </c>
    </row>
    <row r="1117" spans="1:11" x14ac:dyDescent="0.25">
      <c r="A1117" t="s">
        <v>4168</v>
      </c>
      <c r="B1117" s="1" t="str">
        <f>HYPERLINK("https://www.catalog.slsa.sa.gov.au/record=b2113575")</f>
        <v>https://www.catalog.slsa.sa.gov.au/record=b2113575</v>
      </c>
      <c r="C1117" s="1" t="str">
        <f>HYPERLINK("https://www.catalog.slsa.sa.gov.au/xrecord=b2113575")</f>
        <v>https://www.catalog.slsa.sa.gov.au/xrecord=b2113575</v>
      </c>
      <c r="D1117" t="s">
        <v>66</v>
      </c>
      <c r="E1117" t="s">
        <v>4169</v>
      </c>
      <c r="F1117">
        <v>1951</v>
      </c>
      <c r="G1117" t="s">
        <v>121</v>
      </c>
      <c r="H1117" t="s">
        <v>4170</v>
      </c>
      <c r="I1117" t="s">
        <v>4171</v>
      </c>
      <c r="J1117" t="s">
        <v>71</v>
      </c>
      <c r="K1117" s="2" t="str">
        <f>HYPERLINK("http://collections.slsa.sa.gov.au/arthur/03750/BRG347_3639.htm")</f>
        <v>http://collections.slsa.sa.gov.au/arthur/03750/BRG347_3639.htm</v>
      </c>
    </row>
    <row r="1118" spans="1:11" x14ac:dyDescent="0.25">
      <c r="A1118" t="s">
        <v>4172</v>
      </c>
      <c r="B1118" s="1" t="str">
        <f>HYPERLINK("https://www.catalog.slsa.sa.gov.au/record=b2113576")</f>
        <v>https://www.catalog.slsa.sa.gov.au/record=b2113576</v>
      </c>
      <c r="C1118" s="1" t="str">
        <f>HYPERLINK("https://www.catalog.slsa.sa.gov.au/xrecord=b2113576")</f>
        <v>https://www.catalog.slsa.sa.gov.au/xrecord=b2113576</v>
      </c>
      <c r="D1118" t="s">
        <v>66</v>
      </c>
      <c r="E1118" t="s">
        <v>4059</v>
      </c>
      <c r="F1118">
        <v>1951</v>
      </c>
      <c r="G1118" t="s">
        <v>121</v>
      </c>
      <c r="H1118" t="s">
        <v>4173</v>
      </c>
      <c r="I1118" t="s">
        <v>4061</v>
      </c>
      <c r="J1118" t="s">
        <v>71</v>
      </c>
      <c r="K1118" s="2" t="str">
        <f>HYPERLINK("http://collections.slsa.sa.gov.au/arthur/03750/BRG347_3640.htm")</f>
        <v>http://collections.slsa.sa.gov.au/arthur/03750/BRG347_3640.htm</v>
      </c>
    </row>
    <row r="1119" spans="1:11" x14ac:dyDescent="0.25">
      <c r="A1119" t="s">
        <v>4174</v>
      </c>
      <c r="B1119" s="1" t="str">
        <f>HYPERLINK("https://www.catalog.slsa.sa.gov.au/record=b2117780")</f>
        <v>https://www.catalog.slsa.sa.gov.au/record=b2117780</v>
      </c>
      <c r="C1119" s="1" t="str">
        <f>HYPERLINK("https://www.catalog.slsa.sa.gov.au/xrecord=b2117780")</f>
        <v>https://www.catalog.slsa.sa.gov.au/xrecord=b2117780</v>
      </c>
      <c r="D1119" t="s">
        <v>66</v>
      </c>
      <c r="E1119" t="s">
        <v>4175</v>
      </c>
      <c r="F1119">
        <v>1951</v>
      </c>
      <c r="G1119" t="s">
        <v>121</v>
      </c>
      <c r="H1119" t="s">
        <v>4176</v>
      </c>
      <c r="I1119" t="s">
        <v>4177</v>
      </c>
      <c r="J1119" t="s">
        <v>71</v>
      </c>
      <c r="K1119" s="2" t="str">
        <f>HYPERLINK("http://collections.slsa.sa.gov.au/arthur/03750/BRG347_3641.htm")</f>
        <v>http://collections.slsa.sa.gov.au/arthur/03750/BRG347_3641.htm</v>
      </c>
    </row>
    <row r="1120" spans="1:11" x14ac:dyDescent="0.25">
      <c r="A1120" t="s">
        <v>4178</v>
      </c>
      <c r="B1120" s="1" t="str">
        <f>HYPERLINK("https://www.catalog.slsa.sa.gov.au/record=b2113577")</f>
        <v>https://www.catalog.slsa.sa.gov.au/record=b2113577</v>
      </c>
      <c r="C1120" s="1" t="str">
        <f>HYPERLINK("https://www.catalog.slsa.sa.gov.au/xrecord=b2113577")</f>
        <v>https://www.catalog.slsa.sa.gov.au/xrecord=b2113577</v>
      </c>
      <c r="D1120" t="s">
        <v>66</v>
      </c>
      <c r="E1120" t="s">
        <v>4179</v>
      </c>
      <c r="F1120">
        <v>1951</v>
      </c>
      <c r="G1120" t="s">
        <v>121</v>
      </c>
      <c r="H1120" t="s">
        <v>4180</v>
      </c>
      <c r="I1120" t="s">
        <v>4181</v>
      </c>
      <c r="J1120" t="s">
        <v>71</v>
      </c>
      <c r="K1120" s="2" t="str">
        <f>HYPERLINK("http://collections.slsa.sa.gov.au/arthur/03750/BRG347_3642.htm")</f>
        <v>http://collections.slsa.sa.gov.au/arthur/03750/BRG347_3642.htm</v>
      </c>
    </row>
    <row r="1121" spans="1:11" x14ac:dyDescent="0.25">
      <c r="A1121" t="s">
        <v>4182</v>
      </c>
      <c r="B1121" s="1" t="str">
        <f>HYPERLINK("https://www.catalog.slsa.sa.gov.au/record=b2113578")</f>
        <v>https://www.catalog.slsa.sa.gov.au/record=b2113578</v>
      </c>
      <c r="C1121" s="1" t="str">
        <f>HYPERLINK("https://www.catalog.slsa.sa.gov.au/xrecord=b2113578")</f>
        <v>https://www.catalog.slsa.sa.gov.au/xrecord=b2113578</v>
      </c>
      <c r="D1121" t="s">
        <v>66</v>
      </c>
      <c r="E1121" t="s">
        <v>4183</v>
      </c>
      <c r="F1121">
        <v>1951</v>
      </c>
      <c r="G1121" t="s">
        <v>121</v>
      </c>
      <c r="H1121" t="s">
        <v>4184</v>
      </c>
      <c r="I1121" t="s">
        <v>4185</v>
      </c>
      <c r="J1121" t="s">
        <v>71</v>
      </c>
      <c r="K1121" s="2" t="str">
        <f>HYPERLINK("http://collections.slsa.sa.gov.au/arthur/03750/BRG347_3643.htm")</f>
        <v>http://collections.slsa.sa.gov.au/arthur/03750/BRG347_3643.htm</v>
      </c>
    </row>
    <row r="1122" spans="1:11" x14ac:dyDescent="0.25">
      <c r="A1122" t="s">
        <v>4186</v>
      </c>
      <c r="B1122" s="1" t="str">
        <f>HYPERLINK("https://www.catalog.slsa.sa.gov.au/record=b2113579")</f>
        <v>https://www.catalog.slsa.sa.gov.au/record=b2113579</v>
      </c>
      <c r="C1122" s="1" t="str">
        <f>HYPERLINK("https://www.catalog.slsa.sa.gov.au/xrecord=b2113579")</f>
        <v>https://www.catalog.slsa.sa.gov.au/xrecord=b2113579</v>
      </c>
      <c r="D1122" t="s">
        <v>66</v>
      </c>
      <c r="E1122" t="s">
        <v>283</v>
      </c>
      <c r="F1122">
        <v>1951</v>
      </c>
      <c r="G1122" t="s">
        <v>121</v>
      </c>
      <c r="H1122" t="s">
        <v>4187</v>
      </c>
      <c r="I1122" t="s">
        <v>4188</v>
      </c>
      <c r="J1122" t="s">
        <v>71</v>
      </c>
      <c r="K1122" s="2" t="str">
        <f>HYPERLINK("http://collections.slsa.sa.gov.au/arthur/03750/BRG347_3644.htm")</f>
        <v>http://collections.slsa.sa.gov.au/arthur/03750/BRG347_3644.htm</v>
      </c>
    </row>
    <row r="1123" spans="1:11" x14ac:dyDescent="0.25">
      <c r="A1123" t="s">
        <v>4189</v>
      </c>
      <c r="B1123" s="1" t="str">
        <f>HYPERLINK("https://www.catalog.slsa.sa.gov.au/record=b2113580")</f>
        <v>https://www.catalog.slsa.sa.gov.au/record=b2113580</v>
      </c>
      <c r="C1123" s="1" t="str">
        <f>HYPERLINK("https://www.catalog.slsa.sa.gov.au/xrecord=b2113580")</f>
        <v>https://www.catalog.slsa.sa.gov.au/xrecord=b2113580</v>
      </c>
      <c r="D1123" t="s">
        <v>66</v>
      </c>
      <c r="E1123" t="s">
        <v>4190</v>
      </c>
      <c r="F1123">
        <v>1951</v>
      </c>
      <c r="G1123" t="s">
        <v>121</v>
      </c>
      <c r="H1123" t="s">
        <v>4191</v>
      </c>
      <c r="I1123" t="s">
        <v>4192</v>
      </c>
      <c r="J1123" t="s">
        <v>71</v>
      </c>
      <c r="K1123" s="2" t="str">
        <f>HYPERLINK("http://collections.slsa.sa.gov.au/arthur/03750/BRG347_3645.htm")</f>
        <v>http://collections.slsa.sa.gov.au/arthur/03750/BRG347_3645.htm</v>
      </c>
    </row>
    <row r="1124" spans="1:11" x14ac:dyDescent="0.25">
      <c r="A1124" t="s">
        <v>4193</v>
      </c>
      <c r="B1124" s="1" t="str">
        <f>HYPERLINK("https://www.catalog.slsa.sa.gov.au/record=b2117783")</f>
        <v>https://www.catalog.slsa.sa.gov.au/record=b2117783</v>
      </c>
      <c r="C1124" s="1" t="str">
        <f>HYPERLINK("https://www.catalog.slsa.sa.gov.au/xrecord=b2117783")</f>
        <v>https://www.catalog.slsa.sa.gov.au/xrecord=b2117783</v>
      </c>
      <c r="D1124" t="s">
        <v>66</v>
      </c>
      <c r="E1124" t="s">
        <v>4194</v>
      </c>
      <c r="F1124">
        <v>1951</v>
      </c>
      <c r="G1124" t="s">
        <v>121</v>
      </c>
      <c r="H1124" t="s">
        <v>4195</v>
      </c>
      <c r="I1124" t="s">
        <v>4196</v>
      </c>
      <c r="J1124" t="s">
        <v>71</v>
      </c>
      <c r="K1124" s="2" t="str">
        <f>HYPERLINK("http://collections.slsa.sa.gov.au/arthur/03750/BRG347_3646.htm")</f>
        <v>http://collections.slsa.sa.gov.au/arthur/03750/BRG347_3646.htm</v>
      </c>
    </row>
    <row r="1125" spans="1:11" x14ac:dyDescent="0.25">
      <c r="A1125" t="s">
        <v>4197</v>
      </c>
      <c r="B1125" s="1" t="str">
        <f>HYPERLINK("https://www.catalog.slsa.sa.gov.au/record=b2113581")</f>
        <v>https://www.catalog.slsa.sa.gov.au/record=b2113581</v>
      </c>
      <c r="C1125" s="1" t="str">
        <f>HYPERLINK("https://www.catalog.slsa.sa.gov.au/xrecord=b2113581")</f>
        <v>https://www.catalog.slsa.sa.gov.au/xrecord=b2113581</v>
      </c>
      <c r="D1125" t="s">
        <v>66</v>
      </c>
      <c r="E1125" t="s">
        <v>4198</v>
      </c>
      <c r="F1125">
        <v>1951</v>
      </c>
      <c r="G1125" t="s">
        <v>121</v>
      </c>
      <c r="H1125" t="s">
        <v>4199</v>
      </c>
      <c r="I1125" t="s">
        <v>4200</v>
      </c>
      <c r="J1125" t="s">
        <v>71</v>
      </c>
      <c r="K1125" s="2" t="str">
        <f>HYPERLINK("http://collections.slsa.sa.gov.au/arthur/03750/BRG347_3647.htm")</f>
        <v>http://collections.slsa.sa.gov.au/arthur/03750/BRG347_3647.htm</v>
      </c>
    </row>
    <row r="1126" spans="1:11" x14ac:dyDescent="0.25">
      <c r="A1126" t="s">
        <v>4201</v>
      </c>
      <c r="B1126" s="1" t="str">
        <f>HYPERLINK("https://www.catalog.slsa.sa.gov.au/record=b2113582")</f>
        <v>https://www.catalog.slsa.sa.gov.au/record=b2113582</v>
      </c>
      <c r="C1126" s="1" t="str">
        <f>HYPERLINK("https://www.catalog.slsa.sa.gov.au/xrecord=b2113582")</f>
        <v>https://www.catalog.slsa.sa.gov.au/xrecord=b2113582</v>
      </c>
      <c r="D1126" t="s">
        <v>66</v>
      </c>
      <c r="E1126" t="s">
        <v>4198</v>
      </c>
      <c r="F1126">
        <v>1951</v>
      </c>
      <c r="G1126" t="s">
        <v>121</v>
      </c>
      <c r="H1126" t="s">
        <v>4202</v>
      </c>
      <c r="I1126" t="s">
        <v>4200</v>
      </c>
      <c r="J1126" t="s">
        <v>71</v>
      </c>
      <c r="K1126" s="2" t="str">
        <f>HYPERLINK("http://collections.slsa.sa.gov.au/arthur/03750/BRG347_3648.htm")</f>
        <v>http://collections.slsa.sa.gov.au/arthur/03750/BRG347_3648.htm</v>
      </c>
    </row>
    <row r="1127" spans="1:11" x14ac:dyDescent="0.25">
      <c r="A1127" t="s">
        <v>4203</v>
      </c>
      <c r="B1127" s="1" t="str">
        <f>HYPERLINK("https://www.catalog.slsa.sa.gov.au/record=b2113583")</f>
        <v>https://www.catalog.slsa.sa.gov.au/record=b2113583</v>
      </c>
      <c r="C1127" s="1" t="str">
        <f>HYPERLINK("https://www.catalog.slsa.sa.gov.au/xrecord=b2113583")</f>
        <v>https://www.catalog.slsa.sa.gov.au/xrecord=b2113583</v>
      </c>
      <c r="D1127" t="s">
        <v>66</v>
      </c>
      <c r="E1127" t="s">
        <v>4204</v>
      </c>
      <c r="F1127">
        <v>1951</v>
      </c>
      <c r="G1127" t="s">
        <v>121</v>
      </c>
      <c r="H1127" t="s">
        <v>4205</v>
      </c>
      <c r="I1127" t="s">
        <v>4206</v>
      </c>
      <c r="J1127" t="s">
        <v>71</v>
      </c>
      <c r="K1127" s="2" t="str">
        <f>HYPERLINK("http://collections.slsa.sa.gov.au/arthur/03750/BRG347_3649.htm")</f>
        <v>http://collections.slsa.sa.gov.au/arthur/03750/BRG347_3649.htm</v>
      </c>
    </row>
    <row r="1128" spans="1:11" x14ac:dyDescent="0.25">
      <c r="A1128" t="s">
        <v>4207</v>
      </c>
      <c r="B1128" s="1" t="str">
        <f>HYPERLINK("https://www.catalog.slsa.sa.gov.au/record=b2113584")</f>
        <v>https://www.catalog.slsa.sa.gov.au/record=b2113584</v>
      </c>
      <c r="C1128" s="1" t="str">
        <f>HYPERLINK("https://www.catalog.slsa.sa.gov.au/xrecord=b2113584")</f>
        <v>https://www.catalog.slsa.sa.gov.au/xrecord=b2113584</v>
      </c>
      <c r="D1128" t="s">
        <v>66</v>
      </c>
      <c r="E1128" t="s">
        <v>4208</v>
      </c>
      <c r="F1128">
        <v>1951</v>
      </c>
      <c r="G1128" t="s">
        <v>121</v>
      </c>
      <c r="H1128" t="s">
        <v>4209</v>
      </c>
      <c r="I1128" t="s">
        <v>4210</v>
      </c>
      <c r="J1128" t="s">
        <v>71</v>
      </c>
      <c r="K1128" s="2" t="str">
        <f>HYPERLINK("http://collections.slsa.sa.gov.au/arthur/03750/BRG347_3650.htm")</f>
        <v>http://collections.slsa.sa.gov.au/arthur/03750/BRG347_3650.htm</v>
      </c>
    </row>
    <row r="1129" spans="1:11" x14ac:dyDescent="0.25">
      <c r="A1129" t="s">
        <v>4211</v>
      </c>
      <c r="B1129" s="1" t="str">
        <f>HYPERLINK("https://www.catalog.slsa.sa.gov.au/record=b2113585")</f>
        <v>https://www.catalog.slsa.sa.gov.au/record=b2113585</v>
      </c>
      <c r="C1129" s="1" t="str">
        <f>HYPERLINK("https://www.catalog.slsa.sa.gov.au/xrecord=b2113585")</f>
        <v>https://www.catalog.slsa.sa.gov.au/xrecord=b2113585</v>
      </c>
      <c r="D1129" t="s">
        <v>66</v>
      </c>
      <c r="E1129" t="s">
        <v>4212</v>
      </c>
      <c r="F1129">
        <v>1951</v>
      </c>
      <c r="G1129" t="s">
        <v>121</v>
      </c>
      <c r="H1129" t="s">
        <v>4213</v>
      </c>
      <c r="I1129" t="s">
        <v>4214</v>
      </c>
      <c r="J1129" t="s">
        <v>71</v>
      </c>
      <c r="K1129" s="2" t="str">
        <f>HYPERLINK("http://collections.slsa.sa.gov.au/arthur/03750/BRG347_3651.htm")</f>
        <v>http://collections.slsa.sa.gov.au/arthur/03750/BRG347_3651.htm</v>
      </c>
    </row>
    <row r="1130" spans="1:11" x14ac:dyDescent="0.25">
      <c r="A1130" t="s">
        <v>4215</v>
      </c>
      <c r="B1130" s="1" t="str">
        <f>HYPERLINK("https://www.catalog.slsa.sa.gov.au/record=b2113564")</f>
        <v>https://www.catalog.slsa.sa.gov.au/record=b2113564</v>
      </c>
      <c r="C1130" s="1" t="str">
        <f>HYPERLINK("https://www.catalog.slsa.sa.gov.au/xrecord=b2113564")</f>
        <v>https://www.catalog.slsa.sa.gov.au/xrecord=b2113564</v>
      </c>
      <c r="D1130" t="s">
        <v>66</v>
      </c>
      <c r="E1130" t="s">
        <v>4216</v>
      </c>
      <c r="F1130">
        <v>1951</v>
      </c>
      <c r="G1130" t="s">
        <v>121</v>
      </c>
      <c r="H1130" t="s">
        <v>4217</v>
      </c>
      <c r="I1130" t="s">
        <v>4218</v>
      </c>
      <c r="J1130" t="s">
        <v>71</v>
      </c>
      <c r="K1130" s="2" t="str">
        <f>HYPERLINK("http://collections.slsa.sa.gov.au/arthur/03750/BRG347_3652.htm")</f>
        <v>http://collections.slsa.sa.gov.au/arthur/03750/BRG347_3652.htm</v>
      </c>
    </row>
    <row r="1131" spans="1:11" x14ac:dyDescent="0.25">
      <c r="A1131" t="s">
        <v>4219</v>
      </c>
      <c r="B1131" s="1" t="str">
        <f>HYPERLINK("https://www.catalog.slsa.sa.gov.au/record=b2113586")</f>
        <v>https://www.catalog.slsa.sa.gov.au/record=b2113586</v>
      </c>
      <c r="C1131" s="1" t="str">
        <f>HYPERLINK("https://www.catalog.slsa.sa.gov.au/xrecord=b2113586")</f>
        <v>https://www.catalog.slsa.sa.gov.au/xrecord=b2113586</v>
      </c>
      <c r="D1131" t="s">
        <v>66</v>
      </c>
      <c r="E1131" t="s">
        <v>4220</v>
      </c>
      <c r="F1131">
        <v>1951</v>
      </c>
      <c r="G1131" t="s">
        <v>121</v>
      </c>
      <c r="H1131" t="s">
        <v>4221</v>
      </c>
      <c r="I1131" t="s">
        <v>4222</v>
      </c>
      <c r="J1131" t="s">
        <v>71</v>
      </c>
      <c r="K1131" s="2" t="str">
        <f>HYPERLINK("http://collections.slsa.sa.gov.au/arthur/03750/BRG347_3653.htm")</f>
        <v>http://collections.slsa.sa.gov.au/arthur/03750/BRG347_3653.htm</v>
      </c>
    </row>
    <row r="1132" spans="1:11" x14ac:dyDescent="0.25">
      <c r="A1132" t="s">
        <v>4223</v>
      </c>
      <c r="B1132" s="1" t="str">
        <f>HYPERLINK("https://www.catalog.slsa.sa.gov.au/record=b2113587")</f>
        <v>https://www.catalog.slsa.sa.gov.au/record=b2113587</v>
      </c>
      <c r="C1132" s="1" t="str">
        <f>HYPERLINK("https://www.catalog.slsa.sa.gov.au/xrecord=b2113587")</f>
        <v>https://www.catalog.slsa.sa.gov.au/xrecord=b2113587</v>
      </c>
      <c r="D1132" t="s">
        <v>66</v>
      </c>
      <c r="E1132" t="s">
        <v>4224</v>
      </c>
      <c r="F1132">
        <v>1951</v>
      </c>
      <c r="G1132" t="s">
        <v>121</v>
      </c>
      <c r="H1132" t="s">
        <v>4225</v>
      </c>
      <c r="I1132" t="s">
        <v>4226</v>
      </c>
      <c r="J1132" t="s">
        <v>71</v>
      </c>
      <c r="K1132" s="2" t="str">
        <f>HYPERLINK("http://collections.slsa.sa.gov.au/arthur/03750/BRG347_3654.htm")</f>
        <v>http://collections.slsa.sa.gov.au/arthur/03750/BRG347_3654.htm</v>
      </c>
    </row>
    <row r="1133" spans="1:11" x14ac:dyDescent="0.25">
      <c r="A1133" t="s">
        <v>4227</v>
      </c>
      <c r="B1133" s="1" t="str">
        <f>HYPERLINK("https://www.catalog.slsa.sa.gov.au/record=b2113588")</f>
        <v>https://www.catalog.slsa.sa.gov.au/record=b2113588</v>
      </c>
      <c r="C1133" s="1" t="str">
        <f>HYPERLINK("https://www.catalog.slsa.sa.gov.au/xrecord=b2113588")</f>
        <v>https://www.catalog.slsa.sa.gov.au/xrecord=b2113588</v>
      </c>
      <c r="D1133" t="s">
        <v>66</v>
      </c>
      <c r="E1133" t="s">
        <v>4228</v>
      </c>
      <c r="F1133">
        <v>1951</v>
      </c>
      <c r="G1133" t="s">
        <v>121</v>
      </c>
      <c r="H1133" t="s">
        <v>4229</v>
      </c>
      <c r="I1133" t="s">
        <v>4230</v>
      </c>
      <c r="J1133" t="s">
        <v>71</v>
      </c>
      <c r="K1133" s="2" t="str">
        <f>HYPERLINK("http://collections.slsa.sa.gov.au/arthur/03750/BRG347_3655.htm")</f>
        <v>http://collections.slsa.sa.gov.au/arthur/03750/BRG347_3655.htm</v>
      </c>
    </row>
    <row r="1134" spans="1:11" x14ac:dyDescent="0.25">
      <c r="A1134" t="s">
        <v>4231</v>
      </c>
      <c r="B1134" s="1" t="str">
        <f>HYPERLINK("https://www.catalog.slsa.sa.gov.au/record=b2113589")</f>
        <v>https://www.catalog.slsa.sa.gov.au/record=b2113589</v>
      </c>
      <c r="C1134" s="1" t="str">
        <f>HYPERLINK("https://www.catalog.slsa.sa.gov.au/xrecord=b2113589")</f>
        <v>https://www.catalog.slsa.sa.gov.au/xrecord=b2113589</v>
      </c>
      <c r="D1134" t="s">
        <v>66</v>
      </c>
      <c r="E1134" t="s">
        <v>4232</v>
      </c>
      <c r="F1134">
        <v>1951</v>
      </c>
      <c r="G1134" t="s">
        <v>121</v>
      </c>
      <c r="H1134" t="s">
        <v>4233</v>
      </c>
      <c r="I1134" t="s">
        <v>4234</v>
      </c>
      <c r="J1134" t="s">
        <v>71</v>
      </c>
      <c r="K1134" s="2" t="str">
        <f>HYPERLINK("http://collections.slsa.sa.gov.au/arthur/03750/BRG347_3656.htm")</f>
        <v>http://collections.slsa.sa.gov.au/arthur/03750/BRG347_3656.htm</v>
      </c>
    </row>
    <row r="1135" spans="1:11" x14ac:dyDescent="0.25">
      <c r="A1135" t="s">
        <v>4235</v>
      </c>
      <c r="B1135" s="1" t="str">
        <f>HYPERLINK("https://www.catalog.slsa.sa.gov.au/record=b2113590")</f>
        <v>https://www.catalog.slsa.sa.gov.au/record=b2113590</v>
      </c>
      <c r="C1135" s="1" t="str">
        <f>HYPERLINK("https://www.catalog.slsa.sa.gov.au/xrecord=b2113590")</f>
        <v>https://www.catalog.slsa.sa.gov.au/xrecord=b2113590</v>
      </c>
      <c r="D1135" t="s">
        <v>66</v>
      </c>
      <c r="E1135" t="s">
        <v>4236</v>
      </c>
      <c r="F1135">
        <v>1951</v>
      </c>
      <c r="G1135" t="s">
        <v>121</v>
      </c>
      <c r="H1135" t="s">
        <v>4237</v>
      </c>
      <c r="I1135" t="s">
        <v>4238</v>
      </c>
      <c r="J1135" t="s">
        <v>71</v>
      </c>
      <c r="K1135" s="2" t="str">
        <f>HYPERLINK("http://collections.slsa.sa.gov.au/arthur/03750/BRG347_3657.htm")</f>
        <v>http://collections.slsa.sa.gov.au/arthur/03750/BRG347_3657.htm</v>
      </c>
    </row>
    <row r="1136" spans="1:11" x14ac:dyDescent="0.25">
      <c r="A1136" t="s">
        <v>4239</v>
      </c>
      <c r="B1136" s="1" t="str">
        <f>HYPERLINK("https://www.catalog.slsa.sa.gov.au/record=b2113591")</f>
        <v>https://www.catalog.slsa.sa.gov.au/record=b2113591</v>
      </c>
      <c r="C1136" s="1" t="str">
        <f>HYPERLINK("https://www.catalog.slsa.sa.gov.au/xrecord=b2113591")</f>
        <v>https://www.catalog.slsa.sa.gov.au/xrecord=b2113591</v>
      </c>
      <c r="D1136" t="s">
        <v>66</v>
      </c>
      <c r="E1136" t="s">
        <v>4240</v>
      </c>
      <c r="F1136">
        <v>1951</v>
      </c>
      <c r="G1136" t="s">
        <v>121</v>
      </c>
      <c r="H1136" t="s">
        <v>4241</v>
      </c>
      <c r="I1136" t="s">
        <v>4242</v>
      </c>
      <c r="J1136" t="s">
        <v>71</v>
      </c>
      <c r="K1136" s="2" t="str">
        <f>HYPERLINK("http://collections.slsa.sa.gov.au/arthur/03750/BRG347_3658.htm")</f>
        <v>http://collections.slsa.sa.gov.au/arthur/03750/BRG347_3658.htm</v>
      </c>
    </row>
    <row r="1137" spans="1:11" x14ac:dyDescent="0.25">
      <c r="A1137" t="s">
        <v>4243</v>
      </c>
      <c r="B1137" s="1" t="str">
        <f>HYPERLINK("https://www.catalog.slsa.sa.gov.au/record=b2113592")</f>
        <v>https://www.catalog.slsa.sa.gov.au/record=b2113592</v>
      </c>
      <c r="C1137" s="1" t="str">
        <f>HYPERLINK("https://www.catalog.slsa.sa.gov.au/xrecord=b2113592")</f>
        <v>https://www.catalog.slsa.sa.gov.au/xrecord=b2113592</v>
      </c>
      <c r="D1137" t="s">
        <v>66</v>
      </c>
      <c r="E1137" t="s">
        <v>4244</v>
      </c>
      <c r="F1137">
        <v>1951</v>
      </c>
      <c r="G1137" t="s">
        <v>121</v>
      </c>
      <c r="H1137" t="s">
        <v>4245</v>
      </c>
      <c r="I1137" t="s">
        <v>4246</v>
      </c>
      <c r="J1137" t="s">
        <v>71</v>
      </c>
      <c r="K1137" s="2" t="str">
        <f>HYPERLINK("http://collections.slsa.sa.gov.au/arthur/03750/BRG347_3659.htm")</f>
        <v>http://collections.slsa.sa.gov.au/arthur/03750/BRG347_3659.htm</v>
      </c>
    </row>
    <row r="1138" spans="1:11" x14ac:dyDescent="0.25">
      <c r="A1138" t="s">
        <v>4247</v>
      </c>
      <c r="B1138" s="1" t="str">
        <f>HYPERLINK("https://www.catalog.slsa.sa.gov.au/record=b2113593")</f>
        <v>https://www.catalog.slsa.sa.gov.au/record=b2113593</v>
      </c>
      <c r="C1138" s="1" t="str">
        <f>HYPERLINK("https://www.catalog.slsa.sa.gov.au/xrecord=b2113593")</f>
        <v>https://www.catalog.slsa.sa.gov.au/xrecord=b2113593</v>
      </c>
      <c r="D1138" t="s">
        <v>66</v>
      </c>
      <c r="E1138" t="s">
        <v>4248</v>
      </c>
      <c r="F1138">
        <v>1951</v>
      </c>
      <c r="G1138" t="s">
        <v>121</v>
      </c>
      <c r="H1138" t="s">
        <v>4249</v>
      </c>
      <c r="I1138" t="s">
        <v>4250</v>
      </c>
      <c r="J1138" t="s">
        <v>71</v>
      </c>
      <c r="K1138" s="2" t="str">
        <f>HYPERLINK("http://collections.slsa.sa.gov.au/arthur/03750/BRG347_3660.htm")</f>
        <v>http://collections.slsa.sa.gov.au/arthur/03750/BRG347_3660.htm</v>
      </c>
    </row>
    <row r="1139" spans="1:11" x14ac:dyDescent="0.25">
      <c r="A1139" t="s">
        <v>4251</v>
      </c>
      <c r="B1139" s="1" t="str">
        <f>HYPERLINK("https://www.catalog.slsa.sa.gov.au/record=b2113594")</f>
        <v>https://www.catalog.slsa.sa.gov.au/record=b2113594</v>
      </c>
      <c r="C1139" s="1" t="str">
        <f>HYPERLINK("https://www.catalog.slsa.sa.gov.au/xrecord=b2113594")</f>
        <v>https://www.catalog.slsa.sa.gov.au/xrecord=b2113594</v>
      </c>
      <c r="D1139" t="s">
        <v>66</v>
      </c>
      <c r="E1139" t="s">
        <v>4248</v>
      </c>
      <c r="F1139">
        <v>1951</v>
      </c>
      <c r="G1139" t="s">
        <v>121</v>
      </c>
      <c r="H1139" t="s">
        <v>4249</v>
      </c>
      <c r="I1139" t="s">
        <v>4250</v>
      </c>
      <c r="J1139" t="s">
        <v>71</v>
      </c>
      <c r="K1139" s="2" t="str">
        <f>HYPERLINK("http://collections.slsa.sa.gov.au/arthur/03750/BRG347_3661.htm")</f>
        <v>http://collections.slsa.sa.gov.au/arthur/03750/BRG347_3661.htm</v>
      </c>
    </row>
    <row r="1140" spans="1:11" x14ac:dyDescent="0.25">
      <c r="A1140" t="s">
        <v>4252</v>
      </c>
      <c r="B1140" s="1" t="str">
        <f>HYPERLINK("https://www.catalog.slsa.sa.gov.au/record=b2113595")</f>
        <v>https://www.catalog.slsa.sa.gov.au/record=b2113595</v>
      </c>
      <c r="C1140" s="1" t="str">
        <f>HYPERLINK("https://www.catalog.slsa.sa.gov.au/xrecord=b2113595")</f>
        <v>https://www.catalog.slsa.sa.gov.au/xrecord=b2113595</v>
      </c>
      <c r="D1140" t="s">
        <v>66</v>
      </c>
      <c r="E1140" t="s">
        <v>4253</v>
      </c>
      <c r="F1140">
        <v>1951</v>
      </c>
      <c r="G1140" t="s">
        <v>121</v>
      </c>
      <c r="H1140" t="s">
        <v>4254</v>
      </c>
      <c r="I1140" t="s">
        <v>4255</v>
      </c>
      <c r="J1140" t="s">
        <v>71</v>
      </c>
      <c r="K1140" s="2" t="str">
        <f>HYPERLINK("http://collections.slsa.sa.gov.au/arthur/03750/BRG347_3662.htm")</f>
        <v>http://collections.slsa.sa.gov.au/arthur/03750/BRG347_3662.htm</v>
      </c>
    </row>
    <row r="1141" spans="1:11" x14ac:dyDescent="0.25">
      <c r="A1141" t="s">
        <v>4256</v>
      </c>
      <c r="B1141" s="1" t="str">
        <f>HYPERLINK("https://www.catalog.slsa.sa.gov.au/record=b2113596")</f>
        <v>https://www.catalog.slsa.sa.gov.au/record=b2113596</v>
      </c>
      <c r="C1141" s="1" t="str">
        <f>HYPERLINK("https://www.catalog.slsa.sa.gov.au/xrecord=b2113596")</f>
        <v>https://www.catalog.slsa.sa.gov.au/xrecord=b2113596</v>
      </c>
      <c r="D1141" t="s">
        <v>66</v>
      </c>
      <c r="E1141" t="s">
        <v>4257</v>
      </c>
      <c r="F1141">
        <v>1951</v>
      </c>
      <c r="G1141" t="s">
        <v>121</v>
      </c>
      <c r="H1141" t="s">
        <v>4258</v>
      </c>
      <c r="I1141" t="s">
        <v>4259</v>
      </c>
      <c r="J1141" t="s">
        <v>71</v>
      </c>
      <c r="K1141" s="2" t="str">
        <f>HYPERLINK("http://collections.slsa.sa.gov.au/arthur/03750/BRG347_3663.htm")</f>
        <v>http://collections.slsa.sa.gov.au/arthur/03750/BRG347_3663.htm</v>
      </c>
    </row>
    <row r="1142" spans="1:11" x14ac:dyDescent="0.25">
      <c r="A1142" t="s">
        <v>4260</v>
      </c>
      <c r="B1142" s="1" t="str">
        <f>HYPERLINK("https://www.catalog.slsa.sa.gov.au/record=b2113597")</f>
        <v>https://www.catalog.slsa.sa.gov.au/record=b2113597</v>
      </c>
      <c r="C1142" s="1" t="str">
        <f>HYPERLINK("https://www.catalog.slsa.sa.gov.au/xrecord=b2113597")</f>
        <v>https://www.catalog.slsa.sa.gov.au/xrecord=b2113597</v>
      </c>
      <c r="D1142" t="s">
        <v>66</v>
      </c>
      <c r="E1142" t="s">
        <v>4261</v>
      </c>
      <c r="F1142">
        <v>1951</v>
      </c>
      <c r="G1142" t="s">
        <v>121</v>
      </c>
      <c r="H1142" t="s">
        <v>4262</v>
      </c>
      <c r="I1142" t="s">
        <v>4263</v>
      </c>
      <c r="J1142" t="s">
        <v>71</v>
      </c>
      <c r="K1142" s="2" t="str">
        <f>HYPERLINK("http://collections.slsa.sa.gov.au/arthur/03750/BRG347_3664.htm")</f>
        <v>http://collections.slsa.sa.gov.au/arthur/03750/BRG347_3664.htm</v>
      </c>
    </row>
    <row r="1143" spans="1:11" x14ac:dyDescent="0.25">
      <c r="A1143" t="s">
        <v>4264</v>
      </c>
      <c r="B1143" s="1" t="str">
        <f>HYPERLINK("https://www.catalog.slsa.sa.gov.au/record=b2113598")</f>
        <v>https://www.catalog.slsa.sa.gov.au/record=b2113598</v>
      </c>
      <c r="C1143" s="1" t="str">
        <f>HYPERLINK("https://www.catalog.slsa.sa.gov.au/xrecord=b2113598")</f>
        <v>https://www.catalog.slsa.sa.gov.au/xrecord=b2113598</v>
      </c>
      <c r="D1143" t="s">
        <v>66</v>
      </c>
      <c r="E1143" t="s">
        <v>4265</v>
      </c>
      <c r="F1143">
        <v>1951</v>
      </c>
      <c r="G1143" t="s">
        <v>121</v>
      </c>
      <c r="H1143" t="s">
        <v>4266</v>
      </c>
      <c r="I1143" t="s">
        <v>4267</v>
      </c>
      <c r="J1143" t="s">
        <v>71</v>
      </c>
      <c r="K1143" s="2" t="str">
        <f>HYPERLINK("http://collections.slsa.sa.gov.au/arthur/03750/BRG347_3665.htm")</f>
        <v>http://collections.slsa.sa.gov.au/arthur/03750/BRG347_3665.htm</v>
      </c>
    </row>
    <row r="1144" spans="1:11" x14ac:dyDescent="0.25">
      <c r="A1144" t="s">
        <v>4268</v>
      </c>
      <c r="B1144" s="1" t="str">
        <f>HYPERLINK("https://www.catalog.slsa.sa.gov.au/record=b2113599")</f>
        <v>https://www.catalog.slsa.sa.gov.au/record=b2113599</v>
      </c>
      <c r="C1144" s="1" t="str">
        <f>HYPERLINK("https://www.catalog.slsa.sa.gov.au/xrecord=b2113599")</f>
        <v>https://www.catalog.slsa.sa.gov.au/xrecord=b2113599</v>
      </c>
      <c r="D1144" t="s">
        <v>66</v>
      </c>
      <c r="E1144" t="s">
        <v>4269</v>
      </c>
      <c r="F1144">
        <v>1951</v>
      </c>
      <c r="G1144" t="s">
        <v>121</v>
      </c>
      <c r="H1144" t="s">
        <v>4270</v>
      </c>
      <c r="I1144" t="s">
        <v>4271</v>
      </c>
      <c r="J1144" t="s">
        <v>71</v>
      </c>
      <c r="K1144" s="2" t="str">
        <f>HYPERLINK("http://collections.slsa.sa.gov.au/arthur/03750/BRG347_3666.htm")</f>
        <v>http://collections.slsa.sa.gov.au/arthur/03750/BRG347_3666.htm</v>
      </c>
    </row>
    <row r="1145" spans="1:11" x14ac:dyDescent="0.25">
      <c r="A1145" t="s">
        <v>4272</v>
      </c>
      <c r="B1145" s="1" t="str">
        <f>HYPERLINK("https://www.catalog.slsa.sa.gov.au/record=b2113600")</f>
        <v>https://www.catalog.slsa.sa.gov.au/record=b2113600</v>
      </c>
      <c r="C1145" s="1" t="str">
        <f>HYPERLINK("https://www.catalog.slsa.sa.gov.au/xrecord=b2113600")</f>
        <v>https://www.catalog.slsa.sa.gov.au/xrecord=b2113600</v>
      </c>
      <c r="D1145" t="s">
        <v>66</v>
      </c>
      <c r="E1145" t="s">
        <v>4273</v>
      </c>
      <c r="F1145">
        <v>1951</v>
      </c>
      <c r="G1145" t="s">
        <v>121</v>
      </c>
      <c r="H1145" t="s">
        <v>4274</v>
      </c>
      <c r="I1145" t="s">
        <v>4275</v>
      </c>
      <c r="J1145" t="s">
        <v>71</v>
      </c>
      <c r="K1145" s="2" t="str">
        <f>HYPERLINK("http://collections.slsa.sa.gov.au/arthur/03750/BRG347_3667.htm")</f>
        <v>http://collections.slsa.sa.gov.au/arthur/03750/BRG347_3667.htm</v>
      </c>
    </row>
    <row r="1146" spans="1:11" x14ac:dyDescent="0.25">
      <c r="A1146" t="s">
        <v>4276</v>
      </c>
      <c r="B1146" s="1" t="str">
        <f>HYPERLINK("https://www.catalog.slsa.sa.gov.au/record=b2113601")</f>
        <v>https://www.catalog.slsa.sa.gov.au/record=b2113601</v>
      </c>
      <c r="C1146" s="1" t="str">
        <f>HYPERLINK("https://www.catalog.slsa.sa.gov.au/xrecord=b2113601")</f>
        <v>https://www.catalog.slsa.sa.gov.au/xrecord=b2113601</v>
      </c>
      <c r="D1146" t="s">
        <v>66</v>
      </c>
      <c r="E1146" t="s">
        <v>4277</v>
      </c>
      <c r="F1146">
        <v>1951</v>
      </c>
      <c r="G1146" t="s">
        <v>121</v>
      </c>
      <c r="H1146" t="s">
        <v>4278</v>
      </c>
      <c r="I1146" t="s">
        <v>4279</v>
      </c>
      <c r="J1146" t="s">
        <v>71</v>
      </c>
      <c r="K1146" s="2" t="str">
        <f>HYPERLINK("http://collections.slsa.sa.gov.au/arthur/03750/BRG347_3668.htm")</f>
        <v>http://collections.slsa.sa.gov.au/arthur/03750/BRG347_3668.htm</v>
      </c>
    </row>
    <row r="1147" spans="1:11" x14ac:dyDescent="0.25">
      <c r="A1147" t="s">
        <v>4280</v>
      </c>
      <c r="B1147" s="1" t="str">
        <f>HYPERLINK("https://www.catalog.slsa.sa.gov.au/record=b2113602")</f>
        <v>https://www.catalog.slsa.sa.gov.au/record=b2113602</v>
      </c>
      <c r="C1147" s="1" t="str">
        <f>HYPERLINK("https://www.catalog.slsa.sa.gov.au/xrecord=b2113602")</f>
        <v>https://www.catalog.slsa.sa.gov.au/xrecord=b2113602</v>
      </c>
      <c r="D1147" t="s">
        <v>66</v>
      </c>
      <c r="E1147" t="s">
        <v>4281</v>
      </c>
      <c r="F1147">
        <v>1951</v>
      </c>
      <c r="G1147" t="s">
        <v>121</v>
      </c>
      <c r="H1147" t="s">
        <v>4282</v>
      </c>
      <c r="I1147" t="s">
        <v>4283</v>
      </c>
      <c r="J1147" t="s">
        <v>71</v>
      </c>
      <c r="K1147" s="2" t="str">
        <f>HYPERLINK("http://collections.slsa.sa.gov.au/arthur/03750/BRG347_3669.htm")</f>
        <v>http://collections.slsa.sa.gov.au/arthur/03750/BRG347_3669.htm</v>
      </c>
    </row>
    <row r="1148" spans="1:11" x14ac:dyDescent="0.25">
      <c r="A1148" t="s">
        <v>4284</v>
      </c>
      <c r="B1148" s="1" t="str">
        <f>HYPERLINK("https://www.catalog.slsa.sa.gov.au/record=b2113603")</f>
        <v>https://www.catalog.slsa.sa.gov.au/record=b2113603</v>
      </c>
      <c r="C1148" s="1" t="str">
        <f>HYPERLINK("https://www.catalog.slsa.sa.gov.au/xrecord=b2113603")</f>
        <v>https://www.catalog.slsa.sa.gov.au/xrecord=b2113603</v>
      </c>
      <c r="D1148" t="s">
        <v>66</v>
      </c>
      <c r="E1148" t="s">
        <v>4285</v>
      </c>
      <c r="F1148">
        <v>1951</v>
      </c>
      <c r="G1148" t="s">
        <v>121</v>
      </c>
      <c r="H1148" t="s">
        <v>4286</v>
      </c>
      <c r="I1148" t="s">
        <v>4287</v>
      </c>
      <c r="J1148" t="s">
        <v>71</v>
      </c>
      <c r="K1148" s="2" t="str">
        <f>HYPERLINK("http://collections.slsa.sa.gov.au/arthur/03750/BRG347_3670.htm")</f>
        <v>http://collections.slsa.sa.gov.au/arthur/03750/BRG347_3670.htm</v>
      </c>
    </row>
    <row r="1149" spans="1:11" x14ac:dyDescent="0.25">
      <c r="A1149" t="s">
        <v>4288</v>
      </c>
      <c r="B1149" s="1" t="str">
        <f>HYPERLINK("https://www.catalog.slsa.sa.gov.au/record=b2113604")</f>
        <v>https://www.catalog.slsa.sa.gov.au/record=b2113604</v>
      </c>
      <c r="C1149" s="1" t="str">
        <f>HYPERLINK("https://www.catalog.slsa.sa.gov.au/xrecord=b2113604")</f>
        <v>https://www.catalog.slsa.sa.gov.au/xrecord=b2113604</v>
      </c>
      <c r="D1149" t="s">
        <v>66</v>
      </c>
      <c r="E1149" t="s">
        <v>4289</v>
      </c>
      <c r="F1149">
        <v>1951</v>
      </c>
      <c r="G1149" t="s">
        <v>121</v>
      </c>
      <c r="H1149" t="s">
        <v>4290</v>
      </c>
      <c r="I1149" t="s">
        <v>4291</v>
      </c>
      <c r="J1149" t="s">
        <v>71</v>
      </c>
      <c r="K1149" s="2" t="str">
        <f>HYPERLINK("http://collections.slsa.sa.gov.au/arthur/03750/BRG347_3671.htm")</f>
        <v>http://collections.slsa.sa.gov.au/arthur/03750/BRG347_3671.htm</v>
      </c>
    </row>
    <row r="1150" spans="1:11" x14ac:dyDescent="0.25">
      <c r="A1150" t="s">
        <v>4292</v>
      </c>
      <c r="B1150" s="1" t="str">
        <f>HYPERLINK("https://www.catalog.slsa.sa.gov.au/record=b2113605")</f>
        <v>https://www.catalog.slsa.sa.gov.au/record=b2113605</v>
      </c>
      <c r="C1150" s="1" t="str">
        <f>HYPERLINK("https://www.catalog.slsa.sa.gov.au/xrecord=b2113605")</f>
        <v>https://www.catalog.slsa.sa.gov.au/xrecord=b2113605</v>
      </c>
      <c r="D1150" t="s">
        <v>66</v>
      </c>
      <c r="E1150" t="s">
        <v>4293</v>
      </c>
      <c r="F1150">
        <v>1951</v>
      </c>
      <c r="G1150" t="s">
        <v>121</v>
      </c>
      <c r="H1150" t="s">
        <v>4294</v>
      </c>
      <c r="I1150" t="s">
        <v>4295</v>
      </c>
      <c r="J1150" t="s">
        <v>71</v>
      </c>
      <c r="K1150" s="2" t="str">
        <f>HYPERLINK("http://collections.slsa.sa.gov.au/arthur/03750/BRG347_3672.htm")</f>
        <v>http://collections.slsa.sa.gov.au/arthur/03750/BRG347_3672.htm</v>
      </c>
    </row>
    <row r="1151" spans="1:11" x14ac:dyDescent="0.25">
      <c r="A1151" t="s">
        <v>4296</v>
      </c>
      <c r="B1151" s="1" t="str">
        <f>HYPERLINK("https://www.catalog.slsa.sa.gov.au/record=b2113611")</f>
        <v>https://www.catalog.slsa.sa.gov.au/record=b2113611</v>
      </c>
      <c r="C1151" s="1" t="str">
        <f>HYPERLINK("https://www.catalog.slsa.sa.gov.au/xrecord=b2113611")</f>
        <v>https://www.catalog.slsa.sa.gov.au/xrecord=b2113611</v>
      </c>
      <c r="D1151" t="s">
        <v>66</v>
      </c>
      <c r="E1151" t="s">
        <v>4297</v>
      </c>
      <c r="F1151">
        <v>1951</v>
      </c>
      <c r="G1151" t="s">
        <v>121</v>
      </c>
      <c r="H1151" t="s">
        <v>4298</v>
      </c>
      <c r="I1151" t="s">
        <v>4299</v>
      </c>
      <c r="J1151" t="s">
        <v>71</v>
      </c>
      <c r="K1151" s="2" t="str">
        <f>HYPERLINK("http://collections.slsa.sa.gov.au/arthur/03750/BRG347_3679.htm")</f>
        <v>http://collections.slsa.sa.gov.au/arthur/03750/BRG347_3679.htm</v>
      </c>
    </row>
    <row r="1152" spans="1:11" x14ac:dyDescent="0.25">
      <c r="A1152" t="s">
        <v>4300</v>
      </c>
      <c r="B1152" s="1" t="str">
        <f>HYPERLINK("https://www.catalog.slsa.sa.gov.au/record=b2113629")</f>
        <v>https://www.catalog.slsa.sa.gov.au/record=b2113629</v>
      </c>
      <c r="C1152" s="1" t="str">
        <f>HYPERLINK("https://www.catalog.slsa.sa.gov.au/xrecord=b2113629")</f>
        <v>https://www.catalog.slsa.sa.gov.au/xrecord=b2113629</v>
      </c>
      <c r="D1152" t="s">
        <v>66</v>
      </c>
      <c r="E1152" t="s">
        <v>4301</v>
      </c>
      <c r="F1152">
        <v>1951</v>
      </c>
      <c r="G1152" t="s">
        <v>121</v>
      </c>
      <c r="H1152" t="s">
        <v>4302</v>
      </c>
      <c r="I1152" t="s">
        <v>4303</v>
      </c>
      <c r="J1152" t="s">
        <v>71</v>
      </c>
      <c r="K1152" s="2" t="str">
        <f>HYPERLINK("http://collections.slsa.sa.gov.au/arthur/03750/BRG347_3697.htm")</f>
        <v>http://collections.slsa.sa.gov.au/arthur/03750/BRG347_3697.htm</v>
      </c>
    </row>
    <row r="1153" spans="1:11" x14ac:dyDescent="0.25">
      <c r="A1153" t="s">
        <v>4304</v>
      </c>
      <c r="B1153" s="1" t="str">
        <f>HYPERLINK("https://www.catalog.slsa.sa.gov.au/record=b2113630")</f>
        <v>https://www.catalog.slsa.sa.gov.au/record=b2113630</v>
      </c>
      <c r="C1153" s="1" t="str">
        <f>HYPERLINK("https://www.catalog.slsa.sa.gov.au/xrecord=b2113630")</f>
        <v>https://www.catalog.slsa.sa.gov.au/xrecord=b2113630</v>
      </c>
      <c r="D1153" t="s">
        <v>66</v>
      </c>
      <c r="E1153" t="s">
        <v>4305</v>
      </c>
      <c r="F1153">
        <v>1951</v>
      </c>
      <c r="G1153" t="s">
        <v>121</v>
      </c>
      <c r="H1153" t="s">
        <v>4306</v>
      </c>
      <c r="I1153" t="s">
        <v>4307</v>
      </c>
      <c r="J1153" t="s">
        <v>71</v>
      </c>
      <c r="K1153" s="2" t="str">
        <f>HYPERLINK("http://collections.slsa.sa.gov.au/arthur/03750/BRG347_3698.htm")</f>
        <v>http://collections.slsa.sa.gov.au/arthur/03750/BRG347_3698.htm</v>
      </c>
    </row>
    <row r="1154" spans="1:11" x14ac:dyDescent="0.25">
      <c r="A1154" t="s">
        <v>4308</v>
      </c>
      <c r="B1154" s="1" t="str">
        <f>HYPERLINK("https://www.catalog.slsa.sa.gov.au/record=b2113631")</f>
        <v>https://www.catalog.slsa.sa.gov.au/record=b2113631</v>
      </c>
      <c r="C1154" s="1" t="str">
        <f>HYPERLINK("https://www.catalog.slsa.sa.gov.au/xrecord=b2113631")</f>
        <v>https://www.catalog.slsa.sa.gov.au/xrecord=b2113631</v>
      </c>
      <c r="D1154" t="s">
        <v>66</v>
      </c>
      <c r="E1154" t="s">
        <v>4309</v>
      </c>
      <c r="F1154">
        <v>1951</v>
      </c>
      <c r="G1154" t="s">
        <v>121</v>
      </c>
      <c r="H1154" t="s">
        <v>4310</v>
      </c>
      <c r="I1154" t="s">
        <v>4311</v>
      </c>
      <c r="J1154" t="s">
        <v>71</v>
      </c>
      <c r="K1154" s="2" t="str">
        <f>HYPERLINK("http://collections.slsa.sa.gov.au/arthur/03750/BRG347_3699.htm")</f>
        <v>http://collections.slsa.sa.gov.au/arthur/03750/BRG347_3699.htm</v>
      </c>
    </row>
    <row r="1155" spans="1:11" x14ac:dyDescent="0.25">
      <c r="A1155" t="s">
        <v>4312</v>
      </c>
      <c r="B1155" s="1" t="str">
        <f>HYPERLINK("https://www.catalog.slsa.sa.gov.au/record=b2113632")</f>
        <v>https://www.catalog.slsa.sa.gov.au/record=b2113632</v>
      </c>
      <c r="C1155" s="1" t="str">
        <f>HYPERLINK("https://www.catalog.slsa.sa.gov.au/xrecord=b2113632")</f>
        <v>https://www.catalog.slsa.sa.gov.au/xrecord=b2113632</v>
      </c>
      <c r="D1155" t="s">
        <v>66</v>
      </c>
      <c r="E1155" t="s">
        <v>4313</v>
      </c>
      <c r="F1155">
        <v>1951</v>
      </c>
      <c r="G1155" t="s">
        <v>121</v>
      </c>
      <c r="H1155" t="s">
        <v>4314</v>
      </c>
      <c r="I1155" t="s">
        <v>4315</v>
      </c>
      <c r="J1155" t="s">
        <v>71</v>
      </c>
      <c r="K1155" s="2" t="str">
        <f>HYPERLINK("http://collections.slsa.sa.gov.au/arthur/03750/BRG347_3700.htm")</f>
        <v>http://collections.slsa.sa.gov.au/arthur/03750/BRG347_3700.htm</v>
      </c>
    </row>
    <row r="1156" spans="1:11" x14ac:dyDescent="0.25">
      <c r="A1156" t="s">
        <v>4316</v>
      </c>
      <c r="B1156" s="1" t="str">
        <f>HYPERLINK("https://www.catalog.slsa.sa.gov.au/record=b2113633")</f>
        <v>https://www.catalog.slsa.sa.gov.au/record=b2113633</v>
      </c>
      <c r="C1156" s="1" t="str">
        <f>HYPERLINK("https://www.catalog.slsa.sa.gov.au/xrecord=b2113633")</f>
        <v>https://www.catalog.slsa.sa.gov.au/xrecord=b2113633</v>
      </c>
      <c r="D1156" t="s">
        <v>66</v>
      </c>
      <c r="E1156" t="s">
        <v>4317</v>
      </c>
      <c r="F1156">
        <v>1951</v>
      </c>
      <c r="G1156" t="s">
        <v>121</v>
      </c>
      <c r="H1156" t="s">
        <v>4318</v>
      </c>
      <c r="I1156" t="s">
        <v>4319</v>
      </c>
      <c r="J1156" t="s">
        <v>71</v>
      </c>
      <c r="K1156" s="2" t="str">
        <f>HYPERLINK("http://collections.slsa.sa.gov.au/arthur/03750/BRG347_3701.htm")</f>
        <v>http://collections.slsa.sa.gov.au/arthur/03750/BRG347_3701.htm</v>
      </c>
    </row>
    <row r="1157" spans="1:11" x14ac:dyDescent="0.25">
      <c r="A1157" t="s">
        <v>4320</v>
      </c>
      <c r="B1157" s="1" t="str">
        <f>HYPERLINK("https://www.catalog.slsa.sa.gov.au/record=b2113634")</f>
        <v>https://www.catalog.slsa.sa.gov.au/record=b2113634</v>
      </c>
      <c r="C1157" s="1" t="str">
        <f>HYPERLINK("https://www.catalog.slsa.sa.gov.au/xrecord=b2113634")</f>
        <v>https://www.catalog.slsa.sa.gov.au/xrecord=b2113634</v>
      </c>
      <c r="D1157" t="s">
        <v>66</v>
      </c>
      <c r="E1157" t="s">
        <v>4321</v>
      </c>
      <c r="F1157">
        <v>1951</v>
      </c>
      <c r="G1157" t="s">
        <v>121</v>
      </c>
      <c r="H1157" t="s">
        <v>4322</v>
      </c>
      <c r="I1157" t="s">
        <v>4323</v>
      </c>
      <c r="J1157" t="s">
        <v>71</v>
      </c>
      <c r="K1157" s="2" t="str">
        <f>HYPERLINK("http://collections.slsa.sa.gov.au/arthur/03750/BRG347_3702.htm")</f>
        <v>http://collections.slsa.sa.gov.au/arthur/03750/BRG347_3702.htm</v>
      </c>
    </row>
    <row r="1158" spans="1:11" x14ac:dyDescent="0.25">
      <c r="A1158" t="s">
        <v>4324</v>
      </c>
      <c r="B1158" s="1" t="str">
        <f>HYPERLINK("https://www.catalog.slsa.sa.gov.au/record=b2113635")</f>
        <v>https://www.catalog.slsa.sa.gov.au/record=b2113635</v>
      </c>
      <c r="C1158" s="1" t="str">
        <f>HYPERLINK("https://www.catalog.slsa.sa.gov.au/xrecord=b2113635")</f>
        <v>https://www.catalog.slsa.sa.gov.au/xrecord=b2113635</v>
      </c>
      <c r="D1158" t="s">
        <v>66</v>
      </c>
      <c r="E1158" t="s">
        <v>4325</v>
      </c>
      <c r="F1158">
        <v>1951</v>
      </c>
      <c r="G1158" t="s">
        <v>121</v>
      </c>
      <c r="H1158" t="s">
        <v>4326</v>
      </c>
      <c r="I1158" t="s">
        <v>4327</v>
      </c>
      <c r="J1158" t="s">
        <v>71</v>
      </c>
      <c r="K1158" s="2" t="str">
        <f>HYPERLINK("http://collections.slsa.sa.gov.au/arthur/03750/BRG347_3703.htm")</f>
        <v>http://collections.slsa.sa.gov.au/arthur/03750/BRG347_3703.htm</v>
      </c>
    </row>
    <row r="1159" spans="1:11" x14ac:dyDescent="0.25">
      <c r="A1159" t="s">
        <v>4328</v>
      </c>
      <c r="B1159" s="1" t="str">
        <f>HYPERLINK("https://www.catalog.slsa.sa.gov.au/record=b2113636")</f>
        <v>https://www.catalog.slsa.sa.gov.au/record=b2113636</v>
      </c>
      <c r="C1159" s="1" t="str">
        <f>HYPERLINK("https://www.catalog.slsa.sa.gov.au/xrecord=b2113636")</f>
        <v>https://www.catalog.slsa.sa.gov.au/xrecord=b2113636</v>
      </c>
      <c r="D1159" t="s">
        <v>66</v>
      </c>
      <c r="E1159" t="s">
        <v>4329</v>
      </c>
      <c r="F1159">
        <v>1951</v>
      </c>
      <c r="G1159" t="s">
        <v>121</v>
      </c>
      <c r="H1159" t="s">
        <v>4330</v>
      </c>
      <c r="I1159" t="s">
        <v>4331</v>
      </c>
      <c r="J1159" t="s">
        <v>71</v>
      </c>
      <c r="K1159" s="2" t="str">
        <f>HYPERLINK("http://collections.slsa.sa.gov.au/arthur/03750/BRG347_3704.htm")</f>
        <v>http://collections.slsa.sa.gov.au/arthur/03750/BRG347_3704.htm</v>
      </c>
    </row>
    <row r="1160" spans="1:11" x14ac:dyDescent="0.25">
      <c r="A1160" t="s">
        <v>4332</v>
      </c>
      <c r="B1160" s="1" t="str">
        <f>HYPERLINK("https://www.catalog.slsa.sa.gov.au/record=b2113637")</f>
        <v>https://www.catalog.slsa.sa.gov.au/record=b2113637</v>
      </c>
      <c r="C1160" s="1" t="str">
        <f>HYPERLINK("https://www.catalog.slsa.sa.gov.au/xrecord=b2113637")</f>
        <v>https://www.catalog.slsa.sa.gov.au/xrecord=b2113637</v>
      </c>
      <c r="D1160" t="s">
        <v>66</v>
      </c>
      <c r="E1160" t="s">
        <v>4063</v>
      </c>
      <c r="F1160">
        <v>1951</v>
      </c>
      <c r="G1160" t="s">
        <v>121</v>
      </c>
      <c r="H1160" t="s">
        <v>4333</v>
      </c>
      <c r="I1160" t="s">
        <v>4334</v>
      </c>
      <c r="J1160" t="s">
        <v>71</v>
      </c>
      <c r="K1160" s="2" t="str">
        <f>HYPERLINK("http://collections.slsa.sa.gov.au/arthur/03750/BRG347_3705.htm")</f>
        <v>http://collections.slsa.sa.gov.au/arthur/03750/BRG347_3705.htm</v>
      </c>
    </row>
    <row r="1161" spans="1:11" x14ac:dyDescent="0.25">
      <c r="A1161" t="s">
        <v>4335</v>
      </c>
      <c r="B1161" s="1" t="str">
        <f>HYPERLINK("https://www.catalog.slsa.sa.gov.au/record=b2113638")</f>
        <v>https://www.catalog.slsa.sa.gov.au/record=b2113638</v>
      </c>
      <c r="C1161" s="1" t="str">
        <f>HYPERLINK("https://www.catalog.slsa.sa.gov.au/xrecord=b2113638")</f>
        <v>https://www.catalog.slsa.sa.gov.au/xrecord=b2113638</v>
      </c>
      <c r="D1161" t="s">
        <v>66</v>
      </c>
      <c r="E1161" t="s">
        <v>4336</v>
      </c>
      <c r="F1161">
        <v>1951</v>
      </c>
      <c r="G1161" t="s">
        <v>121</v>
      </c>
      <c r="H1161" t="s">
        <v>4337</v>
      </c>
      <c r="I1161" t="s">
        <v>4338</v>
      </c>
      <c r="J1161" t="s">
        <v>71</v>
      </c>
      <c r="K1161" s="2" t="str">
        <f>HYPERLINK("http://collections.slsa.sa.gov.au/arthur/03750/BRG347_3706.htm")</f>
        <v>http://collections.slsa.sa.gov.au/arthur/03750/BRG347_3706.htm</v>
      </c>
    </row>
    <row r="1162" spans="1:11" x14ac:dyDescent="0.25">
      <c r="A1162" t="s">
        <v>4339</v>
      </c>
      <c r="B1162" s="1" t="str">
        <f>HYPERLINK("https://www.catalog.slsa.sa.gov.au/record=b2113639")</f>
        <v>https://www.catalog.slsa.sa.gov.au/record=b2113639</v>
      </c>
      <c r="C1162" s="1" t="str">
        <f>HYPERLINK("https://www.catalog.slsa.sa.gov.au/xrecord=b2113639")</f>
        <v>https://www.catalog.slsa.sa.gov.au/xrecord=b2113639</v>
      </c>
      <c r="D1162" t="s">
        <v>66</v>
      </c>
      <c r="E1162" t="s">
        <v>4340</v>
      </c>
      <c r="F1162">
        <v>1951</v>
      </c>
      <c r="G1162" t="s">
        <v>121</v>
      </c>
      <c r="H1162" t="s">
        <v>4341</v>
      </c>
      <c r="I1162" t="s">
        <v>4342</v>
      </c>
      <c r="J1162" t="s">
        <v>71</v>
      </c>
      <c r="K1162" s="2" t="str">
        <f>HYPERLINK("http://collections.slsa.sa.gov.au/arthur/03750/BRG347_3707.htm")</f>
        <v>http://collections.slsa.sa.gov.au/arthur/03750/BRG347_3707.htm</v>
      </c>
    </row>
    <row r="1163" spans="1:11" x14ac:dyDescent="0.25">
      <c r="A1163" t="s">
        <v>4343</v>
      </c>
      <c r="B1163" s="1" t="str">
        <f>HYPERLINK("https://www.catalog.slsa.sa.gov.au/record=b2113640")</f>
        <v>https://www.catalog.slsa.sa.gov.au/record=b2113640</v>
      </c>
      <c r="C1163" s="1" t="str">
        <f>HYPERLINK("https://www.catalog.slsa.sa.gov.au/xrecord=b2113640")</f>
        <v>https://www.catalog.slsa.sa.gov.au/xrecord=b2113640</v>
      </c>
      <c r="D1163" t="s">
        <v>66</v>
      </c>
      <c r="E1163" t="s">
        <v>4344</v>
      </c>
      <c r="F1163">
        <v>1951</v>
      </c>
      <c r="G1163" t="s">
        <v>121</v>
      </c>
      <c r="H1163" t="s">
        <v>4345</v>
      </c>
      <c r="I1163" t="s">
        <v>4346</v>
      </c>
      <c r="J1163" t="s">
        <v>71</v>
      </c>
      <c r="K1163" s="2" t="str">
        <f>HYPERLINK("http://collections.slsa.sa.gov.au/arthur/03750/BRG347_3708.htm")</f>
        <v>http://collections.slsa.sa.gov.au/arthur/03750/BRG347_3708.htm</v>
      </c>
    </row>
    <row r="1164" spans="1:11" x14ac:dyDescent="0.25">
      <c r="A1164" t="s">
        <v>4347</v>
      </c>
      <c r="B1164" s="1" t="str">
        <f>HYPERLINK("https://www.catalog.slsa.sa.gov.au/record=b2117791")</f>
        <v>https://www.catalog.slsa.sa.gov.au/record=b2117791</v>
      </c>
      <c r="C1164" s="1" t="str">
        <f>HYPERLINK("https://www.catalog.slsa.sa.gov.au/xrecord=b2117791")</f>
        <v>https://www.catalog.slsa.sa.gov.au/xrecord=b2117791</v>
      </c>
      <c r="D1164" t="s">
        <v>66</v>
      </c>
      <c r="E1164" t="s">
        <v>4348</v>
      </c>
      <c r="F1164">
        <v>1951</v>
      </c>
      <c r="G1164" t="s">
        <v>121</v>
      </c>
      <c r="H1164" t="s">
        <v>4349</v>
      </c>
      <c r="I1164" t="s">
        <v>4350</v>
      </c>
      <c r="J1164" t="s">
        <v>71</v>
      </c>
      <c r="K1164" s="2" t="str">
        <f>HYPERLINK("http://collections.slsa.sa.gov.au/arthur/03750/BRG347_3709.htm")</f>
        <v>http://collections.slsa.sa.gov.au/arthur/03750/BRG347_3709.htm</v>
      </c>
    </row>
    <row r="1165" spans="1:11" x14ac:dyDescent="0.25">
      <c r="A1165" t="s">
        <v>4351</v>
      </c>
      <c r="B1165" s="1" t="str">
        <f>HYPERLINK("https://www.catalog.slsa.sa.gov.au/record=b2113641")</f>
        <v>https://www.catalog.slsa.sa.gov.au/record=b2113641</v>
      </c>
      <c r="C1165" s="1" t="str">
        <f>HYPERLINK("https://www.catalog.slsa.sa.gov.au/xrecord=b2113641")</f>
        <v>https://www.catalog.slsa.sa.gov.au/xrecord=b2113641</v>
      </c>
      <c r="D1165" t="s">
        <v>66</v>
      </c>
      <c r="E1165" t="s">
        <v>4352</v>
      </c>
      <c r="F1165">
        <v>1951</v>
      </c>
      <c r="G1165" t="s">
        <v>121</v>
      </c>
      <c r="H1165" t="s">
        <v>4353</v>
      </c>
      <c r="I1165" t="s">
        <v>1386</v>
      </c>
      <c r="J1165" t="s">
        <v>71</v>
      </c>
      <c r="K1165" s="2" t="str">
        <f>HYPERLINK("http://collections.slsa.sa.gov.au/arthur/03750/BRG347_3710.htm")</f>
        <v>http://collections.slsa.sa.gov.au/arthur/03750/BRG347_3710.htm</v>
      </c>
    </row>
    <row r="1166" spans="1:11" x14ac:dyDescent="0.25">
      <c r="A1166" t="s">
        <v>4354</v>
      </c>
      <c r="B1166" s="1" t="str">
        <f>HYPERLINK("https://www.catalog.slsa.sa.gov.au/record=b2113642")</f>
        <v>https://www.catalog.slsa.sa.gov.au/record=b2113642</v>
      </c>
      <c r="C1166" s="1" t="str">
        <f>HYPERLINK("https://www.catalog.slsa.sa.gov.au/xrecord=b2113642")</f>
        <v>https://www.catalog.slsa.sa.gov.au/xrecord=b2113642</v>
      </c>
      <c r="D1166" t="s">
        <v>66</v>
      </c>
      <c r="E1166" t="s">
        <v>4355</v>
      </c>
      <c r="F1166">
        <v>1951</v>
      </c>
      <c r="G1166" t="s">
        <v>121</v>
      </c>
      <c r="H1166" t="s">
        <v>4356</v>
      </c>
      <c r="I1166" t="s">
        <v>4357</v>
      </c>
      <c r="J1166" t="s">
        <v>71</v>
      </c>
      <c r="K1166" s="2" t="str">
        <f>HYPERLINK("http://collections.slsa.sa.gov.au/arthur/03750/BRG347_3711.htm")</f>
        <v>http://collections.slsa.sa.gov.au/arthur/03750/BRG347_3711.htm</v>
      </c>
    </row>
    <row r="1167" spans="1:11" x14ac:dyDescent="0.25">
      <c r="A1167" t="s">
        <v>4358</v>
      </c>
      <c r="B1167" s="1" t="str">
        <f>HYPERLINK("https://www.catalog.slsa.sa.gov.au/record=b2113643")</f>
        <v>https://www.catalog.slsa.sa.gov.au/record=b2113643</v>
      </c>
      <c r="C1167" s="1" t="str">
        <f>HYPERLINK("https://www.catalog.slsa.sa.gov.au/xrecord=b2113643")</f>
        <v>https://www.catalog.slsa.sa.gov.au/xrecord=b2113643</v>
      </c>
      <c r="D1167" t="s">
        <v>66</v>
      </c>
      <c r="E1167" t="s">
        <v>4359</v>
      </c>
      <c r="F1167">
        <v>1951</v>
      </c>
      <c r="G1167" t="s">
        <v>121</v>
      </c>
      <c r="H1167" t="s">
        <v>4360</v>
      </c>
      <c r="I1167" t="s">
        <v>4361</v>
      </c>
      <c r="J1167" t="s">
        <v>71</v>
      </c>
      <c r="K1167" s="2" t="str">
        <f>HYPERLINK("http://collections.slsa.sa.gov.au/arthur/03750/BRG347_3713.htm")</f>
        <v>http://collections.slsa.sa.gov.au/arthur/03750/BRG347_3713.htm</v>
      </c>
    </row>
    <row r="1168" spans="1:11" x14ac:dyDescent="0.25">
      <c r="A1168" t="s">
        <v>4362</v>
      </c>
      <c r="B1168" s="1" t="str">
        <f>HYPERLINK("https://www.catalog.slsa.sa.gov.au/record=b2113644")</f>
        <v>https://www.catalog.slsa.sa.gov.au/record=b2113644</v>
      </c>
      <c r="C1168" s="1" t="str">
        <f>HYPERLINK("https://www.catalog.slsa.sa.gov.au/xrecord=b2113644")</f>
        <v>https://www.catalog.slsa.sa.gov.au/xrecord=b2113644</v>
      </c>
      <c r="D1168" t="s">
        <v>66</v>
      </c>
      <c r="E1168" t="s">
        <v>4363</v>
      </c>
      <c r="F1168">
        <v>1951</v>
      </c>
      <c r="G1168" t="s">
        <v>121</v>
      </c>
      <c r="H1168" t="s">
        <v>4364</v>
      </c>
      <c r="I1168" t="s">
        <v>4365</v>
      </c>
      <c r="J1168" t="s">
        <v>71</v>
      </c>
      <c r="K1168" s="2" t="str">
        <f>HYPERLINK("http://collections.slsa.sa.gov.au/arthur/03750/BRG347_3714.htm")</f>
        <v>http://collections.slsa.sa.gov.au/arthur/03750/BRG347_3714.htm</v>
      </c>
    </row>
    <row r="1169" spans="1:11" x14ac:dyDescent="0.25">
      <c r="A1169" t="s">
        <v>4366</v>
      </c>
      <c r="B1169" s="1" t="str">
        <f>HYPERLINK("https://www.catalog.slsa.sa.gov.au/record=b2113645")</f>
        <v>https://www.catalog.slsa.sa.gov.au/record=b2113645</v>
      </c>
      <c r="C1169" s="1" t="str">
        <f>HYPERLINK("https://www.catalog.slsa.sa.gov.au/xrecord=b2113645")</f>
        <v>https://www.catalog.slsa.sa.gov.au/xrecord=b2113645</v>
      </c>
      <c r="D1169" t="s">
        <v>66</v>
      </c>
      <c r="E1169" t="s">
        <v>4367</v>
      </c>
      <c r="F1169">
        <v>1951</v>
      </c>
      <c r="G1169" t="s">
        <v>121</v>
      </c>
      <c r="H1169" t="s">
        <v>4368</v>
      </c>
      <c r="I1169" t="s">
        <v>4369</v>
      </c>
      <c r="J1169" t="s">
        <v>71</v>
      </c>
      <c r="K1169" s="2" t="str">
        <f>HYPERLINK("http://collections.slsa.sa.gov.au/arthur/03750/BRG347_3715.htm")</f>
        <v>http://collections.slsa.sa.gov.au/arthur/03750/BRG347_3715.htm</v>
      </c>
    </row>
    <row r="1170" spans="1:11" x14ac:dyDescent="0.25">
      <c r="A1170" t="s">
        <v>4370</v>
      </c>
      <c r="B1170" s="1" t="str">
        <f>HYPERLINK("https://www.catalog.slsa.sa.gov.au/record=b2113646")</f>
        <v>https://www.catalog.slsa.sa.gov.au/record=b2113646</v>
      </c>
      <c r="C1170" s="1" t="str">
        <f>HYPERLINK("https://www.catalog.slsa.sa.gov.au/xrecord=b2113646")</f>
        <v>https://www.catalog.slsa.sa.gov.au/xrecord=b2113646</v>
      </c>
      <c r="D1170" t="s">
        <v>66</v>
      </c>
      <c r="E1170" t="s">
        <v>4371</v>
      </c>
      <c r="F1170">
        <v>1951</v>
      </c>
      <c r="G1170" t="s">
        <v>121</v>
      </c>
      <c r="H1170" t="s">
        <v>4372</v>
      </c>
      <c r="I1170" t="s">
        <v>4373</v>
      </c>
      <c r="J1170" t="s">
        <v>71</v>
      </c>
      <c r="K1170" s="2" t="str">
        <f>HYPERLINK("http://collections.slsa.sa.gov.au/arthur/03750/BRG347_3716.htm")</f>
        <v>http://collections.slsa.sa.gov.au/arthur/03750/BRG347_3716.htm</v>
      </c>
    </row>
    <row r="1171" spans="1:11" x14ac:dyDescent="0.25">
      <c r="A1171" t="s">
        <v>4374</v>
      </c>
      <c r="B1171" s="1" t="str">
        <f>HYPERLINK("https://www.catalog.slsa.sa.gov.au/record=b2113647")</f>
        <v>https://www.catalog.slsa.sa.gov.au/record=b2113647</v>
      </c>
      <c r="C1171" s="1" t="str">
        <f>HYPERLINK("https://www.catalog.slsa.sa.gov.au/xrecord=b2113647")</f>
        <v>https://www.catalog.slsa.sa.gov.au/xrecord=b2113647</v>
      </c>
      <c r="D1171" t="s">
        <v>66</v>
      </c>
      <c r="E1171" t="s">
        <v>4375</v>
      </c>
      <c r="F1171">
        <v>1951</v>
      </c>
      <c r="G1171" t="s">
        <v>121</v>
      </c>
      <c r="H1171" t="s">
        <v>4376</v>
      </c>
      <c r="I1171" t="s">
        <v>4377</v>
      </c>
      <c r="J1171" t="s">
        <v>71</v>
      </c>
      <c r="K1171" s="2" t="str">
        <f>HYPERLINK("http://collections.slsa.sa.gov.au/arthur/03750/BRG347_3717.htm")</f>
        <v>http://collections.slsa.sa.gov.au/arthur/03750/BRG347_3717.htm</v>
      </c>
    </row>
    <row r="1172" spans="1:11" x14ac:dyDescent="0.25">
      <c r="A1172" t="s">
        <v>4378</v>
      </c>
      <c r="B1172" s="1" t="str">
        <f>HYPERLINK("https://www.catalog.slsa.sa.gov.au/record=b2113648")</f>
        <v>https://www.catalog.slsa.sa.gov.au/record=b2113648</v>
      </c>
      <c r="C1172" s="1" t="str">
        <f>HYPERLINK("https://www.catalog.slsa.sa.gov.au/xrecord=b2113648")</f>
        <v>https://www.catalog.slsa.sa.gov.au/xrecord=b2113648</v>
      </c>
      <c r="D1172" t="s">
        <v>66</v>
      </c>
      <c r="E1172" t="s">
        <v>4379</v>
      </c>
      <c r="F1172">
        <v>1951</v>
      </c>
      <c r="G1172" t="s">
        <v>121</v>
      </c>
      <c r="H1172" t="s">
        <v>4380</v>
      </c>
      <c r="I1172" t="s">
        <v>4381</v>
      </c>
      <c r="J1172" t="s">
        <v>71</v>
      </c>
      <c r="K1172" s="2" t="str">
        <f>HYPERLINK("http://collections.slsa.sa.gov.au/arthur/03750/BRG347_3718.htm")</f>
        <v>http://collections.slsa.sa.gov.au/arthur/03750/BRG347_3718.htm</v>
      </c>
    </row>
    <row r="1173" spans="1:11" x14ac:dyDescent="0.25">
      <c r="A1173" t="s">
        <v>4382</v>
      </c>
      <c r="B1173" s="1" t="str">
        <f>HYPERLINK("https://www.catalog.slsa.sa.gov.au/record=b2113649")</f>
        <v>https://www.catalog.slsa.sa.gov.au/record=b2113649</v>
      </c>
      <c r="C1173" s="1" t="str">
        <f>HYPERLINK("https://www.catalog.slsa.sa.gov.au/xrecord=b2113649")</f>
        <v>https://www.catalog.slsa.sa.gov.au/xrecord=b2113649</v>
      </c>
      <c r="D1173" t="s">
        <v>66</v>
      </c>
      <c r="E1173" t="s">
        <v>4383</v>
      </c>
      <c r="F1173">
        <v>1951</v>
      </c>
      <c r="G1173" t="s">
        <v>121</v>
      </c>
      <c r="H1173" t="s">
        <v>4384</v>
      </c>
      <c r="I1173" t="s">
        <v>4385</v>
      </c>
      <c r="J1173" t="s">
        <v>71</v>
      </c>
      <c r="K1173" s="2" t="str">
        <f>HYPERLINK("http://collections.slsa.sa.gov.au/arthur/03750/BRG347_3719.htm")</f>
        <v>http://collections.slsa.sa.gov.au/arthur/03750/BRG347_3719.htm</v>
      </c>
    </row>
    <row r="1174" spans="1:11" x14ac:dyDescent="0.25">
      <c r="A1174" t="s">
        <v>4386</v>
      </c>
      <c r="B1174" s="1" t="str">
        <f>HYPERLINK("https://www.catalog.slsa.sa.gov.au/record=b2113650")</f>
        <v>https://www.catalog.slsa.sa.gov.au/record=b2113650</v>
      </c>
      <c r="C1174" s="1" t="str">
        <f>HYPERLINK("https://www.catalog.slsa.sa.gov.au/xrecord=b2113650")</f>
        <v>https://www.catalog.slsa.sa.gov.au/xrecord=b2113650</v>
      </c>
      <c r="D1174" t="s">
        <v>66</v>
      </c>
      <c r="E1174" t="s">
        <v>4387</v>
      </c>
      <c r="F1174">
        <v>1951</v>
      </c>
      <c r="G1174" t="s">
        <v>121</v>
      </c>
      <c r="H1174" t="s">
        <v>4388</v>
      </c>
      <c r="I1174" t="s">
        <v>4389</v>
      </c>
      <c r="J1174" t="s">
        <v>71</v>
      </c>
      <c r="K1174" s="2" t="str">
        <f>HYPERLINK("http://collections.slsa.sa.gov.au/arthur/03750/BRG347_3720.htm")</f>
        <v>http://collections.slsa.sa.gov.au/arthur/03750/BRG347_3720.htm</v>
      </c>
    </row>
    <row r="1175" spans="1:11" x14ac:dyDescent="0.25">
      <c r="A1175" t="s">
        <v>4390</v>
      </c>
      <c r="B1175" s="1" t="str">
        <f>HYPERLINK("https://www.catalog.slsa.sa.gov.au/record=b2113651")</f>
        <v>https://www.catalog.slsa.sa.gov.au/record=b2113651</v>
      </c>
      <c r="C1175" s="1" t="str">
        <f>HYPERLINK("https://www.catalog.slsa.sa.gov.au/xrecord=b2113651")</f>
        <v>https://www.catalog.slsa.sa.gov.au/xrecord=b2113651</v>
      </c>
      <c r="D1175" t="s">
        <v>66</v>
      </c>
      <c r="E1175" t="s">
        <v>4391</v>
      </c>
      <c r="F1175">
        <v>1951</v>
      </c>
      <c r="G1175" t="s">
        <v>121</v>
      </c>
      <c r="H1175" t="s">
        <v>4392</v>
      </c>
      <c r="I1175" t="s">
        <v>4393</v>
      </c>
      <c r="J1175" t="s">
        <v>71</v>
      </c>
      <c r="K1175" s="2" t="str">
        <f>HYPERLINK("http://collections.slsa.sa.gov.au/arthur/03750/BRG347_3721.htm")</f>
        <v>http://collections.slsa.sa.gov.au/arthur/03750/BRG347_3721.htm</v>
      </c>
    </row>
    <row r="1176" spans="1:11" x14ac:dyDescent="0.25">
      <c r="A1176" t="s">
        <v>4394</v>
      </c>
      <c r="B1176" s="1" t="str">
        <f>HYPERLINK("https://www.catalog.slsa.sa.gov.au/record=b2113652")</f>
        <v>https://www.catalog.slsa.sa.gov.au/record=b2113652</v>
      </c>
      <c r="C1176" s="1" t="str">
        <f>HYPERLINK("https://www.catalog.slsa.sa.gov.au/xrecord=b2113652")</f>
        <v>https://www.catalog.slsa.sa.gov.au/xrecord=b2113652</v>
      </c>
      <c r="D1176" t="s">
        <v>66</v>
      </c>
      <c r="E1176" t="s">
        <v>4395</v>
      </c>
      <c r="F1176">
        <v>1951</v>
      </c>
      <c r="G1176" t="s">
        <v>121</v>
      </c>
      <c r="H1176" t="s">
        <v>4396</v>
      </c>
      <c r="I1176" t="s">
        <v>4397</v>
      </c>
      <c r="J1176" t="s">
        <v>71</v>
      </c>
      <c r="K1176" s="2" t="str">
        <f>HYPERLINK("http://collections.slsa.sa.gov.au/arthur/03750/BRG347_3722.htm")</f>
        <v>http://collections.slsa.sa.gov.au/arthur/03750/BRG347_3722.htm</v>
      </c>
    </row>
    <row r="1177" spans="1:11" x14ac:dyDescent="0.25">
      <c r="A1177" t="s">
        <v>4398</v>
      </c>
      <c r="B1177" s="1" t="str">
        <f>HYPERLINK("https://www.catalog.slsa.sa.gov.au/record=b2113653")</f>
        <v>https://www.catalog.slsa.sa.gov.au/record=b2113653</v>
      </c>
      <c r="C1177" s="1" t="str">
        <f>HYPERLINK("https://www.catalog.slsa.sa.gov.au/xrecord=b2113653")</f>
        <v>https://www.catalog.slsa.sa.gov.au/xrecord=b2113653</v>
      </c>
      <c r="D1177" t="s">
        <v>66</v>
      </c>
      <c r="E1177" t="s">
        <v>4399</v>
      </c>
      <c r="F1177">
        <v>1951</v>
      </c>
      <c r="G1177" t="s">
        <v>121</v>
      </c>
      <c r="H1177" t="s">
        <v>4400</v>
      </c>
      <c r="I1177" t="s">
        <v>4401</v>
      </c>
      <c r="J1177" t="s">
        <v>71</v>
      </c>
      <c r="K1177" s="2" t="str">
        <f>HYPERLINK("http://collections.slsa.sa.gov.au/arthur/03750/BRG347_3723.htm")</f>
        <v>http://collections.slsa.sa.gov.au/arthur/03750/BRG347_3723.htm</v>
      </c>
    </row>
    <row r="1178" spans="1:11" x14ac:dyDescent="0.25">
      <c r="A1178" t="s">
        <v>4402</v>
      </c>
      <c r="B1178" s="1" t="str">
        <f>HYPERLINK("https://www.catalog.slsa.sa.gov.au/record=b2113654")</f>
        <v>https://www.catalog.slsa.sa.gov.au/record=b2113654</v>
      </c>
      <c r="C1178" s="1" t="str">
        <f>HYPERLINK("https://www.catalog.slsa.sa.gov.au/xrecord=b2113654")</f>
        <v>https://www.catalog.slsa.sa.gov.au/xrecord=b2113654</v>
      </c>
      <c r="D1178" t="s">
        <v>66</v>
      </c>
      <c r="E1178" t="s">
        <v>4403</v>
      </c>
      <c r="F1178">
        <v>1951</v>
      </c>
      <c r="G1178" t="s">
        <v>121</v>
      </c>
      <c r="H1178" t="s">
        <v>4404</v>
      </c>
      <c r="I1178" t="s">
        <v>4405</v>
      </c>
      <c r="J1178" t="s">
        <v>71</v>
      </c>
      <c r="K1178" s="2" t="str">
        <f>HYPERLINK("http://collections.slsa.sa.gov.au/arthur/03750/BRG347_3724.htm")</f>
        <v>http://collections.slsa.sa.gov.au/arthur/03750/BRG347_3724.htm</v>
      </c>
    </row>
    <row r="1179" spans="1:11" x14ac:dyDescent="0.25">
      <c r="A1179" t="s">
        <v>4406</v>
      </c>
      <c r="B1179" s="1" t="str">
        <f>HYPERLINK("https://www.catalog.slsa.sa.gov.au/record=b2113655")</f>
        <v>https://www.catalog.slsa.sa.gov.au/record=b2113655</v>
      </c>
      <c r="C1179" s="1" t="str">
        <f>HYPERLINK("https://www.catalog.slsa.sa.gov.au/xrecord=b2113655")</f>
        <v>https://www.catalog.slsa.sa.gov.au/xrecord=b2113655</v>
      </c>
      <c r="D1179" t="s">
        <v>66</v>
      </c>
      <c r="E1179" t="s">
        <v>4407</v>
      </c>
      <c r="F1179">
        <v>1951</v>
      </c>
      <c r="G1179" t="s">
        <v>121</v>
      </c>
      <c r="H1179" t="s">
        <v>4408</v>
      </c>
      <c r="I1179" t="s">
        <v>4409</v>
      </c>
      <c r="J1179" t="s">
        <v>71</v>
      </c>
      <c r="K1179" s="2" t="str">
        <f>HYPERLINK("http://collections.slsa.sa.gov.au/arthur/03750/BRG347_3725.htm")</f>
        <v>http://collections.slsa.sa.gov.au/arthur/03750/BRG347_3725.htm</v>
      </c>
    </row>
    <row r="1180" spans="1:11" x14ac:dyDescent="0.25">
      <c r="A1180" t="s">
        <v>4410</v>
      </c>
      <c r="B1180" s="1" t="str">
        <f>HYPERLINK("https://www.catalog.slsa.sa.gov.au/record=b2113656")</f>
        <v>https://www.catalog.slsa.sa.gov.au/record=b2113656</v>
      </c>
      <c r="C1180" s="1" t="str">
        <f>HYPERLINK("https://www.catalog.slsa.sa.gov.au/xrecord=b2113656")</f>
        <v>https://www.catalog.slsa.sa.gov.au/xrecord=b2113656</v>
      </c>
      <c r="D1180" t="s">
        <v>66</v>
      </c>
      <c r="E1180" t="s">
        <v>4411</v>
      </c>
      <c r="F1180">
        <v>1951</v>
      </c>
      <c r="G1180" t="s">
        <v>121</v>
      </c>
      <c r="H1180" t="s">
        <v>4412</v>
      </c>
      <c r="I1180" t="s">
        <v>4413</v>
      </c>
      <c r="J1180" t="s">
        <v>71</v>
      </c>
      <c r="K1180" s="2" t="str">
        <f>HYPERLINK("http://collections.slsa.sa.gov.au/arthur/03750/BRG347_3726.htm")</f>
        <v>http://collections.slsa.sa.gov.au/arthur/03750/BRG347_3726.htm</v>
      </c>
    </row>
    <row r="1181" spans="1:11" x14ac:dyDescent="0.25">
      <c r="A1181" t="s">
        <v>4414</v>
      </c>
      <c r="B1181" s="1" t="str">
        <f>HYPERLINK("https://www.catalog.slsa.sa.gov.au/record=b2113657")</f>
        <v>https://www.catalog.slsa.sa.gov.au/record=b2113657</v>
      </c>
      <c r="C1181" s="1" t="str">
        <f>HYPERLINK("https://www.catalog.slsa.sa.gov.au/xrecord=b2113657")</f>
        <v>https://www.catalog.slsa.sa.gov.au/xrecord=b2113657</v>
      </c>
      <c r="D1181" t="s">
        <v>66</v>
      </c>
      <c r="E1181" t="s">
        <v>4415</v>
      </c>
      <c r="F1181">
        <v>1951</v>
      </c>
      <c r="G1181" t="s">
        <v>121</v>
      </c>
      <c r="H1181" t="s">
        <v>4416</v>
      </c>
      <c r="I1181" t="s">
        <v>4417</v>
      </c>
      <c r="J1181" t="s">
        <v>71</v>
      </c>
      <c r="K1181" s="2" t="str">
        <f>HYPERLINK("http://collections.slsa.sa.gov.au/arthur/03750/BRG347_3727.htm")</f>
        <v>http://collections.slsa.sa.gov.au/arthur/03750/BRG347_3727.htm</v>
      </c>
    </row>
    <row r="1182" spans="1:11" x14ac:dyDescent="0.25">
      <c r="A1182" t="s">
        <v>4418</v>
      </c>
      <c r="B1182" s="1" t="str">
        <f>HYPERLINK("https://www.catalog.slsa.sa.gov.au/record=b2113658")</f>
        <v>https://www.catalog.slsa.sa.gov.au/record=b2113658</v>
      </c>
      <c r="C1182" s="1" t="str">
        <f>HYPERLINK("https://www.catalog.slsa.sa.gov.au/xrecord=b2113658")</f>
        <v>https://www.catalog.slsa.sa.gov.au/xrecord=b2113658</v>
      </c>
      <c r="D1182" t="s">
        <v>66</v>
      </c>
      <c r="E1182" t="s">
        <v>4419</v>
      </c>
      <c r="F1182">
        <v>1951</v>
      </c>
      <c r="G1182" t="s">
        <v>121</v>
      </c>
      <c r="H1182" t="s">
        <v>4420</v>
      </c>
      <c r="I1182" t="s">
        <v>4421</v>
      </c>
      <c r="J1182" t="s">
        <v>71</v>
      </c>
      <c r="K1182" s="2" t="str">
        <f>HYPERLINK("http://collections.slsa.sa.gov.au/arthur/03750/BRG347_3728.htm")</f>
        <v>http://collections.slsa.sa.gov.au/arthur/03750/BRG347_3728.htm</v>
      </c>
    </row>
    <row r="1183" spans="1:11" x14ac:dyDescent="0.25">
      <c r="A1183" t="s">
        <v>4422</v>
      </c>
      <c r="B1183" s="1" t="str">
        <f>HYPERLINK("https://www.catalog.slsa.sa.gov.au/record=b2113659")</f>
        <v>https://www.catalog.slsa.sa.gov.au/record=b2113659</v>
      </c>
      <c r="C1183" s="1" t="str">
        <f>HYPERLINK("https://www.catalog.slsa.sa.gov.au/xrecord=b2113659")</f>
        <v>https://www.catalog.slsa.sa.gov.au/xrecord=b2113659</v>
      </c>
      <c r="D1183" t="s">
        <v>66</v>
      </c>
      <c r="E1183" t="s">
        <v>4423</v>
      </c>
      <c r="F1183">
        <v>1951</v>
      </c>
      <c r="G1183" t="s">
        <v>4424</v>
      </c>
      <c r="H1183" t="s">
        <v>4425</v>
      </c>
      <c r="I1183" t="s">
        <v>4426</v>
      </c>
      <c r="J1183" t="s">
        <v>71</v>
      </c>
      <c r="K1183" s="2" t="str">
        <f>HYPERLINK("http://collections.slsa.sa.gov.au/arthur/03750/BRG347_3729.htm")</f>
        <v>http://collections.slsa.sa.gov.au/arthur/03750/BRG347_3729.htm</v>
      </c>
    </row>
    <row r="1184" spans="1:11" x14ac:dyDescent="0.25">
      <c r="A1184" t="s">
        <v>4427</v>
      </c>
      <c r="B1184" s="1" t="str">
        <f>HYPERLINK("https://www.catalog.slsa.sa.gov.au/record=b2113660")</f>
        <v>https://www.catalog.slsa.sa.gov.au/record=b2113660</v>
      </c>
      <c r="C1184" s="1" t="str">
        <f>HYPERLINK("https://www.catalog.slsa.sa.gov.au/xrecord=b2113660")</f>
        <v>https://www.catalog.slsa.sa.gov.au/xrecord=b2113660</v>
      </c>
      <c r="D1184" t="s">
        <v>66</v>
      </c>
      <c r="E1184" t="s">
        <v>4428</v>
      </c>
      <c r="F1184">
        <v>1951</v>
      </c>
      <c r="G1184" t="s">
        <v>121</v>
      </c>
      <c r="H1184" t="s">
        <v>4429</v>
      </c>
      <c r="I1184" t="s">
        <v>4430</v>
      </c>
      <c r="J1184" t="s">
        <v>71</v>
      </c>
      <c r="K1184" s="2" t="str">
        <f>HYPERLINK("http://collections.slsa.sa.gov.au/arthur/03750/BRG347_3730.htm")</f>
        <v>http://collections.slsa.sa.gov.au/arthur/03750/BRG347_3730.htm</v>
      </c>
    </row>
    <row r="1185" spans="1:11" x14ac:dyDescent="0.25">
      <c r="A1185" t="s">
        <v>4431</v>
      </c>
      <c r="B1185" s="1" t="str">
        <f>HYPERLINK("https://www.catalog.slsa.sa.gov.au/record=b2113661")</f>
        <v>https://www.catalog.slsa.sa.gov.au/record=b2113661</v>
      </c>
      <c r="C1185" s="1" t="str">
        <f>HYPERLINK("https://www.catalog.slsa.sa.gov.au/xrecord=b2113661")</f>
        <v>https://www.catalog.slsa.sa.gov.au/xrecord=b2113661</v>
      </c>
      <c r="D1185" t="s">
        <v>66</v>
      </c>
      <c r="E1185" t="s">
        <v>4432</v>
      </c>
      <c r="F1185">
        <v>1951</v>
      </c>
      <c r="G1185" t="s">
        <v>121</v>
      </c>
      <c r="H1185" t="s">
        <v>4433</v>
      </c>
      <c r="I1185" t="s">
        <v>4434</v>
      </c>
      <c r="J1185" t="s">
        <v>71</v>
      </c>
      <c r="K1185" s="2" t="str">
        <f>HYPERLINK("http://collections.slsa.sa.gov.au/arthur/03750/BRG347_3731.htm")</f>
        <v>http://collections.slsa.sa.gov.au/arthur/03750/BRG347_3731.htm</v>
      </c>
    </row>
    <row r="1186" spans="1:11" x14ac:dyDescent="0.25">
      <c r="A1186" t="s">
        <v>4435</v>
      </c>
      <c r="B1186" s="1" t="str">
        <f>HYPERLINK("https://www.catalog.slsa.sa.gov.au/record=b2113662")</f>
        <v>https://www.catalog.slsa.sa.gov.au/record=b2113662</v>
      </c>
      <c r="C1186" s="1" t="str">
        <f>HYPERLINK("https://www.catalog.slsa.sa.gov.au/xrecord=b2113662")</f>
        <v>https://www.catalog.slsa.sa.gov.au/xrecord=b2113662</v>
      </c>
      <c r="D1186" t="s">
        <v>66</v>
      </c>
      <c r="E1186" t="s">
        <v>4436</v>
      </c>
      <c r="F1186">
        <v>1951</v>
      </c>
      <c r="G1186" t="s">
        <v>121</v>
      </c>
      <c r="H1186" t="s">
        <v>4437</v>
      </c>
      <c r="I1186" t="s">
        <v>4438</v>
      </c>
      <c r="J1186" t="s">
        <v>71</v>
      </c>
      <c r="K1186" s="2" t="str">
        <f>HYPERLINK("http://collections.slsa.sa.gov.au/arthur/03750/BRG347_3732.htm")</f>
        <v>http://collections.slsa.sa.gov.au/arthur/03750/BRG347_3732.htm</v>
      </c>
    </row>
    <row r="1187" spans="1:11" x14ac:dyDescent="0.25">
      <c r="A1187" t="s">
        <v>4439</v>
      </c>
      <c r="B1187" s="1" t="str">
        <f>HYPERLINK("https://www.catalog.slsa.sa.gov.au/record=b2113663")</f>
        <v>https://www.catalog.slsa.sa.gov.au/record=b2113663</v>
      </c>
      <c r="C1187" s="1" t="str">
        <f>HYPERLINK("https://www.catalog.slsa.sa.gov.au/xrecord=b2113663")</f>
        <v>https://www.catalog.slsa.sa.gov.au/xrecord=b2113663</v>
      </c>
      <c r="D1187" t="s">
        <v>66</v>
      </c>
      <c r="E1187" t="s">
        <v>4440</v>
      </c>
      <c r="F1187">
        <v>1951</v>
      </c>
      <c r="G1187" t="s">
        <v>121</v>
      </c>
      <c r="H1187" t="s">
        <v>4441</v>
      </c>
      <c r="I1187" t="s">
        <v>4442</v>
      </c>
      <c r="J1187" t="s">
        <v>71</v>
      </c>
      <c r="K1187" s="2" t="str">
        <f>HYPERLINK("http://collections.slsa.sa.gov.au/arthur/03750/BRG347_3733.htm")</f>
        <v>http://collections.slsa.sa.gov.au/arthur/03750/BRG347_3733.htm</v>
      </c>
    </row>
    <row r="1188" spans="1:11" x14ac:dyDescent="0.25">
      <c r="A1188" t="s">
        <v>4443</v>
      </c>
      <c r="B1188" s="1" t="str">
        <f>HYPERLINK("https://www.catalog.slsa.sa.gov.au/record=b2113664")</f>
        <v>https://www.catalog.slsa.sa.gov.au/record=b2113664</v>
      </c>
      <c r="C1188" s="1" t="str">
        <f>HYPERLINK("https://www.catalog.slsa.sa.gov.au/xrecord=b2113664")</f>
        <v>https://www.catalog.slsa.sa.gov.au/xrecord=b2113664</v>
      </c>
      <c r="D1188" t="s">
        <v>66</v>
      </c>
      <c r="E1188" t="s">
        <v>4444</v>
      </c>
      <c r="F1188">
        <v>1951</v>
      </c>
      <c r="G1188" t="s">
        <v>121</v>
      </c>
      <c r="H1188" t="s">
        <v>4445</v>
      </c>
      <c r="I1188" t="s">
        <v>4446</v>
      </c>
      <c r="J1188" t="s">
        <v>71</v>
      </c>
      <c r="K1188" s="2" t="str">
        <f>HYPERLINK("http://collections.slsa.sa.gov.au/arthur/03750/BRG347_3734.htm")</f>
        <v>http://collections.slsa.sa.gov.au/arthur/03750/BRG347_3734.htm</v>
      </c>
    </row>
    <row r="1189" spans="1:11" x14ac:dyDescent="0.25">
      <c r="A1189" t="s">
        <v>4447</v>
      </c>
      <c r="B1189" s="1" t="str">
        <f>HYPERLINK("https://www.catalog.slsa.sa.gov.au/record=b2117792")</f>
        <v>https://www.catalog.slsa.sa.gov.au/record=b2117792</v>
      </c>
      <c r="C1189" s="1" t="str">
        <f>HYPERLINK("https://www.catalog.slsa.sa.gov.au/xrecord=b2117792")</f>
        <v>https://www.catalog.slsa.sa.gov.au/xrecord=b2117792</v>
      </c>
      <c r="D1189" t="s">
        <v>66</v>
      </c>
      <c r="E1189" t="s">
        <v>4448</v>
      </c>
      <c r="F1189">
        <v>1951</v>
      </c>
      <c r="G1189" t="s">
        <v>121</v>
      </c>
      <c r="H1189" t="s">
        <v>4449</v>
      </c>
      <c r="I1189" t="s">
        <v>4450</v>
      </c>
      <c r="J1189" t="s">
        <v>71</v>
      </c>
      <c r="K1189" s="2" t="str">
        <f>HYPERLINK("http://collections.slsa.sa.gov.au/arthur/03750/BRG347_3735.htm")</f>
        <v>http://collections.slsa.sa.gov.au/arthur/03750/BRG347_3735.htm</v>
      </c>
    </row>
    <row r="1190" spans="1:11" x14ac:dyDescent="0.25">
      <c r="A1190" t="s">
        <v>4451</v>
      </c>
      <c r="B1190" s="1" t="str">
        <f>HYPERLINK("https://www.catalog.slsa.sa.gov.au/record=b2113665")</f>
        <v>https://www.catalog.slsa.sa.gov.au/record=b2113665</v>
      </c>
      <c r="C1190" s="1" t="str">
        <f>HYPERLINK("https://www.catalog.slsa.sa.gov.au/xrecord=b2113665")</f>
        <v>https://www.catalog.slsa.sa.gov.au/xrecord=b2113665</v>
      </c>
      <c r="D1190" t="s">
        <v>66</v>
      </c>
      <c r="E1190" t="s">
        <v>4151</v>
      </c>
      <c r="F1190">
        <v>1951</v>
      </c>
      <c r="G1190" t="s">
        <v>121</v>
      </c>
      <c r="H1190" t="s">
        <v>4452</v>
      </c>
      <c r="I1190" t="s">
        <v>4334</v>
      </c>
      <c r="J1190" t="s">
        <v>71</v>
      </c>
      <c r="K1190" s="2" t="str">
        <f>HYPERLINK("http://collections.slsa.sa.gov.au/arthur/03750/BRG347_3736.htm")</f>
        <v>http://collections.slsa.sa.gov.au/arthur/03750/BRG347_3736.htm</v>
      </c>
    </row>
    <row r="1191" spans="1:11" x14ac:dyDescent="0.25">
      <c r="A1191" t="s">
        <v>4453</v>
      </c>
      <c r="B1191" s="1" t="str">
        <f>HYPERLINK("https://www.catalog.slsa.sa.gov.au/record=b2113666")</f>
        <v>https://www.catalog.slsa.sa.gov.au/record=b2113666</v>
      </c>
      <c r="C1191" s="1" t="str">
        <f>HYPERLINK("https://www.catalog.slsa.sa.gov.au/xrecord=b2113666")</f>
        <v>https://www.catalog.slsa.sa.gov.au/xrecord=b2113666</v>
      </c>
      <c r="D1191" t="s">
        <v>66</v>
      </c>
      <c r="E1191" t="s">
        <v>4454</v>
      </c>
      <c r="F1191">
        <v>1951</v>
      </c>
      <c r="G1191" t="s">
        <v>121</v>
      </c>
      <c r="H1191" t="s">
        <v>4455</v>
      </c>
      <c r="I1191" t="s">
        <v>4456</v>
      </c>
      <c r="J1191" t="s">
        <v>71</v>
      </c>
      <c r="K1191" s="2" t="str">
        <f>HYPERLINK("http://collections.slsa.sa.gov.au/arthur/03750/BRG347_3737.htm")</f>
        <v>http://collections.slsa.sa.gov.au/arthur/03750/BRG347_3737.htm</v>
      </c>
    </row>
    <row r="1192" spans="1:11" x14ac:dyDescent="0.25">
      <c r="A1192" t="s">
        <v>4457</v>
      </c>
      <c r="B1192" s="1" t="str">
        <f>HYPERLINK("https://www.catalog.slsa.sa.gov.au/record=b2117793")</f>
        <v>https://www.catalog.slsa.sa.gov.au/record=b2117793</v>
      </c>
      <c r="C1192" s="1" t="str">
        <f>HYPERLINK("https://www.catalog.slsa.sa.gov.au/xrecord=b2117793")</f>
        <v>https://www.catalog.slsa.sa.gov.au/xrecord=b2117793</v>
      </c>
      <c r="D1192" t="s">
        <v>66</v>
      </c>
      <c r="E1192" t="s">
        <v>4458</v>
      </c>
      <c r="F1192">
        <v>1951</v>
      </c>
      <c r="G1192" t="s">
        <v>121</v>
      </c>
      <c r="H1192" t="s">
        <v>4459</v>
      </c>
      <c r="I1192" t="s">
        <v>4460</v>
      </c>
      <c r="J1192" t="s">
        <v>71</v>
      </c>
      <c r="K1192" s="2" t="str">
        <f>HYPERLINK("http://collections.slsa.sa.gov.au/arthur/03750/BRG347_3738.htm")</f>
        <v>http://collections.slsa.sa.gov.au/arthur/03750/BRG347_3738.htm</v>
      </c>
    </row>
    <row r="1193" spans="1:11" x14ac:dyDescent="0.25">
      <c r="A1193" t="s">
        <v>4461</v>
      </c>
      <c r="B1193" s="1" t="str">
        <f>HYPERLINK("https://www.catalog.slsa.sa.gov.au/record=b2113667")</f>
        <v>https://www.catalog.slsa.sa.gov.au/record=b2113667</v>
      </c>
      <c r="C1193" s="1" t="str">
        <f>HYPERLINK("https://www.catalog.slsa.sa.gov.au/xrecord=b2113667")</f>
        <v>https://www.catalog.slsa.sa.gov.au/xrecord=b2113667</v>
      </c>
      <c r="D1193" t="s">
        <v>66</v>
      </c>
      <c r="E1193" t="s">
        <v>4462</v>
      </c>
      <c r="F1193">
        <v>1951</v>
      </c>
      <c r="G1193" t="s">
        <v>121</v>
      </c>
      <c r="H1193" t="s">
        <v>4463</v>
      </c>
      <c r="I1193" t="s">
        <v>4464</v>
      </c>
      <c r="J1193" t="s">
        <v>71</v>
      </c>
      <c r="K1193" s="2" t="str">
        <f>HYPERLINK("http://collections.slsa.sa.gov.au/arthur/03750/BRG347_3739.htm")</f>
        <v>http://collections.slsa.sa.gov.au/arthur/03750/BRG347_3739.htm</v>
      </c>
    </row>
    <row r="1194" spans="1:11" x14ac:dyDescent="0.25">
      <c r="A1194" t="s">
        <v>4465</v>
      </c>
      <c r="B1194" s="1" t="str">
        <f>HYPERLINK("https://www.catalog.slsa.sa.gov.au/record=b2113668")</f>
        <v>https://www.catalog.slsa.sa.gov.au/record=b2113668</v>
      </c>
      <c r="C1194" s="1" t="str">
        <f>HYPERLINK("https://www.catalog.slsa.sa.gov.au/xrecord=b2113668")</f>
        <v>https://www.catalog.slsa.sa.gov.au/xrecord=b2113668</v>
      </c>
      <c r="D1194" t="s">
        <v>66</v>
      </c>
      <c r="E1194" t="s">
        <v>4466</v>
      </c>
      <c r="F1194">
        <v>1951</v>
      </c>
      <c r="G1194" t="s">
        <v>121</v>
      </c>
      <c r="H1194" t="s">
        <v>4467</v>
      </c>
      <c r="I1194" t="s">
        <v>4468</v>
      </c>
      <c r="J1194" t="s">
        <v>71</v>
      </c>
      <c r="K1194" s="2" t="str">
        <f>HYPERLINK("http://collections.slsa.sa.gov.au/arthur/03750/BRG347_3740.htm")</f>
        <v>http://collections.slsa.sa.gov.au/arthur/03750/BRG347_3740.htm</v>
      </c>
    </row>
    <row r="1195" spans="1:11" x14ac:dyDescent="0.25">
      <c r="A1195" t="s">
        <v>4469</v>
      </c>
      <c r="B1195" s="1" t="str">
        <f>HYPERLINK("https://www.catalog.slsa.sa.gov.au/record=b2113669")</f>
        <v>https://www.catalog.slsa.sa.gov.au/record=b2113669</v>
      </c>
      <c r="C1195" s="1" t="str">
        <f>HYPERLINK("https://www.catalog.slsa.sa.gov.au/xrecord=b2113669")</f>
        <v>https://www.catalog.slsa.sa.gov.au/xrecord=b2113669</v>
      </c>
      <c r="D1195" t="s">
        <v>66</v>
      </c>
      <c r="E1195" t="s">
        <v>4470</v>
      </c>
      <c r="F1195">
        <v>1951</v>
      </c>
      <c r="G1195" t="s">
        <v>121</v>
      </c>
      <c r="H1195" t="s">
        <v>4471</v>
      </c>
      <c r="I1195" t="s">
        <v>4472</v>
      </c>
      <c r="J1195" t="s">
        <v>71</v>
      </c>
      <c r="K1195" s="2" t="str">
        <f>HYPERLINK("http://collections.slsa.sa.gov.au/arthur/03750/BRG347_3741.htm")</f>
        <v>http://collections.slsa.sa.gov.au/arthur/03750/BRG347_3741.htm</v>
      </c>
    </row>
    <row r="1196" spans="1:11" x14ac:dyDescent="0.25">
      <c r="A1196" t="s">
        <v>4473</v>
      </c>
      <c r="B1196" s="1" t="str">
        <f>HYPERLINK("https://www.catalog.slsa.sa.gov.au/record=b2117794")</f>
        <v>https://www.catalog.slsa.sa.gov.au/record=b2117794</v>
      </c>
      <c r="C1196" s="1" t="str">
        <f>HYPERLINK("https://www.catalog.slsa.sa.gov.au/xrecord=b2117794")</f>
        <v>https://www.catalog.slsa.sa.gov.au/xrecord=b2117794</v>
      </c>
      <c r="D1196" t="s">
        <v>66</v>
      </c>
      <c r="E1196" t="s">
        <v>4474</v>
      </c>
      <c r="F1196">
        <v>1951</v>
      </c>
      <c r="G1196" t="s">
        <v>121</v>
      </c>
      <c r="H1196" t="s">
        <v>4475</v>
      </c>
      <c r="I1196" t="s">
        <v>4476</v>
      </c>
      <c r="J1196" t="s">
        <v>71</v>
      </c>
      <c r="K1196" s="2" t="str">
        <f>HYPERLINK("http://collections.slsa.sa.gov.au/arthur/03750/BRG347_3742.htm")</f>
        <v>http://collections.slsa.sa.gov.au/arthur/03750/BRG347_3742.htm</v>
      </c>
    </row>
    <row r="1197" spans="1:11" x14ac:dyDescent="0.25">
      <c r="A1197" t="s">
        <v>4477</v>
      </c>
      <c r="B1197" s="1" t="str">
        <f>HYPERLINK("https://www.catalog.slsa.sa.gov.au/record=b2113670")</f>
        <v>https://www.catalog.slsa.sa.gov.au/record=b2113670</v>
      </c>
      <c r="C1197" s="1" t="str">
        <f>HYPERLINK("https://www.catalog.slsa.sa.gov.au/xrecord=b2113670")</f>
        <v>https://www.catalog.slsa.sa.gov.au/xrecord=b2113670</v>
      </c>
      <c r="D1197" t="s">
        <v>66</v>
      </c>
      <c r="E1197" t="s">
        <v>4478</v>
      </c>
      <c r="F1197">
        <v>1951</v>
      </c>
      <c r="G1197" t="s">
        <v>121</v>
      </c>
      <c r="H1197" t="s">
        <v>4479</v>
      </c>
      <c r="I1197" t="s">
        <v>4480</v>
      </c>
      <c r="J1197" t="s">
        <v>71</v>
      </c>
      <c r="K1197" s="2" t="str">
        <f>HYPERLINK("http://collections.slsa.sa.gov.au/arthur/03750/BRG347_3743.htm")</f>
        <v>http://collections.slsa.sa.gov.au/arthur/03750/BRG347_3743.htm</v>
      </c>
    </row>
    <row r="1198" spans="1:11" x14ac:dyDescent="0.25">
      <c r="A1198" t="s">
        <v>4481</v>
      </c>
      <c r="B1198" s="1" t="str">
        <f>HYPERLINK("https://www.catalog.slsa.sa.gov.au/record=b2113671")</f>
        <v>https://www.catalog.slsa.sa.gov.au/record=b2113671</v>
      </c>
      <c r="C1198" s="1" t="str">
        <f>HYPERLINK("https://www.catalog.slsa.sa.gov.au/xrecord=b2113671")</f>
        <v>https://www.catalog.slsa.sa.gov.au/xrecord=b2113671</v>
      </c>
      <c r="D1198" t="s">
        <v>66</v>
      </c>
      <c r="E1198" t="s">
        <v>4352</v>
      </c>
      <c r="F1198">
        <v>1951</v>
      </c>
      <c r="G1198" t="s">
        <v>121</v>
      </c>
      <c r="H1198" t="s">
        <v>4482</v>
      </c>
      <c r="I1198" t="s">
        <v>1386</v>
      </c>
      <c r="J1198" t="s">
        <v>71</v>
      </c>
      <c r="K1198" s="2" t="str">
        <f>HYPERLINK("http://collections.slsa.sa.gov.au/arthur/03750/BRG347_3744.htm")</f>
        <v>http://collections.slsa.sa.gov.au/arthur/03750/BRG347_3744.htm</v>
      </c>
    </row>
    <row r="1199" spans="1:11" x14ac:dyDescent="0.25">
      <c r="A1199" t="s">
        <v>4483</v>
      </c>
      <c r="B1199" s="1" t="str">
        <f>HYPERLINK("https://www.catalog.slsa.sa.gov.au/record=b2116350")</f>
        <v>https://www.catalog.slsa.sa.gov.au/record=b2116350</v>
      </c>
      <c r="C1199" s="1" t="str">
        <f>HYPERLINK("https://www.catalog.slsa.sa.gov.au/xrecord=b2116350")</f>
        <v>https://www.catalog.slsa.sa.gov.au/xrecord=b2116350</v>
      </c>
      <c r="D1199" t="s">
        <v>66</v>
      </c>
      <c r="E1199" t="s">
        <v>4484</v>
      </c>
      <c r="F1199">
        <v>1951</v>
      </c>
      <c r="G1199" t="s">
        <v>121</v>
      </c>
      <c r="H1199" t="s">
        <v>4485</v>
      </c>
      <c r="I1199" t="s">
        <v>4486</v>
      </c>
      <c r="J1199" t="s">
        <v>71</v>
      </c>
      <c r="K1199" s="2" t="str">
        <f>HYPERLINK("http://collections.slsa.sa.gov.au/arthur/05500/BRG347_5376.htm")</f>
        <v>http://collections.slsa.sa.gov.au/arthur/05500/BRG347_5376.htm</v>
      </c>
    </row>
    <row r="1200" spans="1:11" x14ac:dyDescent="0.25">
      <c r="A1200" t="s">
        <v>4487</v>
      </c>
      <c r="B1200" s="1" t="str">
        <f>HYPERLINK("https://www.catalog.slsa.sa.gov.au/record=b2116355")</f>
        <v>https://www.catalog.slsa.sa.gov.au/record=b2116355</v>
      </c>
      <c r="C1200" s="1" t="str">
        <f>HYPERLINK("https://www.catalog.slsa.sa.gov.au/xrecord=b2116355")</f>
        <v>https://www.catalog.slsa.sa.gov.au/xrecord=b2116355</v>
      </c>
      <c r="D1200" t="s">
        <v>66</v>
      </c>
      <c r="E1200" t="s">
        <v>4488</v>
      </c>
      <c r="F1200">
        <v>1951</v>
      </c>
      <c r="G1200" t="s">
        <v>121</v>
      </c>
      <c r="H1200" t="s">
        <v>4489</v>
      </c>
      <c r="I1200" t="s">
        <v>4490</v>
      </c>
      <c r="J1200" t="s">
        <v>71</v>
      </c>
      <c r="K1200" s="2" t="str">
        <f>HYPERLINK("http://collections.slsa.sa.gov.au/arthur/05500/BRG347_5381.htm")</f>
        <v>http://collections.slsa.sa.gov.au/arthur/05500/BRG347_5381.htm</v>
      </c>
    </row>
    <row r="1201" spans="1:11" x14ac:dyDescent="0.25">
      <c r="A1201" t="s">
        <v>4491</v>
      </c>
      <c r="B1201" s="1" t="str">
        <f>HYPERLINK("https://www.catalog.slsa.sa.gov.au/record=b2116365")</f>
        <v>https://www.catalog.slsa.sa.gov.au/record=b2116365</v>
      </c>
      <c r="C1201" s="1" t="str">
        <f>HYPERLINK("https://www.catalog.slsa.sa.gov.au/xrecord=b2116365")</f>
        <v>https://www.catalog.slsa.sa.gov.au/xrecord=b2116365</v>
      </c>
      <c r="D1201" t="s">
        <v>66</v>
      </c>
      <c r="E1201" t="s">
        <v>4492</v>
      </c>
      <c r="F1201">
        <v>1951</v>
      </c>
      <c r="G1201" t="s">
        <v>121</v>
      </c>
      <c r="H1201" t="s">
        <v>4493</v>
      </c>
      <c r="I1201" t="s">
        <v>4494</v>
      </c>
      <c r="J1201" t="s">
        <v>71</v>
      </c>
      <c r="K1201" s="2" t="str">
        <f>HYPERLINK("http://collections.slsa.sa.gov.au/arthur/05500/BRG347_5391.htm")</f>
        <v>http://collections.slsa.sa.gov.au/arthur/05500/BRG347_5391.htm</v>
      </c>
    </row>
    <row r="1202" spans="1:11" x14ac:dyDescent="0.25">
      <c r="A1202" t="s">
        <v>4495</v>
      </c>
      <c r="B1202" s="1" t="str">
        <f>HYPERLINK("https://www.catalog.slsa.sa.gov.au/record=b2116367")</f>
        <v>https://www.catalog.slsa.sa.gov.au/record=b2116367</v>
      </c>
      <c r="C1202" s="1" t="str">
        <f>HYPERLINK("https://www.catalog.slsa.sa.gov.au/xrecord=b2116367")</f>
        <v>https://www.catalog.slsa.sa.gov.au/xrecord=b2116367</v>
      </c>
      <c r="D1202" t="s">
        <v>66</v>
      </c>
      <c r="E1202" t="s">
        <v>4496</v>
      </c>
      <c r="F1202">
        <v>1951</v>
      </c>
      <c r="G1202" t="s">
        <v>121</v>
      </c>
      <c r="H1202" t="s">
        <v>4497</v>
      </c>
      <c r="I1202" t="s">
        <v>4498</v>
      </c>
      <c r="J1202" t="s">
        <v>71</v>
      </c>
      <c r="K1202" s="2" t="str">
        <f>HYPERLINK("http://collections.slsa.sa.gov.au/arthur/05500/BRG347_5393.htm")</f>
        <v>http://collections.slsa.sa.gov.au/arthur/05500/BRG347_5393.htm</v>
      </c>
    </row>
    <row r="1203" spans="1:11" x14ac:dyDescent="0.25">
      <c r="A1203" t="s">
        <v>4499</v>
      </c>
      <c r="B1203" s="1" t="str">
        <f>HYPERLINK("https://www.catalog.slsa.sa.gov.au/record=b2117713")</f>
        <v>https://www.catalog.slsa.sa.gov.au/record=b2117713</v>
      </c>
      <c r="C1203" s="1" t="str">
        <f>HYPERLINK("https://www.catalog.slsa.sa.gov.au/xrecord=b2117713")</f>
        <v>https://www.catalog.slsa.sa.gov.au/xrecord=b2117713</v>
      </c>
      <c r="D1203" t="s">
        <v>66</v>
      </c>
      <c r="E1203" t="s">
        <v>4500</v>
      </c>
      <c r="F1203">
        <v>1951</v>
      </c>
      <c r="G1203" t="s">
        <v>121</v>
      </c>
      <c r="H1203" t="s">
        <v>4501</v>
      </c>
      <c r="I1203" t="s">
        <v>4502</v>
      </c>
      <c r="J1203" t="s">
        <v>71</v>
      </c>
      <c r="K1203" s="2" t="str">
        <f>HYPERLINK("http://collections.slsa.sa.gov.au/arthur/06500/BRG347_6333.htm")</f>
        <v>http://collections.slsa.sa.gov.au/arthur/06500/BRG347_6333.htm</v>
      </c>
    </row>
    <row r="1204" spans="1:11" x14ac:dyDescent="0.25">
      <c r="A1204" t="s">
        <v>4503</v>
      </c>
      <c r="B1204" s="1" t="str">
        <f>HYPERLINK("https://www.catalog.slsa.sa.gov.au/record=b2118485")</f>
        <v>https://www.catalog.slsa.sa.gov.au/record=b2118485</v>
      </c>
      <c r="C1204" s="1" t="str">
        <f>HYPERLINK("https://www.catalog.slsa.sa.gov.au/xrecord=b2118485")</f>
        <v>https://www.catalog.slsa.sa.gov.au/xrecord=b2118485</v>
      </c>
      <c r="D1204" t="s">
        <v>66</v>
      </c>
      <c r="E1204" t="s">
        <v>4504</v>
      </c>
      <c r="F1204">
        <v>1951</v>
      </c>
      <c r="G1204" t="s">
        <v>121</v>
      </c>
      <c r="H1204" t="s">
        <v>4505</v>
      </c>
      <c r="I1204" t="s">
        <v>1576</v>
      </c>
      <c r="J1204" t="s">
        <v>71</v>
      </c>
      <c r="K1204" s="2" t="str">
        <f>HYPERLINK("http://collections.slsa.sa.gov.au/arthur/06750/BRG347_6566.htm")</f>
        <v>http://collections.slsa.sa.gov.au/arthur/06750/BRG347_6566.htm</v>
      </c>
    </row>
    <row r="1205" spans="1:11" x14ac:dyDescent="0.25">
      <c r="A1205" t="s">
        <v>4506</v>
      </c>
      <c r="B1205" s="1" t="str">
        <f>HYPERLINK("https://www.catalog.slsa.sa.gov.au/record=b2118486")</f>
        <v>https://www.catalog.slsa.sa.gov.au/record=b2118486</v>
      </c>
      <c r="C1205" s="1" t="str">
        <f>HYPERLINK("https://www.catalog.slsa.sa.gov.au/xrecord=b2118486")</f>
        <v>https://www.catalog.slsa.sa.gov.au/xrecord=b2118486</v>
      </c>
      <c r="D1205" t="s">
        <v>66</v>
      </c>
      <c r="E1205" t="s">
        <v>4507</v>
      </c>
      <c r="F1205">
        <v>1951</v>
      </c>
      <c r="G1205" t="s">
        <v>121</v>
      </c>
      <c r="H1205" t="s">
        <v>4508</v>
      </c>
      <c r="I1205" t="s">
        <v>4509</v>
      </c>
      <c r="J1205" t="s">
        <v>71</v>
      </c>
      <c r="K1205" s="2" t="str">
        <f>HYPERLINK("http://collections.slsa.sa.gov.au/arthur/06750/BRG347_6567.htm")</f>
        <v>http://collections.slsa.sa.gov.au/arthur/06750/BRG347_6567.htm</v>
      </c>
    </row>
    <row r="1206" spans="1:11" x14ac:dyDescent="0.25">
      <c r="A1206" t="s">
        <v>4510</v>
      </c>
      <c r="B1206" s="1" t="str">
        <f>HYPERLINK("https://www.catalog.slsa.sa.gov.au/record=b2118487")</f>
        <v>https://www.catalog.slsa.sa.gov.au/record=b2118487</v>
      </c>
      <c r="C1206" s="1" t="str">
        <f>HYPERLINK("https://www.catalog.slsa.sa.gov.au/xrecord=b2118487")</f>
        <v>https://www.catalog.slsa.sa.gov.au/xrecord=b2118487</v>
      </c>
      <c r="D1206" t="s">
        <v>66</v>
      </c>
      <c r="E1206" t="s">
        <v>1582</v>
      </c>
      <c r="F1206">
        <v>1951</v>
      </c>
      <c r="G1206" t="s">
        <v>121</v>
      </c>
      <c r="H1206" t="s">
        <v>4511</v>
      </c>
      <c r="I1206" t="s">
        <v>4512</v>
      </c>
      <c r="J1206" t="s">
        <v>71</v>
      </c>
      <c r="K1206" s="2" t="str">
        <f>HYPERLINK("http://collections.slsa.sa.gov.au/arthur/06750/BRG347_6568.htm")</f>
        <v>http://collections.slsa.sa.gov.au/arthur/06750/BRG347_6568.htm</v>
      </c>
    </row>
    <row r="1207" spans="1:11" x14ac:dyDescent="0.25">
      <c r="A1207" t="s">
        <v>4513</v>
      </c>
      <c r="B1207" s="1" t="str">
        <f>HYPERLINK("https://www.catalog.slsa.sa.gov.au/record=b2118489")</f>
        <v>https://www.catalog.slsa.sa.gov.au/record=b2118489</v>
      </c>
      <c r="C1207" s="1" t="str">
        <f>HYPERLINK("https://www.catalog.slsa.sa.gov.au/xrecord=b2118489")</f>
        <v>https://www.catalog.slsa.sa.gov.au/xrecord=b2118489</v>
      </c>
      <c r="D1207" t="s">
        <v>66</v>
      </c>
      <c r="E1207" t="s">
        <v>4514</v>
      </c>
      <c r="F1207">
        <v>1951</v>
      </c>
      <c r="G1207" t="s">
        <v>121</v>
      </c>
      <c r="H1207" t="s">
        <v>4515</v>
      </c>
      <c r="I1207" t="s">
        <v>4516</v>
      </c>
      <c r="J1207" t="s">
        <v>71</v>
      </c>
      <c r="K1207" s="2" t="str">
        <f>HYPERLINK("http://collections.slsa.sa.gov.au/arthur/06750/BRG347_6570.htm")</f>
        <v>http://collections.slsa.sa.gov.au/arthur/06750/BRG347_6570.htm</v>
      </c>
    </row>
    <row r="1208" spans="1:11" x14ac:dyDescent="0.25">
      <c r="A1208" t="s">
        <v>4517</v>
      </c>
      <c r="B1208" s="1" t="str">
        <f>HYPERLINK("https://www.catalog.slsa.sa.gov.au/record=b2118490")</f>
        <v>https://www.catalog.slsa.sa.gov.au/record=b2118490</v>
      </c>
      <c r="C1208" s="1" t="str">
        <f>HYPERLINK("https://www.catalog.slsa.sa.gov.au/xrecord=b2118490")</f>
        <v>https://www.catalog.slsa.sa.gov.au/xrecord=b2118490</v>
      </c>
      <c r="D1208" t="s">
        <v>66</v>
      </c>
      <c r="E1208" t="s">
        <v>4518</v>
      </c>
      <c r="F1208">
        <v>1951</v>
      </c>
      <c r="G1208" t="s">
        <v>121</v>
      </c>
      <c r="H1208" t="s">
        <v>4519</v>
      </c>
      <c r="I1208" t="s">
        <v>4520</v>
      </c>
      <c r="J1208" t="s">
        <v>71</v>
      </c>
      <c r="K1208" s="2" t="str">
        <f>HYPERLINK("http://collections.slsa.sa.gov.au/arthur/06750/BRG347_6571.htm")</f>
        <v>http://collections.slsa.sa.gov.au/arthur/06750/BRG347_6571.htm</v>
      </c>
    </row>
    <row r="1209" spans="1:11" x14ac:dyDescent="0.25">
      <c r="A1209" t="s">
        <v>4521</v>
      </c>
      <c r="B1209" s="1" t="str">
        <f>HYPERLINK("https://www.catalog.slsa.sa.gov.au/record=b2118491")</f>
        <v>https://www.catalog.slsa.sa.gov.au/record=b2118491</v>
      </c>
      <c r="C1209" s="1" t="str">
        <f>HYPERLINK("https://www.catalog.slsa.sa.gov.au/xrecord=b2118491")</f>
        <v>https://www.catalog.slsa.sa.gov.au/xrecord=b2118491</v>
      </c>
      <c r="D1209" t="s">
        <v>66</v>
      </c>
      <c r="E1209" t="s">
        <v>4522</v>
      </c>
      <c r="F1209">
        <v>1951</v>
      </c>
      <c r="G1209" t="s">
        <v>121</v>
      </c>
      <c r="H1209" t="s">
        <v>4523</v>
      </c>
      <c r="I1209" t="s">
        <v>1580</v>
      </c>
      <c r="J1209" t="s">
        <v>71</v>
      </c>
      <c r="K1209" s="2" t="str">
        <f>HYPERLINK("http://collections.slsa.sa.gov.au/arthur/06750/BRG347_6572.htm")</f>
        <v>http://collections.slsa.sa.gov.au/arthur/06750/BRG347_6572.htm</v>
      </c>
    </row>
    <row r="1210" spans="1:11" x14ac:dyDescent="0.25">
      <c r="A1210" t="s">
        <v>4524</v>
      </c>
      <c r="B1210" s="1" t="str">
        <f>HYPERLINK("https://www.catalog.slsa.sa.gov.au/record=b2118492")</f>
        <v>https://www.catalog.slsa.sa.gov.au/record=b2118492</v>
      </c>
      <c r="C1210" s="1" t="str">
        <f>HYPERLINK("https://www.catalog.slsa.sa.gov.au/xrecord=b2118492")</f>
        <v>https://www.catalog.slsa.sa.gov.au/xrecord=b2118492</v>
      </c>
      <c r="D1210" t="s">
        <v>66</v>
      </c>
      <c r="E1210" t="s">
        <v>4525</v>
      </c>
      <c r="F1210">
        <v>1951</v>
      </c>
      <c r="G1210" t="s">
        <v>121</v>
      </c>
      <c r="H1210" t="s">
        <v>4526</v>
      </c>
      <c r="I1210" t="s">
        <v>1580</v>
      </c>
      <c r="J1210" t="s">
        <v>71</v>
      </c>
      <c r="K1210" s="2" t="str">
        <f>HYPERLINK("http://collections.slsa.sa.gov.au/arthur/06750/BRG347_6573.htm")</f>
        <v>http://collections.slsa.sa.gov.au/arthur/06750/BRG347_6573.htm</v>
      </c>
    </row>
    <row r="1211" spans="1:11" x14ac:dyDescent="0.25">
      <c r="A1211" t="s">
        <v>4527</v>
      </c>
      <c r="B1211" s="1" t="str">
        <f>HYPERLINK("https://www.catalog.slsa.sa.gov.au/record=b2118493")</f>
        <v>https://www.catalog.slsa.sa.gov.au/record=b2118493</v>
      </c>
      <c r="C1211" s="1" t="str">
        <f>HYPERLINK("https://www.catalog.slsa.sa.gov.au/xrecord=b2118493")</f>
        <v>https://www.catalog.slsa.sa.gov.au/xrecord=b2118493</v>
      </c>
      <c r="D1211" t="s">
        <v>66</v>
      </c>
      <c r="E1211" t="s">
        <v>4522</v>
      </c>
      <c r="F1211">
        <v>1951</v>
      </c>
      <c r="G1211" t="s">
        <v>121</v>
      </c>
      <c r="H1211" t="s">
        <v>4528</v>
      </c>
      <c r="I1211" t="s">
        <v>1580</v>
      </c>
      <c r="J1211" t="s">
        <v>71</v>
      </c>
      <c r="K1211" s="2" t="str">
        <f>HYPERLINK("http://collections.slsa.sa.gov.au/arthur/06750/BRG347_6574.htm")</f>
        <v>http://collections.slsa.sa.gov.au/arthur/06750/BRG347_6574.htm</v>
      </c>
    </row>
    <row r="1212" spans="1:11" x14ac:dyDescent="0.25">
      <c r="A1212" t="s">
        <v>4529</v>
      </c>
      <c r="B1212" s="1" t="str">
        <f>HYPERLINK("https://www.catalog.slsa.sa.gov.au/record=b2118494")</f>
        <v>https://www.catalog.slsa.sa.gov.au/record=b2118494</v>
      </c>
      <c r="C1212" s="1" t="str">
        <f>HYPERLINK("https://www.catalog.slsa.sa.gov.au/xrecord=b2118494")</f>
        <v>https://www.catalog.slsa.sa.gov.au/xrecord=b2118494</v>
      </c>
      <c r="D1212" t="s">
        <v>66</v>
      </c>
      <c r="E1212" t="s">
        <v>4522</v>
      </c>
      <c r="F1212">
        <v>1951</v>
      </c>
      <c r="G1212" t="s">
        <v>121</v>
      </c>
      <c r="H1212" t="s">
        <v>4530</v>
      </c>
      <c r="I1212" t="s">
        <v>1580</v>
      </c>
      <c r="J1212" t="s">
        <v>71</v>
      </c>
      <c r="K1212" s="2" t="str">
        <f>HYPERLINK("http://collections.slsa.sa.gov.au/arthur/06750/BRG347_6575.htm")</f>
        <v>http://collections.slsa.sa.gov.au/arthur/06750/BRG347_6575.htm</v>
      </c>
    </row>
    <row r="1213" spans="1:11" x14ac:dyDescent="0.25">
      <c r="A1213" t="s">
        <v>4531</v>
      </c>
      <c r="B1213" s="1" t="str">
        <f>HYPERLINK("https://www.catalog.slsa.sa.gov.au/record=b2118495")</f>
        <v>https://www.catalog.slsa.sa.gov.au/record=b2118495</v>
      </c>
      <c r="C1213" s="1" t="str">
        <f>HYPERLINK("https://www.catalog.slsa.sa.gov.au/xrecord=b2118495")</f>
        <v>https://www.catalog.slsa.sa.gov.au/xrecord=b2118495</v>
      </c>
      <c r="D1213" t="s">
        <v>66</v>
      </c>
      <c r="E1213" t="s">
        <v>4525</v>
      </c>
      <c r="F1213">
        <v>1951</v>
      </c>
      <c r="G1213" t="s">
        <v>121</v>
      </c>
      <c r="H1213" t="s">
        <v>4532</v>
      </c>
      <c r="I1213" t="s">
        <v>1580</v>
      </c>
      <c r="J1213" t="s">
        <v>71</v>
      </c>
      <c r="K1213" s="2" t="str">
        <f>HYPERLINK("http://collections.slsa.sa.gov.au/arthur/06750/BRG347_6576.htm")</f>
        <v>http://collections.slsa.sa.gov.au/arthur/06750/BRG347_6576.htm</v>
      </c>
    </row>
    <row r="1214" spans="1:11" x14ac:dyDescent="0.25">
      <c r="A1214" t="s">
        <v>4533</v>
      </c>
      <c r="B1214" s="1" t="str">
        <f>HYPERLINK("https://www.catalog.slsa.sa.gov.au/record=b2118617")</f>
        <v>https://www.catalog.slsa.sa.gov.au/record=b2118617</v>
      </c>
      <c r="C1214" s="1" t="str">
        <f>HYPERLINK("https://www.catalog.slsa.sa.gov.au/xrecord=b2118617")</f>
        <v>https://www.catalog.slsa.sa.gov.au/xrecord=b2118617</v>
      </c>
      <c r="D1214" t="s">
        <v>66</v>
      </c>
      <c r="E1214" t="s">
        <v>4534</v>
      </c>
      <c r="F1214">
        <v>1951</v>
      </c>
      <c r="G1214" t="s">
        <v>121</v>
      </c>
      <c r="H1214" t="s">
        <v>4535</v>
      </c>
      <c r="I1214" t="s">
        <v>4536</v>
      </c>
      <c r="J1214" t="s">
        <v>71</v>
      </c>
      <c r="K1214" s="2" t="str">
        <f>HYPERLINK("http://collections.slsa.sa.gov.au/arthur/06750/BRG347_6690.htm")</f>
        <v>http://collections.slsa.sa.gov.au/arthur/06750/BRG347_6690.htm</v>
      </c>
    </row>
    <row r="1215" spans="1:11" x14ac:dyDescent="0.25">
      <c r="A1215" t="s">
        <v>4537</v>
      </c>
      <c r="B1215" s="1" t="str">
        <f>HYPERLINK("https://www.catalog.slsa.sa.gov.au/record=b2118618")</f>
        <v>https://www.catalog.slsa.sa.gov.au/record=b2118618</v>
      </c>
      <c r="C1215" s="1" t="str">
        <f>HYPERLINK("https://www.catalog.slsa.sa.gov.au/xrecord=b2118618")</f>
        <v>https://www.catalog.slsa.sa.gov.au/xrecord=b2118618</v>
      </c>
      <c r="D1215" t="s">
        <v>66</v>
      </c>
      <c r="E1215" t="s">
        <v>4538</v>
      </c>
      <c r="F1215">
        <v>1951</v>
      </c>
      <c r="G1215" t="s">
        <v>121</v>
      </c>
      <c r="H1215" t="s">
        <v>4539</v>
      </c>
      <c r="I1215" t="s">
        <v>4540</v>
      </c>
      <c r="J1215" t="s">
        <v>71</v>
      </c>
      <c r="K1215" s="2" t="str">
        <f>HYPERLINK("http://collections.slsa.sa.gov.au/arthur/06750/BRG347_6691.htm")</f>
        <v>http://collections.slsa.sa.gov.au/arthur/06750/BRG347_6691.htm</v>
      </c>
    </row>
    <row r="1216" spans="1:11" x14ac:dyDescent="0.25">
      <c r="A1216" t="s">
        <v>4541</v>
      </c>
      <c r="B1216" s="1" t="str">
        <f>HYPERLINK("https://www.catalog.slsa.sa.gov.au/record=b2118749")</f>
        <v>https://www.catalog.slsa.sa.gov.au/record=b2118749</v>
      </c>
      <c r="C1216" s="1" t="str">
        <f>HYPERLINK("https://www.catalog.slsa.sa.gov.au/xrecord=b2118749")</f>
        <v>https://www.catalog.slsa.sa.gov.au/xrecord=b2118749</v>
      </c>
      <c r="D1216" t="s">
        <v>66</v>
      </c>
      <c r="E1216" t="s">
        <v>4542</v>
      </c>
      <c r="F1216">
        <v>1951</v>
      </c>
      <c r="G1216" t="s">
        <v>121</v>
      </c>
      <c r="H1216" t="s">
        <v>4543</v>
      </c>
      <c r="I1216" t="s">
        <v>4544</v>
      </c>
      <c r="J1216" t="s">
        <v>71</v>
      </c>
      <c r="K1216" s="2" t="str">
        <f>HYPERLINK("http://collections.slsa.sa.gov.au/arthur/06750/BRG347_6707.htm")</f>
        <v>http://collections.slsa.sa.gov.au/arthur/06750/BRG347_6707.htm</v>
      </c>
    </row>
    <row r="1217" spans="1:11" x14ac:dyDescent="0.25">
      <c r="A1217" t="s">
        <v>4545</v>
      </c>
      <c r="B1217" s="1" t="str">
        <f>HYPERLINK("https://www.catalog.slsa.sa.gov.au/record=b2118750")</f>
        <v>https://www.catalog.slsa.sa.gov.au/record=b2118750</v>
      </c>
      <c r="C1217" s="1" t="str">
        <f>HYPERLINK("https://www.catalog.slsa.sa.gov.au/xrecord=b2118750")</f>
        <v>https://www.catalog.slsa.sa.gov.au/xrecord=b2118750</v>
      </c>
      <c r="D1217" t="s">
        <v>66</v>
      </c>
      <c r="E1217" t="s">
        <v>4546</v>
      </c>
      <c r="F1217">
        <v>1951</v>
      </c>
      <c r="G1217" t="s">
        <v>121</v>
      </c>
      <c r="H1217" t="s">
        <v>4547</v>
      </c>
      <c r="I1217" t="s">
        <v>4548</v>
      </c>
      <c r="J1217" t="s">
        <v>71</v>
      </c>
      <c r="K1217" s="2" t="str">
        <f>HYPERLINK("http://collections.slsa.sa.gov.au/arthur/06750/BRG347_6708.htm")</f>
        <v>http://collections.slsa.sa.gov.au/arthur/06750/BRG347_6708.htm</v>
      </c>
    </row>
    <row r="1218" spans="1:11" x14ac:dyDescent="0.25">
      <c r="A1218" t="s">
        <v>4549</v>
      </c>
      <c r="B1218" s="1" t="str">
        <f>HYPERLINK("https://www.catalog.slsa.sa.gov.au/record=b2118752")</f>
        <v>https://www.catalog.slsa.sa.gov.au/record=b2118752</v>
      </c>
      <c r="C1218" s="1" t="str">
        <f>HYPERLINK("https://www.catalog.slsa.sa.gov.au/xrecord=b2118752")</f>
        <v>https://www.catalog.slsa.sa.gov.au/xrecord=b2118752</v>
      </c>
      <c r="D1218" t="s">
        <v>66</v>
      </c>
      <c r="E1218" t="s">
        <v>4546</v>
      </c>
      <c r="F1218">
        <v>1951</v>
      </c>
      <c r="G1218" t="s">
        <v>121</v>
      </c>
      <c r="H1218" t="s">
        <v>4550</v>
      </c>
      <c r="I1218" t="s">
        <v>4548</v>
      </c>
      <c r="J1218" t="s">
        <v>71</v>
      </c>
      <c r="K1218" s="2" t="str">
        <f>HYPERLINK("http://collections.slsa.sa.gov.au/arthur/06750/BRG347_6710.htm")</f>
        <v>http://collections.slsa.sa.gov.au/arthur/06750/BRG347_6710.htm</v>
      </c>
    </row>
    <row r="1219" spans="1:11" x14ac:dyDescent="0.25">
      <c r="A1219" t="s">
        <v>4551</v>
      </c>
      <c r="B1219" s="1" t="str">
        <f>HYPERLINK("https://www.catalog.slsa.sa.gov.au/record=b2118785")</f>
        <v>https://www.catalog.slsa.sa.gov.au/record=b2118785</v>
      </c>
      <c r="C1219" s="1" t="str">
        <f>HYPERLINK("https://www.catalog.slsa.sa.gov.au/xrecord=b2118785")</f>
        <v>https://www.catalog.slsa.sa.gov.au/xrecord=b2118785</v>
      </c>
      <c r="D1219" t="s">
        <v>66</v>
      </c>
      <c r="E1219" t="s">
        <v>4552</v>
      </c>
      <c r="F1219">
        <v>1951</v>
      </c>
      <c r="G1219" t="s">
        <v>121</v>
      </c>
      <c r="H1219" t="s">
        <v>4553</v>
      </c>
      <c r="I1219" t="s">
        <v>4554</v>
      </c>
      <c r="J1219" t="s">
        <v>71</v>
      </c>
      <c r="K1219" s="2" t="str">
        <f>HYPERLINK("http://collections.slsa.sa.gov.au/arthur/06750/BRG347_6743.htm")</f>
        <v>http://collections.slsa.sa.gov.au/arthur/06750/BRG347_6743.htm</v>
      </c>
    </row>
    <row r="1220" spans="1:11" x14ac:dyDescent="0.25">
      <c r="A1220" t="s">
        <v>4555</v>
      </c>
      <c r="B1220" s="1" t="str">
        <f>HYPERLINK("https://www.catalog.slsa.sa.gov.au/record=b2118786")</f>
        <v>https://www.catalog.slsa.sa.gov.au/record=b2118786</v>
      </c>
      <c r="C1220" s="1" t="str">
        <f>HYPERLINK("https://www.catalog.slsa.sa.gov.au/xrecord=b2118786")</f>
        <v>https://www.catalog.slsa.sa.gov.au/xrecord=b2118786</v>
      </c>
      <c r="D1220" t="s">
        <v>66</v>
      </c>
      <c r="E1220" t="s">
        <v>4556</v>
      </c>
      <c r="F1220">
        <v>1951</v>
      </c>
      <c r="G1220" t="s">
        <v>121</v>
      </c>
      <c r="H1220" t="s">
        <v>4557</v>
      </c>
      <c r="I1220" t="s">
        <v>4558</v>
      </c>
      <c r="J1220" t="s">
        <v>71</v>
      </c>
      <c r="K1220" s="2" t="str">
        <f>HYPERLINK("http://collections.slsa.sa.gov.au/arthur/06750/BRG347_6744.htm")</f>
        <v>http://collections.slsa.sa.gov.au/arthur/06750/BRG347_6744.htm</v>
      </c>
    </row>
    <row r="1221" spans="1:11" x14ac:dyDescent="0.25">
      <c r="A1221" t="s">
        <v>4559</v>
      </c>
      <c r="B1221" s="1" t="str">
        <f>HYPERLINK("https://www.catalog.slsa.sa.gov.au/record=b2118787")</f>
        <v>https://www.catalog.slsa.sa.gov.au/record=b2118787</v>
      </c>
      <c r="C1221" s="1" t="str">
        <f>HYPERLINK("https://www.catalog.slsa.sa.gov.au/xrecord=b2118787")</f>
        <v>https://www.catalog.slsa.sa.gov.au/xrecord=b2118787</v>
      </c>
      <c r="D1221" t="s">
        <v>66</v>
      </c>
      <c r="E1221" t="s">
        <v>4560</v>
      </c>
      <c r="F1221">
        <v>1951</v>
      </c>
      <c r="G1221" t="s">
        <v>121</v>
      </c>
      <c r="H1221" t="s">
        <v>4561</v>
      </c>
      <c r="I1221" t="s">
        <v>4562</v>
      </c>
      <c r="J1221" t="s">
        <v>71</v>
      </c>
      <c r="K1221" s="2" t="str">
        <f>HYPERLINK("http://collections.slsa.sa.gov.au/arthur/06750/BRG347_6745.htm")</f>
        <v>http://collections.slsa.sa.gov.au/arthur/06750/BRG347_6745.htm</v>
      </c>
    </row>
    <row r="1222" spans="1:11" x14ac:dyDescent="0.25">
      <c r="A1222" t="s">
        <v>4563</v>
      </c>
      <c r="B1222" s="1" t="str">
        <f>HYPERLINK("https://www.catalog.slsa.sa.gov.au/record=b2118794")</f>
        <v>https://www.catalog.slsa.sa.gov.au/record=b2118794</v>
      </c>
      <c r="C1222" s="1" t="str">
        <f>HYPERLINK("https://www.catalog.slsa.sa.gov.au/xrecord=b2118794")</f>
        <v>https://www.catalog.slsa.sa.gov.au/xrecord=b2118794</v>
      </c>
      <c r="D1222" t="s">
        <v>66</v>
      </c>
      <c r="E1222" t="s">
        <v>4556</v>
      </c>
      <c r="F1222">
        <v>1951</v>
      </c>
      <c r="G1222" t="s">
        <v>121</v>
      </c>
      <c r="H1222" t="s">
        <v>4564</v>
      </c>
      <c r="I1222" t="s">
        <v>4565</v>
      </c>
      <c r="J1222" t="s">
        <v>71</v>
      </c>
      <c r="K1222" s="2" t="str">
        <f>HYPERLINK("http://collections.slsa.sa.gov.au/arthur/07000/BRG347_6752.htm")</f>
        <v>http://collections.slsa.sa.gov.au/arthur/07000/BRG347_6752.htm</v>
      </c>
    </row>
    <row r="1223" spans="1:11" x14ac:dyDescent="0.25">
      <c r="A1223" t="s">
        <v>4566</v>
      </c>
      <c r="B1223" s="1" t="str">
        <f>HYPERLINK("https://www.catalog.slsa.sa.gov.au/record=b2118891")</f>
        <v>https://www.catalog.slsa.sa.gov.au/record=b2118891</v>
      </c>
      <c r="C1223" s="1" t="str">
        <f>HYPERLINK("https://www.catalog.slsa.sa.gov.au/xrecord=b2118891")</f>
        <v>https://www.catalog.slsa.sa.gov.au/xrecord=b2118891</v>
      </c>
      <c r="D1223" t="s">
        <v>66</v>
      </c>
      <c r="E1223" t="s">
        <v>4567</v>
      </c>
      <c r="F1223">
        <v>1951</v>
      </c>
      <c r="G1223" t="s">
        <v>121</v>
      </c>
      <c r="H1223" t="s">
        <v>4568</v>
      </c>
      <c r="I1223" t="s">
        <v>4569</v>
      </c>
      <c r="J1223" t="s">
        <v>71</v>
      </c>
      <c r="K1223" s="2" t="str">
        <f>HYPERLINK("http://collections.slsa.sa.gov.au/arthur/07000/BRG347_6769.htm")</f>
        <v>http://collections.slsa.sa.gov.au/arthur/07000/BRG347_6769.htm</v>
      </c>
    </row>
    <row r="1224" spans="1:11" x14ac:dyDescent="0.25">
      <c r="A1224" t="s">
        <v>4570</v>
      </c>
      <c r="B1224" s="1" t="str">
        <f>HYPERLINK("https://www.catalog.slsa.sa.gov.au/record=b2119283")</f>
        <v>https://www.catalog.slsa.sa.gov.au/record=b2119283</v>
      </c>
      <c r="C1224" s="1" t="str">
        <f>HYPERLINK("https://www.catalog.slsa.sa.gov.au/xrecord=b2119283")</f>
        <v>https://www.catalog.slsa.sa.gov.au/xrecord=b2119283</v>
      </c>
      <c r="D1224" t="s">
        <v>66</v>
      </c>
      <c r="E1224" t="s">
        <v>4571</v>
      </c>
      <c r="F1224">
        <v>1951</v>
      </c>
      <c r="G1224" t="s">
        <v>121</v>
      </c>
      <c r="H1224" t="s">
        <v>4572</v>
      </c>
      <c r="I1224" t="s">
        <v>4573</v>
      </c>
      <c r="J1224" t="s">
        <v>71</v>
      </c>
      <c r="K1224" s="2" t="str">
        <f>HYPERLINK("http://collections.slsa.sa.gov.au/arthur/07000/BRG347_6826.htm")</f>
        <v>http://collections.slsa.sa.gov.au/arthur/07000/BRG347_6826.htm</v>
      </c>
    </row>
    <row r="1225" spans="1:11" x14ac:dyDescent="0.25">
      <c r="A1225" t="s">
        <v>4574</v>
      </c>
      <c r="B1225" s="1" t="str">
        <f>HYPERLINK("https://www.catalog.slsa.sa.gov.au/record=b2119285")</f>
        <v>https://www.catalog.slsa.sa.gov.au/record=b2119285</v>
      </c>
      <c r="C1225" s="1" t="str">
        <f>HYPERLINK("https://www.catalog.slsa.sa.gov.au/xrecord=b2119285")</f>
        <v>https://www.catalog.slsa.sa.gov.au/xrecord=b2119285</v>
      </c>
      <c r="D1225" t="s">
        <v>66</v>
      </c>
      <c r="E1225" t="s">
        <v>4575</v>
      </c>
      <c r="F1225">
        <v>1951</v>
      </c>
      <c r="G1225" t="s">
        <v>121</v>
      </c>
      <c r="H1225" t="s">
        <v>4576</v>
      </c>
      <c r="I1225" t="s">
        <v>4577</v>
      </c>
      <c r="J1225" t="s">
        <v>71</v>
      </c>
      <c r="K1225" s="2" t="str">
        <f>HYPERLINK("http://collections.slsa.sa.gov.au/arthur/07000/BRG347_6828.htm")</f>
        <v>http://collections.slsa.sa.gov.au/arthur/07000/BRG347_6828.htm</v>
      </c>
    </row>
    <row r="1226" spans="1:11" x14ac:dyDescent="0.25">
      <c r="A1226" t="s">
        <v>4578</v>
      </c>
      <c r="B1226" s="1" t="str">
        <f>HYPERLINK("https://www.catalog.slsa.sa.gov.au/record=b2119286")</f>
        <v>https://www.catalog.slsa.sa.gov.au/record=b2119286</v>
      </c>
      <c r="C1226" s="1" t="str">
        <f>HYPERLINK("https://www.catalog.slsa.sa.gov.au/xrecord=b2119286")</f>
        <v>https://www.catalog.slsa.sa.gov.au/xrecord=b2119286</v>
      </c>
      <c r="D1226" t="s">
        <v>66</v>
      </c>
      <c r="E1226" t="s">
        <v>4579</v>
      </c>
      <c r="F1226">
        <v>1951</v>
      </c>
      <c r="G1226" t="s">
        <v>121</v>
      </c>
      <c r="H1226" t="s">
        <v>4580</v>
      </c>
      <c r="I1226" t="s">
        <v>4581</v>
      </c>
      <c r="J1226" t="s">
        <v>71</v>
      </c>
      <c r="K1226" s="2" t="str">
        <f>HYPERLINK("http://collections.slsa.sa.gov.au/arthur/07000/BRG347_6829.htm")</f>
        <v>http://collections.slsa.sa.gov.au/arthur/07000/BRG347_6829.htm</v>
      </c>
    </row>
    <row r="1227" spans="1:11" x14ac:dyDescent="0.25">
      <c r="A1227" t="s">
        <v>4582</v>
      </c>
      <c r="B1227" s="1" t="str">
        <f>HYPERLINK("https://www.catalog.slsa.sa.gov.au/record=b2122745")</f>
        <v>https://www.catalog.slsa.sa.gov.au/record=b2122745</v>
      </c>
      <c r="C1227" s="1" t="str">
        <f>HYPERLINK("https://www.catalog.slsa.sa.gov.au/xrecord=b2122745")</f>
        <v>https://www.catalog.slsa.sa.gov.au/xrecord=b2122745</v>
      </c>
      <c r="D1227" t="s">
        <v>66</v>
      </c>
      <c r="E1227" t="s">
        <v>4583</v>
      </c>
      <c r="F1227">
        <v>1951</v>
      </c>
      <c r="G1227" t="s">
        <v>121</v>
      </c>
      <c r="H1227" t="s">
        <v>4584</v>
      </c>
      <c r="I1227" t="s">
        <v>4577</v>
      </c>
      <c r="J1227" t="s">
        <v>71</v>
      </c>
      <c r="K1227" s="2" t="str">
        <f>HYPERLINK("http://collections.slsa.sa.gov.au/arthur/07000/BRG347_6830.htm")</f>
        <v>http://collections.slsa.sa.gov.au/arthur/07000/BRG347_6830.htm</v>
      </c>
    </row>
    <row r="1228" spans="1:11" x14ac:dyDescent="0.25">
      <c r="A1228" t="s">
        <v>4585</v>
      </c>
      <c r="B1228" s="1" t="str">
        <f>HYPERLINK("https://www.catalog.slsa.sa.gov.au/record=b2122746")</f>
        <v>https://www.catalog.slsa.sa.gov.au/record=b2122746</v>
      </c>
      <c r="C1228" s="1" t="str">
        <f>HYPERLINK("https://www.catalog.slsa.sa.gov.au/xrecord=b2122746")</f>
        <v>https://www.catalog.slsa.sa.gov.au/xrecord=b2122746</v>
      </c>
      <c r="D1228" t="s">
        <v>66</v>
      </c>
      <c r="E1228" t="s">
        <v>4583</v>
      </c>
      <c r="F1228">
        <v>1951</v>
      </c>
      <c r="G1228" t="s">
        <v>121</v>
      </c>
      <c r="H1228" t="s">
        <v>4584</v>
      </c>
      <c r="I1228" t="s">
        <v>4577</v>
      </c>
      <c r="J1228" t="s">
        <v>71</v>
      </c>
      <c r="K1228" s="2" t="str">
        <f>HYPERLINK("http://collections.slsa.sa.gov.au/arthur/07000/BRG347_6831.htm")</f>
        <v>http://collections.slsa.sa.gov.au/arthur/07000/BRG347_6831.htm</v>
      </c>
    </row>
    <row r="1229" spans="1:11" x14ac:dyDescent="0.25">
      <c r="A1229" t="s">
        <v>4586</v>
      </c>
      <c r="B1229" s="1" t="str">
        <f>HYPERLINK("https://www.catalog.slsa.sa.gov.au/record=b2119310")</f>
        <v>https://www.catalog.slsa.sa.gov.au/record=b2119310</v>
      </c>
      <c r="C1229" s="1" t="str">
        <f>HYPERLINK("https://www.catalog.slsa.sa.gov.au/xrecord=b2119310")</f>
        <v>https://www.catalog.slsa.sa.gov.au/xrecord=b2119310</v>
      </c>
      <c r="D1229" t="s">
        <v>66</v>
      </c>
      <c r="E1229" t="s">
        <v>4587</v>
      </c>
      <c r="F1229">
        <v>1951</v>
      </c>
      <c r="G1229" t="s">
        <v>121</v>
      </c>
      <c r="H1229" t="s">
        <v>4588</v>
      </c>
      <c r="I1229" t="s">
        <v>4589</v>
      </c>
      <c r="J1229" t="s">
        <v>71</v>
      </c>
      <c r="K1229" s="2" t="str">
        <f>HYPERLINK("http://collections.slsa.sa.gov.au/arthur/07000/BRG347_6850.htm")</f>
        <v>http://collections.slsa.sa.gov.au/arthur/07000/BRG347_6850.htm</v>
      </c>
    </row>
    <row r="1230" spans="1:11" x14ac:dyDescent="0.25">
      <c r="A1230" t="s">
        <v>4590</v>
      </c>
      <c r="B1230" s="1" t="str">
        <f>HYPERLINK("https://www.catalog.slsa.sa.gov.au/record=b2119311")</f>
        <v>https://www.catalog.slsa.sa.gov.au/record=b2119311</v>
      </c>
      <c r="C1230" s="1" t="str">
        <f>HYPERLINK("https://www.catalog.slsa.sa.gov.au/xrecord=b2119311")</f>
        <v>https://www.catalog.slsa.sa.gov.au/xrecord=b2119311</v>
      </c>
      <c r="D1230" t="s">
        <v>66</v>
      </c>
      <c r="E1230" t="s">
        <v>4591</v>
      </c>
      <c r="F1230">
        <v>1951</v>
      </c>
      <c r="G1230" t="s">
        <v>121</v>
      </c>
      <c r="H1230" t="s">
        <v>4592</v>
      </c>
      <c r="I1230" t="s">
        <v>4593</v>
      </c>
      <c r="J1230" t="s">
        <v>71</v>
      </c>
      <c r="K1230" s="2" t="str">
        <f>HYPERLINK("http://collections.slsa.sa.gov.au/arthur/07000/BRG347_6851.htm")</f>
        <v>http://collections.slsa.sa.gov.au/arthur/07000/BRG347_6851.htm</v>
      </c>
    </row>
    <row r="1231" spans="1:11" x14ac:dyDescent="0.25">
      <c r="A1231" t="s">
        <v>4594</v>
      </c>
      <c r="B1231" s="1" t="str">
        <f>HYPERLINK("https://www.catalog.slsa.sa.gov.au/record=b2119312")</f>
        <v>https://www.catalog.slsa.sa.gov.au/record=b2119312</v>
      </c>
      <c r="C1231" s="1" t="str">
        <f>HYPERLINK("https://www.catalog.slsa.sa.gov.au/xrecord=b2119312")</f>
        <v>https://www.catalog.slsa.sa.gov.au/xrecord=b2119312</v>
      </c>
      <c r="D1231" t="s">
        <v>66</v>
      </c>
      <c r="E1231" t="s">
        <v>4595</v>
      </c>
      <c r="F1231">
        <v>1951</v>
      </c>
      <c r="G1231" t="s">
        <v>121</v>
      </c>
      <c r="H1231" t="s">
        <v>4596</v>
      </c>
      <c r="I1231" t="s">
        <v>4597</v>
      </c>
      <c r="J1231" t="s">
        <v>71</v>
      </c>
      <c r="K1231" s="2" t="str">
        <f>HYPERLINK("http://collections.slsa.sa.gov.au/arthur/07000/BRG347_6852.htm")</f>
        <v>http://collections.slsa.sa.gov.au/arthur/07000/BRG347_6852.htm</v>
      </c>
    </row>
    <row r="1232" spans="1:11" x14ac:dyDescent="0.25">
      <c r="A1232" t="s">
        <v>4598</v>
      </c>
      <c r="B1232" s="1" t="str">
        <f>HYPERLINK("https://www.catalog.slsa.sa.gov.au/record=b2119316")</f>
        <v>https://www.catalog.slsa.sa.gov.au/record=b2119316</v>
      </c>
      <c r="C1232" s="1" t="str">
        <f>HYPERLINK("https://www.catalog.slsa.sa.gov.au/xrecord=b2119316")</f>
        <v>https://www.catalog.slsa.sa.gov.au/xrecord=b2119316</v>
      </c>
      <c r="D1232" t="s">
        <v>66</v>
      </c>
      <c r="E1232" t="s">
        <v>4599</v>
      </c>
      <c r="F1232">
        <v>1951</v>
      </c>
      <c r="G1232" t="s">
        <v>121</v>
      </c>
      <c r="H1232" t="s">
        <v>4600</v>
      </c>
      <c r="I1232" t="s">
        <v>4601</v>
      </c>
      <c r="J1232" t="s">
        <v>71</v>
      </c>
      <c r="K1232" s="2" t="str">
        <f>HYPERLINK("http://collections.slsa.sa.gov.au/arthur/07000/BRG347_6855.htm")</f>
        <v>http://collections.slsa.sa.gov.au/arthur/07000/BRG347_6855.htm</v>
      </c>
    </row>
    <row r="1233" spans="1:11" x14ac:dyDescent="0.25">
      <c r="A1233" t="s">
        <v>4602</v>
      </c>
      <c r="B1233" s="1" t="str">
        <f>HYPERLINK("https://www.catalog.slsa.sa.gov.au/record=b2119585")</f>
        <v>https://www.catalog.slsa.sa.gov.au/record=b2119585</v>
      </c>
      <c r="C1233" s="1" t="str">
        <f>HYPERLINK("https://www.catalog.slsa.sa.gov.au/xrecord=b2119585")</f>
        <v>https://www.catalog.slsa.sa.gov.au/xrecord=b2119585</v>
      </c>
      <c r="D1233" t="s">
        <v>66</v>
      </c>
      <c r="E1233" t="s">
        <v>4603</v>
      </c>
      <c r="F1233">
        <v>1951</v>
      </c>
      <c r="G1233" t="s">
        <v>121</v>
      </c>
      <c r="H1233" t="s">
        <v>4604</v>
      </c>
      <c r="I1233" t="s">
        <v>1743</v>
      </c>
      <c r="J1233" t="s">
        <v>71</v>
      </c>
      <c r="K1233" s="2" t="str">
        <f>HYPERLINK("http://collections.slsa.sa.gov.au/arthur/07000/BRG347_6898.htm")</f>
        <v>http://collections.slsa.sa.gov.au/arthur/07000/BRG347_6898.htm</v>
      </c>
    </row>
    <row r="1234" spans="1:11" x14ac:dyDescent="0.25">
      <c r="A1234" t="s">
        <v>4605</v>
      </c>
      <c r="B1234" s="1" t="str">
        <f>HYPERLINK("https://www.catalog.slsa.sa.gov.au/record=b2119587")</f>
        <v>https://www.catalog.slsa.sa.gov.au/record=b2119587</v>
      </c>
      <c r="C1234" s="1" t="str">
        <f>HYPERLINK("https://www.catalog.slsa.sa.gov.au/xrecord=b2119587")</f>
        <v>https://www.catalog.slsa.sa.gov.au/xrecord=b2119587</v>
      </c>
      <c r="D1234" t="s">
        <v>66</v>
      </c>
      <c r="E1234" t="s">
        <v>4606</v>
      </c>
      <c r="F1234">
        <v>1951</v>
      </c>
      <c r="G1234" t="s">
        <v>121</v>
      </c>
      <c r="H1234" t="s">
        <v>4607</v>
      </c>
      <c r="I1234" t="s">
        <v>1750</v>
      </c>
      <c r="J1234" t="s">
        <v>71</v>
      </c>
      <c r="K1234" s="2" t="str">
        <f>HYPERLINK("http://collections.slsa.sa.gov.au/arthur/07000/BRG347_6900.htm")</f>
        <v>http://collections.slsa.sa.gov.au/arthur/07000/BRG347_6900.htm</v>
      </c>
    </row>
    <row r="1235" spans="1:11" x14ac:dyDescent="0.25">
      <c r="A1235" t="s">
        <v>4608</v>
      </c>
      <c r="B1235" s="1" t="str">
        <f>HYPERLINK("https://www.catalog.slsa.sa.gov.au/record=b2119599")</f>
        <v>https://www.catalog.slsa.sa.gov.au/record=b2119599</v>
      </c>
      <c r="C1235" s="1" t="str">
        <f>HYPERLINK("https://www.catalog.slsa.sa.gov.au/xrecord=b2119599")</f>
        <v>https://www.catalog.slsa.sa.gov.au/xrecord=b2119599</v>
      </c>
      <c r="D1235" t="s">
        <v>66</v>
      </c>
      <c r="E1235" t="s">
        <v>4609</v>
      </c>
      <c r="F1235">
        <v>1951</v>
      </c>
      <c r="G1235" t="s">
        <v>121</v>
      </c>
      <c r="H1235" t="s">
        <v>4610</v>
      </c>
      <c r="I1235" t="s">
        <v>4611</v>
      </c>
      <c r="J1235" t="s">
        <v>71</v>
      </c>
      <c r="K1235" s="2" t="str">
        <f>HYPERLINK("http://collections.slsa.sa.gov.au/arthur/07000/BRG347_6912.htm")</f>
        <v>http://collections.slsa.sa.gov.au/arthur/07000/BRG347_6912.htm</v>
      </c>
    </row>
    <row r="1236" spans="1:11" x14ac:dyDescent="0.25">
      <c r="A1236" t="s">
        <v>4612</v>
      </c>
      <c r="B1236" s="1" t="str">
        <f>HYPERLINK("https://www.catalog.slsa.sa.gov.au/record=b3016219")</f>
        <v>https://www.catalog.slsa.sa.gov.au/record=b3016219</v>
      </c>
      <c r="C1236" s="1" t="str">
        <f>HYPERLINK("https://www.catalog.slsa.sa.gov.au/xrecord=b3016219")</f>
        <v>https://www.catalog.slsa.sa.gov.au/xrecord=b3016219</v>
      </c>
      <c r="D1236" t="s">
        <v>4613</v>
      </c>
      <c r="E1236" t="s">
        <v>4614</v>
      </c>
      <c r="F1236">
        <v>1951</v>
      </c>
      <c r="G1236" t="s">
        <v>4615</v>
      </c>
      <c r="H1236" t="s">
        <v>4616</v>
      </c>
      <c r="I1236" t="s">
        <v>4617</v>
      </c>
      <c r="J1236" t="s">
        <v>4618</v>
      </c>
      <c r="K1236" s="2" t="str">
        <f>HYPERLINK("http://collections.slsa.sa.gov.au/resource/PRG+1642/27/1")</f>
        <v>http://collections.slsa.sa.gov.au/resource/PRG+1642/27/1</v>
      </c>
    </row>
    <row r="1237" spans="1:11" x14ac:dyDescent="0.25">
      <c r="A1237" t="s">
        <v>4619</v>
      </c>
      <c r="B1237" s="1" t="str">
        <f>HYPERLINK("https://www.catalog.slsa.sa.gov.au/record=b3016230")</f>
        <v>https://www.catalog.slsa.sa.gov.au/record=b3016230</v>
      </c>
      <c r="C1237" s="1" t="str">
        <f>HYPERLINK("https://www.catalog.slsa.sa.gov.au/xrecord=b3016230")</f>
        <v>https://www.catalog.slsa.sa.gov.au/xrecord=b3016230</v>
      </c>
      <c r="D1237" t="s">
        <v>4613</v>
      </c>
      <c r="E1237" t="s">
        <v>4620</v>
      </c>
      <c r="F1237">
        <v>1951</v>
      </c>
      <c r="G1237" t="s">
        <v>4615</v>
      </c>
      <c r="H1237" t="s">
        <v>4621</v>
      </c>
      <c r="I1237" t="s">
        <v>4622</v>
      </c>
      <c r="J1237" t="s">
        <v>4618</v>
      </c>
      <c r="K1237" s="2" t="str">
        <f>HYPERLINK("http://collections.slsa.sa.gov.au/resource/PRG+1642/27/10")</f>
        <v>http://collections.slsa.sa.gov.au/resource/PRG+1642/27/10</v>
      </c>
    </row>
    <row r="1238" spans="1:11" x14ac:dyDescent="0.25">
      <c r="A1238" t="s">
        <v>4623</v>
      </c>
      <c r="B1238" s="1" t="str">
        <f>HYPERLINK("https://www.catalog.slsa.sa.gov.au/record=b3016231")</f>
        <v>https://www.catalog.slsa.sa.gov.au/record=b3016231</v>
      </c>
      <c r="C1238" s="1" t="str">
        <f>HYPERLINK("https://www.catalog.slsa.sa.gov.au/xrecord=b3016231")</f>
        <v>https://www.catalog.slsa.sa.gov.au/xrecord=b3016231</v>
      </c>
      <c r="D1238" t="s">
        <v>4613</v>
      </c>
      <c r="E1238" t="s">
        <v>4624</v>
      </c>
      <c r="F1238">
        <v>1951</v>
      </c>
      <c r="G1238" t="s">
        <v>4625</v>
      </c>
      <c r="H1238" t="s">
        <v>4626</v>
      </c>
      <c r="I1238" t="s">
        <v>4627</v>
      </c>
      <c r="J1238" t="s">
        <v>4628</v>
      </c>
      <c r="K1238" s="2" t="str">
        <f>HYPERLINK("http://collections.slsa.sa.gov.au/resource/PRG+1642/27/11")</f>
        <v>http://collections.slsa.sa.gov.au/resource/PRG+1642/27/11</v>
      </c>
    </row>
    <row r="1239" spans="1:11" x14ac:dyDescent="0.25">
      <c r="A1239" t="s">
        <v>4629</v>
      </c>
      <c r="B1239" s="1" t="str">
        <f>HYPERLINK("https://www.catalog.slsa.sa.gov.au/record=b3016215")</f>
        <v>https://www.catalog.slsa.sa.gov.au/record=b3016215</v>
      </c>
      <c r="C1239" s="1" t="str">
        <f>HYPERLINK("https://www.catalog.slsa.sa.gov.au/xrecord=b3016215")</f>
        <v>https://www.catalog.slsa.sa.gov.au/xrecord=b3016215</v>
      </c>
      <c r="D1239" t="s">
        <v>4613</v>
      </c>
      <c r="E1239" t="s">
        <v>2687</v>
      </c>
      <c r="F1239">
        <v>1951</v>
      </c>
      <c r="G1239" t="s">
        <v>4615</v>
      </c>
      <c r="H1239" t="s">
        <v>4630</v>
      </c>
      <c r="I1239" t="s">
        <v>4631</v>
      </c>
      <c r="J1239" t="s">
        <v>4618</v>
      </c>
      <c r="K1239" s="2" t="str">
        <f>HYPERLINK("http://collections.slsa.sa.gov.au/resource/PRG+1642/27/2")</f>
        <v>http://collections.slsa.sa.gov.au/resource/PRG+1642/27/2</v>
      </c>
    </row>
    <row r="1240" spans="1:11" x14ac:dyDescent="0.25">
      <c r="A1240" t="s">
        <v>4632</v>
      </c>
      <c r="B1240" s="1" t="str">
        <f>HYPERLINK("https://www.catalog.slsa.sa.gov.au/record=b3016220")</f>
        <v>https://www.catalog.slsa.sa.gov.au/record=b3016220</v>
      </c>
      <c r="C1240" s="1" t="str">
        <f>HYPERLINK("https://www.catalog.slsa.sa.gov.au/xrecord=b3016220")</f>
        <v>https://www.catalog.slsa.sa.gov.au/xrecord=b3016220</v>
      </c>
      <c r="D1240" t="s">
        <v>4613</v>
      </c>
      <c r="E1240" t="s">
        <v>4633</v>
      </c>
      <c r="F1240">
        <v>1951</v>
      </c>
      <c r="G1240" t="s">
        <v>4615</v>
      </c>
      <c r="H1240" t="s">
        <v>4634</v>
      </c>
      <c r="I1240" t="s">
        <v>4617</v>
      </c>
      <c r="J1240" t="s">
        <v>4618</v>
      </c>
      <c r="K1240" s="2" t="str">
        <f>HYPERLINK("http://collections.slsa.sa.gov.au/resource/PRG+1642/27/3")</f>
        <v>http://collections.slsa.sa.gov.au/resource/PRG+1642/27/3</v>
      </c>
    </row>
    <row r="1241" spans="1:11" x14ac:dyDescent="0.25">
      <c r="A1241" t="s">
        <v>4635</v>
      </c>
      <c r="B1241" s="1" t="str">
        <f>HYPERLINK("https://www.catalog.slsa.sa.gov.au/record=b3016222")</f>
        <v>https://www.catalog.slsa.sa.gov.au/record=b3016222</v>
      </c>
      <c r="C1241" s="1" t="str">
        <f>HYPERLINK("https://www.catalog.slsa.sa.gov.au/xrecord=b3016222")</f>
        <v>https://www.catalog.slsa.sa.gov.au/xrecord=b3016222</v>
      </c>
      <c r="D1241" t="s">
        <v>4613</v>
      </c>
      <c r="E1241" t="s">
        <v>4636</v>
      </c>
      <c r="F1241">
        <v>1951</v>
      </c>
      <c r="G1241" t="s">
        <v>4615</v>
      </c>
      <c r="H1241" t="s">
        <v>4637</v>
      </c>
      <c r="I1241" t="s">
        <v>4617</v>
      </c>
      <c r="J1241" t="s">
        <v>4618</v>
      </c>
      <c r="K1241" s="2" t="str">
        <f>HYPERLINK("http://collections.slsa.sa.gov.au/resource/PRG+1642/27/4")</f>
        <v>http://collections.slsa.sa.gov.au/resource/PRG+1642/27/4</v>
      </c>
    </row>
    <row r="1242" spans="1:11" x14ac:dyDescent="0.25">
      <c r="A1242" t="s">
        <v>4638</v>
      </c>
      <c r="B1242" s="1" t="str">
        <f>HYPERLINK("https://www.catalog.slsa.sa.gov.au/record=b3016224")</f>
        <v>https://www.catalog.slsa.sa.gov.au/record=b3016224</v>
      </c>
      <c r="C1242" s="1" t="str">
        <f>HYPERLINK("https://www.catalog.slsa.sa.gov.au/xrecord=b3016224")</f>
        <v>https://www.catalog.slsa.sa.gov.au/xrecord=b3016224</v>
      </c>
      <c r="D1242" t="s">
        <v>4613</v>
      </c>
      <c r="E1242" t="s">
        <v>4639</v>
      </c>
      <c r="F1242">
        <v>1951</v>
      </c>
      <c r="G1242" t="s">
        <v>4615</v>
      </c>
      <c r="H1242" t="s">
        <v>4640</v>
      </c>
      <c r="I1242" t="s">
        <v>4641</v>
      </c>
      <c r="J1242" t="s">
        <v>4642</v>
      </c>
      <c r="K1242" s="2" t="str">
        <f>HYPERLINK("http://collections.slsa.sa.gov.au/resource/PRG+1642/27/5")</f>
        <v>http://collections.slsa.sa.gov.au/resource/PRG+1642/27/5</v>
      </c>
    </row>
    <row r="1243" spans="1:11" x14ac:dyDescent="0.25">
      <c r="A1243" t="s">
        <v>4643</v>
      </c>
      <c r="B1243" s="1" t="str">
        <f>HYPERLINK("https://www.catalog.slsa.sa.gov.au/record=b3016225")</f>
        <v>https://www.catalog.slsa.sa.gov.au/record=b3016225</v>
      </c>
      <c r="C1243" s="1" t="str">
        <f>HYPERLINK("https://www.catalog.slsa.sa.gov.au/xrecord=b3016225")</f>
        <v>https://www.catalog.slsa.sa.gov.au/xrecord=b3016225</v>
      </c>
      <c r="D1243" t="s">
        <v>4613</v>
      </c>
      <c r="E1243" t="s">
        <v>4644</v>
      </c>
      <c r="F1243">
        <v>1951</v>
      </c>
      <c r="G1243" t="s">
        <v>4615</v>
      </c>
      <c r="H1243" t="s">
        <v>4645</v>
      </c>
      <c r="I1243" t="s">
        <v>4646</v>
      </c>
      <c r="J1243" t="s">
        <v>4618</v>
      </c>
      <c r="K1243" s="2" t="str">
        <f>HYPERLINK("http://collections.slsa.sa.gov.au/resource/PRG+1642/27/6")</f>
        <v>http://collections.slsa.sa.gov.au/resource/PRG+1642/27/6</v>
      </c>
    </row>
    <row r="1244" spans="1:11" x14ac:dyDescent="0.25">
      <c r="A1244" t="s">
        <v>4647</v>
      </c>
      <c r="B1244" s="1" t="str">
        <f>HYPERLINK("https://www.catalog.slsa.sa.gov.au/record=b3016227")</f>
        <v>https://www.catalog.slsa.sa.gov.au/record=b3016227</v>
      </c>
      <c r="C1244" s="1" t="str">
        <f>HYPERLINK("https://www.catalog.slsa.sa.gov.au/xrecord=b3016227")</f>
        <v>https://www.catalog.slsa.sa.gov.au/xrecord=b3016227</v>
      </c>
      <c r="D1244" t="s">
        <v>4613</v>
      </c>
      <c r="E1244" t="s">
        <v>4648</v>
      </c>
      <c r="F1244">
        <v>1951</v>
      </c>
      <c r="G1244" t="s">
        <v>4615</v>
      </c>
      <c r="H1244" t="s">
        <v>4649</v>
      </c>
      <c r="I1244" t="s">
        <v>2730</v>
      </c>
      <c r="J1244" t="s">
        <v>4618</v>
      </c>
      <c r="K1244" s="2" t="str">
        <f>HYPERLINK("http://collections.slsa.sa.gov.au/resource/PRG+1642/27/7")</f>
        <v>http://collections.slsa.sa.gov.au/resource/PRG+1642/27/7</v>
      </c>
    </row>
    <row r="1245" spans="1:11" x14ac:dyDescent="0.25">
      <c r="A1245" t="s">
        <v>4650</v>
      </c>
      <c r="B1245" s="1" t="str">
        <f>HYPERLINK("https://www.catalog.slsa.sa.gov.au/record=b3016228")</f>
        <v>https://www.catalog.slsa.sa.gov.au/record=b3016228</v>
      </c>
      <c r="C1245" s="1" t="str">
        <f>HYPERLINK("https://www.catalog.slsa.sa.gov.au/xrecord=b3016228")</f>
        <v>https://www.catalog.slsa.sa.gov.au/xrecord=b3016228</v>
      </c>
      <c r="D1245" t="s">
        <v>4613</v>
      </c>
      <c r="E1245" t="s">
        <v>4651</v>
      </c>
      <c r="F1245">
        <v>1951</v>
      </c>
      <c r="G1245" t="s">
        <v>4615</v>
      </c>
      <c r="H1245" t="s">
        <v>4652</v>
      </c>
      <c r="I1245" t="s">
        <v>4653</v>
      </c>
      <c r="J1245" t="s">
        <v>4618</v>
      </c>
      <c r="K1245" s="2" t="str">
        <f>HYPERLINK("http://collections.slsa.sa.gov.au/resource/PRG+1642/27/8")</f>
        <v>http://collections.slsa.sa.gov.au/resource/PRG+1642/27/8</v>
      </c>
    </row>
    <row r="1246" spans="1:11" x14ac:dyDescent="0.25">
      <c r="A1246" t="s">
        <v>4654</v>
      </c>
      <c r="B1246" s="1" t="str">
        <f>HYPERLINK("https://www.catalog.slsa.sa.gov.au/record=b3016229")</f>
        <v>https://www.catalog.slsa.sa.gov.au/record=b3016229</v>
      </c>
      <c r="C1246" s="1" t="str">
        <f>HYPERLINK("https://www.catalog.slsa.sa.gov.au/xrecord=b3016229")</f>
        <v>https://www.catalog.slsa.sa.gov.au/xrecord=b3016229</v>
      </c>
      <c r="D1246" t="s">
        <v>4613</v>
      </c>
      <c r="E1246" t="s">
        <v>4655</v>
      </c>
      <c r="F1246">
        <v>1951</v>
      </c>
      <c r="G1246" t="s">
        <v>4615</v>
      </c>
      <c r="H1246" t="s">
        <v>4656</v>
      </c>
      <c r="I1246" t="s">
        <v>4622</v>
      </c>
      <c r="J1246" t="s">
        <v>4618</v>
      </c>
      <c r="K1246" s="2" t="str">
        <f>HYPERLINK("http://collections.slsa.sa.gov.au/resource/PRG+1642/27/9")</f>
        <v>http://collections.slsa.sa.gov.au/resource/PRG+1642/27/9</v>
      </c>
    </row>
    <row r="1247" spans="1:11" x14ac:dyDescent="0.25">
      <c r="A1247" t="s">
        <v>4657</v>
      </c>
      <c r="B1247" s="1" t="str">
        <f>HYPERLINK("https://www.catalog.slsa.sa.gov.au/record=b3112642")</f>
        <v>https://www.catalog.slsa.sa.gov.au/record=b3112642</v>
      </c>
      <c r="C1247" s="1" t="str">
        <f>HYPERLINK("https://www.catalog.slsa.sa.gov.au/xrecord=b3112642")</f>
        <v>https://www.catalog.slsa.sa.gov.au/xrecord=b3112642</v>
      </c>
      <c r="E1247" t="s">
        <v>4658</v>
      </c>
      <c r="F1247">
        <v>1951</v>
      </c>
      <c r="G1247" t="s">
        <v>2804</v>
      </c>
      <c r="H1247" t="s">
        <v>4659</v>
      </c>
      <c r="I1247" t="s">
        <v>4660</v>
      </c>
      <c r="J1247" t="s">
        <v>4661</v>
      </c>
      <c r="K1247" s="2" t="str">
        <f>HYPERLINK("http://collections.slsa.sa.gov.au/resource/PRG+1681/16/17")</f>
        <v>http://collections.slsa.sa.gov.au/resource/PRG+1681/16/17</v>
      </c>
    </row>
    <row r="1248" spans="1:11" x14ac:dyDescent="0.25">
      <c r="A1248" t="s">
        <v>4662</v>
      </c>
      <c r="B1248" s="1" t="str">
        <f>HYPERLINK("https://www.catalog.slsa.sa.gov.au/record=b2081451")</f>
        <v>https://www.catalog.slsa.sa.gov.au/record=b2081451</v>
      </c>
      <c r="C1248" s="1" t="str">
        <f>HYPERLINK("https://www.catalog.slsa.sa.gov.au/xrecord=b2081451")</f>
        <v>https://www.catalog.slsa.sa.gov.au/xrecord=b2081451</v>
      </c>
      <c r="D1248" t="s">
        <v>1837</v>
      </c>
      <c r="E1248" t="s">
        <v>4663</v>
      </c>
      <c r="F1248">
        <v>1951</v>
      </c>
      <c r="G1248" t="s">
        <v>4664</v>
      </c>
      <c r="H1248" t="s">
        <v>4665</v>
      </c>
      <c r="I1248" t="s">
        <v>4666</v>
      </c>
      <c r="J1248" t="s">
        <v>1848</v>
      </c>
      <c r="K1248" s="2" t="str">
        <f>HYPERLINK("http://collections.slsa.sa.gov.au/resource/SRG+488/18/164")</f>
        <v>http://collections.slsa.sa.gov.au/resource/SRG+488/18/164</v>
      </c>
    </row>
    <row r="1249" spans="1:11" x14ac:dyDescent="0.25">
      <c r="A1249" t="s">
        <v>4667</v>
      </c>
      <c r="B1249" s="1" t="str">
        <f>HYPERLINK("https://www.catalog.slsa.sa.gov.au/record=b3024710")</f>
        <v>https://www.catalog.slsa.sa.gov.au/record=b3024710</v>
      </c>
      <c r="C1249" s="1" t="str">
        <f>HYPERLINK("https://www.catalog.slsa.sa.gov.au/xrecord=b3024710")</f>
        <v>https://www.catalog.slsa.sa.gov.au/xrecord=b3024710</v>
      </c>
      <c r="E1249" t="s">
        <v>1904</v>
      </c>
      <c r="F1249">
        <v>1951</v>
      </c>
      <c r="G1249" t="s">
        <v>4668</v>
      </c>
      <c r="H1249" t="s">
        <v>4669</v>
      </c>
      <c r="I1249" t="s">
        <v>1907</v>
      </c>
      <c r="J1249" t="s">
        <v>1902</v>
      </c>
      <c r="K1249" s="2" t="str">
        <f>HYPERLINK("http://collections.slsa.sa.gov.au/resource/SRG+873/1/59")</f>
        <v>http://collections.slsa.sa.gov.au/resource/SRG+873/1/59</v>
      </c>
    </row>
    <row r="1250" spans="1:11" x14ac:dyDescent="0.25">
      <c r="A1250" t="s">
        <v>4670</v>
      </c>
      <c r="B1250" s="1" t="str">
        <f>HYPERLINK("https://www.catalog.slsa.sa.gov.au/record=b3024716")</f>
        <v>https://www.catalog.slsa.sa.gov.au/record=b3024716</v>
      </c>
      <c r="C1250" s="1" t="str">
        <f>HYPERLINK("https://www.catalog.slsa.sa.gov.au/xrecord=b3024716")</f>
        <v>https://www.catalog.slsa.sa.gov.au/xrecord=b3024716</v>
      </c>
      <c r="E1250" t="s">
        <v>4671</v>
      </c>
      <c r="F1250">
        <v>1951</v>
      </c>
      <c r="G1250" t="s">
        <v>4668</v>
      </c>
      <c r="H1250" t="s">
        <v>4672</v>
      </c>
      <c r="I1250" t="s">
        <v>1907</v>
      </c>
      <c r="J1250" t="s">
        <v>1902</v>
      </c>
      <c r="K1250" s="2" t="str">
        <f>HYPERLINK("http://collections.slsa.sa.gov.au/resource/SRG+873/1/60")</f>
        <v>http://collections.slsa.sa.gov.au/resource/SRG+873/1/60</v>
      </c>
    </row>
    <row r="1251" spans="1:11" x14ac:dyDescent="0.25">
      <c r="A1251" t="s">
        <v>4673</v>
      </c>
      <c r="B1251" s="1" t="str">
        <f>HYPERLINK("https://www.catalog.slsa.sa.gov.au/record=b3024820")</f>
        <v>https://www.catalog.slsa.sa.gov.au/record=b3024820</v>
      </c>
      <c r="C1251" s="1" t="str">
        <f>HYPERLINK("https://www.catalog.slsa.sa.gov.au/xrecord=b3024820")</f>
        <v>https://www.catalog.slsa.sa.gov.au/xrecord=b3024820</v>
      </c>
      <c r="E1251" t="s">
        <v>4674</v>
      </c>
      <c r="F1251">
        <v>1951</v>
      </c>
      <c r="G1251" t="s">
        <v>4675</v>
      </c>
      <c r="H1251" t="s">
        <v>4676</v>
      </c>
      <c r="I1251" t="s">
        <v>1917</v>
      </c>
      <c r="J1251" t="s">
        <v>1902</v>
      </c>
      <c r="K1251" s="2" t="str">
        <f>HYPERLINK("http://collections.slsa.sa.gov.au/resource/SRG+873/1/68")</f>
        <v>http://collections.slsa.sa.gov.au/resource/SRG+873/1/68</v>
      </c>
    </row>
    <row r="1252" spans="1:11" x14ac:dyDescent="0.25">
      <c r="A1252" t="s">
        <v>4677</v>
      </c>
      <c r="B1252" s="1" t="str">
        <f>HYPERLINK("https://www.catalog.slsa.sa.gov.au/record=b3025060")</f>
        <v>https://www.catalog.slsa.sa.gov.au/record=b3025060</v>
      </c>
      <c r="C1252" s="1" t="str">
        <f>HYPERLINK("https://www.catalog.slsa.sa.gov.au/xrecord=b3025060")</f>
        <v>https://www.catalog.slsa.sa.gov.au/xrecord=b3025060</v>
      </c>
      <c r="E1252" t="s">
        <v>4678</v>
      </c>
      <c r="F1252">
        <v>1951</v>
      </c>
      <c r="G1252" t="s">
        <v>4679</v>
      </c>
      <c r="H1252" t="s">
        <v>4680</v>
      </c>
      <c r="I1252" t="s">
        <v>1917</v>
      </c>
      <c r="J1252" t="s">
        <v>1902</v>
      </c>
      <c r="K1252" s="2" t="str">
        <f>HYPERLINK("http://collections.slsa.sa.gov.au/resource/SRG+873/1/78")</f>
        <v>http://collections.slsa.sa.gov.au/resource/SRG+873/1/78</v>
      </c>
    </row>
    <row r="1253" spans="1:11" x14ac:dyDescent="0.25">
      <c r="A1253" t="s">
        <v>4681</v>
      </c>
      <c r="B1253" s="1" t="str">
        <f>HYPERLINK("https://www.catalog.slsa.sa.gov.au/record=b3025063")</f>
        <v>https://www.catalog.slsa.sa.gov.au/record=b3025063</v>
      </c>
      <c r="C1253" s="1" t="str">
        <f>HYPERLINK("https://www.catalog.slsa.sa.gov.au/xrecord=b3025063")</f>
        <v>https://www.catalog.slsa.sa.gov.au/xrecord=b3025063</v>
      </c>
      <c r="E1253" t="s">
        <v>4682</v>
      </c>
      <c r="F1253">
        <v>1951</v>
      </c>
      <c r="G1253" t="s">
        <v>4683</v>
      </c>
      <c r="H1253" t="s">
        <v>4684</v>
      </c>
      <c r="I1253" t="s">
        <v>1917</v>
      </c>
      <c r="J1253" t="s">
        <v>1902</v>
      </c>
      <c r="K1253" s="2" t="str">
        <f>HYPERLINK("http://collections.slsa.sa.gov.au/resource/SRG+873/1/79")</f>
        <v>http://collections.slsa.sa.gov.au/resource/SRG+873/1/79</v>
      </c>
    </row>
    <row r="1254" spans="1:11" x14ac:dyDescent="0.25">
      <c r="A1254" t="s">
        <v>4685</v>
      </c>
      <c r="B1254" s="1" t="str">
        <f>HYPERLINK("https://www.catalog.slsa.sa.gov.au/record=b2923963")</f>
        <v>https://www.catalog.slsa.sa.gov.au/record=b2923963</v>
      </c>
      <c r="C1254" s="1" t="str">
        <f>HYPERLINK("https://www.catalog.slsa.sa.gov.au/xrecord=b2923963")</f>
        <v>https://www.catalog.slsa.sa.gov.au/xrecord=b2923963</v>
      </c>
      <c r="D1254" t="s">
        <v>3775</v>
      </c>
      <c r="E1254" t="s">
        <v>4686</v>
      </c>
      <c r="F1254">
        <v>1951</v>
      </c>
      <c r="G1254" t="s">
        <v>4687</v>
      </c>
      <c r="H1254" t="s">
        <v>4688</v>
      </c>
      <c r="I1254" t="s">
        <v>4689</v>
      </c>
      <c r="J1254" t="s">
        <v>3780</v>
      </c>
      <c r="K1254" s="2" t="str">
        <f>HYPERLINK("http://collections.slsa.sa.gov.au/srg/94/A1/SRG94_A1_75_10.htm")</f>
        <v>http://collections.slsa.sa.gov.au/srg/94/A1/SRG94_A1_75_10.htm</v>
      </c>
    </row>
    <row r="1255" spans="1:11" x14ac:dyDescent="0.25">
      <c r="A1255" t="s">
        <v>4690</v>
      </c>
      <c r="B1255" s="1" t="str">
        <f>HYPERLINK("https://www.catalog.slsa.sa.gov.au/record=b2084331")</f>
        <v>https://www.catalog.slsa.sa.gov.au/record=b2084331</v>
      </c>
      <c r="C1255" s="1" t="str">
        <f>HYPERLINK("https://www.catalog.slsa.sa.gov.au/xrecord=b2084331")</f>
        <v>https://www.catalog.slsa.sa.gov.au/xrecord=b2084331</v>
      </c>
      <c r="E1255" t="s">
        <v>2010</v>
      </c>
      <c r="F1255" t="s">
        <v>4691</v>
      </c>
      <c r="G1255" t="s">
        <v>4692</v>
      </c>
      <c r="H1255" t="s">
        <v>4693</v>
      </c>
      <c r="I1255" t="s">
        <v>4694</v>
      </c>
      <c r="J1255" t="s">
        <v>1757</v>
      </c>
      <c r="K1255" s="2" t="str">
        <f>HYPERLINK("http://collections.slsa.sa.gov.au/godson/1/00750/PRG1258_1_585.htm")</f>
        <v>http://collections.slsa.sa.gov.au/godson/1/00750/PRG1258_1_585.htm</v>
      </c>
    </row>
    <row r="1256" spans="1:11" x14ac:dyDescent="0.25">
      <c r="A1256" t="s">
        <v>4695</v>
      </c>
      <c r="B1256" s="1" t="str">
        <f>HYPERLINK("https://www.catalog.slsa.sa.gov.au/record=b2084332")</f>
        <v>https://www.catalog.slsa.sa.gov.au/record=b2084332</v>
      </c>
      <c r="C1256" s="1" t="str">
        <f>HYPERLINK("https://www.catalog.slsa.sa.gov.au/xrecord=b2084332")</f>
        <v>https://www.catalog.slsa.sa.gov.au/xrecord=b2084332</v>
      </c>
      <c r="E1256" t="s">
        <v>4696</v>
      </c>
      <c r="F1256" t="s">
        <v>4691</v>
      </c>
      <c r="G1256" t="s">
        <v>1988</v>
      </c>
      <c r="H1256" t="s">
        <v>4697</v>
      </c>
      <c r="I1256" t="s">
        <v>4698</v>
      </c>
      <c r="J1256" t="s">
        <v>1757</v>
      </c>
      <c r="K1256" s="2" t="str">
        <f>HYPERLINK("http://collections.slsa.sa.gov.au/godson/1/00750/PRG1258_1_597.htm")</f>
        <v>http://collections.slsa.sa.gov.au/godson/1/00750/PRG1258_1_597.htm</v>
      </c>
    </row>
    <row r="1257" spans="1:11" x14ac:dyDescent="0.25">
      <c r="A1257" t="s">
        <v>4699</v>
      </c>
      <c r="B1257" s="1" t="str">
        <f>HYPERLINK("https://www.catalog.slsa.sa.gov.au/record=b2086592")</f>
        <v>https://www.catalog.slsa.sa.gov.au/record=b2086592</v>
      </c>
      <c r="C1257" s="1" t="str">
        <f>HYPERLINK("https://www.catalog.slsa.sa.gov.au/xrecord=b2086592")</f>
        <v>https://www.catalog.slsa.sa.gov.au/xrecord=b2086592</v>
      </c>
      <c r="E1257" t="s">
        <v>4700</v>
      </c>
      <c r="F1257" t="s">
        <v>4691</v>
      </c>
      <c r="G1257" t="s">
        <v>2027</v>
      </c>
      <c r="H1257" t="s">
        <v>4701</v>
      </c>
      <c r="I1257" t="s">
        <v>4702</v>
      </c>
      <c r="J1257" t="s">
        <v>1757</v>
      </c>
      <c r="K1257" s="2" t="str">
        <f>HYPERLINK("http://collections.slsa.sa.gov.au/godson/1/02250/PRG1258_1_2224.htm")</f>
        <v>http://collections.slsa.sa.gov.au/godson/1/02250/PRG1258_1_2224.htm</v>
      </c>
    </row>
    <row r="1258" spans="1:11" x14ac:dyDescent="0.25">
      <c r="A1258" t="s">
        <v>4703</v>
      </c>
      <c r="B1258" s="1" t="str">
        <f>HYPERLINK("https://www.catalog.slsa.sa.gov.au/record=b3016317")</f>
        <v>https://www.catalog.slsa.sa.gov.au/record=b3016317</v>
      </c>
      <c r="C1258" s="1" t="str">
        <f>HYPERLINK("https://www.catalog.slsa.sa.gov.au/xrecord=b3016317")</f>
        <v>https://www.catalog.slsa.sa.gov.au/xrecord=b3016317</v>
      </c>
      <c r="E1258" t="s">
        <v>4704</v>
      </c>
      <c r="F1258" t="s">
        <v>4691</v>
      </c>
      <c r="G1258" t="s">
        <v>4705</v>
      </c>
      <c r="H1258" t="s">
        <v>4706</v>
      </c>
      <c r="I1258" t="s">
        <v>4707</v>
      </c>
      <c r="J1258" t="s">
        <v>4708</v>
      </c>
      <c r="K1258" s="2" t="str">
        <f>HYPERLINK("http://collections.slsa.sa.gov.au/resource/PRG+1642/27/19")</f>
        <v>http://collections.slsa.sa.gov.au/resource/PRG+1642/27/19</v>
      </c>
    </row>
    <row r="1259" spans="1:11" x14ac:dyDescent="0.25">
      <c r="A1259" t="s">
        <v>4709</v>
      </c>
      <c r="B1259" s="1" t="str">
        <f>HYPERLINK("https://www.catalog.slsa.sa.gov.au/record=b3013556")</f>
        <v>https://www.catalog.slsa.sa.gov.au/record=b3013556</v>
      </c>
      <c r="C1259" s="1" t="str">
        <f>HYPERLINK("https://www.catalog.slsa.sa.gov.au/xrecord=b3013556")</f>
        <v>https://www.catalog.slsa.sa.gov.au/xrecord=b3013556</v>
      </c>
      <c r="D1259" t="s">
        <v>1811</v>
      </c>
      <c r="E1259" t="s">
        <v>4710</v>
      </c>
      <c r="F1259" t="s">
        <v>4691</v>
      </c>
      <c r="G1259" t="s">
        <v>4711</v>
      </c>
      <c r="H1259" t="s">
        <v>4712</v>
      </c>
      <c r="I1259" t="s">
        <v>4713</v>
      </c>
      <c r="J1259" t="s">
        <v>2573</v>
      </c>
      <c r="K1259" s="2" t="str">
        <f>HYPERLINK("http://collections.slsa.sa.gov.au/resource/PRG+1644/2/9")</f>
        <v>http://collections.slsa.sa.gov.au/resource/PRG+1644/2/9</v>
      </c>
    </row>
    <row r="1260" spans="1:11" x14ac:dyDescent="0.25">
      <c r="A1260" t="s">
        <v>4714</v>
      </c>
      <c r="B1260" s="1" t="str">
        <f>HYPERLINK("https://www.catalog.slsa.sa.gov.au/record=b2955798")</f>
        <v>https://www.catalog.slsa.sa.gov.au/record=b2955798</v>
      </c>
      <c r="C1260" s="1" t="str">
        <f>HYPERLINK("https://www.catalog.slsa.sa.gov.au/xrecord=b2955798")</f>
        <v>https://www.catalog.slsa.sa.gov.au/xrecord=b2955798</v>
      </c>
      <c r="D1260" t="s">
        <v>4715</v>
      </c>
      <c r="E1260" t="s">
        <v>4716</v>
      </c>
      <c r="F1260">
        <v>1952</v>
      </c>
      <c r="G1260" t="s">
        <v>4717</v>
      </c>
      <c r="H1260" t="s">
        <v>4718</v>
      </c>
      <c r="I1260" t="s">
        <v>4719</v>
      </c>
      <c r="J1260" t="s">
        <v>4720</v>
      </c>
      <c r="K1260" s="2" t="str">
        <f>HYPERLINK("http://collections.slsa.sa.gov.au/resource/PRG+682/16/131")</f>
        <v>http://collections.slsa.sa.gov.au/resource/PRG+682/16/131</v>
      </c>
    </row>
    <row r="1261" spans="1:11" x14ac:dyDescent="0.25">
      <c r="A1261" t="s">
        <v>4721</v>
      </c>
      <c r="B1261" s="1" t="str">
        <f>HYPERLINK("https://www.catalog.slsa.sa.gov.au/record=b2107211")</f>
        <v>https://www.catalog.slsa.sa.gov.au/record=b2107211</v>
      </c>
      <c r="C1261" s="1" t="str">
        <f>HYPERLINK("https://www.catalog.slsa.sa.gov.au/xrecord=b2107211")</f>
        <v>https://www.catalog.slsa.sa.gov.au/xrecord=b2107211</v>
      </c>
      <c r="E1261" t="s">
        <v>4722</v>
      </c>
      <c r="F1261">
        <v>1952</v>
      </c>
      <c r="G1261" t="s">
        <v>4723</v>
      </c>
      <c r="H1261" t="s">
        <v>14</v>
      </c>
      <c r="I1261" t="s">
        <v>4724</v>
      </c>
      <c r="J1261" t="s">
        <v>16</v>
      </c>
      <c r="K1261" s="2" t="str">
        <f>HYPERLINK("http://collections.slsa.sa.gov.au/arbonlem/00250/PRG1324_110.htm")</f>
        <v>http://collections.slsa.sa.gov.au/arbonlem/00250/PRG1324_110.htm</v>
      </c>
    </row>
    <row r="1262" spans="1:11" x14ac:dyDescent="0.25">
      <c r="A1262" t="s">
        <v>4725</v>
      </c>
      <c r="B1262" s="1" t="str">
        <f>HYPERLINK("https://www.catalog.slsa.sa.gov.au/record=b2107237")</f>
        <v>https://www.catalog.slsa.sa.gov.au/record=b2107237</v>
      </c>
      <c r="C1262" s="1" t="str">
        <f>HYPERLINK("https://www.catalog.slsa.sa.gov.au/xrecord=b2107237")</f>
        <v>https://www.catalog.slsa.sa.gov.au/xrecord=b2107237</v>
      </c>
      <c r="E1262" t="s">
        <v>4726</v>
      </c>
      <c r="F1262">
        <v>1952</v>
      </c>
      <c r="G1262" t="s">
        <v>4727</v>
      </c>
      <c r="H1262" t="s">
        <v>14</v>
      </c>
      <c r="I1262" t="s">
        <v>4728</v>
      </c>
      <c r="J1262" t="s">
        <v>16</v>
      </c>
      <c r="K1262" s="2" t="str">
        <f>HYPERLINK("http://collections.slsa.sa.gov.au/arbonlem/00250/PRG1324_135.htm")</f>
        <v>http://collections.slsa.sa.gov.au/arbonlem/00250/PRG1324_135.htm</v>
      </c>
    </row>
    <row r="1263" spans="1:11" x14ac:dyDescent="0.25">
      <c r="A1263" t="s">
        <v>4729</v>
      </c>
      <c r="B1263" s="1" t="str">
        <f>HYPERLINK("https://www.catalog.slsa.sa.gov.au/record=b2107159")</f>
        <v>https://www.catalog.slsa.sa.gov.au/record=b2107159</v>
      </c>
      <c r="C1263" s="1" t="str">
        <f>HYPERLINK("https://www.catalog.slsa.sa.gov.au/xrecord=b2107159")</f>
        <v>https://www.catalog.slsa.sa.gov.au/xrecord=b2107159</v>
      </c>
      <c r="E1263" t="s">
        <v>4730</v>
      </c>
      <c r="F1263">
        <v>1952</v>
      </c>
      <c r="G1263" t="s">
        <v>4731</v>
      </c>
      <c r="H1263" t="s">
        <v>14</v>
      </c>
      <c r="I1263" t="s">
        <v>4732</v>
      </c>
      <c r="J1263" t="s">
        <v>16</v>
      </c>
      <c r="K1263" s="2" t="str">
        <f>HYPERLINK("http://collections.slsa.sa.gov.au/arbonlem/00250/PRG1324_61.htm")</f>
        <v>http://collections.slsa.sa.gov.au/arbonlem/00250/PRG1324_61.htm</v>
      </c>
    </row>
    <row r="1264" spans="1:11" x14ac:dyDescent="0.25">
      <c r="A1264" t="s">
        <v>4733</v>
      </c>
      <c r="B1264" s="1" t="str">
        <f>HYPERLINK("https://www.catalog.slsa.sa.gov.au/record=b2107537")</f>
        <v>https://www.catalog.slsa.sa.gov.au/record=b2107537</v>
      </c>
      <c r="C1264" s="1" t="str">
        <f>HYPERLINK("https://www.catalog.slsa.sa.gov.au/xrecord=b2107537")</f>
        <v>https://www.catalog.slsa.sa.gov.au/xrecord=b2107537</v>
      </c>
      <c r="E1264" t="s">
        <v>4734</v>
      </c>
      <c r="F1264">
        <v>1952</v>
      </c>
      <c r="G1264" t="s">
        <v>4735</v>
      </c>
      <c r="H1264" t="s">
        <v>14</v>
      </c>
      <c r="I1264" t="s">
        <v>4736</v>
      </c>
      <c r="J1264" t="s">
        <v>16</v>
      </c>
      <c r="K1264" s="2" t="str">
        <f>HYPERLINK("http://collections.slsa.sa.gov.au/arbonlem/00750/PRG1324_619.htm")</f>
        <v>http://collections.slsa.sa.gov.au/arbonlem/00750/PRG1324_619.htm</v>
      </c>
    </row>
    <row r="1265" spans="1:11" x14ac:dyDescent="0.25">
      <c r="A1265" t="s">
        <v>4737</v>
      </c>
      <c r="B1265" s="1" t="str">
        <f>HYPERLINK("https://www.catalog.slsa.sa.gov.au/record=b2107257")</f>
        <v>https://www.catalog.slsa.sa.gov.au/record=b2107257</v>
      </c>
      <c r="C1265" s="1" t="str">
        <f>HYPERLINK("https://www.catalog.slsa.sa.gov.au/xrecord=b2107257")</f>
        <v>https://www.catalog.slsa.sa.gov.au/xrecord=b2107257</v>
      </c>
      <c r="E1265" t="s">
        <v>4738</v>
      </c>
      <c r="F1265">
        <v>1952</v>
      </c>
      <c r="G1265" t="s">
        <v>4739</v>
      </c>
      <c r="H1265" t="s">
        <v>14</v>
      </c>
      <c r="I1265" t="s">
        <v>4740</v>
      </c>
      <c r="J1265" t="s">
        <v>16</v>
      </c>
      <c r="K1265" s="2" t="str">
        <f>HYPERLINK("http://collections.slsa.sa.gov.au/arbonlem/01000/PRG1324_791.htm")</f>
        <v>http://collections.slsa.sa.gov.au/arbonlem/01000/PRG1324_791.htm</v>
      </c>
    </row>
    <row r="1266" spans="1:11" x14ac:dyDescent="0.25">
      <c r="A1266" t="s">
        <v>4741</v>
      </c>
      <c r="B1266" s="1" t="str">
        <f>HYPERLINK("https://www.catalog.slsa.sa.gov.au/record=b2107268")</f>
        <v>https://www.catalog.slsa.sa.gov.au/record=b2107268</v>
      </c>
      <c r="C1266" s="1" t="str">
        <f>HYPERLINK("https://www.catalog.slsa.sa.gov.au/xrecord=b2107268")</f>
        <v>https://www.catalog.slsa.sa.gov.au/xrecord=b2107268</v>
      </c>
      <c r="E1266" t="s">
        <v>4742</v>
      </c>
      <c r="F1266">
        <v>1952</v>
      </c>
      <c r="G1266" t="s">
        <v>4735</v>
      </c>
      <c r="H1266" t="s">
        <v>14</v>
      </c>
      <c r="I1266" t="s">
        <v>4743</v>
      </c>
      <c r="J1266" t="s">
        <v>16</v>
      </c>
      <c r="K1266" s="2" t="str">
        <f>HYPERLINK("http://collections.slsa.sa.gov.au/arbonlem/01000/PRG1324_800.htm")</f>
        <v>http://collections.slsa.sa.gov.au/arbonlem/01000/PRG1324_800.htm</v>
      </c>
    </row>
    <row r="1267" spans="1:11" x14ac:dyDescent="0.25">
      <c r="A1267" t="s">
        <v>4744</v>
      </c>
      <c r="B1267" s="1" t="str">
        <f>HYPERLINK("https://www.catalog.slsa.sa.gov.au/record=b2107359")</f>
        <v>https://www.catalog.slsa.sa.gov.au/record=b2107359</v>
      </c>
      <c r="C1267" s="1" t="str">
        <f>HYPERLINK("https://www.catalog.slsa.sa.gov.au/xrecord=b2107359")</f>
        <v>https://www.catalog.slsa.sa.gov.au/xrecord=b2107359</v>
      </c>
      <c r="E1267" t="s">
        <v>4745</v>
      </c>
      <c r="F1267">
        <v>1952</v>
      </c>
      <c r="G1267" t="s">
        <v>4746</v>
      </c>
      <c r="H1267" t="s">
        <v>14</v>
      </c>
      <c r="I1267" t="s">
        <v>4747</v>
      </c>
      <c r="J1267" t="s">
        <v>16</v>
      </c>
      <c r="K1267" s="2" t="str">
        <f>HYPERLINK("http://collections.slsa.sa.gov.au/arbonlem/01000/PRG1324_921.htm")</f>
        <v>http://collections.slsa.sa.gov.au/arbonlem/01000/PRG1324_921.htm</v>
      </c>
    </row>
    <row r="1268" spans="1:11" x14ac:dyDescent="0.25">
      <c r="A1268" t="s">
        <v>4748</v>
      </c>
      <c r="B1268" s="1" t="str">
        <f>HYPERLINK("https://www.catalog.slsa.sa.gov.au/record=b2107360")</f>
        <v>https://www.catalog.slsa.sa.gov.au/record=b2107360</v>
      </c>
      <c r="C1268" s="1" t="str">
        <f>HYPERLINK("https://www.catalog.slsa.sa.gov.au/xrecord=b2107360")</f>
        <v>https://www.catalog.slsa.sa.gov.au/xrecord=b2107360</v>
      </c>
      <c r="E1268" t="s">
        <v>4749</v>
      </c>
      <c r="F1268">
        <v>1952</v>
      </c>
      <c r="G1268" t="s">
        <v>4750</v>
      </c>
      <c r="H1268" t="s">
        <v>14</v>
      </c>
      <c r="I1268" t="s">
        <v>4751</v>
      </c>
      <c r="J1268" t="s">
        <v>16</v>
      </c>
      <c r="K1268" s="2" t="str">
        <f>HYPERLINK("http://collections.slsa.sa.gov.au/arbonlem/01000/PRG1324_922.htm")</f>
        <v>http://collections.slsa.sa.gov.au/arbonlem/01000/PRG1324_922.htm</v>
      </c>
    </row>
    <row r="1269" spans="1:11" x14ac:dyDescent="0.25">
      <c r="A1269" t="s">
        <v>4752</v>
      </c>
      <c r="B1269" s="1" t="str">
        <f>HYPERLINK("https://www.catalog.slsa.sa.gov.au/record=b2107026")</f>
        <v>https://www.catalog.slsa.sa.gov.au/record=b2107026</v>
      </c>
      <c r="C1269" s="1" t="str">
        <f>HYPERLINK("https://www.catalog.slsa.sa.gov.au/xrecord=b2107026")</f>
        <v>https://www.catalog.slsa.sa.gov.au/xrecord=b2107026</v>
      </c>
      <c r="E1269" t="s">
        <v>4753</v>
      </c>
      <c r="F1269">
        <v>1952</v>
      </c>
      <c r="G1269" t="s">
        <v>4754</v>
      </c>
      <c r="H1269" t="s">
        <v>14</v>
      </c>
      <c r="I1269" t="s">
        <v>4755</v>
      </c>
      <c r="J1269" t="s">
        <v>16</v>
      </c>
      <c r="K1269" s="2" t="str">
        <f>HYPERLINK("http://collections.slsa.sa.gov.au/arbonlem/01250/PRG1324_1082.htm")</f>
        <v>http://collections.slsa.sa.gov.au/arbonlem/01250/PRG1324_1082.htm</v>
      </c>
    </row>
    <row r="1270" spans="1:11" x14ac:dyDescent="0.25">
      <c r="A1270" t="s">
        <v>4756</v>
      </c>
      <c r="B1270" s="1" t="str">
        <f>HYPERLINK("https://www.catalog.slsa.sa.gov.au/record=b2107027")</f>
        <v>https://www.catalog.slsa.sa.gov.au/record=b2107027</v>
      </c>
      <c r="C1270" s="1" t="str">
        <f>HYPERLINK("https://www.catalog.slsa.sa.gov.au/xrecord=b2107027")</f>
        <v>https://www.catalog.slsa.sa.gov.au/xrecord=b2107027</v>
      </c>
      <c r="E1270" t="s">
        <v>4753</v>
      </c>
      <c r="F1270">
        <v>1952</v>
      </c>
      <c r="G1270" t="s">
        <v>4757</v>
      </c>
      <c r="H1270" t="s">
        <v>14</v>
      </c>
      <c r="I1270" t="s">
        <v>4755</v>
      </c>
      <c r="J1270" t="s">
        <v>16</v>
      </c>
      <c r="K1270" s="2" t="str">
        <f>HYPERLINK("http://collections.slsa.sa.gov.au/arbonlem/01250/PRG1324_1083.htm")</f>
        <v>http://collections.slsa.sa.gov.au/arbonlem/01250/PRG1324_1083.htm</v>
      </c>
    </row>
    <row r="1271" spans="1:11" x14ac:dyDescent="0.25">
      <c r="A1271" t="s">
        <v>4758</v>
      </c>
      <c r="B1271" s="1" t="str">
        <f>HYPERLINK("https://www.catalog.slsa.sa.gov.au/record=b2107030")</f>
        <v>https://www.catalog.slsa.sa.gov.au/record=b2107030</v>
      </c>
      <c r="C1271" s="1" t="str">
        <f>HYPERLINK("https://www.catalog.slsa.sa.gov.au/xrecord=b2107030")</f>
        <v>https://www.catalog.slsa.sa.gov.au/xrecord=b2107030</v>
      </c>
      <c r="E1271" t="s">
        <v>4759</v>
      </c>
      <c r="F1271">
        <v>1952</v>
      </c>
      <c r="G1271" t="s">
        <v>4760</v>
      </c>
      <c r="H1271" t="s">
        <v>14</v>
      </c>
      <c r="I1271" t="s">
        <v>4761</v>
      </c>
      <c r="J1271" t="s">
        <v>16</v>
      </c>
      <c r="K1271" s="2" t="str">
        <f>HYPERLINK("http://collections.slsa.sa.gov.au/arbonlem/01250/PRG1324_1086.htm")</f>
        <v>http://collections.slsa.sa.gov.au/arbonlem/01250/PRG1324_1086.htm</v>
      </c>
    </row>
    <row r="1272" spans="1:11" x14ac:dyDescent="0.25">
      <c r="A1272" t="s">
        <v>4762</v>
      </c>
      <c r="B1272" s="1" t="str">
        <f>HYPERLINK("https://www.catalog.slsa.sa.gov.au/record=b2107031")</f>
        <v>https://www.catalog.slsa.sa.gov.au/record=b2107031</v>
      </c>
      <c r="C1272" s="1" t="str">
        <f>HYPERLINK("https://www.catalog.slsa.sa.gov.au/xrecord=b2107031")</f>
        <v>https://www.catalog.slsa.sa.gov.au/xrecord=b2107031</v>
      </c>
      <c r="E1272" t="s">
        <v>4759</v>
      </c>
      <c r="F1272">
        <v>1952</v>
      </c>
      <c r="G1272" t="s">
        <v>27</v>
      </c>
      <c r="H1272" t="s">
        <v>14</v>
      </c>
      <c r="I1272" t="s">
        <v>4761</v>
      </c>
      <c r="J1272" t="s">
        <v>16</v>
      </c>
      <c r="K1272" s="2" t="str">
        <f>HYPERLINK("http://collections.slsa.sa.gov.au/arbonlem/01250/PRG1324_1087.htm")</f>
        <v>http://collections.slsa.sa.gov.au/arbonlem/01250/PRG1324_1087.htm</v>
      </c>
    </row>
    <row r="1273" spans="1:11" x14ac:dyDescent="0.25">
      <c r="A1273" t="s">
        <v>4763</v>
      </c>
      <c r="B1273" s="1" t="str">
        <f>HYPERLINK("https://www.catalog.slsa.sa.gov.au/record=b2107032")</f>
        <v>https://www.catalog.slsa.sa.gov.au/record=b2107032</v>
      </c>
      <c r="C1273" s="1" t="str">
        <f>HYPERLINK("https://www.catalog.slsa.sa.gov.au/xrecord=b2107032")</f>
        <v>https://www.catalog.slsa.sa.gov.au/xrecord=b2107032</v>
      </c>
      <c r="E1273" t="s">
        <v>4759</v>
      </c>
      <c r="F1273">
        <v>1952</v>
      </c>
      <c r="G1273" t="s">
        <v>27</v>
      </c>
      <c r="H1273" t="s">
        <v>14</v>
      </c>
      <c r="I1273" t="s">
        <v>4761</v>
      </c>
      <c r="J1273" t="s">
        <v>16</v>
      </c>
      <c r="K1273" s="2" t="str">
        <f>HYPERLINK("http://collections.slsa.sa.gov.au/arbonlem/01250/PRG1324_1088.htm")</f>
        <v>http://collections.slsa.sa.gov.au/arbonlem/01250/PRG1324_1088.htm</v>
      </c>
    </row>
    <row r="1274" spans="1:11" x14ac:dyDescent="0.25">
      <c r="A1274" t="s">
        <v>4764</v>
      </c>
      <c r="B1274" s="1" t="str">
        <f>HYPERLINK("https://www.catalog.slsa.sa.gov.au/record=b2107038")</f>
        <v>https://www.catalog.slsa.sa.gov.au/record=b2107038</v>
      </c>
      <c r="C1274" s="1" t="str">
        <f>HYPERLINK("https://www.catalog.slsa.sa.gov.au/xrecord=b2107038")</f>
        <v>https://www.catalog.slsa.sa.gov.au/xrecord=b2107038</v>
      </c>
      <c r="E1274" t="s">
        <v>4765</v>
      </c>
      <c r="F1274">
        <v>1952</v>
      </c>
      <c r="G1274" t="s">
        <v>4735</v>
      </c>
      <c r="H1274" t="s">
        <v>14</v>
      </c>
      <c r="I1274" t="s">
        <v>4766</v>
      </c>
      <c r="J1274" t="s">
        <v>16</v>
      </c>
      <c r="K1274" s="2" t="str">
        <f>HYPERLINK("http://collections.slsa.sa.gov.au/arbonlem/01250/PRG1324_1094.htm")</f>
        <v>http://collections.slsa.sa.gov.au/arbonlem/01250/PRG1324_1094.htm</v>
      </c>
    </row>
    <row r="1275" spans="1:11" x14ac:dyDescent="0.25">
      <c r="A1275" t="s">
        <v>4767</v>
      </c>
      <c r="B1275" s="1" t="str">
        <f>HYPERLINK("https://www.catalog.slsa.sa.gov.au/record=b2107039")</f>
        <v>https://www.catalog.slsa.sa.gov.au/record=b2107039</v>
      </c>
      <c r="C1275" s="1" t="str">
        <f>HYPERLINK("https://www.catalog.slsa.sa.gov.au/xrecord=b2107039")</f>
        <v>https://www.catalog.slsa.sa.gov.au/xrecord=b2107039</v>
      </c>
      <c r="E1275" t="s">
        <v>4765</v>
      </c>
      <c r="F1275">
        <v>1952</v>
      </c>
      <c r="G1275" t="s">
        <v>4768</v>
      </c>
      <c r="H1275" t="s">
        <v>14</v>
      </c>
      <c r="I1275" t="s">
        <v>4766</v>
      </c>
      <c r="J1275" t="s">
        <v>16</v>
      </c>
      <c r="K1275" s="2" t="str">
        <f>HYPERLINK("http://collections.slsa.sa.gov.au/arbonlem/01250/PRG1324_1095.htm")</f>
        <v>http://collections.slsa.sa.gov.au/arbonlem/01250/PRG1324_1095.htm</v>
      </c>
    </row>
    <row r="1276" spans="1:11" x14ac:dyDescent="0.25">
      <c r="A1276" t="s">
        <v>4769</v>
      </c>
      <c r="B1276" s="1" t="str">
        <f>HYPERLINK("https://www.catalog.slsa.sa.gov.au/record=b2107092")</f>
        <v>https://www.catalog.slsa.sa.gov.au/record=b2107092</v>
      </c>
      <c r="C1276" s="1" t="str">
        <f>HYPERLINK("https://www.catalog.slsa.sa.gov.au/xrecord=b2107092")</f>
        <v>https://www.catalog.slsa.sa.gov.au/xrecord=b2107092</v>
      </c>
      <c r="E1276" t="s">
        <v>4770</v>
      </c>
      <c r="F1276">
        <v>1952</v>
      </c>
      <c r="G1276" t="s">
        <v>4771</v>
      </c>
      <c r="H1276" t="s">
        <v>14</v>
      </c>
      <c r="I1276" t="s">
        <v>4772</v>
      </c>
      <c r="J1276" t="s">
        <v>16</v>
      </c>
      <c r="K1276" s="2" t="str">
        <f>HYPERLINK("http://collections.slsa.sa.gov.au/arbonlem/01250/PRG1324_1148.htm")</f>
        <v>http://collections.slsa.sa.gov.au/arbonlem/01250/PRG1324_1148.htm</v>
      </c>
    </row>
    <row r="1277" spans="1:11" x14ac:dyDescent="0.25">
      <c r="A1277" t="s">
        <v>4773</v>
      </c>
      <c r="B1277" s="1" t="str">
        <f>HYPERLINK("https://www.catalog.slsa.sa.gov.au/record=b2108189")</f>
        <v>https://www.catalog.slsa.sa.gov.au/record=b2108189</v>
      </c>
      <c r="C1277" s="1" t="str">
        <f>HYPERLINK("https://www.catalog.slsa.sa.gov.au/xrecord=b2108189")</f>
        <v>https://www.catalog.slsa.sa.gov.au/xrecord=b2108189</v>
      </c>
      <c r="E1277" t="s">
        <v>4774</v>
      </c>
      <c r="F1277">
        <v>1952</v>
      </c>
      <c r="G1277" t="s">
        <v>27</v>
      </c>
      <c r="H1277" t="s">
        <v>14</v>
      </c>
      <c r="I1277" t="s">
        <v>4775</v>
      </c>
      <c r="J1277" t="s">
        <v>16</v>
      </c>
      <c r="K1277" s="2" t="str">
        <f>HYPERLINK("http://collections.slsa.sa.gov.au/arbonlem/01500/PRG1324_1444.htm")</f>
        <v>http://collections.slsa.sa.gov.au/arbonlem/01500/PRG1324_1444.htm</v>
      </c>
    </row>
    <row r="1278" spans="1:11" x14ac:dyDescent="0.25">
      <c r="A1278" t="s">
        <v>4776</v>
      </c>
      <c r="B1278" s="1" t="str">
        <f>HYPERLINK("https://www.catalog.slsa.sa.gov.au/record=b2108389")</f>
        <v>https://www.catalog.slsa.sa.gov.au/record=b2108389</v>
      </c>
      <c r="C1278" s="1" t="str">
        <f>HYPERLINK("https://www.catalog.slsa.sa.gov.au/xrecord=b2108389")</f>
        <v>https://www.catalog.slsa.sa.gov.au/xrecord=b2108389</v>
      </c>
      <c r="E1278" t="s">
        <v>4777</v>
      </c>
      <c r="F1278">
        <v>1952</v>
      </c>
      <c r="G1278" t="s">
        <v>4778</v>
      </c>
      <c r="H1278" t="s">
        <v>14</v>
      </c>
      <c r="I1278" t="s">
        <v>4779</v>
      </c>
      <c r="J1278" t="s">
        <v>16</v>
      </c>
      <c r="K1278" s="2" t="str">
        <f>HYPERLINK("http://collections.slsa.sa.gov.au/arbonlem/01750/PRG1324_1524a.htm")</f>
        <v>http://collections.slsa.sa.gov.au/arbonlem/01750/PRG1324_1524a.htm</v>
      </c>
    </row>
    <row r="1279" spans="1:11" x14ac:dyDescent="0.25">
      <c r="A1279" t="s">
        <v>4780</v>
      </c>
      <c r="B1279" s="1" t="str">
        <f>HYPERLINK("https://www.catalog.slsa.sa.gov.au/record=b2108390")</f>
        <v>https://www.catalog.slsa.sa.gov.au/record=b2108390</v>
      </c>
      <c r="C1279" s="1" t="str">
        <f>HYPERLINK("https://www.catalog.slsa.sa.gov.au/xrecord=b2108390")</f>
        <v>https://www.catalog.slsa.sa.gov.au/xrecord=b2108390</v>
      </c>
      <c r="E1279" t="s">
        <v>4777</v>
      </c>
      <c r="F1279">
        <v>1952</v>
      </c>
      <c r="G1279" t="s">
        <v>27</v>
      </c>
      <c r="H1279" t="s">
        <v>14</v>
      </c>
      <c r="I1279" t="s">
        <v>4779</v>
      </c>
      <c r="J1279" t="s">
        <v>16</v>
      </c>
      <c r="K1279" s="2" t="str">
        <f>HYPERLINK("http://collections.slsa.sa.gov.au/arbonlem/01750/PRG1324_1525a.htm")</f>
        <v>http://collections.slsa.sa.gov.au/arbonlem/01750/PRG1324_1525a.htm</v>
      </c>
    </row>
    <row r="1280" spans="1:11" x14ac:dyDescent="0.25">
      <c r="A1280" t="s">
        <v>4781</v>
      </c>
      <c r="B1280" s="1" t="str">
        <f>HYPERLINK("https://www.catalog.slsa.sa.gov.au/record=b2106870")</f>
        <v>https://www.catalog.slsa.sa.gov.au/record=b2106870</v>
      </c>
      <c r="C1280" s="1" t="str">
        <f>HYPERLINK("https://www.catalog.slsa.sa.gov.au/xrecord=b2106870")</f>
        <v>https://www.catalog.slsa.sa.gov.au/xrecord=b2106870</v>
      </c>
      <c r="D1280" t="s">
        <v>66</v>
      </c>
      <c r="E1280" t="s">
        <v>4782</v>
      </c>
      <c r="F1280">
        <v>1952</v>
      </c>
      <c r="G1280" t="s">
        <v>74</v>
      </c>
      <c r="H1280" t="s">
        <v>4783</v>
      </c>
      <c r="I1280" t="s">
        <v>4784</v>
      </c>
      <c r="J1280" t="s">
        <v>71</v>
      </c>
      <c r="K1280" s="2" t="str">
        <f>HYPERLINK("http://collections.slsa.sa.gov.au/arthur/00250/BRG347_35.htm")</f>
        <v>http://collections.slsa.sa.gov.au/arthur/00250/BRG347_35.htm</v>
      </c>
    </row>
    <row r="1281" spans="1:11" x14ac:dyDescent="0.25">
      <c r="A1281" t="s">
        <v>4785</v>
      </c>
      <c r="B1281" s="1" t="str">
        <f>HYPERLINK("https://www.catalog.slsa.sa.gov.au/record=b2110087")</f>
        <v>https://www.catalog.slsa.sa.gov.au/record=b2110087</v>
      </c>
      <c r="C1281" s="1" t="str">
        <f>HYPERLINK("https://www.catalog.slsa.sa.gov.au/xrecord=b2110087")</f>
        <v>https://www.catalog.slsa.sa.gov.au/xrecord=b2110087</v>
      </c>
      <c r="D1281" t="s">
        <v>66</v>
      </c>
      <c r="E1281" t="s">
        <v>4786</v>
      </c>
      <c r="F1281">
        <v>1952</v>
      </c>
      <c r="G1281" t="s">
        <v>121</v>
      </c>
      <c r="H1281" t="s">
        <v>4787</v>
      </c>
      <c r="I1281" t="s">
        <v>4788</v>
      </c>
      <c r="J1281" t="s">
        <v>71</v>
      </c>
      <c r="K1281" s="2" t="str">
        <f>HYPERLINK("http://collections.slsa.sa.gov.au/arthur/01000/BRG347_891.htm")</f>
        <v>http://collections.slsa.sa.gov.au/arthur/01000/BRG347_891.htm</v>
      </c>
    </row>
    <row r="1282" spans="1:11" x14ac:dyDescent="0.25">
      <c r="A1282" t="s">
        <v>4789</v>
      </c>
      <c r="B1282" s="1" t="str">
        <f>HYPERLINK("https://www.catalog.slsa.sa.gov.au/record=b2110209")</f>
        <v>https://www.catalog.slsa.sa.gov.au/record=b2110209</v>
      </c>
      <c r="C1282" s="1" t="str">
        <f>HYPERLINK("https://www.catalog.slsa.sa.gov.au/xrecord=b2110209")</f>
        <v>https://www.catalog.slsa.sa.gov.au/xrecord=b2110209</v>
      </c>
      <c r="D1282" t="s">
        <v>66</v>
      </c>
      <c r="E1282" t="s">
        <v>4790</v>
      </c>
      <c r="F1282">
        <v>1952</v>
      </c>
      <c r="G1282" t="s">
        <v>121</v>
      </c>
      <c r="H1282" t="s">
        <v>4791</v>
      </c>
      <c r="I1282" t="s">
        <v>4792</v>
      </c>
      <c r="J1282" t="s">
        <v>71</v>
      </c>
      <c r="K1282" s="2" t="str">
        <f>HYPERLINK("http://collections.slsa.sa.gov.au/arthur/01250/BRG347_1013.htm")</f>
        <v>http://collections.slsa.sa.gov.au/arthur/01250/BRG347_1013.htm</v>
      </c>
    </row>
    <row r="1283" spans="1:11" x14ac:dyDescent="0.25">
      <c r="A1283" t="s">
        <v>4793</v>
      </c>
      <c r="B1283" s="1" t="str">
        <f>HYPERLINK("https://www.catalog.slsa.sa.gov.au/record=b2111272")</f>
        <v>https://www.catalog.slsa.sa.gov.au/record=b2111272</v>
      </c>
      <c r="C1283" s="1" t="str">
        <f>HYPERLINK("https://www.catalog.slsa.sa.gov.au/xrecord=b2111272")</f>
        <v>https://www.catalog.slsa.sa.gov.au/xrecord=b2111272</v>
      </c>
      <c r="D1283" t="s">
        <v>66</v>
      </c>
      <c r="E1283" t="s">
        <v>1625</v>
      </c>
      <c r="F1283">
        <v>1952</v>
      </c>
      <c r="G1283" t="s">
        <v>121</v>
      </c>
      <c r="H1283" t="s">
        <v>4794</v>
      </c>
      <c r="I1283" t="s">
        <v>4795</v>
      </c>
      <c r="J1283" t="s">
        <v>71</v>
      </c>
      <c r="K1283" s="2" t="str">
        <f>HYPERLINK("http://collections.slsa.sa.gov.au/arthur/02000/BRG347_1943.htm")</f>
        <v>http://collections.slsa.sa.gov.au/arthur/02000/BRG347_1943.htm</v>
      </c>
    </row>
    <row r="1284" spans="1:11" x14ac:dyDescent="0.25">
      <c r="A1284" t="s">
        <v>4796</v>
      </c>
      <c r="B1284" s="1" t="str">
        <f>HYPERLINK("https://www.catalog.slsa.sa.gov.au/record=b2111276")</f>
        <v>https://www.catalog.slsa.sa.gov.au/record=b2111276</v>
      </c>
      <c r="C1284" s="1" t="str">
        <f>HYPERLINK("https://www.catalog.slsa.sa.gov.au/xrecord=b2111276")</f>
        <v>https://www.catalog.slsa.sa.gov.au/xrecord=b2111276</v>
      </c>
      <c r="D1284" t="s">
        <v>66</v>
      </c>
      <c r="E1284" t="s">
        <v>4797</v>
      </c>
      <c r="F1284">
        <v>1952</v>
      </c>
      <c r="G1284" t="s">
        <v>121</v>
      </c>
      <c r="H1284" t="s">
        <v>4798</v>
      </c>
      <c r="I1284" t="s">
        <v>4799</v>
      </c>
      <c r="J1284" t="s">
        <v>71</v>
      </c>
      <c r="K1284" s="2" t="str">
        <f>HYPERLINK("http://collections.slsa.sa.gov.au/arthur/02000/BRG347_1947.htm")</f>
        <v>http://collections.slsa.sa.gov.au/arthur/02000/BRG347_1947.htm</v>
      </c>
    </row>
    <row r="1285" spans="1:11" x14ac:dyDescent="0.25">
      <c r="A1285" t="s">
        <v>4800</v>
      </c>
      <c r="B1285" s="1" t="str">
        <f>HYPERLINK("https://www.catalog.slsa.sa.gov.au/record=b2116353")</f>
        <v>https://www.catalog.slsa.sa.gov.au/record=b2116353</v>
      </c>
      <c r="C1285" s="1" t="str">
        <f>HYPERLINK("https://www.catalog.slsa.sa.gov.au/xrecord=b2116353")</f>
        <v>https://www.catalog.slsa.sa.gov.au/xrecord=b2116353</v>
      </c>
      <c r="D1285" t="s">
        <v>66</v>
      </c>
      <c r="E1285" t="s">
        <v>4801</v>
      </c>
      <c r="F1285">
        <v>1952</v>
      </c>
      <c r="G1285" t="s">
        <v>121</v>
      </c>
      <c r="H1285" t="s">
        <v>4802</v>
      </c>
      <c r="I1285" t="s">
        <v>4803</v>
      </c>
      <c r="J1285" t="s">
        <v>71</v>
      </c>
      <c r="K1285" s="2" t="str">
        <f>HYPERLINK("http://collections.slsa.sa.gov.au/arthur/05500/BRG347_5379.htm")</f>
        <v>http://collections.slsa.sa.gov.au/arthur/05500/BRG347_5379.htm</v>
      </c>
    </row>
    <row r="1286" spans="1:11" x14ac:dyDescent="0.25">
      <c r="A1286" t="s">
        <v>4804</v>
      </c>
      <c r="B1286" s="1" t="str">
        <f>HYPERLINK("https://www.catalog.slsa.sa.gov.au/record=b2116523")</f>
        <v>https://www.catalog.slsa.sa.gov.au/record=b2116523</v>
      </c>
      <c r="C1286" s="1" t="str">
        <f>HYPERLINK("https://www.catalog.slsa.sa.gov.au/xrecord=b2116523")</f>
        <v>https://www.catalog.slsa.sa.gov.au/xrecord=b2116523</v>
      </c>
      <c r="D1286" t="s">
        <v>66</v>
      </c>
      <c r="E1286" t="s">
        <v>4805</v>
      </c>
      <c r="F1286">
        <v>1952</v>
      </c>
      <c r="G1286" t="s">
        <v>121</v>
      </c>
      <c r="H1286" t="s">
        <v>4806</v>
      </c>
      <c r="I1286" t="s">
        <v>4807</v>
      </c>
      <c r="J1286" t="s">
        <v>71</v>
      </c>
      <c r="K1286" s="2" t="str">
        <f>HYPERLINK("http://collections.slsa.sa.gov.au/arthur/05750/BRG347_5538.htm")</f>
        <v>http://collections.slsa.sa.gov.au/arthur/05750/BRG347_5538.htm</v>
      </c>
    </row>
    <row r="1287" spans="1:11" x14ac:dyDescent="0.25">
      <c r="A1287" t="s">
        <v>4808</v>
      </c>
      <c r="B1287" s="1" t="str">
        <f>HYPERLINK("https://www.catalog.slsa.sa.gov.au/record=b2116524")</f>
        <v>https://www.catalog.slsa.sa.gov.au/record=b2116524</v>
      </c>
      <c r="C1287" s="1" t="str">
        <f>HYPERLINK("https://www.catalog.slsa.sa.gov.au/xrecord=b2116524")</f>
        <v>https://www.catalog.slsa.sa.gov.au/xrecord=b2116524</v>
      </c>
      <c r="D1287" t="s">
        <v>66</v>
      </c>
      <c r="E1287" t="s">
        <v>4809</v>
      </c>
      <c r="F1287">
        <v>1952</v>
      </c>
      <c r="G1287" t="s">
        <v>121</v>
      </c>
      <c r="H1287" t="s">
        <v>4810</v>
      </c>
      <c r="I1287" t="s">
        <v>4811</v>
      </c>
      <c r="J1287" t="s">
        <v>71</v>
      </c>
      <c r="K1287" s="2" t="str">
        <f>HYPERLINK("http://collections.slsa.sa.gov.au/arthur/05750/BRG347_5539.htm")</f>
        <v>http://collections.slsa.sa.gov.au/arthur/05750/BRG347_5539.htm</v>
      </c>
    </row>
    <row r="1288" spans="1:11" x14ac:dyDescent="0.25">
      <c r="A1288" t="s">
        <v>4812</v>
      </c>
      <c r="B1288" s="1" t="str">
        <f>HYPERLINK("https://www.catalog.slsa.sa.gov.au/record=b2116525")</f>
        <v>https://www.catalog.slsa.sa.gov.au/record=b2116525</v>
      </c>
      <c r="C1288" s="1" t="str">
        <f>HYPERLINK("https://www.catalog.slsa.sa.gov.au/xrecord=b2116525")</f>
        <v>https://www.catalog.slsa.sa.gov.au/xrecord=b2116525</v>
      </c>
      <c r="D1288" t="s">
        <v>66</v>
      </c>
      <c r="E1288" t="s">
        <v>4813</v>
      </c>
      <c r="F1288">
        <v>1952</v>
      </c>
      <c r="G1288" t="s">
        <v>121</v>
      </c>
      <c r="H1288" t="s">
        <v>4814</v>
      </c>
      <c r="I1288" t="s">
        <v>3744</v>
      </c>
      <c r="J1288" t="s">
        <v>71</v>
      </c>
      <c r="K1288" s="2" t="str">
        <f>HYPERLINK("http://collections.slsa.sa.gov.au/arthur/05750/BRG347_5540.htm")</f>
        <v>http://collections.slsa.sa.gov.au/arthur/05750/BRG347_5540.htm</v>
      </c>
    </row>
    <row r="1289" spans="1:11" x14ac:dyDescent="0.25">
      <c r="A1289" t="s">
        <v>4815</v>
      </c>
      <c r="B1289" s="1" t="str">
        <f>HYPERLINK("https://www.catalog.slsa.sa.gov.au/record=b2116864")</f>
        <v>https://www.catalog.slsa.sa.gov.au/record=b2116864</v>
      </c>
      <c r="C1289" s="1" t="str">
        <f>HYPERLINK("https://www.catalog.slsa.sa.gov.au/xrecord=b2116864")</f>
        <v>https://www.catalog.slsa.sa.gov.au/xrecord=b2116864</v>
      </c>
      <c r="D1289" t="s">
        <v>66</v>
      </c>
      <c r="E1289" t="s">
        <v>4816</v>
      </c>
      <c r="F1289">
        <v>1952</v>
      </c>
      <c r="G1289" t="s">
        <v>121</v>
      </c>
      <c r="H1289" t="s">
        <v>4817</v>
      </c>
      <c r="I1289" t="s">
        <v>4818</v>
      </c>
      <c r="J1289" t="s">
        <v>71</v>
      </c>
      <c r="K1289" s="2" t="str">
        <f>HYPERLINK("http://collections.slsa.sa.gov.au/arthur/05750/BRG347_5692.htm")</f>
        <v>http://collections.slsa.sa.gov.au/arthur/05750/BRG347_5692.htm</v>
      </c>
    </row>
    <row r="1290" spans="1:11" x14ac:dyDescent="0.25">
      <c r="A1290" t="s">
        <v>4819</v>
      </c>
      <c r="B1290" s="1" t="str">
        <f>HYPERLINK("https://www.catalog.slsa.sa.gov.au/record=b2117389")</f>
        <v>https://www.catalog.slsa.sa.gov.au/record=b2117389</v>
      </c>
      <c r="C1290" s="1" t="str">
        <f>HYPERLINK("https://www.catalog.slsa.sa.gov.au/xrecord=b2117389")</f>
        <v>https://www.catalog.slsa.sa.gov.au/xrecord=b2117389</v>
      </c>
      <c r="D1290" t="s">
        <v>66</v>
      </c>
      <c r="E1290" t="s">
        <v>4820</v>
      </c>
      <c r="F1290">
        <v>1952</v>
      </c>
      <c r="G1290" t="s">
        <v>121</v>
      </c>
      <c r="H1290" t="s">
        <v>4821</v>
      </c>
      <c r="I1290" t="s">
        <v>4822</v>
      </c>
      <c r="J1290" t="s">
        <v>71</v>
      </c>
      <c r="K1290" s="2" t="str">
        <f>HYPERLINK("http://collections.slsa.sa.gov.au/arthur/06250/BRG347_6091.htm")</f>
        <v>http://collections.slsa.sa.gov.au/arthur/06250/BRG347_6091.htm</v>
      </c>
    </row>
    <row r="1291" spans="1:11" x14ac:dyDescent="0.25">
      <c r="A1291" t="s">
        <v>4823</v>
      </c>
      <c r="B1291" s="1" t="str">
        <f>HYPERLINK("https://www.catalog.slsa.sa.gov.au/record=b2118300")</f>
        <v>https://www.catalog.slsa.sa.gov.au/record=b2118300</v>
      </c>
      <c r="C1291" s="1" t="str">
        <f>HYPERLINK("https://www.catalog.slsa.sa.gov.au/xrecord=b2118300")</f>
        <v>https://www.catalog.slsa.sa.gov.au/xrecord=b2118300</v>
      </c>
      <c r="D1291" t="s">
        <v>66</v>
      </c>
      <c r="E1291" t="s">
        <v>4824</v>
      </c>
      <c r="F1291">
        <v>1952</v>
      </c>
      <c r="G1291" t="s">
        <v>121</v>
      </c>
      <c r="H1291" t="s">
        <v>4825</v>
      </c>
      <c r="I1291" t="s">
        <v>4826</v>
      </c>
      <c r="J1291" t="s">
        <v>71</v>
      </c>
      <c r="K1291" s="2" t="str">
        <f>HYPERLINK("http://collections.slsa.sa.gov.au/arthur/06500/BRG347_6395.htm")</f>
        <v>http://collections.slsa.sa.gov.au/arthur/06500/BRG347_6395.htm</v>
      </c>
    </row>
    <row r="1292" spans="1:11" x14ac:dyDescent="0.25">
      <c r="A1292" t="s">
        <v>4827</v>
      </c>
      <c r="B1292" s="1" t="str">
        <f>HYPERLINK("https://www.catalog.slsa.sa.gov.au/record=b2118302")</f>
        <v>https://www.catalog.slsa.sa.gov.au/record=b2118302</v>
      </c>
      <c r="C1292" s="1" t="str">
        <f>HYPERLINK("https://www.catalog.slsa.sa.gov.au/xrecord=b2118302")</f>
        <v>https://www.catalog.slsa.sa.gov.au/xrecord=b2118302</v>
      </c>
      <c r="D1292" t="s">
        <v>66</v>
      </c>
      <c r="E1292" t="s">
        <v>4828</v>
      </c>
      <c r="F1292">
        <v>1952</v>
      </c>
      <c r="G1292" t="s">
        <v>121</v>
      </c>
      <c r="H1292" t="s">
        <v>4829</v>
      </c>
      <c r="I1292" t="s">
        <v>4830</v>
      </c>
      <c r="J1292" t="s">
        <v>71</v>
      </c>
      <c r="K1292" s="2" t="str">
        <f>HYPERLINK("http://collections.slsa.sa.gov.au/arthur/06500/BRG347_6397.htm")</f>
        <v>http://collections.slsa.sa.gov.au/arthur/06500/BRG347_6397.htm</v>
      </c>
    </row>
    <row r="1293" spans="1:11" x14ac:dyDescent="0.25">
      <c r="A1293" t="s">
        <v>4831</v>
      </c>
      <c r="B1293" s="1" t="str">
        <f>HYPERLINK("https://www.catalog.slsa.sa.gov.au/record=b2118303")</f>
        <v>https://www.catalog.slsa.sa.gov.au/record=b2118303</v>
      </c>
      <c r="C1293" s="1" t="str">
        <f>HYPERLINK("https://www.catalog.slsa.sa.gov.au/xrecord=b2118303")</f>
        <v>https://www.catalog.slsa.sa.gov.au/xrecord=b2118303</v>
      </c>
      <c r="D1293" t="s">
        <v>66</v>
      </c>
      <c r="E1293" t="s">
        <v>4832</v>
      </c>
      <c r="F1293">
        <v>1952</v>
      </c>
      <c r="G1293" t="s">
        <v>121</v>
      </c>
      <c r="H1293" t="s">
        <v>4833</v>
      </c>
      <c r="I1293" t="s">
        <v>4834</v>
      </c>
      <c r="J1293" t="s">
        <v>71</v>
      </c>
      <c r="K1293" s="2" t="str">
        <f>HYPERLINK("http://collections.slsa.sa.gov.au/arthur/06500/BRG347_6398.htm")</f>
        <v>http://collections.slsa.sa.gov.au/arthur/06500/BRG347_6398.htm</v>
      </c>
    </row>
    <row r="1294" spans="1:11" x14ac:dyDescent="0.25">
      <c r="A1294" t="s">
        <v>4835</v>
      </c>
      <c r="B1294" s="1" t="str">
        <f>HYPERLINK("https://www.catalog.slsa.sa.gov.au/record=b2118304")</f>
        <v>https://www.catalog.slsa.sa.gov.au/record=b2118304</v>
      </c>
      <c r="C1294" s="1" t="str">
        <f>HYPERLINK("https://www.catalog.slsa.sa.gov.au/xrecord=b2118304")</f>
        <v>https://www.catalog.slsa.sa.gov.au/xrecord=b2118304</v>
      </c>
      <c r="D1294" t="s">
        <v>66</v>
      </c>
      <c r="E1294" t="s">
        <v>4836</v>
      </c>
      <c r="F1294">
        <v>1952</v>
      </c>
      <c r="G1294" t="s">
        <v>121</v>
      </c>
      <c r="H1294" t="s">
        <v>4837</v>
      </c>
      <c r="I1294" t="s">
        <v>4838</v>
      </c>
      <c r="J1294" t="s">
        <v>71</v>
      </c>
      <c r="K1294" s="2" t="str">
        <f>HYPERLINK("http://collections.slsa.sa.gov.au/arthur/06500/BRG347_6399.htm")</f>
        <v>http://collections.slsa.sa.gov.au/arthur/06500/BRG347_6399.htm</v>
      </c>
    </row>
    <row r="1295" spans="1:11" x14ac:dyDescent="0.25">
      <c r="A1295" t="s">
        <v>4839</v>
      </c>
      <c r="B1295" s="1" t="str">
        <f>HYPERLINK("https://www.catalog.slsa.sa.gov.au/record=b2118305")</f>
        <v>https://www.catalog.slsa.sa.gov.au/record=b2118305</v>
      </c>
      <c r="C1295" s="1" t="str">
        <f>HYPERLINK("https://www.catalog.slsa.sa.gov.au/xrecord=b2118305")</f>
        <v>https://www.catalog.slsa.sa.gov.au/xrecord=b2118305</v>
      </c>
      <c r="D1295" t="s">
        <v>66</v>
      </c>
      <c r="E1295" t="s">
        <v>4840</v>
      </c>
      <c r="F1295">
        <v>1952</v>
      </c>
      <c r="G1295" t="s">
        <v>121</v>
      </c>
      <c r="H1295" t="s">
        <v>4841</v>
      </c>
      <c r="I1295" t="s">
        <v>4842</v>
      </c>
      <c r="J1295" t="s">
        <v>71</v>
      </c>
      <c r="K1295" s="2" t="str">
        <f>HYPERLINK("http://collections.slsa.sa.gov.au/arthur/06500/BRG347_6400.htm")</f>
        <v>http://collections.slsa.sa.gov.au/arthur/06500/BRG347_6400.htm</v>
      </c>
    </row>
    <row r="1296" spans="1:11" x14ac:dyDescent="0.25">
      <c r="A1296" t="s">
        <v>4843</v>
      </c>
      <c r="B1296" s="1" t="str">
        <f>HYPERLINK("https://www.catalog.slsa.sa.gov.au/record=b2118306")</f>
        <v>https://www.catalog.slsa.sa.gov.au/record=b2118306</v>
      </c>
      <c r="C1296" s="1" t="str">
        <f>HYPERLINK("https://www.catalog.slsa.sa.gov.au/xrecord=b2118306")</f>
        <v>https://www.catalog.slsa.sa.gov.au/xrecord=b2118306</v>
      </c>
      <c r="D1296" t="s">
        <v>66</v>
      </c>
      <c r="E1296" t="s">
        <v>4844</v>
      </c>
      <c r="F1296">
        <v>1952</v>
      </c>
      <c r="G1296" t="s">
        <v>121</v>
      </c>
      <c r="H1296" t="s">
        <v>4845</v>
      </c>
      <c r="I1296" t="s">
        <v>4811</v>
      </c>
      <c r="J1296" t="s">
        <v>71</v>
      </c>
      <c r="K1296" s="2" t="str">
        <f>HYPERLINK("http://collections.slsa.sa.gov.au/arthur/06500/BRG347_6401.htm")</f>
        <v>http://collections.slsa.sa.gov.au/arthur/06500/BRG347_6401.htm</v>
      </c>
    </row>
    <row r="1297" spans="1:11" x14ac:dyDescent="0.25">
      <c r="A1297" t="s">
        <v>4846</v>
      </c>
      <c r="B1297" s="1" t="str">
        <f>HYPERLINK("https://www.catalog.slsa.sa.gov.au/record=b2118307")</f>
        <v>https://www.catalog.slsa.sa.gov.au/record=b2118307</v>
      </c>
      <c r="C1297" s="1" t="str">
        <f>HYPERLINK("https://www.catalog.slsa.sa.gov.au/xrecord=b2118307")</f>
        <v>https://www.catalog.slsa.sa.gov.au/xrecord=b2118307</v>
      </c>
      <c r="D1297" t="s">
        <v>66</v>
      </c>
      <c r="E1297" t="s">
        <v>4847</v>
      </c>
      <c r="F1297">
        <v>1952</v>
      </c>
      <c r="G1297" t="s">
        <v>121</v>
      </c>
      <c r="H1297" t="s">
        <v>4848</v>
      </c>
      <c r="I1297" t="s">
        <v>4849</v>
      </c>
      <c r="J1297" t="s">
        <v>71</v>
      </c>
      <c r="K1297" s="2" t="str">
        <f>HYPERLINK("http://collections.slsa.sa.gov.au/arthur/06500/BRG347_6402.htm")</f>
        <v>http://collections.slsa.sa.gov.au/arthur/06500/BRG347_6402.htm</v>
      </c>
    </row>
    <row r="1298" spans="1:11" x14ac:dyDescent="0.25">
      <c r="A1298" t="s">
        <v>4850</v>
      </c>
      <c r="B1298" s="1" t="str">
        <f>HYPERLINK("https://www.catalog.slsa.sa.gov.au/record=b2118308")</f>
        <v>https://www.catalog.slsa.sa.gov.au/record=b2118308</v>
      </c>
      <c r="C1298" s="1" t="str">
        <f>HYPERLINK("https://www.catalog.slsa.sa.gov.au/xrecord=b2118308")</f>
        <v>https://www.catalog.slsa.sa.gov.au/xrecord=b2118308</v>
      </c>
      <c r="D1298" t="s">
        <v>66</v>
      </c>
      <c r="E1298" t="s">
        <v>4851</v>
      </c>
      <c r="F1298">
        <v>1952</v>
      </c>
      <c r="G1298" t="s">
        <v>121</v>
      </c>
      <c r="H1298" t="s">
        <v>4852</v>
      </c>
      <c r="I1298" t="s">
        <v>4853</v>
      </c>
      <c r="J1298" t="s">
        <v>71</v>
      </c>
      <c r="K1298" s="2" t="str">
        <f>HYPERLINK("http://collections.slsa.sa.gov.au/arthur/06500/BRG347_6403.htm")</f>
        <v>http://collections.slsa.sa.gov.au/arthur/06500/BRG347_6403.htm</v>
      </c>
    </row>
    <row r="1299" spans="1:11" x14ac:dyDescent="0.25">
      <c r="A1299" t="s">
        <v>4854</v>
      </c>
      <c r="B1299" s="1" t="str">
        <f>HYPERLINK("https://www.catalog.slsa.sa.gov.au/record=b2118309")</f>
        <v>https://www.catalog.slsa.sa.gov.au/record=b2118309</v>
      </c>
      <c r="C1299" s="1" t="str">
        <f>HYPERLINK("https://www.catalog.slsa.sa.gov.au/xrecord=b2118309")</f>
        <v>https://www.catalog.slsa.sa.gov.au/xrecord=b2118309</v>
      </c>
      <c r="D1299" t="s">
        <v>66</v>
      </c>
      <c r="E1299" t="s">
        <v>4851</v>
      </c>
      <c r="F1299">
        <v>1952</v>
      </c>
      <c r="G1299" t="s">
        <v>121</v>
      </c>
      <c r="H1299" t="s">
        <v>4855</v>
      </c>
      <c r="I1299" t="s">
        <v>4853</v>
      </c>
      <c r="J1299" t="s">
        <v>71</v>
      </c>
      <c r="K1299" s="2" t="str">
        <f>HYPERLINK("http://collections.slsa.sa.gov.au/arthur/06500/BRG347_6404.htm")</f>
        <v>http://collections.slsa.sa.gov.au/arthur/06500/BRG347_6404.htm</v>
      </c>
    </row>
    <row r="1300" spans="1:11" x14ac:dyDescent="0.25">
      <c r="A1300" t="s">
        <v>4856</v>
      </c>
      <c r="B1300" s="1" t="str">
        <f>HYPERLINK("https://www.catalog.slsa.sa.gov.au/record=b2118310")</f>
        <v>https://www.catalog.slsa.sa.gov.au/record=b2118310</v>
      </c>
      <c r="C1300" s="1" t="str">
        <f>HYPERLINK("https://www.catalog.slsa.sa.gov.au/xrecord=b2118310")</f>
        <v>https://www.catalog.slsa.sa.gov.au/xrecord=b2118310</v>
      </c>
      <c r="D1300" t="s">
        <v>66</v>
      </c>
      <c r="E1300" t="s">
        <v>4857</v>
      </c>
      <c r="F1300">
        <v>1952</v>
      </c>
      <c r="G1300" t="s">
        <v>121</v>
      </c>
      <c r="H1300" t="s">
        <v>4858</v>
      </c>
      <c r="I1300" t="s">
        <v>4859</v>
      </c>
      <c r="J1300" t="s">
        <v>71</v>
      </c>
      <c r="K1300" s="2" t="str">
        <f>HYPERLINK("http://collections.slsa.sa.gov.au/arthur/06500/BRG347_6405.htm")</f>
        <v>http://collections.slsa.sa.gov.au/arthur/06500/BRG347_6405.htm</v>
      </c>
    </row>
    <row r="1301" spans="1:11" x14ac:dyDescent="0.25">
      <c r="A1301" t="s">
        <v>4860</v>
      </c>
      <c r="B1301" s="1" t="str">
        <f>HYPERLINK("https://www.catalog.slsa.sa.gov.au/record=b2118311")</f>
        <v>https://www.catalog.slsa.sa.gov.au/record=b2118311</v>
      </c>
      <c r="C1301" s="1" t="str">
        <f>HYPERLINK("https://www.catalog.slsa.sa.gov.au/xrecord=b2118311")</f>
        <v>https://www.catalog.slsa.sa.gov.au/xrecord=b2118311</v>
      </c>
      <c r="D1301" t="s">
        <v>66</v>
      </c>
      <c r="E1301" t="s">
        <v>4861</v>
      </c>
      <c r="F1301">
        <v>1952</v>
      </c>
      <c r="G1301" t="s">
        <v>121</v>
      </c>
      <c r="H1301" t="s">
        <v>4862</v>
      </c>
      <c r="I1301" t="s">
        <v>4863</v>
      </c>
      <c r="J1301" t="s">
        <v>71</v>
      </c>
      <c r="K1301" s="2" t="str">
        <f>HYPERLINK("http://collections.slsa.sa.gov.au/arthur/06500/BRG347_6406.htm")</f>
        <v>http://collections.slsa.sa.gov.au/arthur/06500/BRG347_6406.htm</v>
      </c>
    </row>
    <row r="1302" spans="1:11" x14ac:dyDescent="0.25">
      <c r="A1302" t="s">
        <v>4864</v>
      </c>
      <c r="B1302" s="1" t="str">
        <f>HYPERLINK("https://www.catalog.slsa.sa.gov.au/record=b2118312")</f>
        <v>https://www.catalog.slsa.sa.gov.au/record=b2118312</v>
      </c>
      <c r="C1302" s="1" t="str">
        <f>HYPERLINK("https://www.catalog.slsa.sa.gov.au/xrecord=b2118312")</f>
        <v>https://www.catalog.slsa.sa.gov.au/xrecord=b2118312</v>
      </c>
      <c r="D1302" t="s">
        <v>66</v>
      </c>
      <c r="E1302" t="s">
        <v>4865</v>
      </c>
      <c r="F1302">
        <v>1952</v>
      </c>
      <c r="G1302" t="s">
        <v>121</v>
      </c>
      <c r="H1302" t="s">
        <v>4866</v>
      </c>
      <c r="I1302" t="s">
        <v>4867</v>
      </c>
      <c r="J1302" t="s">
        <v>71</v>
      </c>
      <c r="K1302" s="2" t="str">
        <f>HYPERLINK("http://collections.slsa.sa.gov.au/arthur/06500/BRG347_6407.htm")</f>
        <v>http://collections.slsa.sa.gov.au/arthur/06500/BRG347_6407.htm</v>
      </c>
    </row>
    <row r="1303" spans="1:11" x14ac:dyDescent="0.25">
      <c r="A1303" t="s">
        <v>4868</v>
      </c>
      <c r="B1303" s="1" t="str">
        <f>HYPERLINK("https://www.catalog.slsa.sa.gov.au/record=b2118313")</f>
        <v>https://www.catalog.slsa.sa.gov.au/record=b2118313</v>
      </c>
      <c r="C1303" s="1" t="str">
        <f>HYPERLINK("https://www.catalog.slsa.sa.gov.au/xrecord=b2118313")</f>
        <v>https://www.catalog.slsa.sa.gov.au/xrecord=b2118313</v>
      </c>
      <c r="D1303" t="s">
        <v>66</v>
      </c>
      <c r="E1303" t="s">
        <v>4865</v>
      </c>
      <c r="F1303">
        <v>1952</v>
      </c>
      <c r="G1303" t="s">
        <v>121</v>
      </c>
      <c r="H1303" t="s">
        <v>4869</v>
      </c>
      <c r="I1303" t="s">
        <v>4867</v>
      </c>
      <c r="J1303" t="s">
        <v>71</v>
      </c>
      <c r="K1303" s="2" t="str">
        <f>HYPERLINK("http://collections.slsa.sa.gov.au/arthur/06500/BRG347_6408.htm")</f>
        <v>http://collections.slsa.sa.gov.au/arthur/06500/BRG347_6408.htm</v>
      </c>
    </row>
    <row r="1304" spans="1:11" x14ac:dyDescent="0.25">
      <c r="A1304" t="s">
        <v>4870</v>
      </c>
      <c r="B1304" s="1" t="str">
        <f>HYPERLINK("https://www.catalog.slsa.sa.gov.au/record=b2118314")</f>
        <v>https://www.catalog.slsa.sa.gov.au/record=b2118314</v>
      </c>
      <c r="C1304" s="1" t="str">
        <f>HYPERLINK("https://www.catalog.slsa.sa.gov.au/xrecord=b2118314")</f>
        <v>https://www.catalog.slsa.sa.gov.au/xrecord=b2118314</v>
      </c>
      <c r="D1304" t="s">
        <v>66</v>
      </c>
      <c r="E1304" t="s">
        <v>4871</v>
      </c>
      <c r="F1304">
        <v>1952</v>
      </c>
      <c r="G1304" t="s">
        <v>121</v>
      </c>
      <c r="H1304" t="s">
        <v>4872</v>
      </c>
      <c r="I1304" t="s">
        <v>4873</v>
      </c>
      <c r="J1304" t="s">
        <v>71</v>
      </c>
      <c r="K1304" s="2" t="str">
        <f>HYPERLINK("http://collections.slsa.sa.gov.au/arthur/06500/BRG347_6409.htm")</f>
        <v>http://collections.slsa.sa.gov.au/arthur/06500/BRG347_6409.htm</v>
      </c>
    </row>
    <row r="1305" spans="1:11" x14ac:dyDescent="0.25">
      <c r="A1305" t="s">
        <v>4874</v>
      </c>
      <c r="B1305" s="1" t="str">
        <f>HYPERLINK("https://www.catalog.slsa.sa.gov.au/record=b2118315")</f>
        <v>https://www.catalog.slsa.sa.gov.au/record=b2118315</v>
      </c>
      <c r="C1305" s="1" t="str">
        <f>HYPERLINK("https://www.catalog.slsa.sa.gov.au/xrecord=b2118315")</f>
        <v>https://www.catalog.slsa.sa.gov.au/xrecord=b2118315</v>
      </c>
      <c r="D1305" t="s">
        <v>66</v>
      </c>
      <c r="E1305" t="s">
        <v>4875</v>
      </c>
      <c r="F1305">
        <v>1952</v>
      </c>
      <c r="G1305" t="s">
        <v>121</v>
      </c>
      <c r="H1305" t="s">
        <v>4876</v>
      </c>
      <c r="I1305" t="s">
        <v>4877</v>
      </c>
      <c r="J1305" t="s">
        <v>71</v>
      </c>
      <c r="K1305" s="2" t="str">
        <f>HYPERLINK("http://collections.slsa.sa.gov.au/arthur/06500/BRG347_6410.htm")</f>
        <v>http://collections.slsa.sa.gov.au/arthur/06500/BRG347_6410.htm</v>
      </c>
    </row>
    <row r="1306" spans="1:11" x14ac:dyDescent="0.25">
      <c r="A1306" t="s">
        <v>4878</v>
      </c>
      <c r="B1306" s="1" t="str">
        <f>HYPERLINK("https://www.catalog.slsa.sa.gov.au/record=b2118316")</f>
        <v>https://www.catalog.slsa.sa.gov.au/record=b2118316</v>
      </c>
      <c r="C1306" s="1" t="str">
        <f>HYPERLINK("https://www.catalog.slsa.sa.gov.au/xrecord=b2118316")</f>
        <v>https://www.catalog.slsa.sa.gov.au/xrecord=b2118316</v>
      </c>
      <c r="D1306" t="s">
        <v>66</v>
      </c>
      <c r="E1306" t="s">
        <v>4879</v>
      </c>
      <c r="F1306">
        <v>1952</v>
      </c>
      <c r="G1306" t="s">
        <v>121</v>
      </c>
      <c r="H1306" t="s">
        <v>4880</v>
      </c>
      <c r="I1306" t="s">
        <v>3748</v>
      </c>
      <c r="J1306" t="s">
        <v>71</v>
      </c>
      <c r="K1306" s="2" t="str">
        <f>HYPERLINK("http://collections.slsa.sa.gov.au/arthur/06500/BRG347_6411.htm")</f>
        <v>http://collections.slsa.sa.gov.au/arthur/06500/BRG347_6411.htm</v>
      </c>
    </row>
    <row r="1307" spans="1:11" x14ac:dyDescent="0.25">
      <c r="A1307" t="s">
        <v>4881</v>
      </c>
      <c r="B1307" s="1" t="str">
        <f>HYPERLINK("https://www.catalog.slsa.sa.gov.au/record=b2118317")</f>
        <v>https://www.catalog.slsa.sa.gov.au/record=b2118317</v>
      </c>
      <c r="C1307" s="1" t="str">
        <f>HYPERLINK("https://www.catalog.slsa.sa.gov.au/xrecord=b2118317")</f>
        <v>https://www.catalog.slsa.sa.gov.au/xrecord=b2118317</v>
      </c>
      <c r="D1307" t="s">
        <v>66</v>
      </c>
      <c r="E1307" t="s">
        <v>4882</v>
      </c>
      <c r="F1307">
        <v>1952</v>
      </c>
      <c r="G1307" t="s">
        <v>121</v>
      </c>
      <c r="H1307" t="s">
        <v>4883</v>
      </c>
      <c r="I1307" t="s">
        <v>4884</v>
      </c>
      <c r="J1307" t="s">
        <v>71</v>
      </c>
      <c r="K1307" s="2" t="str">
        <f>HYPERLINK("http://collections.slsa.sa.gov.au/arthur/06500/BRG347_6412.htm")</f>
        <v>http://collections.slsa.sa.gov.au/arthur/06500/BRG347_6412.htm</v>
      </c>
    </row>
    <row r="1308" spans="1:11" x14ac:dyDescent="0.25">
      <c r="A1308" t="s">
        <v>4885</v>
      </c>
      <c r="B1308" s="1" t="str">
        <f>HYPERLINK("https://www.catalog.slsa.sa.gov.au/record=b2118318")</f>
        <v>https://www.catalog.slsa.sa.gov.au/record=b2118318</v>
      </c>
      <c r="C1308" s="1" t="str">
        <f>HYPERLINK("https://www.catalog.slsa.sa.gov.au/xrecord=b2118318")</f>
        <v>https://www.catalog.slsa.sa.gov.au/xrecord=b2118318</v>
      </c>
      <c r="D1308" t="s">
        <v>66</v>
      </c>
      <c r="E1308" t="s">
        <v>4886</v>
      </c>
      <c r="F1308">
        <v>1952</v>
      </c>
      <c r="G1308" t="s">
        <v>121</v>
      </c>
      <c r="H1308" t="s">
        <v>4887</v>
      </c>
      <c r="I1308" t="s">
        <v>4888</v>
      </c>
      <c r="J1308" t="s">
        <v>71</v>
      </c>
      <c r="K1308" s="2" t="str">
        <f>HYPERLINK("http://collections.slsa.sa.gov.au/arthur/06500/BRG347_6413.htm")</f>
        <v>http://collections.slsa.sa.gov.au/arthur/06500/BRG347_6413.htm</v>
      </c>
    </row>
    <row r="1309" spans="1:11" x14ac:dyDescent="0.25">
      <c r="A1309" t="s">
        <v>4889</v>
      </c>
      <c r="B1309" s="1" t="str">
        <f>HYPERLINK("https://www.catalog.slsa.sa.gov.au/record=b2118319")</f>
        <v>https://www.catalog.slsa.sa.gov.au/record=b2118319</v>
      </c>
      <c r="C1309" s="1" t="str">
        <f>HYPERLINK("https://www.catalog.slsa.sa.gov.au/xrecord=b2118319")</f>
        <v>https://www.catalog.slsa.sa.gov.au/xrecord=b2118319</v>
      </c>
      <c r="D1309" t="s">
        <v>66</v>
      </c>
      <c r="E1309" t="s">
        <v>4248</v>
      </c>
      <c r="F1309">
        <v>1952</v>
      </c>
      <c r="G1309" t="s">
        <v>121</v>
      </c>
      <c r="H1309" t="s">
        <v>4890</v>
      </c>
      <c r="I1309" t="s">
        <v>4891</v>
      </c>
      <c r="J1309" t="s">
        <v>71</v>
      </c>
      <c r="K1309" s="2" t="str">
        <f>HYPERLINK("http://collections.slsa.sa.gov.au/arthur/06500/BRG347_6414.htm")</f>
        <v>http://collections.slsa.sa.gov.au/arthur/06500/BRG347_6414.htm</v>
      </c>
    </row>
    <row r="1310" spans="1:11" x14ac:dyDescent="0.25">
      <c r="A1310" t="s">
        <v>4892</v>
      </c>
      <c r="B1310" s="1" t="str">
        <f>HYPERLINK("https://www.catalog.slsa.sa.gov.au/record=b2118393")</f>
        <v>https://www.catalog.slsa.sa.gov.au/record=b2118393</v>
      </c>
      <c r="C1310" s="1" t="str">
        <f>HYPERLINK("https://www.catalog.slsa.sa.gov.au/xrecord=b2118393")</f>
        <v>https://www.catalog.slsa.sa.gov.au/xrecord=b2118393</v>
      </c>
      <c r="D1310" t="s">
        <v>66</v>
      </c>
      <c r="E1310" t="s">
        <v>4893</v>
      </c>
      <c r="F1310">
        <v>1952</v>
      </c>
      <c r="G1310" t="s">
        <v>121</v>
      </c>
      <c r="H1310" t="s">
        <v>4894</v>
      </c>
      <c r="I1310" t="s">
        <v>4895</v>
      </c>
      <c r="J1310" t="s">
        <v>71</v>
      </c>
      <c r="K1310" s="2" t="str">
        <f>HYPERLINK("http://collections.slsa.sa.gov.au/arthur/06500/BRG347_6481.htm")</f>
        <v>http://collections.slsa.sa.gov.au/arthur/06500/BRG347_6481.htm</v>
      </c>
    </row>
    <row r="1311" spans="1:11" x14ac:dyDescent="0.25">
      <c r="A1311" t="s">
        <v>4896</v>
      </c>
      <c r="B1311" s="1" t="str">
        <f>HYPERLINK("https://www.catalog.slsa.sa.gov.au/record=b2118476")</f>
        <v>https://www.catalog.slsa.sa.gov.au/record=b2118476</v>
      </c>
      <c r="C1311" s="1" t="str">
        <f>HYPERLINK("https://www.catalog.slsa.sa.gov.au/xrecord=b2118476")</f>
        <v>https://www.catalog.slsa.sa.gov.au/xrecord=b2118476</v>
      </c>
      <c r="D1311" t="s">
        <v>66</v>
      </c>
      <c r="E1311" t="s">
        <v>4897</v>
      </c>
      <c r="F1311">
        <v>1952</v>
      </c>
      <c r="G1311" t="s">
        <v>121</v>
      </c>
      <c r="H1311" t="s">
        <v>4898</v>
      </c>
      <c r="I1311" t="s">
        <v>4899</v>
      </c>
      <c r="J1311" t="s">
        <v>71</v>
      </c>
      <c r="K1311" s="2" t="str">
        <f>HYPERLINK("http://collections.slsa.sa.gov.au/arthur/06750/BRG347_6557.htm")</f>
        <v>http://collections.slsa.sa.gov.au/arthur/06750/BRG347_6557.htm</v>
      </c>
    </row>
    <row r="1312" spans="1:11" x14ac:dyDescent="0.25">
      <c r="A1312" t="s">
        <v>4900</v>
      </c>
      <c r="B1312" s="1" t="str">
        <f>HYPERLINK("https://www.catalog.slsa.sa.gov.au/record=b2118477")</f>
        <v>https://www.catalog.slsa.sa.gov.au/record=b2118477</v>
      </c>
      <c r="C1312" s="1" t="str">
        <f>HYPERLINK("https://www.catalog.slsa.sa.gov.au/xrecord=b2118477")</f>
        <v>https://www.catalog.slsa.sa.gov.au/xrecord=b2118477</v>
      </c>
      <c r="D1312" t="s">
        <v>66</v>
      </c>
      <c r="E1312" t="s">
        <v>1582</v>
      </c>
      <c r="F1312">
        <v>1952</v>
      </c>
      <c r="G1312" t="s">
        <v>121</v>
      </c>
      <c r="H1312" t="s">
        <v>4901</v>
      </c>
      <c r="I1312" t="s">
        <v>4512</v>
      </c>
      <c r="J1312" t="s">
        <v>71</v>
      </c>
      <c r="K1312" s="2" t="str">
        <f>HYPERLINK("http://collections.slsa.sa.gov.au/arthur/06750/BRG347_6558.htm")</f>
        <v>http://collections.slsa.sa.gov.au/arthur/06750/BRG347_6558.htm</v>
      </c>
    </row>
    <row r="1313" spans="1:11" x14ac:dyDescent="0.25">
      <c r="A1313" t="s">
        <v>4902</v>
      </c>
      <c r="B1313" s="1" t="str">
        <f>HYPERLINK("https://www.catalog.slsa.sa.gov.au/record=b2118478")</f>
        <v>https://www.catalog.slsa.sa.gov.au/record=b2118478</v>
      </c>
      <c r="C1313" s="1" t="str">
        <f>HYPERLINK("https://www.catalog.slsa.sa.gov.au/xrecord=b2118478")</f>
        <v>https://www.catalog.slsa.sa.gov.au/xrecord=b2118478</v>
      </c>
      <c r="D1313" t="s">
        <v>66</v>
      </c>
      <c r="E1313" t="s">
        <v>4903</v>
      </c>
      <c r="F1313">
        <v>1952</v>
      </c>
      <c r="G1313" t="s">
        <v>121</v>
      </c>
      <c r="H1313" t="s">
        <v>4904</v>
      </c>
      <c r="I1313" t="s">
        <v>4516</v>
      </c>
      <c r="J1313" t="s">
        <v>71</v>
      </c>
      <c r="K1313" s="2" t="str">
        <f>HYPERLINK("http://collections.slsa.sa.gov.au/arthur/06750/BRG347_6559.htm")</f>
        <v>http://collections.slsa.sa.gov.au/arthur/06750/BRG347_6559.htm</v>
      </c>
    </row>
    <row r="1314" spans="1:11" x14ac:dyDescent="0.25">
      <c r="A1314" t="s">
        <v>4905</v>
      </c>
      <c r="B1314" s="1" t="str">
        <f>HYPERLINK("https://www.catalog.slsa.sa.gov.au/record=b2118479")</f>
        <v>https://www.catalog.slsa.sa.gov.au/record=b2118479</v>
      </c>
      <c r="C1314" s="1" t="str">
        <f>HYPERLINK("https://www.catalog.slsa.sa.gov.au/xrecord=b2118479")</f>
        <v>https://www.catalog.slsa.sa.gov.au/xrecord=b2118479</v>
      </c>
      <c r="D1314" t="s">
        <v>66</v>
      </c>
      <c r="E1314" t="s">
        <v>4906</v>
      </c>
      <c r="F1314">
        <v>1952</v>
      </c>
      <c r="G1314" t="s">
        <v>121</v>
      </c>
      <c r="H1314" t="s">
        <v>4907</v>
      </c>
      <c r="I1314" t="s">
        <v>4908</v>
      </c>
      <c r="J1314" t="s">
        <v>71</v>
      </c>
      <c r="K1314" s="2" t="str">
        <f>HYPERLINK("http://collections.slsa.sa.gov.au/arthur/06750/BRG347_6560.htm")</f>
        <v>http://collections.slsa.sa.gov.au/arthur/06750/BRG347_6560.htm</v>
      </c>
    </row>
    <row r="1315" spans="1:11" x14ac:dyDescent="0.25">
      <c r="A1315" t="s">
        <v>4909</v>
      </c>
      <c r="B1315" s="1" t="str">
        <f>HYPERLINK("https://www.catalog.slsa.sa.gov.au/record=b2118480")</f>
        <v>https://www.catalog.slsa.sa.gov.au/record=b2118480</v>
      </c>
      <c r="C1315" s="1" t="str">
        <f>HYPERLINK("https://www.catalog.slsa.sa.gov.au/xrecord=b2118480")</f>
        <v>https://www.catalog.slsa.sa.gov.au/xrecord=b2118480</v>
      </c>
      <c r="D1315" t="s">
        <v>66</v>
      </c>
      <c r="E1315" t="s">
        <v>4910</v>
      </c>
      <c r="F1315">
        <v>1952</v>
      </c>
      <c r="G1315" t="s">
        <v>121</v>
      </c>
      <c r="H1315" t="s">
        <v>4911</v>
      </c>
      <c r="I1315" t="s">
        <v>4912</v>
      </c>
      <c r="J1315" t="s">
        <v>71</v>
      </c>
      <c r="K1315" s="2" t="str">
        <f>HYPERLINK("http://collections.slsa.sa.gov.au/arthur/06750/BRG347_6561.htm")</f>
        <v>http://collections.slsa.sa.gov.au/arthur/06750/BRG347_6561.htm</v>
      </c>
    </row>
    <row r="1316" spans="1:11" x14ac:dyDescent="0.25">
      <c r="A1316" t="s">
        <v>4913</v>
      </c>
      <c r="B1316" s="1" t="str">
        <f>HYPERLINK("https://www.catalog.slsa.sa.gov.au/record=b2118481")</f>
        <v>https://www.catalog.slsa.sa.gov.au/record=b2118481</v>
      </c>
      <c r="C1316" s="1" t="str">
        <f>HYPERLINK("https://www.catalog.slsa.sa.gov.au/xrecord=b2118481")</f>
        <v>https://www.catalog.slsa.sa.gov.au/xrecord=b2118481</v>
      </c>
      <c r="D1316" t="s">
        <v>66</v>
      </c>
      <c r="E1316" t="s">
        <v>4914</v>
      </c>
      <c r="F1316">
        <v>1952</v>
      </c>
      <c r="G1316" t="s">
        <v>121</v>
      </c>
      <c r="H1316" t="s">
        <v>4915</v>
      </c>
      <c r="I1316" t="s">
        <v>1576</v>
      </c>
      <c r="J1316" t="s">
        <v>71</v>
      </c>
      <c r="K1316" s="2" t="str">
        <f>HYPERLINK("http://collections.slsa.sa.gov.au/arthur/06750/BRG347_6562.htm")</f>
        <v>http://collections.slsa.sa.gov.au/arthur/06750/BRG347_6562.htm</v>
      </c>
    </row>
    <row r="1317" spans="1:11" x14ac:dyDescent="0.25">
      <c r="A1317" t="s">
        <v>4916</v>
      </c>
      <c r="B1317" s="1" t="str">
        <f>HYPERLINK("https://www.catalog.slsa.sa.gov.au/record=b2118482")</f>
        <v>https://www.catalog.slsa.sa.gov.au/record=b2118482</v>
      </c>
      <c r="C1317" s="1" t="str">
        <f>HYPERLINK("https://www.catalog.slsa.sa.gov.au/xrecord=b2118482")</f>
        <v>https://www.catalog.slsa.sa.gov.au/xrecord=b2118482</v>
      </c>
      <c r="D1317" t="s">
        <v>66</v>
      </c>
      <c r="E1317" t="s">
        <v>4917</v>
      </c>
      <c r="F1317">
        <v>1952</v>
      </c>
      <c r="G1317" t="s">
        <v>121</v>
      </c>
      <c r="H1317" t="s">
        <v>4918</v>
      </c>
      <c r="I1317" t="s">
        <v>4908</v>
      </c>
      <c r="J1317" t="s">
        <v>71</v>
      </c>
      <c r="K1317" s="2" t="str">
        <f>HYPERLINK("http://collections.slsa.sa.gov.au/arthur/06750/BRG347_6563.htm")</f>
        <v>http://collections.slsa.sa.gov.au/arthur/06750/BRG347_6563.htm</v>
      </c>
    </row>
    <row r="1318" spans="1:11" x14ac:dyDescent="0.25">
      <c r="A1318" t="s">
        <v>4919</v>
      </c>
      <c r="B1318" s="1" t="str">
        <f>HYPERLINK("https://www.catalog.slsa.sa.gov.au/record=b2118483")</f>
        <v>https://www.catalog.slsa.sa.gov.au/record=b2118483</v>
      </c>
      <c r="C1318" s="1" t="str">
        <f>HYPERLINK("https://www.catalog.slsa.sa.gov.au/xrecord=b2118483")</f>
        <v>https://www.catalog.slsa.sa.gov.au/xrecord=b2118483</v>
      </c>
      <c r="D1318" t="s">
        <v>66</v>
      </c>
      <c r="E1318" t="s">
        <v>4920</v>
      </c>
      <c r="F1318">
        <v>1952</v>
      </c>
      <c r="G1318" t="s">
        <v>121</v>
      </c>
      <c r="H1318" t="s">
        <v>4921</v>
      </c>
      <c r="I1318" t="s">
        <v>4922</v>
      </c>
      <c r="J1318" t="s">
        <v>71</v>
      </c>
      <c r="K1318" s="2" t="str">
        <f>HYPERLINK("http://collections.slsa.sa.gov.au/arthur/06750/BRG347_6564.htm")</f>
        <v>http://collections.slsa.sa.gov.au/arthur/06750/BRG347_6564.htm</v>
      </c>
    </row>
    <row r="1319" spans="1:11" x14ac:dyDescent="0.25">
      <c r="A1319" t="s">
        <v>4923</v>
      </c>
      <c r="B1319" s="1" t="str">
        <f>HYPERLINK("https://www.catalog.slsa.sa.gov.au/record=b2118484")</f>
        <v>https://www.catalog.slsa.sa.gov.au/record=b2118484</v>
      </c>
      <c r="C1319" s="1" t="str">
        <f>HYPERLINK("https://www.catalog.slsa.sa.gov.au/xrecord=b2118484")</f>
        <v>https://www.catalog.slsa.sa.gov.au/xrecord=b2118484</v>
      </c>
      <c r="D1319" t="s">
        <v>66</v>
      </c>
      <c r="E1319" t="s">
        <v>4924</v>
      </c>
      <c r="F1319">
        <v>1952</v>
      </c>
      <c r="G1319" t="s">
        <v>121</v>
      </c>
      <c r="H1319" t="s">
        <v>4925</v>
      </c>
      <c r="I1319" t="s">
        <v>4509</v>
      </c>
      <c r="J1319" t="s">
        <v>71</v>
      </c>
      <c r="K1319" s="2" t="str">
        <f>HYPERLINK("http://collections.slsa.sa.gov.au/arthur/06750/BRG347_6565.htm")</f>
        <v>http://collections.slsa.sa.gov.au/arthur/06750/BRG347_6565.htm</v>
      </c>
    </row>
    <row r="1320" spans="1:11" x14ac:dyDescent="0.25">
      <c r="A1320" t="s">
        <v>4926</v>
      </c>
      <c r="B1320" s="1" t="str">
        <f>HYPERLINK("https://www.catalog.slsa.sa.gov.au/record=b2118488")</f>
        <v>https://www.catalog.slsa.sa.gov.au/record=b2118488</v>
      </c>
      <c r="C1320" s="1" t="str">
        <f>HYPERLINK("https://www.catalog.slsa.sa.gov.au/xrecord=b2118488")</f>
        <v>https://www.catalog.slsa.sa.gov.au/xrecord=b2118488</v>
      </c>
      <c r="D1320" t="s">
        <v>66</v>
      </c>
      <c r="E1320" t="s">
        <v>4927</v>
      </c>
      <c r="F1320">
        <v>1952</v>
      </c>
      <c r="G1320" t="s">
        <v>121</v>
      </c>
      <c r="H1320" t="s">
        <v>4928</v>
      </c>
      <c r="I1320" t="s">
        <v>4908</v>
      </c>
      <c r="J1320" t="s">
        <v>71</v>
      </c>
      <c r="K1320" s="2" t="str">
        <f>HYPERLINK("http://collections.slsa.sa.gov.au/arthur/06750/BRG347_6569.htm")</f>
        <v>http://collections.slsa.sa.gov.au/arthur/06750/BRG347_6569.htm</v>
      </c>
    </row>
    <row r="1321" spans="1:11" x14ac:dyDescent="0.25">
      <c r="A1321" t="s">
        <v>4929</v>
      </c>
      <c r="B1321" s="1" t="str">
        <f>HYPERLINK("https://www.catalog.slsa.sa.gov.au/record=b2122743")</f>
        <v>https://www.catalog.slsa.sa.gov.au/record=b2122743</v>
      </c>
      <c r="C1321" s="1" t="str">
        <f>HYPERLINK("https://www.catalog.slsa.sa.gov.au/xrecord=b2122743")</f>
        <v>https://www.catalog.slsa.sa.gov.au/xrecord=b2122743</v>
      </c>
      <c r="D1321" t="s">
        <v>66</v>
      </c>
      <c r="E1321" t="s">
        <v>4930</v>
      </c>
      <c r="F1321">
        <v>1952</v>
      </c>
      <c r="G1321" t="s">
        <v>121</v>
      </c>
      <c r="H1321" t="s">
        <v>4931</v>
      </c>
      <c r="I1321" t="s">
        <v>4932</v>
      </c>
      <c r="J1321" t="s">
        <v>71</v>
      </c>
      <c r="K1321" s="2" t="str">
        <f>HYPERLINK("http://collections.slsa.sa.gov.au/arthur/06750/BRG347_6689.htm")</f>
        <v>http://collections.slsa.sa.gov.au/arthur/06750/BRG347_6689.htm</v>
      </c>
    </row>
    <row r="1322" spans="1:11" x14ac:dyDescent="0.25">
      <c r="A1322" t="s">
        <v>4933</v>
      </c>
      <c r="B1322" s="1" t="str">
        <f>HYPERLINK("https://www.catalog.slsa.sa.gov.au/record=b2118622")</f>
        <v>https://www.catalog.slsa.sa.gov.au/record=b2118622</v>
      </c>
      <c r="C1322" s="1" t="str">
        <f>HYPERLINK("https://www.catalog.slsa.sa.gov.au/xrecord=b2118622")</f>
        <v>https://www.catalog.slsa.sa.gov.au/xrecord=b2118622</v>
      </c>
      <c r="D1322" t="s">
        <v>66</v>
      </c>
      <c r="E1322" t="s">
        <v>1613</v>
      </c>
      <c r="F1322">
        <v>1952</v>
      </c>
      <c r="G1322" t="s">
        <v>121</v>
      </c>
      <c r="H1322" t="s">
        <v>4934</v>
      </c>
      <c r="I1322" t="s">
        <v>4935</v>
      </c>
      <c r="J1322" t="s">
        <v>71</v>
      </c>
      <c r="K1322" s="2" t="str">
        <f>HYPERLINK("http://collections.slsa.sa.gov.au/arthur/06750/BRG347_6695.htm")</f>
        <v>http://collections.slsa.sa.gov.au/arthur/06750/BRG347_6695.htm</v>
      </c>
    </row>
    <row r="1323" spans="1:11" x14ac:dyDescent="0.25">
      <c r="A1323" t="s">
        <v>4936</v>
      </c>
      <c r="B1323" s="1" t="str">
        <f>HYPERLINK("https://www.catalog.slsa.sa.gov.au/record=b2118740")</f>
        <v>https://www.catalog.slsa.sa.gov.au/record=b2118740</v>
      </c>
      <c r="C1323" s="1" t="str">
        <f>HYPERLINK("https://www.catalog.slsa.sa.gov.au/xrecord=b2118740")</f>
        <v>https://www.catalog.slsa.sa.gov.au/xrecord=b2118740</v>
      </c>
      <c r="D1323" t="s">
        <v>66</v>
      </c>
      <c r="E1323" t="s">
        <v>4937</v>
      </c>
      <c r="F1323">
        <v>1952</v>
      </c>
      <c r="G1323" t="s">
        <v>121</v>
      </c>
      <c r="H1323" t="s">
        <v>4938</v>
      </c>
      <c r="I1323" t="s">
        <v>4939</v>
      </c>
      <c r="J1323" t="s">
        <v>71</v>
      </c>
      <c r="K1323" s="2" t="str">
        <f>HYPERLINK("http://collections.slsa.sa.gov.au/arthur/06750/BRG347_6697.htm")</f>
        <v>http://collections.slsa.sa.gov.au/arthur/06750/BRG347_6697.htm</v>
      </c>
    </row>
    <row r="1324" spans="1:11" x14ac:dyDescent="0.25">
      <c r="A1324" t="s">
        <v>4940</v>
      </c>
      <c r="B1324" s="1" t="str">
        <f>HYPERLINK("https://www.catalog.slsa.sa.gov.au/record=b2118742")</f>
        <v>https://www.catalog.slsa.sa.gov.au/record=b2118742</v>
      </c>
      <c r="C1324" s="1" t="str">
        <f>HYPERLINK("https://www.catalog.slsa.sa.gov.au/xrecord=b2118742")</f>
        <v>https://www.catalog.slsa.sa.gov.au/xrecord=b2118742</v>
      </c>
      <c r="D1324" t="s">
        <v>66</v>
      </c>
      <c r="E1324" t="s">
        <v>1613</v>
      </c>
      <c r="F1324">
        <v>1952</v>
      </c>
      <c r="G1324" t="s">
        <v>121</v>
      </c>
      <c r="H1324" t="s">
        <v>4941</v>
      </c>
      <c r="I1324" t="s">
        <v>4935</v>
      </c>
      <c r="J1324" t="s">
        <v>71</v>
      </c>
      <c r="K1324" s="2" t="str">
        <f>HYPERLINK("http://collections.slsa.sa.gov.au/arthur/06750/BRG347_6699.htm")</f>
        <v>http://collections.slsa.sa.gov.au/arthur/06750/BRG347_6699.htm</v>
      </c>
    </row>
    <row r="1325" spans="1:11" x14ac:dyDescent="0.25">
      <c r="A1325" t="s">
        <v>4942</v>
      </c>
      <c r="B1325" s="1" t="str">
        <f>HYPERLINK("https://www.catalog.slsa.sa.gov.au/record=b2118743")</f>
        <v>https://www.catalog.slsa.sa.gov.au/record=b2118743</v>
      </c>
      <c r="C1325" s="1" t="str">
        <f>HYPERLINK("https://www.catalog.slsa.sa.gov.au/xrecord=b2118743")</f>
        <v>https://www.catalog.slsa.sa.gov.au/xrecord=b2118743</v>
      </c>
      <c r="D1325" t="s">
        <v>66</v>
      </c>
      <c r="E1325" t="s">
        <v>4538</v>
      </c>
      <c r="F1325">
        <v>1952</v>
      </c>
      <c r="G1325" t="s">
        <v>121</v>
      </c>
      <c r="H1325" t="s">
        <v>4943</v>
      </c>
      <c r="I1325" t="s">
        <v>4540</v>
      </c>
      <c r="J1325" t="s">
        <v>71</v>
      </c>
      <c r="K1325" s="2" t="str">
        <f>HYPERLINK("http://collections.slsa.sa.gov.au/arthur/06750/BRG347_6700.htm")</f>
        <v>http://collections.slsa.sa.gov.au/arthur/06750/BRG347_6700.htm</v>
      </c>
    </row>
    <row r="1326" spans="1:11" x14ac:dyDescent="0.25">
      <c r="A1326" t="s">
        <v>4944</v>
      </c>
      <c r="B1326" s="1" t="str">
        <f>HYPERLINK("https://www.catalog.slsa.sa.gov.au/record=b2118790")</f>
        <v>https://www.catalog.slsa.sa.gov.au/record=b2118790</v>
      </c>
      <c r="C1326" s="1" t="str">
        <f>HYPERLINK("https://www.catalog.slsa.sa.gov.au/xrecord=b2118790")</f>
        <v>https://www.catalog.slsa.sa.gov.au/xrecord=b2118790</v>
      </c>
      <c r="D1326" t="s">
        <v>66</v>
      </c>
      <c r="E1326" t="s">
        <v>4945</v>
      </c>
      <c r="F1326">
        <v>1952</v>
      </c>
      <c r="G1326" t="s">
        <v>121</v>
      </c>
      <c r="H1326" t="s">
        <v>4946</v>
      </c>
      <c r="I1326" t="s">
        <v>4947</v>
      </c>
      <c r="J1326" t="s">
        <v>71</v>
      </c>
      <c r="K1326" s="2" t="str">
        <f>HYPERLINK("http://collections.slsa.sa.gov.au/arthur/06750/BRG347_6748.htm")</f>
        <v>http://collections.slsa.sa.gov.au/arthur/06750/BRG347_6748.htm</v>
      </c>
    </row>
    <row r="1327" spans="1:11" x14ac:dyDescent="0.25">
      <c r="A1327" t="s">
        <v>4948</v>
      </c>
      <c r="B1327" s="1" t="str">
        <f>HYPERLINK("https://www.catalog.slsa.sa.gov.au/record=b2118792")</f>
        <v>https://www.catalog.slsa.sa.gov.au/record=b2118792</v>
      </c>
      <c r="C1327" s="1" t="str">
        <f>HYPERLINK("https://www.catalog.slsa.sa.gov.au/xrecord=b2118792")</f>
        <v>https://www.catalog.slsa.sa.gov.au/xrecord=b2118792</v>
      </c>
      <c r="D1327" t="s">
        <v>66</v>
      </c>
      <c r="E1327" t="s">
        <v>4949</v>
      </c>
      <c r="F1327">
        <v>1952</v>
      </c>
      <c r="G1327" t="s">
        <v>121</v>
      </c>
      <c r="H1327" t="s">
        <v>4950</v>
      </c>
      <c r="I1327" t="s">
        <v>4951</v>
      </c>
      <c r="J1327" t="s">
        <v>71</v>
      </c>
      <c r="K1327" s="2" t="str">
        <f>HYPERLINK("http://collections.slsa.sa.gov.au/arthur/06750/BRG347_6750.htm")</f>
        <v>http://collections.slsa.sa.gov.au/arthur/06750/BRG347_6750.htm</v>
      </c>
    </row>
    <row r="1328" spans="1:11" x14ac:dyDescent="0.25">
      <c r="A1328" t="s">
        <v>4952</v>
      </c>
      <c r="B1328" s="1" t="str">
        <f>HYPERLINK("https://www.catalog.slsa.sa.gov.au/record=b2119284")</f>
        <v>https://www.catalog.slsa.sa.gov.au/record=b2119284</v>
      </c>
      <c r="C1328" s="1" t="str">
        <f>HYPERLINK("https://www.catalog.slsa.sa.gov.au/xrecord=b2119284")</f>
        <v>https://www.catalog.slsa.sa.gov.au/xrecord=b2119284</v>
      </c>
      <c r="D1328" t="s">
        <v>66</v>
      </c>
      <c r="E1328" t="s">
        <v>4953</v>
      </c>
      <c r="F1328">
        <v>1952</v>
      </c>
      <c r="G1328" t="s">
        <v>121</v>
      </c>
      <c r="H1328" t="s">
        <v>4954</v>
      </c>
      <c r="I1328" t="s">
        <v>4955</v>
      </c>
      <c r="J1328" t="s">
        <v>71</v>
      </c>
      <c r="K1328" s="2" t="str">
        <f>HYPERLINK("http://collections.slsa.sa.gov.au/arthur/07000/BRG347_6827.htm")</f>
        <v>http://collections.slsa.sa.gov.au/arthur/07000/BRG347_6827.htm</v>
      </c>
    </row>
    <row r="1329" spans="1:11" x14ac:dyDescent="0.25">
      <c r="A1329" t="s">
        <v>4956</v>
      </c>
      <c r="B1329" s="1" t="str">
        <f>HYPERLINK("https://www.catalog.slsa.sa.gov.au/record=b2119287")</f>
        <v>https://www.catalog.slsa.sa.gov.au/record=b2119287</v>
      </c>
      <c r="C1329" s="1" t="str">
        <f>HYPERLINK("https://www.catalog.slsa.sa.gov.au/xrecord=b2119287")</f>
        <v>https://www.catalog.slsa.sa.gov.au/xrecord=b2119287</v>
      </c>
      <c r="D1329" t="s">
        <v>66</v>
      </c>
      <c r="E1329" t="s">
        <v>4957</v>
      </c>
      <c r="F1329">
        <v>1952</v>
      </c>
      <c r="G1329" t="s">
        <v>121</v>
      </c>
      <c r="H1329" t="s">
        <v>4958</v>
      </c>
      <c r="I1329" t="s">
        <v>4959</v>
      </c>
      <c r="J1329" t="s">
        <v>71</v>
      </c>
      <c r="K1329" s="2" t="str">
        <f>HYPERLINK("http://collections.slsa.sa.gov.au/arthur/07000/BRG347_6832.htm")</f>
        <v>http://collections.slsa.sa.gov.au/arthur/07000/BRG347_6832.htm</v>
      </c>
    </row>
    <row r="1330" spans="1:11" x14ac:dyDescent="0.25">
      <c r="A1330" t="s">
        <v>4960</v>
      </c>
      <c r="B1330" s="1" t="str">
        <f>HYPERLINK("https://www.catalog.slsa.sa.gov.au/record=b2119288")</f>
        <v>https://www.catalog.slsa.sa.gov.au/record=b2119288</v>
      </c>
      <c r="C1330" s="1" t="str">
        <f>HYPERLINK("https://www.catalog.slsa.sa.gov.au/xrecord=b2119288")</f>
        <v>https://www.catalog.slsa.sa.gov.au/xrecord=b2119288</v>
      </c>
      <c r="D1330" t="s">
        <v>66</v>
      </c>
      <c r="E1330" t="s">
        <v>4957</v>
      </c>
      <c r="F1330">
        <v>1952</v>
      </c>
      <c r="G1330" t="s">
        <v>121</v>
      </c>
      <c r="H1330" t="s">
        <v>4961</v>
      </c>
      <c r="I1330" t="s">
        <v>4959</v>
      </c>
      <c r="J1330" t="s">
        <v>71</v>
      </c>
      <c r="K1330" s="2" t="str">
        <f>HYPERLINK("http://collections.slsa.sa.gov.au/arthur/07000/BRG347_6833.htm")</f>
        <v>http://collections.slsa.sa.gov.au/arthur/07000/BRG347_6833.htm</v>
      </c>
    </row>
    <row r="1331" spans="1:11" x14ac:dyDescent="0.25">
      <c r="A1331" t="s">
        <v>4962</v>
      </c>
      <c r="B1331" s="1" t="str">
        <f>HYPERLINK("https://www.catalog.slsa.sa.gov.au/record=b2119313")</f>
        <v>https://www.catalog.slsa.sa.gov.au/record=b2119313</v>
      </c>
      <c r="C1331" s="1" t="str">
        <f>HYPERLINK("https://www.catalog.slsa.sa.gov.au/xrecord=b2119313")</f>
        <v>https://www.catalog.slsa.sa.gov.au/xrecord=b2119313</v>
      </c>
      <c r="D1331" t="s">
        <v>66</v>
      </c>
      <c r="E1331" t="s">
        <v>4963</v>
      </c>
      <c r="F1331">
        <v>1952</v>
      </c>
      <c r="G1331" t="s">
        <v>121</v>
      </c>
      <c r="H1331" t="s">
        <v>4964</v>
      </c>
      <c r="I1331" t="s">
        <v>4965</v>
      </c>
      <c r="J1331" t="s">
        <v>71</v>
      </c>
      <c r="K1331" s="2" t="str">
        <f>HYPERLINK("http://collections.slsa.sa.gov.au/arthur/07000/BRG347_6853.htm")</f>
        <v>http://collections.slsa.sa.gov.au/arthur/07000/BRG347_6853.htm</v>
      </c>
    </row>
    <row r="1332" spans="1:11" x14ac:dyDescent="0.25">
      <c r="A1332" t="s">
        <v>4966</v>
      </c>
      <c r="B1332" s="1" t="str">
        <f>HYPERLINK("https://www.catalog.slsa.sa.gov.au/record=b2119528")</f>
        <v>https://www.catalog.slsa.sa.gov.au/record=b2119528</v>
      </c>
      <c r="C1332" s="1" t="str">
        <f>HYPERLINK("https://www.catalog.slsa.sa.gov.au/xrecord=b2119528")</f>
        <v>https://www.catalog.slsa.sa.gov.au/xrecord=b2119528</v>
      </c>
      <c r="D1332" t="s">
        <v>66</v>
      </c>
      <c r="E1332" t="s">
        <v>4967</v>
      </c>
      <c r="F1332">
        <v>1952</v>
      </c>
      <c r="G1332" t="s">
        <v>121</v>
      </c>
      <c r="H1332" t="s">
        <v>4968</v>
      </c>
      <c r="I1332" t="s">
        <v>4959</v>
      </c>
      <c r="J1332" t="s">
        <v>71</v>
      </c>
      <c r="K1332" s="2" t="str">
        <f>HYPERLINK("http://collections.slsa.sa.gov.au/arthur/07000/BRG347_6863.htm")</f>
        <v>http://collections.slsa.sa.gov.au/arthur/07000/BRG347_6863.htm</v>
      </c>
    </row>
    <row r="1333" spans="1:11" x14ac:dyDescent="0.25">
      <c r="A1333" t="s">
        <v>4969</v>
      </c>
      <c r="B1333" s="1" t="str">
        <f>HYPERLINK("https://www.catalog.slsa.sa.gov.au/record=b2119540")</f>
        <v>https://www.catalog.slsa.sa.gov.au/record=b2119540</v>
      </c>
      <c r="C1333" s="1" t="str">
        <f>HYPERLINK("https://www.catalog.slsa.sa.gov.au/xrecord=b2119540")</f>
        <v>https://www.catalog.slsa.sa.gov.au/xrecord=b2119540</v>
      </c>
      <c r="D1333" t="s">
        <v>66</v>
      </c>
      <c r="E1333" t="s">
        <v>4970</v>
      </c>
      <c r="F1333">
        <v>1952</v>
      </c>
      <c r="G1333" t="s">
        <v>121</v>
      </c>
      <c r="H1333" t="s">
        <v>4971</v>
      </c>
      <c r="I1333" t="s">
        <v>4972</v>
      </c>
      <c r="J1333" t="s">
        <v>71</v>
      </c>
      <c r="K1333" s="2" t="str">
        <f>HYPERLINK("http://collections.slsa.sa.gov.au/arthur/07000/BRG347_6875.htm")</f>
        <v>http://collections.slsa.sa.gov.au/arthur/07000/BRG347_6875.htm</v>
      </c>
    </row>
    <row r="1334" spans="1:11" x14ac:dyDescent="0.25">
      <c r="A1334" t="s">
        <v>4973</v>
      </c>
      <c r="B1334" s="1" t="str">
        <f>HYPERLINK("https://www.catalog.slsa.sa.gov.au/record=b2119591")</f>
        <v>https://www.catalog.slsa.sa.gov.au/record=b2119591</v>
      </c>
      <c r="C1334" s="1" t="str">
        <f>HYPERLINK("https://www.catalog.slsa.sa.gov.au/xrecord=b2119591")</f>
        <v>https://www.catalog.slsa.sa.gov.au/xrecord=b2119591</v>
      </c>
      <c r="D1334" t="s">
        <v>66</v>
      </c>
      <c r="E1334" t="s">
        <v>4974</v>
      </c>
      <c r="F1334">
        <v>1952</v>
      </c>
      <c r="G1334" t="s">
        <v>121</v>
      </c>
      <c r="H1334" t="s">
        <v>4975</v>
      </c>
      <c r="I1334" t="s">
        <v>1750</v>
      </c>
      <c r="J1334" t="s">
        <v>71</v>
      </c>
      <c r="K1334" s="2" t="str">
        <f>HYPERLINK("http://collections.slsa.sa.gov.au/arthur/07000/BRG347_6904.htm")</f>
        <v>http://collections.slsa.sa.gov.au/arthur/07000/BRG347_6904.htm</v>
      </c>
    </row>
    <row r="1335" spans="1:11" x14ac:dyDescent="0.25">
      <c r="A1335" t="s">
        <v>4976</v>
      </c>
      <c r="B1335" s="1" t="str">
        <f>HYPERLINK("https://www.catalog.slsa.sa.gov.au/record=b2119593")</f>
        <v>https://www.catalog.slsa.sa.gov.au/record=b2119593</v>
      </c>
      <c r="C1335" s="1" t="str">
        <f>HYPERLINK("https://www.catalog.slsa.sa.gov.au/xrecord=b2119593")</f>
        <v>https://www.catalog.slsa.sa.gov.au/xrecord=b2119593</v>
      </c>
      <c r="D1335" t="s">
        <v>66</v>
      </c>
      <c r="E1335" t="s">
        <v>4977</v>
      </c>
      <c r="F1335">
        <v>1952</v>
      </c>
      <c r="G1335" t="s">
        <v>121</v>
      </c>
      <c r="H1335" t="s">
        <v>4978</v>
      </c>
      <c r="I1335" t="s">
        <v>1750</v>
      </c>
      <c r="J1335" t="s">
        <v>71</v>
      </c>
      <c r="K1335" s="2" t="str">
        <f>HYPERLINK("http://collections.slsa.sa.gov.au/arthur/07000/BRG347_6906.htm")</f>
        <v>http://collections.slsa.sa.gov.au/arthur/07000/BRG347_6906.htm</v>
      </c>
    </row>
    <row r="1336" spans="1:11" x14ac:dyDescent="0.25">
      <c r="A1336" t="s">
        <v>4979</v>
      </c>
      <c r="B1336" s="1" t="str">
        <f>HYPERLINK("https://www.catalog.slsa.sa.gov.au/record=b2119594")</f>
        <v>https://www.catalog.slsa.sa.gov.au/record=b2119594</v>
      </c>
      <c r="C1336" s="1" t="str">
        <f>HYPERLINK("https://www.catalog.slsa.sa.gov.au/xrecord=b2119594")</f>
        <v>https://www.catalog.slsa.sa.gov.au/xrecord=b2119594</v>
      </c>
      <c r="D1336" t="s">
        <v>66</v>
      </c>
      <c r="E1336" t="s">
        <v>4606</v>
      </c>
      <c r="F1336">
        <v>1952</v>
      </c>
      <c r="G1336" t="s">
        <v>121</v>
      </c>
      <c r="H1336" t="s">
        <v>4980</v>
      </c>
      <c r="I1336" t="s">
        <v>1750</v>
      </c>
      <c r="J1336" t="s">
        <v>71</v>
      </c>
      <c r="K1336" s="2" t="str">
        <f>HYPERLINK("http://collections.slsa.sa.gov.au/arthur/07000/BRG347_6907.htm")</f>
        <v>http://collections.slsa.sa.gov.au/arthur/07000/BRG347_6907.htm</v>
      </c>
    </row>
    <row r="1337" spans="1:11" x14ac:dyDescent="0.25">
      <c r="A1337" t="s">
        <v>4981</v>
      </c>
      <c r="B1337" s="1" t="str">
        <f>HYPERLINK("https://www.catalog.slsa.sa.gov.au/record=b2119595")</f>
        <v>https://www.catalog.slsa.sa.gov.au/record=b2119595</v>
      </c>
      <c r="C1337" s="1" t="str">
        <f>HYPERLINK("https://www.catalog.slsa.sa.gov.au/xrecord=b2119595")</f>
        <v>https://www.catalog.slsa.sa.gov.au/xrecord=b2119595</v>
      </c>
      <c r="D1337" t="s">
        <v>66</v>
      </c>
      <c r="E1337" t="s">
        <v>4606</v>
      </c>
      <c r="F1337">
        <v>1952</v>
      </c>
      <c r="G1337" t="s">
        <v>121</v>
      </c>
      <c r="H1337" t="s">
        <v>4980</v>
      </c>
      <c r="I1337" t="s">
        <v>1750</v>
      </c>
      <c r="J1337" t="s">
        <v>71</v>
      </c>
      <c r="K1337" s="2" t="str">
        <f>HYPERLINK("http://collections.slsa.sa.gov.au/arthur/07000/BRG347_6908.htm")</f>
        <v>http://collections.slsa.sa.gov.au/arthur/07000/BRG347_6908.htm</v>
      </c>
    </row>
    <row r="1338" spans="1:11" x14ac:dyDescent="0.25">
      <c r="A1338" t="s">
        <v>4982</v>
      </c>
      <c r="B1338" s="1" t="str">
        <f>HYPERLINK("https://www.catalog.slsa.sa.gov.au/record=b2119600")</f>
        <v>https://www.catalog.slsa.sa.gov.au/record=b2119600</v>
      </c>
      <c r="C1338" s="1" t="str">
        <f>HYPERLINK("https://www.catalog.slsa.sa.gov.au/xrecord=b2119600")</f>
        <v>https://www.catalog.slsa.sa.gov.au/xrecord=b2119600</v>
      </c>
      <c r="D1338" t="s">
        <v>66</v>
      </c>
      <c r="E1338" t="s">
        <v>4983</v>
      </c>
      <c r="F1338">
        <v>1952</v>
      </c>
      <c r="G1338" t="s">
        <v>121</v>
      </c>
      <c r="H1338" t="s">
        <v>4984</v>
      </c>
      <c r="I1338" t="s">
        <v>1750</v>
      </c>
      <c r="J1338" t="s">
        <v>71</v>
      </c>
      <c r="K1338" s="2" t="str">
        <f>HYPERLINK("http://collections.slsa.sa.gov.au/arthur/07000/BRG347_6913.htm")</f>
        <v>http://collections.slsa.sa.gov.au/arthur/07000/BRG347_6913.htm</v>
      </c>
    </row>
    <row r="1339" spans="1:11" x14ac:dyDescent="0.25">
      <c r="A1339" t="s">
        <v>4985</v>
      </c>
      <c r="B1339" s="1" t="str">
        <f>HYPERLINK("https://www.catalog.slsa.sa.gov.au/record=b2119601")</f>
        <v>https://www.catalog.slsa.sa.gov.au/record=b2119601</v>
      </c>
      <c r="C1339" s="1" t="str">
        <f>HYPERLINK("https://www.catalog.slsa.sa.gov.au/xrecord=b2119601")</f>
        <v>https://www.catalog.slsa.sa.gov.au/xrecord=b2119601</v>
      </c>
      <c r="D1339" t="s">
        <v>66</v>
      </c>
      <c r="E1339" t="s">
        <v>4986</v>
      </c>
      <c r="F1339">
        <v>1952</v>
      </c>
      <c r="G1339" t="s">
        <v>121</v>
      </c>
      <c r="H1339" t="s">
        <v>4987</v>
      </c>
      <c r="I1339" t="s">
        <v>1750</v>
      </c>
      <c r="J1339" t="s">
        <v>71</v>
      </c>
      <c r="K1339" s="2" t="str">
        <f>HYPERLINK("http://collections.slsa.sa.gov.au/arthur/07000/BRG347_6914.htm")</f>
        <v>http://collections.slsa.sa.gov.au/arthur/07000/BRG347_6914.htm</v>
      </c>
    </row>
    <row r="1340" spans="1:11" x14ac:dyDescent="0.25">
      <c r="A1340" t="s">
        <v>4988</v>
      </c>
      <c r="B1340" s="1" t="str">
        <f>HYPERLINK("https://www.catalog.slsa.sa.gov.au/record=b3013184")</f>
        <v>https://www.catalog.slsa.sa.gov.au/record=b3013184</v>
      </c>
      <c r="C1340" s="1" t="str">
        <f>HYPERLINK("https://www.catalog.slsa.sa.gov.au/xrecord=b3013184")</f>
        <v>https://www.catalog.slsa.sa.gov.au/xrecord=b3013184</v>
      </c>
      <c r="D1340" t="s">
        <v>4989</v>
      </c>
      <c r="E1340" t="s">
        <v>4990</v>
      </c>
      <c r="F1340">
        <v>1952</v>
      </c>
      <c r="G1340" t="s">
        <v>4991</v>
      </c>
      <c r="H1340" t="s">
        <v>4992</v>
      </c>
      <c r="I1340" t="s">
        <v>4993</v>
      </c>
      <c r="J1340" t="s">
        <v>4994</v>
      </c>
      <c r="K1340" s="2" t="str">
        <f>HYPERLINK("http://collections.slsa.sa.gov.au/resource/PRG+1631/99/33")</f>
        <v>http://collections.slsa.sa.gov.au/resource/PRG+1631/99/33</v>
      </c>
    </row>
    <row r="1341" spans="1:11" x14ac:dyDescent="0.25">
      <c r="A1341" t="s">
        <v>4995</v>
      </c>
      <c r="B1341" s="1" t="str">
        <f>HYPERLINK("https://www.catalog.slsa.sa.gov.au/record=b3085010")</f>
        <v>https://www.catalog.slsa.sa.gov.au/record=b3085010</v>
      </c>
      <c r="C1341" s="1" t="str">
        <f>HYPERLINK("https://www.catalog.slsa.sa.gov.au/xrecord=b3085010")</f>
        <v>https://www.catalog.slsa.sa.gov.au/xrecord=b3085010</v>
      </c>
      <c r="E1341" t="s">
        <v>4996</v>
      </c>
      <c r="F1341">
        <v>1952</v>
      </c>
      <c r="G1341" t="s">
        <v>4997</v>
      </c>
      <c r="H1341" t="s">
        <v>4998</v>
      </c>
      <c r="I1341" t="s">
        <v>1917</v>
      </c>
      <c r="J1341" t="s">
        <v>1902</v>
      </c>
      <c r="K1341" s="2" t="str">
        <f>HYPERLINK("http://collections.slsa.sa.gov.au/resource/SRG+873/1/472")</f>
        <v>http://collections.slsa.sa.gov.au/resource/SRG+873/1/472</v>
      </c>
    </row>
    <row r="1342" spans="1:11" x14ac:dyDescent="0.25">
      <c r="A1342" t="s">
        <v>4999</v>
      </c>
      <c r="B1342" s="1" t="str">
        <f>HYPERLINK("https://www.catalog.slsa.sa.gov.au/record=b3024719")</f>
        <v>https://www.catalog.slsa.sa.gov.au/record=b3024719</v>
      </c>
      <c r="C1342" s="1" t="str">
        <f>HYPERLINK("https://www.catalog.slsa.sa.gov.au/xrecord=b3024719")</f>
        <v>https://www.catalog.slsa.sa.gov.au/xrecord=b3024719</v>
      </c>
      <c r="E1342" t="s">
        <v>5000</v>
      </c>
      <c r="F1342">
        <v>1952</v>
      </c>
      <c r="G1342" t="s">
        <v>5001</v>
      </c>
      <c r="H1342" t="s">
        <v>5002</v>
      </c>
      <c r="I1342" t="s">
        <v>1907</v>
      </c>
      <c r="J1342" t="s">
        <v>1902</v>
      </c>
      <c r="K1342" s="2" t="str">
        <f>HYPERLINK("http://collections.slsa.sa.gov.au/resource/SRG+873/1/61")</f>
        <v>http://collections.slsa.sa.gov.au/resource/SRG+873/1/61</v>
      </c>
    </row>
    <row r="1343" spans="1:11" x14ac:dyDescent="0.25">
      <c r="A1343" t="s">
        <v>5003</v>
      </c>
      <c r="B1343" s="1" t="str">
        <f>HYPERLINK("https://www.catalog.slsa.sa.gov.au/record=b3024750")</f>
        <v>https://www.catalog.slsa.sa.gov.au/record=b3024750</v>
      </c>
      <c r="C1343" s="1" t="str">
        <f>HYPERLINK("https://www.catalog.slsa.sa.gov.au/xrecord=b3024750")</f>
        <v>https://www.catalog.slsa.sa.gov.au/xrecord=b3024750</v>
      </c>
      <c r="E1343" t="s">
        <v>5004</v>
      </c>
      <c r="F1343">
        <v>1952</v>
      </c>
      <c r="G1343" t="s">
        <v>5005</v>
      </c>
      <c r="H1343" t="s">
        <v>5006</v>
      </c>
      <c r="I1343" t="s">
        <v>5007</v>
      </c>
      <c r="J1343" t="s">
        <v>1902</v>
      </c>
      <c r="K1343" s="2" t="str">
        <f>HYPERLINK("http://collections.slsa.sa.gov.au/resource/SRG+873/1/64")</f>
        <v>http://collections.slsa.sa.gov.au/resource/SRG+873/1/64</v>
      </c>
    </row>
    <row r="1344" spans="1:11" x14ac:dyDescent="0.25">
      <c r="A1344" t="s">
        <v>5008</v>
      </c>
      <c r="B1344" s="1" t="str">
        <f>HYPERLINK("https://www.catalog.slsa.sa.gov.au/record=b3024793")</f>
        <v>https://www.catalog.slsa.sa.gov.au/record=b3024793</v>
      </c>
      <c r="C1344" s="1" t="str">
        <f>HYPERLINK("https://www.catalog.slsa.sa.gov.au/xrecord=b3024793")</f>
        <v>https://www.catalog.slsa.sa.gov.au/xrecord=b3024793</v>
      </c>
      <c r="E1344" t="s">
        <v>5009</v>
      </c>
      <c r="F1344">
        <v>1952</v>
      </c>
      <c r="G1344" t="s">
        <v>5010</v>
      </c>
      <c r="H1344" t="s">
        <v>5011</v>
      </c>
      <c r="I1344" t="s">
        <v>1917</v>
      </c>
      <c r="J1344" t="s">
        <v>1902</v>
      </c>
      <c r="K1344" s="2" t="str">
        <f>HYPERLINK("http://collections.slsa.sa.gov.au/resource/SRG+873/1/65")</f>
        <v>http://collections.slsa.sa.gov.au/resource/SRG+873/1/65</v>
      </c>
    </row>
    <row r="1345" spans="1:11" x14ac:dyDescent="0.25">
      <c r="A1345" t="s">
        <v>5012</v>
      </c>
      <c r="B1345" s="1" t="str">
        <f>HYPERLINK("https://www.catalog.slsa.sa.gov.au/record=b3024985")</f>
        <v>https://www.catalog.slsa.sa.gov.au/record=b3024985</v>
      </c>
      <c r="C1345" s="1" t="str">
        <f>HYPERLINK("https://www.catalog.slsa.sa.gov.au/xrecord=b3024985")</f>
        <v>https://www.catalog.slsa.sa.gov.au/xrecord=b3024985</v>
      </c>
      <c r="E1345" t="s">
        <v>5013</v>
      </c>
      <c r="F1345">
        <v>1952</v>
      </c>
      <c r="G1345" t="s">
        <v>5014</v>
      </c>
      <c r="H1345" t="s">
        <v>5015</v>
      </c>
      <c r="I1345" t="s">
        <v>1917</v>
      </c>
      <c r="J1345" t="s">
        <v>1902</v>
      </c>
      <c r="K1345" s="2" t="str">
        <f>HYPERLINK("http://collections.slsa.sa.gov.au/resource/SRG+873/1/73")</f>
        <v>http://collections.slsa.sa.gov.au/resource/SRG+873/1/73</v>
      </c>
    </row>
    <row r="1346" spans="1:11" x14ac:dyDescent="0.25">
      <c r="A1346" t="s">
        <v>5016</v>
      </c>
      <c r="B1346" s="1" t="str">
        <f>HYPERLINK("https://www.catalog.slsa.sa.gov.au/record=b3025065")</f>
        <v>https://www.catalog.slsa.sa.gov.au/record=b3025065</v>
      </c>
      <c r="C1346" s="1" t="str">
        <f>HYPERLINK("https://www.catalog.slsa.sa.gov.au/xrecord=b3025065")</f>
        <v>https://www.catalog.slsa.sa.gov.au/xrecord=b3025065</v>
      </c>
      <c r="E1346" t="s">
        <v>5017</v>
      </c>
      <c r="F1346">
        <v>1952</v>
      </c>
      <c r="G1346" t="s">
        <v>5018</v>
      </c>
      <c r="H1346" t="s">
        <v>5019</v>
      </c>
      <c r="I1346" t="s">
        <v>1917</v>
      </c>
      <c r="J1346" t="s">
        <v>1902</v>
      </c>
      <c r="K1346" s="2" t="str">
        <f>HYPERLINK("http://collections.slsa.sa.gov.au/resource/SRG+873/1/80")</f>
        <v>http://collections.slsa.sa.gov.au/resource/SRG+873/1/80</v>
      </c>
    </row>
    <row r="1347" spans="1:11" x14ac:dyDescent="0.25">
      <c r="A1347" t="s">
        <v>5020</v>
      </c>
      <c r="B1347" s="1" t="str">
        <f>HYPERLINK("https://www.catalog.slsa.sa.gov.au/record=b3199596")</f>
        <v>https://www.catalog.slsa.sa.gov.au/record=b3199596</v>
      </c>
      <c r="C1347" s="1" t="str">
        <f>HYPERLINK("https://www.catalog.slsa.sa.gov.au/xrecord=b3199596")</f>
        <v>https://www.catalog.slsa.sa.gov.au/xrecord=b3199596</v>
      </c>
      <c r="D1347" t="s">
        <v>1953</v>
      </c>
      <c r="E1347" t="s">
        <v>1939</v>
      </c>
      <c r="F1347" t="s">
        <v>5021</v>
      </c>
      <c r="G1347" t="s">
        <v>5022</v>
      </c>
      <c r="H1347" t="s">
        <v>5023</v>
      </c>
      <c r="I1347" t="s">
        <v>1953</v>
      </c>
      <c r="J1347" t="s">
        <v>1930</v>
      </c>
      <c r="K1347" s="2" t="str">
        <f>HYPERLINK("http://collections.slsa.sa.gov.au/resource/PRG+18/56/64")</f>
        <v>http://collections.slsa.sa.gov.au/resource/PRG+18/56/64</v>
      </c>
    </row>
    <row r="1348" spans="1:11" x14ac:dyDescent="0.25">
      <c r="A1348" t="s">
        <v>5024</v>
      </c>
      <c r="B1348" s="1" t="str">
        <f>HYPERLINK("https://www.catalog.slsa.sa.gov.au/record=b3199578")</f>
        <v>https://www.catalog.slsa.sa.gov.au/record=b3199578</v>
      </c>
      <c r="C1348" s="1" t="str">
        <f>HYPERLINK("https://www.catalog.slsa.sa.gov.au/xrecord=b3199578")</f>
        <v>https://www.catalog.slsa.sa.gov.au/xrecord=b3199578</v>
      </c>
      <c r="D1348" t="s">
        <v>1953</v>
      </c>
      <c r="E1348" t="s">
        <v>1939</v>
      </c>
      <c r="F1348" t="s">
        <v>5021</v>
      </c>
      <c r="G1348" t="s">
        <v>5022</v>
      </c>
      <c r="H1348" t="s">
        <v>5025</v>
      </c>
      <c r="I1348" t="s">
        <v>1953</v>
      </c>
      <c r="J1348" t="s">
        <v>1930</v>
      </c>
      <c r="K1348" s="2" t="str">
        <f>HYPERLINK("http://collections.slsa.sa.gov.au/resource/PRG+18/56/63")</f>
        <v>http://collections.slsa.sa.gov.au/resource/PRG+18/56/63</v>
      </c>
    </row>
    <row r="1349" spans="1:11" x14ac:dyDescent="0.25">
      <c r="A1349" t="s">
        <v>5026</v>
      </c>
      <c r="B1349" s="1" t="str">
        <f>HYPERLINK("https://www.catalog.slsa.sa.gov.au/record=b3199574")</f>
        <v>https://www.catalog.slsa.sa.gov.au/record=b3199574</v>
      </c>
      <c r="C1349" s="1" t="str">
        <f>HYPERLINK("https://www.catalog.slsa.sa.gov.au/xrecord=b3199574")</f>
        <v>https://www.catalog.slsa.sa.gov.au/xrecord=b3199574</v>
      </c>
      <c r="D1349" t="s">
        <v>1953</v>
      </c>
      <c r="E1349" t="s">
        <v>5027</v>
      </c>
      <c r="F1349" t="s">
        <v>5021</v>
      </c>
      <c r="G1349" t="s">
        <v>5028</v>
      </c>
      <c r="H1349" t="s">
        <v>5029</v>
      </c>
      <c r="I1349" t="s">
        <v>5030</v>
      </c>
      <c r="J1349" t="s">
        <v>1930</v>
      </c>
      <c r="K1349" s="2" t="str">
        <f>HYPERLINK("http://collections.slsa.sa.gov.au/resource/PRG+18/56/62")</f>
        <v>http://collections.slsa.sa.gov.au/resource/PRG+18/56/62</v>
      </c>
    </row>
    <row r="1350" spans="1:11" x14ac:dyDescent="0.25">
      <c r="A1350" t="s">
        <v>5031</v>
      </c>
      <c r="B1350" s="1" t="str">
        <f>HYPERLINK("https://www.catalog.slsa.sa.gov.au/record=b3199485")</f>
        <v>https://www.catalog.slsa.sa.gov.au/record=b3199485</v>
      </c>
      <c r="C1350" s="1" t="str">
        <f>HYPERLINK("https://www.catalog.slsa.sa.gov.au/xrecord=b3199485")</f>
        <v>https://www.catalog.slsa.sa.gov.au/xrecord=b3199485</v>
      </c>
      <c r="D1350" t="s">
        <v>1953</v>
      </c>
      <c r="E1350" t="s">
        <v>1939</v>
      </c>
      <c r="F1350" t="s">
        <v>5021</v>
      </c>
      <c r="G1350" t="s">
        <v>5028</v>
      </c>
      <c r="H1350" t="s">
        <v>5032</v>
      </c>
      <c r="I1350" t="s">
        <v>1953</v>
      </c>
      <c r="J1350" t="s">
        <v>1930</v>
      </c>
      <c r="K1350" s="2" t="str">
        <f>HYPERLINK("http://collections.slsa.sa.gov.au/resource/PRG+18/56/55")</f>
        <v>http://collections.slsa.sa.gov.au/resource/PRG+18/56/55</v>
      </c>
    </row>
    <row r="1351" spans="1:11" x14ac:dyDescent="0.25">
      <c r="A1351" t="s">
        <v>5033</v>
      </c>
      <c r="B1351" s="1" t="str">
        <f>HYPERLINK("https://www.catalog.slsa.sa.gov.au/record=b3112644")</f>
        <v>https://www.catalog.slsa.sa.gov.au/record=b3112644</v>
      </c>
      <c r="C1351" s="1" t="str">
        <f>HYPERLINK("https://www.catalog.slsa.sa.gov.au/xrecord=b3112644")</f>
        <v>https://www.catalog.slsa.sa.gov.au/xrecord=b3112644</v>
      </c>
      <c r="E1351" t="s">
        <v>5034</v>
      </c>
      <c r="F1351" t="s">
        <v>5035</v>
      </c>
      <c r="G1351" t="s">
        <v>2581</v>
      </c>
      <c r="H1351" t="s">
        <v>5036</v>
      </c>
      <c r="I1351" t="s">
        <v>5037</v>
      </c>
      <c r="J1351" t="s">
        <v>2510</v>
      </c>
      <c r="K1351" s="2" t="str">
        <f>HYPERLINK("http://collections.slsa.sa.gov.au/resource/PRG+1681/16/21")</f>
        <v>http://collections.slsa.sa.gov.au/resource/PRG+1681/16/21</v>
      </c>
    </row>
    <row r="1352" spans="1:11" x14ac:dyDescent="0.25">
      <c r="A1352" t="s">
        <v>5038</v>
      </c>
      <c r="B1352" s="1" t="str">
        <f>HYPERLINK("https://www.catalog.slsa.sa.gov.au/record=b3124484")</f>
        <v>https://www.catalog.slsa.sa.gov.au/record=b3124484</v>
      </c>
      <c r="C1352" s="1" t="str">
        <f>HYPERLINK("https://www.catalog.slsa.sa.gov.au/xrecord=b3124484")</f>
        <v>https://www.catalog.slsa.sa.gov.au/xrecord=b3124484</v>
      </c>
      <c r="E1352" t="s">
        <v>5039</v>
      </c>
      <c r="F1352" t="s">
        <v>5021</v>
      </c>
      <c r="G1352" t="s">
        <v>5040</v>
      </c>
      <c r="H1352" t="s">
        <v>5041</v>
      </c>
      <c r="I1352" t="s">
        <v>5042</v>
      </c>
      <c r="J1352" t="s">
        <v>5043</v>
      </c>
      <c r="K1352" s="2" t="str">
        <f>HYPERLINK("http://collections.slsa.sa.gov.au/resource/PRG+1696/8/7")</f>
        <v>http://collections.slsa.sa.gov.au/resource/PRG+1696/8/7</v>
      </c>
    </row>
    <row r="1353" spans="1:11" x14ac:dyDescent="0.25">
      <c r="A1353" t="s">
        <v>5044</v>
      </c>
      <c r="B1353" s="1" t="str">
        <f>HYPERLINK("https://www.catalog.slsa.sa.gov.au/record=b2107661")</f>
        <v>https://www.catalog.slsa.sa.gov.au/record=b2107661</v>
      </c>
      <c r="C1353" s="1" t="str">
        <f>HYPERLINK("https://www.catalog.slsa.sa.gov.au/xrecord=b2107661")</f>
        <v>https://www.catalog.slsa.sa.gov.au/xrecord=b2107661</v>
      </c>
      <c r="E1353" t="s">
        <v>5045</v>
      </c>
      <c r="F1353">
        <v>1953</v>
      </c>
      <c r="G1353" t="s">
        <v>5046</v>
      </c>
      <c r="H1353" t="s">
        <v>14</v>
      </c>
      <c r="I1353" t="s">
        <v>5047</v>
      </c>
      <c r="J1353" t="s">
        <v>16</v>
      </c>
      <c r="K1353" s="2" t="str">
        <f>HYPERLINK("http://collections.slsa.sa.gov.au/arbonlem/00750/PRG1324_744.htm")</f>
        <v>http://collections.slsa.sa.gov.au/arbonlem/00750/PRG1324_744.htm</v>
      </c>
    </row>
    <row r="1354" spans="1:11" x14ac:dyDescent="0.25">
      <c r="A1354" t="s">
        <v>5048</v>
      </c>
      <c r="B1354" s="1" t="str">
        <f>HYPERLINK("https://www.catalog.slsa.sa.gov.au/record=b2107442")</f>
        <v>https://www.catalog.slsa.sa.gov.au/record=b2107442</v>
      </c>
      <c r="C1354" s="1" t="str">
        <f>HYPERLINK("https://www.catalog.slsa.sa.gov.au/xrecord=b2107442")</f>
        <v>https://www.catalog.slsa.sa.gov.au/xrecord=b2107442</v>
      </c>
      <c r="E1354" t="s">
        <v>5049</v>
      </c>
      <c r="F1354">
        <v>1953</v>
      </c>
      <c r="G1354" t="s">
        <v>5050</v>
      </c>
      <c r="H1354" t="s">
        <v>14</v>
      </c>
      <c r="I1354" t="s">
        <v>5051</v>
      </c>
      <c r="J1354" t="s">
        <v>16</v>
      </c>
      <c r="K1354" s="2" t="str">
        <f>HYPERLINK("http://collections.slsa.sa.gov.au/arbonlem/01000/PRG1324_975.htm")</f>
        <v>http://collections.slsa.sa.gov.au/arbonlem/01000/PRG1324_975.htm</v>
      </c>
    </row>
    <row r="1355" spans="1:11" x14ac:dyDescent="0.25">
      <c r="A1355" t="s">
        <v>5052</v>
      </c>
      <c r="B1355" s="1" t="str">
        <f>HYPERLINK("https://www.catalog.slsa.sa.gov.au/record=b2107491")</f>
        <v>https://www.catalog.slsa.sa.gov.au/record=b2107491</v>
      </c>
      <c r="C1355" s="1" t="str">
        <f>HYPERLINK("https://www.catalog.slsa.sa.gov.au/xrecord=b2107491")</f>
        <v>https://www.catalog.slsa.sa.gov.au/xrecord=b2107491</v>
      </c>
      <c r="E1355" t="s">
        <v>5053</v>
      </c>
      <c r="F1355">
        <v>1953</v>
      </c>
      <c r="G1355" t="s">
        <v>5050</v>
      </c>
      <c r="H1355" t="s">
        <v>14</v>
      </c>
      <c r="I1355" t="s">
        <v>5054</v>
      </c>
      <c r="J1355" t="s">
        <v>16</v>
      </c>
      <c r="K1355" s="2" t="str">
        <f>HYPERLINK("http://collections.slsa.sa.gov.au/arbonlem/01250/PRG1324_1003.htm")</f>
        <v>http://collections.slsa.sa.gov.au/arbonlem/01250/PRG1324_1003.htm</v>
      </c>
    </row>
    <row r="1356" spans="1:11" x14ac:dyDescent="0.25">
      <c r="A1356" t="s">
        <v>5055</v>
      </c>
      <c r="B1356" s="1" t="str">
        <f>HYPERLINK("https://www.catalog.slsa.sa.gov.au/record=b2107699")</f>
        <v>https://www.catalog.slsa.sa.gov.au/record=b2107699</v>
      </c>
      <c r="C1356" s="1" t="str">
        <f>HYPERLINK("https://www.catalog.slsa.sa.gov.au/xrecord=b2107699")</f>
        <v>https://www.catalog.slsa.sa.gov.au/xrecord=b2107699</v>
      </c>
      <c r="E1356" t="s">
        <v>5056</v>
      </c>
      <c r="F1356">
        <v>1953</v>
      </c>
      <c r="G1356" t="s">
        <v>5057</v>
      </c>
      <c r="H1356" t="s">
        <v>14</v>
      </c>
      <c r="I1356" t="s">
        <v>5058</v>
      </c>
      <c r="J1356" t="s">
        <v>16</v>
      </c>
      <c r="K1356" s="2" t="str">
        <f>HYPERLINK("http://collections.slsa.sa.gov.au/arbonlem/01250/PRG1324_1196.htm")</f>
        <v>http://collections.slsa.sa.gov.au/arbonlem/01250/PRG1324_1196.htm</v>
      </c>
    </row>
    <row r="1357" spans="1:11" x14ac:dyDescent="0.25">
      <c r="A1357" t="s">
        <v>5059</v>
      </c>
      <c r="B1357" s="1" t="str">
        <f>HYPERLINK("https://www.catalog.slsa.sa.gov.au/record=b2107838")</f>
        <v>https://www.catalog.slsa.sa.gov.au/record=b2107838</v>
      </c>
      <c r="C1357" s="1" t="str">
        <f>HYPERLINK("https://www.catalog.slsa.sa.gov.au/xrecord=b2107838")</f>
        <v>https://www.catalog.slsa.sa.gov.au/xrecord=b2107838</v>
      </c>
      <c r="E1357" t="s">
        <v>5060</v>
      </c>
      <c r="F1357">
        <v>1953</v>
      </c>
      <c r="G1357" t="s">
        <v>27</v>
      </c>
      <c r="H1357" t="s">
        <v>14</v>
      </c>
      <c r="I1357" t="s">
        <v>5061</v>
      </c>
      <c r="J1357" t="s">
        <v>16</v>
      </c>
      <c r="K1357" s="2" t="str">
        <f>HYPERLINK("http://collections.slsa.sa.gov.au/arbonlem/01500/PRG1324_1265a.htm")</f>
        <v>http://collections.slsa.sa.gov.au/arbonlem/01500/PRG1324_1265a.htm</v>
      </c>
    </row>
    <row r="1358" spans="1:11" x14ac:dyDescent="0.25">
      <c r="A1358" t="s">
        <v>5062</v>
      </c>
      <c r="B1358" s="1" t="str">
        <f>HYPERLINK("https://www.catalog.slsa.sa.gov.au/record=b2107844")</f>
        <v>https://www.catalog.slsa.sa.gov.au/record=b2107844</v>
      </c>
      <c r="C1358" s="1" t="str">
        <f>HYPERLINK("https://www.catalog.slsa.sa.gov.au/xrecord=b2107844")</f>
        <v>https://www.catalog.slsa.sa.gov.au/xrecord=b2107844</v>
      </c>
      <c r="E1358" t="s">
        <v>5063</v>
      </c>
      <c r="F1358">
        <v>1953</v>
      </c>
      <c r="G1358" t="s">
        <v>50</v>
      </c>
      <c r="H1358" t="s">
        <v>14</v>
      </c>
      <c r="I1358" t="s">
        <v>5064</v>
      </c>
      <c r="J1358" t="s">
        <v>16</v>
      </c>
      <c r="K1358" s="2" t="str">
        <f>HYPERLINK("http://collections.slsa.sa.gov.au/arbonlem/01500/PRG1324_1271a.htm")</f>
        <v>http://collections.slsa.sa.gov.au/arbonlem/01500/PRG1324_1271a.htm</v>
      </c>
    </row>
    <row r="1359" spans="1:11" x14ac:dyDescent="0.25">
      <c r="A1359" t="s">
        <v>5065</v>
      </c>
      <c r="B1359" s="1" t="str">
        <f>HYPERLINK("https://www.catalog.slsa.sa.gov.au/record=b2107794")</f>
        <v>https://www.catalog.slsa.sa.gov.au/record=b2107794</v>
      </c>
      <c r="C1359" s="1" t="str">
        <f>HYPERLINK("https://www.catalog.slsa.sa.gov.au/xrecord=b2107794")</f>
        <v>https://www.catalog.slsa.sa.gov.au/xrecord=b2107794</v>
      </c>
      <c r="E1359" t="s">
        <v>5066</v>
      </c>
      <c r="F1359">
        <v>1953</v>
      </c>
      <c r="G1359" t="s">
        <v>27</v>
      </c>
      <c r="H1359" t="s">
        <v>14</v>
      </c>
      <c r="I1359" t="s">
        <v>5067</v>
      </c>
      <c r="J1359" t="s">
        <v>16</v>
      </c>
      <c r="K1359" s="2" t="str">
        <f>HYPERLINK("http://collections.slsa.sa.gov.au/arbonlem/01500/PRG1324_1293.htm")</f>
        <v>http://collections.slsa.sa.gov.au/arbonlem/01500/PRG1324_1293.htm</v>
      </c>
    </row>
    <row r="1360" spans="1:11" x14ac:dyDescent="0.25">
      <c r="A1360" t="s">
        <v>5068</v>
      </c>
      <c r="B1360" s="1" t="str">
        <f>HYPERLINK("https://www.catalog.slsa.sa.gov.au/record=b2108114")</f>
        <v>https://www.catalog.slsa.sa.gov.au/record=b2108114</v>
      </c>
      <c r="C1360" s="1" t="str">
        <f>HYPERLINK("https://www.catalog.slsa.sa.gov.au/xrecord=b2108114")</f>
        <v>https://www.catalog.slsa.sa.gov.au/xrecord=b2108114</v>
      </c>
      <c r="E1360" t="s">
        <v>5069</v>
      </c>
      <c r="F1360">
        <v>1953</v>
      </c>
      <c r="G1360" t="s">
        <v>5070</v>
      </c>
      <c r="H1360" t="s">
        <v>14</v>
      </c>
      <c r="I1360" t="s">
        <v>5071</v>
      </c>
      <c r="J1360" t="s">
        <v>16</v>
      </c>
      <c r="K1360" s="2" t="str">
        <f>HYPERLINK("http://collections.slsa.sa.gov.au/arbonlem/01500/PRG1324_1369.htm")</f>
        <v>http://collections.slsa.sa.gov.au/arbonlem/01500/PRG1324_1369.htm</v>
      </c>
    </row>
    <row r="1361" spans="1:11" x14ac:dyDescent="0.25">
      <c r="A1361" t="s">
        <v>5072</v>
      </c>
      <c r="B1361" s="1" t="str">
        <f>HYPERLINK("https://www.catalog.slsa.sa.gov.au/record=b2108191")</f>
        <v>https://www.catalog.slsa.sa.gov.au/record=b2108191</v>
      </c>
      <c r="C1361" s="1" t="str">
        <f>HYPERLINK("https://www.catalog.slsa.sa.gov.au/xrecord=b2108191")</f>
        <v>https://www.catalog.slsa.sa.gov.au/xrecord=b2108191</v>
      </c>
      <c r="E1361" t="s">
        <v>4774</v>
      </c>
      <c r="F1361">
        <v>1953</v>
      </c>
      <c r="G1361" t="s">
        <v>27</v>
      </c>
      <c r="H1361" t="s">
        <v>14</v>
      </c>
      <c r="I1361" t="s">
        <v>4775</v>
      </c>
      <c r="J1361" t="s">
        <v>16</v>
      </c>
      <c r="K1361" s="2" t="str">
        <f>HYPERLINK("http://collections.slsa.sa.gov.au/arbonlem/01500/PRG1324_1446.htm")</f>
        <v>http://collections.slsa.sa.gov.au/arbonlem/01500/PRG1324_1446.htm</v>
      </c>
    </row>
    <row r="1362" spans="1:11" x14ac:dyDescent="0.25">
      <c r="A1362" t="s">
        <v>5073</v>
      </c>
      <c r="B1362" s="1" t="str">
        <f>HYPERLINK("https://www.catalog.slsa.sa.gov.au/record=b2108413")</f>
        <v>https://www.catalog.slsa.sa.gov.au/record=b2108413</v>
      </c>
      <c r="C1362" s="1" t="str">
        <f>HYPERLINK("https://www.catalog.slsa.sa.gov.au/xrecord=b2108413")</f>
        <v>https://www.catalog.slsa.sa.gov.au/xrecord=b2108413</v>
      </c>
      <c r="E1362" t="s">
        <v>5074</v>
      </c>
      <c r="F1362">
        <v>1953</v>
      </c>
      <c r="G1362" t="s">
        <v>5075</v>
      </c>
      <c r="H1362" t="s">
        <v>14</v>
      </c>
      <c r="I1362" t="s">
        <v>5076</v>
      </c>
      <c r="J1362" t="s">
        <v>16</v>
      </c>
      <c r="K1362" s="2" t="str">
        <f>HYPERLINK("http://collections.slsa.sa.gov.au/arbonlem/01750/PRG1324_1543a.htm")</f>
        <v>http://collections.slsa.sa.gov.au/arbonlem/01750/PRG1324_1543a.htm</v>
      </c>
    </row>
    <row r="1363" spans="1:11" x14ac:dyDescent="0.25">
      <c r="A1363" t="s">
        <v>5077</v>
      </c>
      <c r="B1363" s="1" t="str">
        <f>HYPERLINK("https://www.catalog.slsa.sa.gov.au/record=b2108453")</f>
        <v>https://www.catalog.slsa.sa.gov.au/record=b2108453</v>
      </c>
      <c r="C1363" s="1" t="str">
        <f>HYPERLINK("https://www.catalog.slsa.sa.gov.au/xrecord=b2108453")</f>
        <v>https://www.catalog.slsa.sa.gov.au/xrecord=b2108453</v>
      </c>
      <c r="E1363" t="s">
        <v>5078</v>
      </c>
      <c r="F1363">
        <v>1953</v>
      </c>
      <c r="G1363" t="s">
        <v>5079</v>
      </c>
      <c r="H1363" t="s">
        <v>14</v>
      </c>
      <c r="I1363" t="s">
        <v>5080</v>
      </c>
      <c r="J1363" t="s">
        <v>16</v>
      </c>
      <c r="K1363" s="2" t="str">
        <f>HYPERLINK("http://collections.slsa.sa.gov.au/arbonlem/01750/PRG1324_1583.htm")</f>
        <v>http://collections.slsa.sa.gov.au/arbonlem/01750/PRG1324_1583.htm</v>
      </c>
    </row>
    <row r="1364" spans="1:11" x14ac:dyDescent="0.25">
      <c r="A1364" t="s">
        <v>5081</v>
      </c>
      <c r="B1364" s="1" t="str">
        <f>HYPERLINK("https://www.catalog.slsa.sa.gov.au/record=b2110207")</f>
        <v>https://www.catalog.slsa.sa.gov.au/record=b2110207</v>
      </c>
      <c r="C1364" s="1" t="str">
        <f>HYPERLINK("https://www.catalog.slsa.sa.gov.au/xrecord=b2110207")</f>
        <v>https://www.catalog.slsa.sa.gov.au/xrecord=b2110207</v>
      </c>
      <c r="D1364" t="s">
        <v>66</v>
      </c>
      <c r="E1364" t="s">
        <v>5082</v>
      </c>
      <c r="F1364">
        <v>1953</v>
      </c>
      <c r="G1364" t="s">
        <v>121</v>
      </c>
      <c r="H1364" t="s">
        <v>5083</v>
      </c>
      <c r="I1364" t="s">
        <v>4792</v>
      </c>
      <c r="J1364" t="s">
        <v>71</v>
      </c>
      <c r="K1364" s="2" t="str">
        <f>HYPERLINK("http://collections.slsa.sa.gov.au/arthur/01250/BRG347_1011.htm")</f>
        <v>http://collections.slsa.sa.gov.au/arthur/01250/BRG347_1011.htm</v>
      </c>
    </row>
    <row r="1365" spans="1:11" x14ac:dyDescent="0.25">
      <c r="A1365" t="s">
        <v>5084</v>
      </c>
      <c r="B1365" s="1" t="str">
        <f>HYPERLINK("https://www.catalog.slsa.sa.gov.au/record=b2110208")</f>
        <v>https://www.catalog.slsa.sa.gov.au/record=b2110208</v>
      </c>
      <c r="C1365" s="1" t="str">
        <f>HYPERLINK("https://www.catalog.slsa.sa.gov.au/xrecord=b2110208")</f>
        <v>https://www.catalog.slsa.sa.gov.au/xrecord=b2110208</v>
      </c>
      <c r="D1365" t="s">
        <v>66</v>
      </c>
      <c r="E1365" t="s">
        <v>5085</v>
      </c>
      <c r="F1365">
        <v>1953</v>
      </c>
      <c r="G1365" t="s">
        <v>121</v>
      </c>
      <c r="H1365" t="s">
        <v>5086</v>
      </c>
      <c r="I1365" t="s">
        <v>5087</v>
      </c>
      <c r="J1365" t="s">
        <v>71</v>
      </c>
      <c r="K1365" s="2" t="str">
        <f>HYPERLINK("http://collections.slsa.sa.gov.au/arthur/01250/BRG347_1012.htm")</f>
        <v>http://collections.slsa.sa.gov.au/arthur/01250/BRG347_1012.htm</v>
      </c>
    </row>
    <row r="1366" spans="1:11" x14ac:dyDescent="0.25">
      <c r="A1366" t="s">
        <v>5088</v>
      </c>
      <c r="B1366" s="1" t="str">
        <f>HYPERLINK("https://www.catalog.slsa.sa.gov.au/record=b2110272")</f>
        <v>https://www.catalog.slsa.sa.gov.au/record=b2110272</v>
      </c>
      <c r="C1366" s="1" t="str">
        <f>HYPERLINK("https://www.catalog.slsa.sa.gov.au/xrecord=b2110272")</f>
        <v>https://www.catalog.slsa.sa.gov.au/xrecord=b2110272</v>
      </c>
      <c r="D1366" t="s">
        <v>66</v>
      </c>
      <c r="E1366" t="s">
        <v>5089</v>
      </c>
      <c r="F1366">
        <v>1953</v>
      </c>
      <c r="G1366" t="s">
        <v>121</v>
      </c>
      <c r="H1366" t="s">
        <v>5090</v>
      </c>
      <c r="I1366" t="s">
        <v>5091</v>
      </c>
      <c r="J1366" t="s">
        <v>71</v>
      </c>
      <c r="K1366" s="2" t="str">
        <f>HYPERLINK("http://collections.slsa.sa.gov.au/arthur/01250/BRG347_1043.htm")</f>
        <v>http://collections.slsa.sa.gov.au/arthur/01250/BRG347_1043.htm</v>
      </c>
    </row>
    <row r="1367" spans="1:11" x14ac:dyDescent="0.25">
      <c r="A1367" t="s">
        <v>5092</v>
      </c>
      <c r="B1367" s="1" t="str">
        <f>HYPERLINK("https://www.catalog.slsa.sa.gov.au/record=b2110273")</f>
        <v>https://www.catalog.slsa.sa.gov.au/record=b2110273</v>
      </c>
      <c r="C1367" s="1" t="str">
        <f>HYPERLINK("https://www.catalog.slsa.sa.gov.au/xrecord=b2110273")</f>
        <v>https://www.catalog.slsa.sa.gov.au/xrecord=b2110273</v>
      </c>
      <c r="D1367" t="s">
        <v>66</v>
      </c>
      <c r="E1367" t="s">
        <v>5093</v>
      </c>
      <c r="F1367">
        <v>1953</v>
      </c>
      <c r="G1367" t="s">
        <v>121</v>
      </c>
      <c r="H1367" t="s">
        <v>5094</v>
      </c>
      <c r="I1367" t="s">
        <v>5095</v>
      </c>
      <c r="J1367" t="s">
        <v>71</v>
      </c>
      <c r="K1367" s="2" t="str">
        <f>HYPERLINK("http://collections.slsa.sa.gov.au/arthur/01250/BRG347_1044.htm")</f>
        <v>http://collections.slsa.sa.gov.au/arthur/01250/BRG347_1044.htm</v>
      </c>
    </row>
    <row r="1368" spans="1:11" x14ac:dyDescent="0.25">
      <c r="A1368" t="s">
        <v>5096</v>
      </c>
      <c r="B1368" s="1" t="str">
        <f>HYPERLINK("https://www.catalog.slsa.sa.gov.au/record=b2110274")</f>
        <v>https://www.catalog.slsa.sa.gov.au/record=b2110274</v>
      </c>
      <c r="C1368" s="1" t="str">
        <f>HYPERLINK("https://www.catalog.slsa.sa.gov.au/xrecord=b2110274")</f>
        <v>https://www.catalog.slsa.sa.gov.au/xrecord=b2110274</v>
      </c>
      <c r="D1368" t="s">
        <v>66</v>
      </c>
      <c r="E1368" t="s">
        <v>5097</v>
      </c>
      <c r="F1368">
        <v>1953</v>
      </c>
      <c r="G1368" t="s">
        <v>121</v>
      </c>
      <c r="H1368" t="s">
        <v>5098</v>
      </c>
      <c r="I1368" t="s">
        <v>4597</v>
      </c>
      <c r="J1368" t="s">
        <v>71</v>
      </c>
      <c r="K1368" s="2" t="str">
        <f>HYPERLINK("http://collections.slsa.sa.gov.au/arthur/01250/BRG347_1045.htm")</f>
        <v>http://collections.slsa.sa.gov.au/arthur/01250/BRG347_1045.htm</v>
      </c>
    </row>
    <row r="1369" spans="1:11" x14ac:dyDescent="0.25">
      <c r="A1369" t="s">
        <v>5099</v>
      </c>
      <c r="B1369" s="1" t="str">
        <f>HYPERLINK("https://www.catalog.slsa.sa.gov.au/record=b2110275")</f>
        <v>https://www.catalog.slsa.sa.gov.au/record=b2110275</v>
      </c>
      <c r="C1369" s="1" t="str">
        <f>HYPERLINK("https://www.catalog.slsa.sa.gov.au/xrecord=b2110275")</f>
        <v>https://www.catalog.slsa.sa.gov.au/xrecord=b2110275</v>
      </c>
      <c r="D1369" t="s">
        <v>66</v>
      </c>
      <c r="E1369" t="s">
        <v>5100</v>
      </c>
      <c r="F1369">
        <v>1953</v>
      </c>
      <c r="G1369" t="s">
        <v>121</v>
      </c>
      <c r="H1369" t="s">
        <v>5101</v>
      </c>
      <c r="I1369" t="s">
        <v>5102</v>
      </c>
      <c r="J1369" t="s">
        <v>71</v>
      </c>
      <c r="K1369" s="2" t="str">
        <f>HYPERLINK("http://collections.slsa.sa.gov.au/arthur/01250/BRG347_1046.htm")</f>
        <v>http://collections.slsa.sa.gov.au/arthur/01250/BRG347_1046.htm</v>
      </c>
    </row>
    <row r="1370" spans="1:11" x14ac:dyDescent="0.25">
      <c r="A1370" t="s">
        <v>5103</v>
      </c>
      <c r="B1370" s="1" t="str">
        <f>HYPERLINK("https://www.catalog.slsa.sa.gov.au/record=b2110278")</f>
        <v>https://www.catalog.slsa.sa.gov.au/record=b2110278</v>
      </c>
      <c r="C1370" s="1" t="str">
        <f>HYPERLINK("https://www.catalog.slsa.sa.gov.au/xrecord=b2110278")</f>
        <v>https://www.catalog.slsa.sa.gov.au/xrecord=b2110278</v>
      </c>
      <c r="D1370" t="s">
        <v>66</v>
      </c>
      <c r="E1370" t="s">
        <v>5104</v>
      </c>
      <c r="F1370">
        <v>1953</v>
      </c>
      <c r="G1370" t="s">
        <v>121</v>
      </c>
      <c r="H1370" t="s">
        <v>5105</v>
      </c>
      <c r="I1370" t="s">
        <v>5106</v>
      </c>
      <c r="J1370" t="s">
        <v>71</v>
      </c>
      <c r="K1370" s="2" t="str">
        <f>HYPERLINK("http://collections.slsa.sa.gov.au/arthur/01250/BRG347_1049.htm")</f>
        <v>http://collections.slsa.sa.gov.au/arthur/01250/BRG347_1049.htm</v>
      </c>
    </row>
    <row r="1371" spans="1:11" x14ac:dyDescent="0.25">
      <c r="A1371" t="s">
        <v>5107</v>
      </c>
      <c r="B1371" s="1" t="str">
        <f>HYPERLINK("https://www.catalog.slsa.sa.gov.au/record=b2110279")</f>
        <v>https://www.catalog.slsa.sa.gov.au/record=b2110279</v>
      </c>
      <c r="C1371" s="1" t="str">
        <f>HYPERLINK("https://www.catalog.slsa.sa.gov.au/xrecord=b2110279")</f>
        <v>https://www.catalog.slsa.sa.gov.au/xrecord=b2110279</v>
      </c>
      <c r="D1371" t="s">
        <v>66</v>
      </c>
      <c r="E1371" t="s">
        <v>5108</v>
      </c>
      <c r="F1371">
        <v>1953</v>
      </c>
      <c r="G1371" t="s">
        <v>121</v>
      </c>
      <c r="H1371" t="s">
        <v>5109</v>
      </c>
      <c r="I1371" t="s">
        <v>5110</v>
      </c>
      <c r="J1371" t="s">
        <v>71</v>
      </c>
      <c r="K1371" s="2" t="str">
        <f>HYPERLINK("http://collections.slsa.sa.gov.au/arthur/01250/BRG347_1050.htm")</f>
        <v>http://collections.slsa.sa.gov.au/arthur/01250/BRG347_1050.htm</v>
      </c>
    </row>
    <row r="1372" spans="1:11" x14ac:dyDescent="0.25">
      <c r="A1372" t="s">
        <v>5111</v>
      </c>
      <c r="B1372" s="1" t="str">
        <f>HYPERLINK("https://www.catalog.slsa.sa.gov.au/record=b2110280")</f>
        <v>https://www.catalog.slsa.sa.gov.au/record=b2110280</v>
      </c>
      <c r="C1372" s="1" t="str">
        <f>HYPERLINK("https://www.catalog.slsa.sa.gov.au/xrecord=b2110280")</f>
        <v>https://www.catalog.slsa.sa.gov.au/xrecord=b2110280</v>
      </c>
      <c r="D1372" t="s">
        <v>66</v>
      </c>
      <c r="E1372" t="s">
        <v>5108</v>
      </c>
      <c r="F1372">
        <v>1953</v>
      </c>
      <c r="G1372" t="s">
        <v>121</v>
      </c>
      <c r="H1372" t="s">
        <v>5109</v>
      </c>
      <c r="I1372" t="s">
        <v>5110</v>
      </c>
      <c r="J1372" t="s">
        <v>71</v>
      </c>
      <c r="K1372" s="2" t="str">
        <f>HYPERLINK("http://collections.slsa.sa.gov.au/arthur/01250/BRG347_1051.htm")</f>
        <v>http://collections.slsa.sa.gov.au/arthur/01250/BRG347_1051.htm</v>
      </c>
    </row>
    <row r="1373" spans="1:11" x14ac:dyDescent="0.25">
      <c r="A1373" t="s">
        <v>5112</v>
      </c>
      <c r="B1373" s="1" t="str">
        <f>HYPERLINK("https://www.catalog.slsa.sa.gov.au/record=b2110281")</f>
        <v>https://www.catalog.slsa.sa.gov.au/record=b2110281</v>
      </c>
      <c r="C1373" s="1" t="str">
        <f>HYPERLINK("https://www.catalog.slsa.sa.gov.au/xrecord=b2110281")</f>
        <v>https://www.catalog.slsa.sa.gov.au/xrecord=b2110281</v>
      </c>
      <c r="D1373" t="s">
        <v>66</v>
      </c>
      <c r="E1373" t="s">
        <v>5100</v>
      </c>
      <c r="F1373">
        <v>1953</v>
      </c>
      <c r="G1373" t="s">
        <v>121</v>
      </c>
      <c r="H1373" t="s">
        <v>5113</v>
      </c>
      <c r="I1373" t="s">
        <v>5114</v>
      </c>
      <c r="J1373" t="s">
        <v>71</v>
      </c>
      <c r="K1373" s="2" t="str">
        <f>HYPERLINK("http://collections.slsa.sa.gov.au/arthur/01250/BRG347_1052.htm")</f>
        <v>http://collections.slsa.sa.gov.au/arthur/01250/BRG347_1052.htm</v>
      </c>
    </row>
    <row r="1374" spans="1:11" x14ac:dyDescent="0.25">
      <c r="A1374" t="s">
        <v>5115</v>
      </c>
      <c r="B1374" s="1" t="str">
        <f>HYPERLINK("https://www.catalog.slsa.sa.gov.au/record=b2110282")</f>
        <v>https://www.catalog.slsa.sa.gov.au/record=b2110282</v>
      </c>
      <c r="C1374" s="1" t="str">
        <f>HYPERLINK("https://www.catalog.slsa.sa.gov.au/xrecord=b2110282")</f>
        <v>https://www.catalog.slsa.sa.gov.au/xrecord=b2110282</v>
      </c>
      <c r="D1374" t="s">
        <v>66</v>
      </c>
      <c r="E1374" t="s">
        <v>5097</v>
      </c>
      <c r="F1374">
        <v>1953</v>
      </c>
      <c r="G1374" t="s">
        <v>121</v>
      </c>
      <c r="H1374" t="s">
        <v>5116</v>
      </c>
      <c r="I1374" t="s">
        <v>5117</v>
      </c>
      <c r="J1374" t="s">
        <v>71</v>
      </c>
      <c r="K1374" s="2" t="str">
        <f>HYPERLINK("http://collections.slsa.sa.gov.au/arthur/01250/BRG347_1053.htm")</f>
        <v>http://collections.slsa.sa.gov.au/arthur/01250/BRG347_1053.htm</v>
      </c>
    </row>
    <row r="1375" spans="1:11" x14ac:dyDescent="0.25">
      <c r="A1375" t="s">
        <v>5118</v>
      </c>
      <c r="B1375" s="1" t="str">
        <f>HYPERLINK("https://www.catalog.slsa.sa.gov.au/record=b2110283")</f>
        <v>https://www.catalog.slsa.sa.gov.au/record=b2110283</v>
      </c>
      <c r="C1375" s="1" t="str">
        <f>HYPERLINK("https://www.catalog.slsa.sa.gov.au/xrecord=b2110283")</f>
        <v>https://www.catalog.slsa.sa.gov.au/xrecord=b2110283</v>
      </c>
      <c r="D1375" t="s">
        <v>66</v>
      </c>
      <c r="E1375" t="s">
        <v>5089</v>
      </c>
      <c r="F1375">
        <v>1953</v>
      </c>
      <c r="G1375" t="s">
        <v>121</v>
      </c>
      <c r="H1375" t="s">
        <v>5119</v>
      </c>
      <c r="I1375" t="s">
        <v>5120</v>
      </c>
      <c r="J1375" t="s">
        <v>71</v>
      </c>
      <c r="K1375" s="2" t="str">
        <f>HYPERLINK("http://collections.slsa.sa.gov.au/arthur/01250/BRG347_1054.htm")</f>
        <v>http://collections.slsa.sa.gov.au/arthur/01250/BRG347_1054.htm</v>
      </c>
    </row>
    <row r="1376" spans="1:11" x14ac:dyDescent="0.25">
      <c r="A1376" t="s">
        <v>5121</v>
      </c>
      <c r="B1376" s="1" t="str">
        <f>HYPERLINK("https://www.catalog.slsa.sa.gov.au/record=b2110286")</f>
        <v>https://www.catalog.slsa.sa.gov.au/record=b2110286</v>
      </c>
      <c r="C1376" s="1" t="str">
        <f>HYPERLINK("https://www.catalog.slsa.sa.gov.au/xrecord=b2110286")</f>
        <v>https://www.catalog.slsa.sa.gov.au/xrecord=b2110286</v>
      </c>
      <c r="D1376" t="s">
        <v>66</v>
      </c>
      <c r="E1376" t="s">
        <v>5122</v>
      </c>
      <c r="F1376">
        <v>1953</v>
      </c>
      <c r="G1376" t="s">
        <v>121</v>
      </c>
      <c r="H1376" t="s">
        <v>5123</v>
      </c>
      <c r="I1376" t="s">
        <v>5124</v>
      </c>
      <c r="J1376" t="s">
        <v>71</v>
      </c>
      <c r="K1376" s="2" t="str">
        <f>HYPERLINK("http://collections.slsa.sa.gov.au/arthur/01250/BRG347_1057.htm")</f>
        <v>http://collections.slsa.sa.gov.au/arthur/01250/BRG347_1057.htm</v>
      </c>
    </row>
    <row r="1377" spans="1:11" x14ac:dyDescent="0.25">
      <c r="A1377" t="s">
        <v>5125</v>
      </c>
      <c r="B1377" s="1" t="str">
        <f>HYPERLINK("https://www.catalog.slsa.sa.gov.au/record=b2110290")</f>
        <v>https://www.catalog.slsa.sa.gov.au/record=b2110290</v>
      </c>
      <c r="C1377" s="1" t="str">
        <f>HYPERLINK("https://www.catalog.slsa.sa.gov.au/xrecord=b2110290")</f>
        <v>https://www.catalog.slsa.sa.gov.au/xrecord=b2110290</v>
      </c>
      <c r="D1377" t="s">
        <v>66</v>
      </c>
      <c r="E1377" t="s">
        <v>5126</v>
      </c>
      <c r="F1377">
        <v>1953</v>
      </c>
      <c r="G1377" t="s">
        <v>121</v>
      </c>
      <c r="H1377" t="s">
        <v>5127</v>
      </c>
      <c r="I1377" t="s">
        <v>5128</v>
      </c>
      <c r="J1377" t="s">
        <v>71</v>
      </c>
      <c r="K1377" s="2" t="str">
        <f>HYPERLINK("http://collections.slsa.sa.gov.au/arthur/01250/BRG347_1061.htm")</f>
        <v>http://collections.slsa.sa.gov.au/arthur/01250/BRG347_1061.htm</v>
      </c>
    </row>
    <row r="1378" spans="1:11" x14ac:dyDescent="0.25">
      <c r="A1378" t="s">
        <v>5129</v>
      </c>
      <c r="B1378" s="1" t="str">
        <f>HYPERLINK("https://www.catalog.slsa.sa.gov.au/record=b2110508")</f>
        <v>https://www.catalog.slsa.sa.gov.au/record=b2110508</v>
      </c>
      <c r="C1378" s="1" t="str">
        <f>HYPERLINK("https://www.catalog.slsa.sa.gov.au/xrecord=b2110508")</f>
        <v>https://www.catalog.slsa.sa.gov.au/xrecord=b2110508</v>
      </c>
      <c r="D1378" t="s">
        <v>66</v>
      </c>
      <c r="E1378" t="s">
        <v>5130</v>
      </c>
      <c r="F1378">
        <v>1953</v>
      </c>
      <c r="G1378" t="s">
        <v>121</v>
      </c>
      <c r="H1378" t="s">
        <v>5131</v>
      </c>
      <c r="I1378" t="s">
        <v>5132</v>
      </c>
      <c r="J1378" t="s">
        <v>71</v>
      </c>
      <c r="K1378" s="2" t="str">
        <f>HYPERLINK("http://collections.slsa.sa.gov.au/arthur/01500/BRG347_1283.htm")</f>
        <v>http://collections.slsa.sa.gov.au/arthur/01500/BRG347_1283.htm</v>
      </c>
    </row>
    <row r="1379" spans="1:11" x14ac:dyDescent="0.25">
      <c r="A1379" t="s">
        <v>5133</v>
      </c>
      <c r="B1379" s="1" t="str">
        <f>HYPERLINK("https://www.catalog.slsa.sa.gov.au/record=b2110509")</f>
        <v>https://www.catalog.slsa.sa.gov.au/record=b2110509</v>
      </c>
      <c r="C1379" s="1" t="str">
        <f>HYPERLINK("https://www.catalog.slsa.sa.gov.au/xrecord=b2110509")</f>
        <v>https://www.catalog.slsa.sa.gov.au/xrecord=b2110509</v>
      </c>
      <c r="D1379" t="s">
        <v>66</v>
      </c>
      <c r="E1379" t="s">
        <v>5130</v>
      </c>
      <c r="F1379">
        <v>1953</v>
      </c>
      <c r="G1379" t="s">
        <v>121</v>
      </c>
      <c r="H1379" t="s">
        <v>5131</v>
      </c>
      <c r="I1379" t="s">
        <v>5132</v>
      </c>
      <c r="J1379" t="s">
        <v>71</v>
      </c>
      <c r="K1379" s="2" t="str">
        <f>HYPERLINK("http://collections.slsa.sa.gov.au/arthur/01500/BRG347_1284.htm")</f>
        <v>http://collections.slsa.sa.gov.au/arthur/01500/BRG347_1284.htm</v>
      </c>
    </row>
    <row r="1380" spans="1:11" x14ac:dyDescent="0.25">
      <c r="A1380" t="s">
        <v>5134</v>
      </c>
      <c r="B1380" s="1" t="str">
        <f>HYPERLINK("https://www.catalog.slsa.sa.gov.au/record=b2110510")</f>
        <v>https://www.catalog.slsa.sa.gov.au/record=b2110510</v>
      </c>
      <c r="C1380" s="1" t="str">
        <f>HYPERLINK("https://www.catalog.slsa.sa.gov.au/xrecord=b2110510")</f>
        <v>https://www.catalog.slsa.sa.gov.au/xrecord=b2110510</v>
      </c>
      <c r="D1380" t="s">
        <v>66</v>
      </c>
      <c r="E1380" t="s">
        <v>5130</v>
      </c>
      <c r="F1380">
        <v>1953</v>
      </c>
      <c r="G1380" t="s">
        <v>121</v>
      </c>
      <c r="H1380" t="s">
        <v>5135</v>
      </c>
      <c r="I1380" t="s">
        <v>5136</v>
      </c>
      <c r="J1380" t="s">
        <v>71</v>
      </c>
      <c r="K1380" s="2" t="str">
        <f>HYPERLINK("http://collections.slsa.sa.gov.au/arthur/01500/BRG347_1285.htm")</f>
        <v>http://collections.slsa.sa.gov.au/arthur/01500/BRG347_1285.htm</v>
      </c>
    </row>
    <row r="1381" spans="1:11" x14ac:dyDescent="0.25">
      <c r="A1381" t="s">
        <v>5137</v>
      </c>
      <c r="B1381" s="1" t="str">
        <f>HYPERLINK("https://www.catalog.slsa.sa.gov.au/record=b2110511")</f>
        <v>https://www.catalog.slsa.sa.gov.au/record=b2110511</v>
      </c>
      <c r="C1381" s="1" t="str">
        <f>HYPERLINK("https://www.catalog.slsa.sa.gov.au/xrecord=b2110511")</f>
        <v>https://www.catalog.slsa.sa.gov.au/xrecord=b2110511</v>
      </c>
      <c r="D1381" t="s">
        <v>66</v>
      </c>
      <c r="E1381" t="s">
        <v>5130</v>
      </c>
      <c r="F1381">
        <v>1953</v>
      </c>
      <c r="G1381" t="s">
        <v>121</v>
      </c>
      <c r="H1381" t="s">
        <v>5135</v>
      </c>
      <c r="I1381" t="s">
        <v>5136</v>
      </c>
      <c r="J1381" t="s">
        <v>71</v>
      </c>
      <c r="K1381" s="2" t="str">
        <f>HYPERLINK("http://collections.slsa.sa.gov.au/arthur/01500/BRG347_1286.htm")</f>
        <v>http://collections.slsa.sa.gov.au/arthur/01500/BRG347_1286.htm</v>
      </c>
    </row>
    <row r="1382" spans="1:11" x14ac:dyDescent="0.25">
      <c r="A1382" t="s">
        <v>5138</v>
      </c>
      <c r="B1382" s="1" t="str">
        <f>HYPERLINK("https://www.catalog.slsa.sa.gov.au/record=b2110513")</f>
        <v>https://www.catalog.slsa.sa.gov.au/record=b2110513</v>
      </c>
      <c r="C1382" s="1" t="str">
        <f>HYPERLINK("https://www.catalog.slsa.sa.gov.au/xrecord=b2110513")</f>
        <v>https://www.catalog.slsa.sa.gov.au/xrecord=b2110513</v>
      </c>
      <c r="D1382" t="s">
        <v>66</v>
      </c>
      <c r="E1382" t="s">
        <v>5130</v>
      </c>
      <c r="F1382">
        <v>1953</v>
      </c>
      <c r="G1382" t="s">
        <v>121</v>
      </c>
      <c r="H1382" t="s">
        <v>5139</v>
      </c>
      <c r="I1382" t="s">
        <v>5136</v>
      </c>
      <c r="J1382" t="s">
        <v>71</v>
      </c>
      <c r="K1382" s="2" t="str">
        <f>HYPERLINK("http://collections.slsa.sa.gov.au/arthur/01500/BRG347_1288.htm")</f>
        <v>http://collections.slsa.sa.gov.au/arthur/01500/BRG347_1288.htm</v>
      </c>
    </row>
    <row r="1383" spans="1:11" x14ac:dyDescent="0.25">
      <c r="A1383" t="s">
        <v>5140</v>
      </c>
      <c r="B1383" s="1" t="str">
        <f>HYPERLINK("https://www.catalog.slsa.sa.gov.au/record=b2111260")</f>
        <v>https://www.catalog.slsa.sa.gov.au/record=b2111260</v>
      </c>
      <c r="C1383" s="1" t="str">
        <f>HYPERLINK("https://www.catalog.slsa.sa.gov.au/xrecord=b2111260")</f>
        <v>https://www.catalog.slsa.sa.gov.au/xrecord=b2111260</v>
      </c>
      <c r="D1383" t="s">
        <v>66</v>
      </c>
      <c r="E1383" t="s">
        <v>5141</v>
      </c>
      <c r="F1383">
        <v>1953</v>
      </c>
      <c r="G1383" t="s">
        <v>121</v>
      </c>
      <c r="H1383" t="s">
        <v>5142</v>
      </c>
      <c r="I1383" t="s">
        <v>5143</v>
      </c>
      <c r="J1383" t="s">
        <v>71</v>
      </c>
      <c r="K1383" s="2" t="str">
        <f>HYPERLINK("http://collections.slsa.sa.gov.au/arthur/02000/BRG347_1930.htm")</f>
        <v>http://collections.slsa.sa.gov.au/arthur/02000/BRG347_1930.htm</v>
      </c>
    </row>
    <row r="1384" spans="1:11" x14ac:dyDescent="0.25">
      <c r="A1384" t="s">
        <v>5144</v>
      </c>
      <c r="B1384" s="1" t="str">
        <f>HYPERLINK("https://www.catalog.slsa.sa.gov.au/record=b2111261")</f>
        <v>https://www.catalog.slsa.sa.gov.au/record=b2111261</v>
      </c>
      <c r="C1384" s="1" t="str">
        <f>HYPERLINK("https://www.catalog.slsa.sa.gov.au/xrecord=b2111261")</f>
        <v>https://www.catalog.slsa.sa.gov.au/xrecord=b2111261</v>
      </c>
      <c r="D1384" t="s">
        <v>66</v>
      </c>
      <c r="E1384" t="s">
        <v>5145</v>
      </c>
      <c r="F1384">
        <v>1953</v>
      </c>
      <c r="G1384" t="s">
        <v>121</v>
      </c>
      <c r="H1384" t="s">
        <v>5146</v>
      </c>
      <c r="I1384" t="s">
        <v>5147</v>
      </c>
      <c r="J1384" t="s">
        <v>71</v>
      </c>
      <c r="K1384" s="2" t="str">
        <f>HYPERLINK("http://collections.slsa.sa.gov.au/arthur/02000/BRG347_1932.htm")</f>
        <v>http://collections.slsa.sa.gov.au/arthur/02000/BRG347_1932.htm</v>
      </c>
    </row>
    <row r="1385" spans="1:11" x14ac:dyDescent="0.25">
      <c r="A1385" t="s">
        <v>5148</v>
      </c>
      <c r="B1385" s="1" t="str">
        <f>HYPERLINK("https://www.catalog.slsa.sa.gov.au/record=b2111262")</f>
        <v>https://www.catalog.slsa.sa.gov.au/record=b2111262</v>
      </c>
      <c r="C1385" s="1" t="str">
        <f>HYPERLINK("https://www.catalog.slsa.sa.gov.au/xrecord=b2111262")</f>
        <v>https://www.catalog.slsa.sa.gov.au/xrecord=b2111262</v>
      </c>
      <c r="D1385" t="s">
        <v>66</v>
      </c>
      <c r="E1385" t="s">
        <v>5149</v>
      </c>
      <c r="F1385">
        <v>1953</v>
      </c>
      <c r="G1385" t="s">
        <v>121</v>
      </c>
      <c r="H1385" t="s">
        <v>5150</v>
      </c>
      <c r="I1385" t="s">
        <v>5151</v>
      </c>
      <c r="J1385" t="s">
        <v>71</v>
      </c>
      <c r="K1385" s="2" t="str">
        <f>HYPERLINK("http://collections.slsa.sa.gov.au/arthur/02000/BRG347_1933.htm")</f>
        <v>http://collections.slsa.sa.gov.au/arthur/02000/BRG347_1933.htm</v>
      </c>
    </row>
    <row r="1386" spans="1:11" x14ac:dyDescent="0.25">
      <c r="A1386" t="s">
        <v>5152</v>
      </c>
      <c r="B1386" s="1" t="str">
        <f>HYPERLINK("https://www.catalog.slsa.sa.gov.au/record=b2111264")</f>
        <v>https://www.catalog.slsa.sa.gov.au/record=b2111264</v>
      </c>
      <c r="C1386" s="1" t="str">
        <f>HYPERLINK("https://www.catalog.slsa.sa.gov.au/xrecord=b2111264")</f>
        <v>https://www.catalog.slsa.sa.gov.au/xrecord=b2111264</v>
      </c>
      <c r="D1386" t="s">
        <v>66</v>
      </c>
      <c r="E1386" t="s">
        <v>5153</v>
      </c>
      <c r="F1386">
        <v>1953</v>
      </c>
      <c r="G1386" t="s">
        <v>121</v>
      </c>
      <c r="H1386" t="s">
        <v>5154</v>
      </c>
      <c r="I1386" t="s">
        <v>5155</v>
      </c>
      <c r="J1386" t="s">
        <v>71</v>
      </c>
      <c r="K1386" s="2" t="str">
        <f>HYPERLINK("http://collections.slsa.sa.gov.au/arthur/02000/BRG347_1935.htm")</f>
        <v>http://collections.slsa.sa.gov.au/arthur/02000/BRG347_1935.htm</v>
      </c>
    </row>
    <row r="1387" spans="1:11" x14ac:dyDescent="0.25">
      <c r="A1387" t="s">
        <v>5156</v>
      </c>
      <c r="B1387" s="1" t="str">
        <f>HYPERLINK("https://www.catalog.slsa.sa.gov.au/record=b2111265")</f>
        <v>https://www.catalog.slsa.sa.gov.au/record=b2111265</v>
      </c>
      <c r="C1387" s="1" t="str">
        <f>HYPERLINK("https://www.catalog.slsa.sa.gov.au/xrecord=b2111265")</f>
        <v>https://www.catalog.slsa.sa.gov.au/xrecord=b2111265</v>
      </c>
      <c r="D1387" t="s">
        <v>66</v>
      </c>
      <c r="E1387" t="s">
        <v>5157</v>
      </c>
      <c r="F1387">
        <v>1953</v>
      </c>
      <c r="G1387" t="s">
        <v>121</v>
      </c>
      <c r="H1387" t="s">
        <v>5158</v>
      </c>
      <c r="I1387" t="s">
        <v>5159</v>
      </c>
      <c r="J1387" t="s">
        <v>71</v>
      </c>
      <c r="K1387" s="2" t="str">
        <f>HYPERLINK("http://collections.slsa.sa.gov.au/arthur/02000/BRG347_1936.htm")</f>
        <v>http://collections.slsa.sa.gov.au/arthur/02000/BRG347_1936.htm</v>
      </c>
    </row>
    <row r="1388" spans="1:11" x14ac:dyDescent="0.25">
      <c r="A1388" t="s">
        <v>5160</v>
      </c>
      <c r="B1388" s="1" t="str">
        <f>HYPERLINK("https://www.catalog.slsa.sa.gov.au/record=b2111266")</f>
        <v>https://www.catalog.slsa.sa.gov.au/record=b2111266</v>
      </c>
      <c r="C1388" s="1" t="str">
        <f>HYPERLINK("https://www.catalog.slsa.sa.gov.au/xrecord=b2111266")</f>
        <v>https://www.catalog.slsa.sa.gov.au/xrecord=b2111266</v>
      </c>
      <c r="D1388" t="s">
        <v>66</v>
      </c>
      <c r="E1388" t="s">
        <v>4844</v>
      </c>
      <c r="F1388">
        <v>1953</v>
      </c>
      <c r="G1388" t="s">
        <v>121</v>
      </c>
      <c r="H1388" t="s">
        <v>5161</v>
      </c>
      <c r="I1388" t="s">
        <v>5162</v>
      </c>
      <c r="J1388" t="s">
        <v>71</v>
      </c>
      <c r="K1388" s="2" t="str">
        <f>HYPERLINK("http://collections.slsa.sa.gov.au/arthur/02000/BRG347_1937.htm")</f>
        <v>http://collections.slsa.sa.gov.au/arthur/02000/BRG347_1937.htm</v>
      </c>
    </row>
    <row r="1389" spans="1:11" x14ac:dyDescent="0.25">
      <c r="A1389" t="s">
        <v>5163</v>
      </c>
      <c r="B1389" s="1" t="str">
        <f>HYPERLINK("https://www.catalog.slsa.sa.gov.au/record=b2111267")</f>
        <v>https://www.catalog.slsa.sa.gov.au/record=b2111267</v>
      </c>
      <c r="C1389" s="1" t="str">
        <f>HYPERLINK("https://www.catalog.slsa.sa.gov.au/xrecord=b2111267")</f>
        <v>https://www.catalog.slsa.sa.gov.au/xrecord=b2111267</v>
      </c>
      <c r="D1389" t="s">
        <v>66</v>
      </c>
      <c r="E1389" t="s">
        <v>5164</v>
      </c>
      <c r="F1389">
        <v>1953</v>
      </c>
      <c r="G1389" t="s">
        <v>121</v>
      </c>
      <c r="H1389" t="s">
        <v>5165</v>
      </c>
      <c r="I1389" t="s">
        <v>5166</v>
      </c>
      <c r="J1389" t="s">
        <v>71</v>
      </c>
      <c r="K1389" s="2" t="str">
        <f>HYPERLINK("http://collections.slsa.sa.gov.au/arthur/02000/BRG347_1938.htm")</f>
        <v>http://collections.slsa.sa.gov.au/arthur/02000/BRG347_1938.htm</v>
      </c>
    </row>
    <row r="1390" spans="1:11" x14ac:dyDescent="0.25">
      <c r="A1390" t="s">
        <v>5167</v>
      </c>
      <c r="B1390" s="1" t="str">
        <f>HYPERLINK("https://www.catalog.slsa.sa.gov.au/record=b2111269")</f>
        <v>https://www.catalog.slsa.sa.gov.au/record=b2111269</v>
      </c>
      <c r="C1390" s="1" t="str">
        <f>HYPERLINK("https://www.catalog.slsa.sa.gov.au/xrecord=b2111269")</f>
        <v>https://www.catalog.slsa.sa.gov.au/xrecord=b2111269</v>
      </c>
      <c r="D1390" t="s">
        <v>66</v>
      </c>
      <c r="E1390" t="s">
        <v>5168</v>
      </c>
      <c r="F1390">
        <v>1953</v>
      </c>
      <c r="G1390" t="s">
        <v>121</v>
      </c>
      <c r="H1390" t="s">
        <v>5169</v>
      </c>
      <c r="I1390" t="s">
        <v>5170</v>
      </c>
      <c r="J1390" t="s">
        <v>71</v>
      </c>
      <c r="K1390" s="2" t="str">
        <f>HYPERLINK("http://collections.slsa.sa.gov.au/arthur/02000/BRG347_1940.htm")</f>
        <v>http://collections.slsa.sa.gov.au/arthur/02000/BRG347_1940.htm</v>
      </c>
    </row>
    <row r="1391" spans="1:11" x14ac:dyDescent="0.25">
      <c r="A1391" t="s">
        <v>5171</v>
      </c>
      <c r="B1391" s="1" t="str">
        <f>HYPERLINK("https://www.catalog.slsa.sa.gov.au/record=b2111270")</f>
        <v>https://www.catalog.slsa.sa.gov.au/record=b2111270</v>
      </c>
      <c r="C1391" s="1" t="str">
        <f>HYPERLINK("https://www.catalog.slsa.sa.gov.au/xrecord=b2111270")</f>
        <v>https://www.catalog.slsa.sa.gov.au/xrecord=b2111270</v>
      </c>
      <c r="D1391" t="s">
        <v>66</v>
      </c>
      <c r="E1391" t="s">
        <v>5172</v>
      </c>
      <c r="F1391">
        <v>1953</v>
      </c>
      <c r="G1391" t="s">
        <v>121</v>
      </c>
      <c r="H1391" t="s">
        <v>5173</v>
      </c>
      <c r="I1391" t="s">
        <v>5174</v>
      </c>
      <c r="J1391" t="s">
        <v>71</v>
      </c>
      <c r="K1391" s="2" t="str">
        <f>HYPERLINK("http://collections.slsa.sa.gov.au/arthur/02000/BRG347_1941.htm")</f>
        <v>http://collections.slsa.sa.gov.au/arthur/02000/BRG347_1941.htm</v>
      </c>
    </row>
    <row r="1392" spans="1:11" x14ac:dyDescent="0.25">
      <c r="A1392" t="s">
        <v>5175</v>
      </c>
      <c r="B1392" s="1" t="str">
        <f>HYPERLINK("https://www.catalog.slsa.sa.gov.au/record=b2111273")</f>
        <v>https://www.catalog.slsa.sa.gov.au/record=b2111273</v>
      </c>
      <c r="C1392" s="1" t="str">
        <f>HYPERLINK("https://www.catalog.slsa.sa.gov.au/xrecord=b2111273")</f>
        <v>https://www.catalog.slsa.sa.gov.au/xrecord=b2111273</v>
      </c>
      <c r="D1392" t="s">
        <v>66</v>
      </c>
      <c r="E1392" t="s">
        <v>5176</v>
      </c>
      <c r="F1392">
        <v>1953</v>
      </c>
      <c r="G1392" t="s">
        <v>121</v>
      </c>
      <c r="H1392" t="s">
        <v>5177</v>
      </c>
      <c r="I1392" t="s">
        <v>5178</v>
      </c>
      <c r="J1392" t="s">
        <v>71</v>
      </c>
      <c r="K1392" s="2" t="str">
        <f>HYPERLINK("http://collections.slsa.sa.gov.au/arthur/02000/BRG347_1944.htm")</f>
        <v>http://collections.slsa.sa.gov.au/arthur/02000/BRG347_1944.htm</v>
      </c>
    </row>
    <row r="1393" spans="1:11" x14ac:dyDescent="0.25">
      <c r="A1393" t="s">
        <v>5179</v>
      </c>
      <c r="B1393" s="1" t="str">
        <f>HYPERLINK("https://www.catalog.slsa.sa.gov.au/record=b2111394")</f>
        <v>https://www.catalog.slsa.sa.gov.au/record=b2111394</v>
      </c>
      <c r="C1393" s="1" t="str">
        <f>HYPERLINK("https://www.catalog.slsa.sa.gov.au/xrecord=b2111394")</f>
        <v>https://www.catalog.slsa.sa.gov.au/xrecord=b2111394</v>
      </c>
      <c r="D1393" t="s">
        <v>66</v>
      </c>
      <c r="E1393" t="s">
        <v>5180</v>
      </c>
      <c r="F1393">
        <v>1953</v>
      </c>
      <c r="G1393" t="s">
        <v>121</v>
      </c>
      <c r="H1393" t="s">
        <v>5181</v>
      </c>
      <c r="I1393" t="s">
        <v>5182</v>
      </c>
      <c r="J1393" t="s">
        <v>71</v>
      </c>
      <c r="K1393" s="2" t="str">
        <f>HYPERLINK("http://collections.slsa.sa.gov.au/arthur/02250/BRG347_2028.htm")</f>
        <v>http://collections.slsa.sa.gov.au/arthur/02250/BRG347_2028.htm</v>
      </c>
    </row>
    <row r="1394" spans="1:11" x14ac:dyDescent="0.25">
      <c r="A1394" t="s">
        <v>5183</v>
      </c>
      <c r="B1394" s="1" t="str">
        <f>HYPERLINK("https://www.catalog.slsa.sa.gov.au/record=b2111395")</f>
        <v>https://www.catalog.slsa.sa.gov.au/record=b2111395</v>
      </c>
      <c r="C1394" s="1" t="str">
        <f>HYPERLINK("https://www.catalog.slsa.sa.gov.au/xrecord=b2111395")</f>
        <v>https://www.catalog.slsa.sa.gov.au/xrecord=b2111395</v>
      </c>
      <c r="D1394" t="s">
        <v>66</v>
      </c>
      <c r="E1394" t="s">
        <v>5184</v>
      </c>
      <c r="F1394">
        <v>1953</v>
      </c>
      <c r="G1394" t="s">
        <v>121</v>
      </c>
      <c r="H1394" t="s">
        <v>5185</v>
      </c>
      <c r="I1394" t="s">
        <v>5186</v>
      </c>
      <c r="J1394" t="s">
        <v>71</v>
      </c>
      <c r="K1394" s="2" t="str">
        <f>HYPERLINK("http://collections.slsa.sa.gov.au/arthur/02250/BRG347_2029.htm")</f>
        <v>http://collections.slsa.sa.gov.au/arthur/02250/BRG347_2029.htm</v>
      </c>
    </row>
    <row r="1395" spans="1:11" x14ac:dyDescent="0.25">
      <c r="A1395" t="s">
        <v>5187</v>
      </c>
      <c r="B1395" s="1" t="str">
        <f>HYPERLINK("https://www.catalog.slsa.sa.gov.au/record=b2111400")</f>
        <v>https://www.catalog.slsa.sa.gov.au/record=b2111400</v>
      </c>
      <c r="C1395" s="1" t="str">
        <f>HYPERLINK("https://www.catalog.slsa.sa.gov.au/xrecord=b2111400")</f>
        <v>https://www.catalog.slsa.sa.gov.au/xrecord=b2111400</v>
      </c>
      <c r="D1395" t="s">
        <v>66</v>
      </c>
      <c r="E1395" t="s">
        <v>5180</v>
      </c>
      <c r="F1395">
        <v>1953</v>
      </c>
      <c r="G1395" t="s">
        <v>121</v>
      </c>
      <c r="H1395" t="s">
        <v>5188</v>
      </c>
      <c r="I1395" t="s">
        <v>5182</v>
      </c>
      <c r="J1395" t="s">
        <v>71</v>
      </c>
      <c r="K1395" s="2" t="str">
        <f>HYPERLINK("http://collections.slsa.sa.gov.au/arthur/02250/BRG347_2034.htm")</f>
        <v>http://collections.slsa.sa.gov.au/arthur/02250/BRG347_2034.htm</v>
      </c>
    </row>
    <row r="1396" spans="1:11" x14ac:dyDescent="0.25">
      <c r="A1396" t="s">
        <v>5189</v>
      </c>
      <c r="B1396" s="1" t="str">
        <f>HYPERLINK("https://www.catalog.slsa.sa.gov.au/record=b2111438")</f>
        <v>https://www.catalog.slsa.sa.gov.au/record=b2111438</v>
      </c>
      <c r="C1396" s="1" t="str">
        <f>HYPERLINK("https://www.catalog.slsa.sa.gov.au/xrecord=b2111438")</f>
        <v>https://www.catalog.slsa.sa.gov.au/xrecord=b2111438</v>
      </c>
      <c r="D1396" t="s">
        <v>66</v>
      </c>
      <c r="E1396" t="s">
        <v>5190</v>
      </c>
      <c r="F1396">
        <v>1953</v>
      </c>
      <c r="G1396" t="s">
        <v>121</v>
      </c>
      <c r="H1396" t="s">
        <v>5191</v>
      </c>
      <c r="I1396" t="s">
        <v>5192</v>
      </c>
      <c r="J1396" t="s">
        <v>71</v>
      </c>
      <c r="K1396" s="2" t="str">
        <f>HYPERLINK("http://collections.slsa.sa.gov.au/arthur/02250/BRG347_2073.htm")</f>
        <v>http://collections.slsa.sa.gov.au/arthur/02250/BRG347_2073.htm</v>
      </c>
    </row>
    <row r="1397" spans="1:11" x14ac:dyDescent="0.25">
      <c r="A1397" t="s">
        <v>5193</v>
      </c>
      <c r="B1397" s="1" t="str">
        <f>HYPERLINK("https://www.catalog.slsa.sa.gov.au/record=b2111439")</f>
        <v>https://www.catalog.slsa.sa.gov.au/record=b2111439</v>
      </c>
      <c r="C1397" s="1" t="str">
        <f>HYPERLINK("https://www.catalog.slsa.sa.gov.au/xrecord=b2111439")</f>
        <v>https://www.catalog.slsa.sa.gov.au/xrecord=b2111439</v>
      </c>
      <c r="D1397" t="s">
        <v>66</v>
      </c>
      <c r="E1397" t="s">
        <v>5190</v>
      </c>
      <c r="F1397">
        <v>1953</v>
      </c>
      <c r="G1397" t="s">
        <v>121</v>
      </c>
      <c r="H1397" t="s">
        <v>5194</v>
      </c>
      <c r="I1397" t="s">
        <v>5192</v>
      </c>
      <c r="J1397" t="s">
        <v>71</v>
      </c>
      <c r="K1397" s="2" t="str">
        <f>HYPERLINK("http://collections.slsa.sa.gov.au/arthur/02250/BRG347_2074.htm")</f>
        <v>http://collections.slsa.sa.gov.au/arthur/02250/BRG347_2074.htm</v>
      </c>
    </row>
    <row r="1398" spans="1:11" x14ac:dyDescent="0.25">
      <c r="A1398" t="s">
        <v>5195</v>
      </c>
      <c r="B1398" s="1" t="str">
        <f>HYPERLINK("https://www.catalog.slsa.sa.gov.au/record=b2112131")</f>
        <v>https://www.catalog.slsa.sa.gov.au/record=b2112131</v>
      </c>
      <c r="C1398" s="1" t="str">
        <f>HYPERLINK("https://www.catalog.slsa.sa.gov.au/xrecord=b2112131")</f>
        <v>https://www.catalog.slsa.sa.gov.au/xrecord=b2112131</v>
      </c>
      <c r="D1398" t="s">
        <v>66</v>
      </c>
      <c r="E1398" t="s">
        <v>1625</v>
      </c>
      <c r="F1398">
        <v>1953</v>
      </c>
      <c r="G1398" t="s">
        <v>121</v>
      </c>
      <c r="H1398" t="s">
        <v>5196</v>
      </c>
      <c r="I1398" t="s">
        <v>1635</v>
      </c>
      <c r="J1398" t="s">
        <v>71</v>
      </c>
      <c r="K1398" s="2" t="str">
        <f>HYPERLINK("http://collections.slsa.sa.gov.au/arthur/02750/BRG347_2561.htm")</f>
        <v>http://collections.slsa.sa.gov.au/arthur/02750/BRG347_2561.htm</v>
      </c>
    </row>
    <row r="1399" spans="1:11" x14ac:dyDescent="0.25">
      <c r="A1399" t="s">
        <v>5197</v>
      </c>
      <c r="B1399" s="1" t="str">
        <f>HYPERLINK("https://www.catalog.slsa.sa.gov.au/record=b2112132")</f>
        <v>https://www.catalog.slsa.sa.gov.au/record=b2112132</v>
      </c>
      <c r="C1399" s="1" t="str">
        <f>HYPERLINK("https://www.catalog.slsa.sa.gov.au/xrecord=b2112132")</f>
        <v>https://www.catalog.slsa.sa.gov.au/xrecord=b2112132</v>
      </c>
      <c r="D1399" t="s">
        <v>66</v>
      </c>
      <c r="E1399" t="s">
        <v>1625</v>
      </c>
      <c r="F1399">
        <v>1953</v>
      </c>
      <c r="G1399" t="s">
        <v>121</v>
      </c>
      <c r="H1399" t="s">
        <v>5198</v>
      </c>
      <c r="I1399" t="s">
        <v>1635</v>
      </c>
      <c r="J1399" t="s">
        <v>71</v>
      </c>
      <c r="K1399" s="2" t="str">
        <f>HYPERLINK("http://collections.slsa.sa.gov.au/arthur/02750/BRG347_2562.htm")</f>
        <v>http://collections.slsa.sa.gov.au/arthur/02750/BRG347_2562.htm</v>
      </c>
    </row>
    <row r="1400" spans="1:11" x14ac:dyDescent="0.25">
      <c r="A1400" t="s">
        <v>5199</v>
      </c>
      <c r="B1400" s="1" t="str">
        <f>HYPERLINK("https://www.catalog.slsa.sa.gov.au/record=b2112133")</f>
        <v>https://www.catalog.slsa.sa.gov.au/record=b2112133</v>
      </c>
      <c r="C1400" s="1" t="str">
        <f>HYPERLINK("https://www.catalog.slsa.sa.gov.au/xrecord=b2112133")</f>
        <v>https://www.catalog.slsa.sa.gov.au/xrecord=b2112133</v>
      </c>
      <c r="D1400" t="s">
        <v>66</v>
      </c>
      <c r="E1400" t="s">
        <v>1625</v>
      </c>
      <c r="F1400">
        <v>1953</v>
      </c>
      <c r="G1400" t="s">
        <v>121</v>
      </c>
      <c r="H1400" t="s">
        <v>5198</v>
      </c>
      <c r="I1400" t="s">
        <v>1635</v>
      </c>
      <c r="J1400" t="s">
        <v>71</v>
      </c>
      <c r="K1400" s="2" t="str">
        <f>HYPERLINK("http://collections.slsa.sa.gov.au/arthur/02750/BRG347_2563.htm")</f>
        <v>http://collections.slsa.sa.gov.au/arthur/02750/BRG347_2563.htm</v>
      </c>
    </row>
    <row r="1401" spans="1:11" x14ac:dyDescent="0.25">
      <c r="A1401" t="s">
        <v>5200</v>
      </c>
      <c r="B1401" s="1" t="str">
        <f>HYPERLINK("https://www.catalog.slsa.sa.gov.au/record=b2112139")</f>
        <v>https://www.catalog.slsa.sa.gov.au/record=b2112139</v>
      </c>
      <c r="C1401" s="1" t="str">
        <f>HYPERLINK("https://www.catalog.slsa.sa.gov.au/xrecord=b2112139")</f>
        <v>https://www.catalog.slsa.sa.gov.au/xrecord=b2112139</v>
      </c>
      <c r="D1401" t="s">
        <v>66</v>
      </c>
      <c r="E1401" t="s">
        <v>1625</v>
      </c>
      <c r="F1401">
        <v>1953</v>
      </c>
      <c r="G1401" t="s">
        <v>121</v>
      </c>
      <c r="H1401" t="s">
        <v>5201</v>
      </c>
      <c r="I1401" t="s">
        <v>1635</v>
      </c>
      <c r="J1401" t="s">
        <v>71</v>
      </c>
      <c r="K1401" s="2" t="str">
        <f>HYPERLINK("http://collections.slsa.sa.gov.au/arthur/02750/BRG347_2569.htm")</f>
        <v>http://collections.slsa.sa.gov.au/arthur/02750/BRG347_2569.htm</v>
      </c>
    </row>
    <row r="1402" spans="1:11" x14ac:dyDescent="0.25">
      <c r="A1402" t="s">
        <v>5202</v>
      </c>
      <c r="B1402" s="1" t="str">
        <f>HYPERLINK("https://www.catalog.slsa.sa.gov.au/record=b2112143")</f>
        <v>https://www.catalog.slsa.sa.gov.au/record=b2112143</v>
      </c>
      <c r="C1402" s="1" t="str">
        <f>HYPERLINK("https://www.catalog.slsa.sa.gov.au/xrecord=b2112143")</f>
        <v>https://www.catalog.slsa.sa.gov.au/xrecord=b2112143</v>
      </c>
      <c r="D1402" t="s">
        <v>66</v>
      </c>
      <c r="E1402" t="s">
        <v>3875</v>
      </c>
      <c r="F1402">
        <v>1953</v>
      </c>
      <c r="G1402" t="s">
        <v>121</v>
      </c>
      <c r="H1402" t="s">
        <v>5203</v>
      </c>
      <c r="I1402" t="s">
        <v>5204</v>
      </c>
      <c r="J1402" t="s">
        <v>71</v>
      </c>
      <c r="K1402" s="2" t="str">
        <f>HYPERLINK("http://collections.slsa.sa.gov.au/arthur/02750/BRG347_2573.htm")</f>
        <v>http://collections.slsa.sa.gov.au/arthur/02750/BRG347_2573.htm</v>
      </c>
    </row>
    <row r="1403" spans="1:11" x14ac:dyDescent="0.25">
      <c r="A1403" t="s">
        <v>5205</v>
      </c>
      <c r="B1403" s="1" t="str">
        <f>HYPERLINK("https://www.catalog.slsa.sa.gov.au/record=b2112872")</f>
        <v>https://www.catalog.slsa.sa.gov.au/record=b2112872</v>
      </c>
      <c r="C1403" s="1" t="str">
        <f>HYPERLINK("https://www.catalog.slsa.sa.gov.au/xrecord=b2112872")</f>
        <v>https://www.catalog.slsa.sa.gov.au/xrecord=b2112872</v>
      </c>
      <c r="D1403" t="s">
        <v>66</v>
      </c>
      <c r="E1403" t="s">
        <v>5206</v>
      </c>
      <c r="F1403">
        <v>1953</v>
      </c>
      <c r="G1403" t="s">
        <v>121</v>
      </c>
      <c r="H1403" t="s">
        <v>5207</v>
      </c>
      <c r="I1403" t="s">
        <v>5208</v>
      </c>
      <c r="J1403" t="s">
        <v>71</v>
      </c>
      <c r="K1403" s="2" t="str">
        <f>HYPERLINK("http://collections.slsa.sa.gov.au/arthur/03250/BRG347_3109.htm")</f>
        <v>http://collections.slsa.sa.gov.au/arthur/03250/BRG347_3109.htm</v>
      </c>
    </row>
    <row r="1404" spans="1:11" x14ac:dyDescent="0.25">
      <c r="A1404" t="s">
        <v>5209</v>
      </c>
      <c r="B1404" s="1" t="str">
        <f>HYPERLINK("https://www.catalog.slsa.sa.gov.au/record=b2116664")</f>
        <v>https://www.catalog.slsa.sa.gov.au/record=b2116664</v>
      </c>
      <c r="C1404" s="1" t="str">
        <f>HYPERLINK("https://www.catalog.slsa.sa.gov.au/xrecord=b2116664")</f>
        <v>https://www.catalog.slsa.sa.gov.au/xrecord=b2116664</v>
      </c>
      <c r="D1404" t="s">
        <v>66</v>
      </c>
      <c r="E1404" t="s">
        <v>5210</v>
      </c>
      <c r="F1404">
        <v>1953</v>
      </c>
      <c r="G1404" t="s">
        <v>121</v>
      </c>
      <c r="H1404" t="s">
        <v>5211</v>
      </c>
      <c r="I1404" t="s">
        <v>5212</v>
      </c>
      <c r="J1404" t="s">
        <v>71</v>
      </c>
      <c r="K1404" s="2" t="str">
        <f>HYPERLINK("http://collections.slsa.sa.gov.au/arthur/05750/BRG347_5591.htm")</f>
        <v>http://collections.slsa.sa.gov.au/arthur/05750/BRG347_5591.htm</v>
      </c>
    </row>
    <row r="1405" spans="1:11" x14ac:dyDescent="0.25">
      <c r="A1405" t="s">
        <v>5213</v>
      </c>
      <c r="B1405" s="1" t="str">
        <f>HYPERLINK("https://www.catalog.slsa.sa.gov.au/record=b2118291")</f>
        <v>https://www.catalog.slsa.sa.gov.au/record=b2118291</v>
      </c>
      <c r="C1405" s="1" t="str">
        <f>HYPERLINK("https://www.catalog.slsa.sa.gov.au/xrecord=b2118291")</f>
        <v>https://www.catalog.slsa.sa.gov.au/xrecord=b2118291</v>
      </c>
      <c r="D1405" t="s">
        <v>66</v>
      </c>
      <c r="E1405" t="s">
        <v>405</v>
      </c>
      <c r="F1405">
        <v>1953</v>
      </c>
      <c r="G1405" t="s">
        <v>121</v>
      </c>
      <c r="H1405" t="s">
        <v>5214</v>
      </c>
      <c r="I1405" t="s">
        <v>5215</v>
      </c>
      <c r="J1405" t="s">
        <v>71</v>
      </c>
      <c r="K1405" s="2" t="str">
        <f>HYPERLINK("http://collections.slsa.sa.gov.au/arthur/06500/BRG347_6385.htm")</f>
        <v>http://collections.slsa.sa.gov.au/arthur/06500/BRG347_6385.htm</v>
      </c>
    </row>
    <row r="1406" spans="1:11" x14ac:dyDescent="0.25">
      <c r="A1406" t="s">
        <v>5216</v>
      </c>
      <c r="B1406" s="1" t="str">
        <f>HYPERLINK("https://www.catalog.slsa.sa.gov.au/record=b2118293")</f>
        <v>https://www.catalog.slsa.sa.gov.au/record=b2118293</v>
      </c>
      <c r="C1406" s="1" t="str">
        <f>HYPERLINK("https://www.catalog.slsa.sa.gov.au/xrecord=b2118293")</f>
        <v>https://www.catalog.slsa.sa.gov.au/xrecord=b2118293</v>
      </c>
      <c r="D1406" t="s">
        <v>66</v>
      </c>
      <c r="E1406" t="s">
        <v>5217</v>
      </c>
      <c r="F1406">
        <v>1953</v>
      </c>
      <c r="G1406" t="s">
        <v>121</v>
      </c>
      <c r="H1406" t="s">
        <v>5218</v>
      </c>
      <c r="I1406" t="s">
        <v>5219</v>
      </c>
      <c r="J1406" t="s">
        <v>71</v>
      </c>
      <c r="K1406" s="2" t="str">
        <f>HYPERLINK("http://collections.slsa.sa.gov.au/arthur/06500/BRG347_6388.htm")</f>
        <v>http://collections.slsa.sa.gov.au/arthur/06500/BRG347_6388.htm</v>
      </c>
    </row>
    <row r="1407" spans="1:11" x14ac:dyDescent="0.25">
      <c r="A1407" t="s">
        <v>5220</v>
      </c>
      <c r="B1407" s="1" t="str">
        <f>HYPERLINK("https://www.catalog.slsa.sa.gov.au/record=b2118294")</f>
        <v>https://www.catalog.slsa.sa.gov.au/record=b2118294</v>
      </c>
      <c r="C1407" s="1" t="str">
        <f>HYPERLINK("https://www.catalog.slsa.sa.gov.au/xrecord=b2118294")</f>
        <v>https://www.catalog.slsa.sa.gov.au/xrecord=b2118294</v>
      </c>
      <c r="D1407" t="s">
        <v>66</v>
      </c>
      <c r="E1407" t="s">
        <v>5221</v>
      </c>
      <c r="F1407">
        <v>1953</v>
      </c>
      <c r="G1407" t="s">
        <v>121</v>
      </c>
      <c r="H1407" t="s">
        <v>5222</v>
      </c>
      <c r="I1407" t="s">
        <v>5223</v>
      </c>
      <c r="J1407" t="s">
        <v>71</v>
      </c>
      <c r="K1407" s="2" t="str">
        <f>HYPERLINK("http://collections.slsa.sa.gov.au/arthur/06500/BRG347_6389.htm")</f>
        <v>http://collections.slsa.sa.gov.au/arthur/06500/BRG347_6389.htm</v>
      </c>
    </row>
    <row r="1408" spans="1:11" x14ac:dyDescent="0.25">
      <c r="A1408" t="s">
        <v>5224</v>
      </c>
      <c r="B1408" s="1" t="str">
        <f>HYPERLINK("https://www.catalog.slsa.sa.gov.au/record=b2118295")</f>
        <v>https://www.catalog.slsa.sa.gov.au/record=b2118295</v>
      </c>
      <c r="C1408" s="1" t="str">
        <f>HYPERLINK("https://www.catalog.slsa.sa.gov.au/xrecord=b2118295")</f>
        <v>https://www.catalog.slsa.sa.gov.au/xrecord=b2118295</v>
      </c>
      <c r="D1408" t="s">
        <v>66</v>
      </c>
      <c r="E1408" t="s">
        <v>5225</v>
      </c>
      <c r="F1408">
        <v>1953</v>
      </c>
      <c r="G1408" t="s">
        <v>121</v>
      </c>
      <c r="H1408" t="s">
        <v>5226</v>
      </c>
      <c r="I1408" t="s">
        <v>5227</v>
      </c>
      <c r="J1408" t="s">
        <v>71</v>
      </c>
      <c r="K1408" s="2" t="str">
        <f>HYPERLINK("http://collections.slsa.sa.gov.au/arthur/06500/BRG347_6390.htm")</f>
        <v>http://collections.slsa.sa.gov.au/arthur/06500/BRG347_6390.htm</v>
      </c>
    </row>
    <row r="1409" spans="1:11" x14ac:dyDescent="0.25">
      <c r="A1409" t="s">
        <v>5228</v>
      </c>
      <c r="B1409" s="1" t="str">
        <f>HYPERLINK("https://www.catalog.slsa.sa.gov.au/record=b2118296")</f>
        <v>https://www.catalog.slsa.sa.gov.au/record=b2118296</v>
      </c>
      <c r="C1409" s="1" t="str">
        <f>HYPERLINK("https://www.catalog.slsa.sa.gov.au/xrecord=b2118296")</f>
        <v>https://www.catalog.slsa.sa.gov.au/xrecord=b2118296</v>
      </c>
      <c r="D1409" t="s">
        <v>66</v>
      </c>
      <c r="E1409" t="s">
        <v>5229</v>
      </c>
      <c r="F1409">
        <v>1953</v>
      </c>
      <c r="G1409" t="s">
        <v>121</v>
      </c>
      <c r="H1409" t="s">
        <v>5230</v>
      </c>
      <c r="I1409" t="s">
        <v>5231</v>
      </c>
      <c r="J1409" t="s">
        <v>71</v>
      </c>
      <c r="K1409" s="2" t="str">
        <f>HYPERLINK("http://collections.slsa.sa.gov.au/arthur/06500/BRG347_6391.htm")</f>
        <v>http://collections.slsa.sa.gov.au/arthur/06500/BRG347_6391.htm</v>
      </c>
    </row>
    <row r="1410" spans="1:11" x14ac:dyDescent="0.25">
      <c r="A1410" t="s">
        <v>5232</v>
      </c>
      <c r="B1410" s="1" t="str">
        <f>HYPERLINK("https://www.catalog.slsa.sa.gov.au/record=b2118297")</f>
        <v>https://www.catalog.slsa.sa.gov.au/record=b2118297</v>
      </c>
      <c r="C1410" s="1" t="str">
        <f>HYPERLINK("https://www.catalog.slsa.sa.gov.au/xrecord=b2118297")</f>
        <v>https://www.catalog.slsa.sa.gov.au/xrecord=b2118297</v>
      </c>
      <c r="D1410" t="s">
        <v>66</v>
      </c>
      <c r="E1410" t="s">
        <v>5233</v>
      </c>
      <c r="F1410">
        <v>1953</v>
      </c>
      <c r="G1410" t="s">
        <v>121</v>
      </c>
      <c r="H1410" t="s">
        <v>5234</v>
      </c>
      <c r="I1410" t="s">
        <v>5235</v>
      </c>
      <c r="J1410" t="s">
        <v>71</v>
      </c>
      <c r="K1410" s="2" t="str">
        <f>HYPERLINK("http://collections.slsa.sa.gov.au/arthur/06500/BRG347_6392.htm")</f>
        <v>http://collections.slsa.sa.gov.au/arthur/06500/BRG347_6392.htm</v>
      </c>
    </row>
    <row r="1411" spans="1:11" x14ac:dyDescent="0.25">
      <c r="A1411" t="s">
        <v>5236</v>
      </c>
      <c r="B1411" s="1" t="str">
        <f>HYPERLINK("https://www.catalog.slsa.sa.gov.au/record=b2118298")</f>
        <v>https://www.catalog.slsa.sa.gov.au/record=b2118298</v>
      </c>
      <c r="C1411" s="1" t="str">
        <f>HYPERLINK("https://www.catalog.slsa.sa.gov.au/xrecord=b2118298")</f>
        <v>https://www.catalog.slsa.sa.gov.au/xrecord=b2118298</v>
      </c>
      <c r="D1411" t="s">
        <v>66</v>
      </c>
      <c r="E1411" t="s">
        <v>5237</v>
      </c>
      <c r="F1411">
        <v>1953</v>
      </c>
      <c r="G1411" t="s">
        <v>121</v>
      </c>
      <c r="H1411" t="s">
        <v>5238</v>
      </c>
      <c r="I1411" t="s">
        <v>5239</v>
      </c>
      <c r="J1411" t="s">
        <v>71</v>
      </c>
      <c r="K1411" s="2" t="str">
        <f>HYPERLINK("http://collections.slsa.sa.gov.au/arthur/06500/BRG347_6393.htm")</f>
        <v>http://collections.slsa.sa.gov.au/arthur/06500/BRG347_6393.htm</v>
      </c>
    </row>
    <row r="1412" spans="1:11" x14ac:dyDescent="0.25">
      <c r="A1412" t="s">
        <v>5240</v>
      </c>
      <c r="B1412" s="1" t="str">
        <f>HYPERLINK("https://www.catalog.slsa.sa.gov.au/record=b2118299")</f>
        <v>https://www.catalog.slsa.sa.gov.au/record=b2118299</v>
      </c>
      <c r="C1412" s="1" t="str">
        <f>HYPERLINK("https://www.catalog.slsa.sa.gov.au/xrecord=b2118299")</f>
        <v>https://www.catalog.slsa.sa.gov.au/xrecord=b2118299</v>
      </c>
      <c r="D1412" t="s">
        <v>66</v>
      </c>
      <c r="E1412" t="s">
        <v>5241</v>
      </c>
      <c r="F1412">
        <v>1953</v>
      </c>
      <c r="G1412" t="s">
        <v>121</v>
      </c>
      <c r="H1412" t="s">
        <v>5242</v>
      </c>
      <c r="I1412" t="s">
        <v>5243</v>
      </c>
      <c r="J1412" t="s">
        <v>71</v>
      </c>
      <c r="K1412" s="2" t="str">
        <f>HYPERLINK("http://collections.slsa.sa.gov.au/arthur/06500/BRG347_6394.htm")</f>
        <v>http://collections.slsa.sa.gov.au/arthur/06500/BRG347_6394.htm</v>
      </c>
    </row>
    <row r="1413" spans="1:11" x14ac:dyDescent="0.25">
      <c r="A1413" t="s">
        <v>5244</v>
      </c>
      <c r="B1413" s="1" t="str">
        <f>HYPERLINK("https://www.catalog.slsa.sa.gov.au/record=b2118301")</f>
        <v>https://www.catalog.slsa.sa.gov.au/record=b2118301</v>
      </c>
      <c r="C1413" s="1" t="str">
        <f>HYPERLINK("https://www.catalog.slsa.sa.gov.au/xrecord=b2118301")</f>
        <v>https://www.catalog.slsa.sa.gov.au/xrecord=b2118301</v>
      </c>
      <c r="D1413" t="s">
        <v>66</v>
      </c>
      <c r="E1413" t="s">
        <v>5245</v>
      </c>
      <c r="F1413">
        <v>1953</v>
      </c>
      <c r="G1413" t="s">
        <v>121</v>
      </c>
      <c r="H1413" t="s">
        <v>5246</v>
      </c>
      <c r="I1413" t="s">
        <v>5247</v>
      </c>
      <c r="J1413" t="s">
        <v>71</v>
      </c>
      <c r="K1413" s="2" t="str">
        <f>HYPERLINK("http://collections.slsa.sa.gov.au/arthur/06500/BRG347_6396.htm")</f>
        <v>http://collections.slsa.sa.gov.au/arthur/06500/BRG347_6396.htm</v>
      </c>
    </row>
    <row r="1414" spans="1:11" x14ac:dyDescent="0.25">
      <c r="A1414" t="s">
        <v>5248</v>
      </c>
      <c r="B1414" s="1" t="str">
        <f>HYPERLINK("https://www.catalog.slsa.sa.gov.au/record=b2118331")</f>
        <v>https://www.catalog.slsa.sa.gov.au/record=b2118331</v>
      </c>
      <c r="C1414" s="1" t="str">
        <f>HYPERLINK("https://www.catalog.slsa.sa.gov.au/xrecord=b2118331")</f>
        <v>https://www.catalog.slsa.sa.gov.au/xrecord=b2118331</v>
      </c>
      <c r="D1414" t="s">
        <v>66</v>
      </c>
      <c r="E1414" t="s">
        <v>5249</v>
      </c>
      <c r="F1414">
        <v>1953</v>
      </c>
      <c r="G1414" t="s">
        <v>121</v>
      </c>
      <c r="H1414" t="s">
        <v>5250</v>
      </c>
      <c r="I1414" t="s">
        <v>5251</v>
      </c>
      <c r="J1414" t="s">
        <v>71</v>
      </c>
      <c r="K1414" s="2" t="str">
        <f>HYPERLINK("http://collections.slsa.sa.gov.au/arthur/06500/BRG347_6427.htm")</f>
        <v>http://collections.slsa.sa.gov.au/arthur/06500/BRG347_6427.htm</v>
      </c>
    </row>
    <row r="1415" spans="1:11" x14ac:dyDescent="0.25">
      <c r="A1415" t="s">
        <v>5252</v>
      </c>
      <c r="B1415" s="1" t="str">
        <f>HYPERLINK("https://www.catalog.slsa.sa.gov.au/record=b2118333")</f>
        <v>https://www.catalog.slsa.sa.gov.au/record=b2118333</v>
      </c>
      <c r="C1415" s="1" t="str">
        <f>HYPERLINK("https://www.catalog.slsa.sa.gov.au/xrecord=b2118333")</f>
        <v>https://www.catalog.slsa.sa.gov.au/xrecord=b2118333</v>
      </c>
      <c r="D1415" t="s">
        <v>66</v>
      </c>
      <c r="E1415" t="s">
        <v>5253</v>
      </c>
      <c r="F1415">
        <v>1953</v>
      </c>
      <c r="G1415" t="s">
        <v>121</v>
      </c>
      <c r="H1415" t="s">
        <v>5254</v>
      </c>
      <c r="I1415" t="s">
        <v>5255</v>
      </c>
      <c r="J1415" t="s">
        <v>71</v>
      </c>
      <c r="K1415" s="2" t="str">
        <f>HYPERLINK("http://collections.slsa.sa.gov.au/arthur/06500/BRG347_6429.htm")</f>
        <v>http://collections.slsa.sa.gov.au/arthur/06500/BRG347_6429.htm</v>
      </c>
    </row>
    <row r="1416" spans="1:11" x14ac:dyDescent="0.25">
      <c r="A1416" t="s">
        <v>5256</v>
      </c>
      <c r="B1416" s="1" t="str">
        <f>HYPERLINK("https://www.catalog.slsa.sa.gov.au/record=b2118334")</f>
        <v>https://www.catalog.slsa.sa.gov.au/record=b2118334</v>
      </c>
      <c r="C1416" s="1" t="str">
        <f>HYPERLINK("https://www.catalog.slsa.sa.gov.au/xrecord=b2118334")</f>
        <v>https://www.catalog.slsa.sa.gov.au/xrecord=b2118334</v>
      </c>
      <c r="D1416" t="s">
        <v>66</v>
      </c>
      <c r="E1416" t="s">
        <v>5257</v>
      </c>
      <c r="F1416">
        <v>1953</v>
      </c>
      <c r="G1416" t="s">
        <v>121</v>
      </c>
      <c r="H1416" t="s">
        <v>5258</v>
      </c>
      <c r="I1416" t="s">
        <v>5259</v>
      </c>
      <c r="J1416" t="s">
        <v>71</v>
      </c>
      <c r="K1416" s="2" t="str">
        <f>HYPERLINK("http://collections.slsa.sa.gov.au/arthur/06500/BRG347_6430.htm")</f>
        <v>http://collections.slsa.sa.gov.au/arthur/06500/BRG347_6430.htm</v>
      </c>
    </row>
    <row r="1417" spans="1:11" x14ac:dyDescent="0.25">
      <c r="A1417" t="s">
        <v>5260</v>
      </c>
      <c r="B1417" s="1" t="str">
        <f>HYPERLINK("https://www.catalog.slsa.sa.gov.au/record=b2118343")</f>
        <v>https://www.catalog.slsa.sa.gov.au/record=b2118343</v>
      </c>
      <c r="C1417" s="1" t="str">
        <f>HYPERLINK("https://www.catalog.slsa.sa.gov.au/xrecord=b2118343")</f>
        <v>https://www.catalog.slsa.sa.gov.au/xrecord=b2118343</v>
      </c>
      <c r="D1417" t="s">
        <v>66</v>
      </c>
      <c r="E1417" t="s">
        <v>5261</v>
      </c>
      <c r="F1417">
        <v>1953</v>
      </c>
      <c r="G1417" t="s">
        <v>121</v>
      </c>
      <c r="H1417" t="s">
        <v>5262</v>
      </c>
      <c r="I1417" t="s">
        <v>5263</v>
      </c>
      <c r="J1417" t="s">
        <v>71</v>
      </c>
      <c r="K1417" s="2" t="str">
        <f>HYPERLINK("http://collections.slsa.sa.gov.au/arthur/06500/BRG347_6439.htm")</f>
        <v>http://collections.slsa.sa.gov.au/arthur/06500/BRG347_6439.htm</v>
      </c>
    </row>
    <row r="1418" spans="1:11" x14ac:dyDescent="0.25">
      <c r="A1418" t="s">
        <v>5264</v>
      </c>
      <c r="B1418" s="1" t="str">
        <f>HYPERLINK("https://www.catalog.slsa.sa.gov.au/record=b2118350")</f>
        <v>https://www.catalog.slsa.sa.gov.au/record=b2118350</v>
      </c>
      <c r="C1418" s="1" t="str">
        <f>HYPERLINK("https://www.catalog.slsa.sa.gov.au/xrecord=b2118350")</f>
        <v>https://www.catalog.slsa.sa.gov.au/xrecord=b2118350</v>
      </c>
      <c r="D1418" t="s">
        <v>66</v>
      </c>
      <c r="E1418" t="s">
        <v>5265</v>
      </c>
      <c r="F1418">
        <v>1953</v>
      </c>
      <c r="G1418" t="s">
        <v>121</v>
      </c>
      <c r="H1418" t="s">
        <v>5266</v>
      </c>
      <c r="I1418" t="s">
        <v>5267</v>
      </c>
      <c r="J1418" t="s">
        <v>71</v>
      </c>
      <c r="K1418" s="2" t="str">
        <f>HYPERLINK("http://collections.slsa.sa.gov.au/arthur/06500/BRG347_6446.htm")</f>
        <v>http://collections.slsa.sa.gov.au/arthur/06500/BRG347_6446.htm</v>
      </c>
    </row>
    <row r="1419" spans="1:11" x14ac:dyDescent="0.25">
      <c r="A1419" t="s">
        <v>5268</v>
      </c>
      <c r="B1419" s="1" t="str">
        <f>HYPERLINK("https://www.catalog.slsa.sa.gov.au/record=b2118388")</f>
        <v>https://www.catalog.slsa.sa.gov.au/record=b2118388</v>
      </c>
      <c r="C1419" s="1" t="str">
        <f>HYPERLINK("https://www.catalog.slsa.sa.gov.au/xrecord=b2118388")</f>
        <v>https://www.catalog.slsa.sa.gov.au/xrecord=b2118388</v>
      </c>
      <c r="D1419" t="s">
        <v>66</v>
      </c>
      <c r="E1419" t="s">
        <v>5269</v>
      </c>
      <c r="F1419">
        <v>1953</v>
      </c>
      <c r="G1419" t="s">
        <v>121</v>
      </c>
      <c r="H1419" t="s">
        <v>5270</v>
      </c>
      <c r="I1419" t="s">
        <v>5271</v>
      </c>
      <c r="J1419" t="s">
        <v>71</v>
      </c>
      <c r="K1419" s="2" t="str">
        <f>HYPERLINK("http://collections.slsa.sa.gov.au/arthur/06500/BRG347_6476.htm")</f>
        <v>http://collections.slsa.sa.gov.au/arthur/06500/BRG347_6476.htm</v>
      </c>
    </row>
    <row r="1420" spans="1:11" x14ac:dyDescent="0.25">
      <c r="A1420" t="s">
        <v>5272</v>
      </c>
      <c r="B1420" s="1" t="str">
        <f>HYPERLINK("https://www.catalog.slsa.sa.gov.au/record=b2118390")</f>
        <v>https://www.catalog.slsa.sa.gov.au/record=b2118390</v>
      </c>
      <c r="C1420" s="1" t="str">
        <f>HYPERLINK("https://www.catalog.slsa.sa.gov.au/xrecord=b2118390")</f>
        <v>https://www.catalog.slsa.sa.gov.au/xrecord=b2118390</v>
      </c>
      <c r="D1420" t="s">
        <v>66</v>
      </c>
      <c r="E1420" t="s">
        <v>5273</v>
      </c>
      <c r="F1420">
        <v>1953</v>
      </c>
      <c r="G1420" t="s">
        <v>121</v>
      </c>
      <c r="H1420" t="s">
        <v>5274</v>
      </c>
      <c r="I1420" t="s">
        <v>5275</v>
      </c>
      <c r="J1420" t="s">
        <v>71</v>
      </c>
      <c r="K1420" s="2" t="str">
        <f>HYPERLINK("http://collections.slsa.sa.gov.au/arthur/06500/BRG347_6478.htm")</f>
        <v>http://collections.slsa.sa.gov.au/arthur/06500/BRG347_6478.htm</v>
      </c>
    </row>
    <row r="1421" spans="1:11" x14ac:dyDescent="0.25">
      <c r="A1421" t="s">
        <v>5276</v>
      </c>
      <c r="B1421" s="1" t="str">
        <f>HYPERLINK("https://www.catalog.slsa.sa.gov.au/record=b2118391")</f>
        <v>https://www.catalog.slsa.sa.gov.au/record=b2118391</v>
      </c>
      <c r="C1421" s="1" t="str">
        <f>HYPERLINK("https://www.catalog.slsa.sa.gov.au/xrecord=b2118391")</f>
        <v>https://www.catalog.slsa.sa.gov.au/xrecord=b2118391</v>
      </c>
      <c r="D1421" t="s">
        <v>66</v>
      </c>
      <c r="E1421" t="s">
        <v>5277</v>
      </c>
      <c r="F1421">
        <v>1953</v>
      </c>
      <c r="G1421" t="s">
        <v>121</v>
      </c>
      <c r="H1421" t="s">
        <v>5278</v>
      </c>
      <c r="I1421" t="s">
        <v>5279</v>
      </c>
      <c r="J1421" t="s">
        <v>71</v>
      </c>
      <c r="K1421" s="2" t="str">
        <f>HYPERLINK("http://collections.slsa.sa.gov.au/arthur/06500/BRG347_6479.htm")</f>
        <v>http://collections.slsa.sa.gov.au/arthur/06500/BRG347_6479.htm</v>
      </c>
    </row>
    <row r="1422" spans="1:11" x14ac:dyDescent="0.25">
      <c r="A1422" t="s">
        <v>5280</v>
      </c>
      <c r="B1422" s="1" t="str">
        <f>HYPERLINK("https://www.catalog.slsa.sa.gov.au/record=b2118397")</f>
        <v>https://www.catalog.slsa.sa.gov.au/record=b2118397</v>
      </c>
      <c r="C1422" s="1" t="str">
        <f>HYPERLINK("https://www.catalog.slsa.sa.gov.au/xrecord=b2118397")</f>
        <v>https://www.catalog.slsa.sa.gov.au/xrecord=b2118397</v>
      </c>
      <c r="D1422" t="s">
        <v>66</v>
      </c>
      <c r="E1422" t="s">
        <v>5281</v>
      </c>
      <c r="F1422">
        <v>1953</v>
      </c>
      <c r="G1422" t="s">
        <v>121</v>
      </c>
      <c r="H1422" t="s">
        <v>5282</v>
      </c>
      <c r="I1422" t="s">
        <v>5283</v>
      </c>
      <c r="J1422" t="s">
        <v>71</v>
      </c>
      <c r="K1422" s="2" t="str">
        <f>HYPERLINK("http://collections.slsa.sa.gov.au/arthur/06500/BRG347_6485.htm")</f>
        <v>http://collections.slsa.sa.gov.au/arthur/06500/BRG347_6485.htm</v>
      </c>
    </row>
    <row r="1423" spans="1:11" x14ac:dyDescent="0.25">
      <c r="A1423" t="s">
        <v>5284</v>
      </c>
      <c r="B1423" s="1" t="str">
        <f>HYPERLINK("https://www.catalog.slsa.sa.gov.au/record=b2118759")</f>
        <v>https://www.catalog.slsa.sa.gov.au/record=b2118759</v>
      </c>
      <c r="C1423" s="1" t="str">
        <f>HYPERLINK("https://www.catalog.slsa.sa.gov.au/xrecord=b2118759")</f>
        <v>https://www.catalog.slsa.sa.gov.au/xrecord=b2118759</v>
      </c>
      <c r="D1423" t="s">
        <v>66</v>
      </c>
      <c r="E1423" t="s">
        <v>4534</v>
      </c>
      <c r="F1423">
        <v>1953</v>
      </c>
      <c r="G1423" t="s">
        <v>121</v>
      </c>
      <c r="H1423" t="s">
        <v>5285</v>
      </c>
      <c r="I1423" t="s">
        <v>4536</v>
      </c>
      <c r="J1423" t="s">
        <v>71</v>
      </c>
      <c r="K1423" s="2" t="str">
        <f>HYPERLINK("http://collections.slsa.sa.gov.au/arthur/06750/BRG347_6717.htm")</f>
        <v>http://collections.slsa.sa.gov.au/arthur/06750/BRG347_6717.htm</v>
      </c>
    </row>
    <row r="1424" spans="1:11" x14ac:dyDescent="0.25">
      <c r="A1424" t="s">
        <v>5286</v>
      </c>
      <c r="B1424" s="1" t="str">
        <f>HYPERLINK("https://www.catalog.slsa.sa.gov.au/record=b2118760")</f>
        <v>https://www.catalog.slsa.sa.gov.au/record=b2118760</v>
      </c>
      <c r="C1424" s="1" t="str">
        <f>HYPERLINK("https://www.catalog.slsa.sa.gov.au/xrecord=b2118760")</f>
        <v>https://www.catalog.slsa.sa.gov.au/xrecord=b2118760</v>
      </c>
      <c r="D1424" t="s">
        <v>66</v>
      </c>
      <c r="E1424" t="s">
        <v>5287</v>
      </c>
      <c r="F1424">
        <v>1953</v>
      </c>
      <c r="G1424" t="s">
        <v>121</v>
      </c>
      <c r="H1424" t="s">
        <v>5288</v>
      </c>
      <c r="I1424" t="s">
        <v>5289</v>
      </c>
      <c r="J1424" t="s">
        <v>71</v>
      </c>
      <c r="K1424" s="2" t="str">
        <f>HYPERLINK("http://collections.slsa.sa.gov.au/arthur/06750/BRG347_6718.htm")</f>
        <v>http://collections.slsa.sa.gov.au/arthur/06750/BRG347_6718.htm</v>
      </c>
    </row>
    <row r="1425" spans="1:11" x14ac:dyDescent="0.25">
      <c r="A1425" t="s">
        <v>5290</v>
      </c>
      <c r="B1425" s="1" t="str">
        <f>HYPERLINK("https://www.catalog.slsa.sa.gov.au/record=b2118761")</f>
        <v>https://www.catalog.slsa.sa.gov.au/record=b2118761</v>
      </c>
      <c r="C1425" s="1" t="str">
        <f>HYPERLINK("https://www.catalog.slsa.sa.gov.au/xrecord=b2118761")</f>
        <v>https://www.catalog.slsa.sa.gov.au/xrecord=b2118761</v>
      </c>
      <c r="D1425" t="s">
        <v>66</v>
      </c>
      <c r="E1425" t="s">
        <v>5291</v>
      </c>
      <c r="F1425">
        <v>1953</v>
      </c>
      <c r="G1425" t="s">
        <v>121</v>
      </c>
      <c r="H1425" t="s">
        <v>5292</v>
      </c>
      <c r="I1425" t="s">
        <v>5289</v>
      </c>
      <c r="J1425" t="s">
        <v>71</v>
      </c>
      <c r="K1425" s="2" t="str">
        <f>HYPERLINK("http://collections.slsa.sa.gov.au/arthur/06750/BRG347_6719.htm")</f>
        <v>http://collections.slsa.sa.gov.au/arthur/06750/BRG347_6719.htm</v>
      </c>
    </row>
    <row r="1426" spans="1:11" x14ac:dyDescent="0.25">
      <c r="A1426" t="s">
        <v>5293</v>
      </c>
      <c r="B1426" s="1" t="str">
        <f>HYPERLINK("https://www.catalog.slsa.sa.gov.au/record=b2118762")</f>
        <v>https://www.catalog.slsa.sa.gov.au/record=b2118762</v>
      </c>
      <c r="C1426" s="1" t="str">
        <f>HYPERLINK("https://www.catalog.slsa.sa.gov.au/xrecord=b2118762")</f>
        <v>https://www.catalog.slsa.sa.gov.au/xrecord=b2118762</v>
      </c>
      <c r="D1426" t="s">
        <v>66</v>
      </c>
      <c r="E1426" t="s">
        <v>1613</v>
      </c>
      <c r="F1426">
        <v>1953</v>
      </c>
      <c r="G1426" t="s">
        <v>121</v>
      </c>
      <c r="H1426" t="s">
        <v>5294</v>
      </c>
      <c r="I1426" t="s">
        <v>5295</v>
      </c>
      <c r="J1426" t="s">
        <v>71</v>
      </c>
      <c r="K1426" s="2" t="str">
        <f>HYPERLINK("http://collections.slsa.sa.gov.au/arthur/06750/BRG347_6720.htm")</f>
        <v>http://collections.slsa.sa.gov.au/arthur/06750/BRG347_6720.htm</v>
      </c>
    </row>
    <row r="1427" spans="1:11" x14ac:dyDescent="0.25">
      <c r="A1427" t="s">
        <v>5296</v>
      </c>
      <c r="B1427" s="1" t="str">
        <f>HYPERLINK("https://www.catalog.slsa.sa.gov.au/record=b2118789")</f>
        <v>https://www.catalog.slsa.sa.gov.au/record=b2118789</v>
      </c>
      <c r="C1427" s="1" t="str">
        <f>HYPERLINK("https://www.catalog.slsa.sa.gov.au/xrecord=b2118789")</f>
        <v>https://www.catalog.slsa.sa.gov.au/xrecord=b2118789</v>
      </c>
      <c r="D1427" t="s">
        <v>66</v>
      </c>
      <c r="E1427" t="s">
        <v>5297</v>
      </c>
      <c r="F1427">
        <v>1953</v>
      </c>
      <c r="G1427" t="s">
        <v>121</v>
      </c>
      <c r="H1427" t="s">
        <v>5298</v>
      </c>
      <c r="I1427" t="s">
        <v>5299</v>
      </c>
      <c r="J1427" t="s">
        <v>71</v>
      </c>
      <c r="K1427" s="2" t="str">
        <f>HYPERLINK("http://collections.slsa.sa.gov.au/arthur/06750/BRG347_6747.htm")</f>
        <v>http://collections.slsa.sa.gov.au/arthur/06750/BRG347_6747.htm</v>
      </c>
    </row>
    <row r="1428" spans="1:11" x14ac:dyDescent="0.25">
      <c r="A1428" t="s">
        <v>5300</v>
      </c>
      <c r="B1428" s="1" t="str">
        <f>HYPERLINK("https://www.catalog.slsa.sa.gov.au/record=b2119281")</f>
        <v>https://www.catalog.slsa.sa.gov.au/record=b2119281</v>
      </c>
      <c r="C1428" s="1" t="str">
        <f>HYPERLINK("https://www.catalog.slsa.sa.gov.au/xrecord=b2119281")</f>
        <v>https://www.catalog.slsa.sa.gov.au/xrecord=b2119281</v>
      </c>
      <c r="D1428" t="s">
        <v>66</v>
      </c>
      <c r="E1428" t="s">
        <v>5301</v>
      </c>
      <c r="F1428">
        <v>1953</v>
      </c>
      <c r="G1428" t="s">
        <v>121</v>
      </c>
      <c r="H1428" t="s">
        <v>5302</v>
      </c>
      <c r="I1428" t="s">
        <v>5303</v>
      </c>
      <c r="J1428" t="s">
        <v>71</v>
      </c>
      <c r="K1428" s="2" t="str">
        <f>HYPERLINK("http://collections.slsa.sa.gov.au/arthur/07000/BRG347_6824.htm")</f>
        <v>http://collections.slsa.sa.gov.au/arthur/07000/BRG347_6824.htm</v>
      </c>
    </row>
    <row r="1429" spans="1:11" x14ac:dyDescent="0.25">
      <c r="A1429" t="s">
        <v>5304</v>
      </c>
      <c r="B1429" s="1" t="str">
        <f>HYPERLINK("https://www.catalog.slsa.sa.gov.au/record=b2119282")</f>
        <v>https://www.catalog.slsa.sa.gov.au/record=b2119282</v>
      </c>
      <c r="C1429" s="1" t="str">
        <f>HYPERLINK("https://www.catalog.slsa.sa.gov.au/xrecord=b2119282")</f>
        <v>https://www.catalog.slsa.sa.gov.au/xrecord=b2119282</v>
      </c>
      <c r="D1429" t="s">
        <v>66</v>
      </c>
      <c r="E1429" t="s">
        <v>5305</v>
      </c>
      <c r="F1429">
        <v>1953</v>
      </c>
      <c r="G1429" t="s">
        <v>121</v>
      </c>
      <c r="H1429" t="s">
        <v>5306</v>
      </c>
      <c r="I1429" t="s">
        <v>5307</v>
      </c>
      <c r="J1429" t="s">
        <v>71</v>
      </c>
      <c r="K1429" s="2" t="str">
        <f>HYPERLINK("http://collections.slsa.sa.gov.au/arthur/07000/BRG347_6825.htm")</f>
        <v>http://collections.slsa.sa.gov.au/arthur/07000/BRG347_6825.htm</v>
      </c>
    </row>
    <row r="1430" spans="1:11" x14ac:dyDescent="0.25">
      <c r="A1430" t="s">
        <v>5308</v>
      </c>
      <c r="B1430" s="1" t="str">
        <f>HYPERLINK("https://www.catalog.slsa.sa.gov.au/record=b2119588")</f>
        <v>https://www.catalog.slsa.sa.gov.au/record=b2119588</v>
      </c>
      <c r="C1430" s="1" t="str">
        <f>HYPERLINK("https://www.catalog.slsa.sa.gov.au/xrecord=b2119588")</f>
        <v>https://www.catalog.slsa.sa.gov.au/xrecord=b2119588</v>
      </c>
      <c r="D1430" t="s">
        <v>66</v>
      </c>
      <c r="E1430" t="s">
        <v>5309</v>
      </c>
      <c r="F1430">
        <v>1953</v>
      </c>
      <c r="G1430" t="s">
        <v>121</v>
      </c>
      <c r="H1430" t="s">
        <v>5310</v>
      </c>
      <c r="I1430" t="s">
        <v>5311</v>
      </c>
      <c r="J1430" t="s">
        <v>71</v>
      </c>
      <c r="K1430" s="2" t="str">
        <f>HYPERLINK("http://collections.slsa.sa.gov.au/arthur/07000/BRG347_6901.htm")</f>
        <v>http://collections.slsa.sa.gov.au/arthur/07000/BRG347_6901.htm</v>
      </c>
    </row>
    <row r="1431" spans="1:11" x14ac:dyDescent="0.25">
      <c r="A1431" t="s">
        <v>5312</v>
      </c>
      <c r="B1431" s="1" t="str">
        <f>HYPERLINK("https://www.catalog.slsa.sa.gov.au/record=b2119589")</f>
        <v>https://www.catalog.slsa.sa.gov.au/record=b2119589</v>
      </c>
      <c r="C1431" s="1" t="str">
        <f>HYPERLINK("https://www.catalog.slsa.sa.gov.au/xrecord=b2119589")</f>
        <v>https://www.catalog.slsa.sa.gov.au/xrecord=b2119589</v>
      </c>
      <c r="D1431" t="s">
        <v>66</v>
      </c>
      <c r="E1431" t="s">
        <v>4606</v>
      </c>
      <c r="F1431">
        <v>1953</v>
      </c>
      <c r="G1431" t="s">
        <v>121</v>
      </c>
      <c r="H1431" t="s">
        <v>5313</v>
      </c>
      <c r="I1431" t="s">
        <v>1750</v>
      </c>
      <c r="J1431" t="s">
        <v>71</v>
      </c>
      <c r="K1431" s="2" t="str">
        <f>HYPERLINK("http://collections.slsa.sa.gov.au/arthur/07000/BRG347_6902.htm")</f>
        <v>http://collections.slsa.sa.gov.au/arthur/07000/BRG347_6902.htm</v>
      </c>
    </row>
    <row r="1432" spans="1:11" x14ac:dyDescent="0.25">
      <c r="A1432" t="s">
        <v>5314</v>
      </c>
      <c r="B1432" s="1" t="str">
        <f>HYPERLINK("https://www.catalog.slsa.sa.gov.au/record=b2119590")</f>
        <v>https://www.catalog.slsa.sa.gov.au/record=b2119590</v>
      </c>
      <c r="C1432" s="1" t="str">
        <f>HYPERLINK("https://www.catalog.slsa.sa.gov.au/xrecord=b2119590")</f>
        <v>https://www.catalog.slsa.sa.gov.au/xrecord=b2119590</v>
      </c>
      <c r="D1432" t="s">
        <v>66</v>
      </c>
      <c r="E1432" t="s">
        <v>4606</v>
      </c>
      <c r="F1432">
        <v>1953</v>
      </c>
      <c r="G1432" t="s">
        <v>121</v>
      </c>
      <c r="H1432" t="s">
        <v>5313</v>
      </c>
      <c r="I1432" t="s">
        <v>1750</v>
      </c>
      <c r="J1432" t="s">
        <v>71</v>
      </c>
      <c r="K1432" s="2" t="str">
        <f>HYPERLINK("http://collections.slsa.sa.gov.au/arthur/07000/BRG347_6903.htm")</f>
        <v>http://collections.slsa.sa.gov.au/arthur/07000/BRG347_6903.htm</v>
      </c>
    </row>
    <row r="1433" spans="1:11" x14ac:dyDescent="0.25">
      <c r="A1433" t="s">
        <v>5315</v>
      </c>
      <c r="B1433" s="1" t="str">
        <f>HYPERLINK("https://www.catalog.slsa.sa.gov.au/record=b2119602")</f>
        <v>https://www.catalog.slsa.sa.gov.au/record=b2119602</v>
      </c>
      <c r="C1433" s="1" t="str">
        <f>HYPERLINK("https://www.catalog.slsa.sa.gov.au/xrecord=b2119602")</f>
        <v>https://www.catalog.slsa.sa.gov.au/xrecord=b2119602</v>
      </c>
      <c r="D1433" t="s">
        <v>66</v>
      </c>
      <c r="E1433" t="s">
        <v>5316</v>
      </c>
      <c r="F1433">
        <v>1953</v>
      </c>
      <c r="G1433" t="s">
        <v>121</v>
      </c>
      <c r="H1433" t="s">
        <v>5317</v>
      </c>
      <c r="I1433" t="s">
        <v>1750</v>
      </c>
      <c r="J1433" t="s">
        <v>71</v>
      </c>
      <c r="K1433" s="2" t="str">
        <f>HYPERLINK("http://collections.slsa.sa.gov.au/arthur/07000/BRG347_6915.htm")</f>
        <v>http://collections.slsa.sa.gov.au/arthur/07000/BRG347_6915.htm</v>
      </c>
    </row>
    <row r="1434" spans="1:11" x14ac:dyDescent="0.25">
      <c r="A1434" t="s">
        <v>5318</v>
      </c>
      <c r="B1434" s="1" t="str">
        <f>HYPERLINK("https://www.catalog.slsa.sa.gov.au/record=b2119603")</f>
        <v>https://www.catalog.slsa.sa.gov.au/record=b2119603</v>
      </c>
      <c r="C1434" s="1" t="str">
        <f>HYPERLINK("https://www.catalog.slsa.sa.gov.au/xrecord=b2119603")</f>
        <v>https://www.catalog.slsa.sa.gov.au/xrecord=b2119603</v>
      </c>
      <c r="D1434" t="s">
        <v>66</v>
      </c>
      <c r="E1434" t="s">
        <v>5309</v>
      </c>
      <c r="F1434">
        <v>1953</v>
      </c>
      <c r="G1434" t="s">
        <v>121</v>
      </c>
      <c r="H1434" t="s">
        <v>5319</v>
      </c>
      <c r="I1434" t="s">
        <v>5311</v>
      </c>
      <c r="J1434" t="s">
        <v>71</v>
      </c>
      <c r="K1434" s="2" t="str">
        <f>HYPERLINK("http://collections.slsa.sa.gov.au/arthur/07000/BRG347_6916.htm")</f>
        <v>http://collections.slsa.sa.gov.au/arthur/07000/BRG347_6916.htm</v>
      </c>
    </row>
    <row r="1435" spans="1:11" x14ac:dyDescent="0.25">
      <c r="A1435" t="s">
        <v>5320</v>
      </c>
      <c r="B1435" s="1" t="str">
        <f>HYPERLINK("https://www.catalog.slsa.sa.gov.au/record=b2119608")</f>
        <v>https://www.catalog.slsa.sa.gov.au/record=b2119608</v>
      </c>
      <c r="C1435" s="1" t="str">
        <f>HYPERLINK("https://www.catalog.slsa.sa.gov.au/xrecord=b2119608")</f>
        <v>https://www.catalog.slsa.sa.gov.au/xrecord=b2119608</v>
      </c>
      <c r="D1435" t="s">
        <v>66</v>
      </c>
      <c r="E1435" t="s">
        <v>4974</v>
      </c>
      <c r="F1435">
        <v>1953</v>
      </c>
      <c r="G1435" t="s">
        <v>121</v>
      </c>
      <c r="H1435" t="s">
        <v>5321</v>
      </c>
      <c r="I1435" t="s">
        <v>1750</v>
      </c>
      <c r="J1435" t="s">
        <v>71</v>
      </c>
      <c r="K1435" s="2" t="str">
        <f>HYPERLINK("http://collections.slsa.sa.gov.au/arthur/07000/BRG347_6921.htm")</f>
        <v>http://collections.slsa.sa.gov.au/arthur/07000/BRG347_6921.htm</v>
      </c>
    </row>
    <row r="1436" spans="1:11" x14ac:dyDescent="0.25">
      <c r="A1436" t="s">
        <v>5322</v>
      </c>
      <c r="B1436" s="1" t="str">
        <f>HYPERLINK("https://www.catalog.slsa.sa.gov.au/record=b2119610")</f>
        <v>https://www.catalog.slsa.sa.gov.au/record=b2119610</v>
      </c>
      <c r="C1436" s="1" t="str">
        <f>HYPERLINK("https://www.catalog.slsa.sa.gov.au/xrecord=b2119610")</f>
        <v>https://www.catalog.slsa.sa.gov.au/xrecord=b2119610</v>
      </c>
      <c r="D1436" t="s">
        <v>66</v>
      </c>
      <c r="E1436" t="s">
        <v>4974</v>
      </c>
      <c r="F1436">
        <v>1953</v>
      </c>
      <c r="G1436" t="s">
        <v>121</v>
      </c>
      <c r="H1436" t="s">
        <v>5323</v>
      </c>
      <c r="I1436" t="s">
        <v>1750</v>
      </c>
      <c r="J1436" t="s">
        <v>71</v>
      </c>
      <c r="K1436" s="2" t="str">
        <f>HYPERLINK("http://collections.slsa.sa.gov.au/arthur/07000/BRG347_6923.htm")</f>
        <v>http://collections.slsa.sa.gov.au/arthur/07000/BRG347_6923.htm</v>
      </c>
    </row>
    <row r="1437" spans="1:11" x14ac:dyDescent="0.25">
      <c r="A1437" t="s">
        <v>5324</v>
      </c>
      <c r="B1437" s="1" t="str">
        <f>HYPERLINK("https://www.catalog.slsa.sa.gov.au/record=b2084194")</f>
        <v>https://www.catalog.slsa.sa.gov.au/record=b2084194</v>
      </c>
      <c r="C1437" s="1" t="str">
        <f>HYPERLINK("https://www.catalog.slsa.sa.gov.au/xrecord=b2084194")</f>
        <v>https://www.catalog.slsa.sa.gov.au/xrecord=b2084194</v>
      </c>
      <c r="E1437" t="s">
        <v>5325</v>
      </c>
      <c r="F1437">
        <v>1953</v>
      </c>
      <c r="G1437" t="s">
        <v>5326</v>
      </c>
      <c r="H1437" t="s">
        <v>5327</v>
      </c>
      <c r="I1437" t="s">
        <v>5328</v>
      </c>
      <c r="J1437" t="s">
        <v>1757</v>
      </c>
      <c r="K1437" s="2" t="str">
        <f>HYPERLINK("http://collections.slsa.sa.gov.au/godson/1/00250/PRG1258_1_26.htm")</f>
        <v>http://collections.slsa.sa.gov.au/godson/1/00250/PRG1258_1_26.htm</v>
      </c>
    </row>
    <row r="1438" spans="1:11" x14ac:dyDescent="0.25">
      <c r="A1438" t="s">
        <v>5329</v>
      </c>
      <c r="B1438" s="1" t="str">
        <f>HYPERLINK("https://www.catalog.slsa.sa.gov.au/record=b2105135")</f>
        <v>https://www.catalog.slsa.sa.gov.au/record=b2105135</v>
      </c>
      <c r="C1438" s="1" t="str">
        <f>HYPERLINK("https://www.catalog.slsa.sa.gov.au/xrecord=b2105135")</f>
        <v>https://www.catalog.slsa.sa.gov.au/xrecord=b2105135</v>
      </c>
      <c r="D1438" t="s">
        <v>5330</v>
      </c>
      <c r="E1438" t="s">
        <v>5331</v>
      </c>
      <c r="F1438">
        <v>1953</v>
      </c>
      <c r="G1438" t="s">
        <v>5332</v>
      </c>
      <c r="H1438" t="s">
        <v>5333</v>
      </c>
      <c r="I1438" t="s">
        <v>5334</v>
      </c>
      <c r="J1438" t="s">
        <v>5335</v>
      </c>
      <c r="K1438" s="2" t="str">
        <f>HYPERLINK("http://collections.slsa.sa.gov.au/johnmartin/1/02000/BRG121_1_1776.htm")</f>
        <v>http://collections.slsa.sa.gov.au/johnmartin/1/02000/BRG121_1_1776.htm</v>
      </c>
    </row>
    <row r="1439" spans="1:11" x14ac:dyDescent="0.25">
      <c r="A1439" t="s">
        <v>5336</v>
      </c>
      <c r="B1439" s="1" t="str">
        <f>HYPERLINK("https://www.catalog.slsa.sa.gov.au/record=b3182867")</f>
        <v>https://www.catalog.slsa.sa.gov.au/record=b3182867</v>
      </c>
      <c r="C1439" s="1" t="str">
        <f>HYPERLINK("https://www.catalog.slsa.sa.gov.au/xrecord=b3182867")</f>
        <v>https://www.catalog.slsa.sa.gov.au/xrecord=b3182867</v>
      </c>
      <c r="D1439" t="s">
        <v>3036</v>
      </c>
      <c r="E1439" t="s">
        <v>5337</v>
      </c>
      <c r="F1439">
        <v>1953</v>
      </c>
      <c r="G1439" t="s">
        <v>3039</v>
      </c>
      <c r="H1439" t="s">
        <v>5338</v>
      </c>
      <c r="I1439" t="s">
        <v>5339</v>
      </c>
      <c r="J1439" t="s">
        <v>3042</v>
      </c>
      <c r="K1439" s="2" t="str">
        <f>HYPERLINK("http://collections.slsa.sa.gov.au/resource/PRG+1662/2/49/1")</f>
        <v>http://collections.slsa.sa.gov.au/resource/PRG+1662/2/49/1</v>
      </c>
    </row>
    <row r="1440" spans="1:11" x14ac:dyDescent="0.25">
      <c r="A1440" t="s">
        <v>5340</v>
      </c>
      <c r="B1440" s="1" t="str">
        <f>HYPERLINK("https://www.catalog.slsa.sa.gov.au/record=b3182877")</f>
        <v>https://www.catalog.slsa.sa.gov.au/record=b3182877</v>
      </c>
      <c r="C1440" s="1" t="str">
        <f>HYPERLINK("https://www.catalog.slsa.sa.gov.au/xrecord=b3182877")</f>
        <v>https://www.catalog.slsa.sa.gov.au/xrecord=b3182877</v>
      </c>
      <c r="D1440" t="s">
        <v>3036</v>
      </c>
      <c r="E1440" t="s">
        <v>5337</v>
      </c>
      <c r="F1440">
        <v>1953</v>
      </c>
      <c r="G1440" t="s">
        <v>3039</v>
      </c>
      <c r="H1440" t="s">
        <v>5338</v>
      </c>
      <c r="I1440" t="s">
        <v>5339</v>
      </c>
      <c r="J1440" t="s">
        <v>3042</v>
      </c>
      <c r="K1440" s="2" t="str">
        <f>HYPERLINK("http://collections.slsa.sa.gov.au/resource/PRG+1662/2/49/10")</f>
        <v>http://collections.slsa.sa.gov.au/resource/PRG+1662/2/49/10</v>
      </c>
    </row>
    <row r="1441" spans="1:11" x14ac:dyDescent="0.25">
      <c r="A1441" t="s">
        <v>5341</v>
      </c>
      <c r="B1441" s="1" t="str">
        <f>HYPERLINK("https://www.catalog.slsa.sa.gov.au/record=b3182878")</f>
        <v>https://www.catalog.slsa.sa.gov.au/record=b3182878</v>
      </c>
      <c r="C1441" s="1" t="str">
        <f>HYPERLINK("https://www.catalog.slsa.sa.gov.au/xrecord=b3182878")</f>
        <v>https://www.catalog.slsa.sa.gov.au/xrecord=b3182878</v>
      </c>
      <c r="D1441" t="s">
        <v>3036</v>
      </c>
      <c r="E1441" t="s">
        <v>5337</v>
      </c>
      <c r="F1441">
        <v>1953</v>
      </c>
      <c r="G1441" t="s">
        <v>3039</v>
      </c>
      <c r="H1441" t="s">
        <v>5338</v>
      </c>
      <c r="I1441" t="s">
        <v>5339</v>
      </c>
      <c r="J1441" t="s">
        <v>3042</v>
      </c>
      <c r="K1441" s="2" t="str">
        <f>HYPERLINK("http://collections.slsa.sa.gov.au/resource/PRG+1662/2/49/11")</f>
        <v>http://collections.slsa.sa.gov.au/resource/PRG+1662/2/49/11</v>
      </c>
    </row>
    <row r="1442" spans="1:11" x14ac:dyDescent="0.25">
      <c r="A1442" t="s">
        <v>5342</v>
      </c>
      <c r="B1442" s="1" t="str">
        <f>HYPERLINK("https://www.catalog.slsa.sa.gov.au/record=b3182879")</f>
        <v>https://www.catalog.slsa.sa.gov.au/record=b3182879</v>
      </c>
      <c r="C1442" s="1" t="str">
        <f>HYPERLINK("https://www.catalog.slsa.sa.gov.au/xrecord=b3182879")</f>
        <v>https://www.catalog.slsa.sa.gov.au/xrecord=b3182879</v>
      </c>
      <c r="D1442" t="s">
        <v>3036</v>
      </c>
      <c r="E1442" t="s">
        <v>5337</v>
      </c>
      <c r="F1442">
        <v>1953</v>
      </c>
      <c r="G1442" t="s">
        <v>3039</v>
      </c>
      <c r="H1442" t="s">
        <v>5338</v>
      </c>
      <c r="I1442" t="s">
        <v>5339</v>
      </c>
      <c r="J1442" t="s">
        <v>3042</v>
      </c>
      <c r="K1442" s="2" t="str">
        <f>HYPERLINK("http://collections.slsa.sa.gov.au/resource/PRG+1662/2/49/12")</f>
        <v>http://collections.slsa.sa.gov.au/resource/PRG+1662/2/49/12</v>
      </c>
    </row>
    <row r="1443" spans="1:11" x14ac:dyDescent="0.25">
      <c r="A1443" t="s">
        <v>5343</v>
      </c>
      <c r="B1443" s="1" t="str">
        <f>HYPERLINK("https://www.catalog.slsa.sa.gov.au/record=b3182887")</f>
        <v>https://www.catalog.slsa.sa.gov.au/record=b3182887</v>
      </c>
      <c r="C1443" s="1" t="str">
        <f>HYPERLINK("https://www.catalog.slsa.sa.gov.au/xrecord=b3182887")</f>
        <v>https://www.catalog.slsa.sa.gov.au/xrecord=b3182887</v>
      </c>
      <c r="D1443" t="s">
        <v>3036</v>
      </c>
      <c r="E1443" t="s">
        <v>5337</v>
      </c>
      <c r="F1443">
        <v>1953</v>
      </c>
      <c r="G1443" t="s">
        <v>3039</v>
      </c>
      <c r="H1443" t="s">
        <v>5338</v>
      </c>
      <c r="I1443" t="s">
        <v>5339</v>
      </c>
      <c r="J1443" t="s">
        <v>3042</v>
      </c>
      <c r="K1443" s="2" t="str">
        <f>HYPERLINK("http://collections.slsa.sa.gov.au/resource/PRG+1662/2/49/13")</f>
        <v>http://collections.slsa.sa.gov.au/resource/PRG+1662/2/49/13</v>
      </c>
    </row>
    <row r="1444" spans="1:11" x14ac:dyDescent="0.25">
      <c r="A1444" t="s">
        <v>5344</v>
      </c>
      <c r="B1444" s="1" t="str">
        <f>HYPERLINK("https://www.catalog.slsa.sa.gov.au/record=b3182888")</f>
        <v>https://www.catalog.slsa.sa.gov.au/record=b3182888</v>
      </c>
      <c r="C1444" s="1" t="str">
        <f>HYPERLINK("https://www.catalog.slsa.sa.gov.au/xrecord=b3182888")</f>
        <v>https://www.catalog.slsa.sa.gov.au/xrecord=b3182888</v>
      </c>
      <c r="D1444" t="s">
        <v>3036</v>
      </c>
      <c r="E1444" t="s">
        <v>5337</v>
      </c>
      <c r="F1444">
        <v>1953</v>
      </c>
      <c r="G1444" t="s">
        <v>3039</v>
      </c>
      <c r="H1444" t="s">
        <v>5338</v>
      </c>
      <c r="I1444" t="s">
        <v>5339</v>
      </c>
      <c r="J1444" t="s">
        <v>3042</v>
      </c>
      <c r="K1444" s="2" t="str">
        <f>HYPERLINK("http://collections.slsa.sa.gov.au/resource/PRG+1662/2/49/14")</f>
        <v>http://collections.slsa.sa.gov.au/resource/PRG+1662/2/49/14</v>
      </c>
    </row>
    <row r="1445" spans="1:11" x14ac:dyDescent="0.25">
      <c r="A1445" t="s">
        <v>5345</v>
      </c>
      <c r="B1445" s="1" t="str">
        <f>HYPERLINK("https://www.catalog.slsa.sa.gov.au/record=b3182890")</f>
        <v>https://www.catalog.slsa.sa.gov.au/record=b3182890</v>
      </c>
      <c r="C1445" s="1" t="str">
        <f>HYPERLINK("https://www.catalog.slsa.sa.gov.au/xrecord=b3182890")</f>
        <v>https://www.catalog.slsa.sa.gov.au/xrecord=b3182890</v>
      </c>
      <c r="D1445" t="s">
        <v>3036</v>
      </c>
      <c r="E1445" t="s">
        <v>5337</v>
      </c>
      <c r="F1445">
        <v>1953</v>
      </c>
      <c r="G1445" t="s">
        <v>3039</v>
      </c>
      <c r="H1445" t="s">
        <v>5338</v>
      </c>
      <c r="I1445" t="s">
        <v>5339</v>
      </c>
      <c r="J1445" t="s">
        <v>3042</v>
      </c>
      <c r="K1445" s="2" t="str">
        <f>HYPERLINK("http://collections.slsa.sa.gov.au/resource/PRG+1662/2/49/15")</f>
        <v>http://collections.slsa.sa.gov.au/resource/PRG+1662/2/49/15</v>
      </c>
    </row>
    <row r="1446" spans="1:11" x14ac:dyDescent="0.25">
      <c r="A1446" t="s">
        <v>5346</v>
      </c>
      <c r="B1446" s="1" t="str">
        <f>HYPERLINK("https://www.catalog.slsa.sa.gov.au/record=b3182891")</f>
        <v>https://www.catalog.slsa.sa.gov.au/record=b3182891</v>
      </c>
      <c r="C1446" s="1" t="str">
        <f>HYPERLINK("https://www.catalog.slsa.sa.gov.au/xrecord=b3182891")</f>
        <v>https://www.catalog.slsa.sa.gov.au/xrecord=b3182891</v>
      </c>
      <c r="D1446" t="s">
        <v>3036</v>
      </c>
      <c r="E1446" t="s">
        <v>5337</v>
      </c>
      <c r="F1446">
        <v>1953</v>
      </c>
      <c r="G1446" t="s">
        <v>3039</v>
      </c>
      <c r="H1446" t="s">
        <v>5338</v>
      </c>
      <c r="I1446" t="s">
        <v>5339</v>
      </c>
      <c r="J1446" t="s">
        <v>3042</v>
      </c>
      <c r="K1446" s="2" t="str">
        <f>HYPERLINK("http://collections.slsa.sa.gov.au/resource/PRG+1662/2/49/16")</f>
        <v>http://collections.slsa.sa.gov.au/resource/PRG+1662/2/49/16</v>
      </c>
    </row>
    <row r="1447" spans="1:11" x14ac:dyDescent="0.25">
      <c r="A1447" t="s">
        <v>5347</v>
      </c>
      <c r="B1447" s="1" t="str">
        <f>HYPERLINK("https://www.catalog.slsa.sa.gov.au/record=b3182869")</f>
        <v>https://www.catalog.slsa.sa.gov.au/record=b3182869</v>
      </c>
      <c r="C1447" s="1" t="str">
        <f>HYPERLINK("https://www.catalog.slsa.sa.gov.au/xrecord=b3182869")</f>
        <v>https://www.catalog.slsa.sa.gov.au/xrecord=b3182869</v>
      </c>
      <c r="D1447" t="s">
        <v>3036</v>
      </c>
      <c r="E1447" t="s">
        <v>5337</v>
      </c>
      <c r="F1447">
        <v>1953</v>
      </c>
      <c r="G1447" t="s">
        <v>3039</v>
      </c>
      <c r="H1447" t="s">
        <v>5338</v>
      </c>
      <c r="I1447" t="s">
        <v>5339</v>
      </c>
      <c r="J1447" t="s">
        <v>3042</v>
      </c>
      <c r="K1447" s="2" t="str">
        <f>HYPERLINK("http://collections.slsa.sa.gov.au/resource/PRG+1662/2/49/2")</f>
        <v>http://collections.slsa.sa.gov.au/resource/PRG+1662/2/49/2</v>
      </c>
    </row>
    <row r="1448" spans="1:11" x14ac:dyDescent="0.25">
      <c r="A1448" t="s">
        <v>5348</v>
      </c>
      <c r="B1448" s="1" t="str">
        <f>HYPERLINK("https://www.catalog.slsa.sa.gov.au/record=b3182870")</f>
        <v>https://www.catalog.slsa.sa.gov.au/record=b3182870</v>
      </c>
      <c r="C1448" s="1" t="str">
        <f>HYPERLINK("https://www.catalog.slsa.sa.gov.au/xrecord=b3182870")</f>
        <v>https://www.catalog.slsa.sa.gov.au/xrecord=b3182870</v>
      </c>
      <c r="D1448" t="s">
        <v>3036</v>
      </c>
      <c r="E1448" t="s">
        <v>5337</v>
      </c>
      <c r="F1448">
        <v>1953</v>
      </c>
      <c r="G1448" t="s">
        <v>3039</v>
      </c>
      <c r="H1448" t="s">
        <v>5338</v>
      </c>
      <c r="I1448" t="s">
        <v>5339</v>
      </c>
      <c r="J1448" t="s">
        <v>3042</v>
      </c>
      <c r="K1448" s="2" t="str">
        <f>HYPERLINK("http://collections.slsa.sa.gov.au/resource/PRG+1662/2/49/3")</f>
        <v>http://collections.slsa.sa.gov.au/resource/PRG+1662/2/49/3</v>
      </c>
    </row>
    <row r="1449" spans="1:11" x14ac:dyDescent="0.25">
      <c r="A1449" t="s">
        <v>5349</v>
      </c>
      <c r="B1449" s="1" t="str">
        <f>HYPERLINK("https://www.catalog.slsa.sa.gov.au/record=b3182871")</f>
        <v>https://www.catalog.slsa.sa.gov.au/record=b3182871</v>
      </c>
      <c r="C1449" s="1" t="str">
        <f>HYPERLINK("https://www.catalog.slsa.sa.gov.au/xrecord=b3182871")</f>
        <v>https://www.catalog.slsa.sa.gov.au/xrecord=b3182871</v>
      </c>
      <c r="D1449" t="s">
        <v>3036</v>
      </c>
      <c r="E1449" t="s">
        <v>5337</v>
      </c>
      <c r="F1449">
        <v>1953</v>
      </c>
      <c r="G1449" t="s">
        <v>3039</v>
      </c>
      <c r="H1449" t="s">
        <v>5338</v>
      </c>
      <c r="I1449" t="s">
        <v>5339</v>
      </c>
      <c r="J1449" t="s">
        <v>3042</v>
      </c>
      <c r="K1449" s="2" t="str">
        <f>HYPERLINK("http://collections.slsa.sa.gov.au/resource/PRG+1662/2/49/4")</f>
        <v>http://collections.slsa.sa.gov.au/resource/PRG+1662/2/49/4</v>
      </c>
    </row>
    <row r="1450" spans="1:11" x14ac:dyDescent="0.25">
      <c r="A1450" t="s">
        <v>5350</v>
      </c>
      <c r="B1450" s="1" t="str">
        <f>HYPERLINK("https://www.catalog.slsa.sa.gov.au/record=b3182872")</f>
        <v>https://www.catalog.slsa.sa.gov.au/record=b3182872</v>
      </c>
      <c r="C1450" s="1" t="str">
        <f>HYPERLINK("https://www.catalog.slsa.sa.gov.au/xrecord=b3182872")</f>
        <v>https://www.catalog.slsa.sa.gov.au/xrecord=b3182872</v>
      </c>
      <c r="D1450" t="s">
        <v>3036</v>
      </c>
      <c r="E1450" t="s">
        <v>5337</v>
      </c>
      <c r="F1450">
        <v>1953</v>
      </c>
      <c r="G1450" t="s">
        <v>3039</v>
      </c>
      <c r="H1450" t="s">
        <v>5338</v>
      </c>
      <c r="I1450" t="s">
        <v>5339</v>
      </c>
      <c r="J1450" t="s">
        <v>3042</v>
      </c>
      <c r="K1450" s="2" t="str">
        <f>HYPERLINK("http://collections.slsa.sa.gov.au/resource/PRG+1662/2/49/5")</f>
        <v>http://collections.slsa.sa.gov.au/resource/PRG+1662/2/49/5</v>
      </c>
    </row>
    <row r="1451" spans="1:11" x14ac:dyDescent="0.25">
      <c r="A1451" t="s">
        <v>5351</v>
      </c>
      <c r="B1451" s="1" t="str">
        <f>HYPERLINK("https://www.catalog.slsa.sa.gov.au/record=b3182873")</f>
        <v>https://www.catalog.slsa.sa.gov.au/record=b3182873</v>
      </c>
      <c r="C1451" s="1" t="str">
        <f>HYPERLINK("https://www.catalog.slsa.sa.gov.au/xrecord=b3182873")</f>
        <v>https://www.catalog.slsa.sa.gov.au/xrecord=b3182873</v>
      </c>
      <c r="D1451" t="s">
        <v>3036</v>
      </c>
      <c r="E1451" t="s">
        <v>5337</v>
      </c>
      <c r="F1451">
        <v>1953</v>
      </c>
      <c r="G1451" t="s">
        <v>3039</v>
      </c>
      <c r="H1451" t="s">
        <v>5338</v>
      </c>
      <c r="I1451" t="s">
        <v>5339</v>
      </c>
      <c r="J1451" t="s">
        <v>3042</v>
      </c>
      <c r="K1451" s="2" t="str">
        <f>HYPERLINK("http://collections.slsa.sa.gov.au/resource/PRG+1662/2/49/6")</f>
        <v>http://collections.slsa.sa.gov.au/resource/PRG+1662/2/49/6</v>
      </c>
    </row>
    <row r="1452" spans="1:11" x14ac:dyDescent="0.25">
      <c r="A1452" t="s">
        <v>5352</v>
      </c>
      <c r="B1452" s="1" t="str">
        <f>HYPERLINK("https://www.catalog.slsa.sa.gov.au/record=b3182874")</f>
        <v>https://www.catalog.slsa.sa.gov.au/record=b3182874</v>
      </c>
      <c r="C1452" s="1" t="str">
        <f>HYPERLINK("https://www.catalog.slsa.sa.gov.au/xrecord=b3182874")</f>
        <v>https://www.catalog.slsa.sa.gov.au/xrecord=b3182874</v>
      </c>
      <c r="D1452" t="s">
        <v>3036</v>
      </c>
      <c r="E1452" t="s">
        <v>5337</v>
      </c>
      <c r="F1452">
        <v>1953</v>
      </c>
      <c r="G1452" t="s">
        <v>3039</v>
      </c>
      <c r="H1452" t="s">
        <v>5338</v>
      </c>
      <c r="I1452" t="s">
        <v>5339</v>
      </c>
      <c r="J1452" t="s">
        <v>3042</v>
      </c>
      <c r="K1452" s="2" t="str">
        <f>HYPERLINK("http://collections.slsa.sa.gov.au/resource/PRG+1662/2/49/7")</f>
        <v>http://collections.slsa.sa.gov.au/resource/PRG+1662/2/49/7</v>
      </c>
    </row>
    <row r="1453" spans="1:11" x14ac:dyDescent="0.25">
      <c r="A1453" t="s">
        <v>5353</v>
      </c>
      <c r="B1453" s="1" t="str">
        <f>HYPERLINK("https://www.catalog.slsa.sa.gov.au/record=b3182875")</f>
        <v>https://www.catalog.slsa.sa.gov.au/record=b3182875</v>
      </c>
      <c r="C1453" s="1" t="str">
        <f>HYPERLINK("https://www.catalog.slsa.sa.gov.au/xrecord=b3182875")</f>
        <v>https://www.catalog.slsa.sa.gov.au/xrecord=b3182875</v>
      </c>
      <c r="D1453" t="s">
        <v>3036</v>
      </c>
      <c r="E1453" t="s">
        <v>5337</v>
      </c>
      <c r="F1453">
        <v>1953</v>
      </c>
      <c r="G1453" t="s">
        <v>3039</v>
      </c>
      <c r="H1453" t="s">
        <v>5338</v>
      </c>
      <c r="I1453" t="s">
        <v>5339</v>
      </c>
      <c r="J1453" t="s">
        <v>3042</v>
      </c>
      <c r="K1453" s="2" t="str">
        <f>HYPERLINK("http://collections.slsa.sa.gov.au/resource/PRG+1662/2/49/8")</f>
        <v>http://collections.slsa.sa.gov.au/resource/PRG+1662/2/49/8</v>
      </c>
    </row>
    <row r="1454" spans="1:11" x14ac:dyDescent="0.25">
      <c r="A1454" t="s">
        <v>5354</v>
      </c>
      <c r="B1454" s="1" t="str">
        <f>HYPERLINK("https://www.catalog.slsa.sa.gov.au/record=b3182876")</f>
        <v>https://www.catalog.slsa.sa.gov.au/record=b3182876</v>
      </c>
      <c r="C1454" s="1" t="str">
        <f>HYPERLINK("https://www.catalog.slsa.sa.gov.au/xrecord=b3182876")</f>
        <v>https://www.catalog.slsa.sa.gov.au/xrecord=b3182876</v>
      </c>
      <c r="D1454" t="s">
        <v>3036</v>
      </c>
      <c r="E1454" t="s">
        <v>5337</v>
      </c>
      <c r="F1454">
        <v>1953</v>
      </c>
      <c r="G1454" t="s">
        <v>3039</v>
      </c>
      <c r="H1454" t="s">
        <v>5338</v>
      </c>
      <c r="I1454" t="s">
        <v>5339</v>
      </c>
      <c r="J1454" t="s">
        <v>3042</v>
      </c>
      <c r="K1454" s="2" t="str">
        <f>HYPERLINK("http://collections.slsa.sa.gov.au/resource/PRG+1662/2/49/9")</f>
        <v>http://collections.slsa.sa.gov.au/resource/PRG+1662/2/49/9</v>
      </c>
    </row>
    <row r="1455" spans="1:11" x14ac:dyDescent="0.25">
      <c r="A1455" t="s">
        <v>5355</v>
      </c>
      <c r="B1455" s="1" t="str">
        <f>HYPERLINK("https://www.catalog.slsa.sa.gov.au/record=b3182893")</f>
        <v>https://www.catalog.slsa.sa.gov.au/record=b3182893</v>
      </c>
      <c r="C1455" s="1" t="str">
        <f>HYPERLINK("https://www.catalog.slsa.sa.gov.au/xrecord=b3182893")</f>
        <v>https://www.catalog.slsa.sa.gov.au/xrecord=b3182893</v>
      </c>
      <c r="D1455" t="s">
        <v>3036</v>
      </c>
      <c r="E1455" t="s">
        <v>5356</v>
      </c>
      <c r="F1455">
        <v>1953</v>
      </c>
      <c r="G1455" t="s">
        <v>3039</v>
      </c>
      <c r="H1455" t="s">
        <v>5357</v>
      </c>
      <c r="I1455" t="s">
        <v>5356</v>
      </c>
      <c r="J1455" t="s">
        <v>3042</v>
      </c>
      <c r="K1455" s="2" t="str">
        <f>HYPERLINK("http://collections.slsa.sa.gov.au/resource/PRG+1662/2/50/1")</f>
        <v>http://collections.slsa.sa.gov.au/resource/PRG+1662/2/50/1</v>
      </c>
    </row>
    <row r="1456" spans="1:11" x14ac:dyDescent="0.25">
      <c r="A1456" t="s">
        <v>5358</v>
      </c>
      <c r="B1456" s="1" t="str">
        <f>HYPERLINK("https://www.catalog.slsa.sa.gov.au/record=b3182910")</f>
        <v>https://www.catalog.slsa.sa.gov.au/record=b3182910</v>
      </c>
      <c r="C1456" s="1" t="str">
        <f>HYPERLINK("https://www.catalog.slsa.sa.gov.au/xrecord=b3182910")</f>
        <v>https://www.catalog.slsa.sa.gov.au/xrecord=b3182910</v>
      </c>
      <c r="D1456" t="s">
        <v>3036</v>
      </c>
      <c r="E1456" t="s">
        <v>5356</v>
      </c>
      <c r="F1456">
        <v>1953</v>
      </c>
      <c r="G1456" t="s">
        <v>3039</v>
      </c>
      <c r="H1456" t="s">
        <v>5357</v>
      </c>
      <c r="I1456" t="s">
        <v>5356</v>
      </c>
      <c r="J1456" t="s">
        <v>3042</v>
      </c>
      <c r="K1456" s="2" t="str">
        <f>HYPERLINK("http://collections.slsa.sa.gov.au/resource/PRG+1662/2/50/2")</f>
        <v>http://collections.slsa.sa.gov.au/resource/PRG+1662/2/50/2</v>
      </c>
    </row>
    <row r="1457" spans="1:11" x14ac:dyDescent="0.25">
      <c r="A1457" t="s">
        <v>5359</v>
      </c>
      <c r="B1457" s="1" t="str">
        <f>HYPERLINK("https://www.catalog.slsa.sa.gov.au/record=b3182911")</f>
        <v>https://www.catalog.slsa.sa.gov.au/record=b3182911</v>
      </c>
      <c r="C1457" s="1" t="str">
        <f>HYPERLINK("https://www.catalog.slsa.sa.gov.au/xrecord=b3182911")</f>
        <v>https://www.catalog.slsa.sa.gov.au/xrecord=b3182911</v>
      </c>
      <c r="D1457" t="s">
        <v>3036</v>
      </c>
      <c r="E1457" t="s">
        <v>5356</v>
      </c>
      <c r="F1457">
        <v>1953</v>
      </c>
      <c r="G1457" t="s">
        <v>3039</v>
      </c>
      <c r="H1457" t="s">
        <v>5357</v>
      </c>
      <c r="I1457" t="s">
        <v>5356</v>
      </c>
      <c r="J1457" t="s">
        <v>3042</v>
      </c>
      <c r="K1457" s="2" t="str">
        <f>HYPERLINK("http://collections.slsa.sa.gov.au/resource/PRG+1662/2/50/3")</f>
        <v>http://collections.slsa.sa.gov.au/resource/PRG+1662/2/50/3</v>
      </c>
    </row>
    <row r="1458" spans="1:11" x14ac:dyDescent="0.25">
      <c r="A1458" t="s">
        <v>5360</v>
      </c>
      <c r="B1458" s="1" t="str">
        <f>HYPERLINK("https://www.catalog.slsa.sa.gov.au/record=b3182912")</f>
        <v>https://www.catalog.slsa.sa.gov.au/record=b3182912</v>
      </c>
      <c r="C1458" s="1" t="str">
        <f>HYPERLINK("https://www.catalog.slsa.sa.gov.au/xrecord=b3182912")</f>
        <v>https://www.catalog.slsa.sa.gov.au/xrecord=b3182912</v>
      </c>
      <c r="D1458" t="s">
        <v>3036</v>
      </c>
      <c r="E1458" t="s">
        <v>5356</v>
      </c>
      <c r="F1458">
        <v>1953</v>
      </c>
      <c r="G1458" t="s">
        <v>3039</v>
      </c>
      <c r="H1458" t="s">
        <v>5357</v>
      </c>
      <c r="I1458" t="s">
        <v>5356</v>
      </c>
      <c r="J1458" t="s">
        <v>3042</v>
      </c>
      <c r="K1458" s="2" t="str">
        <f>HYPERLINK("http://collections.slsa.sa.gov.au/resource/PRG+1662/2/50/4")</f>
        <v>http://collections.slsa.sa.gov.au/resource/PRG+1662/2/50/4</v>
      </c>
    </row>
    <row r="1459" spans="1:11" x14ac:dyDescent="0.25">
      <c r="A1459" t="s">
        <v>5361</v>
      </c>
      <c r="B1459" s="1" t="str">
        <f>HYPERLINK("https://www.catalog.slsa.sa.gov.au/record=b3182913")</f>
        <v>https://www.catalog.slsa.sa.gov.au/record=b3182913</v>
      </c>
      <c r="C1459" s="1" t="str">
        <f>HYPERLINK("https://www.catalog.slsa.sa.gov.au/xrecord=b3182913")</f>
        <v>https://www.catalog.slsa.sa.gov.au/xrecord=b3182913</v>
      </c>
      <c r="D1459" t="s">
        <v>3036</v>
      </c>
      <c r="E1459" t="s">
        <v>5356</v>
      </c>
      <c r="F1459">
        <v>1953</v>
      </c>
      <c r="G1459" t="s">
        <v>3039</v>
      </c>
      <c r="H1459" t="s">
        <v>5357</v>
      </c>
      <c r="I1459" t="s">
        <v>5356</v>
      </c>
      <c r="J1459" t="s">
        <v>3042</v>
      </c>
      <c r="K1459" s="2" t="str">
        <f>HYPERLINK("http://collections.slsa.sa.gov.au/resource/PRG+1662/2/50/5")</f>
        <v>http://collections.slsa.sa.gov.au/resource/PRG+1662/2/50/5</v>
      </c>
    </row>
    <row r="1460" spans="1:11" x14ac:dyDescent="0.25">
      <c r="A1460" t="s">
        <v>5362</v>
      </c>
      <c r="B1460" s="1" t="str">
        <f>HYPERLINK("https://www.catalog.slsa.sa.gov.au/record=b3182914")</f>
        <v>https://www.catalog.slsa.sa.gov.au/record=b3182914</v>
      </c>
      <c r="C1460" s="1" t="str">
        <f>HYPERLINK("https://www.catalog.slsa.sa.gov.au/xrecord=b3182914")</f>
        <v>https://www.catalog.slsa.sa.gov.au/xrecord=b3182914</v>
      </c>
      <c r="D1460" t="s">
        <v>3036</v>
      </c>
      <c r="E1460" t="s">
        <v>5356</v>
      </c>
      <c r="F1460">
        <v>1953</v>
      </c>
      <c r="G1460" t="s">
        <v>3039</v>
      </c>
      <c r="H1460" t="s">
        <v>5357</v>
      </c>
      <c r="I1460" t="s">
        <v>5356</v>
      </c>
      <c r="J1460" t="s">
        <v>3042</v>
      </c>
      <c r="K1460" s="2" t="str">
        <f>HYPERLINK("http://collections.slsa.sa.gov.au/resource/PRG+1662/2/50/6")</f>
        <v>http://collections.slsa.sa.gov.au/resource/PRG+1662/2/50/6</v>
      </c>
    </row>
    <row r="1461" spans="1:11" x14ac:dyDescent="0.25">
      <c r="A1461" t="s">
        <v>5363</v>
      </c>
      <c r="B1461" s="1" t="str">
        <f>HYPERLINK("https://www.catalog.slsa.sa.gov.au/record=b3122779")</f>
        <v>https://www.catalog.slsa.sa.gov.au/record=b3122779</v>
      </c>
      <c r="C1461" s="1" t="str">
        <f>HYPERLINK("https://www.catalog.slsa.sa.gov.au/xrecord=b3122779")</f>
        <v>https://www.catalog.slsa.sa.gov.au/xrecord=b3122779</v>
      </c>
      <c r="D1461" t="s">
        <v>5364</v>
      </c>
      <c r="E1461" t="s">
        <v>5365</v>
      </c>
      <c r="F1461">
        <v>1953</v>
      </c>
      <c r="G1461" t="s">
        <v>5366</v>
      </c>
      <c r="H1461" t="s">
        <v>5367</v>
      </c>
      <c r="I1461" t="s">
        <v>5368</v>
      </c>
      <c r="J1461" t="s">
        <v>5369</v>
      </c>
      <c r="K1461" s="2" t="str">
        <f>HYPERLINK("http://collections.slsa.sa.gov.au/resource/PRG+1697/1")</f>
        <v>http://collections.slsa.sa.gov.au/resource/PRG+1697/1</v>
      </c>
    </row>
    <row r="1462" spans="1:11" x14ac:dyDescent="0.25">
      <c r="A1462" t="s">
        <v>5370</v>
      </c>
      <c r="B1462" s="1" t="str">
        <f>HYPERLINK("https://www.catalog.slsa.sa.gov.au/record=b3122788")</f>
        <v>https://www.catalog.slsa.sa.gov.au/record=b3122788</v>
      </c>
      <c r="C1462" s="1" t="str">
        <f>HYPERLINK("https://www.catalog.slsa.sa.gov.au/xrecord=b3122788")</f>
        <v>https://www.catalog.slsa.sa.gov.au/xrecord=b3122788</v>
      </c>
      <c r="D1462" t="s">
        <v>5364</v>
      </c>
      <c r="E1462" t="s">
        <v>5371</v>
      </c>
      <c r="F1462">
        <v>1953</v>
      </c>
      <c r="G1462" t="s">
        <v>5372</v>
      </c>
      <c r="H1462" t="s">
        <v>5373</v>
      </c>
      <c r="I1462" t="s">
        <v>5374</v>
      </c>
      <c r="J1462" t="s">
        <v>5375</v>
      </c>
      <c r="K1462" s="2" t="str">
        <f>HYPERLINK("http://collections.slsa.sa.gov.au/resource/PRG+1697/10")</f>
        <v>http://collections.slsa.sa.gov.au/resource/PRG+1697/10</v>
      </c>
    </row>
    <row r="1463" spans="1:11" x14ac:dyDescent="0.25">
      <c r="A1463" t="s">
        <v>5376</v>
      </c>
      <c r="B1463" s="1" t="str">
        <f>HYPERLINK("https://www.catalog.slsa.sa.gov.au/record=b3122790")</f>
        <v>https://www.catalog.slsa.sa.gov.au/record=b3122790</v>
      </c>
      <c r="C1463" s="1" t="str">
        <f>HYPERLINK("https://www.catalog.slsa.sa.gov.au/xrecord=b3122790")</f>
        <v>https://www.catalog.slsa.sa.gov.au/xrecord=b3122790</v>
      </c>
      <c r="D1463" t="s">
        <v>5364</v>
      </c>
      <c r="E1463" t="s">
        <v>5377</v>
      </c>
      <c r="F1463">
        <v>1953</v>
      </c>
      <c r="G1463" t="s">
        <v>5378</v>
      </c>
      <c r="H1463" t="s">
        <v>5379</v>
      </c>
      <c r="I1463" t="s">
        <v>5380</v>
      </c>
      <c r="J1463" t="s">
        <v>5381</v>
      </c>
      <c r="K1463" s="2" t="str">
        <f>HYPERLINK("http://collections.slsa.sa.gov.au/resource/PRG+1697/11")</f>
        <v>http://collections.slsa.sa.gov.au/resource/PRG+1697/11</v>
      </c>
    </row>
    <row r="1464" spans="1:11" x14ac:dyDescent="0.25">
      <c r="A1464" t="s">
        <v>5382</v>
      </c>
      <c r="B1464" s="1" t="str">
        <f>HYPERLINK("https://www.catalog.slsa.sa.gov.au/record=b3122791")</f>
        <v>https://www.catalog.slsa.sa.gov.au/record=b3122791</v>
      </c>
      <c r="C1464" s="1" t="str">
        <f>HYPERLINK("https://www.catalog.slsa.sa.gov.au/xrecord=b3122791")</f>
        <v>https://www.catalog.slsa.sa.gov.au/xrecord=b3122791</v>
      </c>
      <c r="D1464" t="s">
        <v>5364</v>
      </c>
      <c r="E1464" t="s">
        <v>5383</v>
      </c>
      <c r="F1464">
        <v>1953</v>
      </c>
      <c r="G1464" t="s">
        <v>5372</v>
      </c>
      <c r="H1464" t="s">
        <v>5384</v>
      </c>
      <c r="I1464" t="s">
        <v>5385</v>
      </c>
      <c r="J1464" t="s">
        <v>5375</v>
      </c>
      <c r="K1464" s="2" t="str">
        <f>HYPERLINK("http://collections.slsa.sa.gov.au/resource/PRG+1697/12")</f>
        <v>http://collections.slsa.sa.gov.au/resource/PRG+1697/12</v>
      </c>
    </row>
    <row r="1465" spans="1:11" x14ac:dyDescent="0.25">
      <c r="A1465" t="s">
        <v>5386</v>
      </c>
      <c r="B1465" s="1" t="str">
        <f>HYPERLINK("https://www.catalog.slsa.sa.gov.au/record=b3122792")</f>
        <v>https://www.catalog.slsa.sa.gov.au/record=b3122792</v>
      </c>
      <c r="C1465" s="1" t="str">
        <f>HYPERLINK("https://www.catalog.slsa.sa.gov.au/xrecord=b3122792")</f>
        <v>https://www.catalog.slsa.sa.gov.au/xrecord=b3122792</v>
      </c>
      <c r="D1465" t="s">
        <v>5364</v>
      </c>
      <c r="E1465" t="s">
        <v>5387</v>
      </c>
      <c r="F1465">
        <v>1953</v>
      </c>
      <c r="G1465" t="s">
        <v>5366</v>
      </c>
      <c r="H1465" t="s">
        <v>5388</v>
      </c>
      <c r="I1465" t="s">
        <v>5389</v>
      </c>
      <c r="J1465" t="s">
        <v>5390</v>
      </c>
      <c r="K1465" s="2" t="str">
        <f>HYPERLINK("http://collections.slsa.sa.gov.au/resource/PRG+1697/13")</f>
        <v>http://collections.slsa.sa.gov.au/resource/PRG+1697/13</v>
      </c>
    </row>
    <row r="1466" spans="1:11" x14ac:dyDescent="0.25">
      <c r="A1466" t="s">
        <v>5391</v>
      </c>
      <c r="B1466" s="1" t="str">
        <f>HYPERLINK("https://www.catalog.slsa.sa.gov.au/record=b3122793")</f>
        <v>https://www.catalog.slsa.sa.gov.au/record=b3122793</v>
      </c>
      <c r="C1466" s="1" t="str">
        <f>HYPERLINK("https://www.catalog.slsa.sa.gov.au/xrecord=b3122793")</f>
        <v>https://www.catalog.slsa.sa.gov.au/xrecord=b3122793</v>
      </c>
      <c r="D1466" t="s">
        <v>5364</v>
      </c>
      <c r="E1466" t="s">
        <v>5392</v>
      </c>
      <c r="F1466">
        <v>1953</v>
      </c>
      <c r="G1466" t="s">
        <v>5393</v>
      </c>
      <c r="H1466" t="s">
        <v>5394</v>
      </c>
      <c r="I1466" t="s">
        <v>5385</v>
      </c>
      <c r="J1466" t="s">
        <v>5375</v>
      </c>
      <c r="K1466" s="2" t="str">
        <f>HYPERLINK("http://collections.slsa.sa.gov.au/resource/PRG+1697/14")</f>
        <v>http://collections.slsa.sa.gov.au/resource/PRG+1697/14</v>
      </c>
    </row>
    <row r="1467" spans="1:11" x14ac:dyDescent="0.25">
      <c r="A1467" t="s">
        <v>5395</v>
      </c>
      <c r="B1467" s="1" t="str">
        <f>HYPERLINK("https://www.catalog.slsa.sa.gov.au/record=b3122795")</f>
        <v>https://www.catalog.slsa.sa.gov.au/record=b3122795</v>
      </c>
      <c r="C1467" s="1" t="str">
        <f>HYPERLINK("https://www.catalog.slsa.sa.gov.au/xrecord=b3122795")</f>
        <v>https://www.catalog.slsa.sa.gov.au/xrecord=b3122795</v>
      </c>
      <c r="D1467" t="s">
        <v>5364</v>
      </c>
      <c r="E1467" t="s">
        <v>5396</v>
      </c>
      <c r="F1467">
        <v>1953</v>
      </c>
      <c r="G1467" t="s">
        <v>5366</v>
      </c>
      <c r="H1467" t="s">
        <v>5397</v>
      </c>
      <c r="I1467" t="s">
        <v>5398</v>
      </c>
      <c r="J1467" t="s">
        <v>5399</v>
      </c>
      <c r="K1467" s="2" t="str">
        <f>HYPERLINK("http://collections.slsa.sa.gov.au/resource/PRG+1697/15")</f>
        <v>http://collections.slsa.sa.gov.au/resource/PRG+1697/15</v>
      </c>
    </row>
    <row r="1468" spans="1:11" x14ac:dyDescent="0.25">
      <c r="A1468" t="s">
        <v>5400</v>
      </c>
      <c r="B1468" s="1" t="str">
        <f>HYPERLINK("https://www.catalog.slsa.sa.gov.au/record=b3122780")</f>
        <v>https://www.catalog.slsa.sa.gov.au/record=b3122780</v>
      </c>
      <c r="C1468" s="1" t="str">
        <f>HYPERLINK("https://www.catalog.slsa.sa.gov.au/xrecord=b3122780")</f>
        <v>https://www.catalog.slsa.sa.gov.au/xrecord=b3122780</v>
      </c>
      <c r="D1468" t="s">
        <v>5364</v>
      </c>
      <c r="E1468" t="s">
        <v>5401</v>
      </c>
      <c r="F1468">
        <v>1953</v>
      </c>
      <c r="G1468" t="s">
        <v>5402</v>
      </c>
      <c r="H1468" t="s">
        <v>5403</v>
      </c>
      <c r="I1468" t="s">
        <v>5404</v>
      </c>
      <c r="J1468" t="s">
        <v>5405</v>
      </c>
      <c r="K1468" s="2" t="str">
        <f>HYPERLINK("http://collections.slsa.sa.gov.au/resource/PRG+1697/2")</f>
        <v>http://collections.slsa.sa.gov.au/resource/PRG+1697/2</v>
      </c>
    </row>
    <row r="1469" spans="1:11" x14ac:dyDescent="0.25">
      <c r="A1469" t="s">
        <v>5406</v>
      </c>
      <c r="B1469" s="1" t="str">
        <f>HYPERLINK("https://www.catalog.slsa.sa.gov.au/record=b3122781")</f>
        <v>https://www.catalog.slsa.sa.gov.au/record=b3122781</v>
      </c>
      <c r="C1469" s="1" t="str">
        <f>HYPERLINK("https://www.catalog.slsa.sa.gov.au/xrecord=b3122781")</f>
        <v>https://www.catalog.slsa.sa.gov.au/xrecord=b3122781</v>
      </c>
      <c r="D1469" t="s">
        <v>5364</v>
      </c>
      <c r="E1469" t="s">
        <v>5407</v>
      </c>
      <c r="F1469">
        <v>1953</v>
      </c>
      <c r="G1469" t="s">
        <v>5408</v>
      </c>
      <c r="H1469" t="s">
        <v>5409</v>
      </c>
      <c r="I1469" t="s">
        <v>5404</v>
      </c>
      <c r="J1469" t="s">
        <v>5405</v>
      </c>
      <c r="K1469" s="2" t="str">
        <f>HYPERLINK("http://collections.slsa.sa.gov.au/resource/PRG+1697/3")</f>
        <v>http://collections.slsa.sa.gov.au/resource/PRG+1697/3</v>
      </c>
    </row>
    <row r="1470" spans="1:11" x14ac:dyDescent="0.25">
      <c r="A1470" t="s">
        <v>5410</v>
      </c>
      <c r="B1470" s="1" t="str">
        <f>HYPERLINK("https://www.catalog.slsa.sa.gov.au/record=b3122782")</f>
        <v>https://www.catalog.slsa.sa.gov.au/record=b3122782</v>
      </c>
      <c r="C1470" s="1" t="str">
        <f>HYPERLINK("https://www.catalog.slsa.sa.gov.au/xrecord=b3122782")</f>
        <v>https://www.catalog.slsa.sa.gov.au/xrecord=b3122782</v>
      </c>
      <c r="D1470" t="s">
        <v>5364</v>
      </c>
      <c r="E1470" t="s">
        <v>5407</v>
      </c>
      <c r="F1470">
        <v>1953</v>
      </c>
      <c r="G1470" t="s">
        <v>5402</v>
      </c>
      <c r="H1470" t="s">
        <v>5409</v>
      </c>
      <c r="I1470" t="s">
        <v>5404</v>
      </c>
      <c r="J1470" t="s">
        <v>5405</v>
      </c>
      <c r="K1470" s="2" t="str">
        <f>HYPERLINK("http://collections.slsa.sa.gov.au/resource/PRG+1697/4")</f>
        <v>http://collections.slsa.sa.gov.au/resource/PRG+1697/4</v>
      </c>
    </row>
    <row r="1471" spans="1:11" x14ac:dyDescent="0.25">
      <c r="A1471" t="s">
        <v>5411</v>
      </c>
      <c r="B1471" s="1" t="str">
        <f>HYPERLINK("https://www.catalog.slsa.sa.gov.au/record=b3122783")</f>
        <v>https://www.catalog.slsa.sa.gov.au/record=b3122783</v>
      </c>
      <c r="C1471" s="1" t="str">
        <f>HYPERLINK("https://www.catalog.slsa.sa.gov.au/xrecord=b3122783")</f>
        <v>https://www.catalog.slsa.sa.gov.au/xrecord=b3122783</v>
      </c>
      <c r="D1471" t="s">
        <v>5364</v>
      </c>
      <c r="E1471" t="s">
        <v>5412</v>
      </c>
      <c r="F1471">
        <v>1953</v>
      </c>
      <c r="G1471" t="s">
        <v>5372</v>
      </c>
      <c r="H1471" t="s">
        <v>5413</v>
      </c>
      <c r="I1471" t="s">
        <v>5414</v>
      </c>
      <c r="J1471" t="s">
        <v>5415</v>
      </c>
      <c r="K1471" s="2" t="str">
        <f>HYPERLINK("http://collections.slsa.sa.gov.au/resource/PRG+1697/5")</f>
        <v>http://collections.slsa.sa.gov.au/resource/PRG+1697/5</v>
      </c>
    </row>
    <row r="1472" spans="1:11" x14ac:dyDescent="0.25">
      <c r="A1472" t="s">
        <v>5416</v>
      </c>
      <c r="B1472" s="1" t="str">
        <f>HYPERLINK("https://www.catalog.slsa.sa.gov.au/record=b3122784")</f>
        <v>https://www.catalog.slsa.sa.gov.au/record=b3122784</v>
      </c>
      <c r="C1472" s="1" t="str">
        <f>HYPERLINK("https://www.catalog.slsa.sa.gov.au/xrecord=b3122784")</f>
        <v>https://www.catalog.slsa.sa.gov.au/xrecord=b3122784</v>
      </c>
      <c r="D1472" t="s">
        <v>5364</v>
      </c>
      <c r="E1472" t="s">
        <v>5412</v>
      </c>
      <c r="F1472">
        <v>1953</v>
      </c>
      <c r="G1472" t="s">
        <v>5417</v>
      </c>
      <c r="H1472" t="s">
        <v>5418</v>
      </c>
      <c r="I1472" t="s">
        <v>5419</v>
      </c>
      <c r="J1472" t="s">
        <v>5415</v>
      </c>
      <c r="K1472" s="2" t="str">
        <f>HYPERLINK("http://collections.slsa.sa.gov.au/resource/PRG+1697/6")</f>
        <v>http://collections.slsa.sa.gov.au/resource/PRG+1697/6</v>
      </c>
    </row>
    <row r="1473" spans="1:11" x14ac:dyDescent="0.25">
      <c r="A1473" t="s">
        <v>5420</v>
      </c>
      <c r="B1473" s="1" t="str">
        <f>HYPERLINK("https://www.catalog.slsa.sa.gov.au/record=b3122785")</f>
        <v>https://www.catalog.slsa.sa.gov.au/record=b3122785</v>
      </c>
      <c r="C1473" s="1" t="str">
        <f>HYPERLINK("https://www.catalog.slsa.sa.gov.au/xrecord=b3122785")</f>
        <v>https://www.catalog.slsa.sa.gov.au/xrecord=b3122785</v>
      </c>
      <c r="D1473" t="s">
        <v>5364</v>
      </c>
      <c r="E1473" t="s">
        <v>5421</v>
      </c>
      <c r="F1473">
        <v>1953</v>
      </c>
      <c r="G1473" t="s">
        <v>5422</v>
      </c>
      <c r="H1473" t="s">
        <v>5423</v>
      </c>
      <c r="I1473" t="s">
        <v>5424</v>
      </c>
      <c r="J1473" t="s">
        <v>5375</v>
      </c>
      <c r="K1473" s="2" t="str">
        <f>HYPERLINK("http://collections.slsa.sa.gov.au/resource/PRG+1697/7")</f>
        <v>http://collections.slsa.sa.gov.au/resource/PRG+1697/7</v>
      </c>
    </row>
    <row r="1474" spans="1:11" x14ac:dyDescent="0.25">
      <c r="A1474" t="s">
        <v>5425</v>
      </c>
      <c r="B1474" s="1" t="str">
        <f>HYPERLINK("https://www.catalog.slsa.sa.gov.au/record=b3122786")</f>
        <v>https://www.catalog.slsa.sa.gov.au/record=b3122786</v>
      </c>
      <c r="C1474" s="1" t="str">
        <f>HYPERLINK("https://www.catalog.slsa.sa.gov.au/xrecord=b3122786")</f>
        <v>https://www.catalog.slsa.sa.gov.au/xrecord=b3122786</v>
      </c>
      <c r="D1474" t="s">
        <v>5364</v>
      </c>
      <c r="E1474" t="s">
        <v>5426</v>
      </c>
      <c r="F1474">
        <v>1953</v>
      </c>
      <c r="G1474" t="s">
        <v>5378</v>
      </c>
      <c r="H1474" t="s">
        <v>5427</v>
      </c>
      <c r="I1474" t="s">
        <v>5424</v>
      </c>
      <c r="J1474" t="s">
        <v>5375</v>
      </c>
      <c r="K1474" s="2" t="str">
        <f>HYPERLINK("http://collections.slsa.sa.gov.au/resource/PRG+1697/8")</f>
        <v>http://collections.slsa.sa.gov.au/resource/PRG+1697/8</v>
      </c>
    </row>
    <row r="1475" spans="1:11" x14ac:dyDescent="0.25">
      <c r="A1475" t="s">
        <v>5428</v>
      </c>
      <c r="B1475" s="1" t="str">
        <f>HYPERLINK("https://www.catalog.slsa.sa.gov.au/record=b3122787")</f>
        <v>https://www.catalog.slsa.sa.gov.au/record=b3122787</v>
      </c>
      <c r="C1475" s="1" t="str">
        <f>HYPERLINK("https://www.catalog.slsa.sa.gov.au/xrecord=b3122787")</f>
        <v>https://www.catalog.slsa.sa.gov.au/xrecord=b3122787</v>
      </c>
      <c r="D1475" t="s">
        <v>5364</v>
      </c>
      <c r="E1475" t="s">
        <v>5412</v>
      </c>
      <c r="F1475">
        <v>1953</v>
      </c>
      <c r="G1475" t="s">
        <v>5429</v>
      </c>
      <c r="H1475" t="s">
        <v>5413</v>
      </c>
      <c r="I1475" t="s">
        <v>5414</v>
      </c>
      <c r="J1475" t="s">
        <v>5415</v>
      </c>
      <c r="K1475" s="2" t="str">
        <f>HYPERLINK("http://collections.slsa.sa.gov.au/resource/PRG+1697/9")</f>
        <v>http://collections.slsa.sa.gov.au/resource/PRG+1697/9</v>
      </c>
    </row>
    <row r="1476" spans="1:11" x14ac:dyDescent="0.25">
      <c r="A1476" t="s">
        <v>5430</v>
      </c>
      <c r="B1476" s="1" t="str">
        <f>HYPERLINK("https://www.catalog.slsa.sa.gov.au/record=b3058299")</f>
        <v>https://www.catalog.slsa.sa.gov.au/record=b3058299</v>
      </c>
      <c r="C1476" s="1" t="str">
        <f>HYPERLINK("https://www.catalog.slsa.sa.gov.au/xrecord=b3058299")</f>
        <v>https://www.catalog.slsa.sa.gov.au/xrecord=b3058299</v>
      </c>
      <c r="E1476" t="s">
        <v>5431</v>
      </c>
      <c r="F1476">
        <v>1953</v>
      </c>
      <c r="G1476" t="s">
        <v>5432</v>
      </c>
      <c r="H1476" t="s">
        <v>5433</v>
      </c>
      <c r="I1476" t="s">
        <v>1917</v>
      </c>
      <c r="J1476" t="s">
        <v>1902</v>
      </c>
      <c r="K1476" s="2" t="str">
        <f>HYPERLINK("http://collections.slsa.sa.gov.au/resource/SRG+873/1/467")</f>
        <v>http://collections.slsa.sa.gov.au/resource/SRG+873/1/467</v>
      </c>
    </row>
    <row r="1477" spans="1:11" x14ac:dyDescent="0.25">
      <c r="A1477" t="s">
        <v>5434</v>
      </c>
      <c r="B1477" s="1" t="str">
        <f>HYPERLINK("https://www.catalog.slsa.sa.gov.au/record=b3025038")</f>
        <v>https://www.catalog.slsa.sa.gov.au/record=b3025038</v>
      </c>
      <c r="C1477" s="1" t="str">
        <f>HYPERLINK("https://www.catalog.slsa.sa.gov.au/xrecord=b3025038")</f>
        <v>https://www.catalog.slsa.sa.gov.au/xrecord=b3025038</v>
      </c>
      <c r="E1477" t="s">
        <v>5435</v>
      </c>
      <c r="F1477">
        <v>1953</v>
      </c>
      <c r="G1477" t="s">
        <v>5436</v>
      </c>
      <c r="H1477" t="s">
        <v>5437</v>
      </c>
      <c r="I1477" t="s">
        <v>1917</v>
      </c>
      <c r="J1477" t="s">
        <v>1902</v>
      </c>
      <c r="K1477" s="2" t="str">
        <f>HYPERLINK("http://collections.slsa.sa.gov.au/resource/SRG+873/1/77")</f>
        <v>http://collections.slsa.sa.gov.au/resource/SRG+873/1/77</v>
      </c>
    </row>
    <row r="1478" spans="1:11" x14ac:dyDescent="0.25">
      <c r="A1478" t="s">
        <v>5438</v>
      </c>
      <c r="B1478" s="1" t="str">
        <f>HYPERLINK("https://www.catalog.slsa.sa.gov.au/record=b3199620")</f>
        <v>https://www.catalog.slsa.sa.gov.au/record=b3199620</v>
      </c>
      <c r="C1478" s="1" t="str">
        <f>HYPERLINK("https://www.catalog.slsa.sa.gov.au/xrecord=b3199620")</f>
        <v>https://www.catalog.slsa.sa.gov.au/xrecord=b3199620</v>
      </c>
      <c r="D1478" t="s">
        <v>1953</v>
      </c>
      <c r="E1478" t="s">
        <v>5439</v>
      </c>
      <c r="F1478" t="s">
        <v>5440</v>
      </c>
      <c r="G1478" t="s">
        <v>5441</v>
      </c>
      <c r="H1478" t="s">
        <v>5442</v>
      </c>
      <c r="I1478" t="s">
        <v>5030</v>
      </c>
      <c r="J1478" t="s">
        <v>1930</v>
      </c>
      <c r="K1478" s="2" t="str">
        <f>HYPERLINK("http://collections.slsa.sa.gov.au/resource/PRG+18/56/65")</f>
        <v>http://collections.slsa.sa.gov.au/resource/PRG+18/56/65</v>
      </c>
    </row>
    <row r="1479" spans="1:11" x14ac:dyDescent="0.25">
      <c r="A1479" t="s">
        <v>5443</v>
      </c>
      <c r="B1479" s="1" t="str">
        <f>HYPERLINK("https://www.catalog.slsa.sa.gov.au/record=b3127363")</f>
        <v>https://www.catalog.slsa.sa.gov.au/record=b3127363</v>
      </c>
      <c r="C1479" s="1" t="str">
        <f>HYPERLINK("https://www.catalog.slsa.sa.gov.au/xrecord=b3127363")</f>
        <v>https://www.catalog.slsa.sa.gov.au/xrecord=b3127363</v>
      </c>
      <c r="D1479" t="s">
        <v>3036</v>
      </c>
      <c r="E1479" t="s">
        <v>5444</v>
      </c>
      <c r="F1479" t="s">
        <v>5440</v>
      </c>
      <c r="G1479" t="s">
        <v>3039</v>
      </c>
      <c r="H1479" t="s">
        <v>5445</v>
      </c>
      <c r="I1479" t="s">
        <v>5446</v>
      </c>
      <c r="J1479" t="s">
        <v>3042</v>
      </c>
      <c r="K1479" s="2" t="str">
        <f>HYPERLINK("http://collections.slsa.sa.gov.au/resource/PRG+1662/2/2/16")</f>
        <v>http://collections.slsa.sa.gov.au/resource/PRG+1662/2/2/16</v>
      </c>
    </row>
    <row r="1480" spans="1:11" x14ac:dyDescent="0.25">
      <c r="A1480" t="s">
        <v>5447</v>
      </c>
      <c r="B1480" s="1" t="str">
        <f>HYPERLINK("https://www.catalog.slsa.sa.gov.au/record=b3027645")</f>
        <v>https://www.catalog.slsa.sa.gov.au/record=b3027645</v>
      </c>
      <c r="C1480" s="1" t="str">
        <f>HYPERLINK("https://www.catalog.slsa.sa.gov.au/xrecord=b3027645")</f>
        <v>https://www.catalog.slsa.sa.gov.au/xrecord=b3027645</v>
      </c>
      <c r="D1480" t="s">
        <v>5448</v>
      </c>
      <c r="E1480" t="s">
        <v>5449</v>
      </c>
      <c r="F1480" t="s">
        <v>5440</v>
      </c>
      <c r="G1480" t="s">
        <v>5450</v>
      </c>
      <c r="H1480" t="s">
        <v>5451</v>
      </c>
      <c r="I1480" t="s">
        <v>5452</v>
      </c>
      <c r="J1480" t="s">
        <v>1809</v>
      </c>
      <c r="K1480" s="2" t="str">
        <f>HYPERLINK("http://collections.slsa.sa.gov.au/resource/PRG+1664/6/1")</f>
        <v>http://collections.slsa.sa.gov.au/resource/PRG+1664/6/1</v>
      </c>
    </row>
    <row r="1481" spans="1:11" x14ac:dyDescent="0.25">
      <c r="A1481" t="s">
        <v>5453</v>
      </c>
      <c r="B1481" s="1" t="str">
        <f>HYPERLINK("https://www.catalog.slsa.sa.gov.au/record=b3058328")</f>
        <v>https://www.catalog.slsa.sa.gov.au/record=b3058328</v>
      </c>
      <c r="C1481" s="1" t="str">
        <f>HYPERLINK("https://www.catalog.slsa.sa.gov.au/xrecord=b3058328")</f>
        <v>https://www.catalog.slsa.sa.gov.au/xrecord=b3058328</v>
      </c>
      <c r="E1481" t="s">
        <v>5454</v>
      </c>
      <c r="F1481" t="s">
        <v>5440</v>
      </c>
      <c r="G1481" t="s">
        <v>5455</v>
      </c>
      <c r="H1481" t="s">
        <v>5456</v>
      </c>
      <c r="I1481" t="s">
        <v>5457</v>
      </c>
      <c r="J1481" t="s">
        <v>1902</v>
      </c>
      <c r="K1481" s="2" t="str">
        <f>HYPERLINK("http://collections.slsa.sa.gov.au/resource/SRG+873/1/468")</f>
        <v>http://collections.slsa.sa.gov.au/resource/SRG+873/1/468</v>
      </c>
    </row>
    <row r="1482" spans="1:11" x14ac:dyDescent="0.25">
      <c r="A1482" t="s">
        <v>5458</v>
      </c>
      <c r="B1482" s="1" t="str">
        <f>HYPERLINK("https://www.catalog.slsa.sa.gov.au/record=b3084894")</f>
        <v>https://www.catalog.slsa.sa.gov.au/record=b3084894</v>
      </c>
      <c r="C1482" s="1" t="str">
        <f>HYPERLINK("https://www.catalog.slsa.sa.gov.au/xrecord=b3084894")</f>
        <v>https://www.catalog.slsa.sa.gov.au/xrecord=b3084894</v>
      </c>
      <c r="E1482" t="s">
        <v>5459</v>
      </c>
      <c r="F1482" t="s">
        <v>5440</v>
      </c>
      <c r="G1482" t="s">
        <v>5460</v>
      </c>
      <c r="H1482" t="s">
        <v>5461</v>
      </c>
      <c r="I1482" t="s">
        <v>1917</v>
      </c>
      <c r="J1482" t="s">
        <v>1902</v>
      </c>
      <c r="K1482" s="2" t="str">
        <f>HYPERLINK("http://collections.slsa.sa.gov.au/resource/SRG+873/1/469")</f>
        <v>http://collections.slsa.sa.gov.au/resource/SRG+873/1/469</v>
      </c>
    </row>
    <row r="1483" spans="1:11" x14ac:dyDescent="0.25">
      <c r="A1483" t="s">
        <v>5462</v>
      </c>
      <c r="B1483" s="1" t="str">
        <f>HYPERLINK("https://www.catalog.slsa.sa.gov.au/record=b2107212")</f>
        <v>https://www.catalog.slsa.sa.gov.au/record=b2107212</v>
      </c>
      <c r="C1483" s="1" t="str">
        <f>HYPERLINK("https://www.catalog.slsa.sa.gov.au/xrecord=b2107212")</f>
        <v>https://www.catalog.slsa.sa.gov.au/xrecord=b2107212</v>
      </c>
      <c r="E1483" t="s">
        <v>4722</v>
      </c>
      <c r="F1483">
        <v>1954</v>
      </c>
      <c r="G1483" t="s">
        <v>5463</v>
      </c>
      <c r="H1483" t="s">
        <v>14</v>
      </c>
      <c r="I1483" t="s">
        <v>4724</v>
      </c>
      <c r="J1483" t="s">
        <v>16</v>
      </c>
      <c r="K1483" s="2" t="str">
        <f>HYPERLINK("http://collections.slsa.sa.gov.au/arbonlem/00250/PRG1324_111.htm")</f>
        <v>http://collections.slsa.sa.gov.au/arbonlem/00250/PRG1324_111.htm</v>
      </c>
    </row>
    <row r="1484" spans="1:11" x14ac:dyDescent="0.25">
      <c r="A1484" t="s">
        <v>5464</v>
      </c>
      <c r="B1484" s="1" t="str">
        <f>HYPERLINK("https://www.catalog.slsa.sa.gov.au/record=b2107414")</f>
        <v>https://www.catalog.slsa.sa.gov.au/record=b2107414</v>
      </c>
      <c r="C1484" s="1" t="str">
        <f>HYPERLINK("https://www.catalog.slsa.sa.gov.au/xrecord=b2107414")</f>
        <v>https://www.catalog.slsa.sa.gov.au/xrecord=b2107414</v>
      </c>
      <c r="E1484" t="s">
        <v>5465</v>
      </c>
      <c r="F1484">
        <v>1954</v>
      </c>
      <c r="G1484" t="s">
        <v>19</v>
      </c>
      <c r="H1484" t="s">
        <v>14</v>
      </c>
      <c r="I1484" t="s">
        <v>5466</v>
      </c>
      <c r="J1484" t="s">
        <v>16</v>
      </c>
      <c r="K1484" s="2" t="str">
        <f>HYPERLINK("http://collections.slsa.sa.gov.au/arbonlem/00250/PRG1324_151.htm")</f>
        <v>http://collections.slsa.sa.gov.au/arbonlem/00250/PRG1324_151.htm</v>
      </c>
    </row>
    <row r="1485" spans="1:11" x14ac:dyDescent="0.25">
      <c r="A1485" t="s">
        <v>5467</v>
      </c>
      <c r="B1485" s="1" t="str">
        <f>HYPERLINK("https://www.catalog.slsa.sa.gov.au/record=b2107499")</f>
        <v>https://www.catalog.slsa.sa.gov.au/record=b2107499</v>
      </c>
      <c r="C1485" s="1" t="str">
        <f>HYPERLINK("https://www.catalog.slsa.sa.gov.au/xrecord=b2107499")</f>
        <v>https://www.catalog.slsa.sa.gov.au/xrecord=b2107499</v>
      </c>
      <c r="E1485" t="s">
        <v>5468</v>
      </c>
      <c r="F1485">
        <v>1954</v>
      </c>
      <c r="G1485" t="s">
        <v>5469</v>
      </c>
      <c r="H1485" t="s">
        <v>14</v>
      </c>
      <c r="I1485" t="s">
        <v>5470</v>
      </c>
      <c r="J1485" t="s">
        <v>16</v>
      </c>
      <c r="K1485" s="2" t="str">
        <f>HYPERLINK("http://collections.slsa.sa.gov.au/arbonlem/00250/PRG1324_194.htm")</f>
        <v>http://collections.slsa.sa.gov.au/arbonlem/00250/PRG1324_194.htm</v>
      </c>
    </row>
    <row r="1486" spans="1:11" x14ac:dyDescent="0.25">
      <c r="A1486" t="s">
        <v>5471</v>
      </c>
      <c r="B1486" s="1" t="str">
        <f>HYPERLINK("https://www.catalog.slsa.sa.gov.au/record=b2107291")</f>
        <v>https://www.catalog.slsa.sa.gov.au/record=b2107291</v>
      </c>
      <c r="C1486" s="1" t="str">
        <f>HYPERLINK("https://www.catalog.slsa.sa.gov.au/xrecord=b2107291")</f>
        <v>https://www.catalog.slsa.sa.gov.au/xrecord=b2107291</v>
      </c>
      <c r="E1486" t="s">
        <v>5472</v>
      </c>
      <c r="F1486">
        <v>1954</v>
      </c>
      <c r="G1486" t="s">
        <v>4735</v>
      </c>
      <c r="H1486" t="s">
        <v>14</v>
      </c>
      <c r="I1486" t="s">
        <v>5473</v>
      </c>
      <c r="J1486" t="s">
        <v>16</v>
      </c>
      <c r="K1486" s="2" t="str">
        <f>HYPERLINK("http://collections.slsa.sa.gov.au/arbonlem/01000/PRG1324_823.htm")</f>
        <v>http://collections.slsa.sa.gov.au/arbonlem/01000/PRG1324_823.htm</v>
      </c>
    </row>
    <row r="1487" spans="1:11" x14ac:dyDescent="0.25">
      <c r="A1487" t="s">
        <v>5474</v>
      </c>
      <c r="B1487" s="1" t="str">
        <f>HYPERLINK("https://www.catalog.slsa.sa.gov.au/record=b2107323")</f>
        <v>https://www.catalog.slsa.sa.gov.au/record=b2107323</v>
      </c>
      <c r="C1487" s="1" t="str">
        <f>HYPERLINK("https://www.catalog.slsa.sa.gov.au/xrecord=b2107323")</f>
        <v>https://www.catalog.slsa.sa.gov.au/xrecord=b2107323</v>
      </c>
      <c r="E1487" t="s">
        <v>5475</v>
      </c>
      <c r="F1487">
        <v>1954</v>
      </c>
      <c r="G1487" t="s">
        <v>5476</v>
      </c>
      <c r="H1487" t="s">
        <v>14</v>
      </c>
      <c r="I1487" t="s">
        <v>5477</v>
      </c>
      <c r="J1487" t="s">
        <v>16</v>
      </c>
      <c r="K1487" s="2" t="str">
        <f>HYPERLINK("http://collections.slsa.sa.gov.au/arbonlem/01000/PRG1324_856.htm")</f>
        <v>http://collections.slsa.sa.gov.au/arbonlem/01000/PRG1324_856.htm</v>
      </c>
    </row>
    <row r="1488" spans="1:11" x14ac:dyDescent="0.25">
      <c r="A1488" t="s">
        <v>5478</v>
      </c>
      <c r="B1488" s="1" t="str">
        <f>HYPERLINK("https://www.catalog.slsa.sa.gov.au/record=b2107085")</f>
        <v>https://www.catalog.slsa.sa.gov.au/record=b2107085</v>
      </c>
      <c r="C1488" s="1" t="str">
        <f>HYPERLINK("https://www.catalog.slsa.sa.gov.au/xrecord=b2107085")</f>
        <v>https://www.catalog.slsa.sa.gov.au/xrecord=b2107085</v>
      </c>
      <c r="E1488" t="s">
        <v>5479</v>
      </c>
      <c r="F1488">
        <v>1954</v>
      </c>
      <c r="G1488" t="s">
        <v>5480</v>
      </c>
      <c r="H1488" t="s">
        <v>14</v>
      </c>
      <c r="I1488" t="s">
        <v>5481</v>
      </c>
      <c r="J1488" t="s">
        <v>16</v>
      </c>
      <c r="K1488" s="2" t="str">
        <f>HYPERLINK("http://collections.slsa.sa.gov.au/arbonlem/01250/PRG1324_1141.htm")</f>
        <v>http://collections.slsa.sa.gov.au/arbonlem/01250/PRG1324_1141.htm</v>
      </c>
    </row>
    <row r="1489" spans="1:11" x14ac:dyDescent="0.25">
      <c r="A1489" t="s">
        <v>5482</v>
      </c>
      <c r="B1489" s="1" t="str">
        <f>HYPERLINK("https://www.catalog.slsa.sa.gov.au/record=b2107820")</f>
        <v>https://www.catalog.slsa.sa.gov.au/record=b2107820</v>
      </c>
      <c r="C1489" s="1" t="str">
        <f>HYPERLINK("https://www.catalog.slsa.sa.gov.au/xrecord=b2107820")</f>
        <v>https://www.catalog.slsa.sa.gov.au/xrecord=b2107820</v>
      </c>
      <c r="E1489" t="s">
        <v>5483</v>
      </c>
      <c r="F1489">
        <v>1954</v>
      </c>
      <c r="G1489" t="s">
        <v>27</v>
      </c>
      <c r="H1489" t="s">
        <v>14</v>
      </c>
      <c r="I1489" t="s">
        <v>5484</v>
      </c>
      <c r="J1489" t="s">
        <v>16</v>
      </c>
      <c r="K1489" s="2" t="str">
        <f>HYPERLINK("http://collections.slsa.sa.gov.au/arbonlem/01250/PRG1324_1247a.htm")</f>
        <v>http://collections.slsa.sa.gov.au/arbonlem/01250/PRG1324_1247a.htm</v>
      </c>
    </row>
    <row r="1490" spans="1:11" x14ac:dyDescent="0.25">
      <c r="A1490" t="s">
        <v>5485</v>
      </c>
      <c r="B1490" s="1" t="str">
        <f>HYPERLINK("https://www.catalog.slsa.sa.gov.au/record=b2108072")</f>
        <v>https://www.catalog.slsa.sa.gov.au/record=b2108072</v>
      </c>
      <c r="C1490" s="1" t="str">
        <f>HYPERLINK("https://www.catalog.slsa.sa.gov.au/xrecord=b2108072")</f>
        <v>https://www.catalog.slsa.sa.gov.au/xrecord=b2108072</v>
      </c>
      <c r="E1490" t="s">
        <v>5486</v>
      </c>
      <c r="F1490">
        <v>1954</v>
      </c>
      <c r="G1490" t="s">
        <v>5487</v>
      </c>
      <c r="H1490" t="s">
        <v>14</v>
      </c>
      <c r="I1490" t="s">
        <v>5488</v>
      </c>
      <c r="J1490" t="s">
        <v>16</v>
      </c>
      <c r="K1490" s="2" t="str">
        <f>HYPERLINK("http://collections.slsa.sa.gov.au/arbonlem/01500/PRG1324_1328.htm")</f>
        <v>http://collections.slsa.sa.gov.au/arbonlem/01500/PRG1324_1328.htm</v>
      </c>
    </row>
    <row r="1491" spans="1:11" x14ac:dyDescent="0.25">
      <c r="A1491" t="s">
        <v>5489</v>
      </c>
      <c r="B1491" s="1" t="str">
        <f>HYPERLINK("https://www.catalog.slsa.sa.gov.au/record=b2108100")</f>
        <v>https://www.catalog.slsa.sa.gov.au/record=b2108100</v>
      </c>
      <c r="C1491" s="1" t="str">
        <f>HYPERLINK("https://www.catalog.slsa.sa.gov.au/xrecord=b2108100")</f>
        <v>https://www.catalog.slsa.sa.gov.au/xrecord=b2108100</v>
      </c>
      <c r="E1491" t="s">
        <v>5490</v>
      </c>
      <c r="F1491">
        <v>1954</v>
      </c>
      <c r="G1491" t="s">
        <v>5491</v>
      </c>
      <c r="H1491" t="s">
        <v>14</v>
      </c>
      <c r="I1491" t="s">
        <v>5492</v>
      </c>
      <c r="J1491" t="s">
        <v>16</v>
      </c>
      <c r="K1491" s="2" t="str">
        <f>HYPERLINK("http://collections.slsa.sa.gov.au/arbonlem/01500/PRG1324_1355.htm")</f>
        <v>http://collections.slsa.sa.gov.au/arbonlem/01500/PRG1324_1355.htm</v>
      </c>
    </row>
    <row r="1492" spans="1:11" x14ac:dyDescent="0.25">
      <c r="A1492" t="s">
        <v>5493</v>
      </c>
      <c r="B1492" s="1" t="str">
        <f>HYPERLINK("https://www.catalog.slsa.sa.gov.au/record=b2108121")</f>
        <v>https://www.catalog.slsa.sa.gov.au/record=b2108121</v>
      </c>
      <c r="C1492" s="1" t="str">
        <f>HYPERLINK("https://www.catalog.slsa.sa.gov.au/xrecord=b2108121")</f>
        <v>https://www.catalog.slsa.sa.gov.au/xrecord=b2108121</v>
      </c>
      <c r="E1492" t="s">
        <v>5494</v>
      </c>
      <c r="F1492">
        <v>1954</v>
      </c>
      <c r="G1492" t="s">
        <v>5070</v>
      </c>
      <c r="H1492" t="s">
        <v>14</v>
      </c>
      <c r="I1492" t="s">
        <v>5495</v>
      </c>
      <c r="J1492" t="s">
        <v>16</v>
      </c>
      <c r="K1492" s="2" t="str">
        <f>HYPERLINK("http://collections.slsa.sa.gov.au/arbonlem/01500/PRG1324_1376.htm")</f>
        <v>http://collections.slsa.sa.gov.au/arbonlem/01500/PRG1324_1376.htm</v>
      </c>
    </row>
    <row r="1493" spans="1:11" x14ac:dyDescent="0.25">
      <c r="A1493" t="s">
        <v>5496</v>
      </c>
      <c r="B1493" s="1" t="str">
        <f>HYPERLINK("https://www.catalog.slsa.sa.gov.au/record=b2108179")</f>
        <v>https://www.catalog.slsa.sa.gov.au/record=b2108179</v>
      </c>
      <c r="C1493" s="1" t="str">
        <f>HYPERLINK("https://www.catalog.slsa.sa.gov.au/xrecord=b2108179")</f>
        <v>https://www.catalog.slsa.sa.gov.au/xrecord=b2108179</v>
      </c>
      <c r="E1493" t="s">
        <v>5497</v>
      </c>
      <c r="F1493">
        <v>1954</v>
      </c>
      <c r="G1493" t="s">
        <v>5050</v>
      </c>
      <c r="H1493" t="s">
        <v>14</v>
      </c>
      <c r="I1493" t="s">
        <v>5498</v>
      </c>
      <c r="J1493" t="s">
        <v>16</v>
      </c>
      <c r="K1493" s="2" t="str">
        <f>HYPERLINK("http://collections.slsa.sa.gov.au/arbonlem/01500/PRG1324_1434.htm")</f>
        <v>http://collections.slsa.sa.gov.au/arbonlem/01500/PRG1324_1434.htm</v>
      </c>
    </row>
    <row r="1494" spans="1:11" x14ac:dyDescent="0.25">
      <c r="A1494" t="s">
        <v>5499</v>
      </c>
      <c r="B1494" s="1" t="str">
        <f>HYPERLINK("https://www.catalog.slsa.sa.gov.au/record=b2108370")</f>
        <v>https://www.catalog.slsa.sa.gov.au/record=b2108370</v>
      </c>
      <c r="C1494" s="1" t="str">
        <f>HYPERLINK("https://www.catalog.slsa.sa.gov.au/xrecord=b2108370")</f>
        <v>https://www.catalog.slsa.sa.gov.au/xrecord=b2108370</v>
      </c>
      <c r="E1494" t="s">
        <v>5500</v>
      </c>
      <c r="F1494">
        <v>1954</v>
      </c>
      <c r="G1494" t="s">
        <v>5501</v>
      </c>
      <c r="H1494" t="s">
        <v>14</v>
      </c>
      <c r="I1494" t="s">
        <v>5502</v>
      </c>
      <c r="J1494" t="s">
        <v>16</v>
      </c>
      <c r="K1494" s="2" t="str">
        <f>HYPERLINK("http://collections.slsa.sa.gov.au/arbonlem/01750/PRG1324_1505a.htm")</f>
        <v>http://collections.slsa.sa.gov.au/arbonlem/01750/PRG1324_1505a.htm</v>
      </c>
    </row>
    <row r="1495" spans="1:11" x14ac:dyDescent="0.25">
      <c r="A1495" t="s">
        <v>5503</v>
      </c>
      <c r="B1495" s="1" t="str">
        <f>HYPERLINK("https://www.catalog.slsa.sa.gov.au/record=b2108259")</f>
        <v>https://www.catalog.slsa.sa.gov.au/record=b2108259</v>
      </c>
      <c r="C1495" s="1" t="str">
        <f>HYPERLINK("https://www.catalog.slsa.sa.gov.au/xrecord=b2108259")</f>
        <v>https://www.catalog.slsa.sa.gov.au/xrecord=b2108259</v>
      </c>
      <c r="E1495" t="s">
        <v>5504</v>
      </c>
      <c r="F1495">
        <v>1954</v>
      </c>
      <c r="G1495" t="s">
        <v>5050</v>
      </c>
      <c r="H1495" t="s">
        <v>14</v>
      </c>
      <c r="I1495" t="s">
        <v>5505</v>
      </c>
      <c r="J1495" t="s">
        <v>16</v>
      </c>
      <c r="K1495" s="2" t="str">
        <f>HYPERLINK("http://collections.slsa.sa.gov.au/arbonlem/01750/PRG1324_1509.htm")</f>
        <v>http://collections.slsa.sa.gov.au/arbonlem/01750/PRG1324_1509.htm</v>
      </c>
    </row>
    <row r="1496" spans="1:11" x14ac:dyDescent="0.25">
      <c r="A1496" t="s">
        <v>5506</v>
      </c>
      <c r="B1496" s="1" t="str">
        <f>HYPERLINK("https://www.catalog.slsa.sa.gov.au/record=b2108301")</f>
        <v>https://www.catalog.slsa.sa.gov.au/record=b2108301</v>
      </c>
      <c r="C1496" s="1" t="str">
        <f>HYPERLINK("https://www.catalog.slsa.sa.gov.au/xrecord=b2108301")</f>
        <v>https://www.catalog.slsa.sa.gov.au/xrecord=b2108301</v>
      </c>
      <c r="E1496" t="s">
        <v>5507</v>
      </c>
      <c r="F1496">
        <v>1954</v>
      </c>
      <c r="G1496" t="s">
        <v>5508</v>
      </c>
      <c r="H1496" t="s">
        <v>14</v>
      </c>
      <c r="I1496" t="s">
        <v>5509</v>
      </c>
      <c r="J1496" t="s">
        <v>16</v>
      </c>
      <c r="K1496" s="2" t="str">
        <f>HYPERLINK("http://collections.slsa.sa.gov.au/arbonlem/01750/PRG1324_1551.htm")</f>
        <v>http://collections.slsa.sa.gov.au/arbonlem/01750/PRG1324_1551.htm</v>
      </c>
    </row>
    <row r="1497" spans="1:11" x14ac:dyDescent="0.25">
      <c r="A1497" t="s">
        <v>5510</v>
      </c>
      <c r="B1497" s="1" t="str">
        <f>HYPERLINK("https://www.catalog.slsa.sa.gov.au/record=b2110090")</f>
        <v>https://www.catalog.slsa.sa.gov.au/record=b2110090</v>
      </c>
      <c r="C1497" s="1" t="str">
        <f>HYPERLINK("https://www.catalog.slsa.sa.gov.au/xrecord=b2110090")</f>
        <v>https://www.catalog.slsa.sa.gov.au/xrecord=b2110090</v>
      </c>
      <c r="D1497" t="s">
        <v>66</v>
      </c>
      <c r="E1497" t="s">
        <v>5511</v>
      </c>
      <c r="F1497">
        <v>1954</v>
      </c>
      <c r="G1497" t="s">
        <v>121</v>
      </c>
      <c r="H1497" t="s">
        <v>5512</v>
      </c>
      <c r="I1497" t="s">
        <v>5513</v>
      </c>
      <c r="J1497" t="s">
        <v>71</v>
      </c>
      <c r="K1497" s="2" t="str">
        <f>HYPERLINK("http://collections.slsa.sa.gov.au/arthur/01000/BRG347_894.htm")</f>
        <v>http://collections.slsa.sa.gov.au/arthur/01000/BRG347_894.htm</v>
      </c>
    </row>
    <row r="1498" spans="1:11" x14ac:dyDescent="0.25">
      <c r="A1498" t="s">
        <v>5514</v>
      </c>
      <c r="B1498" s="1" t="str">
        <f>HYPERLINK("https://www.catalog.slsa.sa.gov.au/record=b2110091")</f>
        <v>https://www.catalog.slsa.sa.gov.au/record=b2110091</v>
      </c>
      <c r="C1498" s="1" t="str">
        <f>HYPERLINK("https://www.catalog.slsa.sa.gov.au/xrecord=b2110091")</f>
        <v>https://www.catalog.slsa.sa.gov.au/xrecord=b2110091</v>
      </c>
      <c r="D1498" t="s">
        <v>66</v>
      </c>
      <c r="E1498" t="s">
        <v>5515</v>
      </c>
      <c r="F1498">
        <v>1954</v>
      </c>
      <c r="G1498" t="s">
        <v>121</v>
      </c>
      <c r="H1498" t="s">
        <v>5516</v>
      </c>
      <c r="I1498" t="s">
        <v>5517</v>
      </c>
      <c r="J1498" t="s">
        <v>71</v>
      </c>
      <c r="K1498" s="2" t="str">
        <f>HYPERLINK("http://collections.slsa.sa.gov.au/arthur/01000/BRG347_895.htm")</f>
        <v>http://collections.slsa.sa.gov.au/arthur/01000/BRG347_895.htm</v>
      </c>
    </row>
    <row r="1499" spans="1:11" x14ac:dyDescent="0.25">
      <c r="A1499" t="s">
        <v>5518</v>
      </c>
      <c r="B1499" s="1" t="str">
        <f>HYPERLINK("https://www.catalog.slsa.sa.gov.au/record=b2110145")</f>
        <v>https://www.catalog.slsa.sa.gov.au/record=b2110145</v>
      </c>
      <c r="C1499" s="1" t="str">
        <f>HYPERLINK("https://www.catalog.slsa.sa.gov.au/xrecord=b2110145")</f>
        <v>https://www.catalog.slsa.sa.gov.au/xrecord=b2110145</v>
      </c>
      <c r="D1499" t="s">
        <v>66</v>
      </c>
      <c r="E1499" t="s">
        <v>5519</v>
      </c>
      <c r="F1499">
        <v>1954</v>
      </c>
      <c r="G1499" t="s">
        <v>121</v>
      </c>
      <c r="H1499" t="s">
        <v>5520</v>
      </c>
      <c r="I1499" t="s">
        <v>5521</v>
      </c>
      <c r="J1499" t="s">
        <v>71</v>
      </c>
      <c r="K1499" s="2" t="str">
        <f>HYPERLINK("http://collections.slsa.sa.gov.au/arthur/01000/BRG347_950.htm")</f>
        <v>http://collections.slsa.sa.gov.au/arthur/01000/BRG347_950.htm</v>
      </c>
    </row>
    <row r="1500" spans="1:11" x14ac:dyDescent="0.25">
      <c r="A1500" t="s">
        <v>5522</v>
      </c>
      <c r="B1500" s="1" t="str">
        <f>HYPERLINK("https://www.catalog.slsa.sa.gov.au/record=b2110146")</f>
        <v>https://www.catalog.slsa.sa.gov.au/record=b2110146</v>
      </c>
      <c r="C1500" s="1" t="str">
        <f>HYPERLINK("https://www.catalog.slsa.sa.gov.au/xrecord=b2110146")</f>
        <v>https://www.catalog.slsa.sa.gov.au/xrecord=b2110146</v>
      </c>
      <c r="D1500" t="s">
        <v>66</v>
      </c>
      <c r="E1500" t="s">
        <v>5519</v>
      </c>
      <c r="F1500">
        <v>1954</v>
      </c>
      <c r="G1500" t="s">
        <v>121</v>
      </c>
      <c r="H1500" t="s">
        <v>5523</v>
      </c>
      <c r="I1500" t="s">
        <v>5521</v>
      </c>
      <c r="J1500" t="s">
        <v>71</v>
      </c>
      <c r="K1500" s="2" t="str">
        <f>HYPERLINK("http://collections.slsa.sa.gov.au/arthur/01000/BRG347_951.htm")</f>
        <v>http://collections.slsa.sa.gov.au/arthur/01000/BRG347_951.htm</v>
      </c>
    </row>
    <row r="1501" spans="1:11" x14ac:dyDescent="0.25">
      <c r="A1501" t="s">
        <v>5524</v>
      </c>
      <c r="B1501" s="1" t="str">
        <f>HYPERLINK("https://www.catalog.slsa.sa.gov.au/record=b2110149")</f>
        <v>https://www.catalog.slsa.sa.gov.au/record=b2110149</v>
      </c>
      <c r="C1501" s="1" t="str">
        <f>HYPERLINK("https://www.catalog.slsa.sa.gov.au/xrecord=b2110149")</f>
        <v>https://www.catalog.slsa.sa.gov.au/xrecord=b2110149</v>
      </c>
      <c r="D1501" t="s">
        <v>66</v>
      </c>
      <c r="E1501" t="s">
        <v>5519</v>
      </c>
      <c r="F1501">
        <v>1954</v>
      </c>
      <c r="G1501" t="s">
        <v>121</v>
      </c>
      <c r="H1501" t="s">
        <v>5525</v>
      </c>
      <c r="I1501" t="s">
        <v>5526</v>
      </c>
      <c r="J1501" t="s">
        <v>71</v>
      </c>
      <c r="K1501" s="2" t="str">
        <f>HYPERLINK("http://collections.slsa.sa.gov.au/arthur/01000/BRG347_954.htm")</f>
        <v>http://collections.slsa.sa.gov.au/arthur/01000/BRG347_954.htm</v>
      </c>
    </row>
    <row r="1502" spans="1:11" x14ac:dyDescent="0.25">
      <c r="A1502" t="s">
        <v>5527</v>
      </c>
      <c r="B1502" s="1" t="str">
        <f>HYPERLINK("https://www.catalog.slsa.sa.gov.au/record=b2110197")</f>
        <v>https://www.catalog.slsa.sa.gov.au/record=b2110197</v>
      </c>
      <c r="C1502" s="1" t="str">
        <f>HYPERLINK("https://www.catalog.slsa.sa.gov.au/xrecord=b2110197")</f>
        <v>https://www.catalog.slsa.sa.gov.au/xrecord=b2110197</v>
      </c>
      <c r="D1502" t="s">
        <v>66</v>
      </c>
      <c r="E1502" t="s">
        <v>5528</v>
      </c>
      <c r="F1502">
        <v>1954</v>
      </c>
      <c r="G1502" t="s">
        <v>121</v>
      </c>
      <c r="H1502" t="s">
        <v>5529</v>
      </c>
      <c r="I1502" t="s">
        <v>5530</v>
      </c>
      <c r="J1502" t="s">
        <v>71</v>
      </c>
      <c r="K1502" s="2" t="str">
        <f>HYPERLINK("http://collections.slsa.sa.gov.au/arthur/01250/BRG347_1001.htm")</f>
        <v>http://collections.slsa.sa.gov.au/arthur/01250/BRG347_1001.htm</v>
      </c>
    </row>
    <row r="1503" spans="1:11" x14ac:dyDescent="0.25">
      <c r="A1503" t="s">
        <v>5531</v>
      </c>
      <c r="B1503" s="1" t="str">
        <f>HYPERLINK("https://www.catalog.slsa.sa.gov.au/record=b2110198")</f>
        <v>https://www.catalog.slsa.sa.gov.au/record=b2110198</v>
      </c>
      <c r="C1503" s="1" t="str">
        <f>HYPERLINK("https://www.catalog.slsa.sa.gov.au/xrecord=b2110198")</f>
        <v>https://www.catalog.slsa.sa.gov.au/xrecord=b2110198</v>
      </c>
      <c r="D1503" t="s">
        <v>66</v>
      </c>
      <c r="E1503" t="s">
        <v>5532</v>
      </c>
      <c r="F1503">
        <v>1954</v>
      </c>
      <c r="G1503" t="s">
        <v>121</v>
      </c>
      <c r="H1503" t="s">
        <v>5533</v>
      </c>
      <c r="I1503" t="s">
        <v>5534</v>
      </c>
      <c r="J1503" t="s">
        <v>71</v>
      </c>
      <c r="K1503" s="2" t="str">
        <f>HYPERLINK("http://collections.slsa.sa.gov.au/arthur/01250/BRG347_1002.htm")</f>
        <v>http://collections.slsa.sa.gov.au/arthur/01250/BRG347_1002.htm</v>
      </c>
    </row>
    <row r="1504" spans="1:11" x14ac:dyDescent="0.25">
      <c r="A1504" t="s">
        <v>5535</v>
      </c>
      <c r="B1504" s="1" t="str">
        <f>HYPERLINK("https://www.catalog.slsa.sa.gov.au/record=b2110199")</f>
        <v>https://www.catalog.slsa.sa.gov.au/record=b2110199</v>
      </c>
      <c r="C1504" s="1" t="str">
        <f>HYPERLINK("https://www.catalog.slsa.sa.gov.au/xrecord=b2110199")</f>
        <v>https://www.catalog.slsa.sa.gov.au/xrecord=b2110199</v>
      </c>
      <c r="D1504" t="s">
        <v>66</v>
      </c>
      <c r="E1504" t="s">
        <v>5536</v>
      </c>
      <c r="F1504">
        <v>1954</v>
      </c>
      <c r="G1504" t="s">
        <v>121</v>
      </c>
      <c r="H1504" t="s">
        <v>5537</v>
      </c>
      <c r="I1504" t="s">
        <v>5538</v>
      </c>
      <c r="J1504" t="s">
        <v>71</v>
      </c>
      <c r="K1504" s="2" t="str">
        <f>HYPERLINK("http://collections.slsa.sa.gov.au/arthur/01250/BRG347_1003.htm")</f>
        <v>http://collections.slsa.sa.gov.au/arthur/01250/BRG347_1003.htm</v>
      </c>
    </row>
    <row r="1505" spans="1:11" x14ac:dyDescent="0.25">
      <c r="A1505" t="s">
        <v>5539</v>
      </c>
      <c r="B1505" s="1" t="str">
        <f>HYPERLINK("https://www.catalog.slsa.sa.gov.au/record=b2110201")</f>
        <v>https://www.catalog.slsa.sa.gov.au/record=b2110201</v>
      </c>
      <c r="C1505" s="1" t="str">
        <f>HYPERLINK("https://www.catalog.slsa.sa.gov.au/xrecord=b2110201")</f>
        <v>https://www.catalog.slsa.sa.gov.au/xrecord=b2110201</v>
      </c>
      <c r="D1505" t="s">
        <v>66</v>
      </c>
      <c r="E1505" t="s">
        <v>5515</v>
      </c>
      <c r="F1505">
        <v>1954</v>
      </c>
      <c r="G1505" t="s">
        <v>121</v>
      </c>
      <c r="H1505" t="s">
        <v>5540</v>
      </c>
      <c r="I1505" t="s">
        <v>5541</v>
      </c>
      <c r="J1505" t="s">
        <v>71</v>
      </c>
      <c r="K1505" s="2" t="str">
        <f>HYPERLINK("http://collections.slsa.sa.gov.au/arthur/01250/BRG347_1005.htm")</f>
        <v>http://collections.slsa.sa.gov.au/arthur/01250/BRG347_1005.htm</v>
      </c>
    </row>
    <row r="1506" spans="1:11" x14ac:dyDescent="0.25">
      <c r="A1506" t="s">
        <v>5542</v>
      </c>
      <c r="B1506" s="1" t="str">
        <f>HYPERLINK("https://www.catalog.slsa.sa.gov.au/record=b2110206")</f>
        <v>https://www.catalog.slsa.sa.gov.au/record=b2110206</v>
      </c>
      <c r="C1506" s="1" t="str">
        <f>HYPERLINK("https://www.catalog.slsa.sa.gov.au/xrecord=b2110206")</f>
        <v>https://www.catalog.slsa.sa.gov.au/xrecord=b2110206</v>
      </c>
      <c r="D1506" t="s">
        <v>66</v>
      </c>
      <c r="E1506" t="s">
        <v>5543</v>
      </c>
      <c r="F1506">
        <v>1954</v>
      </c>
      <c r="G1506" t="s">
        <v>121</v>
      </c>
      <c r="H1506" t="s">
        <v>5544</v>
      </c>
      <c r="I1506" t="s">
        <v>5545</v>
      </c>
      <c r="J1506" t="s">
        <v>71</v>
      </c>
      <c r="K1506" s="2" t="str">
        <f>HYPERLINK("http://collections.slsa.sa.gov.au/arthur/01250/BRG347_1010.htm")</f>
        <v>http://collections.slsa.sa.gov.au/arthur/01250/BRG347_1010.htm</v>
      </c>
    </row>
    <row r="1507" spans="1:11" x14ac:dyDescent="0.25">
      <c r="A1507" t="s">
        <v>5546</v>
      </c>
      <c r="B1507" s="1" t="str">
        <f>HYPERLINK("https://www.catalog.slsa.sa.gov.au/record=b2110276")</f>
        <v>https://www.catalog.slsa.sa.gov.au/record=b2110276</v>
      </c>
      <c r="C1507" s="1" t="str">
        <f>HYPERLINK("https://www.catalog.slsa.sa.gov.au/xrecord=b2110276")</f>
        <v>https://www.catalog.slsa.sa.gov.au/xrecord=b2110276</v>
      </c>
      <c r="D1507" t="s">
        <v>66</v>
      </c>
      <c r="E1507" t="s">
        <v>5547</v>
      </c>
      <c r="F1507">
        <v>1954</v>
      </c>
      <c r="G1507" t="s">
        <v>121</v>
      </c>
      <c r="H1507" t="s">
        <v>5548</v>
      </c>
      <c r="I1507" t="s">
        <v>5549</v>
      </c>
      <c r="J1507" t="s">
        <v>71</v>
      </c>
      <c r="K1507" s="2" t="str">
        <f>HYPERLINK("http://collections.slsa.sa.gov.au/arthur/01250/BRG347_1047.htm")</f>
        <v>http://collections.slsa.sa.gov.au/arthur/01250/BRG347_1047.htm</v>
      </c>
    </row>
    <row r="1508" spans="1:11" x14ac:dyDescent="0.25">
      <c r="A1508" t="s">
        <v>5550</v>
      </c>
      <c r="B1508" s="1" t="str">
        <f>HYPERLINK("https://www.catalog.slsa.sa.gov.au/record=b2110277")</f>
        <v>https://www.catalog.slsa.sa.gov.au/record=b2110277</v>
      </c>
      <c r="C1508" s="1" t="str">
        <f>HYPERLINK("https://www.catalog.slsa.sa.gov.au/xrecord=b2110277")</f>
        <v>https://www.catalog.slsa.sa.gov.au/xrecord=b2110277</v>
      </c>
      <c r="D1508" t="s">
        <v>66</v>
      </c>
      <c r="E1508" t="s">
        <v>5551</v>
      </c>
      <c r="F1508">
        <v>1954</v>
      </c>
      <c r="G1508" t="s">
        <v>121</v>
      </c>
      <c r="H1508" t="s">
        <v>5552</v>
      </c>
      <c r="I1508" t="s">
        <v>5553</v>
      </c>
      <c r="J1508" t="s">
        <v>71</v>
      </c>
      <c r="K1508" s="2" t="str">
        <f>HYPERLINK("http://collections.slsa.sa.gov.au/arthur/01250/BRG347_1048.htm")</f>
        <v>http://collections.slsa.sa.gov.au/arthur/01250/BRG347_1048.htm</v>
      </c>
    </row>
    <row r="1509" spans="1:11" x14ac:dyDescent="0.25">
      <c r="A1509" t="s">
        <v>5554</v>
      </c>
      <c r="B1509" s="1" t="str">
        <f>HYPERLINK("https://www.catalog.slsa.sa.gov.au/record=b2110284")</f>
        <v>https://www.catalog.slsa.sa.gov.au/record=b2110284</v>
      </c>
      <c r="C1509" s="1" t="str">
        <f>HYPERLINK("https://www.catalog.slsa.sa.gov.au/xrecord=b2110284")</f>
        <v>https://www.catalog.slsa.sa.gov.au/xrecord=b2110284</v>
      </c>
      <c r="D1509" t="s">
        <v>66</v>
      </c>
      <c r="E1509" t="s">
        <v>5551</v>
      </c>
      <c r="F1509">
        <v>1954</v>
      </c>
      <c r="G1509" t="s">
        <v>121</v>
      </c>
      <c r="H1509" t="s">
        <v>5555</v>
      </c>
      <c r="I1509" t="s">
        <v>5556</v>
      </c>
      <c r="J1509" t="s">
        <v>71</v>
      </c>
      <c r="K1509" s="2" t="str">
        <f>HYPERLINK("http://collections.slsa.sa.gov.au/arthur/01250/BRG347_1055.htm")</f>
        <v>http://collections.slsa.sa.gov.au/arthur/01250/BRG347_1055.htm</v>
      </c>
    </row>
    <row r="1510" spans="1:11" x14ac:dyDescent="0.25">
      <c r="A1510" t="s">
        <v>5557</v>
      </c>
      <c r="B1510" s="1" t="str">
        <f>HYPERLINK("https://www.catalog.slsa.sa.gov.au/record=b2110285")</f>
        <v>https://www.catalog.slsa.sa.gov.au/record=b2110285</v>
      </c>
      <c r="C1510" s="1" t="str">
        <f>HYPERLINK("https://www.catalog.slsa.sa.gov.au/xrecord=b2110285")</f>
        <v>https://www.catalog.slsa.sa.gov.au/xrecord=b2110285</v>
      </c>
      <c r="D1510" t="s">
        <v>66</v>
      </c>
      <c r="E1510" t="s">
        <v>5551</v>
      </c>
      <c r="F1510">
        <v>1954</v>
      </c>
      <c r="G1510" t="s">
        <v>121</v>
      </c>
      <c r="H1510" t="s">
        <v>5558</v>
      </c>
      <c r="I1510" t="s">
        <v>5559</v>
      </c>
      <c r="J1510" t="s">
        <v>71</v>
      </c>
      <c r="K1510" s="2" t="str">
        <f>HYPERLINK("http://collections.slsa.sa.gov.au/arthur/01250/BRG347_1056.htm")</f>
        <v>http://collections.slsa.sa.gov.au/arthur/01250/BRG347_1056.htm</v>
      </c>
    </row>
    <row r="1511" spans="1:11" x14ac:dyDescent="0.25">
      <c r="A1511" t="s">
        <v>5560</v>
      </c>
      <c r="B1511" s="1" t="str">
        <f>HYPERLINK("https://www.catalog.slsa.sa.gov.au/record=b2110287")</f>
        <v>https://www.catalog.slsa.sa.gov.au/record=b2110287</v>
      </c>
      <c r="C1511" s="1" t="str">
        <f>HYPERLINK("https://www.catalog.slsa.sa.gov.au/xrecord=b2110287")</f>
        <v>https://www.catalog.slsa.sa.gov.au/xrecord=b2110287</v>
      </c>
      <c r="D1511" t="s">
        <v>66</v>
      </c>
      <c r="E1511" t="s">
        <v>5561</v>
      </c>
      <c r="F1511">
        <v>1954</v>
      </c>
      <c r="G1511" t="s">
        <v>121</v>
      </c>
      <c r="H1511" t="s">
        <v>5562</v>
      </c>
      <c r="I1511" t="s">
        <v>5563</v>
      </c>
      <c r="J1511" t="s">
        <v>71</v>
      </c>
      <c r="K1511" s="2" t="str">
        <f>HYPERLINK("http://collections.slsa.sa.gov.au/arthur/01250/BRG347_1058.htm")</f>
        <v>http://collections.slsa.sa.gov.au/arthur/01250/BRG347_1058.htm</v>
      </c>
    </row>
    <row r="1512" spans="1:11" x14ac:dyDescent="0.25">
      <c r="A1512" t="s">
        <v>5564</v>
      </c>
      <c r="B1512" s="1" t="str">
        <f>HYPERLINK("https://www.catalog.slsa.sa.gov.au/record=b2110291")</f>
        <v>https://www.catalog.slsa.sa.gov.au/record=b2110291</v>
      </c>
      <c r="C1512" s="1" t="str">
        <f>HYPERLINK("https://www.catalog.slsa.sa.gov.au/xrecord=b2110291")</f>
        <v>https://www.catalog.slsa.sa.gov.au/xrecord=b2110291</v>
      </c>
      <c r="D1512" t="s">
        <v>66</v>
      </c>
      <c r="E1512" t="s">
        <v>5565</v>
      </c>
      <c r="F1512">
        <v>1954</v>
      </c>
      <c r="G1512" t="s">
        <v>121</v>
      </c>
      <c r="H1512" t="s">
        <v>5566</v>
      </c>
      <c r="I1512" t="s">
        <v>5559</v>
      </c>
      <c r="J1512" t="s">
        <v>71</v>
      </c>
      <c r="K1512" s="2" t="str">
        <f>HYPERLINK("http://collections.slsa.sa.gov.au/arthur/01250/BRG347_1062.htm")</f>
        <v>http://collections.slsa.sa.gov.au/arthur/01250/BRG347_1062.htm</v>
      </c>
    </row>
    <row r="1513" spans="1:11" x14ac:dyDescent="0.25">
      <c r="A1513" t="s">
        <v>5567</v>
      </c>
      <c r="B1513" s="1" t="str">
        <f>HYPERLINK("https://www.catalog.slsa.sa.gov.au/record=b2110292")</f>
        <v>https://www.catalog.slsa.sa.gov.au/record=b2110292</v>
      </c>
      <c r="C1513" s="1" t="str">
        <f>HYPERLINK("https://www.catalog.slsa.sa.gov.au/xrecord=b2110292")</f>
        <v>https://www.catalog.slsa.sa.gov.au/xrecord=b2110292</v>
      </c>
      <c r="D1513" t="s">
        <v>66</v>
      </c>
      <c r="E1513" t="s">
        <v>5565</v>
      </c>
      <c r="F1513">
        <v>1954</v>
      </c>
      <c r="G1513" t="s">
        <v>121</v>
      </c>
      <c r="H1513" t="s">
        <v>5568</v>
      </c>
      <c r="I1513" t="s">
        <v>5559</v>
      </c>
      <c r="J1513" t="s">
        <v>71</v>
      </c>
      <c r="K1513" s="2" t="str">
        <f>HYPERLINK("http://collections.slsa.sa.gov.au/arthur/01250/BRG347_1063.htm")</f>
        <v>http://collections.slsa.sa.gov.au/arthur/01250/BRG347_1063.htm</v>
      </c>
    </row>
    <row r="1514" spans="1:11" x14ac:dyDescent="0.25">
      <c r="A1514" t="s">
        <v>5569</v>
      </c>
      <c r="B1514" s="1" t="str">
        <f>HYPERLINK("https://www.catalog.slsa.sa.gov.au/record=b2110411")</f>
        <v>https://www.catalog.slsa.sa.gov.au/record=b2110411</v>
      </c>
      <c r="C1514" s="1" t="str">
        <f>HYPERLINK("https://www.catalog.slsa.sa.gov.au/xrecord=b2110411")</f>
        <v>https://www.catalog.slsa.sa.gov.au/xrecord=b2110411</v>
      </c>
      <c r="D1514" t="s">
        <v>66</v>
      </c>
      <c r="E1514" t="s">
        <v>5570</v>
      </c>
      <c r="F1514">
        <v>1954</v>
      </c>
      <c r="G1514" t="s">
        <v>121</v>
      </c>
      <c r="H1514" t="s">
        <v>5571</v>
      </c>
      <c r="I1514" t="s">
        <v>5572</v>
      </c>
      <c r="J1514" t="s">
        <v>71</v>
      </c>
      <c r="K1514" s="2" t="str">
        <f>HYPERLINK("http://collections.slsa.sa.gov.au/arthur/01250/BRG347_1185.htm")</f>
        <v>http://collections.slsa.sa.gov.au/arthur/01250/BRG347_1185.htm</v>
      </c>
    </row>
    <row r="1515" spans="1:11" x14ac:dyDescent="0.25">
      <c r="A1515" t="s">
        <v>5573</v>
      </c>
      <c r="B1515" s="1" t="str">
        <f>HYPERLINK("https://www.catalog.slsa.sa.gov.au/record=b2110414")</f>
        <v>https://www.catalog.slsa.sa.gov.au/record=b2110414</v>
      </c>
      <c r="C1515" s="1" t="str">
        <f>HYPERLINK("https://www.catalog.slsa.sa.gov.au/xrecord=b2110414")</f>
        <v>https://www.catalog.slsa.sa.gov.au/xrecord=b2110414</v>
      </c>
      <c r="D1515" t="s">
        <v>66</v>
      </c>
      <c r="E1515" t="s">
        <v>5574</v>
      </c>
      <c r="F1515">
        <v>1954</v>
      </c>
      <c r="G1515" t="s">
        <v>121</v>
      </c>
      <c r="H1515" t="s">
        <v>5575</v>
      </c>
      <c r="I1515" t="s">
        <v>4947</v>
      </c>
      <c r="J1515" t="s">
        <v>71</v>
      </c>
      <c r="K1515" s="2" t="str">
        <f>HYPERLINK("http://collections.slsa.sa.gov.au/arthur/01250/BRG347_1188.htm")</f>
        <v>http://collections.slsa.sa.gov.au/arthur/01250/BRG347_1188.htm</v>
      </c>
    </row>
    <row r="1516" spans="1:11" x14ac:dyDescent="0.25">
      <c r="A1516" t="s">
        <v>5576</v>
      </c>
      <c r="B1516" s="1" t="str">
        <f>HYPERLINK("https://www.catalog.slsa.sa.gov.au/record=b2110415")</f>
        <v>https://www.catalog.slsa.sa.gov.au/record=b2110415</v>
      </c>
      <c r="C1516" s="1" t="str">
        <f>HYPERLINK("https://www.catalog.slsa.sa.gov.au/xrecord=b2110415")</f>
        <v>https://www.catalog.slsa.sa.gov.au/xrecord=b2110415</v>
      </c>
      <c r="D1516" t="s">
        <v>66</v>
      </c>
      <c r="E1516" t="s">
        <v>5577</v>
      </c>
      <c r="F1516">
        <v>1954</v>
      </c>
      <c r="G1516" t="s">
        <v>121</v>
      </c>
      <c r="H1516" t="s">
        <v>5578</v>
      </c>
      <c r="I1516" t="s">
        <v>5579</v>
      </c>
      <c r="J1516" t="s">
        <v>71</v>
      </c>
      <c r="K1516" s="2" t="str">
        <f>HYPERLINK("http://collections.slsa.sa.gov.au/arthur/01250/BRG347_1189.htm")</f>
        <v>http://collections.slsa.sa.gov.au/arthur/01250/BRG347_1189.htm</v>
      </c>
    </row>
    <row r="1517" spans="1:11" x14ac:dyDescent="0.25">
      <c r="A1517" t="s">
        <v>5580</v>
      </c>
      <c r="B1517" s="1" t="str">
        <f>HYPERLINK("https://www.catalog.slsa.sa.gov.au/record=b2110416")</f>
        <v>https://www.catalog.slsa.sa.gov.au/record=b2110416</v>
      </c>
      <c r="C1517" s="1" t="str">
        <f>HYPERLINK("https://www.catalog.slsa.sa.gov.au/xrecord=b2110416")</f>
        <v>https://www.catalog.slsa.sa.gov.au/xrecord=b2110416</v>
      </c>
      <c r="D1517" t="s">
        <v>66</v>
      </c>
      <c r="E1517" t="s">
        <v>5577</v>
      </c>
      <c r="F1517">
        <v>1954</v>
      </c>
      <c r="G1517" t="s">
        <v>121</v>
      </c>
      <c r="H1517" t="s">
        <v>5581</v>
      </c>
      <c r="I1517" t="s">
        <v>5582</v>
      </c>
      <c r="J1517" t="s">
        <v>71</v>
      </c>
      <c r="K1517" s="2" t="str">
        <f>HYPERLINK("http://collections.slsa.sa.gov.au/arthur/01250/BRG347_1190.htm")</f>
        <v>http://collections.slsa.sa.gov.au/arthur/01250/BRG347_1190.htm</v>
      </c>
    </row>
    <row r="1518" spans="1:11" x14ac:dyDescent="0.25">
      <c r="A1518" t="s">
        <v>5583</v>
      </c>
      <c r="B1518" s="1" t="str">
        <f>HYPERLINK("https://www.catalog.slsa.sa.gov.au/record=b2110417")</f>
        <v>https://www.catalog.slsa.sa.gov.au/record=b2110417</v>
      </c>
      <c r="C1518" s="1" t="str">
        <f>HYPERLINK("https://www.catalog.slsa.sa.gov.au/xrecord=b2110417")</f>
        <v>https://www.catalog.slsa.sa.gov.au/xrecord=b2110417</v>
      </c>
      <c r="D1518" t="s">
        <v>66</v>
      </c>
      <c r="E1518" t="s">
        <v>5577</v>
      </c>
      <c r="F1518">
        <v>1954</v>
      </c>
      <c r="G1518" t="s">
        <v>121</v>
      </c>
      <c r="H1518" t="s">
        <v>5584</v>
      </c>
      <c r="I1518" t="s">
        <v>5582</v>
      </c>
      <c r="J1518" t="s">
        <v>71</v>
      </c>
      <c r="K1518" s="2" t="str">
        <f>HYPERLINK("http://collections.slsa.sa.gov.au/arthur/01250/BRG347_1191.htm")</f>
        <v>http://collections.slsa.sa.gov.au/arthur/01250/BRG347_1191.htm</v>
      </c>
    </row>
    <row r="1519" spans="1:11" x14ac:dyDescent="0.25">
      <c r="A1519" t="s">
        <v>5585</v>
      </c>
      <c r="B1519" s="1" t="str">
        <f>HYPERLINK("https://www.catalog.slsa.sa.gov.au/record=b2110418")</f>
        <v>https://www.catalog.slsa.sa.gov.au/record=b2110418</v>
      </c>
      <c r="C1519" s="1" t="str">
        <f>HYPERLINK("https://www.catalog.slsa.sa.gov.au/xrecord=b2110418")</f>
        <v>https://www.catalog.slsa.sa.gov.au/xrecord=b2110418</v>
      </c>
      <c r="D1519" t="s">
        <v>66</v>
      </c>
      <c r="E1519" t="s">
        <v>5577</v>
      </c>
      <c r="F1519">
        <v>1954</v>
      </c>
      <c r="G1519" t="s">
        <v>121</v>
      </c>
      <c r="H1519" t="s">
        <v>5586</v>
      </c>
      <c r="I1519" t="s">
        <v>5587</v>
      </c>
      <c r="J1519" t="s">
        <v>71</v>
      </c>
      <c r="K1519" s="2" t="str">
        <f>HYPERLINK("http://collections.slsa.sa.gov.au/arthur/01250/BRG347_1192.htm")</f>
        <v>http://collections.slsa.sa.gov.au/arthur/01250/BRG347_1192.htm</v>
      </c>
    </row>
    <row r="1520" spans="1:11" x14ac:dyDescent="0.25">
      <c r="A1520" t="s">
        <v>5588</v>
      </c>
      <c r="B1520" s="1" t="str">
        <f>HYPERLINK("https://www.catalog.slsa.sa.gov.au/record=b2110419")</f>
        <v>https://www.catalog.slsa.sa.gov.au/record=b2110419</v>
      </c>
      <c r="C1520" s="1" t="str">
        <f>HYPERLINK("https://www.catalog.slsa.sa.gov.au/xrecord=b2110419")</f>
        <v>https://www.catalog.slsa.sa.gov.au/xrecord=b2110419</v>
      </c>
      <c r="D1520" t="s">
        <v>66</v>
      </c>
      <c r="E1520" t="s">
        <v>5577</v>
      </c>
      <c r="F1520">
        <v>1954</v>
      </c>
      <c r="G1520" t="s">
        <v>121</v>
      </c>
      <c r="H1520" t="s">
        <v>5589</v>
      </c>
      <c r="I1520" t="s">
        <v>5590</v>
      </c>
      <c r="J1520" t="s">
        <v>71</v>
      </c>
      <c r="K1520" s="2" t="str">
        <f>HYPERLINK("http://collections.slsa.sa.gov.au/arthur/01250/BRG347_1193.htm")</f>
        <v>http://collections.slsa.sa.gov.au/arthur/01250/BRG347_1193.htm</v>
      </c>
    </row>
    <row r="1521" spans="1:11" x14ac:dyDescent="0.25">
      <c r="A1521" t="s">
        <v>5591</v>
      </c>
      <c r="B1521" s="1" t="str">
        <f>HYPERLINK("https://www.catalog.slsa.sa.gov.au/record=b2110420")</f>
        <v>https://www.catalog.slsa.sa.gov.au/record=b2110420</v>
      </c>
      <c r="C1521" s="1" t="str">
        <f>HYPERLINK("https://www.catalog.slsa.sa.gov.au/xrecord=b2110420")</f>
        <v>https://www.catalog.slsa.sa.gov.au/xrecord=b2110420</v>
      </c>
      <c r="D1521" t="s">
        <v>66</v>
      </c>
      <c r="E1521" t="s">
        <v>5528</v>
      </c>
      <c r="F1521">
        <v>1954</v>
      </c>
      <c r="G1521" t="s">
        <v>121</v>
      </c>
      <c r="H1521" t="s">
        <v>5592</v>
      </c>
      <c r="I1521" t="s">
        <v>5582</v>
      </c>
      <c r="J1521" t="s">
        <v>71</v>
      </c>
      <c r="K1521" s="2" t="str">
        <f>HYPERLINK("http://collections.slsa.sa.gov.au/arthur/01250/BRG347_1194.htm")</f>
        <v>http://collections.slsa.sa.gov.au/arthur/01250/BRG347_1194.htm</v>
      </c>
    </row>
    <row r="1522" spans="1:11" x14ac:dyDescent="0.25">
      <c r="A1522" t="s">
        <v>5593</v>
      </c>
      <c r="B1522" s="1" t="str">
        <f>HYPERLINK("https://www.catalog.slsa.sa.gov.au/record=b2117697")</f>
        <v>https://www.catalog.slsa.sa.gov.au/record=b2117697</v>
      </c>
      <c r="C1522" s="1" t="str">
        <f>HYPERLINK("https://www.catalog.slsa.sa.gov.au/xrecord=b2117697")</f>
        <v>https://www.catalog.slsa.sa.gov.au/xrecord=b2117697</v>
      </c>
      <c r="D1522" t="s">
        <v>66</v>
      </c>
      <c r="E1522" t="s">
        <v>5528</v>
      </c>
      <c r="F1522">
        <v>1954</v>
      </c>
      <c r="G1522" t="s">
        <v>121</v>
      </c>
      <c r="H1522" t="s">
        <v>5594</v>
      </c>
      <c r="I1522" t="s">
        <v>5595</v>
      </c>
      <c r="J1522" t="s">
        <v>71</v>
      </c>
      <c r="K1522" s="2" t="str">
        <f>HYPERLINK("http://collections.slsa.sa.gov.au/arthur/01250/BRG347_1195.htm")</f>
        <v>http://collections.slsa.sa.gov.au/arthur/01250/BRG347_1195.htm</v>
      </c>
    </row>
    <row r="1523" spans="1:11" x14ac:dyDescent="0.25">
      <c r="A1523" t="s">
        <v>5596</v>
      </c>
      <c r="B1523" s="1" t="str">
        <f>HYPERLINK("https://www.catalog.slsa.sa.gov.au/record=b2117701")</f>
        <v>https://www.catalog.slsa.sa.gov.au/record=b2117701</v>
      </c>
      <c r="C1523" s="1" t="str">
        <f>HYPERLINK("https://www.catalog.slsa.sa.gov.au/xrecord=b2117701")</f>
        <v>https://www.catalog.slsa.sa.gov.au/xrecord=b2117701</v>
      </c>
      <c r="D1523" t="s">
        <v>66</v>
      </c>
      <c r="E1523" t="s">
        <v>5528</v>
      </c>
      <c r="F1523">
        <v>1954</v>
      </c>
      <c r="G1523" t="s">
        <v>5597</v>
      </c>
      <c r="H1523" t="s">
        <v>5598</v>
      </c>
      <c r="I1523" t="s">
        <v>5599</v>
      </c>
      <c r="J1523" t="s">
        <v>71</v>
      </c>
      <c r="K1523" s="2" t="str">
        <f>HYPERLINK("http://collections.slsa.sa.gov.au/arthur/01250/BRG347_1196.htm")</f>
        <v>http://collections.slsa.sa.gov.au/arthur/01250/BRG347_1196.htm</v>
      </c>
    </row>
    <row r="1524" spans="1:11" x14ac:dyDescent="0.25">
      <c r="A1524" t="s">
        <v>5600</v>
      </c>
      <c r="B1524" s="1" t="str">
        <f>HYPERLINK("https://www.catalog.slsa.sa.gov.au/record=b2110421")</f>
        <v>https://www.catalog.slsa.sa.gov.au/record=b2110421</v>
      </c>
      <c r="C1524" s="1" t="str">
        <f>HYPERLINK("https://www.catalog.slsa.sa.gov.au/xrecord=b2110421")</f>
        <v>https://www.catalog.slsa.sa.gov.au/xrecord=b2110421</v>
      </c>
      <c r="D1524" t="s">
        <v>66</v>
      </c>
      <c r="E1524" t="s">
        <v>5528</v>
      </c>
      <c r="F1524">
        <v>1954</v>
      </c>
      <c r="G1524" t="s">
        <v>121</v>
      </c>
      <c r="H1524" t="s">
        <v>5601</v>
      </c>
      <c r="I1524" t="s">
        <v>5599</v>
      </c>
      <c r="J1524" t="s">
        <v>71</v>
      </c>
      <c r="K1524" s="2" t="str">
        <f>HYPERLINK("http://collections.slsa.sa.gov.au/arthur/01250/BRG347_1197.htm")</f>
        <v>http://collections.slsa.sa.gov.au/arthur/01250/BRG347_1197.htm</v>
      </c>
    </row>
    <row r="1525" spans="1:11" x14ac:dyDescent="0.25">
      <c r="A1525" t="s">
        <v>5602</v>
      </c>
      <c r="B1525" s="1" t="str">
        <f>HYPERLINK("https://www.catalog.slsa.sa.gov.au/record=b2110422")</f>
        <v>https://www.catalog.slsa.sa.gov.au/record=b2110422</v>
      </c>
      <c r="C1525" s="1" t="str">
        <f>HYPERLINK("https://www.catalog.slsa.sa.gov.au/xrecord=b2110422")</f>
        <v>https://www.catalog.slsa.sa.gov.au/xrecord=b2110422</v>
      </c>
      <c r="D1525" t="s">
        <v>66</v>
      </c>
      <c r="E1525" t="s">
        <v>5603</v>
      </c>
      <c r="F1525">
        <v>1954</v>
      </c>
      <c r="G1525" t="s">
        <v>121</v>
      </c>
      <c r="H1525" t="s">
        <v>5604</v>
      </c>
      <c r="I1525" t="s">
        <v>5605</v>
      </c>
      <c r="J1525" t="s">
        <v>71</v>
      </c>
      <c r="K1525" s="2" t="str">
        <f>HYPERLINK("http://collections.slsa.sa.gov.au/arthur/01250/BRG347_1198.htm")</f>
        <v>http://collections.slsa.sa.gov.au/arthur/01250/BRG347_1198.htm</v>
      </c>
    </row>
    <row r="1526" spans="1:11" x14ac:dyDescent="0.25">
      <c r="A1526" t="s">
        <v>5606</v>
      </c>
      <c r="B1526" s="1" t="str">
        <f>HYPERLINK("https://www.catalog.slsa.sa.gov.au/record=b2110488")</f>
        <v>https://www.catalog.slsa.sa.gov.au/record=b2110488</v>
      </c>
      <c r="C1526" s="1" t="str">
        <f>HYPERLINK("https://www.catalog.slsa.sa.gov.au/xrecord=b2110488")</f>
        <v>https://www.catalog.slsa.sa.gov.au/xrecord=b2110488</v>
      </c>
      <c r="D1526" t="s">
        <v>66</v>
      </c>
      <c r="E1526" t="s">
        <v>5607</v>
      </c>
      <c r="F1526">
        <v>1954</v>
      </c>
      <c r="G1526" t="s">
        <v>121</v>
      </c>
      <c r="H1526" t="s">
        <v>5608</v>
      </c>
      <c r="I1526" t="s">
        <v>5609</v>
      </c>
      <c r="J1526" t="s">
        <v>71</v>
      </c>
      <c r="K1526" s="2" t="str">
        <f>HYPERLINK("http://collections.slsa.sa.gov.au/arthur/01500/BRG347_1263.htm")</f>
        <v>http://collections.slsa.sa.gov.au/arthur/01500/BRG347_1263.htm</v>
      </c>
    </row>
    <row r="1527" spans="1:11" x14ac:dyDescent="0.25">
      <c r="A1527" t="s">
        <v>5610</v>
      </c>
      <c r="B1527" s="1" t="str">
        <f>HYPERLINK("https://www.catalog.slsa.sa.gov.au/record=b2111255")</f>
        <v>https://www.catalog.slsa.sa.gov.au/record=b2111255</v>
      </c>
      <c r="C1527" s="1" t="str">
        <f>HYPERLINK("https://www.catalog.slsa.sa.gov.au/xrecord=b2111255")</f>
        <v>https://www.catalog.slsa.sa.gov.au/xrecord=b2111255</v>
      </c>
      <c r="D1527" t="s">
        <v>66</v>
      </c>
      <c r="E1527" t="s">
        <v>5611</v>
      </c>
      <c r="F1527">
        <v>1954</v>
      </c>
      <c r="G1527" t="s">
        <v>121</v>
      </c>
      <c r="H1527" t="s">
        <v>5612</v>
      </c>
      <c r="I1527" t="s">
        <v>5613</v>
      </c>
      <c r="J1527" t="s">
        <v>71</v>
      </c>
      <c r="K1527" s="2" t="str">
        <f>HYPERLINK("http://collections.slsa.sa.gov.au/arthur/02000/BRG347_1925.htm")</f>
        <v>http://collections.slsa.sa.gov.au/arthur/02000/BRG347_1925.htm</v>
      </c>
    </row>
    <row r="1528" spans="1:11" x14ac:dyDescent="0.25">
      <c r="A1528" t="s">
        <v>5614</v>
      </c>
      <c r="B1528" s="1" t="str">
        <f>HYPERLINK("https://www.catalog.slsa.sa.gov.au/record=b2111256")</f>
        <v>https://www.catalog.slsa.sa.gov.au/record=b2111256</v>
      </c>
      <c r="C1528" s="1" t="str">
        <f>HYPERLINK("https://www.catalog.slsa.sa.gov.au/xrecord=b2111256")</f>
        <v>https://www.catalog.slsa.sa.gov.au/xrecord=b2111256</v>
      </c>
      <c r="D1528" t="s">
        <v>66</v>
      </c>
      <c r="E1528" t="s">
        <v>5615</v>
      </c>
      <c r="F1528">
        <v>1954</v>
      </c>
      <c r="G1528" t="s">
        <v>121</v>
      </c>
      <c r="H1528" t="s">
        <v>5616</v>
      </c>
      <c r="I1528" t="s">
        <v>5617</v>
      </c>
      <c r="J1528" t="s">
        <v>71</v>
      </c>
      <c r="K1528" s="2" t="str">
        <f>HYPERLINK("http://collections.slsa.sa.gov.au/arthur/02000/BRG347_1926.htm")</f>
        <v>http://collections.slsa.sa.gov.au/arthur/02000/BRG347_1926.htm</v>
      </c>
    </row>
    <row r="1529" spans="1:11" x14ac:dyDescent="0.25">
      <c r="A1529" t="s">
        <v>5618</v>
      </c>
      <c r="B1529" s="1" t="str">
        <f>HYPERLINK("https://www.catalog.slsa.sa.gov.au/record=b2111263")</f>
        <v>https://www.catalog.slsa.sa.gov.au/record=b2111263</v>
      </c>
      <c r="C1529" s="1" t="str">
        <f>HYPERLINK("https://www.catalog.slsa.sa.gov.au/xrecord=b2111263")</f>
        <v>https://www.catalog.slsa.sa.gov.au/xrecord=b2111263</v>
      </c>
      <c r="D1529" t="s">
        <v>66</v>
      </c>
      <c r="E1529" t="s">
        <v>5619</v>
      </c>
      <c r="F1529">
        <v>1954</v>
      </c>
      <c r="G1529" t="s">
        <v>121</v>
      </c>
      <c r="H1529" t="s">
        <v>5620</v>
      </c>
      <c r="I1529" t="s">
        <v>5621</v>
      </c>
      <c r="J1529" t="s">
        <v>71</v>
      </c>
      <c r="K1529" s="2" t="str">
        <f>HYPERLINK("http://collections.slsa.sa.gov.au/arthur/02000/BRG347_1934.htm")</f>
        <v>http://collections.slsa.sa.gov.au/arthur/02000/BRG347_1934.htm</v>
      </c>
    </row>
    <row r="1530" spans="1:11" x14ac:dyDescent="0.25">
      <c r="A1530" t="s">
        <v>5622</v>
      </c>
      <c r="B1530" s="1" t="str">
        <f>HYPERLINK("https://www.catalog.slsa.sa.gov.au/record=b2111268")</f>
        <v>https://www.catalog.slsa.sa.gov.au/record=b2111268</v>
      </c>
      <c r="C1530" s="1" t="str">
        <f>HYPERLINK("https://www.catalog.slsa.sa.gov.au/xrecord=b2111268")</f>
        <v>https://www.catalog.slsa.sa.gov.au/xrecord=b2111268</v>
      </c>
      <c r="D1530" t="s">
        <v>66</v>
      </c>
      <c r="E1530" t="s">
        <v>5623</v>
      </c>
      <c r="F1530">
        <v>1954</v>
      </c>
      <c r="G1530" t="s">
        <v>121</v>
      </c>
      <c r="H1530" t="s">
        <v>5624</v>
      </c>
      <c r="I1530" t="s">
        <v>5625</v>
      </c>
      <c r="J1530" t="s">
        <v>71</v>
      </c>
      <c r="K1530" s="2" t="str">
        <f>HYPERLINK("http://collections.slsa.sa.gov.au/arthur/02000/BRG347_1939.htm")</f>
        <v>http://collections.slsa.sa.gov.au/arthur/02000/BRG347_1939.htm</v>
      </c>
    </row>
    <row r="1531" spans="1:11" x14ac:dyDescent="0.25">
      <c r="A1531" t="s">
        <v>5626</v>
      </c>
      <c r="B1531" s="1" t="str">
        <f>HYPERLINK("https://www.catalog.slsa.sa.gov.au/record=b2111277")</f>
        <v>https://www.catalog.slsa.sa.gov.au/record=b2111277</v>
      </c>
      <c r="C1531" s="1" t="str">
        <f>HYPERLINK("https://www.catalog.slsa.sa.gov.au/xrecord=b2111277")</f>
        <v>https://www.catalog.slsa.sa.gov.au/xrecord=b2111277</v>
      </c>
      <c r="D1531" t="s">
        <v>66</v>
      </c>
      <c r="E1531" t="s">
        <v>5627</v>
      </c>
      <c r="F1531">
        <v>1954</v>
      </c>
      <c r="G1531" t="s">
        <v>121</v>
      </c>
      <c r="H1531" t="s">
        <v>5628</v>
      </c>
      <c r="I1531" t="s">
        <v>5629</v>
      </c>
      <c r="J1531" t="s">
        <v>71</v>
      </c>
      <c r="K1531" s="2" t="str">
        <f>HYPERLINK("http://collections.slsa.sa.gov.au/arthur/02000/BRG347_1948.htm")</f>
        <v>http://collections.slsa.sa.gov.au/arthur/02000/BRG347_1948.htm</v>
      </c>
    </row>
    <row r="1532" spans="1:11" x14ac:dyDescent="0.25">
      <c r="A1532" t="s">
        <v>5630</v>
      </c>
      <c r="B1532" s="1" t="str">
        <f>HYPERLINK("https://www.catalog.slsa.sa.gov.au/record=b2111396")</f>
        <v>https://www.catalog.slsa.sa.gov.au/record=b2111396</v>
      </c>
      <c r="C1532" s="1" t="str">
        <f>HYPERLINK("https://www.catalog.slsa.sa.gov.au/xrecord=b2111396")</f>
        <v>https://www.catalog.slsa.sa.gov.au/xrecord=b2111396</v>
      </c>
      <c r="D1532" t="s">
        <v>66</v>
      </c>
      <c r="E1532" t="s">
        <v>5631</v>
      </c>
      <c r="F1532">
        <v>1954</v>
      </c>
      <c r="G1532" t="s">
        <v>121</v>
      </c>
      <c r="H1532" t="s">
        <v>5632</v>
      </c>
      <c r="I1532" t="s">
        <v>5633</v>
      </c>
      <c r="J1532" t="s">
        <v>71</v>
      </c>
      <c r="K1532" s="2" t="str">
        <f>HYPERLINK("http://collections.slsa.sa.gov.au/arthur/02250/BRG347_2030.htm")</f>
        <v>http://collections.slsa.sa.gov.au/arthur/02250/BRG347_2030.htm</v>
      </c>
    </row>
    <row r="1533" spans="1:11" x14ac:dyDescent="0.25">
      <c r="A1533" t="s">
        <v>5634</v>
      </c>
      <c r="B1533" s="1" t="str">
        <f>HYPERLINK("https://www.catalog.slsa.sa.gov.au/record=b2111397")</f>
        <v>https://www.catalog.slsa.sa.gov.au/record=b2111397</v>
      </c>
      <c r="C1533" s="1" t="str">
        <f>HYPERLINK("https://www.catalog.slsa.sa.gov.au/xrecord=b2111397")</f>
        <v>https://www.catalog.slsa.sa.gov.au/xrecord=b2111397</v>
      </c>
      <c r="D1533" t="s">
        <v>66</v>
      </c>
      <c r="E1533" t="s">
        <v>5631</v>
      </c>
      <c r="F1533">
        <v>1954</v>
      </c>
      <c r="G1533" t="s">
        <v>121</v>
      </c>
      <c r="H1533" t="s">
        <v>5635</v>
      </c>
      <c r="I1533" t="s">
        <v>5636</v>
      </c>
      <c r="J1533" t="s">
        <v>71</v>
      </c>
      <c r="K1533" s="2" t="str">
        <f>HYPERLINK("http://collections.slsa.sa.gov.au/arthur/02250/BRG347_2031.htm")</f>
        <v>http://collections.slsa.sa.gov.au/arthur/02250/BRG347_2031.htm</v>
      </c>
    </row>
    <row r="1534" spans="1:11" x14ac:dyDescent="0.25">
      <c r="A1534" t="s">
        <v>5637</v>
      </c>
      <c r="B1534" s="1" t="str">
        <f>HYPERLINK("https://www.catalog.slsa.sa.gov.au/record=b2111398")</f>
        <v>https://www.catalog.slsa.sa.gov.au/record=b2111398</v>
      </c>
      <c r="C1534" s="1" t="str">
        <f>HYPERLINK("https://www.catalog.slsa.sa.gov.au/xrecord=b2111398")</f>
        <v>https://www.catalog.slsa.sa.gov.au/xrecord=b2111398</v>
      </c>
      <c r="D1534" t="s">
        <v>66</v>
      </c>
      <c r="E1534" t="s">
        <v>5638</v>
      </c>
      <c r="F1534">
        <v>1954</v>
      </c>
      <c r="G1534" t="s">
        <v>121</v>
      </c>
      <c r="H1534" t="s">
        <v>5639</v>
      </c>
      <c r="I1534" t="s">
        <v>5640</v>
      </c>
      <c r="J1534" t="s">
        <v>71</v>
      </c>
      <c r="K1534" s="2" t="str">
        <f>HYPERLINK("http://collections.slsa.sa.gov.au/arthur/02250/BRG347_2032.htm")</f>
        <v>http://collections.slsa.sa.gov.au/arthur/02250/BRG347_2032.htm</v>
      </c>
    </row>
    <row r="1535" spans="1:11" x14ac:dyDescent="0.25">
      <c r="A1535" t="s">
        <v>5641</v>
      </c>
      <c r="B1535" s="1" t="str">
        <f>HYPERLINK("https://www.catalog.slsa.sa.gov.au/record=b2111399")</f>
        <v>https://www.catalog.slsa.sa.gov.au/record=b2111399</v>
      </c>
      <c r="C1535" s="1" t="str">
        <f>HYPERLINK("https://www.catalog.slsa.sa.gov.au/xrecord=b2111399")</f>
        <v>https://www.catalog.slsa.sa.gov.au/xrecord=b2111399</v>
      </c>
      <c r="D1535" t="s">
        <v>66</v>
      </c>
      <c r="E1535" t="s">
        <v>5638</v>
      </c>
      <c r="F1535">
        <v>1954</v>
      </c>
      <c r="G1535" t="s">
        <v>121</v>
      </c>
      <c r="H1535" t="s">
        <v>5642</v>
      </c>
      <c r="I1535" t="s">
        <v>5643</v>
      </c>
      <c r="J1535" t="s">
        <v>71</v>
      </c>
      <c r="K1535" s="2" t="str">
        <f>HYPERLINK("http://collections.slsa.sa.gov.au/arthur/02250/BRG347_2033.htm")</f>
        <v>http://collections.slsa.sa.gov.au/arthur/02250/BRG347_2033.htm</v>
      </c>
    </row>
    <row r="1536" spans="1:11" x14ac:dyDescent="0.25">
      <c r="A1536" t="s">
        <v>5644</v>
      </c>
      <c r="B1536" s="1" t="str">
        <f>HYPERLINK("https://www.catalog.slsa.sa.gov.au/record=b2111401")</f>
        <v>https://www.catalog.slsa.sa.gov.au/record=b2111401</v>
      </c>
      <c r="C1536" s="1" t="str">
        <f>HYPERLINK("https://www.catalog.slsa.sa.gov.au/xrecord=b2111401")</f>
        <v>https://www.catalog.slsa.sa.gov.au/xrecord=b2111401</v>
      </c>
      <c r="D1536" t="s">
        <v>66</v>
      </c>
      <c r="E1536" t="s">
        <v>5645</v>
      </c>
      <c r="F1536">
        <v>1954</v>
      </c>
      <c r="G1536" t="s">
        <v>121</v>
      </c>
      <c r="H1536" t="s">
        <v>5646</v>
      </c>
      <c r="I1536" t="s">
        <v>5647</v>
      </c>
      <c r="J1536" t="s">
        <v>71</v>
      </c>
      <c r="K1536" s="2" t="str">
        <f>HYPERLINK("http://collections.slsa.sa.gov.au/arthur/02250/BRG347_2035.htm")</f>
        <v>http://collections.slsa.sa.gov.au/arthur/02250/BRG347_2035.htm</v>
      </c>
    </row>
    <row r="1537" spans="1:11" x14ac:dyDescent="0.25">
      <c r="A1537" t="s">
        <v>5648</v>
      </c>
      <c r="B1537" s="1" t="str">
        <f>HYPERLINK("https://www.catalog.slsa.sa.gov.au/record=b2111402")</f>
        <v>https://www.catalog.slsa.sa.gov.au/record=b2111402</v>
      </c>
      <c r="C1537" s="1" t="str">
        <f>HYPERLINK("https://www.catalog.slsa.sa.gov.au/xrecord=b2111402")</f>
        <v>https://www.catalog.slsa.sa.gov.au/xrecord=b2111402</v>
      </c>
      <c r="D1537" t="s">
        <v>66</v>
      </c>
      <c r="E1537" t="s">
        <v>5638</v>
      </c>
      <c r="F1537">
        <v>1954</v>
      </c>
      <c r="G1537" t="s">
        <v>121</v>
      </c>
      <c r="H1537" t="s">
        <v>5649</v>
      </c>
      <c r="I1537" t="s">
        <v>5650</v>
      </c>
      <c r="J1537" t="s">
        <v>71</v>
      </c>
      <c r="K1537" s="2" t="str">
        <f>HYPERLINK("http://collections.slsa.sa.gov.au/arthur/02250/BRG347_2036.htm")</f>
        <v>http://collections.slsa.sa.gov.au/arthur/02250/BRG347_2036.htm</v>
      </c>
    </row>
    <row r="1538" spans="1:11" x14ac:dyDescent="0.25">
      <c r="A1538" t="s">
        <v>5651</v>
      </c>
      <c r="B1538" s="1" t="str">
        <f>HYPERLINK("https://www.catalog.slsa.sa.gov.au/record=b2111403")</f>
        <v>https://www.catalog.slsa.sa.gov.au/record=b2111403</v>
      </c>
      <c r="C1538" s="1" t="str">
        <f>HYPERLINK("https://www.catalog.slsa.sa.gov.au/xrecord=b2111403")</f>
        <v>https://www.catalog.slsa.sa.gov.au/xrecord=b2111403</v>
      </c>
      <c r="D1538" t="s">
        <v>66</v>
      </c>
      <c r="E1538" t="s">
        <v>5652</v>
      </c>
      <c r="F1538">
        <v>1954</v>
      </c>
      <c r="G1538" t="s">
        <v>121</v>
      </c>
      <c r="H1538" t="s">
        <v>5653</v>
      </c>
      <c r="I1538" t="s">
        <v>5654</v>
      </c>
      <c r="J1538" t="s">
        <v>71</v>
      </c>
      <c r="K1538" s="2" t="str">
        <f>HYPERLINK("http://collections.slsa.sa.gov.au/arthur/02250/BRG347_2037.htm")</f>
        <v>http://collections.slsa.sa.gov.au/arthur/02250/BRG347_2037.htm</v>
      </c>
    </row>
    <row r="1539" spans="1:11" x14ac:dyDescent="0.25">
      <c r="A1539" t="s">
        <v>5655</v>
      </c>
      <c r="B1539" s="1" t="str">
        <f>HYPERLINK("https://www.catalog.slsa.sa.gov.au/record=b2111404")</f>
        <v>https://www.catalog.slsa.sa.gov.au/record=b2111404</v>
      </c>
      <c r="C1539" s="1" t="str">
        <f>HYPERLINK("https://www.catalog.slsa.sa.gov.au/xrecord=b2111404")</f>
        <v>https://www.catalog.slsa.sa.gov.au/xrecord=b2111404</v>
      </c>
      <c r="D1539" t="s">
        <v>66</v>
      </c>
      <c r="E1539" t="s">
        <v>5652</v>
      </c>
      <c r="F1539">
        <v>1954</v>
      </c>
      <c r="G1539" t="s">
        <v>121</v>
      </c>
      <c r="H1539" t="s">
        <v>5653</v>
      </c>
      <c r="I1539" t="s">
        <v>5654</v>
      </c>
      <c r="J1539" t="s">
        <v>71</v>
      </c>
      <c r="K1539" s="2" t="str">
        <f>HYPERLINK("http://collections.slsa.sa.gov.au/arthur/02250/BRG347_2038.htm")</f>
        <v>http://collections.slsa.sa.gov.au/arthur/02250/BRG347_2038.htm</v>
      </c>
    </row>
    <row r="1540" spans="1:11" x14ac:dyDescent="0.25">
      <c r="A1540" t="s">
        <v>5656</v>
      </c>
      <c r="B1540" s="1" t="str">
        <f>HYPERLINK("https://www.catalog.slsa.sa.gov.au/record=b2111435")</f>
        <v>https://www.catalog.slsa.sa.gov.au/record=b2111435</v>
      </c>
      <c r="C1540" s="1" t="str">
        <f>HYPERLINK("https://www.catalog.slsa.sa.gov.au/xrecord=b2111435")</f>
        <v>https://www.catalog.slsa.sa.gov.au/xrecord=b2111435</v>
      </c>
      <c r="D1540" t="s">
        <v>66</v>
      </c>
      <c r="E1540" t="s">
        <v>5657</v>
      </c>
      <c r="F1540">
        <v>1954</v>
      </c>
      <c r="G1540" t="s">
        <v>121</v>
      </c>
      <c r="H1540" t="s">
        <v>5658</v>
      </c>
      <c r="I1540" t="s">
        <v>5654</v>
      </c>
      <c r="J1540" t="s">
        <v>71</v>
      </c>
      <c r="K1540" s="2" t="str">
        <f>HYPERLINK("http://collections.slsa.sa.gov.au/arthur/02250/BRG347_2070.htm")</f>
        <v>http://collections.slsa.sa.gov.au/arthur/02250/BRG347_2070.htm</v>
      </c>
    </row>
    <row r="1541" spans="1:11" x14ac:dyDescent="0.25">
      <c r="A1541" t="s">
        <v>5659</v>
      </c>
      <c r="B1541" s="1" t="str">
        <f>HYPERLINK("https://www.catalog.slsa.sa.gov.au/record=b2111436")</f>
        <v>https://www.catalog.slsa.sa.gov.au/record=b2111436</v>
      </c>
      <c r="C1541" s="1" t="str">
        <f>HYPERLINK("https://www.catalog.slsa.sa.gov.au/xrecord=b2111436")</f>
        <v>https://www.catalog.slsa.sa.gov.au/xrecord=b2111436</v>
      </c>
      <c r="D1541" t="s">
        <v>66</v>
      </c>
      <c r="E1541" t="s">
        <v>5190</v>
      </c>
      <c r="F1541">
        <v>1954</v>
      </c>
      <c r="G1541" t="s">
        <v>121</v>
      </c>
      <c r="H1541" t="s">
        <v>5660</v>
      </c>
      <c r="I1541" t="s">
        <v>5192</v>
      </c>
      <c r="J1541" t="s">
        <v>71</v>
      </c>
      <c r="K1541" s="2" t="str">
        <f>HYPERLINK("http://collections.slsa.sa.gov.au/arthur/02250/BRG347_2071.htm")</f>
        <v>http://collections.slsa.sa.gov.au/arthur/02250/BRG347_2071.htm</v>
      </c>
    </row>
    <row r="1542" spans="1:11" x14ac:dyDescent="0.25">
      <c r="A1542" t="s">
        <v>5661</v>
      </c>
      <c r="B1542" s="1" t="str">
        <f>HYPERLINK("https://www.catalog.slsa.sa.gov.au/record=b2111437")</f>
        <v>https://www.catalog.slsa.sa.gov.au/record=b2111437</v>
      </c>
      <c r="C1542" s="1" t="str">
        <f>HYPERLINK("https://www.catalog.slsa.sa.gov.au/xrecord=b2111437")</f>
        <v>https://www.catalog.slsa.sa.gov.au/xrecord=b2111437</v>
      </c>
      <c r="D1542" t="s">
        <v>66</v>
      </c>
      <c r="E1542" t="s">
        <v>5662</v>
      </c>
      <c r="F1542">
        <v>1954</v>
      </c>
      <c r="G1542" t="s">
        <v>121</v>
      </c>
      <c r="H1542" t="s">
        <v>5663</v>
      </c>
      <c r="I1542" t="s">
        <v>5664</v>
      </c>
      <c r="J1542" t="s">
        <v>71</v>
      </c>
      <c r="K1542" s="2" t="str">
        <f>HYPERLINK("http://collections.slsa.sa.gov.au/arthur/02250/BRG347_2072.htm")</f>
        <v>http://collections.slsa.sa.gov.au/arthur/02250/BRG347_2072.htm</v>
      </c>
    </row>
    <row r="1543" spans="1:11" x14ac:dyDescent="0.25">
      <c r="A1543" t="s">
        <v>5665</v>
      </c>
      <c r="B1543" s="1" t="str">
        <f>HYPERLINK("https://www.catalog.slsa.sa.gov.au/record=b2112249")</f>
        <v>https://www.catalog.slsa.sa.gov.au/record=b2112249</v>
      </c>
      <c r="C1543" s="1" t="str">
        <f>HYPERLINK("https://www.catalog.slsa.sa.gov.au/xrecord=b2112249")</f>
        <v>https://www.catalog.slsa.sa.gov.au/xrecord=b2112249</v>
      </c>
      <c r="D1543" t="s">
        <v>66</v>
      </c>
      <c r="E1543" t="s">
        <v>5666</v>
      </c>
      <c r="F1543">
        <v>1954</v>
      </c>
      <c r="G1543" t="s">
        <v>121</v>
      </c>
      <c r="H1543" t="s">
        <v>5667</v>
      </c>
      <c r="I1543" t="s">
        <v>5668</v>
      </c>
      <c r="J1543" t="s">
        <v>71</v>
      </c>
      <c r="K1543" s="2" t="str">
        <f>HYPERLINK("http://collections.slsa.sa.gov.au/arthur/02750/BRG347_2683.htm")</f>
        <v>http://collections.slsa.sa.gov.au/arthur/02750/BRG347_2683.htm</v>
      </c>
    </row>
    <row r="1544" spans="1:11" x14ac:dyDescent="0.25">
      <c r="A1544" t="s">
        <v>5669</v>
      </c>
      <c r="B1544" s="1" t="str">
        <f>HYPERLINK("https://www.catalog.slsa.sa.gov.au/record=b2112254")</f>
        <v>https://www.catalog.slsa.sa.gov.au/record=b2112254</v>
      </c>
      <c r="C1544" s="1" t="str">
        <f>HYPERLINK("https://www.catalog.slsa.sa.gov.au/xrecord=b2112254")</f>
        <v>https://www.catalog.slsa.sa.gov.au/xrecord=b2112254</v>
      </c>
      <c r="D1544" t="s">
        <v>66</v>
      </c>
      <c r="E1544" t="s">
        <v>5670</v>
      </c>
      <c r="F1544">
        <v>1954</v>
      </c>
      <c r="G1544" t="s">
        <v>121</v>
      </c>
      <c r="H1544" t="s">
        <v>5671</v>
      </c>
      <c r="I1544" t="s">
        <v>5672</v>
      </c>
      <c r="J1544" t="s">
        <v>71</v>
      </c>
      <c r="K1544" s="2" t="str">
        <f>HYPERLINK("http://collections.slsa.sa.gov.au/arthur/02750/BRG347_2688.htm")</f>
        <v>http://collections.slsa.sa.gov.au/arthur/02750/BRG347_2688.htm</v>
      </c>
    </row>
    <row r="1545" spans="1:11" x14ac:dyDescent="0.25">
      <c r="A1545" t="s">
        <v>5673</v>
      </c>
      <c r="B1545" s="1" t="str">
        <f>HYPERLINK("https://www.catalog.slsa.sa.gov.au/record=b2112624")</f>
        <v>https://www.catalog.slsa.sa.gov.au/record=b2112624</v>
      </c>
      <c r="C1545" s="1" t="str">
        <f>HYPERLINK("https://www.catalog.slsa.sa.gov.au/xrecord=b2112624")</f>
        <v>https://www.catalog.slsa.sa.gov.au/xrecord=b2112624</v>
      </c>
      <c r="D1545" t="s">
        <v>66</v>
      </c>
      <c r="E1545" t="s">
        <v>5577</v>
      </c>
      <c r="F1545">
        <v>1954</v>
      </c>
      <c r="G1545" t="s">
        <v>121</v>
      </c>
      <c r="H1545" t="s">
        <v>5674</v>
      </c>
      <c r="I1545" t="s">
        <v>5675</v>
      </c>
      <c r="J1545" t="s">
        <v>71</v>
      </c>
      <c r="K1545" s="2" t="str">
        <f>HYPERLINK("http://collections.slsa.sa.gov.au/arthur/03000/BRG347_2894.htm")</f>
        <v>http://collections.slsa.sa.gov.au/arthur/03000/BRG347_2894.htm</v>
      </c>
    </row>
    <row r="1546" spans="1:11" x14ac:dyDescent="0.25">
      <c r="A1546" t="s">
        <v>5676</v>
      </c>
      <c r="B1546" s="1" t="str">
        <f>HYPERLINK("https://www.catalog.slsa.sa.gov.au/record=b2112819")</f>
        <v>https://www.catalog.slsa.sa.gov.au/record=b2112819</v>
      </c>
      <c r="C1546" s="1" t="str">
        <f>HYPERLINK("https://www.catalog.slsa.sa.gov.au/xrecord=b2112819")</f>
        <v>https://www.catalog.slsa.sa.gov.au/xrecord=b2112819</v>
      </c>
      <c r="D1546" t="s">
        <v>66</v>
      </c>
      <c r="E1546" t="s">
        <v>5677</v>
      </c>
      <c r="F1546">
        <v>1954</v>
      </c>
      <c r="G1546" t="s">
        <v>121</v>
      </c>
      <c r="H1546" t="s">
        <v>5678</v>
      </c>
      <c r="I1546" t="s">
        <v>5679</v>
      </c>
      <c r="J1546" t="s">
        <v>71</v>
      </c>
      <c r="K1546" s="2" t="str">
        <f>HYPERLINK("http://collections.slsa.sa.gov.au/arthur/03250/BRG347_3055.htm")</f>
        <v>http://collections.slsa.sa.gov.au/arthur/03250/BRG347_3055.htm</v>
      </c>
    </row>
    <row r="1547" spans="1:11" x14ac:dyDescent="0.25">
      <c r="A1547" t="s">
        <v>5680</v>
      </c>
      <c r="B1547" s="1" t="str">
        <f>HYPERLINK("https://www.catalog.slsa.sa.gov.au/record=b2112837")</f>
        <v>https://www.catalog.slsa.sa.gov.au/record=b2112837</v>
      </c>
      <c r="C1547" s="1" t="str">
        <f>HYPERLINK("https://www.catalog.slsa.sa.gov.au/xrecord=b2112837")</f>
        <v>https://www.catalog.slsa.sa.gov.au/xrecord=b2112837</v>
      </c>
      <c r="D1547" t="s">
        <v>66</v>
      </c>
      <c r="E1547" t="s">
        <v>5681</v>
      </c>
      <c r="F1547">
        <v>1954</v>
      </c>
      <c r="G1547" t="s">
        <v>121</v>
      </c>
      <c r="H1547" t="s">
        <v>5682</v>
      </c>
      <c r="I1547" t="s">
        <v>5683</v>
      </c>
      <c r="J1547" t="s">
        <v>71</v>
      </c>
      <c r="K1547" s="2" t="str">
        <f>HYPERLINK("http://collections.slsa.sa.gov.au/arthur/03250/BRG347_3073.htm")</f>
        <v>http://collections.slsa.sa.gov.au/arthur/03250/BRG347_3073.htm</v>
      </c>
    </row>
    <row r="1548" spans="1:11" x14ac:dyDescent="0.25">
      <c r="A1548" t="s">
        <v>5684</v>
      </c>
      <c r="B1548" s="1" t="str">
        <f>HYPERLINK("https://www.catalog.slsa.sa.gov.au/record=b2112838")</f>
        <v>https://www.catalog.slsa.sa.gov.au/record=b2112838</v>
      </c>
      <c r="C1548" s="1" t="str">
        <f>HYPERLINK("https://www.catalog.slsa.sa.gov.au/xrecord=b2112838")</f>
        <v>https://www.catalog.slsa.sa.gov.au/xrecord=b2112838</v>
      </c>
      <c r="D1548" t="s">
        <v>66</v>
      </c>
      <c r="E1548" t="s">
        <v>5685</v>
      </c>
      <c r="F1548">
        <v>1954</v>
      </c>
      <c r="G1548" t="s">
        <v>121</v>
      </c>
      <c r="H1548" t="s">
        <v>5686</v>
      </c>
      <c r="I1548" t="s">
        <v>5687</v>
      </c>
      <c r="J1548" t="s">
        <v>71</v>
      </c>
      <c r="K1548" s="2" t="str">
        <f>HYPERLINK("http://collections.slsa.sa.gov.au/arthur/03250/BRG347_3074.htm")</f>
        <v>http://collections.slsa.sa.gov.au/arthur/03250/BRG347_3074.htm</v>
      </c>
    </row>
    <row r="1549" spans="1:11" x14ac:dyDescent="0.25">
      <c r="A1549" t="s">
        <v>5688</v>
      </c>
      <c r="B1549" s="1" t="str">
        <f>HYPERLINK("https://www.catalog.slsa.sa.gov.au/record=b2112854")</f>
        <v>https://www.catalog.slsa.sa.gov.au/record=b2112854</v>
      </c>
      <c r="C1549" s="1" t="str">
        <f>HYPERLINK("https://www.catalog.slsa.sa.gov.au/xrecord=b2112854")</f>
        <v>https://www.catalog.slsa.sa.gov.au/xrecord=b2112854</v>
      </c>
      <c r="D1549" t="s">
        <v>66</v>
      </c>
      <c r="E1549" t="s">
        <v>5689</v>
      </c>
      <c r="F1549">
        <v>1954</v>
      </c>
      <c r="G1549" t="s">
        <v>121</v>
      </c>
      <c r="H1549" t="s">
        <v>5690</v>
      </c>
      <c r="I1549" t="s">
        <v>5691</v>
      </c>
      <c r="J1549" t="s">
        <v>71</v>
      </c>
      <c r="K1549" s="2" t="str">
        <f>HYPERLINK("http://collections.slsa.sa.gov.au/arthur/03250/BRG347_3090.htm")</f>
        <v>http://collections.slsa.sa.gov.au/arthur/03250/BRG347_3090.htm</v>
      </c>
    </row>
    <row r="1550" spans="1:11" x14ac:dyDescent="0.25">
      <c r="A1550" t="s">
        <v>5692</v>
      </c>
      <c r="B1550" s="1" t="str">
        <f>HYPERLINK("https://www.catalog.slsa.sa.gov.au/record=b2112873")</f>
        <v>https://www.catalog.slsa.sa.gov.au/record=b2112873</v>
      </c>
      <c r="C1550" s="1" t="str">
        <f>HYPERLINK("https://www.catalog.slsa.sa.gov.au/xrecord=b2112873")</f>
        <v>https://www.catalog.slsa.sa.gov.au/xrecord=b2112873</v>
      </c>
      <c r="D1550" t="s">
        <v>66</v>
      </c>
      <c r="E1550" t="s">
        <v>5693</v>
      </c>
      <c r="F1550">
        <v>1954</v>
      </c>
      <c r="G1550" t="s">
        <v>121</v>
      </c>
      <c r="H1550" t="s">
        <v>5694</v>
      </c>
      <c r="I1550" t="s">
        <v>5695</v>
      </c>
      <c r="J1550" t="s">
        <v>71</v>
      </c>
      <c r="K1550" s="2" t="str">
        <f>HYPERLINK("http://collections.slsa.sa.gov.au/arthur/03250/BRG347_3110.htm")</f>
        <v>http://collections.slsa.sa.gov.au/arthur/03250/BRG347_3110.htm</v>
      </c>
    </row>
    <row r="1551" spans="1:11" x14ac:dyDescent="0.25">
      <c r="A1551" t="s">
        <v>5696</v>
      </c>
      <c r="B1551" s="1" t="str">
        <f>HYPERLINK("https://www.catalog.slsa.sa.gov.au/record=b2116697")</f>
        <v>https://www.catalog.slsa.sa.gov.au/record=b2116697</v>
      </c>
      <c r="C1551" s="1" t="str">
        <f>HYPERLINK("https://www.catalog.slsa.sa.gov.au/xrecord=b2116697")</f>
        <v>https://www.catalog.slsa.sa.gov.au/xrecord=b2116697</v>
      </c>
      <c r="D1551" t="s">
        <v>66</v>
      </c>
      <c r="E1551" t="s">
        <v>5697</v>
      </c>
      <c r="F1551">
        <v>1954</v>
      </c>
      <c r="G1551" t="s">
        <v>121</v>
      </c>
      <c r="H1551" t="s">
        <v>5698</v>
      </c>
      <c r="I1551" t="s">
        <v>5699</v>
      </c>
      <c r="J1551" t="s">
        <v>71</v>
      </c>
      <c r="K1551" s="2" t="str">
        <f>HYPERLINK("http://collections.slsa.sa.gov.au/arthur/05750/BRG347_5625.htm")</f>
        <v>http://collections.slsa.sa.gov.au/arthur/05750/BRG347_5625.htm</v>
      </c>
    </row>
    <row r="1552" spans="1:11" x14ac:dyDescent="0.25">
      <c r="A1552" t="s">
        <v>5700</v>
      </c>
      <c r="B1552" s="1" t="str">
        <f>HYPERLINK("https://www.catalog.slsa.sa.gov.au/record=b2116698")</f>
        <v>https://www.catalog.slsa.sa.gov.au/record=b2116698</v>
      </c>
      <c r="C1552" s="1" t="str">
        <f>HYPERLINK("https://www.catalog.slsa.sa.gov.au/xrecord=b2116698")</f>
        <v>https://www.catalog.slsa.sa.gov.au/xrecord=b2116698</v>
      </c>
      <c r="D1552" t="s">
        <v>66</v>
      </c>
      <c r="E1552" t="s">
        <v>5697</v>
      </c>
      <c r="F1552">
        <v>1954</v>
      </c>
      <c r="G1552" t="s">
        <v>121</v>
      </c>
      <c r="H1552" t="s">
        <v>5698</v>
      </c>
      <c r="I1552" t="s">
        <v>5699</v>
      </c>
      <c r="J1552" t="s">
        <v>71</v>
      </c>
      <c r="K1552" s="2" t="str">
        <f>HYPERLINK("http://collections.slsa.sa.gov.au/arthur/05750/BRG347_5626.htm")</f>
        <v>http://collections.slsa.sa.gov.au/arthur/05750/BRG347_5626.htm</v>
      </c>
    </row>
    <row r="1553" spans="1:11" x14ac:dyDescent="0.25">
      <c r="A1553" t="s">
        <v>5701</v>
      </c>
      <c r="B1553" s="1" t="str">
        <f>HYPERLINK("https://www.catalog.slsa.sa.gov.au/record=b2117924")</f>
        <v>https://www.catalog.slsa.sa.gov.au/record=b2117924</v>
      </c>
      <c r="C1553" s="1" t="str">
        <f>HYPERLINK("https://www.catalog.slsa.sa.gov.au/xrecord=b2117924")</f>
        <v>https://www.catalog.slsa.sa.gov.au/xrecord=b2117924</v>
      </c>
      <c r="D1553" t="s">
        <v>66</v>
      </c>
      <c r="E1553" t="s">
        <v>5702</v>
      </c>
      <c r="F1553">
        <v>1954</v>
      </c>
      <c r="G1553" t="s">
        <v>121</v>
      </c>
      <c r="H1553" t="s">
        <v>5703</v>
      </c>
      <c r="I1553" t="s">
        <v>1500</v>
      </c>
      <c r="J1553" t="s">
        <v>71</v>
      </c>
      <c r="K1553" s="2" t="str">
        <f>HYPERLINK("http://collections.slsa.sa.gov.au/arthur/06500/BRG347_6326.htm")</f>
        <v>http://collections.slsa.sa.gov.au/arthur/06500/BRG347_6326.htm</v>
      </c>
    </row>
    <row r="1554" spans="1:11" x14ac:dyDescent="0.25">
      <c r="A1554" t="s">
        <v>5704</v>
      </c>
      <c r="B1554" s="1" t="str">
        <f>HYPERLINK("https://www.catalog.slsa.sa.gov.au/record=b2117930")</f>
        <v>https://www.catalog.slsa.sa.gov.au/record=b2117930</v>
      </c>
      <c r="C1554" s="1" t="str">
        <f>HYPERLINK("https://www.catalog.slsa.sa.gov.au/xrecord=b2117930")</f>
        <v>https://www.catalog.slsa.sa.gov.au/xrecord=b2117930</v>
      </c>
      <c r="D1554" t="s">
        <v>66</v>
      </c>
      <c r="E1554" t="s">
        <v>5705</v>
      </c>
      <c r="F1554">
        <v>1954</v>
      </c>
      <c r="G1554" t="s">
        <v>121</v>
      </c>
      <c r="H1554" t="s">
        <v>5706</v>
      </c>
      <c r="I1554" t="s">
        <v>5707</v>
      </c>
      <c r="J1554" t="s">
        <v>71</v>
      </c>
      <c r="K1554" s="2" t="str">
        <f>HYPERLINK("http://collections.slsa.sa.gov.au/arthur/06500/BRG347_6332.htm")</f>
        <v>http://collections.slsa.sa.gov.au/arthur/06500/BRG347_6332.htm</v>
      </c>
    </row>
    <row r="1555" spans="1:11" x14ac:dyDescent="0.25">
      <c r="A1555" t="s">
        <v>5708</v>
      </c>
      <c r="B1555" s="1" t="str">
        <f>HYPERLINK("https://www.catalog.slsa.sa.gov.au/record=b2117931")</f>
        <v>https://www.catalog.slsa.sa.gov.au/record=b2117931</v>
      </c>
      <c r="C1555" s="1" t="str">
        <f>HYPERLINK("https://www.catalog.slsa.sa.gov.au/xrecord=b2117931")</f>
        <v>https://www.catalog.slsa.sa.gov.au/xrecord=b2117931</v>
      </c>
      <c r="D1555" t="s">
        <v>66</v>
      </c>
      <c r="E1555" t="s">
        <v>5709</v>
      </c>
      <c r="F1555">
        <v>1954</v>
      </c>
      <c r="G1555" t="s">
        <v>121</v>
      </c>
      <c r="H1555" t="s">
        <v>5710</v>
      </c>
      <c r="I1555" t="s">
        <v>5711</v>
      </c>
      <c r="J1555" t="s">
        <v>71</v>
      </c>
      <c r="K1555" s="2" t="str">
        <f>HYPERLINK("http://collections.slsa.sa.gov.au/arthur/06500/BRG347_6334.htm")</f>
        <v>http://collections.slsa.sa.gov.au/arthur/06500/BRG347_6334.htm</v>
      </c>
    </row>
    <row r="1556" spans="1:11" x14ac:dyDescent="0.25">
      <c r="A1556" t="s">
        <v>5712</v>
      </c>
      <c r="B1556" s="1" t="str">
        <f>HYPERLINK("https://www.catalog.slsa.sa.gov.au/record=b2118330")</f>
        <v>https://www.catalog.slsa.sa.gov.au/record=b2118330</v>
      </c>
      <c r="C1556" s="1" t="str">
        <f>HYPERLINK("https://www.catalog.slsa.sa.gov.au/xrecord=b2118330")</f>
        <v>https://www.catalog.slsa.sa.gov.au/xrecord=b2118330</v>
      </c>
      <c r="D1556" t="s">
        <v>66</v>
      </c>
      <c r="E1556" t="s">
        <v>5713</v>
      </c>
      <c r="F1556">
        <v>1954</v>
      </c>
      <c r="G1556" t="s">
        <v>121</v>
      </c>
      <c r="H1556" t="s">
        <v>5714</v>
      </c>
      <c r="I1556" t="s">
        <v>5715</v>
      </c>
      <c r="J1556" t="s">
        <v>71</v>
      </c>
      <c r="K1556" s="2" t="str">
        <f>HYPERLINK("http://collections.slsa.sa.gov.au/arthur/06500/BRG347_6426.htm")</f>
        <v>http://collections.slsa.sa.gov.au/arthur/06500/BRG347_6426.htm</v>
      </c>
    </row>
    <row r="1557" spans="1:11" x14ac:dyDescent="0.25">
      <c r="A1557" t="s">
        <v>5716</v>
      </c>
      <c r="B1557" s="1" t="str">
        <f>HYPERLINK("https://www.catalog.slsa.sa.gov.au/record=b2118389")</f>
        <v>https://www.catalog.slsa.sa.gov.au/record=b2118389</v>
      </c>
      <c r="C1557" s="1" t="str">
        <f>HYPERLINK("https://www.catalog.slsa.sa.gov.au/xrecord=b2118389")</f>
        <v>https://www.catalog.slsa.sa.gov.au/xrecord=b2118389</v>
      </c>
      <c r="D1557" t="s">
        <v>66</v>
      </c>
      <c r="E1557" t="s">
        <v>5717</v>
      </c>
      <c r="F1557">
        <v>1954</v>
      </c>
      <c r="G1557" t="s">
        <v>121</v>
      </c>
      <c r="H1557" t="s">
        <v>5718</v>
      </c>
      <c r="I1557" t="s">
        <v>5719</v>
      </c>
      <c r="J1557" t="s">
        <v>71</v>
      </c>
      <c r="K1557" s="2" t="str">
        <f>HYPERLINK("http://collections.slsa.sa.gov.au/arthur/06500/BRG347_6477.htm")</f>
        <v>http://collections.slsa.sa.gov.au/arthur/06500/BRG347_6477.htm</v>
      </c>
    </row>
    <row r="1558" spans="1:11" x14ac:dyDescent="0.25">
      <c r="A1558" t="s">
        <v>5720</v>
      </c>
      <c r="B1558" s="1" t="str">
        <f>HYPERLINK("https://www.catalog.slsa.sa.gov.au/record=b2118392")</f>
        <v>https://www.catalog.slsa.sa.gov.au/record=b2118392</v>
      </c>
      <c r="C1558" s="1" t="str">
        <f>HYPERLINK("https://www.catalog.slsa.sa.gov.au/xrecord=b2118392")</f>
        <v>https://www.catalog.slsa.sa.gov.au/xrecord=b2118392</v>
      </c>
      <c r="D1558" t="s">
        <v>66</v>
      </c>
      <c r="E1558" t="s">
        <v>5721</v>
      </c>
      <c r="F1558">
        <v>1954</v>
      </c>
      <c r="G1558" t="s">
        <v>121</v>
      </c>
      <c r="H1558" t="s">
        <v>5722</v>
      </c>
      <c r="I1558" t="s">
        <v>5723</v>
      </c>
      <c r="J1558" t="s">
        <v>71</v>
      </c>
      <c r="K1558" s="2" t="str">
        <f>HYPERLINK("http://collections.slsa.sa.gov.au/arthur/06500/BRG347_6480.htm")</f>
        <v>http://collections.slsa.sa.gov.au/arthur/06500/BRG347_6480.htm</v>
      </c>
    </row>
    <row r="1559" spans="1:11" x14ac:dyDescent="0.25">
      <c r="A1559" t="s">
        <v>5724</v>
      </c>
      <c r="B1559" s="1" t="str">
        <f>HYPERLINK("https://www.catalog.slsa.sa.gov.au/record=b2118398")</f>
        <v>https://www.catalog.slsa.sa.gov.au/record=b2118398</v>
      </c>
      <c r="C1559" s="1" t="str">
        <f>HYPERLINK("https://www.catalog.slsa.sa.gov.au/xrecord=b2118398")</f>
        <v>https://www.catalog.slsa.sa.gov.au/xrecord=b2118398</v>
      </c>
      <c r="D1559" t="s">
        <v>66</v>
      </c>
      <c r="E1559" t="s">
        <v>5725</v>
      </c>
      <c r="F1559">
        <v>1954</v>
      </c>
      <c r="G1559" t="s">
        <v>121</v>
      </c>
      <c r="H1559" t="s">
        <v>5726</v>
      </c>
      <c r="I1559" t="s">
        <v>5727</v>
      </c>
      <c r="J1559" t="s">
        <v>71</v>
      </c>
      <c r="K1559" s="2" t="str">
        <f>HYPERLINK("http://collections.slsa.sa.gov.au/arthur/06500/BRG347_6486.htm")</f>
        <v>http://collections.slsa.sa.gov.au/arthur/06500/BRG347_6486.htm</v>
      </c>
    </row>
    <row r="1560" spans="1:11" x14ac:dyDescent="0.25">
      <c r="A1560" t="s">
        <v>5728</v>
      </c>
      <c r="B1560" s="1" t="str">
        <f>HYPERLINK("https://www.catalog.slsa.sa.gov.au/record=b2118466")</f>
        <v>https://www.catalog.slsa.sa.gov.au/record=b2118466</v>
      </c>
      <c r="C1560" s="1" t="str">
        <f>HYPERLINK("https://www.catalog.slsa.sa.gov.au/xrecord=b2118466")</f>
        <v>https://www.catalog.slsa.sa.gov.au/xrecord=b2118466</v>
      </c>
      <c r="D1560" t="s">
        <v>66</v>
      </c>
      <c r="E1560" t="s">
        <v>5729</v>
      </c>
      <c r="F1560">
        <v>1954</v>
      </c>
      <c r="G1560" t="s">
        <v>121</v>
      </c>
      <c r="H1560" t="s">
        <v>5730</v>
      </c>
      <c r="I1560" t="s">
        <v>5731</v>
      </c>
      <c r="J1560" t="s">
        <v>71</v>
      </c>
      <c r="K1560" s="2" t="str">
        <f>HYPERLINK("http://collections.slsa.sa.gov.au/arthur/06750/BRG347_6547.htm")</f>
        <v>http://collections.slsa.sa.gov.au/arthur/06750/BRG347_6547.htm</v>
      </c>
    </row>
    <row r="1561" spans="1:11" x14ac:dyDescent="0.25">
      <c r="A1561" t="s">
        <v>5732</v>
      </c>
      <c r="B1561" s="1" t="str">
        <f>HYPERLINK("https://www.catalog.slsa.sa.gov.au/record=b2118474")</f>
        <v>https://www.catalog.slsa.sa.gov.au/record=b2118474</v>
      </c>
      <c r="C1561" s="1" t="str">
        <f>HYPERLINK("https://www.catalog.slsa.sa.gov.au/xrecord=b2118474")</f>
        <v>https://www.catalog.slsa.sa.gov.au/xrecord=b2118474</v>
      </c>
      <c r="D1561" t="s">
        <v>66</v>
      </c>
      <c r="E1561" t="s">
        <v>5733</v>
      </c>
      <c r="F1561">
        <v>1954</v>
      </c>
      <c r="G1561" t="s">
        <v>121</v>
      </c>
      <c r="H1561" t="s">
        <v>5734</v>
      </c>
      <c r="I1561" t="s">
        <v>4908</v>
      </c>
      <c r="J1561" t="s">
        <v>71</v>
      </c>
      <c r="K1561" s="2" t="str">
        <f>HYPERLINK("http://collections.slsa.sa.gov.au/arthur/06750/BRG347_6555.htm")</f>
        <v>http://collections.slsa.sa.gov.au/arthur/06750/BRG347_6555.htm</v>
      </c>
    </row>
    <row r="1562" spans="1:11" x14ac:dyDescent="0.25">
      <c r="A1562" t="s">
        <v>5735</v>
      </c>
      <c r="B1562" s="1" t="str">
        <f>HYPERLINK("https://www.catalog.slsa.sa.gov.au/record=b2118763")</f>
        <v>https://www.catalog.slsa.sa.gov.au/record=b2118763</v>
      </c>
      <c r="C1562" s="1" t="str">
        <f>HYPERLINK("https://www.catalog.slsa.sa.gov.au/xrecord=b2118763")</f>
        <v>https://www.catalog.slsa.sa.gov.au/xrecord=b2118763</v>
      </c>
      <c r="D1562" t="s">
        <v>66</v>
      </c>
      <c r="E1562" t="s">
        <v>5736</v>
      </c>
      <c r="F1562">
        <v>1954</v>
      </c>
      <c r="G1562" t="s">
        <v>121</v>
      </c>
      <c r="H1562" t="s">
        <v>5737</v>
      </c>
      <c r="I1562" t="s">
        <v>5289</v>
      </c>
      <c r="J1562" t="s">
        <v>71</v>
      </c>
      <c r="K1562" s="2" t="str">
        <f>HYPERLINK("http://collections.slsa.sa.gov.au/arthur/06750/BRG347_6721.htm")</f>
        <v>http://collections.slsa.sa.gov.au/arthur/06750/BRG347_6721.htm</v>
      </c>
    </row>
    <row r="1563" spans="1:11" x14ac:dyDescent="0.25">
      <c r="A1563" t="s">
        <v>5738</v>
      </c>
      <c r="B1563" s="1" t="str">
        <f>HYPERLINK("https://www.catalog.slsa.sa.gov.au/record=b2118764")</f>
        <v>https://www.catalog.slsa.sa.gov.au/record=b2118764</v>
      </c>
      <c r="C1563" s="1" t="str">
        <f>HYPERLINK("https://www.catalog.slsa.sa.gov.au/xrecord=b2118764")</f>
        <v>https://www.catalog.slsa.sa.gov.au/xrecord=b2118764</v>
      </c>
      <c r="D1563" t="s">
        <v>66</v>
      </c>
      <c r="E1563" t="s">
        <v>5739</v>
      </c>
      <c r="F1563">
        <v>1954</v>
      </c>
      <c r="G1563" t="s">
        <v>121</v>
      </c>
      <c r="H1563" t="s">
        <v>5740</v>
      </c>
      <c r="I1563" t="s">
        <v>5741</v>
      </c>
      <c r="J1563" t="s">
        <v>71</v>
      </c>
      <c r="K1563" s="2" t="str">
        <f>HYPERLINK("http://collections.slsa.sa.gov.au/arthur/06750/BRG347_6722.htm")</f>
        <v>http://collections.slsa.sa.gov.au/arthur/06750/BRG347_6722.htm</v>
      </c>
    </row>
    <row r="1564" spans="1:11" x14ac:dyDescent="0.25">
      <c r="A1564" t="s">
        <v>5742</v>
      </c>
      <c r="B1564" s="1" t="str">
        <f>HYPERLINK("https://www.catalog.slsa.sa.gov.au/record=b2118765")</f>
        <v>https://www.catalog.slsa.sa.gov.au/record=b2118765</v>
      </c>
      <c r="C1564" s="1" t="str">
        <f>HYPERLINK("https://www.catalog.slsa.sa.gov.au/xrecord=b2118765")</f>
        <v>https://www.catalog.slsa.sa.gov.au/xrecord=b2118765</v>
      </c>
      <c r="D1564" t="s">
        <v>66</v>
      </c>
      <c r="E1564" t="s">
        <v>5743</v>
      </c>
      <c r="F1564">
        <v>1954</v>
      </c>
      <c r="G1564" t="s">
        <v>121</v>
      </c>
      <c r="H1564" t="s">
        <v>5744</v>
      </c>
      <c r="I1564" t="s">
        <v>5745</v>
      </c>
      <c r="J1564" t="s">
        <v>71</v>
      </c>
      <c r="K1564" s="2" t="str">
        <f>HYPERLINK("http://collections.slsa.sa.gov.au/arthur/06750/BRG347_6723.htm")</f>
        <v>http://collections.slsa.sa.gov.au/arthur/06750/BRG347_6723.htm</v>
      </c>
    </row>
    <row r="1565" spans="1:11" x14ac:dyDescent="0.25">
      <c r="A1565" t="s">
        <v>5746</v>
      </c>
      <c r="B1565" s="1" t="str">
        <f>HYPERLINK("https://www.catalog.slsa.sa.gov.au/record=b2118798")</f>
        <v>https://www.catalog.slsa.sa.gov.au/record=b2118798</v>
      </c>
      <c r="C1565" s="1" t="str">
        <f>HYPERLINK("https://www.catalog.slsa.sa.gov.au/xrecord=b2118798")</f>
        <v>https://www.catalog.slsa.sa.gov.au/xrecord=b2118798</v>
      </c>
      <c r="D1565" t="s">
        <v>66</v>
      </c>
      <c r="E1565" t="s">
        <v>5747</v>
      </c>
      <c r="F1565">
        <v>1954</v>
      </c>
      <c r="G1565" t="s">
        <v>121</v>
      </c>
      <c r="H1565" t="s">
        <v>5748</v>
      </c>
      <c r="I1565" t="s">
        <v>5749</v>
      </c>
      <c r="J1565" t="s">
        <v>71</v>
      </c>
      <c r="K1565" s="2" t="str">
        <f>HYPERLINK("http://collections.slsa.sa.gov.au/arthur/07000/BRG347_6754.htm")</f>
        <v>http://collections.slsa.sa.gov.au/arthur/07000/BRG347_6754.htm</v>
      </c>
    </row>
    <row r="1566" spans="1:11" x14ac:dyDescent="0.25">
      <c r="A1566" t="s">
        <v>5750</v>
      </c>
      <c r="B1566" s="1" t="str">
        <f>HYPERLINK("https://www.catalog.slsa.sa.gov.au/record=b2119604")</f>
        <v>https://www.catalog.slsa.sa.gov.au/record=b2119604</v>
      </c>
      <c r="C1566" s="1" t="str">
        <f>HYPERLINK("https://www.catalog.slsa.sa.gov.au/xrecord=b2119604")</f>
        <v>https://www.catalog.slsa.sa.gov.au/xrecord=b2119604</v>
      </c>
      <c r="D1566" t="s">
        <v>66</v>
      </c>
      <c r="E1566" t="s">
        <v>4606</v>
      </c>
      <c r="F1566">
        <v>1954</v>
      </c>
      <c r="G1566" t="s">
        <v>121</v>
      </c>
      <c r="H1566" t="s">
        <v>5751</v>
      </c>
      <c r="I1566" t="s">
        <v>1750</v>
      </c>
      <c r="J1566" t="s">
        <v>71</v>
      </c>
      <c r="K1566" s="2" t="str">
        <f>HYPERLINK("http://collections.slsa.sa.gov.au/arthur/07000/BRG347_6917.htm")</f>
        <v>http://collections.slsa.sa.gov.au/arthur/07000/BRG347_6917.htm</v>
      </c>
    </row>
    <row r="1567" spans="1:11" x14ac:dyDescent="0.25">
      <c r="A1567" t="s">
        <v>5752</v>
      </c>
      <c r="B1567" s="1" t="str">
        <f>HYPERLINK("https://www.catalog.slsa.sa.gov.au/record=b2119605")</f>
        <v>https://www.catalog.slsa.sa.gov.au/record=b2119605</v>
      </c>
      <c r="C1567" s="1" t="str">
        <f>HYPERLINK("https://www.catalog.slsa.sa.gov.au/xrecord=b2119605")</f>
        <v>https://www.catalog.slsa.sa.gov.au/xrecord=b2119605</v>
      </c>
      <c r="D1567" t="s">
        <v>66</v>
      </c>
      <c r="E1567" t="s">
        <v>4606</v>
      </c>
      <c r="F1567">
        <v>1954</v>
      </c>
      <c r="G1567" t="s">
        <v>121</v>
      </c>
      <c r="H1567" t="s">
        <v>5751</v>
      </c>
      <c r="I1567" t="s">
        <v>1750</v>
      </c>
      <c r="J1567" t="s">
        <v>71</v>
      </c>
      <c r="K1567" s="2" t="str">
        <f>HYPERLINK("http://collections.slsa.sa.gov.au/arthur/07000/BRG347_6918.htm")</f>
        <v>http://collections.slsa.sa.gov.au/arthur/07000/BRG347_6918.htm</v>
      </c>
    </row>
    <row r="1568" spans="1:11" x14ac:dyDescent="0.25">
      <c r="A1568" t="s">
        <v>5753</v>
      </c>
      <c r="B1568" s="1" t="str">
        <f>HYPERLINK("https://www.catalog.slsa.sa.gov.au/record=b2119609")</f>
        <v>https://www.catalog.slsa.sa.gov.au/record=b2119609</v>
      </c>
      <c r="C1568" s="1" t="str">
        <f>HYPERLINK("https://www.catalog.slsa.sa.gov.au/xrecord=b2119609")</f>
        <v>https://www.catalog.slsa.sa.gov.au/xrecord=b2119609</v>
      </c>
      <c r="D1568" t="s">
        <v>66</v>
      </c>
      <c r="E1568" t="s">
        <v>5754</v>
      </c>
      <c r="F1568">
        <v>1954</v>
      </c>
      <c r="G1568" t="s">
        <v>121</v>
      </c>
      <c r="H1568" t="s">
        <v>5755</v>
      </c>
      <c r="I1568" t="s">
        <v>5756</v>
      </c>
      <c r="J1568" t="s">
        <v>71</v>
      </c>
      <c r="K1568" s="2" t="str">
        <f>HYPERLINK("http://collections.slsa.sa.gov.au/arthur/07000/BRG347_6922.htm")</f>
        <v>http://collections.slsa.sa.gov.au/arthur/07000/BRG347_6922.htm</v>
      </c>
    </row>
    <row r="1569" spans="1:11" x14ac:dyDescent="0.25">
      <c r="A1569" t="s">
        <v>5757</v>
      </c>
      <c r="B1569" s="1" t="str">
        <f>HYPERLINK("https://www.catalog.slsa.sa.gov.au/record=b2119611")</f>
        <v>https://www.catalog.slsa.sa.gov.au/record=b2119611</v>
      </c>
      <c r="C1569" s="1" t="str">
        <f>HYPERLINK("https://www.catalog.slsa.sa.gov.au/xrecord=b2119611")</f>
        <v>https://www.catalog.slsa.sa.gov.au/xrecord=b2119611</v>
      </c>
      <c r="D1569" t="s">
        <v>66</v>
      </c>
      <c r="E1569" t="s">
        <v>4974</v>
      </c>
      <c r="F1569">
        <v>1954</v>
      </c>
      <c r="G1569" t="s">
        <v>121</v>
      </c>
      <c r="H1569" t="s">
        <v>5758</v>
      </c>
      <c r="I1569" t="s">
        <v>1750</v>
      </c>
      <c r="J1569" t="s">
        <v>71</v>
      </c>
      <c r="K1569" s="2" t="str">
        <f>HYPERLINK("http://collections.slsa.sa.gov.au/arthur/07000/BRG347_6924.htm")</f>
        <v>http://collections.slsa.sa.gov.au/arthur/07000/BRG347_6924.htm</v>
      </c>
    </row>
    <row r="1570" spans="1:11" x14ac:dyDescent="0.25">
      <c r="A1570" t="s">
        <v>5759</v>
      </c>
      <c r="B1570" s="1" t="str">
        <f>HYPERLINK("https://www.catalog.slsa.sa.gov.au/record=b2119612")</f>
        <v>https://www.catalog.slsa.sa.gov.au/record=b2119612</v>
      </c>
      <c r="C1570" s="1" t="str">
        <f>HYPERLINK("https://www.catalog.slsa.sa.gov.au/xrecord=b2119612")</f>
        <v>https://www.catalog.slsa.sa.gov.au/xrecord=b2119612</v>
      </c>
      <c r="D1570" t="s">
        <v>66</v>
      </c>
      <c r="E1570" t="s">
        <v>5760</v>
      </c>
      <c r="F1570">
        <v>1954</v>
      </c>
      <c r="G1570" t="s">
        <v>121</v>
      </c>
      <c r="H1570" t="s">
        <v>5758</v>
      </c>
      <c r="I1570" t="s">
        <v>1750</v>
      </c>
      <c r="J1570" t="s">
        <v>71</v>
      </c>
      <c r="K1570" s="2" t="str">
        <f>HYPERLINK("http://collections.slsa.sa.gov.au/arthur/07000/BRG347_6925.htm")</f>
        <v>http://collections.slsa.sa.gov.au/arthur/07000/BRG347_6925.htm</v>
      </c>
    </row>
    <row r="1571" spans="1:11" x14ac:dyDescent="0.25">
      <c r="A1571" t="s">
        <v>5761</v>
      </c>
      <c r="B1571" s="1" t="str">
        <f>HYPERLINK("https://www.catalog.slsa.sa.gov.au/record=b2119615")</f>
        <v>https://www.catalog.slsa.sa.gov.au/record=b2119615</v>
      </c>
      <c r="C1571" s="1" t="str">
        <f>HYPERLINK("https://www.catalog.slsa.sa.gov.au/xrecord=b2119615")</f>
        <v>https://www.catalog.slsa.sa.gov.au/xrecord=b2119615</v>
      </c>
      <c r="D1571" t="s">
        <v>66</v>
      </c>
      <c r="E1571" t="s">
        <v>5762</v>
      </c>
      <c r="F1571">
        <v>1954</v>
      </c>
      <c r="G1571" t="s">
        <v>121</v>
      </c>
      <c r="H1571" t="s">
        <v>5763</v>
      </c>
      <c r="I1571" t="s">
        <v>5764</v>
      </c>
      <c r="J1571" t="s">
        <v>71</v>
      </c>
      <c r="K1571" s="2" t="str">
        <f>HYPERLINK("http://collections.slsa.sa.gov.au/arthur/07000/BRG347_6928.htm")</f>
        <v>http://collections.slsa.sa.gov.au/arthur/07000/BRG347_6928.htm</v>
      </c>
    </row>
    <row r="1572" spans="1:11" x14ac:dyDescent="0.25">
      <c r="A1572" t="s">
        <v>5765</v>
      </c>
      <c r="B1572" s="1" t="str">
        <f>HYPERLINK("https://www.catalog.slsa.sa.gov.au/record=b2119616")</f>
        <v>https://www.catalog.slsa.sa.gov.au/record=b2119616</v>
      </c>
      <c r="C1572" s="1" t="str">
        <f>HYPERLINK("https://www.catalog.slsa.sa.gov.au/xrecord=b2119616")</f>
        <v>https://www.catalog.slsa.sa.gov.au/xrecord=b2119616</v>
      </c>
      <c r="D1572" t="s">
        <v>66</v>
      </c>
      <c r="E1572" t="s">
        <v>5766</v>
      </c>
      <c r="F1572">
        <v>1954</v>
      </c>
      <c r="G1572" t="s">
        <v>121</v>
      </c>
      <c r="H1572" t="s">
        <v>5767</v>
      </c>
      <c r="I1572" t="s">
        <v>1750</v>
      </c>
      <c r="J1572" t="s">
        <v>71</v>
      </c>
      <c r="K1572" s="2" t="str">
        <f>HYPERLINK("http://collections.slsa.sa.gov.au/arthur/07000/BRG347_6929.htm")</f>
        <v>http://collections.slsa.sa.gov.au/arthur/07000/BRG347_6929.htm</v>
      </c>
    </row>
    <row r="1573" spans="1:11" x14ac:dyDescent="0.25">
      <c r="A1573" t="s">
        <v>5768</v>
      </c>
      <c r="B1573" s="1" t="str">
        <f>HYPERLINK("https://www.catalog.slsa.sa.gov.au/record=b2119617")</f>
        <v>https://www.catalog.slsa.sa.gov.au/record=b2119617</v>
      </c>
      <c r="C1573" s="1" t="str">
        <f>HYPERLINK("https://www.catalog.slsa.sa.gov.au/xrecord=b2119617")</f>
        <v>https://www.catalog.slsa.sa.gov.au/xrecord=b2119617</v>
      </c>
      <c r="D1573" t="s">
        <v>66</v>
      </c>
      <c r="E1573" t="s">
        <v>5766</v>
      </c>
      <c r="F1573">
        <v>1954</v>
      </c>
      <c r="G1573" t="s">
        <v>121</v>
      </c>
      <c r="H1573" t="s">
        <v>5767</v>
      </c>
      <c r="I1573" t="s">
        <v>1750</v>
      </c>
      <c r="J1573" t="s">
        <v>71</v>
      </c>
      <c r="K1573" s="2" t="str">
        <f>HYPERLINK("http://collections.slsa.sa.gov.au/arthur/07000/BRG347_6930.htm")</f>
        <v>http://collections.slsa.sa.gov.au/arthur/07000/BRG347_6930.htm</v>
      </c>
    </row>
    <row r="1574" spans="1:11" x14ac:dyDescent="0.25">
      <c r="A1574" t="s">
        <v>5769</v>
      </c>
      <c r="B1574" s="1" t="str">
        <f>HYPERLINK("https://www.catalog.slsa.sa.gov.au/record=b2119618")</f>
        <v>https://www.catalog.slsa.sa.gov.au/record=b2119618</v>
      </c>
      <c r="C1574" s="1" t="str">
        <f>HYPERLINK("https://www.catalog.slsa.sa.gov.au/xrecord=b2119618")</f>
        <v>https://www.catalog.slsa.sa.gov.au/xrecord=b2119618</v>
      </c>
      <c r="D1574" t="s">
        <v>66</v>
      </c>
      <c r="E1574" t="s">
        <v>5766</v>
      </c>
      <c r="F1574">
        <v>1954</v>
      </c>
      <c r="G1574" t="s">
        <v>121</v>
      </c>
      <c r="H1574" t="s">
        <v>5767</v>
      </c>
      <c r="I1574" t="s">
        <v>1750</v>
      </c>
      <c r="J1574" t="s">
        <v>71</v>
      </c>
      <c r="K1574" s="2" t="str">
        <f>HYPERLINK("http://collections.slsa.sa.gov.au/arthur/07000/BRG347_6931.htm")</f>
        <v>http://collections.slsa.sa.gov.au/arthur/07000/BRG347_6931.htm</v>
      </c>
    </row>
    <row r="1575" spans="1:11" x14ac:dyDescent="0.25">
      <c r="A1575" t="s">
        <v>5770</v>
      </c>
      <c r="B1575" s="1" t="str">
        <f>HYPERLINK("https://www.catalog.slsa.sa.gov.au/record=b2460695")</f>
        <v>https://www.catalog.slsa.sa.gov.au/record=b2460695</v>
      </c>
      <c r="C1575" s="1" t="str">
        <f>HYPERLINK("https://www.catalog.slsa.sa.gov.au/xrecord=b2460695")</f>
        <v>https://www.catalog.slsa.sa.gov.au/xrecord=b2460695</v>
      </c>
      <c r="D1575" t="s">
        <v>5771</v>
      </c>
      <c r="E1575" t="s">
        <v>5772</v>
      </c>
      <c r="F1575">
        <v>1954</v>
      </c>
      <c r="G1575" t="s">
        <v>5773</v>
      </c>
      <c r="H1575" t="s">
        <v>5774</v>
      </c>
      <c r="I1575" t="s">
        <v>5775</v>
      </c>
      <c r="J1575" t="s">
        <v>5776</v>
      </c>
      <c r="K1575" s="2" t="str">
        <f>HYPERLINK("http://collections.slsa.sa.gov.au/prg/1218/34/PRG1218_34_1797.htm")</f>
        <v>http://collections.slsa.sa.gov.au/prg/1218/34/PRG1218_34_1797.htm</v>
      </c>
    </row>
    <row r="1576" spans="1:11" x14ac:dyDescent="0.25">
      <c r="A1576" t="s">
        <v>5777</v>
      </c>
      <c r="B1576" s="1" t="str">
        <f>HYPERLINK("https://www.catalog.slsa.sa.gov.au/record=b2460692")</f>
        <v>https://www.catalog.slsa.sa.gov.au/record=b2460692</v>
      </c>
      <c r="C1576" s="1" t="str">
        <f>HYPERLINK("https://www.catalog.slsa.sa.gov.au/xrecord=b2460692")</f>
        <v>https://www.catalog.slsa.sa.gov.au/xrecord=b2460692</v>
      </c>
      <c r="D1576" t="s">
        <v>5771</v>
      </c>
      <c r="E1576" t="s">
        <v>5778</v>
      </c>
      <c r="F1576">
        <v>1954</v>
      </c>
      <c r="G1576" t="s">
        <v>5773</v>
      </c>
      <c r="H1576" t="s">
        <v>5779</v>
      </c>
      <c r="I1576" t="s">
        <v>5775</v>
      </c>
      <c r="J1576" t="s">
        <v>5776</v>
      </c>
      <c r="K1576" s="2" t="str">
        <f>HYPERLINK("http://collections.slsa.sa.gov.au/prg/1218/34/PRG1218_34_1825.htm")</f>
        <v>http://collections.slsa.sa.gov.au/prg/1218/34/PRG1218_34_1825.htm</v>
      </c>
    </row>
    <row r="1577" spans="1:11" x14ac:dyDescent="0.25">
      <c r="A1577" t="s">
        <v>5780</v>
      </c>
      <c r="B1577" s="1" t="str">
        <f>HYPERLINK("https://www.catalog.slsa.sa.gov.au/record=b2460696")</f>
        <v>https://www.catalog.slsa.sa.gov.au/record=b2460696</v>
      </c>
      <c r="C1577" s="1" t="str">
        <f>HYPERLINK("https://www.catalog.slsa.sa.gov.au/xrecord=b2460696")</f>
        <v>https://www.catalog.slsa.sa.gov.au/xrecord=b2460696</v>
      </c>
      <c r="D1577" t="s">
        <v>5771</v>
      </c>
      <c r="E1577" t="s">
        <v>5781</v>
      </c>
      <c r="F1577">
        <v>1954</v>
      </c>
      <c r="G1577" t="s">
        <v>5773</v>
      </c>
      <c r="H1577" t="s">
        <v>5782</v>
      </c>
      <c r="I1577" t="s">
        <v>5775</v>
      </c>
      <c r="J1577" t="s">
        <v>5776</v>
      </c>
      <c r="K1577" s="2" t="str">
        <f>HYPERLINK("http://collections.slsa.sa.gov.au/prg/1218/34/PRG1218_34_1826.htm")</f>
        <v>http://collections.slsa.sa.gov.au/prg/1218/34/PRG1218_34_1826.htm</v>
      </c>
    </row>
    <row r="1578" spans="1:11" x14ac:dyDescent="0.25">
      <c r="A1578" t="s">
        <v>5783</v>
      </c>
      <c r="B1578" s="1" t="str">
        <f>HYPERLINK("https://www.catalog.slsa.sa.gov.au/record=b2122792")</f>
        <v>https://www.catalog.slsa.sa.gov.au/record=b2122792</v>
      </c>
      <c r="C1578" s="1" t="str">
        <f>HYPERLINK("https://www.catalog.slsa.sa.gov.au/xrecord=b2122792")</f>
        <v>https://www.catalog.slsa.sa.gov.au/xrecord=b2122792</v>
      </c>
      <c r="E1578" t="s">
        <v>5784</v>
      </c>
      <c r="F1578">
        <v>1954</v>
      </c>
      <c r="G1578" t="s">
        <v>5773</v>
      </c>
      <c r="H1578" t="s">
        <v>5785</v>
      </c>
      <c r="I1578" t="s">
        <v>5786</v>
      </c>
      <c r="J1578" t="s">
        <v>5776</v>
      </c>
      <c r="K1578" s="2" t="str">
        <f>HYPERLINK("http://collections.slsa.sa.gov.au/prg/1218/34/PRG1218_34_1894.htm")</f>
        <v>http://collections.slsa.sa.gov.au/prg/1218/34/PRG1218_34_1894.htm</v>
      </c>
    </row>
    <row r="1579" spans="1:11" x14ac:dyDescent="0.25">
      <c r="A1579" t="s">
        <v>5787</v>
      </c>
      <c r="B1579" s="1" t="str">
        <f>HYPERLINK("https://www.catalog.slsa.sa.gov.au/record=b2460697")</f>
        <v>https://www.catalog.slsa.sa.gov.au/record=b2460697</v>
      </c>
      <c r="C1579" s="1" t="str">
        <f>HYPERLINK("https://www.catalog.slsa.sa.gov.au/xrecord=b2460697")</f>
        <v>https://www.catalog.slsa.sa.gov.au/xrecord=b2460697</v>
      </c>
      <c r="D1579" t="s">
        <v>5771</v>
      </c>
      <c r="E1579" t="s">
        <v>5788</v>
      </c>
      <c r="F1579">
        <v>1954</v>
      </c>
      <c r="G1579" t="s">
        <v>5773</v>
      </c>
      <c r="H1579" t="s">
        <v>5789</v>
      </c>
      <c r="I1579" t="s">
        <v>5775</v>
      </c>
      <c r="J1579" t="s">
        <v>5776</v>
      </c>
      <c r="K1579" s="2" t="str">
        <f>HYPERLINK("http://collections.slsa.sa.gov.au/prg/1218/34/PRG1218_34_1933.htm")</f>
        <v>http://collections.slsa.sa.gov.au/prg/1218/34/PRG1218_34_1933.htm</v>
      </c>
    </row>
    <row r="1580" spans="1:11" x14ac:dyDescent="0.25">
      <c r="A1580" t="s">
        <v>5790</v>
      </c>
      <c r="B1580" s="1" t="str">
        <f>HYPERLINK("https://www.catalog.slsa.sa.gov.au/record=b2927032")</f>
        <v>https://www.catalog.slsa.sa.gov.au/record=b2927032</v>
      </c>
      <c r="C1580" s="1" t="str">
        <f>HYPERLINK("https://www.catalog.slsa.sa.gov.au/xrecord=b2927032")</f>
        <v>https://www.catalog.slsa.sa.gov.au/xrecord=b2927032</v>
      </c>
      <c r="D1580" t="s">
        <v>2946</v>
      </c>
      <c r="E1580" t="s">
        <v>5791</v>
      </c>
      <c r="F1580">
        <v>1954</v>
      </c>
      <c r="G1580" t="s">
        <v>5792</v>
      </c>
      <c r="H1580" t="s">
        <v>5793</v>
      </c>
      <c r="I1580" t="s">
        <v>5794</v>
      </c>
      <c r="J1580" t="s">
        <v>2952</v>
      </c>
      <c r="K1580" s="2" t="str">
        <f>HYPERLINK("http://collections.slsa.sa.gov.au/prg/1561/5/PRG1561_5_1_33.htm")</f>
        <v>http://collections.slsa.sa.gov.au/prg/1561/5/PRG1561_5_1_33.htm</v>
      </c>
    </row>
    <row r="1581" spans="1:11" x14ac:dyDescent="0.25">
      <c r="A1581" t="s">
        <v>5795</v>
      </c>
      <c r="B1581" s="1" t="str">
        <f>HYPERLINK("https://www.catalog.slsa.sa.gov.au/record=b3026734")</f>
        <v>https://www.catalog.slsa.sa.gov.au/record=b3026734</v>
      </c>
      <c r="C1581" s="1" t="str">
        <f>HYPERLINK("https://www.catalog.slsa.sa.gov.au/xrecord=b3026734")</f>
        <v>https://www.catalog.slsa.sa.gov.au/xrecord=b3026734</v>
      </c>
      <c r="D1581" t="s">
        <v>5796</v>
      </c>
      <c r="E1581" t="s">
        <v>5797</v>
      </c>
      <c r="F1581">
        <v>1954</v>
      </c>
      <c r="G1581" t="s">
        <v>5798</v>
      </c>
      <c r="H1581" t="s">
        <v>5799</v>
      </c>
      <c r="I1581" t="s">
        <v>2634</v>
      </c>
      <c r="K1581" s="2" t="str">
        <f>HYPERLINK("http://collections.slsa.sa.gov.au/resource/PRG+1658/1/47")</f>
        <v>http://collections.slsa.sa.gov.au/resource/PRG+1658/1/47</v>
      </c>
    </row>
    <row r="1582" spans="1:11" x14ac:dyDescent="0.25">
      <c r="A1582" t="s">
        <v>5800</v>
      </c>
      <c r="B1582" s="1" t="str">
        <f>HYPERLINK("https://www.catalog.slsa.sa.gov.au/record=b3183281")</f>
        <v>https://www.catalog.slsa.sa.gov.au/record=b3183281</v>
      </c>
      <c r="C1582" s="1" t="str">
        <f>HYPERLINK("https://www.catalog.slsa.sa.gov.au/xrecord=b3183281")</f>
        <v>https://www.catalog.slsa.sa.gov.au/xrecord=b3183281</v>
      </c>
      <c r="D1582" t="s">
        <v>3036</v>
      </c>
      <c r="E1582" t="s">
        <v>5801</v>
      </c>
      <c r="F1582">
        <v>1954</v>
      </c>
      <c r="G1582" t="s">
        <v>3039</v>
      </c>
      <c r="H1582" t="s">
        <v>5802</v>
      </c>
      <c r="I1582" t="s">
        <v>5803</v>
      </c>
      <c r="J1582" t="s">
        <v>3042</v>
      </c>
      <c r="K1582" s="2" t="str">
        <f>HYPERLINK("http://collections.slsa.sa.gov.au/resource/PRG+1662/2/32/1")</f>
        <v>http://collections.slsa.sa.gov.au/resource/PRG+1662/2/32/1</v>
      </c>
    </row>
    <row r="1583" spans="1:11" x14ac:dyDescent="0.25">
      <c r="A1583" t="s">
        <v>5804</v>
      </c>
      <c r="B1583" s="1" t="str">
        <f>HYPERLINK("https://www.catalog.slsa.sa.gov.au/record=b3183284")</f>
        <v>https://www.catalog.slsa.sa.gov.au/record=b3183284</v>
      </c>
      <c r="C1583" s="1" t="str">
        <f>HYPERLINK("https://www.catalog.slsa.sa.gov.au/xrecord=b3183284")</f>
        <v>https://www.catalog.slsa.sa.gov.au/xrecord=b3183284</v>
      </c>
      <c r="D1583" t="s">
        <v>3036</v>
      </c>
      <c r="E1583" t="s">
        <v>5805</v>
      </c>
      <c r="F1583">
        <v>1954</v>
      </c>
      <c r="G1583" t="s">
        <v>3039</v>
      </c>
      <c r="H1583" t="s">
        <v>5806</v>
      </c>
      <c r="I1583" t="s">
        <v>5807</v>
      </c>
      <c r="J1583" t="s">
        <v>3042</v>
      </c>
      <c r="K1583" s="2" t="str">
        <f>HYPERLINK("http://collections.slsa.sa.gov.au/resource/PRG+1662/2/33/1")</f>
        <v>http://collections.slsa.sa.gov.au/resource/PRG+1662/2/33/1</v>
      </c>
    </row>
    <row r="1584" spans="1:11" x14ac:dyDescent="0.25">
      <c r="A1584" t="s">
        <v>5808</v>
      </c>
      <c r="B1584" s="1" t="str">
        <f>HYPERLINK("https://www.catalog.slsa.sa.gov.au/record=b3183285")</f>
        <v>https://www.catalog.slsa.sa.gov.au/record=b3183285</v>
      </c>
      <c r="C1584" s="1" t="str">
        <f>HYPERLINK("https://www.catalog.slsa.sa.gov.au/xrecord=b3183285")</f>
        <v>https://www.catalog.slsa.sa.gov.au/xrecord=b3183285</v>
      </c>
      <c r="D1584" t="s">
        <v>3036</v>
      </c>
      <c r="E1584" t="s">
        <v>5805</v>
      </c>
      <c r="F1584">
        <v>1954</v>
      </c>
      <c r="G1584" t="s">
        <v>3039</v>
      </c>
      <c r="H1584" t="s">
        <v>5806</v>
      </c>
      <c r="I1584" t="s">
        <v>5807</v>
      </c>
      <c r="J1584" t="s">
        <v>3042</v>
      </c>
      <c r="K1584" s="2" t="str">
        <f>HYPERLINK("http://collections.slsa.sa.gov.au/resource/PRG+1662/2/33/2")</f>
        <v>http://collections.slsa.sa.gov.au/resource/PRG+1662/2/33/2</v>
      </c>
    </row>
    <row r="1585" spans="1:11" x14ac:dyDescent="0.25">
      <c r="A1585" t="s">
        <v>5809</v>
      </c>
      <c r="B1585" s="1" t="str">
        <f>HYPERLINK("https://www.catalog.slsa.sa.gov.au/record=b3183306")</f>
        <v>https://www.catalog.slsa.sa.gov.au/record=b3183306</v>
      </c>
      <c r="C1585" s="1" t="str">
        <f>HYPERLINK("https://www.catalog.slsa.sa.gov.au/xrecord=b3183306")</f>
        <v>https://www.catalog.slsa.sa.gov.au/xrecord=b3183306</v>
      </c>
      <c r="D1585" t="s">
        <v>3036</v>
      </c>
      <c r="E1585" t="s">
        <v>5810</v>
      </c>
      <c r="F1585">
        <v>1954</v>
      </c>
      <c r="G1585" t="s">
        <v>3039</v>
      </c>
      <c r="H1585" t="s">
        <v>5811</v>
      </c>
      <c r="I1585" t="s">
        <v>5812</v>
      </c>
      <c r="J1585" t="s">
        <v>3042</v>
      </c>
      <c r="K1585" s="2" t="str">
        <f>HYPERLINK("http://collections.slsa.sa.gov.au/resource/PRG+1662/2/42/1")</f>
        <v>http://collections.slsa.sa.gov.au/resource/PRG+1662/2/42/1</v>
      </c>
    </row>
    <row r="1586" spans="1:11" x14ac:dyDescent="0.25">
      <c r="A1586" t="s">
        <v>5813</v>
      </c>
      <c r="B1586" s="1" t="str">
        <f>HYPERLINK("https://www.catalog.slsa.sa.gov.au/record=b3183362")</f>
        <v>https://www.catalog.slsa.sa.gov.au/record=b3183362</v>
      </c>
      <c r="C1586" s="1" t="str">
        <f>HYPERLINK("https://www.catalog.slsa.sa.gov.au/xrecord=b3183362")</f>
        <v>https://www.catalog.slsa.sa.gov.au/xrecord=b3183362</v>
      </c>
      <c r="D1586" t="s">
        <v>3036</v>
      </c>
      <c r="E1586" t="s">
        <v>5814</v>
      </c>
      <c r="F1586">
        <v>1954</v>
      </c>
      <c r="G1586" t="s">
        <v>3039</v>
      </c>
      <c r="H1586" t="s">
        <v>5815</v>
      </c>
      <c r="I1586" t="s">
        <v>5816</v>
      </c>
      <c r="J1586" t="s">
        <v>3042</v>
      </c>
      <c r="K1586" s="2" t="str">
        <f>HYPERLINK("http://collections.slsa.sa.gov.au/resource/PRG+1662/2/42/10")</f>
        <v>http://collections.slsa.sa.gov.au/resource/PRG+1662/2/42/10</v>
      </c>
    </row>
    <row r="1587" spans="1:11" x14ac:dyDescent="0.25">
      <c r="A1587" t="s">
        <v>5817</v>
      </c>
      <c r="B1587" s="1" t="str">
        <f>HYPERLINK("https://www.catalog.slsa.sa.gov.au/record=b3183364")</f>
        <v>https://www.catalog.slsa.sa.gov.au/record=b3183364</v>
      </c>
      <c r="C1587" s="1" t="str">
        <f>HYPERLINK("https://www.catalog.slsa.sa.gov.au/xrecord=b3183364")</f>
        <v>https://www.catalog.slsa.sa.gov.au/xrecord=b3183364</v>
      </c>
      <c r="D1587" t="s">
        <v>3036</v>
      </c>
      <c r="E1587" t="s">
        <v>5814</v>
      </c>
      <c r="F1587">
        <v>1954</v>
      </c>
      <c r="G1587" t="s">
        <v>3039</v>
      </c>
      <c r="H1587" t="s">
        <v>5818</v>
      </c>
      <c r="I1587" t="s">
        <v>5819</v>
      </c>
      <c r="J1587" t="s">
        <v>3042</v>
      </c>
      <c r="K1587" s="2" t="str">
        <f>HYPERLINK("http://collections.slsa.sa.gov.au/resource/PRG+1662/2/42/11")</f>
        <v>http://collections.slsa.sa.gov.au/resource/PRG+1662/2/42/11</v>
      </c>
    </row>
    <row r="1588" spans="1:11" x14ac:dyDescent="0.25">
      <c r="A1588" t="s">
        <v>5820</v>
      </c>
      <c r="B1588" s="1" t="str">
        <f>HYPERLINK("https://www.catalog.slsa.sa.gov.au/record=b3183367")</f>
        <v>https://www.catalog.slsa.sa.gov.au/record=b3183367</v>
      </c>
      <c r="C1588" s="1" t="str">
        <f>HYPERLINK("https://www.catalog.slsa.sa.gov.au/xrecord=b3183367")</f>
        <v>https://www.catalog.slsa.sa.gov.au/xrecord=b3183367</v>
      </c>
      <c r="D1588" t="s">
        <v>3036</v>
      </c>
      <c r="E1588" t="s">
        <v>5821</v>
      </c>
      <c r="F1588">
        <v>1954</v>
      </c>
      <c r="G1588" t="s">
        <v>3039</v>
      </c>
      <c r="H1588" t="s">
        <v>5822</v>
      </c>
      <c r="J1588" t="s">
        <v>3042</v>
      </c>
      <c r="K1588" s="2" t="str">
        <f>HYPERLINK("http://collections.slsa.sa.gov.au/resource/PRG+1662/2/42/12")</f>
        <v>http://collections.slsa.sa.gov.au/resource/PRG+1662/2/42/12</v>
      </c>
    </row>
    <row r="1589" spans="1:11" x14ac:dyDescent="0.25">
      <c r="A1589" t="s">
        <v>5823</v>
      </c>
      <c r="B1589" s="1" t="str">
        <f>HYPERLINK("https://www.catalog.slsa.sa.gov.au/record=b3183310")</f>
        <v>https://www.catalog.slsa.sa.gov.au/record=b3183310</v>
      </c>
      <c r="C1589" s="1" t="str">
        <f>HYPERLINK("https://www.catalog.slsa.sa.gov.au/xrecord=b3183310")</f>
        <v>https://www.catalog.slsa.sa.gov.au/xrecord=b3183310</v>
      </c>
      <c r="D1589" t="s">
        <v>3036</v>
      </c>
      <c r="E1589" t="s">
        <v>5810</v>
      </c>
      <c r="F1589">
        <v>1954</v>
      </c>
      <c r="G1589" t="s">
        <v>3039</v>
      </c>
      <c r="H1589" t="s">
        <v>5824</v>
      </c>
      <c r="I1589" t="s">
        <v>5825</v>
      </c>
      <c r="J1589" t="s">
        <v>3042</v>
      </c>
      <c r="K1589" s="2" t="str">
        <f>HYPERLINK("http://collections.slsa.sa.gov.au/resource/PRG+1662/2/42/2")</f>
        <v>http://collections.slsa.sa.gov.au/resource/PRG+1662/2/42/2</v>
      </c>
    </row>
    <row r="1590" spans="1:11" x14ac:dyDescent="0.25">
      <c r="A1590" t="s">
        <v>5826</v>
      </c>
      <c r="B1590" s="1" t="str">
        <f>HYPERLINK("https://www.catalog.slsa.sa.gov.au/record=b3183312")</f>
        <v>https://www.catalog.slsa.sa.gov.au/record=b3183312</v>
      </c>
      <c r="C1590" s="1" t="str">
        <f>HYPERLINK("https://www.catalog.slsa.sa.gov.au/xrecord=b3183312")</f>
        <v>https://www.catalog.slsa.sa.gov.au/xrecord=b3183312</v>
      </c>
      <c r="D1590" t="s">
        <v>3036</v>
      </c>
      <c r="E1590" t="s">
        <v>5810</v>
      </c>
      <c r="F1590">
        <v>1954</v>
      </c>
      <c r="G1590" t="s">
        <v>3039</v>
      </c>
      <c r="H1590" t="s">
        <v>5827</v>
      </c>
      <c r="I1590" t="s">
        <v>5828</v>
      </c>
      <c r="J1590" t="s">
        <v>3042</v>
      </c>
      <c r="K1590" s="2" t="str">
        <f>HYPERLINK("http://collections.slsa.sa.gov.au/resource/PRG+1662/2/42/3")</f>
        <v>http://collections.slsa.sa.gov.au/resource/PRG+1662/2/42/3</v>
      </c>
    </row>
    <row r="1591" spans="1:11" x14ac:dyDescent="0.25">
      <c r="A1591" t="s">
        <v>5829</v>
      </c>
      <c r="B1591" s="1" t="str">
        <f>HYPERLINK("https://www.catalog.slsa.sa.gov.au/record=b3183316")</f>
        <v>https://www.catalog.slsa.sa.gov.au/record=b3183316</v>
      </c>
      <c r="C1591" s="1" t="str">
        <f>HYPERLINK("https://www.catalog.slsa.sa.gov.au/xrecord=b3183316")</f>
        <v>https://www.catalog.slsa.sa.gov.au/xrecord=b3183316</v>
      </c>
      <c r="D1591" t="s">
        <v>3036</v>
      </c>
      <c r="E1591" t="s">
        <v>5810</v>
      </c>
      <c r="F1591">
        <v>1954</v>
      </c>
      <c r="G1591" t="s">
        <v>3039</v>
      </c>
      <c r="H1591" t="s">
        <v>5830</v>
      </c>
      <c r="I1591" t="s">
        <v>5828</v>
      </c>
      <c r="J1591" t="s">
        <v>3042</v>
      </c>
      <c r="K1591" s="2" t="str">
        <f>HYPERLINK("http://collections.slsa.sa.gov.au/resource/PRG+1662/2/42/4")</f>
        <v>http://collections.slsa.sa.gov.au/resource/PRG+1662/2/42/4</v>
      </c>
    </row>
    <row r="1592" spans="1:11" x14ac:dyDescent="0.25">
      <c r="A1592" t="s">
        <v>5831</v>
      </c>
      <c r="B1592" s="1" t="str">
        <f>HYPERLINK("https://www.catalog.slsa.sa.gov.au/record=b3183317")</f>
        <v>https://www.catalog.slsa.sa.gov.au/record=b3183317</v>
      </c>
      <c r="C1592" s="1" t="str">
        <f>HYPERLINK("https://www.catalog.slsa.sa.gov.au/xrecord=b3183317")</f>
        <v>https://www.catalog.slsa.sa.gov.au/xrecord=b3183317</v>
      </c>
      <c r="D1592" t="s">
        <v>3036</v>
      </c>
      <c r="E1592" t="s">
        <v>5832</v>
      </c>
      <c r="F1592">
        <v>1954</v>
      </c>
      <c r="G1592" t="s">
        <v>3039</v>
      </c>
      <c r="H1592" t="s">
        <v>5833</v>
      </c>
      <c r="I1592" t="s">
        <v>5834</v>
      </c>
      <c r="J1592" t="s">
        <v>3042</v>
      </c>
      <c r="K1592" s="2" t="str">
        <f>HYPERLINK("http://collections.slsa.sa.gov.au/resource/PRG+1662/2/42/5")</f>
        <v>http://collections.slsa.sa.gov.au/resource/PRG+1662/2/42/5</v>
      </c>
    </row>
    <row r="1593" spans="1:11" x14ac:dyDescent="0.25">
      <c r="A1593" t="s">
        <v>5835</v>
      </c>
      <c r="B1593" s="1" t="str">
        <f>HYPERLINK("https://www.catalog.slsa.sa.gov.au/record=b3183318")</f>
        <v>https://www.catalog.slsa.sa.gov.au/record=b3183318</v>
      </c>
      <c r="C1593" s="1" t="str">
        <f>HYPERLINK("https://www.catalog.slsa.sa.gov.au/xrecord=b3183318")</f>
        <v>https://www.catalog.slsa.sa.gov.au/xrecord=b3183318</v>
      </c>
      <c r="D1593" t="s">
        <v>3036</v>
      </c>
      <c r="E1593" t="s">
        <v>5836</v>
      </c>
      <c r="F1593">
        <v>1954</v>
      </c>
      <c r="G1593" t="s">
        <v>3039</v>
      </c>
      <c r="H1593" t="s">
        <v>5837</v>
      </c>
      <c r="I1593" t="s">
        <v>5838</v>
      </c>
      <c r="J1593" t="s">
        <v>3042</v>
      </c>
      <c r="K1593" s="2" t="str">
        <f>HYPERLINK("http://collections.slsa.sa.gov.au/resource/PRG+1662/2/42/6")</f>
        <v>http://collections.slsa.sa.gov.au/resource/PRG+1662/2/42/6</v>
      </c>
    </row>
    <row r="1594" spans="1:11" x14ac:dyDescent="0.25">
      <c r="A1594" t="s">
        <v>5839</v>
      </c>
      <c r="B1594" s="1" t="str">
        <f>HYPERLINK("https://www.catalog.slsa.sa.gov.au/record=b3183345")</f>
        <v>https://www.catalog.slsa.sa.gov.au/record=b3183345</v>
      </c>
      <c r="C1594" s="1" t="str">
        <f>HYPERLINK("https://www.catalog.slsa.sa.gov.au/xrecord=b3183345")</f>
        <v>https://www.catalog.slsa.sa.gov.au/xrecord=b3183345</v>
      </c>
      <c r="D1594" t="s">
        <v>3036</v>
      </c>
      <c r="E1594" t="s">
        <v>5836</v>
      </c>
      <c r="F1594">
        <v>1954</v>
      </c>
      <c r="G1594" t="s">
        <v>3039</v>
      </c>
      <c r="H1594" t="s">
        <v>5840</v>
      </c>
      <c r="I1594" t="s">
        <v>5841</v>
      </c>
      <c r="J1594" t="s">
        <v>3042</v>
      </c>
      <c r="K1594" s="2" t="str">
        <f>HYPERLINK("http://collections.slsa.sa.gov.au/resource/PRG+1662/2/42/7")</f>
        <v>http://collections.slsa.sa.gov.au/resource/PRG+1662/2/42/7</v>
      </c>
    </row>
    <row r="1595" spans="1:11" x14ac:dyDescent="0.25">
      <c r="A1595" t="s">
        <v>5842</v>
      </c>
      <c r="B1595" s="1" t="str">
        <f>HYPERLINK("https://www.catalog.slsa.sa.gov.au/record=b3183348")</f>
        <v>https://www.catalog.slsa.sa.gov.au/record=b3183348</v>
      </c>
      <c r="C1595" s="1" t="str">
        <f>HYPERLINK("https://www.catalog.slsa.sa.gov.au/xrecord=b3183348")</f>
        <v>https://www.catalog.slsa.sa.gov.au/xrecord=b3183348</v>
      </c>
      <c r="D1595" t="s">
        <v>3036</v>
      </c>
      <c r="E1595" t="s">
        <v>5814</v>
      </c>
      <c r="F1595">
        <v>1954</v>
      </c>
      <c r="G1595" t="s">
        <v>3039</v>
      </c>
      <c r="H1595" t="s">
        <v>5843</v>
      </c>
      <c r="I1595" t="s">
        <v>5816</v>
      </c>
      <c r="J1595" t="s">
        <v>3042</v>
      </c>
      <c r="K1595" s="2" t="str">
        <f>HYPERLINK("http://collections.slsa.sa.gov.au/resource/PRG+1662/2/42/8")</f>
        <v>http://collections.slsa.sa.gov.au/resource/PRG+1662/2/42/8</v>
      </c>
    </row>
    <row r="1596" spans="1:11" x14ac:dyDescent="0.25">
      <c r="A1596" t="s">
        <v>5844</v>
      </c>
      <c r="B1596" s="1" t="str">
        <f>HYPERLINK("https://www.catalog.slsa.sa.gov.au/record=b3183352")</f>
        <v>https://www.catalog.slsa.sa.gov.au/record=b3183352</v>
      </c>
      <c r="C1596" s="1" t="str">
        <f>HYPERLINK("https://www.catalog.slsa.sa.gov.au/xrecord=b3183352")</f>
        <v>https://www.catalog.slsa.sa.gov.au/xrecord=b3183352</v>
      </c>
      <c r="D1596" t="s">
        <v>3036</v>
      </c>
      <c r="E1596" t="s">
        <v>5845</v>
      </c>
      <c r="F1596">
        <v>1954</v>
      </c>
      <c r="G1596" t="s">
        <v>3039</v>
      </c>
      <c r="H1596" t="s">
        <v>5846</v>
      </c>
      <c r="I1596" t="s">
        <v>5847</v>
      </c>
      <c r="J1596" t="s">
        <v>3042</v>
      </c>
      <c r="K1596" s="2" t="str">
        <f>HYPERLINK("http://collections.slsa.sa.gov.au/resource/PRG+1662/2/42/9")</f>
        <v>http://collections.slsa.sa.gov.au/resource/PRG+1662/2/42/9</v>
      </c>
    </row>
    <row r="1597" spans="1:11" x14ac:dyDescent="0.25">
      <c r="A1597" t="s">
        <v>5848</v>
      </c>
      <c r="B1597" s="1" t="str">
        <f>HYPERLINK("https://www.catalog.slsa.sa.gov.au/record=b3183530")</f>
        <v>https://www.catalog.slsa.sa.gov.au/record=b3183530</v>
      </c>
      <c r="C1597" s="1" t="str">
        <f>HYPERLINK("https://www.catalog.slsa.sa.gov.au/xrecord=b3183530")</f>
        <v>https://www.catalog.slsa.sa.gov.au/xrecord=b3183530</v>
      </c>
      <c r="D1597" t="s">
        <v>3036</v>
      </c>
      <c r="E1597" t="s">
        <v>5849</v>
      </c>
      <c r="F1597">
        <v>1954</v>
      </c>
      <c r="G1597" t="s">
        <v>3039</v>
      </c>
      <c r="H1597" t="s">
        <v>5850</v>
      </c>
      <c r="J1597" t="s">
        <v>3042</v>
      </c>
      <c r="K1597" s="2" t="str">
        <f>HYPERLINK("http://collections.slsa.sa.gov.au/resource/PRG+1662/2/43/1")</f>
        <v>http://collections.slsa.sa.gov.au/resource/PRG+1662/2/43/1</v>
      </c>
    </row>
    <row r="1598" spans="1:11" x14ac:dyDescent="0.25">
      <c r="A1598" t="s">
        <v>5851</v>
      </c>
      <c r="B1598" s="1" t="str">
        <f>HYPERLINK("https://www.catalog.slsa.sa.gov.au/record=b3183673")</f>
        <v>https://www.catalog.slsa.sa.gov.au/record=b3183673</v>
      </c>
      <c r="C1598" s="1" t="str">
        <f>HYPERLINK("https://www.catalog.slsa.sa.gov.au/xrecord=b3183673")</f>
        <v>https://www.catalog.slsa.sa.gov.au/xrecord=b3183673</v>
      </c>
      <c r="D1598" t="s">
        <v>3036</v>
      </c>
      <c r="E1598" t="s">
        <v>5852</v>
      </c>
      <c r="F1598">
        <v>1954</v>
      </c>
      <c r="G1598" t="s">
        <v>3039</v>
      </c>
      <c r="H1598" t="s">
        <v>5853</v>
      </c>
      <c r="I1598" t="s">
        <v>5854</v>
      </c>
      <c r="J1598" t="s">
        <v>3042</v>
      </c>
      <c r="K1598" s="2" t="str">
        <f>HYPERLINK("http://collections.slsa.sa.gov.au/resource/PRG+1662/2/43/2")</f>
        <v>http://collections.slsa.sa.gov.au/resource/PRG+1662/2/43/2</v>
      </c>
    </row>
    <row r="1599" spans="1:11" x14ac:dyDescent="0.25">
      <c r="A1599" t="s">
        <v>5855</v>
      </c>
      <c r="B1599" s="1" t="str">
        <f>HYPERLINK("https://www.catalog.slsa.sa.gov.au/record=b3183675")</f>
        <v>https://www.catalog.slsa.sa.gov.au/record=b3183675</v>
      </c>
      <c r="C1599" s="1" t="str">
        <f>HYPERLINK("https://www.catalog.slsa.sa.gov.au/xrecord=b3183675")</f>
        <v>https://www.catalog.slsa.sa.gov.au/xrecord=b3183675</v>
      </c>
      <c r="D1599" t="s">
        <v>3036</v>
      </c>
      <c r="E1599" t="s">
        <v>5852</v>
      </c>
      <c r="F1599">
        <v>1954</v>
      </c>
      <c r="G1599" t="s">
        <v>3039</v>
      </c>
      <c r="H1599" t="s">
        <v>5853</v>
      </c>
      <c r="I1599" t="s">
        <v>5854</v>
      </c>
      <c r="J1599" t="s">
        <v>3042</v>
      </c>
      <c r="K1599" s="2" t="str">
        <f>HYPERLINK("http://collections.slsa.sa.gov.au/resource/PRG+1662/2/43/3")</f>
        <v>http://collections.slsa.sa.gov.au/resource/PRG+1662/2/43/3</v>
      </c>
    </row>
    <row r="1600" spans="1:11" x14ac:dyDescent="0.25">
      <c r="A1600" t="s">
        <v>5856</v>
      </c>
      <c r="B1600" s="1" t="str">
        <f>HYPERLINK("https://www.catalog.slsa.sa.gov.au/record=b3183676")</f>
        <v>https://www.catalog.slsa.sa.gov.au/record=b3183676</v>
      </c>
      <c r="C1600" s="1" t="str">
        <f>HYPERLINK("https://www.catalog.slsa.sa.gov.au/xrecord=b3183676")</f>
        <v>https://www.catalog.slsa.sa.gov.au/xrecord=b3183676</v>
      </c>
      <c r="D1600" t="s">
        <v>3036</v>
      </c>
      <c r="E1600" t="s">
        <v>5852</v>
      </c>
      <c r="F1600">
        <v>1954</v>
      </c>
      <c r="G1600" t="s">
        <v>3039</v>
      </c>
      <c r="H1600" t="s">
        <v>5857</v>
      </c>
      <c r="I1600" t="s">
        <v>5854</v>
      </c>
      <c r="J1600" t="s">
        <v>3042</v>
      </c>
      <c r="K1600" s="2" t="str">
        <f>HYPERLINK("http://collections.slsa.sa.gov.au/resource/PRG+1662/2/43/4")</f>
        <v>http://collections.slsa.sa.gov.au/resource/PRG+1662/2/43/4</v>
      </c>
    </row>
    <row r="1601" spans="1:11" x14ac:dyDescent="0.25">
      <c r="A1601" t="s">
        <v>5858</v>
      </c>
      <c r="B1601" s="1" t="str">
        <f>HYPERLINK("https://www.catalog.slsa.sa.gov.au/record=b3183677")</f>
        <v>https://www.catalog.slsa.sa.gov.au/record=b3183677</v>
      </c>
      <c r="C1601" s="1" t="str">
        <f>HYPERLINK("https://www.catalog.slsa.sa.gov.au/xrecord=b3183677")</f>
        <v>https://www.catalog.slsa.sa.gov.au/xrecord=b3183677</v>
      </c>
      <c r="D1601" t="s">
        <v>3036</v>
      </c>
      <c r="E1601" t="s">
        <v>5852</v>
      </c>
      <c r="F1601">
        <v>1954</v>
      </c>
      <c r="G1601" t="s">
        <v>3039</v>
      </c>
      <c r="H1601" t="s">
        <v>5859</v>
      </c>
      <c r="I1601" t="s">
        <v>5854</v>
      </c>
      <c r="J1601" t="s">
        <v>3042</v>
      </c>
      <c r="K1601" s="2" t="str">
        <f>HYPERLINK("http://collections.slsa.sa.gov.au/resource/PRG+1662/2/43/5")</f>
        <v>http://collections.slsa.sa.gov.au/resource/PRG+1662/2/43/5</v>
      </c>
    </row>
    <row r="1602" spans="1:11" x14ac:dyDescent="0.25">
      <c r="A1602" t="s">
        <v>5860</v>
      </c>
      <c r="B1602" s="1" t="str">
        <f>HYPERLINK("https://www.catalog.slsa.sa.gov.au/record=b3183678")</f>
        <v>https://www.catalog.slsa.sa.gov.au/record=b3183678</v>
      </c>
      <c r="C1602" s="1" t="str">
        <f>HYPERLINK("https://www.catalog.slsa.sa.gov.au/xrecord=b3183678")</f>
        <v>https://www.catalog.slsa.sa.gov.au/xrecord=b3183678</v>
      </c>
      <c r="D1602" t="s">
        <v>3036</v>
      </c>
      <c r="E1602" t="s">
        <v>5852</v>
      </c>
      <c r="F1602">
        <v>1954</v>
      </c>
      <c r="G1602" t="s">
        <v>3039</v>
      </c>
      <c r="H1602" t="s">
        <v>5861</v>
      </c>
      <c r="I1602" t="s">
        <v>5854</v>
      </c>
      <c r="J1602" t="s">
        <v>3042</v>
      </c>
      <c r="K1602" s="2" t="str">
        <f>HYPERLINK("http://collections.slsa.sa.gov.au/resource/PRG+1662/2/43/6")</f>
        <v>http://collections.slsa.sa.gov.au/resource/PRG+1662/2/43/6</v>
      </c>
    </row>
    <row r="1603" spans="1:11" x14ac:dyDescent="0.25">
      <c r="A1603" t="s">
        <v>5862</v>
      </c>
      <c r="B1603" s="1" t="str">
        <f>HYPERLINK("https://www.catalog.slsa.sa.gov.au/record=b3182975")</f>
        <v>https://www.catalog.slsa.sa.gov.au/record=b3182975</v>
      </c>
      <c r="C1603" s="1" t="str">
        <f>HYPERLINK("https://www.catalog.slsa.sa.gov.au/xrecord=b3182975")</f>
        <v>https://www.catalog.slsa.sa.gov.au/xrecord=b3182975</v>
      </c>
      <c r="D1603" t="s">
        <v>3036</v>
      </c>
      <c r="E1603" t="s">
        <v>5863</v>
      </c>
      <c r="F1603">
        <v>1954</v>
      </c>
      <c r="G1603" t="s">
        <v>3039</v>
      </c>
      <c r="H1603" t="s">
        <v>5864</v>
      </c>
      <c r="I1603" t="s">
        <v>5865</v>
      </c>
      <c r="J1603" t="s">
        <v>3042</v>
      </c>
      <c r="K1603" s="2" t="str">
        <f>HYPERLINK("http://collections.slsa.sa.gov.au/resource/PRG+1662/2/55/1")</f>
        <v>http://collections.slsa.sa.gov.au/resource/PRG+1662/2/55/1</v>
      </c>
    </row>
    <row r="1604" spans="1:11" x14ac:dyDescent="0.25">
      <c r="A1604" t="s">
        <v>5866</v>
      </c>
      <c r="B1604" s="1" t="str">
        <f>HYPERLINK("https://www.catalog.slsa.sa.gov.au/record=b3182977")</f>
        <v>https://www.catalog.slsa.sa.gov.au/record=b3182977</v>
      </c>
      <c r="C1604" s="1" t="str">
        <f>HYPERLINK("https://www.catalog.slsa.sa.gov.au/xrecord=b3182977")</f>
        <v>https://www.catalog.slsa.sa.gov.au/xrecord=b3182977</v>
      </c>
      <c r="D1604" t="s">
        <v>3036</v>
      </c>
      <c r="E1604" t="s">
        <v>5867</v>
      </c>
      <c r="F1604">
        <v>1954</v>
      </c>
      <c r="G1604" t="s">
        <v>3039</v>
      </c>
      <c r="H1604" t="s">
        <v>5868</v>
      </c>
      <c r="I1604" t="s">
        <v>5869</v>
      </c>
      <c r="J1604" t="s">
        <v>3042</v>
      </c>
      <c r="K1604" s="2" t="str">
        <f>HYPERLINK("http://collections.slsa.sa.gov.au/resource/PRG+1662/2/55/2")</f>
        <v>http://collections.slsa.sa.gov.au/resource/PRG+1662/2/55/2</v>
      </c>
    </row>
    <row r="1605" spans="1:11" x14ac:dyDescent="0.25">
      <c r="A1605" t="s">
        <v>5870</v>
      </c>
      <c r="B1605" s="1" t="str">
        <f>HYPERLINK("https://www.catalog.slsa.sa.gov.au/record=b3182978")</f>
        <v>https://www.catalog.slsa.sa.gov.au/record=b3182978</v>
      </c>
      <c r="C1605" s="1" t="str">
        <f>HYPERLINK("https://www.catalog.slsa.sa.gov.au/xrecord=b3182978")</f>
        <v>https://www.catalog.slsa.sa.gov.au/xrecord=b3182978</v>
      </c>
      <c r="D1605" t="s">
        <v>3036</v>
      </c>
      <c r="E1605" t="s">
        <v>5871</v>
      </c>
      <c r="F1605">
        <v>1954</v>
      </c>
      <c r="G1605" t="s">
        <v>3039</v>
      </c>
      <c r="H1605" t="s">
        <v>5872</v>
      </c>
      <c r="I1605" t="s">
        <v>5869</v>
      </c>
      <c r="J1605" t="s">
        <v>3042</v>
      </c>
      <c r="K1605" s="2" t="str">
        <f>HYPERLINK("http://collections.slsa.sa.gov.au/resource/PRG+1662/2/55/3")</f>
        <v>http://collections.slsa.sa.gov.au/resource/PRG+1662/2/55/3</v>
      </c>
    </row>
    <row r="1606" spans="1:11" x14ac:dyDescent="0.25">
      <c r="A1606" t="s">
        <v>5873</v>
      </c>
      <c r="B1606" s="1" t="str">
        <f>HYPERLINK("https://www.catalog.slsa.sa.gov.au/record=b3182981")</f>
        <v>https://www.catalog.slsa.sa.gov.au/record=b3182981</v>
      </c>
      <c r="C1606" s="1" t="str">
        <f>HYPERLINK("https://www.catalog.slsa.sa.gov.au/xrecord=b3182981")</f>
        <v>https://www.catalog.slsa.sa.gov.au/xrecord=b3182981</v>
      </c>
      <c r="D1606" t="s">
        <v>3036</v>
      </c>
      <c r="E1606" t="s">
        <v>5874</v>
      </c>
      <c r="F1606">
        <v>1954</v>
      </c>
      <c r="G1606" t="s">
        <v>3039</v>
      </c>
      <c r="H1606" t="s">
        <v>5875</v>
      </c>
      <c r="I1606" t="s">
        <v>5876</v>
      </c>
      <c r="J1606" t="s">
        <v>3042</v>
      </c>
      <c r="K1606" s="2" t="str">
        <f>HYPERLINK("http://collections.slsa.sa.gov.au/resource/PRG+1662/2/57/1")</f>
        <v>http://collections.slsa.sa.gov.au/resource/PRG+1662/2/57/1</v>
      </c>
    </row>
    <row r="1607" spans="1:11" x14ac:dyDescent="0.25">
      <c r="A1607" t="s">
        <v>5877</v>
      </c>
      <c r="B1607" s="1" t="str">
        <f>HYPERLINK("https://www.catalog.slsa.sa.gov.au/record=b3182989")</f>
        <v>https://www.catalog.slsa.sa.gov.au/record=b3182989</v>
      </c>
      <c r="C1607" s="1" t="str">
        <f>HYPERLINK("https://www.catalog.slsa.sa.gov.au/xrecord=b3182989")</f>
        <v>https://www.catalog.slsa.sa.gov.au/xrecord=b3182989</v>
      </c>
      <c r="D1607" t="s">
        <v>3036</v>
      </c>
      <c r="E1607" t="s">
        <v>5874</v>
      </c>
      <c r="F1607">
        <v>1954</v>
      </c>
      <c r="G1607" t="s">
        <v>3039</v>
      </c>
      <c r="H1607" t="s">
        <v>5875</v>
      </c>
      <c r="I1607" t="s">
        <v>5876</v>
      </c>
      <c r="J1607" t="s">
        <v>3042</v>
      </c>
      <c r="K1607" s="2" t="str">
        <f>HYPERLINK("http://collections.slsa.sa.gov.au/resource/PRG+1662/2/57/2")</f>
        <v>http://collections.slsa.sa.gov.au/resource/PRG+1662/2/57/2</v>
      </c>
    </row>
    <row r="1608" spans="1:11" x14ac:dyDescent="0.25">
      <c r="A1608" t="s">
        <v>5878</v>
      </c>
      <c r="B1608" s="1" t="str">
        <f>HYPERLINK("https://www.catalog.slsa.sa.gov.au/record=b3182990")</f>
        <v>https://www.catalog.slsa.sa.gov.au/record=b3182990</v>
      </c>
      <c r="C1608" s="1" t="str">
        <f>HYPERLINK("https://www.catalog.slsa.sa.gov.au/xrecord=b3182990")</f>
        <v>https://www.catalog.slsa.sa.gov.au/xrecord=b3182990</v>
      </c>
      <c r="D1608" t="s">
        <v>3036</v>
      </c>
      <c r="E1608" t="s">
        <v>5879</v>
      </c>
      <c r="F1608">
        <v>1954</v>
      </c>
      <c r="G1608" t="s">
        <v>3039</v>
      </c>
      <c r="H1608" t="s">
        <v>5880</v>
      </c>
      <c r="I1608" t="s">
        <v>5881</v>
      </c>
      <c r="J1608" t="s">
        <v>3042</v>
      </c>
      <c r="K1608" s="2" t="str">
        <f>HYPERLINK("http://collections.slsa.sa.gov.au/resource/PRG+1662/2/57/3")</f>
        <v>http://collections.slsa.sa.gov.au/resource/PRG+1662/2/57/3</v>
      </c>
    </row>
    <row r="1609" spans="1:11" x14ac:dyDescent="0.25">
      <c r="A1609" t="s">
        <v>5882</v>
      </c>
      <c r="B1609" s="1" t="str">
        <f>HYPERLINK("https://www.catalog.slsa.sa.gov.au/record=b3182992")</f>
        <v>https://www.catalog.slsa.sa.gov.au/record=b3182992</v>
      </c>
      <c r="C1609" s="1" t="str">
        <f>HYPERLINK("https://www.catalog.slsa.sa.gov.au/xrecord=b3182992")</f>
        <v>https://www.catalog.slsa.sa.gov.au/xrecord=b3182992</v>
      </c>
      <c r="D1609" t="s">
        <v>3036</v>
      </c>
      <c r="E1609" t="s">
        <v>5879</v>
      </c>
      <c r="F1609">
        <v>1954</v>
      </c>
      <c r="G1609" t="s">
        <v>3039</v>
      </c>
      <c r="H1609" t="s">
        <v>5880</v>
      </c>
      <c r="I1609" t="s">
        <v>5881</v>
      </c>
      <c r="J1609" t="s">
        <v>3042</v>
      </c>
      <c r="K1609" s="2" t="str">
        <f>HYPERLINK("http://collections.slsa.sa.gov.au/resource/PRG+1662/2/57/4")</f>
        <v>http://collections.slsa.sa.gov.au/resource/PRG+1662/2/57/4</v>
      </c>
    </row>
    <row r="1610" spans="1:11" x14ac:dyDescent="0.25">
      <c r="A1610" t="s">
        <v>5883</v>
      </c>
      <c r="B1610" s="1" t="str">
        <f>HYPERLINK("https://www.catalog.slsa.sa.gov.au/record=b3182993")</f>
        <v>https://www.catalog.slsa.sa.gov.au/record=b3182993</v>
      </c>
      <c r="C1610" s="1" t="str">
        <f>HYPERLINK("https://www.catalog.slsa.sa.gov.au/xrecord=b3182993")</f>
        <v>https://www.catalog.slsa.sa.gov.au/xrecord=b3182993</v>
      </c>
      <c r="D1610" t="s">
        <v>3036</v>
      </c>
      <c r="E1610" t="s">
        <v>5879</v>
      </c>
      <c r="F1610">
        <v>1954</v>
      </c>
      <c r="G1610" t="s">
        <v>3039</v>
      </c>
      <c r="H1610" t="s">
        <v>5880</v>
      </c>
      <c r="I1610" t="s">
        <v>5881</v>
      </c>
      <c r="J1610" t="s">
        <v>3042</v>
      </c>
      <c r="K1610" s="2" t="str">
        <f>HYPERLINK("http://collections.slsa.sa.gov.au/resource/PRG+1662/2/57/5")</f>
        <v>http://collections.slsa.sa.gov.au/resource/PRG+1662/2/57/5</v>
      </c>
    </row>
    <row r="1611" spans="1:11" x14ac:dyDescent="0.25">
      <c r="A1611" t="s">
        <v>5884</v>
      </c>
      <c r="B1611" s="1" t="str">
        <f>HYPERLINK("https://www.catalog.slsa.sa.gov.au/record=b3182994")</f>
        <v>https://www.catalog.slsa.sa.gov.au/record=b3182994</v>
      </c>
      <c r="C1611" s="1" t="str">
        <f>HYPERLINK("https://www.catalog.slsa.sa.gov.au/xrecord=b3182994")</f>
        <v>https://www.catalog.slsa.sa.gov.au/xrecord=b3182994</v>
      </c>
      <c r="D1611" t="s">
        <v>3036</v>
      </c>
      <c r="E1611" t="s">
        <v>5879</v>
      </c>
      <c r="F1611">
        <v>1954</v>
      </c>
      <c r="G1611" t="s">
        <v>3039</v>
      </c>
      <c r="H1611" t="s">
        <v>5880</v>
      </c>
      <c r="I1611" t="s">
        <v>5881</v>
      </c>
      <c r="J1611" t="s">
        <v>3042</v>
      </c>
      <c r="K1611" s="2" t="str">
        <f>HYPERLINK("http://collections.slsa.sa.gov.au/resource/PRG+1662/2/57/6")</f>
        <v>http://collections.slsa.sa.gov.au/resource/PRG+1662/2/57/6</v>
      </c>
    </row>
    <row r="1612" spans="1:11" x14ac:dyDescent="0.25">
      <c r="A1612" t="s">
        <v>5885</v>
      </c>
      <c r="B1612" s="1" t="str">
        <f>HYPERLINK("https://www.catalog.slsa.sa.gov.au/record=b3182995")</f>
        <v>https://www.catalog.slsa.sa.gov.au/record=b3182995</v>
      </c>
      <c r="C1612" s="1" t="str">
        <f>HYPERLINK("https://www.catalog.slsa.sa.gov.au/xrecord=b3182995")</f>
        <v>https://www.catalog.slsa.sa.gov.au/xrecord=b3182995</v>
      </c>
      <c r="D1612" t="s">
        <v>3036</v>
      </c>
      <c r="E1612" t="s">
        <v>5879</v>
      </c>
      <c r="F1612">
        <v>1954</v>
      </c>
      <c r="G1612" t="s">
        <v>3039</v>
      </c>
      <c r="H1612" t="s">
        <v>5880</v>
      </c>
      <c r="I1612" t="s">
        <v>5881</v>
      </c>
      <c r="J1612" t="s">
        <v>3042</v>
      </c>
      <c r="K1612" s="2" t="str">
        <f>HYPERLINK("http://collections.slsa.sa.gov.au/resource/PRG+1662/2/57/7")</f>
        <v>http://collections.slsa.sa.gov.au/resource/PRG+1662/2/57/7</v>
      </c>
    </row>
    <row r="1613" spans="1:11" x14ac:dyDescent="0.25">
      <c r="A1613" t="s">
        <v>5886</v>
      </c>
      <c r="B1613" s="1" t="str">
        <f>HYPERLINK("https://www.catalog.slsa.sa.gov.au/record=b3182996")</f>
        <v>https://www.catalog.slsa.sa.gov.au/record=b3182996</v>
      </c>
      <c r="C1613" s="1" t="str">
        <f>HYPERLINK("https://www.catalog.slsa.sa.gov.au/xrecord=b3182996")</f>
        <v>https://www.catalog.slsa.sa.gov.au/xrecord=b3182996</v>
      </c>
      <c r="D1613" t="s">
        <v>3036</v>
      </c>
      <c r="E1613" t="s">
        <v>5887</v>
      </c>
      <c r="F1613">
        <v>1954</v>
      </c>
      <c r="G1613" t="s">
        <v>3039</v>
      </c>
      <c r="H1613" t="s">
        <v>5888</v>
      </c>
      <c r="I1613" t="s">
        <v>5889</v>
      </c>
      <c r="J1613" t="s">
        <v>3042</v>
      </c>
      <c r="K1613" s="2" t="str">
        <f>HYPERLINK("http://collections.slsa.sa.gov.au/resource/PRG+1662/2/57/8")</f>
        <v>http://collections.slsa.sa.gov.au/resource/PRG+1662/2/57/8</v>
      </c>
    </row>
    <row r="1614" spans="1:11" x14ac:dyDescent="0.25">
      <c r="A1614" t="s">
        <v>5890</v>
      </c>
      <c r="B1614" s="1" t="str">
        <f>HYPERLINK("https://www.catalog.slsa.sa.gov.au/record=b3183020")</f>
        <v>https://www.catalog.slsa.sa.gov.au/record=b3183020</v>
      </c>
      <c r="C1614" s="1" t="str">
        <f>HYPERLINK("https://www.catalog.slsa.sa.gov.au/xrecord=b3183020")</f>
        <v>https://www.catalog.slsa.sa.gov.au/xrecord=b3183020</v>
      </c>
      <c r="D1614" t="s">
        <v>3036</v>
      </c>
      <c r="E1614" t="s">
        <v>5879</v>
      </c>
      <c r="F1614">
        <v>1954</v>
      </c>
      <c r="G1614" t="s">
        <v>3039</v>
      </c>
      <c r="H1614" t="s">
        <v>5880</v>
      </c>
      <c r="I1614" t="s">
        <v>5881</v>
      </c>
      <c r="J1614" t="s">
        <v>3042</v>
      </c>
      <c r="K1614" s="2" t="str">
        <f>HYPERLINK("http://collections.slsa.sa.gov.au/resource/PRG+1662/2/57/9")</f>
        <v>http://collections.slsa.sa.gov.au/resource/PRG+1662/2/57/9</v>
      </c>
    </row>
    <row r="1615" spans="1:11" x14ac:dyDescent="0.25">
      <c r="A1615" t="s">
        <v>5891</v>
      </c>
      <c r="B1615" s="1" t="str">
        <f>HYPERLINK("https://www.catalog.slsa.sa.gov.au/record=b3124556")</f>
        <v>https://www.catalog.slsa.sa.gov.au/record=b3124556</v>
      </c>
      <c r="C1615" s="1" t="str">
        <f>HYPERLINK("https://www.catalog.slsa.sa.gov.au/xrecord=b3124556")</f>
        <v>https://www.catalog.slsa.sa.gov.au/xrecord=b3124556</v>
      </c>
      <c r="E1615" t="s">
        <v>5892</v>
      </c>
      <c r="F1615">
        <v>1954</v>
      </c>
      <c r="G1615" t="s">
        <v>5893</v>
      </c>
      <c r="H1615" t="s">
        <v>5894</v>
      </c>
      <c r="I1615" t="s">
        <v>5895</v>
      </c>
      <c r="J1615" t="s">
        <v>5896</v>
      </c>
      <c r="K1615" s="2" t="str">
        <f>HYPERLINK("http://collections.slsa.sa.gov.au/resource/PRG+1696/8/14")</f>
        <v>http://collections.slsa.sa.gov.au/resource/PRG+1696/8/14</v>
      </c>
    </row>
    <row r="1616" spans="1:11" x14ac:dyDescent="0.25">
      <c r="A1616" t="s">
        <v>5897</v>
      </c>
      <c r="B1616" s="1" t="str">
        <f>HYPERLINK("https://www.catalog.slsa.sa.gov.au/record=b3124557")</f>
        <v>https://www.catalog.slsa.sa.gov.au/record=b3124557</v>
      </c>
      <c r="C1616" s="1" t="str">
        <f>HYPERLINK("https://www.catalog.slsa.sa.gov.au/xrecord=b3124557")</f>
        <v>https://www.catalog.slsa.sa.gov.au/xrecord=b3124557</v>
      </c>
      <c r="E1616" t="s">
        <v>5898</v>
      </c>
      <c r="F1616">
        <v>1954</v>
      </c>
      <c r="G1616" t="s">
        <v>5899</v>
      </c>
      <c r="H1616" t="s">
        <v>5900</v>
      </c>
      <c r="I1616" t="s">
        <v>5901</v>
      </c>
      <c r="J1616" t="s">
        <v>5896</v>
      </c>
      <c r="K1616" s="2" t="str">
        <f>HYPERLINK("http://collections.slsa.sa.gov.au/resource/PRG+1696/8/15")</f>
        <v>http://collections.slsa.sa.gov.au/resource/PRG+1696/8/15</v>
      </c>
    </row>
    <row r="1617" spans="1:11" x14ac:dyDescent="0.25">
      <c r="A1617" t="s">
        <v>5902</v>
      </c>
      <c r="B1617" s="1" t="str">
        <f>HYPERLINK("https://www.catalog.slsa.sa.gov.au/record=b3124558")</f>
        <v>https://www.catalog.slsa.sa.gov.au/record=b3124558</v>
      </c>
      <c r="C1617" s="1" t="str">
        <f>HYPERLINK("https://www.catalog.slsa.sa.gov.au/xrecord=b3124558")</f>
        <v>https://www.catalog.slsa.sa.gov.au/xrecord=b3124558</v>
      </c>
      <c r="E1617" t="s">
        <v>5903</v>
      </c>
      <c r="F1617">
        <v>1954</v>
      </c>
      <c r="G1617" t="s">
        <v>5904</v>
      </c>
      <c r="H1617" t="s">
        <v>5905</v>
      </c>
      <c r="I1617" t="s">
        <v>5906</v>
      </c>
      <c r="J1617" t="s">
        <v>5907</v>
      </c>
      <c r="K1617" s="2" t="str">
        <f>HYPERLINK("http://collections.slsa.sa.gov.au/resource/PRG+1696/8/16")</f>
        <v>http://collections.slsa.sa.gov.au/resource/PRG+1696/8/16</v>
      </c>
    </row>
    <row r="1618" spans="1:11" x14ac:dyDescent="0.25">
      <c r="A1618" t="s">
        <v>5908</v>
      </c>
      <c r="B1618" s="1" t="str">
        <f>HYPERLINK("https://www.catalog.slsa.sa.gov.au/record=b3124560")</f>
        <v>https://www.catalog.slsa.sa.gov.au/record=b3124560</v>
      </c>
      <c r="C1618" s="1" t="str">
        <f>HYPERLINK("https://www.catalog.slsa.sa.gov.au/xrecord=b3124560")</f>
        <v>https://www.catalog.slsa.sa.gov.au/xrecord=b3124560</v>
      </c>
      <c r="E1618" t="s">
        <v>5909</v>
      </c>
      <c r="F1618">
        <v>1954</v>
      </c>
      <c r="G1618" t="s">
        <v>5910</v>
      </c>
      <c r="H1618" t="s">
        <v>5911</v>
      </c>
      <c r="I1618" t="s">
        <v>5912</v>
      </c>
      <c r="J1618" t="s">
        <v>5907</v>
      </c>
      <c r="K1618" s="2" t="str">
        <f>HYPERLINK("http://collections.slsa.sa.gov.au/resource/PRG+1696/8/17")</f>
        <v>http://collections.slsa.sa.gov.au/resource/PRG+1696/8/17</v>
      </c>
    </row>
    <row r="1619" spans="1:11" x14ac:dyDescent="0.25">
      <c r="A1619" t="s">
        <v>5913</v>
      </c>
      <c r="B1619" s="1" t="str">
        <f>HYPERLINK("https://www.catalog.slsa.sa.gov.au/record=b3124564")</f>
        <v>https://www.catalog.slsa.sa.gov.au/record=b3124564</v>
      </c>
      <c r="C1619" s="1" t="str">
        <f>HYPERLINK("https://www.catalog.slsa.sa.gov.au/xrecord=b3124564")</f>
        <v>https://www.catalog.slsa.sa.gov.au/xrecord=b3124564</v>
      </c>
      <c r="E1619" t="s">
        <v>5914</v>
      </c>
      <c r="F1619">
        <v>1954</v>
      </c>
      <c r="G1619" t="s">
        <v>5915</v>
      </c>
      <c r="H1619" t="s">
        <v>5916</v>
      </c>
      <c r="I1619" t="s">
        <v>5917</v>
      </c>
      <c r="J1619" t="s">
        <v>5918</v>
      </c>
      <c r="K1619" s="2" t="str">
        <f>HYPERLINK("http://collections.slsa.sa.gov.au/resource/PRG+1696/8/19")</f>
        <v>http://collections.slsa.sa.gov.au/resource/PRG+1696/8/19</v>
      </c>
    </row>
    <row r="1620" spans="1:11" x14ac:dyDescent="0.25">
      <c r="A1620" t="s">
        <v>5919</v>
      </c>
      <c r="B1620" s="1" t="str">
        <f>HYPERLINK("https://www.catalog.slsa.sa.gov.au/record=b3124567")</f>
        <v>https://www.catalog.slsa.sa.gov.au/record=b3124567</v>
      </c>
      <c r="C1620" s="1" t="str">
        <f>HYPERLINK("https://www.catalog.slsa.sa.gov.au/xrecord=b3124567")</f>
        <v>https://www.catalog.slsa.sa.gov.au/xrecord=b3124567</v>
      </c>
      <c r="E1620" t="s">
        <v>5920</v>
      </c>
      <c r="F1620">
        <v>1954</v>
      </c>
      <c r="G1620" t="s">
        <v>5921</v>
      </c>
      <c r="H1620" t="s">
        <v>5922</v>
      </c>
      <c r="I1620" t="s">
        <v>5923</v>
      </c>
      <c r="J1620" t="s">
        <v>5918</v>
      </c>
      <c r="K1620" s="2" t="str">
        <f>HYPERLINK("http://collections.slsa.sa.gov.au/resource/PRG+1696/8/20")</f>
        <v>http://collections.slsa.sa.gov.au/resource/PRG+1696/8/20</v>
      </c>
    </row>
    <row r="1621" spans="1:11" x14ac:dyDescent="0.25">
      <c r="A1621" t="s">
        <v>5924</v>
      </c>
      <c r="B1621" s="1" t="str">
        <f>HYPERLINK("https://www.catalog.slsa.sa.gov.au/record=b3124593")</f>
        <v>https://www.catalog.slsa.sa.gov.au/record=b3124593</v>
      </c>
      <c r="C1621" s="1" t="str">
        <f>HYPERLINK("https://www.catalog.slsa.sa.gov.au/xrecord=b3124593")</f>
        <v>https://www.catalog.slsa.sa.gov.au/xrecord=b3124593</v>
      </c>
      <c r="E1621" t="s">
        <v>5920</v>
      </c>
      <c r="F1621">
        <v>1954</v>
      </c>
      <c r="G1621" t="s">
        <v>5925</v>
      </c>
      <c r="H1621" t="s">
        <v>5926</v>
      </c>
      <c r="I1621" t="s">
        <v>5927</v>
      </c>
      <c r="J1621" t="s">
        <v>5918</v>
      </c>
      <c r="K1621" s="2" t="str">
        <f>HYPERLINK("http://collections.slsa.sa.gov.au/resource/PRG+1696/8/23")</f>
        <v>http://collections.slsa.sa.gov.au/resource/PRG+1696/8/23</v>
      </c>
    </row>
    <row r="1622" spans="1:11" x14ac:dyDescent="0.25">
      <c r="A1622" t="s">
        <v>5928</v>
      </c>
      <c r="B1622" s="1" t="str">
        <f>HYPERLINK("https://www.catalog.slsa.sa.gov.au/record=b3139197")</f>
        <v>https://www.catalog.slsa.sa.gov.au/record=b3139197</v>
      </c>
      <c r="C1622" s="1" t="str">
        <f>HYPERLINK("https://www.catalog.slsa.sa.gov.au/xrecord=b3139197")</f>
        <v>https://www.catalog.slsa.sa.gov.au/xrecord=b3139197</v>
      </c>
      <c r="D1622" t="s">
        <v>5929</v>
      </c>
      <c r="E1622" t="s">
        <v>5930</v>
      </c>
      <c r="F1622">
        <v>1954</v>
      </c>
      <c r="G1622" t="s">
        <v>5931</v>
      </c>
      <c r="H1622" t="s">
        <v>5932</v>
      </c>
      <c r="I1622" t="s">
        <v>5933</v>
      </c>
      <c r="J1622" t="s">
        <v>2982</v>
      </c>
      <c r="K1622" s="2" t="str">
        <f>HYPERLINK("http://collections.slsa.sa.gov.au/resource/PRG+1719/3/2")</f>
        <v>http://collections.slsa.sa.gov.au/resource/PRG+1719/3/2</v>
      </c>
    </row>
    <row r="1623" spans="1:11" x14ac:dyDescent="0.25">
      <c r="A1623" t="s">
        <v>5934</v>
      </c>
      <c r="B1623" s="1" t="str">
        <f>HYPERLINK("https://www.catalog.slsa.sa.gov.au/record=b3199354")</f>
        <v>https://www.catalog.slsa.sa.gov.au/record=b3199354</v>
      </c>
      <c r="C1623" s="1" t="str">
        <f>HYPERLINK("https://www.catalog.slsa.sa.gov.au/xrecord=b3199354")</f>
        <v>https://www.catalog.slsa.sa.gov.au/xrecord=b3199354</v>
      </c>
      <c r="D1623" t="s">
        <v>1924</v>
      </c>
      <c r="E1623" t="s">
        <v>5935</v>
      </c>
      <c r="F1623" t="s">
        <v>5936</v>
      </c>
      <c r="G1623" t="s">
        <v>5937</v>
      </c>
      <c r="H1623" t="s">
        <v>5938</v>
      </c>
      <c r="I1623" t="s">
        <v>1924</v>
      </c>
      <c r="J1623" t="s">
        <v>1930</v>
      </c>
      <c r="K1623" s="2" t="str">
        <f>HYPERLINK("http://collections.slsa.sa.gov.au/resource/PRG+18/55/10")</f>
        <v>http://collections.slsa.sa.gov.au/resource/PRG+18/55/10</v>
      </c>
    </row>
    <row r="1624" spans="1:11" x14ac:dyDescent="0.25">
      <c r="A1624" t="s">
        <v>5939</v>
      </c>
      <c r="B1624" s="1" t="str">
        <f>HYPERLINK("https://www.catalog.slsa.sa.gov.au/record=b2109913")</f>
        <v>https://www.catalog.slsa.sa.gov.au/record=b2109913</v>
      </c>
      <c r="C1624" s="1" t="str">
        <f>HYPERLINK("https://www.catalog.slsa.sa.gov.au/xrecord=b2109913")</f>
        <v>https://www.catalog.slsa.sa.gov.au/xrecord=b2109913</v>
      </c>
      <c r="D1624" t="s">
        <v>66</v>
      </c>
      <c r="E1624" t="s">
        <v>5940</v>
      </c>
      <c r="F1624" t="s">
        <v>5936</v>
      </c>
      <c r="G1624" t="s">
        <v>121</v>
      </c>
      <c r="H1624" t="s">
        <v>5941</v>
      </c>
      <c r="I1624" t="s">
        <v>5942</v>
      </c>
      <c r="J1624" t="s">
        <v>71</v>
      </c>
      <c r="K1624" s="2" t="str">
        <f>HYPERLINK("http://collections.slsa.sa.gov.au/arthur/01000/BRG347_779.htm")</f>
        <v>http://collections.slsa.sa.gov.au/arthur/01000/BRG347_779.htm</v>
      </c>
    </row>
    <row r="1625" spans="1:11" x14ac:dyDescent="0.25">
      <c r="A1625" t="s">
        <v>5943</v>
      </c>
      <c r="B1625" s="1" t="str">
        <f>HYPERLINK("https://www.catalog.slsa.sa.gov.au/record=b2116795")</f>
        <v>https://www.catalog.slsa.sa.gov.au/record=b2116795</v>
      </c>
      <c r="C1625" s="1" t="str">
        <f>HYPERLINK("https://www.catalog.slsa.sa.gov.au/xrecord=b2116795")</f>
        <v>https://www.catalog.slsa.sa.gov.au/xrecord=b2116795</v>
      </c>
      <c r="D1625" t="s">
        <v>66</v>
      </c>
      <c r="E1625" t="s">
        <v>5944</v>
      </c>
      <c r="F1625" t="s">
        <v>5936</v>
      </c>
      <c r="G1625" t="s">
        <v>1026</v>
      </c>
      <c r="H1625" t="s">
        <v>5945</v>
      </c>
      <c r="I1625" t="s">
        <v>5946</v>
      </c>
      <c r="J1625" t="s">
        <v>71</v>
      </c>
      <c r="K1625" s="2" t="str">
        <f>HYPERLINK("http://collections.slsa.sa.gov.au/arthur/05750/BRG347_5687.htm")</f>
        <v>http://collections.slsa.sa.gov.au/arthur/05750/BRG347_5687.htm</v>
      </c>
    </row>
    <row r="1626" spans="1:11" x14ac:dyDescent="0.25">
      <c r="A1626" t="s">
        <v>5947</v>
      </c>
      <c r="B1626" s="1" t="str">
        <f>HYPERLINK("https://www.catalog.slsa.sa.gov.au/record=b2116902")</f>
        <v>https://www.catalog.slsa.sa.gov.au/record=b2116902</v>
      </c>
      <c r="C1626" s="1" t="str">
        <f>HYPERLINK("https://www.catalog.slsa.sa.gov.au/xrecord=b2116902")</f>
        <v>https://www.catalog.slsa.sa.gov.au/xrecord=b2116902</v>
      </c>
      <c r="D1626" t="s">
        <v>66</v>
      </c>
      <c r="E1626" t="s">
        <v>5948</v>
      </c>
      <c r="F1626" t="s">
        <v>5936</v>
      </c>
      <c r="G1626" t="s">
        <v>121</v>
      </c>
      <c r="H1626" t="s">
        <v>5949</v>
      </c>
      <c r="I1626" t="s">
        <v>5950</v>
      </c>
      <c r="J1626" t="s">
        <v>71</v>
      </c>
      <c r="K1626" s="2" t="str">
        <f>HYPERLINK("http://collections.slsa.sa.gov.au/arthur/05750/BRG347_5732.htm")</f>
        <v>http://collections.slsa.sa.gov.au/arthur/05750/BRG347_5732.htm</v>
      </c>
    </row>
    <row r="1627" spans="1:11" x14ac:dyDescent="0.25">
      <c r="A1627" t="s">
        <v>5951</v>
      </c>
      <c r="B1627" s="1" t="str">
        <f>HYPERLINK("https://www.catalog.slsa.sa.gov.au/record=b2085391")</f>
        <v>https://www.catalog.slsa.sa.gov.au/record=b2085391</v>
      </c>
      <c r="C1627" s="1" t="str">
        <f>HYPERLINK("https://www.catalog.slsa.sa.gov.au/xrecord=b2085391")</f>
        <v>https://www.catalog.slsa.sa.gov.au/xrecord=b2085391</v>
      </c>
      <c r="E1627" t="s">
        <v>5952</v>
      </c>
      <c r="F1627" t="s">
        <v>5936</v>
      </c>
      <c r="G1627" t="s">
        <v>5953</v>
      </c>
      <c r="H1627" t="s">
        <v>5954</v>
      </c>
      <c r="I1627" t="s">
        <v>5955</v>
      </c>
      <c r="J1627" t="s">
        <v>1757</v>
      </c>
      <c r="K1627" s="2" t="str">
        <f>HYPERLINK("http://collections.slsa.sa.gov.au/godson/2/00500/PRG1258_2_470.htm")</f>
        <v>http://collections.slsa.sa.gov.au/godson/2/00500/PRG1258_2_470.htm</v>
      </c>
    </row>
    <row r="1628" spans="1:11" x14ac:dyDescent="0.25">
      <c r="A1628" t="s">
        <v>5956</v>
      </c>
      <c r="B1628" s="1" t="str">
        <f>HYPERLINK("https://www.catalog.slsa.sa.gov.au/record=b2950020")</f>
        <v>https://www.catalog.slsa.sa.gov.au/record=b2950020</v>
      </c>
      <c r="C1628" s="1" t="str">
        <f>HYPERLINK("https://www.catalog.slsa.sa.gov.au/xrecord=b2950020")</f>
        <v>https://www.catalog.slsa.sa.gov.au/xrecord=b2950020</v>
      </c>
      <c r="E1628" t="s">
        <v>5957</v>
      </c>
      <c r="F1628" t="s">
        <v>5936</v>
      </c>
      <c r="G1628" t="s">
        <v>5958</v>
      </c>
      <c r="H1628" t="s">
        <v>5959</v>
      </c>
      <c r="I1628" t="s">
        <v>5960</v>
      </c>
      <c r="J1628" t="s">
        <v>5961</v>
      </c>
      <c r="K1628" s="2" t="str">
        <f>HYPERLINK("http://collections.slsa.sa.gov.au/prg/778/57/PRG778_57_1.htm")</f>
        <v>http://collections.slsa.sa.gov.au/prg/778/57/PRG778_57_1.htm</v>
      </c>
    </row>
    <row r="1629" spans="1:11" x14ac:dyDescent="0.25">
      <c r="A1629" t="s">
        <v>5962</v>
      </c>
      <c r="B1629" s="1" t="str">
        <f>HYPERLINK("https://www.catalog.slsa.sa.gov.au/record=b2955509")</f>
        <v>https://www.catalog.slsa.sa.gov.au/record=b2955509</v>
      </c>
      <c r="C1629" s="1" t="str">
        <f>HYPERLINK("https://www.catalog.slsa.sa.gov.au/xrecord=b2955509")</f>
        <v>https://www.catalog.slsa.sa.gov.au/xrecord=b2955509</v>
      </c>
      <c r="E1629" t="s">
        <v>5963</v>
      </c>
      <c r="F1629" t="s">
        <v>5964</v>
      </c>
      <c r="G1629" t="s">
        <v>2513</v>
      </c>
      <c r="H1629" t="s">
        <v>5965</v>
      </c>
      <c r="I1629" t="s">
        <v>2780</v>
      </c>
      <c r="J1629" t="s">
        <v>2516</v>
      </c>
      <c r="K1629" s="2" t="str">
        <f>HYPERLINK("http://collections.slsa.sa.gov.au/resource/PRG+1631/45/21")</f>
        <v>http://collections.slsa.sa.gov.au/resource/PRG+1631/45/21</v>
      </c>
    </row>
    <row r="1630" spans="1:11" x14ac:dyDescent="0.25">
      <c r="A1630" t="s">
        <v>5966</v>
      </c>
      <c r="B1630" s="1" t="str">
        <f>HYPERLINK("https://www.catalog.slsa.sa.gov.au/record=b2952673")</f>
        <v>https://www.catalog.slsa.sa.gov.au/record=b2952673</v>
      </c>
      <c r="C1630" s="1" t="str">
        <f>HYPERLINK("https://www.catalog.slsa.sa.gov.au/xrecord=b2952673")</f>
        <v>https://www.catalog.slsa.sa.gov.au/xrecord=b2952673</v>
      </c>
      <c r="E1630" t="s">
        <v>5967</v>
      </c>
      <c r="F1630" t="s">
        <v>5936</v>
      </c>
      <c r="G1630" t="s">
        <v>5968</v>
      </c>
      <c r="H1630" t="s">
        <v>5969</v>
      </c>
      <c r="I1630" t="s">
        <v>5970</v>
      </c>
      <c r="J1630" t="s">
        <v>2526</v>
      </c>
      <c r="K1630" s="2" t="str">
        <f>HYPERLINK("http://collections.slsa.sa.gov.au/resource/PRG+1631/5/76")</f>
        <v>http://collections.slsa.sa.gov.au/resource/PRG+1631/5/76</v>
      </c>
    </row>
    <row r="1631" spans="1:11" x14ac:dyDescent="0.25">
      <c r="A1631" t="s">
        <v>5971</v>
      </c>
      <c r="B1631" s="1" t="str">
        <f>HYPERLINK("https://www.catalog.slsa.sa.gov.au/record=b3127342")</f>
        <v>https://www.catalog.slsa.sa.gov.au/record=b3127342</v>
      </c>
      <c r="C1631" s="1" t="str">
        <f>HYPERLINK("https://www.catalog.slsa.sa.gov.au/xrecord=b3127342")</f>
        <v>https://www.catalog.slsa.sa.gov.au/xrecord=b3127342</v>
      </c>
      <c r="D1631" t="s">
        <v>3036</v>
      </c>
      <c r="E1631" t="s">
        <v>5972</v>
      </c>
      <c r="F1631" t="s">
        <v>5936</v>
      </c>
      <c r="G1631" t="s">
        <v>3039</v>
      </c>
      <c r="H1631" t="s">
        <v>5973</v>
      </c>
      <c r="I1631" t="s">
        <v>5974</v>
      </c>
      <c r="J1631" t="s">
        <v>3042</v>
      </c>
      <c r="K1631" s="2" t="str">
        <f>HYPERLINK("http://collections.slsa.sa.gov.au/resource/PRG+1662/2/1/1")</f>
        <v>http://collections.slsa.sa.gov.au/resource/PRG+1662/2/1/1</v>
      </c>
    </row>
    <row r="1632" spans="1:11" x14ac:dyDescent="0.25">
      <c r="A1632" t="s">
        <v>5975</v>
      </c>
      <c r="B1632" s="1" t="str">
        <f>HYPERLINK("https://www.catalog.slsa.sa.gov.au/record=b3127356")</f>
        <v>https://www.catalog.slsa.sa.gov.au/record=b3127356</v>
      </c>
      <c r="C1632" s="1" t="str">
        <f>HYPERLINK("https://www.catalog.slsa.sa.gov.au/xrecord=b3127356")</f>
        <v>https://www.catalog.slsa.sa.gov.au/xrecord=b3127356</v>
      </c>
      <c r="D1632" t="s">
        <v>3036</v>
      </c>
      <c r="E1632" t="s">
        <v>5976</v>
      </c>
      <c r="F1632" t="s">
        <v>5936</v>
      </c>
      <c r="G1632" t="s">
        <v>3039</v>
      </c>
      <c r="H1632" t="s">
        <v>5977</v>
      </c>
      <c r="I1632" t="s">
        <v>5978</v>
      </c>
      <c r="J1632" t="s">
        <v>3042</v>
      </c>
      <c r="K1632" s="2" t="str">
        <f>HYPERLINK("http://collections.slsa.sa.gov.au/resource/PRG+1662/2/2/10")</f>
        <v>http://collections.slsa.sa.gov.au/resource/PRG+1662/2/2/10</v>
      </c>
    </row>
    <row r="1633" spans="1:11" x14ac:dyDescent="0.25">
      <c r="A1633" t="s">
        <v>5979</v>
      </c>
      <c r="B1633" s="1" t="str">
        <f>HYPERLINK("https://www.catalog.slsa.sa.gov.au/record=b3127357")</f>
        <v>https://www.catalog.slsa.sa.gov.au/record=b3127357</v>
      </c>
      <c r="C1633" s="1" t="str">
        <f>HYPERLINK("https://www.catalog.slsa.sa.gov.au/xrecord=b3127357")</f>
        <v>https://www.catalog.slsa.sa.gov.au/xrecord=b3127357</v>
      </c>
      <c r="D1633" t="s">
        <v>3036</v>
      </c>
      <c r="E1633" t="s">
        <v>5976</v>
      </c>
      <c r="F1633" t="s">
        <v>5936</v>
      </c>
      <c r="G1633" t="s">
        <v>3039</v>
      </c>
      <c r="H1633" t="s">
        <v>5977</v>
      </c>
      <c r="I1633" t="s">
        <v>5978</v>
      </c>
      <c r="J1633" t="s">
        <v>3042</v>
      </c>
      <c r="K1633" s="2" t="str">
        <f>HYPERLINK("http://collections.slsa.sa.gov.au/resource/PRG+1662/2/2/11")</f>
        <v>http://collections.slsa.sa.gov.au/resource/PRG+1662/2/2/11</v>
      </c>
    </row>
    <row r="1634" spans="1:11" x14ac:dyDescent="0.25">
      <c r="A1634" t="s">
        <v>5980</v>
      </c>
      <c r="B1634" s="1" t="str">
        <f>HYPERLINK("https://www.catalog.slsa.sa.gov.au/record=b3127358")</f>
        <v>https://www.catalog.slsa.sa.gov.au/record=b3127358</v>
      </c>
      <c r="C1634" s="1" t="str">
        <f>HYPERLINK("https://www.catalog.slsa.sa.gov.au/xrecord=b3127358")</f>
        <v>https://www.catalog.slsa.sa.gov.au/xrecord=b3127358</v>
      </c>
      <c r="D1634" t="s">
        <v>3036</v>
      </c>
      <c r="E1634" t="s">
        <v>5981</v>
      </c>
      <c r="F1634" t="s">
        <v>5936</v>
      </c>
      <c r="G1634" t="s">
        <v>3039</v>
      </c>
      <c r="H1634" t="s">
        <v>5982</v>
      </c>
      <c r="I1634" t="s">
        <v>5983</v>
      </c>
      <c r="J1634" t="s">
        <v>3042</v>
      </c>
      <c r="K1634" s="2" t="str">
        <f>HYPERLINK("http://collections.slsa.sa.gov.au/resource/PRG+1662/2/2/12")</f>
        <v>http://collections.slsa.sa.gov.au/resource/PRG+1662/2/2/12</v>
      </c>
    </row>
    <row r="1635" spans="1:11" x14ac:dyDescent="0.25">
      <c r="A1635" t="s">
        <v>5984</v>
      </c>
      <c r="B1635" s="1" t="str">
        <f>HYPERLINK("https://www.catalog.slsa.sa.gov.au/record=b3127359")</f>
        <v>https://www.catalog.slsa.sa.gov.au/record=b3127359</v>
      </c>
      <c r="C1635" s="1" t="str">
        <f>HYPERLINK("https://www.catalog.slsa.sa.gov.au/xrecord=b3127359")</f>
        <v>https://www.catalog.slsa.sa.gov.au/xrecord=b3127359</v>
      </c>
      <c r="D1635" t="s">
        <v>3036</v>
      </c>
      <c r="E1635" t="s">
        <v>5985</v>
      </c>
      <c r="F1635" t="s">
        <v>5936</v>
      </c>
      <c r="G1635" t="s">
        <v>3039</v>
      </c>
      <c r="H1635" t="s">
        <v>5986</v>
      </c>
      <c r="I1635" t="s">
        <v>5978</v>
      </c>
      <c r="J1635" t="s">
        <v>3042</v>
      </c>
      <c r="K1635" s="2" t="str">
        <f>HYPERLINK("http://collections.slsa.sa.gov.au/resource/PRG+1662/2/2/13")</f>
        <v>http://collections.slsa.sa.gov.au/resource/PRG+1662/2/2/13</v>
      </c>
    </row>
    <row r="1636" spans="1:11" x14ac:dyDescent="0.25">
      <c r="A1636" t="s">
        <v>5987</v>
      </c>
      <c r="B1636" s="1" t="str">
        <f>HYPERLINK("https://www.catalog.slsa.sa.gov.au/record=b3127360")</f>
        <v>https://www.catalog.slsa.sa.gov.au/record=b3127360</v>
      </c>
      <c r="C1636" s="1" t="str">
        <f>HYPERLINK("https://www.catalog.slsa.sa.gov.au/xrecord=b3127360")</f>
        <v>https://www.catalog.slsa.sa.gov.au/xrecord=b3127360</v>
      </c>
      <c r="D1636" t="s">
        <v>3036</v>
      </c>
      <c r="E1636" t="s">
        <v>5988</v>
      </c>
      <c r="F1636" t="s">
        <v>5936</v>
      </c>
      <c r="G1636" t="s">
        <v>3039</v>
      </c>
      <c r="H1636" t="s">
        <v>5989</v>
      </c>
      <c r="I1636" t="s">
        <v>5819</v>
      </c>
      <c r="J1636" t="s">
        <v>3042</v>
      </c>
      <c r="K1636" s="2" t="str">
        <f>HYPERLINK("http://collections.slsa.sa.gov.au/resource/PRG+1662/2/2/14")</f>
        <v>http://collections.slsa.sa.gov.au/resource/PRG+1662/2/2/14</v>
      </c>
    </row>
    <row r="1637" spans="1:11" x14ac:dyDescent="0.25">
      <c r="A1637" t="s">
        <v>5990</v>
      </c>
      <c r="B1637" s="1" t="str">
        <f>HYPERLINK("https://www.catalog.slsa.sa.gov.au/record=b3127361")</f>
        <v>https://www.catalog.slsa.sa.gov.au/record=b3127361</v>
      </c>
      <c r="C1637" s="1" t="str">
        <f>HYPERLINK("https://www.catalog.slsa.sa.gov.au/xrecord=b3127361")</f>
        <v>https://www.catalog.slsa.sa.gov.au/xrecord=b3127361</v>
      </c>
      <c r="D1637" t="s">
        <v>3036</v>
      </c>
      <c r="E1637" t="s">
        <v>5991</v>
      </c>
      <c r="F1637" t="s">
        <v>5936</v>
      </c>
      <c r="G1637" t="s">
        <v>3039</v>
      </c>
      <c r="H1637" t="s">
        <v>5992</v>
      </c>
      <c r="I1637" t="s">
        <v>5993</v>
      </c>
      <c r="J1637" t="s">
        <v>3042</v>
      </c>
      <c r="K1637" s="2" t="str">
        <f>HYPERLINK("http://collections.slsa.sa.gov.au/resource/PRG+1662/2/2/15")</f>
        <v>http://collections.slsa.sa.gov.au/resource/PRG+1662/2/2/15</v>
      </c>
    </row>
    <row r="1638" spans="1:11" x14ac:dyDescent="0.25">
      <c r="A1638" t="s">
        <v>5994</v>
      </c>
      <c r="B1638" s="1" t="str">
        <f>HYPERLINK("https://www.catalog.slsa.sa.gov.au/record=b3127364")</f>
        <v>https://www.catalog.slsa.sa.gov.au/record=b3127364</v>
      </c>
      <c r="C1638" s="1" t="str">
        <f>HYPERLINK("https://www.catalog.slsa.sa.gov.au/xrecord=b3127364")</f>
        <v>https://www.catalog.slsa.sa.gov.au/xrecord=b3127364</v>
      </c>
      <c r="D1638" t="s">
        <v>3036</v>
      </c>
      <c r="E1638" t="s">
        <v>5995</v>
      </c>
      <c r="F1638" t="s">
        <v>5936</v>
      </c>
      <c r="G1638" t="s">
        <v>3039</v>
      </c>
      <c r="H1638" t="s">
        <v>5996</v>
      </c>
      <c r="J1638" t="s">
        <v>3042</v>
      </c>
      <c r="K1638" s="2" t="str">
        <f>HYPERLINK("http://collections.slsa.sa.gov.au/resource/PRG+1662/2/2/17")</f>
        <v>http://collections.slsa.sa.gov.au/resource/PRG+1662/2/2/17</v>
      </c>
    </row>
    <row r="1639" spans="1:11" x14ac:dyDescent="0.25">
      <c r="A1639" t="s">
        <v>5997</v>
      </c>
      <c r="B1639" s="1" t="str">
        <f>HYPERLINK("https://www.catalog.slsa.sa.gov.au/record=b3127365")</f>
        <v>https://www.catalog.slsa.sa.gov.au/record=b3127365</v>
      </c>
      <c r="C1639" s="1" t="str">
        <f>HYPERLINK("https://www.catalog.slsa.sa.gov.au/xrecord=b3127365")</f>
        <v>https://www.catalog.slsa.sa.gov.au/xrecord=b3127365</v>
      </c>
      <c r="D1639" t="s">
        <v>3036</v>
      </c>
      <c r="E1639" t="s">
        <v>5998</v>
      </c>
      <c r="F1639" t="s">
        <v>5936</v>
      </c>
      <c r="G1639" t="s">
        <v>3039</v>
      </c>
      <c r="H1639" t="s">
        <v>5999</v>
      </c>
      <c r="I1639" t="s">
        <v>6000</v>
      </c>
      <c r="J1639" t="s">
        <v>3042</v>
      </c>
      <c r="K1639" s="2" t="str">
        <f>HYPERLINK("http://collections.slsa.sa.gov.au/resource/PRG+1662/2/2/18")</f>
        <v>http://collections.slsa.sa.gov.au/resource/PRG+1662/2/2/18</v>
      </c>
    </row>
    <row r="1640" spans="1:11" x14ac:dyDescent="0.25">
      <c r="A1640" t="s">
        <v>6001</v>
      </c>
      <c r="B1640" s="1" t="str">
        <f>HYPERLINK("https://www.catalog.slsa.sa.gov.au/record=b3127344")</f>
        <v>https://www.catalog.slsa.sa.gov.au/record=b3127344</v>
      </c>
      <c r="C1640" s="1" t="str">
        <f>HYPERLINK("https://www.catalog.slsa.sa.gov.au/xrecord=b3127344")</f>
        <v>https://www.catalog.slsa.sa.gov.au/xrecord=b3127344</v>
      </c>
      <c r="D1640" t="s">
        <v>3036</v>
      </c>
      <c r="E1640" t="s">
        <v>6002</v>
      </c>
      <c r="F1640" t="s">
        <v>5936</v>
      </c>
      <c r="G1640" t="s">
        <v>3039</v>
      </c>
      <c r="H1640" t="s">
        <v>6003</v>
      </c>
      <c r="I1640" t="s">
        <v>6004</v>
      </c>
      <c r="J1640" t="s">
        <v>3042</v>
      </c>
      <c r="K1640" s="2" t="str">
        <f>HYPERLINK("http://collections.slsa.sa.gov.au/resource/PRG+1662/2/2/2")</f>
        <v>http://collections.slsa.sa.gov.au/resource/PRG+1662/2/2/2</v>
      </c>
    </row>
    <row r="1641" spans="1:11" x14ac:dyDescent="0.25">
      <c r="A1641" t="s">
        <v>6005</v>
      </c>
      <c r="B1641" s="1" t="str">
        <f>HYPERLINK("https://www.catalog.slsa.sa.gov.au/record=b3127346")</f>
        <v>https://www.catalog.slsa.sa.gov.au/record=b3127346</v>
      </c>
      <c r="C1641" s="1" t="str">
        <f>HYPERLINK("https://www.catalog.slsa.sa.gov.au/xrecord=b3127346")</f>
        <v>https://www.catalog.slsa.sa.gov.au/xrecord=b3127346</v>
      </c>
      <c r="D1641" t="s">
        <v>3036</v>
      </c>
      <c r="E1641" t="s">
        <v>6006</v>
      </c>
      <c r="F1641" t="s">
        <v>5936</v>
      </c>
      <c r="G1641" t="s">
        <v>3039</v>
      </c>
      <c r="H1641" t="s">
        <v>6007</v>
      </c>
      <c r="I1641" t="s">
        <v>6008</v>
      </c>
      <c r="J1641" t="s">
        <v>3042</v>
      </c>
      <c r="K1641" s="2" t="str">
        <f>HYPERLINK("http://collections.slsa.sa.gov.au/resource/PRG+1662/2/2/3")</f>
        <v>http://collections.slsa.sa.gov.au/resource/PRG+1662/2/2/3</v>
      </c>
    </row>
    <row r="1642" spans="1:11" x14ac:dyDescent="0.25">
      <c r="A1642" t="s">
        <v>6009</v>
      </c>
      <c r="B1642" s="1" t="str">
        <f>HYPERLINK("https://www.catalog.slsa.sa.gov.au/record=b3127349")</f>
        <v>https://www.catalog.slsa.sa.gov.au/record=b3127349</v>
      </c>
      <c r="C1642" s="1" t="str">
        <f>HYPERLINK("https://www.catalog.slsa.sa.gov.au/xrecord=b3127349")</f>
        <v>https://www.catalog.slsa.sa.gov.au/xrecord=b3127349</v>
      </c>
      <c r="D1642" t="s">
        <v>3036</v>
      </c>
      <c r="E1642" t="s">
        <v>6010</v>
      </c>
      <c r="F1642" t="s">
        <v>5936</v>
      </c>
      <c r="G1642" t="s">
        <v>3039</v>
      </c>
      <c r="H1642" t="s">
        <v>6011</v>
      </c>
      <c r="I1642" t="s">
        <v>6012</v>
      </c>
      <c r="J1642" t="s">
        <v>3042</v>
      </c>
      <c r="K1642" s="2" t="str">
        <f>HYPERLINK("http://collections.slsa.sa.gov.au/resource/PRG+1662/2/2/4")</f>
        <v>http://collections.slsa.sa.gov.au/resource/PRG+1662/2/2/4</v>
      </c>
    </row>
    <row r="1643" spans="1:11" x14ac:dyDescent="0.25">
      <c r="A1643" t="s">
        <v>6013</v>
      </c>
      <c r="B1643" s="1" t="str">
        <f>HYPERLINK("https://www.catalog.slsa.sa.gov.au/record=b3127350")</f>
        <v>https://www.catalog.slsa.sa.gov.au/record=b3127350</v>
      </c>
      <c r="C1643" s="1" t="str">
        <f>HYPERLINK("https://www.catalog.slsa.sa.gov.au/xrecord=b3127350")</f>
        <v>https://www.catalog.slsa.sa.gov.au/xrecord=b3127350</v>
      </c>
      <c r="D1643" t="s">
        <v>3036</v>
      </c>
      <c r="E1643" t="s">
        <v>6014</v>
      </c>
      <c r="F1643" t="s">
        <v>5936</v>
      </c>
      <c r="G1643" t="s">
        <v>3039</v>
      </c>
      <c r="H1643" t="s">
        <v>6015</v>
      </c>
      <c r="I1643" t="s">
        <v>6016</v>
      </c>
      <c r="J1643" t="s">
        <v>3042</v>
      </c>
      <c r="K1643" s="2" t="str">
        <f>HYPERLINK("http://collections.slsa.sa.gov.au/resource/PRG+1662/2/2/5")</f>
        <v>http://collections.slsa.sa.gov.au/resource/PRG+1662/2/2/5</v>
      </c>
    </row>
    <row r="1644" spans="1:11" x14ac:dyDescent="0.25">
      <c r="A1644" t="s">
        <v>6017</v>
      </c>
      <c r="B1644" s="1" t="str">
        <f>HYPERLINK("https://www.catalog.slsa.sa.gov.au/record=b3127351")</f>
        <v>https://www.catalog.slsa.sa.gov.au/record=b3127351</v>
      </c>
      <c r="C1644" s="1" t="str">
        <f>HYPERLINK("https://www.catalog.slsa.sa.gov.au/xrecord=b3127351")</f>
        <v>https://www.catalog.slsa.sa.gov.au/xrecord=b3127351</v>
      </c>
      <c r="D1644" t="s">
        <v>3036</v>
      </c>
      <c r="E1644" t="s">
        <v>6018</v>
      </c>
      <c r="F1644" t="s">
        <v>5936</v>
      </c>
      <c r="G1644" t="s">
        <v>3039</v>
      </c>
      <c r="H1644" t="s">
        <v>6019</v>
      </c>
      <c r="I1644" t="s">
        <v>6020</v>
      </c>
      <c r="J1644" t="s">
        <v>3042</v>
      </c>
      <c r="K1644" s="2" t="str">
        <f>HYPERLINK("http://collections.slsa.sa.gov.au/resource/PRG+1662/2/2/6")</f>
        <v>http://collections.slsa.sa.gov.au/resource/PRG+1662/2/2/6</v>
      </c>
    </row>
    <row r="1645" spans="1:11" x14ac:dyDescent="0.25">
      <c r="A1645" t="s">
        <v>6021</v>
      </c>
      <c r="B1645" s="1" t="str">
        <f>HYPERLINK("https://www.catalog.slsa.sa.gov.au/record=b3127353")</f>
        <v>https://www.catalog.slsa.sa.gov.au/record=b3127353</v>
      </c>
      <c r="C1645" s="1" t="str">
        <f>HYPERLINK("https://www.catalog.slsa.sa.gov.au/xrecord=b3127353")</f>
        <v>https://www.catalog.slsa.sa.gov.au/xrecord=b3127353</v>
      </c>
      <c r="D1645" t="s">
        <v>3036</v>
      </c>
      <c r="E1645" t="s">
        <v>6022</v>
      </c>
      <c r="F1645" t="s">
        <v>5936</v>
      </c>
      <c r="G1645" t="s">
        <v>3039</v>
      </c>
      <c r="H1645" t="s">
        <v>6023</v>
      </c>
      <c r="I1645" t="s">
        <v>5983</v>
      </c>
      <c r="J1645" t="s">
        <v>3042</v>
      </c>
      <c r="K1645" s="2" t="str">
        <f>HYPERLINK("http://collections.slsa.sa.gov.au/resource/PRG+1662/2/2/7")</f>
        <v>http://collections.slsa.sa.gov.au/resource/PRG+1662/2/2/7</v>
      </c>
    </row>
    <row r="1646" spans="1:11" x14ac:dyDescent="0.25">
      <c r="A1646" t="s">
        <v>6024</v>
      </c>
      <c r="B1646" s="1" t="str">
        <f>HYPERLINK("https://www.catalog.slsa.sa.gov.au/record=b3127354")</f>
        <v>https://www.catalog.slsa.sa.gov.au/record=b3127354</v>
      </c>
      <c r="C1646" s="1" t="str">
        <f>HYPERLINK("https://www.catalog.slsa.sa.gov.au/xrecord=b3127354")</f>
        <v>https://www.catalog.slsa.sa.gov.au/xrecord=b3127354</v>
      </c>
      <c r="D1646" t="s">
        <v>3036</v>
      </c>
      <c r="E1646" t="s">
        <v>5976</v>
      </c>
      <c r="F1646" t="s">
        <v>5936</v>
      </c>
      <c r="G1646" t="s">
        <v>3039</v>
      </c>
      <c r="H1646" t="s">
        <v>6025</v>
      </c>
      <c r="I1646" t="s">
        <v>5978</v>
      </c>
      <c r="J1646" t="s">
        <v>3042</v>
      </c>
      <c r="K1646" s="2" t="str">
        <f>HYPERLINK("http://collections.slsa.sa.gov.au/resource/PRG+1662/2/2/8")</f>
        <v>http://collections.slsa.sa.gov.au/resource/PRG+1662/2/2/8</v>
      </c>
    </row>
    <row r="1647" spans="1:11" x14ac:dyDescent="0.25">
      <c r="A1647" t="s">
        <v>6026</v>
      </c>
      <c r="B1647" s="1" t="str">
        <f>HYPERLINK("https://www.catalog.slsa.sa.gov.au/record=b3127355")</f>
        <v>https://www.catalog.slsa.sa.gov.au/record=b3127355</v>
      </c>
      <c r="C1647" s="1" t="str">
        <f>HYPERLINK("https://www.catalog.slsa.sa.gov.au/xrecord=b3127355")</f>
        <v>https://www.catalog.slsa.sa.gov.au/xrecord=b3127355</v>
      </c>
      <c r="D1647" t="s">
        <v>3036</v>
      </c>
      <c r="E1647" t="s">
        <v>5976</v>
      </c>
      <c r="F1647" t="s">
        <v>5936</v>
      </c>
      <c r="G1647" t="s">
        <v>3039</v>
      </c>
      <c r="H1647" t="s">
        <v>5977</v>
      </c>
      <c r="I1647" t="s">
        <v>5978</v>
      </c>
      <c r="J1647" t="s">
        <v>3042</v>
      </c>
      <c r="K1647" s="2" t="str">
        <f>HYPERLINK("http://collections.slsa.sa.gov.au/resource/PRG+1662/2/2/9")</f>
        <v>http://collections.slsa.sa.gov.au/resource/PRG+1662/2/2/9</v>
      </c>
    </row>
    <row r="1648" spans="1:11" x14ac:dyDescent="0.25">
      <c r="A1648" t="s">
        <v>6027</v>
      </c>
      <c r="B1648" s="1" t="str">
        <f>HYPERLINK("https://www.catalog.slsa.sa.gov.au/record=b3127368")</f>
        <v>https://www.catalog.slsa.sa.gov.au/record=b3127368</v>
      </c>
      <c r="C1648" s="1" t="str">
        <f>HYPERLINK("https://www.catalog.slsa.sa.gov.au/xrecord=b3127368")</f>
        <v>https://www.catalog.slsa.sa.gov.au/xrecord=b3127368</v>
      </c>
      <c r="D1648" t="s">
        <v>3036</v>
      </c>
      <c r="E1648" t="s">
        <v>6028</v>
      </c>
      <c r="F1648" t="s">
        <v>5936</v>
      </c>
      <c r="G1648" t="s">
        <v>3039</v>
      </c>
      <c r="H1648" t="s">
        <v>6029</v>
      </c>
      <c r="I1648" t="s">
        <v>6030</v>
      </c>
      <c r="J1648" t="s">
        <v>3042</v>
      </c>
      <c r="K1648" s="2" t="str">
        <f>HYPERLINK("http://collections.slsa.sa.gov.au/resource/PRG+1662/2/4/1")</f>
        <v>http://collections.slsa.sa.gov.au/resource/PRG+1662/2/4/1</v>
      </c>
    </row>
    <row r="1649" spans="1:11" x14ac:dyDescent="0.25">
      <c r="A1649" t="s">
        <v>6031</v>
      </c>
      <c r="B1649" s="1" t="str">
        <f>HYPERLINK("https://www.catalog.slsa.sa.gov.au/record=b3127369")</f>
        <v>https://www.catalog.slsa.sa.gov.au/record=b3127369</v>
      </c>
      <c r="C1649" s="1" t="str">
        <f>HYPERLINK("https://www.catalog.slsa.sa.gov.au/xrecord=b3127369")</f>
        <v>https://www.catalog.slsa.sa.gov.au/xrecord=b3127369</v>
      </c>
      <c r="D1649" t="s">
        <v>3036</v>
      </c>
      <c r="E1649" t="s">
        <v>6028</v>
      </c>
      <c r="F1649" t="s">
        <v>5936</v>
      </c>
      <c r="G1649" t="s">
        <v>3039</v>
      </c>
      <c r="H1649" t="s">
        <v>6032</v>
      </c>
      <c r="I1649" t="s">
        <v>6030</v>
      </c>
      <c r="J1649" t="s">
        <v>3042</v>
      </c>
      <c r="K1649" s="2" t="str">
        <f>HYPERLINK("http://collections.slsa.sa.gov.au/resource/PRG+1662/2/4/2")</f>
        <v>http://collections.slsa.sa.gov.au/resource/PRG+1662/2/4/2</v>
      </c>
    </row>
    <row r="1650" spans="1:11" x14ac:dyDescent="0.25">
      <c r="A1650" t="s">
        <v>6033</v>
      </c>
      <c r="B1650" s="1" t="str">
        <f>HYPERLINK("https://www.catalog.slsa.sa.gov.au/record=b3127376")</f>
        <v>https://www.catalog.slsa.sa.gov.au/record=b3127376</v>
      </c>
      <c r="C1650" s="1" t="str">
        <f>HYPERLINK("https://www.catalog.slsa.sa.gov.au/xrecord=b3127376")</f>
        <v>https://www.catalog.slsa.sa.gov.au/xrecord=b3127376</v>
      </c>
      <c r="D1650" t="s">
        <v>3036</v>
      </c>
      <c r="E1650" t="s">
        <v>6034</v>
      </c>
      <c r="F1650" t="s">
        <v>5936</v>
      </c>
      <c r="G1650" t="s">
        <v>3039</v>
      </c>
      <c r="H1650" t="s">
        <v>6035</v>
      </c>
      <c r="I1650" t="s">
        <v>6036</v>
      </c>
      <c r="J1650" t="s">
        <v>3042</v>
      </c>
      <c r="K1650" s="2" t="str">
        <f>HYPERLINK("http://collections.slsa.sa.gov.au/resource/PRG+1662/2/5/10")</f>
        <v>http://collections.slsa.sa.gov.au/resource/PRG+1662/2/5/10</v>
      </c>
    </row>
    <row r="1651" spans="1:11" x14ac:dyDescent="0.25">
      <c r="A1651" t="s">
        <v>6037</v>
      </c>
      <c r="B1651" s="1" t="str">
        <f>HYPERLINK("https://www.catalog.slsa.sa.gov.au/record=b3127378")</f>
        <v>https://www.catalog.slsa.sa.gov.au/record=b3127378</v>
      </c>
      <c r="C1651" s="1" t="str">
        <f>HYPERLINK("https://www.catalog.slsa.sa.gov.au/xrecord=b3127378")</f>
        <v>https://www.catalog.slsa.sa.gov.au/xrecord=b3127378</v>
      </c>
      <c r="D1651" t="s">
        <v>3036</v>
      </c>
      <c r="E1651" t="s">
        <v>6038</v>
      </c>
      <c r="F1651" t="s">
        <v>5936</v>
      </c>
      <c r="G1651" t="s">
        <v>3039</v>
      </c>
      <c r="H1651" t="s">
        <v>6039</v>
      </c>
      <c r="I1651" t="s">
        <v>6036</v>
      </c>
      <c r="J1651" t="s">
        <v>3042</v>
      </c>
      <c r="K1651" s="2" t="str">
        <f>HYPERLINK("http://collections.slsa.sa.gov.au/resource/PRG+1662/2/5/12")</f>
        <v>http://collections.slsa.sa.gov.au/resource/PRG+1662/2/5/12</v>
      </c>
    </row>
    <row r="1652" spans="1:11" x14ac:dyDescent="0.25">
      <c r="A1652" t="s">
        <v>6040</v>
      </c>
      <c r="B1652" s="1" t="str">
        <f>HYPERLINK("https://www.catalog.slsa.sa.gov.au/record=b3127374")</f>
        <v>https://www.catalog.slsa.sa.gov.au/record=b3127374</v>
      </c>
      <c r="C1652" s="1" t="str">
        <f>HYPERLINK("https://www.catalog.slsa.sa.gov.au/xrecord=b3127374")</f>
        <v>https://www.catalog.slsa.sa.gov.au/xrecord=b3127374</v>
      </c>
      <c r="D1652" t="s">
        <v>3036</v>
      </c>
      <c r="E1652" t="s">
        <v>6041</v>
      </c>
      <c r="F1652" t="s">
        <v>5936</v>
      </c>
      <c r="G1652" t="s">
        <v>3039</v>
      </c>
      <c r="H1652" t="s">
        <v>6042</v>
      </c>
      <c r="I1652" t="s">
        <v>6043</v>
      </c>
      <c r="J1652" t="s">
        <v>3042</v>
      </c>
      <c r="K1652" s="2" t="str">
        <f>HYPERLINK("http://collections.slsa.sa.gov.au/resource/PRG+1662/2/5/14")</f>
        <v>http://collections.slsa.sa.gov.au/resource/PRG+1662/2/5/14</v>
      </c>
    </row>
    <row r="1653" spans="1:11" x14ac:dyDescent="0.25">
      <c r="A1653" t="s">
        <v>6044</v>
      </c>
      <c r="B1653" s="1" t="str">
        <f>HYPERLINK("https://www.catalog.slsa.sa.gov.au/record=b3127379")</f>
        <v>https://www.catalog.slsa.sa.gov.au/record=b3127379</v>
      </c>
      <c r="C1653" s="1" t="str">
        <f>HYPERLINK("https://www.catalog.slsa.sa.gov.au/xrecord=b3127379")</f>
        <v>https://www.catalog.slsa.sa.gov.au/xrecord=b3127379</v>
      </c>
      <c r="D1653" t="s">
        <v>3036</v>
      </c>
      <c r="E1653" t="s">
        <v>6045</v>
      </c>
      <c r="F1653" t="s">
        <v>5936</v>
      </c>
      <c r="G1653" t="s">
        <v>3039</v>
      </c>
      <c r="H1653" t="s">
        <v>6046</v>
      </c>
      <c r="I1653" t="s">
        <v>6047</v>
      </c>
      <c r="J1653" t="s">
        <v>3042</v>
      </c>
      <c r="K1653" s="2" t="str">
        <f>HYPERLINK("http://collections.slsa.sa.gov.au/resource/PRG+1662/2/5/18")</f>
        <v>http://collections.slsa.sa.gov.au/resource/PRG+1662/2/5/18</v>
      </c>
    </row>
    <row r="1654" spans="1:11" x14ac:dyDescent="0.25">
      <c r="A1654" t="s">
        <v>6048</v>
      </c>
      <c r="B1654" s="1" t="str">
        <f>HYPERLINK("https://www.catalog.slsa.sa.gov.au/record=b3127370")</f>
        <v>https://www.catalog.slsa.sa.gov.au/record=b3127370</v>
      </c>
      <c r="C1654" s="1" t="str">
        <f>HYPERLINK("https://www.catalog.slsa.sa.gov.au/xrecord=b3127370")</f>
        <v>https://www.catalog.slsa.sa.gov.au/xrecord=b3127370</v>
      </c>
      <c r="D1654" t="s">
        <v>3036</v>
      </c>
      <c r="E1654" t="s">
        <v>6041</v>
      </c>
      <c r="F1654" t="s">
        <v>5936</v>
      </c>
      <c r="G1654" t="s">
        <v>3039</v>
      </c>
      <c r="H1654" t="s">
        <v>6049</v>
      </c>
      <c r="I1654" t="s">
        <v>6050</v>
      </c>
      <c r="J1654" t="s">
        <v>3042</v>
      </c>
      <c r="K1654" s="2" t="str">
        <f>HYPERLINK("http://collections.slsa.sa.gov.au/resource/PRG+1662/2/5/2")</f>
        <v>http://collections.slsa.sa.gov.au/resource/PRG+1662/2/5/2</v>
      </c>
    </row>
    <row r="1655" spans="1:11" x14ac:dyDescent="0.25">
      <c r="A1655" t="s">
        <v>6051</v>
      </c>
      <c r="B1655" s="1" t="str">
        <f>HYPERLINK("https://www.catalog.slsa.sa.gov.au/record=b3127371")</f>
        <v>https://www.catalog.slsa.sa.gov.au/record=b3127371</v>
      </c>
      <c r="C1655" s="1" t="str">
        <f>HYPERLINK("https://www.catalog.slsa.sa.gov.au/xrecord=b3127371")</f>
        <v>https://www.catalog.slsa.sa.gov.au/xrecord=b3127371</v>
      </c>
      <c r="D1655" t="s">
        <v>3036</v>
      </c>
      <c r="E1655" t="s">
        <v>6041</v>
      </c>
      <c r="F1655" t="s">
        <v>5936</v>
      </c>
      <c r="G1655" t="s">
        <v>3039</v>
      </c>
      <c r="H1655" t="s">
        <v>6052</v>
      </c>
      <c r="I1655" t="s">
        <v>6053</v>
      </c>
      <c r="J1655" t="s">
        <v>3042</v>
      </c>
      <c r="K1655" s="2" t="str">
        <f>HYPERLINK("http://collections.slsa.sa.gov.au/resource/PRG+1662/2/5/3")</f>
        <v>http://collections.slsa.sa.gov.au/resource/PRG+1662/2/5/3</v>
      </c>
    </row>
    <row r="1656" spans="1:11" x14ac:dyDescent="0.25">
      <c r="A1656" t="s">
        <v>6054</v>
      </c>
      <c r="B1656" s="1" t="str">
        <f>HYPERLINK("https://www.catalog.slsa.sa.gov.au/record=b3127372")</f>
        <v>https://www.catalog.slsa.sa.gov.au/record=b3127372</v>
      </c>
      <c r="C1656" s="1" t="str">
        <f>HYPERLINK("https://www.catalog.slsa.sa.gov.au/xrecord=b3127372")</f>
        <v>https://www.catalog.slsa.sa.gov.au/xrecord=b3127372</v>
      </c>
      <c r="D1656" t="s">
        <v>3036</v>
      </c>
      <c r="E1656" t="s">
        <v>6041</v>
      </c>
      <c r="F1656" t="s">
        <v>5936</v>
      </c>
      <c r="G1656" t="s">
        <v>3039</v>
      </c>
      <c r="H1656" t="s">
        <v>6042</v>
      </c>
      <c r="I1656" t="s">
        <v>6043</v>
      </c>
      <c r="J1656" t="s">
        <v>3042</v>
      </c>
      <c r="K1656" s="2" t="str">
        <f>HYPERLINK("http://collections.slsa.sa.gov.au/resource/PRG+1662/2/5/5")</f>
        <v>http://collections.slsa.sa.gov.au/resource/PRG+1662/2/5/5</v>
      </c>
    </row>
    <row r="1657" spans="1:11" x14ac:dyDescent="0.25">
      <c r="A1657" t="s">
        <v>6055</v>
      </c>
      <c r="B1657" s="1" t="str">
        <f>HYPERLINK("https://www.catalog.slsa.sa.gov.au/record=b3127375")</f>
        <v>https://www.catalog.slsa.sa.gov.au/record=b3127375</v>
      </c>
      <c r="C1657" s="1" t="str">
        <f>HYPERLINK("https://www.catalog.slsa.sa.gov.au/xrecord=b3127375")</f>
        <v>https://www.catalog.slsa.sa.gov.au/xrecord=b3127375</v>
      </c>
      <c r="D1657" t="s">
        <v>3036</v>
      </c>
      <c r="E1657" t="s">
        <v>6041</v>
      </c>
      <c r="F1657" t="s">
        <v>5936</v>
      </c>
      <c r="G1657" t="s">
        <v>3039</v>
      </c>
      <c r="H1657" t="s">
        <v>6056</v>
      </c>
      <c r="I1657" t="s">
        <v>6043</v>
      </c>
      <c r="J1657" t="s">
        <v>3042</v>
      </c>
      <c r="K1657" s="2" t="str">
        <f>HYPERLINK("http://collections.slsa.sa.gov.au/resource/PRG+1662/2/5/6")</f>
        <v>http://collections.slsa.sa.gov.au/resource/PRG+1662/2/5/6</v>
      </c>
    </row>
    <row r="1658" spans="1:11" x14ac:dyDescent="0.25">
      <c r="A1658" t="s">
        <v>6057</v>
      </c>
      <c r="B1658" s="1" t="str">
        <f>HYPERLINK("https://www.catalog.slsa.sa.gov.au/record=b3127380")</f>
        <v>https://www.catalog.slsa.sa.gov.au/record=b3127380</v>
      </c>
      <c r="C1658" s="1" t="str">
        <f>HYPERLINK("https://www.catalog.slsa.sa.gov.au/xrecord=b3127380")</f>
        <v>https://www.catalog.slsa.sa.gov.au/xrecord=b3127380</v>
      </c>
      <c r="D1658" t="s">
        <v>3036</v>
      </c>
      <c r="E1658" t="s">
        <v>6058</v>
      </c>
      <c r="F1658" t="s">
        <v>5936</v>
      </c>
      <c r="G1658" t="s">
        <v>3039</v>
      </c>
      <c r="H1658" t="s">
        <v>6059</v>
      </c>
      <c r="I1658" t="s">
        <v>6060</v>
      </c>
      <c r="J1658" t="s">
        <v>3042</v>
      </c>
      <c r="K1658" s="2" t="str">
        <f>HYPERLINK("http://collections.slsa.sa.gov.au/resource/PRG+1662/2/6/1")</f>
        <v>http://collections.slsa.sa.gov.au/resource/PRG+1662/2/6/1</v>
      </c>
    </row>
    <row r="1659" spans="1:11" x14ac:dyDescent="0.25">
      <c r="A1659" t="s">
        <v>6061</v>
      </c>
      <c r="B1659" s="1" t="str">
        <f>HYPERLINK("https://www.catalog.slsa.sa.gov.au/record=b3127381")</f>
        <v>https://www.catalog.slsa.sa.gov.au/record=b3127381</v>
      </c>
      <c r="C1659" s="1" t="str">
        <f>HYPERLINK("https://www.catalog.slsa.sa.gov.au/xrecord=b3127381")</f>
        <v>https://www.catalog.slsa.sa.gov.au/xrecord=b3127381</v>
      </c>
      <c r="D1659" t="s">
        <v>3036</v>
      </c>
      <c r="E1659" t="s">
        <v>6062</v>
      </c>
      <c r="F1659" t="s">
        <v>5936</v>
      </c>
      <c r="G1659" t="s">
        <v>3039</v>
      </c>
      <c r="H1659" t="s">
        <v>6063</v>
      </c>
      <c r="I1659" t="s">
        <v>6060</v>
      </c>
      <c r="J1659" t="s">
        <v>3042</v>
      </c>
      <c r="K1659" s="2" t="str">
        <f>HYPERLINK("http://collections.slsa.sa.gov.au/resource/PRG+1662/2/6/2")</f>
        <v>http://collections.slsa.sa.gov.au/resource/PRG+1662/2/6/2</v>
      </c>
    </row>
    <row r="1660" spans="1:11" x14ac:dyDescent="0.25">
      <c r="A1660" t="s">
        <v>6064</v>
      </c>
      <c r="B1660" s="1" t="str">
        <f>HYPERLINK("https://www.catalog.slsa.sa.gov.au/record=b3127382")</f>
        <v>https://www.catalog.slsa.sa.gov.au/record=b3127382</v>
      </c>
      <c r="C1660" s="1" t="str">
        <f>HYPERLINK("https://www.catalog.slsa.sa.gov.au/xrecord=b3127382")</f>
        <v>https://www.catalog.slsa.sa.gov.au/xrecord=b3127382</v>
      </c>
      <c r="D1660" t="s">
        <v>3036</v>
      </c>
      <c r="E1660" t="s">
        <v>6062</v>
      </c>
      <c r="F1660" t="s">
        <v>5936</v>
      </c>
      <c r="G1660" t="s">
        <v>3039</v>
      </c>
      <c r="H1660" t="s">
        <v>6063</v>
      </c>
      <c r="I1660" t="s">
        <v>6060</v>
      </c>
      <c r="J1660" t="s">
        <v>3042</v>
      </c>
      <c r="K1660" s="2" t="str">
        <f>HYPERLINK("http://collections.slsa.sa.gov.au/resource/PRG+1662/2/6/3")</f>
        <v>http://collections.slsa.sa.gov.au/resource/PRG+1662/2/6/3</v>
      </c>
    </row>
    <row r="1661" spans="1:11" x14ac:dyDescent="0.25">
      <c r="A1661" t="s">
        <v>6065</v>
      </c>
      <c r="B1661" s="1" t="str">
        <f>HYPERLINK("https://www.catalog.slsa.sa.gov.au/record=b3127383")</f>
        <v>https://www.catalog.slsa.sa.gov.au/record=b3127383</v>
      </c>
      <c r="C1661" s="1" t="str">
        <f>HYPERLINK("https://www.catalog.slsa.sa.gov.au/xrecord=b3127383")</f>
        <v>https://www.catalog.slsa.sa.gov.au/xrecord=b3127383</v>
      </c>
      <c r="D1661" t="s">
        <v>3036</v>
      </c>
      <c r="E1661" t="s">
        <v>6066</v>
      </c>
      <c r="F1661" t="s">
        <v>5936</v>
      </c>
      <c r="G1661" t="s">
        <v>3039</v>
      </c>
      <c r="H1661" t="s">
        <v>6067</v>
      </c>
      <c r="I1661" t="s">
        <v>6060</v>
      </c>
      <c r="J1661" t="s">
        <v>3042</v>
      </c>
      <c r="K1661" s="2" t="str">
        <f>HYPERLINK("http://collections.slsa.sa.gov.au/resource/PRG+1662/2/6/4")</f>
        <v>http://collections.slsa.sa.gov.au/resource/PRG+1662/2/6/4</v>
      </c>
    </row>
    <row r="1662" spans="1:11" x14ac:dyDescent="0.25">
      <c r="A1662" t="s">
        <v>6068</v>
      </c>
      <c r="B1662" s="1" t="str">
        <f>HYPERLINK("https://www.catalog.slsa.sa.gov.au/record=b3127384")</f>
        <v>https://www.catalog.slsa.sa.gov.au/record=b3127384</v>
      </c>
      <c r="C1662" s="1" t="str">
        <f>HYPERLINK("https://www.catalog.slsa.sa.gov.au/xrecord=b3127384")</f>
        <v>https://www.catalog.slsa.sa.gov.au/xrecord=b3127384</v>
      </c>
      <c r="D1662" t="s">
        <v>3036</v>
      </c>
      <c r="E1662" t="s">
        <v>6062</v>
      </c>
      <c r="F1662" t="s">
        <v>5936</v>
      </c>
      <c r="G1662" t="s">
        <v>3039</v>
      </c>
      <c r="H1662" t="s">
        <v>6069</v>
      </c>
      <c r="I1662" t="s">
        <v>6060</v>
      </c>
      <c r="J1662" t="s">
        <v>3042</v>
      </c>
      <c r="K1662" s="2" t="str">
        <f>HYPERLINK("http://collections.slsa.sa.gov.au/resource/PRG+1662/2/6/5")</f>
        <v>http://collections.slsa.sa.gov.au/resource/PRG+1662/2/6/5</v>
      </c>
    </row>
    <row r="1663" spans="1:11" x14ac:dyDescent="0.25">
      <c r="A1663" t="s">
        <v>6070</v>
      </c>
      <c r="B1663" s="1" t="str">
        <f>HYPERLINK("https://www.catalog.slsa.sa.gov.au/record=b3127562")</f>
        <v>https://www.catalog.slsa.sa.gov.au/record=b3127562</v>
      </c>
      <c r="C1663" s="1" t="str">
        <f>HYPERLINK("https://www.catalog.slsa.sa.gov.au/xrecord=b3127562")</f>
        <v>https://www.catalog.slsa.sa.gov.au/xrecord=b3127562</v>
      </c>
      <c r="D1663" t="s">
        <v>3036</v>
      </c>
      <c r="E1663" t="s">
        <v>6071</v>
      </c>
      <c r="F1663" t="s">
        <v>5936</v>
      </c>
      <c r="G1663" t="s">
        <v>3039</v>
      </c>
      <c r="H1663" t="s">
        <v>6072</v>
      </c>
      <c r="I1663" t="s">
        <v>6073</v>
      </c>
      <c r="J1663" t="s">
        <v>6074</v>
      </c>
      <c r="K1663" s="2" t="str">
        <f>HYPERLINK("http://collections.slsa.sa.gov.au/resource/PRG+1662/2/7/1")</f>
        <v>http://collections.slsa.sa.gov.au/resource/PRG+1662/2/7/1</v>
      </c>
    </row>
    <row r="1664" spans="1:11" x14ac:dyDescent="0.25">
      <c r="A1664" t="s">
        <v>6075</v>
      </c>
      <c r="B1664" s="1" t="str">
        <f>HYPERLINK("https://www.catalog.slsa.sa.gov.au/record=b3127564")</f>
        <v>https://www.catalog.slsa.sa.gov.au/record=b3127564</v>
      </c>
      <c r="C1664" s="1" t="str">
        <f>HYPERLINK("https://www.catalog.slsa.sa.gov.au/xrecord=b3127564")</f>
        <v>https://www.catalog.slsa.sa.gov.au/xrecord=b3127564</v>
      </c>
      <c r="D1664" t="s">
        <v>3036</v>
      </c>
      <c r="E1664" t="s">
        <v>6076</v>
      </c>
      <c r="F1664" t="s">
        <v>5936</v>
      </c>
      <c r="G1664" t="s">
        <v>3039</v>
      </c>
      <c r="H1664" t="s">
        <v>6077</v>
      </c>
      <c r="I1664" t="s">
        <v>6078</v>
      </c>
      <c r="J1664" t="s">
        <v>6074</v>
      </c>
      <c r="K1664" s="2" t="str">
        <f>HYPERLINK("http://collections.slsa.sa.gov.au/resource/PRG+1662/2/7/2")</f>
        <v>http://collections.slsa.sa.gov.au/resource/PRG+1662/2/7/2</v>
      </c>
    </row>
    <row r="1665" spans="1:11" x14ac:dyDescent="0.25">
      <c r="A1665" t="s">
        <v>6079</v>
      </c>
      <c r="B1665" s="1" t="str">
        <f>HYPERLINK("https://www.catalog.slsa.sa.gov.au/record=b3127565")</f>
        <v>https://www.catalog.slsa.sa.gov.au/record=b3127565</v>
      </c>
      <c r="C1665" s="1" t="str">
        <f>HYPERLINK("https://www.catalog.slsa.sa.gov.au/xrecord=b3127565")</f>
        <v>https://www.catalog.slsa.sa.gov.au/xrecord=b3127565</v>
      </c>
      <c r="D1665" t="s">
        <v>3036</v>
      </c>
      <c r="E1665" t="s">
        <v>6080</v>
      </c>
      <c r="F1665" t="s">
        <v>5936</v>
      </c>
      <c r="G1665" t="s">
        <v>3039</v>
      </c>
      <c r="H1665" t="s">
        <v>6081</v>
      </c>
      <c r="I1665" t="s">
        <v>6082</v>
      </c>
      <c r="J1665" t="s">
        <v>6083</v>
      </c>
      <c r="K1665" s="2" t="str">
        <f>HYPERLINK("http://collections.slsa.sa.gov.au/resource/PRG+1662/2/7/3")</f>
        <v>http://collections.slsa.sa.gov.au/resource/PRG+1662/2/7/3</v>
      </c>
    </row>
    <row r="1666" spans="1:11" x14ac:dyDescent="0.25">
      <c r="A1666" t="s">
        <v>6084</v>
      </c>
      <c r="B1666" s="1" t="str">
        <f>HYPERLINK("https://www.catalog.slsa.sa.gov.au/record=b3127566")</f>
        <v>https://www.catalog.slsa.sa.gov.au/record=b3127566</v>
      </c>
      <c r="C1666" s="1" t="str">
        <f>HYPERLINK("https://www.catalog.slsa.sa.gov.au/xrecord=b3127566")</f>
        <v>https://www.catalog.slsa.sa.gov.au/xrecord=b3127566</v>
      </c>
      <c r="D1666" t="s">
        <v>3036</v>
      </c>
      <c r="E1666" t="s">
        <v>6085</v>
      </c>
      <c r="F1666" t="s">
        <v>5936</v>
      </c>
      <c r="G1666" t="s">
        <v>3039</v>
      </c>
      <c r="H1666" t="s">
        <v>6086</v>
      </c>
      <c r="I1666" t="s">
        <v>6087</v>
      </c>
      <c r="J1666" t="s">
        <v>3042</v>
      </c>
      <c r="K1666" s="2" t="str">
        <f>HYPERLINK("http://collections.slsa.sa.gov.au/resource/PRG+1662/2/7/4")</f>
        <v>http://collections.slsa.sa.gov.au/resource/PRG+1662/2/7/4</v>
      </c>
    </row>
    <row r="1667" spans="1:11" x14ac:dyDescent="0.25">
      <c r="A1667" t="s">
        <v>6088</v>
      </c>
      <c r="B1667" s="1" t="str">
        <f>HYPERLINK("https://www.catalog.slsa.sa.gov.au/record=b3127567")</f>
        <v>https://www.catalog.slsa.sa.gov.au/record=b3127567</v>
      </c>
      <c r="C1667" s="1" t="str">
        <f>HYPERLINK("https://www.catalog.slsa.sa.gov.au/xrecord=b3127567")</f>
        <v>https://www.catalog.slsa.sa.gov.au/xrecord=b3127567</v>
      </c>
      <c r="D1667" t="s">
        <v>3036</v>
      </c>
      <c r="E1667" t="s">
        <v>6089</v>
      </c>
      <c r="F1667" t="s">
        <v>5936</v>
      </c>
      <c r="G1667" t="s">
        <v>3039</v>
      </c>
      <c r="H1667" t="s">
        <v>6090</v>
      </c>
      <c r="I1667" t="s">
        <v>6091</v>
      </c>
      <c r="J1667" t="s">
        <v>3042</v>
      </c>
      <c r="K1667" s="2" t="str">
        <f>HYPERLINK("http://collections.slsa.sa.gov.au/resource/PRG+1662/2/7/5")</f>
        <v>http://collections.slsa.sa.gov.au/resource/PRG+1662/2/7/5</v>
      </c>
    </row>
    <row r="1668" spans="1:11" x14ac:dyDescent="0.25">
      <c r="A1668" t="s">
        <v>6092</v>
      </c>
      <c r="B1668" s="1" t="str">
        <f>HYPERLINK("https://www.catalog.slsa.sa.gov.au/record=b3085380")</f>
        <v>https://www.catalog.slsa.sa.gov.au/record=b3085380</v>
      </c>
      <c r="C1668" s="1" t="str">
        <f>HYPERLINK("https://www.catalog.slsa.sa.gov.au/xrecord=b3085380")</f>
        <v>https://www.catalog.slsa.sa.gov.au/xrecord=b3085380</v>
      </c>
      <c r="E1668" t="s">
        <v>6093</v>
      </c>
      <c r="F1668" t="s">
        <v>5936</v>
      </c>
      <c r="G1668" t="s">
        <v>6094</v>
      </c>
      <c r="H1668" t="s">
        <v>6095</v>
      </c>
      <c r="I1668" t="s">
        <v>6096</v>
      </c>
      <c r="K1668" s="2" t="str">
        <f>HYPERLINK("http://collections.slsa.sa.gov.au/resource/PRG+1682/1/1")</f>
        <v>http://collections.slsa.sa.gov.au/resource/PRG+1682/1/1</v>
      </c>
    </row>
    <row r="1669" spans="1:11" x14ac:dyDescent="0.25">
      <c r="A1669" t="s">
        <v>6097</v>
      </c>
      <c r="B1669" s="1" t="str">
        <f>HYPERLINK("https://www.catalog.slsa.sa.gov.au/record=b3124563")</f>
        <v>https://www.catalog.slsa.sa.gov.au/record=b3124563</v>
      </c>
      <c r="C1669" s="1" t="str">
        <f>HYPERLINK("https://www.catalog.slsa.sa.gov.au/xrecord=b3124563")</f>
        <v>https://www.catalog.slsa.sa.gov.au/xrecord=b3124563</v>
      </c>
      <c r="E1669" t="s">
        <v>6098</v>
      </c>
      <c r="F1669" t="s">
        <v>5936</v>
      </c>
      <c r="G1669" t="s">
        <v>6099</v>
      </c>
      <c r="H1669" t="s">
        <v>6100</v>
      </c>
      <c r="I1669" t="s">
        <v>6101</v>
      </c>
      <c r="J1669" t="s">
        <v>5918</v>
      </c>
      <c r="K1669" s="2" t="str">
        <f>HYPERLINK("http://collections.slsa.sa.gov.au/resource/PRG+1696/8/18")</f>
        <v>http://collections.slsa.sa.gov.au/resource/PRG+1696/8/18</v>
      </c>
    </row>
    <row r="1670" spans="1:11" x14ac:dyDescent="0.25">
      <c r="A1670" t="s">
        <v>6102</v>
      </c>
      <c r="B1670" s="1" t="str">
        <f>HYPERLINK("https://www.catalog.slsa.sa.gov.au/record=b3124568")</f>
        <v>https://www.catalog.slsa.sa.gov.au/record=b3124568</v>
      </c>
      <c r="C1670" s="1" t="str">
        <f>HYPERLINK("https://www.catalog.slsa.sa.gov.au/xrecord=b3124568")</f>
        <v>https://www.catalog.slsa.sa.gov.au/xrecord=b3124568</v>
      </c>
      <c r="E1670" t="s">
        <v>6103</v>
      </c>
      <c r="F1670" t="s">
        <v>5936</v>
      </c>
      <c r="G1670" t="s">
        <v>6104</v>
      </c>
      <c r="H1670" t="s">
        <v>6105</v>
      </c>
      <c r="I1670" t="s">
        <v>6106</v>
      </c>
      <c r="J1670" t="s">
        <v>5918</v>
      </c>
      <c r="K1670" s="2" t="str">
        <f>HYPERLINK("http://collections.slsa.sa.gov.au/resource/PRG+1696/8/21")</f>
        <v>http://collections.slsa.sa.gov.au/resource/PRG+1696/8/21</v>
      </c>
    </row>
    <row r="1671" spans="1:11" x14ac:dyDescent="0.25">
      <c r="A1671" t="s">
        <v>6107</v>
      </c>
      <c r="B1671" s="1" t="str">
        <f>HYPERLINK("https://www.catalog.slsa.sa.gov.au/record=b3124570")</f>
        <v>https://www.catalog.slsa.sa.gov.au/record=b3124570</v>
      </c>
      <c r="C1671" s="1" t="str">
        <f>HYPERLINK("https://www.catalog.slsa.sa.gov.au/xrecord=b3124570")</f>
        <v>https://www.catalog.slsa.sa.gov.au/xrecord=b3124570</v>
      </c>
      <c r="E1671" t="s">
        <v>6108</v>
      </c>
      <c r="F1671" t="s">
        <v>5936</v>
      </c>
      <c r="G1671" t="s">
        <v>6109</v>
      </c>
      <c r="H1671" t="s">
        <v>6110</v>
      </c>
      <c r="I1671" t="s">
        <v>6111</v>
      </c>
      <c r="J1671" t="s">
        <v>5918</v>
      </c>
      <c r="K1671" s="2" t="str">
        <f>HYPERLINK("http://collections.slsa.sa.gov.au/resource/PRG+1696/8/22")</f>
        <v>http://collections.slsa.sa.gov.au/resource/PRG+1696/8/22</v>
      </c>
    </row>
    <row r="1672" spans="1:11" x14ac:dyDescent="0.25">
      <c r="A1672" t="s">
        <v>6112</v>
      </c>
      <c r="B1672" s="1" t="str">
        <f>HYPERLINK("https://www.catalog.slsa.sa.gov.au/record=b3124581")</f>
        <v>https://www.catalog.slsa.sa.gov.au/record=b3124581</v>
      </c>
      <c r="C1672" s="1" t="str">
        <f>HYPERLINK("https://www.catalog.slsa.sa.gov.au/xrecord=b3124581")</f>
        <v>https://www.catalog.slsa.sa.gov.au/xrecord=b3124581</v>
      </c>
      <c r="E1672" t="s">
        <v>6113</v>
      </c>
      <c r="F1672" t="s">
        <v>5936</v>
      </c>
      <c r="G1672" t="s">
        <v>6114</v>
      </c>
      <c r="H1672" t="s">
        <v>6115</v>
      </c>
      <c r="I1672" t="s">
        <v>6116</v>
      </c>
      <c r="J1672" t="s">
        <v>5918</v>
      </c>
      <c r="K1672" s="2" t="str">
        <f>HYPERLINK("http://collections.slsa.sa.gov.au/resource/PRG+1696/8/24")</f>
        <v>http://collections.slsa.sa.gov.au/resource/PRG+1696/8/24</v>
      </c>
    </row>
    <row r="1673" spans="1:11" x14ac:dyDescent="0.25">
      <c r="A1673" t="s">
        <v>6117</v>
      </c>
      <c r="B1673" s="1" t="str">
        <f>HYPERLINK("https://www.catalog.slsa.sa.gov.au/record=b3124582")</f>
        <v>https://www.catalog.slsa.sa.gov.au/record=b3124582</v>
      </c>
      <c r="C1673" s="1" t="str">
        <f>HYPERLINK("https://www.catalog.slsa.sa.gov.au/xrecord=b3124582")</f>
        <v>https://www.catalog.slsa.sa.gov.au/xrecord=b3124582</v>
      </c>
      <c r="E1673" t="s">
        <v>6118</v>
      </c>
      <c r="F1673" t="s">
        <v>5936</v>
      </c>
      <c r="G1673" t="s">
        <v>6119</v>
      </c>
      <c r="H1673" t="s">
        <v>6120</v>
      </c>
      <c r="I1673" t="s">
        <v>6121</v>
      </c>
      <c r="J1673" t="s">
        <v>5918</v>
      </c>
      <c r="K1673" s="2" t="str">
        <f>HYPERLINK("http://collections.slsa.sa.gov.au/resource/PRG+1696/8/25")</f>
        <v>http://collections.slsa.sa.gov.au/resource/PRG+1696/8/25</v>
      </c>
    </row>
    <row r="1674" spans="1:11" x14ac:dyDescent="0.25">
      <c r="A1674" t="s">
        <v>6122</v>
      </c>
      <c r="B1674" s="1" t="str">
        <f>HYPERLINK("https://www.catalog.slsa.sa.gov.au/record=b3124585")</f>
        <v>https://www.catalog.slsa.sa.gov.au/record=b3124585</v>
      </c>
      <c r="C1674" s="1" t="str">
        <f>HYPERLINK("https://www.catalog.slsa.sa.gov.au/xrecord=b3124585")</f>
        <v>https://www.catalog.slsa.sa.gov.au/xrecord=b3124585</v>
      </c>
      <c r="E1674" t="s">
        <v>6123</v>
      </c>
      <c r="F1674" t="s">
        <v>5936</v>
      </c>
      <c r="G1674" t="s">
        <v>6124</v>
      </c>
      <c r="H1674" t="s">
        <v>6125</v>
      </c>
      <c r="I1674" t="s">
        <v>6126</v>
      </c>
      <c r="J1674" t="s">
        <v>5918</v>
      </c>
      <c r="K1674" s="2" t="str">
        <f>HYPERLINK("http://collections.slsa.sa.gov.au/resource/PRG+1696/8/26")</f>
        <v>http://collections.slsa.sa.gov.au/resource/PRG+1696/8/26</v>
      </c>
    </row>
    <row r="1675" spans="1:11" x14ac:dyDescent="0.25">
      <c r="A1675" t="s">
        <v>6127</v>
      </c>
      <c r="B1675" s="1" t="str">
        <f>HYPERLINK("https://www.catalog.slsa.sa.gov.au/record=b3124588")</f>
        <v>https://www.catalog.slsa.sa.gov.au/record=b3124588</v>
      </c>
      <c r="C1675" s="1" t="str">
        <f>HYPERLINK("https://www.catalog.slsa.sa.gov.au/xrecord=b3124588")</f>
        <v>https://www.catalog.slsa.sa.gov.au/xrecord=b3124588</v>
      </c>
      <c r="E1675" t="s">
        <v>6128</v>
      </c>
      <c r="F1675" t="s">
        <v>5936</v>
      </c>
      <c r="G1675" t="s">
        <v>6129</v>
      </c>
      <c r="H1675" t="s">
        <v>6130</v>
      </c>
      <c r="I1675" t="s">
        <v>6131</v>
      </c>
      <c r="J1675" t="s">
        <v>5918</v>
      </c>
      <c r="K1675" s="2" t="str">
        <f>HYPERLINK("http://collections.slsa.sa.gov.au/resource/PRG+1696/8/27")</f>
        <v>http://collections.slsa.sa.gov.au/resource/PRG+1696/8/27</v>
      </c>
    </row>
    <row r="1676" spans="1:11" x14ac:dyDescent="0.25">
      <c r="A1676" t="s">
        <v>6132</v>
      </c>
      <c r="B1676" s="1" t="str">
        <f>HYPERLINK("https://www.catalog.slsa.sa.gov.au/record=b3124601")</f>
        <v>https://www.catalog.slsa.sa.gov.au/record=b3124601</v>
      </c>
      <c r="C1676" s="1" t="str">
        <f>HYPERLINK("https://www.catalog.slsa.sa.gov.au/xrecord=b3124601")</f>
        <v>https://www.catalog.slsa.sa.gov.au/xrecord=b3124601</v>
      </c>
      <c r="E1676" t="s">
        <v>6133</v>
      </c>
      <c r="F1676" t="s">
        <v>5936</v>
      </c>
      <c r="G1676" t="s">
        <v>6134</v>
      </c>
      <c r="H1676" t="s">
        <v>6135</v>
      </c>
      <c r="I1676" t="s">
        <v>6131</v>
      </c>
      <c r="J1676" t="s">
        <v>5918</v>
      </c>
      <c r="K1676" s="2" t="str">
        <f>HYPERLINK("http://collections.slsa.sa.gov.au/resource/PRG+1696/8/28")</f>
        <v>http://collections.slsa.sa.gov.au/resource/PRG+1696/8/28</v>
      </c>
    </row>
    <row r="1677" spans="1:11" x14ac:dyDescent="0.25">
      <c r="A1677" t="s">
        <v>6136</v>
      </c>
      <c r="B1677" s="1" t="str">
        <f>HYPERLINK("https://www.catalog.slsa.sa.gov.au/record=b3124598")</f>
        <v>https://www.catalog.slsa.sa.gov.au/record=b3124598</v>
      </c>
      <c r="C1677" s="1" t="str">
        <f>HYPERLINK("https://www.catalog.slsa.sa.gov.au/xrecord=b3124598")</f>
        <v>https://www.catalog.slsa.sa.gov.au/xrecord=b3124598</v>
      </c>
      <c r="E1677" t="s">
        <v>6137</v>
      </c>
      <c r="F1677" t="s">
        <v>5936</v>
      </c>
      <c r="G1677" t="s">
        <v>6138</v>
      </c>
      <c r="H1677" t="s">
        <v>6139</v>
      </c>
      <c r="I1677" t="s">
        <v>6140</v>
      </c>
      <c r="J1677" t="s">
        <v>5918</v>
      </c>
      <c r="K1677" s="2" t="str">
        <f>HYPERLINK("http://collections.slsa.sa.gov.au/resource/PRG+1696/8/29")</f>
        <v>http://collections.slsa.sa.gov.au/resource/PRG+1696/8/29</v>
      </c>
    </row>
    <row r="1678" spans="1:11" x14ac:dyDescent="0.25">
      <c r="A1678" t="s">
        <v>6141</v>
      </c>
      <c r="B1678" s="1" t="str">
        <f>HYPERLINK("https://www.catalog.slsa.sa.gov.au/record=b3124599")</f>
        <v>https://www.catalog.slsa.sa.gov.au/record=b3124599</v>
      </c>
      <c r="C1678" s="1" t="str">
        <f>HYPERLINK("https://www.catalog.slsa.sa.gov.au/xrecord=b3124599")</f>
        <v>https://www.catalog.slsa.sa.gov.au/xrecord=b3124599</v>
      </c>
      <c r="E1678" t="s">
        <v>6142</v>
      </c>
      <c r="F1678" t="s">
        <v>5936</v>
      </c>
      <c r="G1678" t="s">
        <v>6143</v>
      </c>
      <c r="H1678" t="s">
        <v>6144</v>
      </c>
      <c r="I1678" t="s">
        <v>6145</v>
      </c>
      <c r="J1678" t="s">
        <v>5918</v>
      </c>
      <c r="K1678" s="2" t="str">
        <f>HYPERLINK("http://collections.slsa.sa.gov.au/resource/PRG+1696/8/30")</f>
        <v>http://collections.slsa.sa.gov.au/resource/PRG+1696/8/30</v>
      </c>
    </row>
    <row r="1679" spans="1:11" x14ac:dyDescent="0.25">
      <c r="A1679" t="s">
        <v>6146</v>
      </c>
      <c r="B1679" s="1" t="str">
        <f>HYPERLINK("https://www.catalog.slsa.sa.gov.au/record=b3124602")</f>
        <v>https://www.catalog.slsa.sa.gov.au/record=b3124602</v>
      </c>
      <c r="C1679" s="1" t="str">
        <f>HYPERLINK("https://www.catalog.slsa.sa.gov.au/xrecord=b3124602")</f>
        <v>https://www.catalog.slsa.sa.gov.au/xrecord=b3124602</v>
      </c>
      <c r="E1679" t="s">
        <v>6147</v>
      </c>
      <c r="F1679" t="s">
        <v>5936</v>
      </c>
      <c r="G1679" t="s">
        <v>6148</v>
      </c>
      <c r="H1679" t="s">
        <v>6149</v>
      </c>
      <c r="I1679" t="s">
        <v>6150</v>
      </c>
      <c r="J1679" t="s">
        <v>5918</v>
      </c>
      <c r="K1679" s="2" t="str">
        <f>HYPERLINK("http://collections.slsa.sa.gov.au/resource/PRG+1696/8/31")</f>
        <v>http://collections.slsa.sa.gov.au/resource/PRG+1696/8/31</v>
      </c>
    </row>
    <row r="1680" spans="1:11" x14ac:dyDescent="0.25">
      <c r="A1680" t="s">
        <v>6151</v>
      </c>
      <c r="B1680" s="1" t="str">
        <f>HYPERLINK("https://www.catalog.slsa.sa.gov.au/record=b2110304")</f>
        <v>https://www.catalog.slsa.sa.gov.au/record=b2110304</v>
      </c>
      <c r="C1680" s="1" t="str">
        <f>HYPERLINK("https://www.catalog.slsa.sa.gov.au/xrecord=b2110304")</f>
        <v>https://www.catalog.slsa.sa.gov.au/xrecord=b2110304</v>
      </c>
      <c r="D1680" t="s">
        <v>66</v>
      </c>
      <c r="E1680" t="s">
        <v>6152</v>
      </c>
      <c r="F1680">
        <v>1955</v>
      </c>
      <c r="G1680" t="s">
        <v>121</v>
      </c>
      <c r="H1680" t="s">
        <v>6153</v>
      </c>
      <c r="I1680" t="s">
        <v>6154</v>
      </c>
      <c r="J1680" t="s">
        <v>71</v>
      </c>
      <c r="K1680" s="2" t="str">
        <f>HYPERLINK("http://collections.slsa.sa.gov.au/arthur/01250/BRG347_1075.htm")</f>
        <v>http://collections.slsa.sa.gov.au/arthur/01250/BRG347_1075.htm</v>
      </c>
    </row>
    <row r="1681" spans="1:11" x14ac:dyDescent="0.25">
      <c r="A1681" t="s">
        <v>6155</v>
      </c>
      <c r="B1681" s="1" t="str">
        <f>HYPERLINK("https://www.catalog.slsa.sa.gov.au/record=b2110196")</f>
        <v>https://www.catalog.slsa.sa.gov.au/record=b2110196</v>
      </c>
      <c r="C1681" s="1" t="str">
        <f>HYPERLINK("https://www.catalog.slsa.sa.gov.au/xrecord=b2110196")</f>
        <v>https://www.catalog.slsa.sa.gov.au/xrecord=b2110196</v>
      </c>
      <c r="D1681" t="s">
        <v>66</v>
      </c>
      <c r="E1681" t="s">
        <v>6156</v>
      </c>
      <c r="F1681">
        <v>1955</v>
      </c>
      <c r="G1681" t="s">
        <v>121</v>
      </c>
      <c r="H1681" t="s">
        <v>6157</v>
      </c>
      <c r="I1681" t="s">
        <v>6158</v>
      </c>
      <c r="J1681" t="s">
        <v>71</v>
      </c>
      <c r="K1681" s="2" t="str">
        <f>HYPERLINK("http://collections.slsa.sa.gov.au/arthur/01000/BRG347_1000.htm")</f>
        <v>http://collections.slsa.sa.gov.au/arthur/01000/BRG347_1000.htm</v>
      </c>
    </row>
    <row r="1682" spans="1:11" x14ac:dyDescent="0.25">
      <c r="A1682" t="s">
        <v>6159</v>
      </c>
      <c r="B1682" s="1" t="str">
        <f>HYPERLINK("https://www.catalog.slsa.sa.gov.au/record=b2110088")</f>
        <v>https://www.catalog.slsa.sa.gov.au/record=b2110088</v>
      </c>
      <c r="C1682" s="1" t="str">
        <f>HYPERLINK("https://www.catalog.slsa.sa.gov.au/xrecord=b2110088")</f>
        <v>https://www.catalog.slsa.sa.gov.au/xrecord=b2110088</v>
      </c>
      <c r="D1682" t="s">
        <v>66</v>
      </c>
      <c r="E1682" t="s">
        <v>5305</v>
      </c>
      <c r="F1682">
        <v>1955</v>
      </c>
      <c r="G1682" t="s">
        <v>121</v>
      </c>
      <c r="H1682" t="s">
        <v>6160</v>
      </c>
      <c r="I1682" t="s">
        <v>4965</v>
      </c>
      <c r="J1682" t="s">
        <v>71</v>
      </c>
      <c r="K1682" s="2" t="str">
        <f>HYPERLINK("http://collections.slsa.sa.gov.au/arthur/01000/BRG347_892.htm")</f>
        <v>http://collections.slsa.sa.gov.au/arthur/01000/BRG347_892.htm</v>
      </c>
    </row>
    <row r="1683" spans="1:11" x14ac:dyDescent="0.25">
      <c r="A1683" t="s">
        <v>6161</v>
      </c>
      <c r="B1683" s="1" t="str">
        <f>HYPERLINK("https://www.catalog.slsa.sa.gov.au/record=b2110089")</f>
        <v>https://www.catalog.slsa.sa.gov.au/record=b2110089</v>
      </c>
      <c r="C1683" s="1" t="str">
        <f>HYPERLINK("https://www.catalog.slsa.sa.gov.au/xrecord=b2110089")</f>
        <v>https://www.catalog.slsa.sa.gov.au/xrecord=b2110089</v>
      </c>
      <c r="D1683" t="s">
        <v>66</v>
      </c>
      <c r="E1683" t="s">
        <v>5305</v>
      </c>
      <c r="F1683">
        <v>1955</v>
      </c>
      <c r="G1683" t="s">
        <v>121</v>
      </c>
      <c r="H1683" t="s">
        <v>6162</v>
      </c>
      <c r="I1683" t="s">
        <v>6163</v>
      </c>
      <c r="J1683" t="s">
        <v>71</v>
      </c>
      <c r="K1683" s="2" t="str">
        <f>HYPERLINK("http://collections.slsa.sa.gov.au/arthur/01000/BRG347_893.htm")</f>
        <v>http://collections.slsa.sa.gov.au/arthur/01000/BRG347_893.htm</v>
      </c>
    </row>
    <row r="1684" spans="1:11" x14ac:dyDescent="0.25">
      <c r="A1684" t="s">
        <v>6164</v>
      </c>
      <c r="B1684" s="1" t="str">
        <f>HYPERLINK("https://www.catalog.slsa.sa.gov.au/record=b2110144")</f>
        <v>https://www.catalog.slsa.sa.gov.au/record=b2110144</v>
      </c>
      <c r="C1684" s="1" t="str">
        <f>HYPERLINK("https://www.catalog.slsa.sa.gov.au/xrecord=b2110144")</f>
        <v>https://www.catalog.slsa.sa.gov.au/xrecord=b2110144</v>
      </c>
      <c r="D1684" t="s">
        <v>66</v>
      </c>
      <c r="E1684" t="s">
        <v>6165</v>
      </c>
      <c r="F1684">
        <v>1955</v>
      </c>
      <c r="G1684" t="s">
        <v>121</v>
      </c>
      <c r="H1684" t="s">
        <v>6166</v>
      </c>
      <c r="I1684" t="s">
        <v>6167</v>
      </c>
      <c r="J1684" t="s">
        <v>71</v>
      </c>
      <c r="K1684" s="2" t="str">
        <f>HYPERLINK("http://collections.slsa.sa.gov.au/arthur/01000/BRG347_949.htm")</f>
        <v>http://collections.slsa.sa.gov.au/arthur/01000/BRG347_949.htm</v>
      </c>
    </row>
    <row r="1685" spans="1:11" x14ac:dyDescent="0.25">
      <c r="A1685" t="s">
        <v>6168</v>
      </c>
      <c r="B1685" s="1" t="str">
        <f>HYPERLINK("https://www.catalog.slsa.sa.gov.au/record=b2110153")</f>
        <v>https://www.catalog.slsa.sa.gov.au/record=b2110153</v>
      </c>
      <c r="C1685" s="1" t="str">
        <f>HYPERLINK("https://www.catalog.slsa.sa.gov.au/xrecord=b2110153")</f>
        <v>https://www.catalog.slsa.sa.gov.au/xrecord=b2110153</v>
      </c>
      <c r="D1685" t="s">
        <v>66</v>
      </c>
      <c r="E1685" t="s">
        <v>6169</v>
      </c>
      <c r="F1685">
        <v>1955</v>
      </c>
      <c r="G1685" t="s">
        <v>121</v>
      </c>
      <c r="H1685" t="s">
        <v>6170</v>
      </c>
      <c r="I1685" t="s">
        <v>6171</v>
      </c>
      <c r="J1685" t="s">
        <v>71</v>
      </c>
      <c r="K1685" s="2" t="str">
        <f>HYPERLINK("http://collections.slsa.sa.gov.au/arthur/01000/BRG347_958.htm")</f>
        <v>http://collections.slsa.sa.gov.au/arthur/01000/BRG347_958.htm</v>
      </c>
    </row>
    <row r="1686" spans="1:11" x14ac:dyDescent="0.25">
      <c r="A1686" t="s">
        <v>6172</v>
      </c>
      <c r="B1686" s="1" t="str">
        <f>HYPERLINK("https://www.catalog.slsa.sa.gov.au/record=b2110193")</f>
        <v>https://www.catalog.slsa.sa.gov.au/record=b2110193</v>
      </c>
      <c r="C1686" s="1" t="str">
        <f>HYPERLINK("https://www.catalog.slsa.sa.gov.au/xrecord=b2110193")</f>
        <v>https://www.catalog.slsa.sa.gov.au/xrecord=b2110193</v>
      </c>
      <c r="D1686" t="s">
        <v>66</v>
      </c>
      <c r="E1686" t="s">
        <v>6173</v>
      </c>
      <c r="F1686">
        <v>1955</v>
      </c>
      <c r="G1686" t="s">
        <v>121</v>
      </c>
      <c r="H1686" t="s">
        <v>6174</v>
      </c>
      <c r="I1686" t="s">
        <v>6175</v>
      </c>
      <c r="J1686" t="s">
        <v>71</v>
      </c>
      <c r="K1686" s="2" t="str">
        <f>HYPERLINK("http://collections.slsa.sa.gov.au/arthur/01000/BRG347_997.htm")</f>
        <v>http://collections.slsa.sa.gov.au/arthur/01000/BRG347_997.htm</v>
      </c>
    </row>
    <row r="1687" spans="1:11" x14ac:dyDescent="0.25">
      <c r="A1687" t="s">
        <v>6176</v>
      </c>
      <c r="B1687" s="1" t="str">
        <f>HYPERLINK("https://www.catalog.slsa.sa.gov.au/record=b2110194")</f>
        <v>https://www.catalog.slsa.sa.gov.au/record=b2110194</v>
      </c>
      <c r="C1687" s="1" t="str">
        <f>HYPERLINK("https://www.catalog.slsa.sa.gov.au/xrecord=b2110194")</f>
        <v>https://www.catalog.slsa.sa.gov.au/xrecord=b2110194</v>
      </c>
      <c r="D1687" t="s">
        <v>66</v>
      </c>
      <c r="E1687" t="s">
        <v>6177</v>
      </c>
      <c r="F1687">
        <v>1955</v>
      </c>
      <c r="G1687" t="s">
        <v>121</v>
      </c>
      <c r="H1687" t="s">
        <v>6178</v>
      </c>
      <c r="I1687" t="s">
        <v>4792</v>
      </c>
      <c r="J1687" t="s">
        <v>71</v>
      </c>
      <c r="K1687" s="2" t="str">
        <f>HYPERLINK("http://collections.slsa.sa.gov.au/arthur/01000/BRG347_998.htm")</f>
        <v>http://collections.slsa.sa.gov.au/arthur/01000/BRG347_998.htm</v>
      </c>
    </row>
    <row r="1688" spans="1:11" x14ac:dyDescent="0.25">
      <c r="A1688" t="s">
        <v>6179</v>
      </c>
      <c r="B1688" s="1" t="str">
        <f>HYPERLINK("https://www.catalog.slsa.sa.gov.au/record=b2110195")</f>
        <v>https://www.catalog.slsa.sa.gov.au/record=b2110195</v>
      </c>
      <c r="C1688" s="1" t="str">
        <f>HYPERLINK("https://www.catalog.slsa.sa.gov.au/xrecord=b2110195")</f>
        <v>https://www.catalog.slsa.sa.gov.au/xrecord=b2110195</v>
      </c>
      <c r="D1688" t="s">
        <v>66</v>
      </c>
      <c r="E1688" t="s">
        <v>6180</v>
      </c>
      <c r="F1688">
        <v>1955</v>
      </c>
      <c r="G1688" t="s">
        <v>121</v>
      </c>
      <c r="H1688" t="s">
        <v>6181</v>
      </c>
      <c r="I1688" t="s">
        <v>6182</v>
      </c>
      <c r="J1688" t="s">
        <v>71</v>
      </c>
      <c r="K1688" s="2" t="str">
        <f>HYPERLINK("http://collections.slsa.sa.gov.au/arthur/01000/BRG347_999.htm")</f>
        <v>http://collections.slsa.sa.gov.au/arthur/01000/BRG347_999.htm</v>
      </c>
    </row>
    <row r="1689" spans="1:11" x14ac:dyDescent="0.25">
      <c r="A1689" t="s">
        <v>6183</v>
      </c>
      <c r="B1689" s="1" t="str">
        <f>HYPERLINK("https://www.catalog.slsa.sa.gov.au/record=b2110200")</f>
        <v>https://www.catalog.slsa.sa.gov.au/record=b2110200</v>
      </c>
      <c r="C1689" s="1" t="str">
        <f>HYPERLINK("https://www.catalog.slsa.sa.gov.au/xrecord=b2110200")</f>
        <v>https://www.catalog.slsa.sa.gov.au/xrecord=b2110200</v>
      </c>
      <c r="D1689" t="s">
        <v>66</v>
      </c>
      <c r="E1689" t="s">
        <v>6184</v>
      </c>
      <c r="F1689">
        <v>1955</v>
      </c>
      <c r="G1689" t="s">
        <v>121</v>
      </c>
      <c r="H1689" t="s">
        <v>6185</v>
      </c>
      <c r="I1689" t="s">
        <v>6186</v>
      </c>
      <c r="J1689" t="s">
        <v>71</v>
      </c>
      <c r="K1689" s="2" t="str">
        <f>HYPERLINK("http://collections.slsa.sa.gov.au/arthur/01250/BRG347_1004.htm")</f>
        <v>http://collections.slsa.sa.gov.au/arthur/01250/BRG347_1004.htm</v>
      </c>
    </row>
    <row r="1690" spans="1:11" x14ac:dyDescent="0.25">
      <c r="A1690" t="s">
        <v>6187</v>
      </c>
      <c r="B1690" s="1" t="str">
        <f>HYPERLINK("https://www.catalog.slsa.sa.gov.au/record=b2110202")</f>
        <v>https://www.catalog.slsa.sa.gov.au/record=b2110202</v>
      </c>
      <c r="C1690" s="1" t="str">
        <f>HYPERLINK("https://www.catalog.slsa.sa.gov.au/xrecord=b2110202")</f>
        <v>https://www.catalog.slsa.sa.gov.au/xrecord=b2110202</v>
      </c>
      <c r="D1690" t="s">
        <v>66</v>
      </c>
      <c r="E1690" t="s">
        <v>6188</v>
      </c>
      <c r="F1690">
        <v>1955</v>
      </c>
      <c r="G1690" t="s">
        <v>121</v>
      </c>
      <c r="H1690" t="s">
        <v>6189</v>
      </c>
      <c r="I1690" t="s">
        <v>6190</v>
      </c>
      <c r="J1690" t="s">
        <v>71</v>
      </c>
      <c r="K1690" s="2" t="str">
        <f>HYPERLINK("http://collections.slsa.sa.gov.au/arthur/01250/BRG347_1006.htm")</f>
        <v>http://collections.slsa.sa.gov.au/arthur/01250/BRG347_1006.htm</v>
      </c>
    </row>
    <row r="1691" spans="1:11" x14ac:dyDescent="0.25">
      <c r="A1691" t="s">
        <v>6191</v>
      </c>
      <c r="B1691" s="1" t="str">
        <f>HYPERLINK("https://www.catalog.slsa.sa.gov.au/record=b2110203")</f>
        <v>https://www.catalog.slsa.sa.gov.au/record=b2110203</v>
      </c>
      <c r="C1691" s="1" t="str">
        <f>HYPERLINK("https://www.catalog.slsa.sa.gov.au/xrecord=b2110203")</f>
        <v>https://www.catalog.slsa.sa.gov.au/xrecord=b2110203</v>
      </c>
      <c r="D1691" t="s">
        <v>66</v>
      </c>
      <c r="E1691" t="s">
        <v>6192</v>
      </c>
      <c r="F1691">
        <v>1955</v>
      </c>
      <c r="G1691" t="s">
        <v>121</v>
      </c>
      <c r="H1691" t="s">
        <v>6193</v>
      </c>
      <c r="I1691" t="s">
        <v>6194</v>
      </c>
      <c r="J1691" t="s">
        <v>71</v>
      </c>
      <c r="K1691" s="2" t="str">
        <f>HYPERLINK("http://collections.slsa.sa.gov.au/arthur/01250/BRG347_1007.htm")</f>
        <v>http://collections.slsa.sa.gov.au/arthur/01250/BRG347_1007.htm</v>
      </c>
    </row>
    <row r="1692" spans="1:11" x14ac:dyDescent="0.25">
      <c r="A1692" t="s">
        <v>6195</v>
      </c>
      <c r="B1692" s="1" t="str">
        <f>HYPERLINK("https://www.catalog.slsa.sa.gov.au/record=b2110204")</f>
        <v>https://www.catalog.slsa.sa.gov.au/record=b2110204</v>
      </c>
      <c r="C1692" s="1" t="str">
        <f>HYPERLINK("https://www.catalog.slsa.sa.gov.au/xrecord=b2110204")</f>
        <v>https://www.catalog.slsa.sa.gov.au/xrecord=b2110204</v>
      </c>
      <c r="D1692" t="s">
        <v>66</v>
      </c>
      <c r="E1692" t="s">
        <v>6196</v>
      </c>
      <c r="F1692">
        <v>1955</v>
      </c>
      <c r="G1692" t="s">
        <v>121</v>
      </c>
      <c r="H1692" t="s">
        <v>6197</v>
      </c>
      <c r="I1692" t="s">
        <v>4792</v>
      </c>
      <c r="J1692" t="s">
        <v>71</v>
      </c>
      <c r="K1692" s="2" t="str">
        <f>HYPERLINK("http://collections.slsa.sa.gov.au/arthur/01250/BRG347_1008.htm")</f>
        <v>http://collections.slsa.sa.gov.au/arthur/01250/BRG347_1008.htm</v>
      </c>
    </row>
    <row r="1693" spans="1:11" x14ac:dyDescent="0.25">
      <c r="A1693" t="s">
        <v>6198</v>
      </c>
      <c r="B1693" s="1" t="str">
        <f>HYPERLINK("https://www.catalog.slsa.sa.gov.au/record=b2110205")</f>
        <v>https://www.catalog.slsa.sa.gov.au/record=b2110205</v>
      </c>
      <c r="C1693" s="1" t="str">
        <f>HYPERLINK("https://www.catalog.slsa.sa.gov.au/xrecord=b2110205")</f>
        <v>https://www.catalog.slsa.sa.gov.au/xrecord=b2110205</v>
      </c>
      <c r="D1693" t="s">
        <v>66</v>
      </c>
      <c r="E1693" t="s">
        <v>6173</v>
      </c>
      <c r="F1693">
        <v>1955</v>
      </c>
      <c r="G1693" t="s">
        <v>121</v>
      </c>
      <c r="H1693" t="s">
        <v>6199</v>
      </c>
      <c r="I1693" t="s">
        <v>6200</v>
      </c>
      <c r="J1693" t="s">
        <v>71</v>
      </c>
      <c r="K1693" s="2" t="str">
        <f>HYPERLINK("http://collections.slsa.sa.gov.au/arthur/01250/BRG347_1009.htm")</f>
        <v>http://collections.slsa.sa.gov.au/arthur/01250/BRG347_1009.htm</v>
      </c>
    </row>
    <row r="1694" spans="1:11" x14ac:dyDescent="0.25">
      <c r="A1694" t="s">
        <v>6201</v>
      </c>
      <c r="B1694" s="1" t="str">
        <f>HYPERLINK("https://www.catalog.slsa.sa.gov.au/record=b2110288")</f>
        <v>https://www.catalog.slsa.sa.gov.au/record=b2110288</v>
      </c>
      <c r="C1694" s="1" t="str">
        <f>HYPERLINK("https://www.catalog.slsa.sa.gov.au/xrecord=b2110288")</f>
        <v>https://www.catalog.slsa.sa.gov.au/xrecord=b2110288</v>
      </c>
      <c r="D1694" t="s">
        <v>66</v>
      </c>
      <c r="E1694" t="s">
        <v>6202</v>
      </c>
      <c r="F1694">
        <v>1955</v>
      </c>
      <c r="G1694" t="s">
        <v>121</v>
      </c>
      <c r="H1694" t="s">
        <v>6203</v>
      </c>
      <c r="I1694" t="s">
        <v>6204</v>
      </c>
      <c r="J1694" t="s">
        <v>71</v>
      </c>
      <c r="K1694" s="2" t="str">
        <f>HYPERLINK("http://collections.slsa.sa.gov.au/arthur/01250/BRG347_1059.htm")</f>
        <v>http://collections.slsa.sa.gov.au/arthur/01250/BRG347_1059.htm</v>
      </c>
    </row>
    <row r="1695" spans="1:11" x14ac:dyDescent="0.25">
      <c r="A1695" t="s">
        <v>6205</v>
      </c>
      <c r="B1695" s="1" t="str">
        <f>HYPERLINK("https://www.catalog.slsa.sa.gov.au/record=b2110289")</f>
        <v>https://www.catalog.slsa.sa.gov.au/record=b2110289</v>
      </c>
      <c r="C1695" s="1" t="str">
        <f>HYPERLINK("https://www.catalog.slsa.sa.gov.au/xrecord=b2110289")</f>
        <v>https://www.catalog.slsa.sa.gov.au/xrecord=b2110289</v>
      </c>
      <c r="D1695" t="s">
        <v>66</v>
      </c>
      <c r="E1695" t="s">
        <v>6206</v>
      </c>
      <c r="F1695">
        <v>1955</v>
      </c>
      <c r="G1695" t="s">
        <v>121</v>
      </c>
      <c r="H1695" t="s">
        <v>6207</v>
      </c>
      <c r="I1695" t="s">
        <v>6208</v>
      </c>
      <c r="J1695" t="s">
        <v>71</v>
      </c>
      <c r="K1695" s="2" t="str">
        <f>HYPERLINK("http://collections.slsa.sa.gov.au/arthur/01250/BRG347_1060.htm")</f>
        <v>http://collections.slsa.sa.gov.au/arthur/01250/BRG347_1060.htm</v>
      </c>
    </row>
    <row r="1696" spans="1:11" x14ac:dyDescent="0.25">
      <c r="A1696" t="s">
        <v>6209</v>
      </c>
      <c r="B1696" s="1" t="str">
        <f>HYPERLINK("https://www.catalog.slsa.sa.gov.au/record=b2110293")</f>
        <v>https://www.catalog.slsa.sa.gov.au/record=b2110293</v>
      </c>
      <c r="C1696" s="1" t="str">
        <f>HYPERLINK("https://www.catalog.slsa.sa.gov.au/xrecord=b2110293")</f>
        <v>https://www.catalog.slsa.sa.gov.au/xrecord=b2110293</v>
      </c>
      <c r="D1696" t="s">
        <v>66</v>
      </c>
      <c r="E1696" t="s">
        <v>6202</v>
      </c>
      <c r="F1696">
        <v>1955</v>
      </c>
      <c r="G1696" t="s">
        <v>121</v>
      </c>
      <c r="H1696" t="s">
        <v>6210</v>
      </c>
      <c r="I1696" t="s">
        <v>6204</v>
      </c>
      <c r="J1696" t="s">
        <v>71</v>
      </c>
      <c r="K1696" s="2" t="str">
        <f>HYPERLINK("http://collections.slsa.sa.gov.au/arthur/01250/BRG347_1064.htm")</f>
        <v>http://collections.slsa.sa.gov.au/arthur/01250/BRG347_1064.htm</v>
      </c>
    </row>
    <row r="1697" spans="1:11" x14ac:dyDescent="0.25">
      <c r="A1697" t="s">
        <v>6211</v>
      </c>
      <c r="B1697" s="1" t="str">
        <f>HYPERLINK("https://www.catalog.slsa.sa.gov.au/record=b2110294")</f>
        <v>https://www.catalog.slsa.sa.gov.au/record=b2110294</v>
      </c>
      <c r="C1697" s="1" t="str">
        <f>HYPERLINK("https://www.catalog.slsa.sa.gov.au/xrecord=b2110294")</f>
        <v>https://www.catalog.slsa.sa.gov.au/xrecord=b2110294</v>
      </c>
      <c r="D1697" t="s">
        <v>66</v>
      </c>
      <c r="E1697" t="s">
        <v>6212</v>
      </c>
      <c r="F1697">
        <v>1955</v>
      </c>
      <c r="G1697" t="s">
        <v>121</v>
      </c>
      <c r="H1697" t="s">
        <v>6213</v>
      </c>
      <c r="I1697" t="s">
        <v>6214</v>
      </c>
      <c r="J1697" t="s">
        <v>71</v>
      </c>
      <c r="K1697" s="2" t="str">
        <f>HYPERLINK("http://collections.slsa.sa.gov.au/arthur/01250/BRG347_1065.htm")</f>
        <v>http://collections.slsa.sa.gov.au/arthur/01250/BRG347_1065.htm</v>
      </c>
    </row>
    <row r="1698" spans="1:11" x14ac:dyDescent="0.25">
      <c r="A1698" t="s">
        <v>6215</v>
      </c>
      <c r="B1698" s="1" t="str">
        <f>HYPERLINK("https://www.catalog.slsa.sa.gov.au/record=b2110295")</f>
        <v>https://www.catalog.slsa.sa.gov.au/record=b2110295</v>
      </c>
      <c r="C1698" s="1" t="str">
        <f>HYPERLINK("https://www.catalog.slsa.sa.gov.au/xrecord=b2110295")</f>
        <v>https://www.catalog.slsa.sa.gov.au/xrecord=b2110295</v>
      </c>
      <c r="D1698" t="s">
        <v>66</v>
      </c>
      <c r="E1698" t="s">
        <v>6212</v>
      </c>
      <c r="F1698">
        <v>1955</v>
      </c>
      <c r="G1698" t="s">
        <v>121</v>
      </c>
      <c r="H1698" t="s">
        <v>6216</v>
      </c>
      <c r="I1698" t="s">
        <v>6217</v>
      </c>
      <c r="J1698" t="s">
        <v>71</v>
      </c>
      <c r="K1698" s="2" t="str">
        <f>HYPERLINK("http://collections.slsa.sa.gov.au/arthur/01250/BRG347_1066.htm")</f>
        <v>http://collections.slsa.sa.gov.au/arthur/01250/BRG347_1066.htm</v>
      </c>
    </row>
    <row r="1699" spans="1:11" x14ac:dyDescent="0.25">
      <c r="A1699" t="s">
        <v>6218</v>
      </c>
      <c r="B1699" s="1" t="str">
        <f>HYPERLINK("https://www.catalog.slsa.sa.gov.au/record=b2110296")</f>
        <v>https://www.catalog.slsa.sa.gov.au/record=b2110296</v>
      </c>
      <c r="C1699" s="1" t="str">
        <f>HYPERLINK("https://www.catalog.slsa.sa.gov.au/xrecord=b2110296")</f>
        <v>https://www.catalog.slsa.sa.gov.au/xrecord=b2110296</v>
      </c>
      <c r="D1699" t="s">
        <v>66</v>
      </c>
      <c r="E1699" t="s">
        <v>6212</v>
      </c>
      <c r="F1699">
        <v>1955</v>
      </c>
      <c r="G1699" t="s">
        <v>121</v>
      </c>
      <c r="H1699" t="s">
        <v>6219</v>
      </c>
      <c r="I1699" t="s">
        <v>6217</v>
      </c>
      <c r="J1699" t="s">
        <v>71</v>
      </c>
      <c r="K1699" s="2" t="str">
        <f>HYPERLINK("http://collections.slsa.sa.gov.au/arthur/01250/BRG347_1067.htm")</f>
        <v>http://collections.slsa.sa.gov.au/arthur/01250/BRG347_1067.htm</v>
      </c>
    </row>
    <row r="1700" spans="1:11" x14ac:dyDescent="0.25">
      <c r="A1700" t="s">
        <v>6220</v>
      </c>
      <c r="B1700" s="1" t="str">
        <f>HYPERLINK("https://www.catalog.slsa.sa.gov.au/record=b2110297")</f>
        <v>https://www.catalog.slsa.sa.gov.au/record=b2110297</v>
      </c>
      <c r="C1700" s="1" t="str">
        <f>HYPERLINK("https://www.catalog.slsa.sa.gov.au/xrecord=b2110297")</f>
        <v>https://www.catalog.slsa.sa.gov.au/xrecord=b2110297</v>
      </c>
      <c r="D1700" t="s">
        <v>66</v>
      </c>
      <c r="E1700" t="s">
        <v>6212</v>
      </c>
      <c r="F1700">
        <v>1955</v>
      </c>
      <c r="G1700" t="s">
        <v>121</v>
      </c>
      <c r="H1700" t="s">
        <v>6219</v>
      </c>
      <c r="I1700" t="s">
        <v>6221</v>
      </c>
      <c r="J1700" t="s">
        <v>71</v>
      </c>
      <c r="K1700" s="2" t="str">
        <f>HYPERLINK("http://collections.slsa.sa.gov.au/arthur/01250/BRG347_1068.htm")</f>
        <v>http://collections.slsa.sa.gov.au/arthur/01250/BRG347_1068.htm</v>
      </c>
    </row>
    <row r="1701" spans="1:11" x14ac:dyDescent="0.25">
      <c r="A1701" t="s">
        <v>6222</v>
      </c>
      <c r="B1701" s="1" t="str">
        <f>HYPERLINK("https://www.catalog.slsa.sa.gov.au/record=b2110298")</f>
        <v>https://www.catalog.slsa.sa.gov.au/record=b2110298</v>
      </c>
      <c r="C1701" s="1" t="str">
        <f>HYPERLINK("https://www.catalog.slsa.sa.gov.au/xrecord=b2110298")</f>
        <v>https://www.catalog.slsa.sa.gov.au/xrecord=b2110298</v>
      </c>
      <c r="D1701" t="s">
        <v>66</v>
      </c>
      <c r="E1701" t="s">
        <v>6212</v>
      </c>
      <c r="F1701">
        <v>1955</v>
      </c>
      <c r="G1701" t="s">
        <v>121</v>
      </c>
      <c r="H1701" t="s">
        <v>6223</v>
      </c>
      <c r="I1701" t="s">
        <v>6224</v>
      </c>
      <c r="J1701" t="s">
        <v>71</v>
      </c>
      <c r="K1701" s="2" t="str">
        <f>HYPERLINK("http://collections.slsa.sa.gov.au/arthur/01250/BRG347_1069.htm")</f>
        <v>http://collections.slsa.sa.gov.au/arthur/01250/BRG347_1069.htm</v>
      </c>
    </row>
    <row r="1702" spans="1:11" x14ac:dyDescent="0.25">
      <c r="A1702" t="s">
        <v>6225</v>
      </c>
      <c r="B1702" s="1" t="str">
        <f>HYPERLINK("https://www.catalog.slsa.sa.gov.au/record=b2110299")</f>
        <v>https://www.catalog.slsa.sa.gov.au/record=b2110299</v>
      </c>
      <c r="C1702" s="1" t="str">
        <f>HYPERLINK("https://www.catalog.slsa.sa.gov.au/xrecord=b2110299")</f>
        <v>https://www.catalog.slsa.sa.gov.au/xrecord=b2110299</v>
      </c>
      <c r="D1702" t="s">
        <v>66</v>
      </c>
      <c r="E1702" t="s">
        <v>6212</v>
      </c>
      <c r="F1702">
        <v>1955</v>
      </c>
      <c r="G1702" t="s">
        <v>121</v>
      </c>
      <c r="H1702" t="s">
        <v>6226</v>
      </c>
      <c r="I1702" t="s">
        <v>6217</v>
      </c>
      <c r="J1702" t="s">
        <v>71</v>
      </c>
      <c r="K1702" s="2" t="str">
        <f>HYPERLINK("http://collections.slsa.sa.gov.au/arthur/01250/BRG347_1070.htm")</f>
        <v>http://collections.slsa.sa.gov.au/arthur/01250/BRG347_1070.htm</v>
      </c>
    </row>
    <row r="1703" spans="1:11" x14ac:dyDescent="0.25">
      <c r="A1703" t="s">
        <v>6227</v>
      </c>
      <c r="B1703" s="1" t="str">
        <f>HYPERLINK("https://www.catalog.slsa.sa.gov.au/record=b2110300")</f>
        <v>https://www.catalog.slsa.sa.gov.au/record=b2110300</v>
      </c>
      <c r="C1703" s="1" t="str">
        <f>HYPERLINK("https://www.catalog.slsa.sa.gov.au/xrecord=b2110300")</f>
        <v>https://www.catalog.slsa.sa.gov.au/xrecord=b2110300</v>
      </c>
      <c r="D1703" t="s">
        <v>66</v>
      </c>
      <c r="E1703" t="s">
        <v>6228</v>
      </c>
      <c r="F1703">
        <v>1955</v>
      </c>
      <c r="G1703" t="s">
        <v>121</v>
      </c>
      <c r="H1703" t="s">
        <v>6229</v>
      </c>
      <c r="I1703" t="s">
        <v>6230</v>
      </c>
      <c r="J1703" t="s">
        <v>71</v>
      </c>
      <c r="K1703" s="2" t="str">
        <f>HYPERLINK("http://collections.slsa.sa.gov.au/arthur/01250/BRG347_1071.htm")</f>
        <v>http://collections.slsa.sa.gov.au/arthur/01250/BRG347_1071.htm</v>
      </c>
    </row>
    <row r="1704" spans="1:11" x14ac:dyDescent="0.25">
      <c r="A1704" t="s">
        <v>6231</v>
      </c>
      <c r="B1704" s="1" t="str">
        <f>HYPERLINK("https://www.catalog.slsa.sa.gov.au/record=b2110301")</f>
        <v>https://www.catalog.slsa.sa.gov.au/record=b2110301</v>
      </c>
      <c r="C1704" s="1" t="str">
        <f>HYPERLINK("https://www.catalog.slsa.sa.gov.au/xrecord=b2110301")</f>
        <v>https://www.catalog.slsa.sa.gov.au/xrecord=b2110301</v>
      </c>
      <c r="D1704" t="s">
        <v>66</v>
      </c>
      <c r="E1704" t="s">
        <v>6228</v>
      </c>
      <c r="F1704">
        <v>1955</v>
      </c>
      <c r="G1704" t="s">
        <v>121</v>
      </c>
      <c r="H1704" t="s">
        <v>6232</v>
      </c>
      <c r="I1704" t="s">
        <v>6230</v>
      </c>
      <c r="J1704" t="s">
        <v>71</v>
      </c>
      <c r="K1704" s="2" t="str">
        <f>HYPERLINK("http://collections.slsa.sa.gov.au/arthur/01250/BRG347_1072.htm")</f>
        <v>http://collections.slsa.sa.gov.au/arthur/01250/BRG347_1072.htm</v>
      </c>
    </row>
    <row r="1705" spans="1:11" x14ac:dyDescent="0.25">
      <c r="A1705" t="s">
        <v>6233</v>
      </c>
      <c r="B1705" s="1" t="str">
        <f>HYPERLINK("https://www.catalog.slsa.sa.gov.au/record=b2110305")</f>
        <v>https://www.catalog.slsa.sa.gov.au/record=b2110305</v>
      </c>
      <c r="C1705" s="1" t="str">
        <f>HYPERLINK("https://www.catalog.slsa.sa.gov.au/xrecord=b2110305")</f>
        <v>https://www.catalog.slsa.sa.gov.au/xrecord=b2110305</v>
      </c>
      <c r="D1705" t="s">
        <v>66</v>
      </c>
      <c r="E1705" t="s">
        <v>6234</v>
      </c>
      <c r="F1705">
        <v>1955</v>
      </c>
      <c r="G1705" t="s">
        <v>121</v>
      </c>
      <c r="H1705" t="s">
        <v>6235</v>
      </c>
      <c r="I1705" t="s">
        <v>6236</v>
      </c>
      <c r="J1705" t="s">
        <v>71</v>
      </c>
      <c r="K1705" s="2" t="str">
        <f>HYPERLINK("http://collections.slsa.sa.gov.au/arthur/01250/BRG347_1076.htm")</f>
        <v>http://collections.slsa.sa.gov.au/arthur/01250/BRG347_1076.htm</v>
      </c>
    </row>
    <row r="1706" spans="1:11" x14ac:dyDescent="0.25">
      <c r="A1706" t="s">
        <v>6237</v>
      </c>
      <c r="B1706" s="1" t="str">
        <f>HYPERLINK("https://www.catalog.slsa.sa.gov.au/record=b2110306")</f>
        <v>https://www.catalog.slsa.sa.gov.au/record=b2110306</v>
      </c>
      <c r="C1706" s="1" t="str">
        <f>HYPERLINK("https://www.catalog.slsa.sa.gov.au/xrecord=b2110306")</f>
        <v>https://www.catalog.slsa.sa.gov.au/xrecord=b2110306</v>
      </c>
      <c r="D1706" t="s">
        <v>66</v>
      </c>
      <c r="E1706" t="s">
        <v>6228</v>
      </c>
      <c r="F1706">
        <v>1955</v>
      </c>
      <c r="G1706" t="s">
        <v>121</v>
      </c>
      <c r="H1706" t="s">
        <v>6238</v>
      </c>
      <c r="I1706" t="s">
        <v>6230</v>
      </c>
      <c r="J1706" t="s">
        <v>71</v>
      </c>
      <c r="K1706" s="2" t="str">
        <f>HYPERLINK("http://collections.slsa.sa.gov.au/arthur/01250/BRG347_1077.htm")</f>
        <v>http://collections.slsa.sa.gov.au/arthur/01250/BRG347_1077.htm</v>
      </c>
    </row>
    <row r="1707" spans="1:11" x14ac:dyDescent="0.25">
      <c r="A1707" t="s">
        <v>6239</v>
      </c>
      <c r="B1707" s="1" t="str">
        <f>HYPERLINK("https://www.catalog.slsa.sa.gov.au/record=b2110352")</f>
        <v>https://www.catalog.slsa.sa.gov.au/record=b2110352</v>
      </c>
      <c r="C1707" s="1" t="str">
        <f>HYPERLINK("https://www.catalog.slsa.sa.gov.au/xrecord=b2110352")</f>
        <v>https://www.catalog.slsa.sa.gov.au/xrecord=b2110352</v>
      </c>
      <c r="D1707" t="s">
        <v>66</v>
      </c>
      <c r="E1707" t="s">
        <v>6240</v>
      </c>
      <c r="F1707">
        <v>1955</v>
      </c>
      <c r="G1707" t="s">
        <v>121</v>
      </c>
      <c r="H1707" t="s">
        <v>6241</v>
      </c>
      <c r="I1707" t="s">
        <v>6242</v>
      </c>
      <c r="J1707" t="s">
        <v>71</v>
      </c>
      <c r="K1707" s="2" t="str">
        <f>HYPERLINK("http://collections.slsa.sa.gov.au/arthur/01250/BRG347_1123.htm")</f>
        <v>http://collections.slsa.sa.gov.au/arthur/01250/BRG347_1123.htm</v>
      </c>
    </row>
    <row r="1708" spans="1:11" x14ac:dyDescent="0.25">
      <c r="A1708" t="s">
        <v>6243</v>
      </c>
      <c r="B1708" s="1" t="str">
        <f>HYPERLINK("https://www.catalog.slsa.sa.gov.au/record=b2110353")</f>
        <v>https://www.catalog.slsa.sa.gov.au/record=b2110353</v>
      </c>
      <c r="C1708" s="1" t="str">
        <f>HYPERLINK("https://www.catalog.slsa.sa.gov.au/xrecord=b2110353")</f>
        <v>https://www.catalog.slsa.sa.gov.au/xrecord=b2110353</v>
      </c>
      <c r="D1708" t="s">
        <v>66</v>
      </c>
      <c r="E1708" t="s">
        <v>6240</v>
      </c>
      <c r="F1708">
        <v>1955</v>
      </c>
      <c r="G1708" t="s">
        <v>121</v>
      </c>
      <c r="H1708" t="s">
        <v>6244</v>
      </c>
      <c r="I1708" t="s">
        <v>6242</v>
      </c>
      <c r="J1708" t="s">
        <v>71</v>
      </c>
      <c r="K1708" s="2" t="str">
        <f>HYPERLINK("http://collections.slsa.sa.gov.au/arthur/01250/BRG347_1124.htm")</f>
        <v>http://collections.slsa.sa.gov.au/arthur/01250/BRG347_1124.htm</v>
      </c>
    </row>
    <row r="1709" spans="1:11" x14ac:dyDescent="0.25">
      <c r="A1709" t="s">
        <v>6245</v>
      </c>
      <c r="B1709" s="1" t="str">
        <f>HYPERLINK("https://www.catalog.slsa.sa.gov.au/record=b2110354")</f>
        <v>https://www.catalog.slsa.sa.gov.au/record=b2110354</v>
      </c>
      <c r="C1709" s="1" t="str">
        <f>HYPERLINK("https://www.catalog.slsa.sa.gov.au/xrecord=b2110354")</f>
        <v>https://www.catalog.slsa.sa.gov.au/xrecord=b2110354</v>
      </c>
      <c r="D1709" t="s">
        <v>66</v>
      </c>
      <c r="E1709" t="s">
        <v>6240</v>
      </c>
      <c r="F1709">
        <v>1955</v>
      </c>
      <c r="G1709" t="s">
        <v>121</v>
      </c>
      <c r="H1709" t="s">
        <v>6246</v>
      </c>
      <c r="I1709" t="s">
        <v>6242</v>
      </c>
      <c r="J1709" t="s">
        <v>71</v>
      </c>
      <c r="K1709" s="2" t="str">
        <f>HYPERLINK("http://collections.slsa.sa.gov.au/arthur/01250/BRG347_1125.htm")</f>
        <v>http://collections.slsa.sa.gov.au/arthur/01250/BRG347_1125.htm</v>
      </c>
    </row>
    <row r="1710" spans="1:11" x14ac:dyDescent="0.25">
      <c r="A1710" t="s">
        <v>6247</v>
      </c>
      <c r="B1710" s="1" t="str">
        <f>HYPERLINK("https://www.catalog.slsa.sa.gov.au/record=b2110230")</f>
        <v>https://www.catalog.slsa.sa.gov.au/record=b2110230</v>
      </c>
      <c r="C1710" s="1" t="str">
        <f>HYPERLINK("https://www.catalog.slsa.sa.gov.au/xrecord=b2110230")</f>
        <v>https://www.catalog.slsa.sa.gov.au/xrecord=b2110230</v>
      </c>
      <c r="D1710" t="s">
        <v>66</v>
      </c>
      <c r="E1710" t="s">
        <v>6240</v>
      </c>
      <c r="F1710">
        <v>1955</v>
      </c>
      <c r="G1710" t="s">
        <v>121</v>
      </c>
      <c r="H1710" t="s">
        <v>6248</v>
      </c>
      <c r="I1710" t="s">
        <v>6242</v>
      </c>
      <c r="J1710" t="s">
        <v>71</v>
      </c>
      <c r="K1710" s="2" t="str">
        <f>HYPERLINK("http://collections.slsa.sa.gov.au/arthur/01250/BRG347_1126.htm")</f>
        <v>http://collections.slsa.sa.gov.au/arthur/01250/BRG347_1126.htm</v>
      </c>
    </row>
    <row r="1711" spans="1:11" x14ac:dyDescent="0.25">
      <c r="A1711" t="s">
        <v>6249</v>
      </c>
      <c r="B1711" s="1" t="str">
        <f>HYPERLINK("https://www.catalog.slsa.sa.gov.au/record=b2110355")</f>
        <v>https://www.catalog.slsa.sa.gov.au/record=b2110355</v>
      </c>
      <c r="C1711" s="1" t="str">
        <f>HYPERLINK("https://www.catalog.slsa.sa.gov.au/xrecord=b2110355")</f>
        <v>https://www.catalog.slsa.sa.gov.au/xrecord=b2110355</v>
      </c>
      <c r="D1711" t="s">
        <v>66</v>
      </c>
      <c r="E1711" t="s">
        <v>6240</v>
      </c>
      <c r="F1711">
        <v>1955</v>
      </c>
      <c r="G1711" t="s">
        <v>121</v>
      </c>
      <c r="H1711" t="s">
        <v>6250</v>
      </c>
      <c r="I1711" t="s">
        <v>6242</v>
      </c>
      <c r="J1711" t="s">
        <v>71</v>
      </c>
      <c r="K1711" s="2" t="str">
        <f>HYPERLINK("http://collections.slsa.sa.gov.au/arthur/01250/BRG347_1127.htm")</f>
        <v>http://collections.slsa.sa.gov.au/arthur/01250/BRG347_1127.htm</v>
      </c>
    </row>
    <row r="1712" spans="1:11" x14ac:dyDescent="0.25">
      <c r="A1712" t="s">
        <v>6251</v>
      </c>
      <c r="B1712" s="1" t="str">
        <f>HYPERLINK("https://www.catalog.slsa.sa.gov.au/record=b2110356")</f>
        <v>https://www.catalog.slsa.sa.gov.au/record=b2110356</v>
      </c>
      <c r="C1712" s="1" t="str">
        <f>HYPERLINK("https://www.catalog.slsa.sa.gov.au/xrecord=b2110356")</f>
        <v>https://www.catalog.slsa.sa.gov.au/xrecord=b2110356</v>
      </c>
      <c r="D1712" t="s">
        <v>66</v>
      </c>
      <c r="E1712" t="s">
        <v>6252</v>
      </c>
      <c r="F1712">
        <v>1955</v>
      </c>
      <c r="G1712" t="s">
        <v>121</v>
      </c>
      <c r="H1712" t="s">
        <v>6253</v>
      </c>
      <c r="I1712" t="s">
        <v>6254</v>
      </c>
      <c r="J1712" t="s">
        <v>71</v>
      </c>
      <c r="K1712" s="2" t="str">
        <f>HYPERLINK("http://collections.slsa.sa.gov.au/arthur/01250/BRG347_1128.htm")</f>
        <v>http://collections.slsa.sa.gov.au/arthur/01250/BRG347_1128.htm</v>
      </c>
    </row>
    <row r="1713" spans="1:11" x14ac:dyDescent="0.25">
      <c r="A1713" t="s">
        <v>6255</v>
      </c>
      <c r="B1713" s="1" t="str">
        <f>HYPERLINK("https://www.catalog.slsa.sa.gov.au/record=b2110357")</f>
        <v>https://www.catalog.slsa.sa.gov.au/record=b2110357</v>
      </c>
      <c r="C1713" s="1" t="str">
        <f>HYPERLINK("https://www.catalog.slsa.sa.gov.au/xrecord=b2110357")</f>
        <v>https://www.catalog.slsa.sa.gov.au/xrecord=b2110357</v>
      </c>
      <c r="D1713" t="s">
        <v>66</v>
      </c>
      <c r="E1713" t="s">
        <v>6240</v>
      </c>
      <c r="F1713">
        <v>1955</v>
      </c>
      <c r="G1713" t="s">
        <v>121</v>
      </c>
      <c r="H1713" t="s">
        <v>6256</v>
      </c>
      <c r="I1713" t="s">
        <v>6242</v>
      </c>
      <c r="J1713" t="s">
        <v>71</v>
      </c>
      <c r="K1713" s="2" t="str">
        <f>HYPERLINK("http://collections.slsa.sa.gov.au/arthur/01250/BRG347_1129.htm")</f>
        <v>http://collections.slsa.sa.gov.au/arthur/01250/BRG347_1129.htm</v>
      </c>
    </row>
    <row r="1714" spans="1:11" x14ac:dyDescent="0.25">
      <c r="A1714" t="s">
        <v>6257</v>
      </c>
      <c r="B1714" s="1" t="str">
        <f>HYPERLINK("https://www.catalog.slsa.sa.gov.au/record=b2110358")</f>
        <v>https://www.catalog.slsa.sa.gov.au/record=b2110358</v>
      </c>
      <c r="C1714" s="1" t="str">
        <f>HYPERLINK("https://www.catalog.slsa.sa.gov.au/xrecord=b2110358")</f>
        <v>https://www.catalog.slsa.sa.gov.au/xrecord=b2110358</v>
      </c>
      <c r="D1714" t="s">
        <v>66</v>
      </c>
      <c r="E1714" t="s">
        <v>6240</v>
      </c>
      <c r="F1714">
        <v>1955</v>
      </c>
      <c r="G1714" t="s">
        <v>121</v>
      </c>
      <c r="H1714" t="s">
        <v>6256</v>
      </c>
      <c r="I1714" t="s">
        <v>6242</v>
      </c>
      <c r="J1714" t="s">
        <v>71</v>
      </c>
      <c r="K1714" s="2" t="str">
        <f>HYPERLINK("http://collections.slsa.sa.gov.au/arthur/01250/BRG347_1130.htm")</f>
        <v>http://collections.slsa.sa.gov.au/arthur/01250/BRG347_1130.htm</v>
      </c>
    </row>
    <row r="1715" spans="1:11" x14ac:dyDescent="0.25">
      <c r="A1715" t="s">
        <v>6258</v>
      </c>
      <c r="B1715" s="1" t="str">
        <f>HYPERLINK("https://www.catalog.slsa.sa.gov.au/record=b2110359")</f>
        <v>https://www.catalog.slsa.sa.gov.au/record=b2110359</v>
      </c>
      <c r="C1715" s="1" t="str">
        <f>HYPERLINK("https://www.catalog.slsa.sa.gov.au/xrecord=b2110359")</f>
        <v>https://www.catalog.slsa.sa.gov.au/xrecord=b2110359</v>
      </c>
      <c r="D1715" t="s">
        <v>66</v>
      </c>
      <c r="E1715" t="s">
        <v>6240</v>
      </c>
      <c r="F1715">
        <v>1955</v>
      </c>
      <c r="G1715" t="s">
        <v>121</v>
      </c>
      <c r="H1715" t="s">
        <v>6259</v>
      </c>
      <c r="I1715" t="s">
        <v>6242</v>
      </c>
      <c r="J1715" t="s">
        <v>71</v>
      </c>
      <c r="K1715" s="2" t="str">
        <f>HYPERLINK("http://collections.slsa.sa.gov.au/arthur/01250/BRG347_1131.htm")</f>
        <v>http://collections.slsa.sa.gov.au/arthur/01250/BRG347_1131.htm</v>
      </c>
    </row>
    <row r="1716" spans="1:11" x14ac:dyDescent="0.25">
      <c r="A1716" t="s">
        <v>6260</v>
      </c>
      <c r="B1716" s="1" t="str">
        <f>HYPERLINK("https://www.catalog.slsa.sa.gov.au/record=b2110360")</f>
        <v>https://www.catalog.slsa.sa.gov.au/record=b2110360</v>
      </c>
      <c r="C1716" s="1" t="str">
        <f>HYPERLINK("https://www.catalog.slsa.sa.gov.au/xrecord=b2110360")</f>
        <v>https://www.catalog.slsa.sa.gov.au/xrecord=b2110360</v>
      </c>
      <c r="D1716" t="s">
        <v>66</v>
      </c>
      <c r="E1716" t="s">
        <v>6240</v>
      </c>
      <c r="F1716">
        <v>1955</v>
      </c>
      <c r="G1716" t="s">
        <v>121</v>
      </c>
      <c r="H1716" t="s">
        <v>6261</v>
      </c>
      <c r="I1716" t="s">
        <v>6262</v>
      </c>
      <c r="J1716" t="s">
        <v>71</v>
      </c>
      <c r="K1716" s="2" t="str">
        <f>HYPERLINK("http://collections.slsa.sa.gov.au/arthur/01250/BRG347_1132.htm")</f>
        <v>http://collections.slsa.sa.gov.au/arthur/01250/BRG347_1132.htm</v>
      </c>
    </row>
    <row r="1717" spans="1:11" x14ac:dyDescent="0.25">
      <c r="A1717" t="s">
        <v>6263</v>
      </c>
      <c r="B1717" s="1" t="str">
        <f>HYPERLINK("https://www.catalog.slsa.sa.gov.au/record=b2110397")</f>
        <v>https://www.catalog.slsa.sa.gov.au/record=b2110397</v>
      </c>
      <c r="C1717" s="1" t="str">
        <f>HYPERLINK("https://www.catalog.slsa.sa.gov.au/xrecord=b2110397")</f>
        <v>https://www.catalog.slsa.sa.gov.au/xrecord=b2110397</v>
      </c>
      <c r="D1717" t="s">
        <v>66</v>
      </c>
      <c r="E1717" t="s">
        <v>6264</v>
      </c>
      <c r="F1717">
        <v>1955</v>
      </c>
      <c r="G1717" t="s">
        <v>121</v>
      </c>
      <c r="H1717" t="s">
        <v>6265</v>
      </c>
      <c r="I1717" t="s">
        <v>6266</v>
      </c>
      <c r="J1717" t="s">
        <v>71</v>
      </c>
      <c r="K1717" s="2" t="str">
        <f>HYPERLINK("http://collections.slsa.sa.gov.au/arthur/01250/BRG347_1170.htm")</f>
        <v>http://collections.slsa.sa.gov.au/arthur/01250/BRG347_1170.htm</v>
      </c>
    </row>
    <row r="1718" spans="1:11" x14ac:dyDescent="0.25">
      <c r="A1718" t="s">
        <v>6267</v>
      </c>
      <c r="B1718" s="1" t="str">
        <f>HYPERLINK("https://www.catalog.slsa.sa.gov.au/record=b2110398")</f>
        <v>https://www.catalog.slsa.sa.gov.au/record=b2110398</v>
      </c>
      <c r="C1718" s="1" t="str">
        <f>HYPERLINK("https://www.catalog.slsa.sa.gov.au/xrecord=b2110398")</f>
        <v>https://www.catalog.slsa.sa.gov.au/xrecord=b2110398</v>
      </c>
      <c r="D1718" t="s">
        <v>66</v>
      </c>
      <c r="E1718" t="s">
        <v>6268</v>
      </c>
      <c r="F1718">
        <v>1955</v>
      </c>
      <c r="G1718" t="s">
        <v>121</v>
      </c>
      <c r="H1718" t="s">
        <v>6269</v>
      </c>
      <c r="I1718" t="s">
        <v>6270</v>
      </c>
      <c r="J1718" t="s">
        <v>71</v>
      </c>
      <c r="K1718" s="2" t="str">
        <f>HYPERLINK("http://collections.slsa.sa.gov.au/arthur/01250/BRG347_1171.htm")</f>
        <v>http://collections.slsa.sa.gov.au/arthur/01250/BRG347_1171.htm</v>
      </c>
    </row>
    <row r="1719" spans="1:11" x14ac:dyDescent="0.25">
      <c r="A1719" t="s">
        <v>6271</v>
      </c>
      <c r="B1719" s="1" t="str">
        <f>HYPERLINK("https://www.catalog.slsa.sa.gov.au/record=b2110399")</f>
        <v>https://www.catalog.slsa.sa.gov.au/record=b2110399</v>
      </c>
      <c r="C1719" s="1" t="str">
        <f>HYPERLINK("https://www.catalog.slsa.sa.gov.au/xrecord=b2110399")</f>
        <v>https://www.catalog.slsa.sa.gov.au/xrecord=b2110399</v>
      </c>
      <c r="D1719" t="s">
        <v>66</v>
      </c>
      <c r="E1719" t="s">
        <v>6272</v>
      </c>
      <c r="F1719">
        <v>1955</v>
      </c>
      <c r="G1719" t="s">
        <v>121</v>
      </c>
      <c r="H1719" t="s">
        <v>6273</v>
      </c>
      <c r="I1719" t="s">
        <v>6274</v>
      </c>
      <c r="J1719" t="s">
        <v>71</v>
      </c>
      <c r="K1719" s="2" t="str">
        <f>HYPERLINK("http://collections.slsa.sa.gov.au/arthur/01250/BRG347_1172.htm")</f>
        <v>http://collections.slsa.sa.gov.au/arthur/01250/BRG347_1172.htm</v>
      </c>
    </row>
    <row r="1720" spans="1:11" x14ac:dyDescent="0.25">
      <c r="A1720" t="s">
        <v>6275</v>
      </c>
      <c r="B1720" s="1" t="str">
        <f>HYPERLINK("https://www.catalog.slsa.sa.gov.au/record=b2110400")</f>
        <v>https://www.catalog.slsa.sa.gov.au/record=b2110400</v>
      </c>
      <c r="C1720" s="1" t="str">
        <f>HYPERLINK("https://www.catalog.slsa.sa.gov.au/xrecord=b2110400")</f>
        <v>https://www.catalog.slsa.sa.gov.au/xrecord=b2110400</v>
      </c>
      <c r="D1720" t="s">
        <v>66</v>
      </c>
      <c r="E1720" t="s">
        <v>6276</v>
      </c>
      <c r="F1720">
        <v>1955</v>
      </c>
      <c r="G1720" t="s">
        <v>121</v>
      </c>
      <c r="H1720" t="s">
        <v>6277</v>
      </c>
      <c r="I1720" t="s">
        <v>6278</v>
      </c>
      <c r="J1720" t="s">
        <v>71</v>
      </c>
      <c r="K1720" s="2" t="str">
        <f>HYPERLINK("http://collections.slsa.sa.gov.au/arthur/01250/BRG347_1173.htm")</f>
        <v>http://collections.slsa.sa.gov.au/arthur/01250/BRG347_1173.htm</v>
      </c>
    </row>
    <row r="1721" spans="1:11" x14ac:dyDescent="0.25">
      <c r="A1721" t="s">
        <v>6279</v>
      </c>
      <c r="B1721" s="1" t="str">
        <f>HYPERLINK("https://www.catalog.slsa.sa.gov.au/record=b2110401")</f>
        <v>https://www.catalog.slsa.sa.gov.au/record=b2110401</v>
      </c>
      <c r="C1721" s="1" t="str">
        <f>HYPERLINK("https://www.catalog.slsa.sa.gov.au/xrecord=b2110401")</f>
        <v>https://www.catalog.slsa.sa.gov.au/xrecord=b2110401</v>
      </c>
      <c r="D1721" t="s">
        <v>66</v>
      </c>
      <c r="E1721" t="s">
        <v>1621</v>
      </c>
      <c r="F1721">
        <v>1955</v>
      </c>
      <c r="G1721" t="s">
        <v>121</v>
      </c>
      <c r="H1721" t="s">
        <v>6280</v>
      </c>
      <c r="I1721" t="s">
        <v>6281</v>
      </c>
      <c r="J1721" t="s">
        <v>71</v>
      </c>
      <c r="K1721" s="2" t="str">
        <f>HYPERLINK("http://collections.slsa.sa.gov.au/arthur/01250/BRG347_1174.htm")</f>
        <v>http://collections.slsa.sa.gov.au/arthur/01250/BRG347_1174.htm</v>
      </c>
    </row>
    <row r="1722" spans="1:11" x14ac:dyDescent="0.25">
      <c r="A1722" t="s">
        <v>6282</v>
      </c>
      <c r="B1722" s="1" t="str">
        <f>HYPERLINK("https://www.catalog.slsa.sa.gov.au/record=b2110402")</f>
        <v>https://www.catalog.slsa.sa.gov.au/record=b2110402</v>
      </c>
      <c r="C1722" s="1" t="str">
        <f>HYPERLINK("https://www.catalog.slsa.sa.gov.au/xrecord=b2110402")</f>
        <v>https://www.catalog.slsa.sa.gov.au/xrecord=b2110402</v>
      </c>
      <c r="D1722" t="s">
        <v>66</v>
      </c>
      <c r="E1722" t="s">
        <v>1621</v>
      </c>
      <c r="F1722">
        <v>1955</v>
      </c>
      <c r="G1722" t="s">
        <v>121</v>
      </c>
      <c r="H1722" t="s">
        <v>6283</v>
      </c>
      <c r="I1722" t="s">
        <v>6281</v>
      </c>
      <c r="J1722" t="s">
        <v>71</v>
      </c>
      <c r="K1722" s="2" t="str">
        <f>HYPERLINK("http://collections.slsa.sa.gov.au/arthur/01250/BRG347_1175.htm")</f>
        <v>http://collections.slsa.sa.gov.au/arthur/01250/BRG347_1175.htm</v>
      </c>
    </row>
    <row r="1723" spans="1:11" x14ac:dyDescent="0.25">
      <c r="A1723" t="s">
        <v>6284</v>
      </c>
      <c r="B1723" s="1" t="str">
        <f>HYPERLINK("https://www.catalog.slsa.sa.gov.au/record=b2110403")</f>
        <v>https://www.catalog.slsa.sa.gov.au/record=b2110403</v>
      </c>
      <c r="C1723" s="1" t="str">
        <f>HYPERLINK("https://www.catalog.slsa.sa.gov.au/xrecord=b2110403")</f>
        <v>https://www.catalog.slsa.sa.gov.au/xrecord=b2110403</v>
      </c>
      <c r="D1723" t="s">
        <v>66</v>
      </c>
      <c r="E1723" t="s">
        <v>1621</v>
      </c>
      <c r="F1723">
        <v>1955</v>
      </c>
      <c r="G1723" t="s">
        <v>121</v>
      </c>
      <c r="H1723" t="s">
        <v>6285</v>
      </c>
      <c r="I1723" t="s">
        <v>6281</v>
      </c>
      <c r="J1723" t="s">
        <v>71</v>
      </c>
      <c r="K1723" s="2" t="str">
        <f>HYPERLINK("http://collections.slsa.sa.gov.au/arthur/01250/BRG347_1176.htm")</f>
        <v>http://collections.slsa.sa.gov.au/arthur/01250/BRG347_1176.htm</v>
      </c>
    </row>
    <row r="1724" spans="1:11" x14ac:dyDescent="0.25">
      <c r="A1724" t="s">
        <v>6286</v>
      </c>
      <c r="B1724" s="1" t="str">
        <f>HYPERLINK("https://www.catalog.slsa.sa.gov.au/record=b2110404")</f>
        <v>https://www.catalog.slsa.sa.gov.au/record=b2110404</v>
      </c>
      <c r="C1724" s="1" t="str">
        <f>HYPERLINK("https://www.catalog.slsa.sa.gov.au/xrecord=b2110404")</f>
        <v>https://www.catalog.slsa.sa.gov.au/xrecord=b2110404</v>
      </c>
      <c r="D1724" t="s">
        <v>66</v>
      </c>
      <c r="E1724" t="s">
        <v>6268</v>
      </c>
      <c r="F1724">
        <v>1955</v>
      </c>
      <c r="G1724" t="s">
        <v>121</v>
      </c>
      <c r="H1724" t="s">
        <v>6287</v>
      </c>
      <c r="I1724" t="s">
        <v>6288</v>
      </c>
      <c r="J1724" t="s">
        <v>71</v>
      </c>
      <c r="K1724" s="2" t="str">
        <f>HYPERLINK("http://collections.slsa.sa.gov.au/arthur/01250/BRG347_1177.htm")</f>
        <v>http://collections.slsa.sa.gov.au/arthur/01250/BRG347_1177.htm</v>
      </c>
    </row>
    <row r="1725" spans="1:11" x14ac:dyDescent="0.25">
      <c r="A1725" t="s">
        <v>6289</v>
      </c>
      <c r="B1725" s="1" t="str">
        <f>HYPERLINK("https://www.catalog.slsa.sa.gov.au/record=b2110405")</f>
        <v>https://www.catalog.slsa.sa.gov.au/record=b2110405</v>
      </c>
      <c r="C1725" s="1" t="str">
        <f>HYPERLINK("https://www.catalog.slsa.sa.gov.au/xrecord=b2110405")</f>
        <v>https://www.catalog.slsa.sa.gov.au/xrecord=b2110405</v>
      </c>
      <c r="D1725" t="s">
        <v>66</v>
      </c>
      <c r="E1725" t="s">
        <v>1621</v>
      </c>
      <c r="F1725">
        <v>1955</v>
      </c>
      <c r="G1725" t="s">
        <v>121</v>
      </c>
      <c r="H1725" t="s">
        <v>6290</v>
      </c>
      <c r="I1725" t="s">
        <v>6281</v>
      </c>
      <c r="J1725" t="s">
        <v>71</v>
      </c>
      <c r="K1725" s="2" t="str">
        <f>HYPERLINK("http://collections.slsa.sa.gov.au/arthur/01250/BRG347_1178.htm")</f>
        <v>http://collections.slsa.sa.gov.au/arthur/01250/BRG347_1178.htm</v>
      </c>
    </row>
    <row r="1726" spans="1:11" x14ac:dyDescent="0.25">
      <c r="A1726" t="s">
        <v>6291</v>
      </c>
      <c r="B1726" s="1" t="str">
        <f>HYPERLINK("https://www.catalog.slsa.sa.gov.au/record=b2110406")</f>
        <v>https://www.catalog.slsa.sa.gov.au/record=b2110406</v>
      </c>
      <c r="C1726" s="1" t="str">
        <f>HYPERLINK("https://www.catalog.slsa.sa.gov.au/xrecord=b2110406")</f>
        <v>https://www.catalog.slsa.sa.gov.au/xrecord=b2110406</v>
      </c>
      <c r="D1726" t="s">
        <v>66</v>
      </c>
      <c r="E1726" t="s">
        <v>1621</v>
      </c>
      <c r="F1726">
        <v>1955</v>
      </c>
      <c r="G1726" t="s">
        <v>121</v>
      </c>
      <c r="H1726" t="s">
        <v>6292</v>
      </c>
      <c r="I1726" t="s">
        <v>6293</v>
      </c>
      <c r="J1726" t="s">
        <v>71</v>
      </c>
      <c r="K1726" s="2" t="str">
        <f>HYPERLINK("http://collections.slsa.sa.gov.au/arthur/01250/BRG347_1179.htm")</f>
        <v>http://collections.slsa.sa.gov.au/arthur/01250/BRG347_1179.htm</v>
      </c>
    </row>
    <row r="1727" spans="1:11" x14ac:dyDescent="0.25">
      <c r="A1727" t="s">
        <v>6294</v>
      </c>
      <c r="B1727" s="1" t="str">
        <f>HYPERLINK("https://www.catalog.slsa.sa.gov.au/record=b2117623")</f>
        <v>https://www.catalog.slsa.sa.gov.au/record=b2117623</v>
      </c>
      <c r="C1727" s="1" t="str">
        <f>HYPERLINK("https://www.catalog.slsa.sa.gov.au/xrecord=b2117623")</f>
        <v>https://www.catalog.slsa.sa.gov.au/xrecord=b2117623</v>
      </c>
      <c r="D1727" t="s">
        <v>66</v>
      </c>
      <c r="E1727" t="s">
        <v>6295</v>
      </c>
      <c r="F1727">
        <v>1955</v>
      </c>
      <c r="G1727" t="s">
        <v>5597</v>
      </c>
      <c r="H1727" t="s">
        <v>6296</v>
      </c>
      <c r="I1727" t="s">
        <v>6297</v>
      </c>
      <c r="J1727" t="s">
        <v>71</v>
      </c>
      <c r="K1727" s="2" t="str">
        <f>HYPERLINK("http://collections.slsa.sa.gov.au/arthur/01250/BRG347_1180.htm")</f>
        <v>http://collections.slsa.sa.gov.au/arthur/01250/BRG347_1180.htm</v>
      </c>
    </row>
    <row r="1728" spans="1:11" x14ac:dyDescent="0.25">
      <c r="A1728" t="s">
        <v>6298</v>
      </c>
      <c r="B1728" s="1" t="str">
        <f>HYPERLINK("https://www.catalog.slsa.sa.gov.au/record=b2110407")</f>
        <v>https://www.catalog.slsa.sa.gov.au/record=b2110407</v>
      </c>
      <c r="C1728" s="1" t="str">
        <f>HYPERLINK("https://www.catalog.slsa.sa.gov.au/xrecord=b2110407")</f>
        <v>https://www.catalog.slsa.sa.gov.au/xrecord=b2110407</v>
      </c>
      <c r="D1728" t="s">
        <v>66</v>
      </c>
      <c r="E1728" t="s">
        <v>6299</v>
      </c>
      <c r="F1728">
        <v>1955</v>
      </c>
      <c r="G1728" t="s">
        <v>121</v>
      </c>
      <c r="H1728" t="s">
        <v>6300</v>
      </c>
      <c r="I1728" t="s">
        <v>6301</v>
      </c>
      <c r="J1728" t="s">
        <v>71</v>
      </c>
      <c r="K1728" s="2" t="str">
        <f>HYPERLINK("http://collections.slsa.sa.gov.au/arthur/01250/BRG347_1181.htm")</f>
        <v>http://collections.slsa.sa.gov.au/arthur/01250/BRG347_1181.htm</v>
      </c>
    </row>
    <row r="1729" spans="1:11" x14ac:dyDescent="0.25">
      <c r="A1729" t="s">
        <v>6302</v>
      </c>
      <c r="B1729" s="1" t="str">
        <f>HYPERLINK("https://www.catalog.slsa.sa.gov.au/record=b2110408")</f>
        <v>https://www.catalog.slsa.sa.gov.au/record=b2110408</v>
      </c>
      <c r="C1729" s="1" t="str">
        <f>HYPERLINK("https://www.catalog.slsa.sa.gov.au/xrecord=b2110408")</f>
        <v>https://www.catalog.slsa.sa.gov.au/xrecord=b2110408</v>
      </c>
      <c r="D1729" t="s">
        <v>66</v>
      </c>
      <c r="E1729" t="s">
        <v>6303</v>
      </c>
      <c r="F1729">
        <v>1955</v>
      </c>
      <c r="G1729" t="s">
        <v>121</v>
      </c>
      <c r="H1729" t="s">
        <v>6304</v>
      </c>
      <c r="I1729" t="s">
        <v>6305</v>
      </c>
      <c r="J1729" t="s">
        <v>71</v>
      </c>
      <c r="K1729" s="2" t="str">
        <f>HYPERLINK("http://collections.slsa.sa.gov.au/arthur/01250/BRG347_1182.htm")</f>
        <v>http://collections.slsa.sa.gov.au/arthur/01250/BRG347_1182.htm</v>
      </c>
    </row>
    <row r="1730" spans="1:11" x14ac:dyDescent="0.25">
      <c r="A1730" t="s">
        <v>6306</v>
      </c>
      <c r="B1730" s="1" t="str">
        <f>HYPERLINK("https://www.catalog.slsa.sa.gov.au/record=b2110409")</f>
        <v>https://www.catalog.slsa.sa.gov.au/record=b2110409</v>
      </c>
      <c r="C1730" s="1" t="str">
        <f>HYPERLINK("https://www.catalog.slsa.sa.gov.au/xrecord=b2110409")</f>
        <v>https://www.catalog.slsa.sa.gov.au/xrecord=b2110409</v>
      </c>
      <c r="D1730" t="s">
        <v>66</v>
      </c>
      <c r="E1730" t="s">
        <v>6268</v>
      </c>
      <c r="F1730">
        <v>1955</v>
      </c>
      <c r="G1730" t="s">
        <v>121</v>
      </c>
      <c r="H1730" t="s">
        <v>6307</v>
      </c>
      <c r="I1730" t="s">
        <v>6308</v>
      </c>
      <c r="J1730" t="s">
        <v>71</v>
      </c>
      <c r="K1730" s="2" t="str">
        <f>HYPERLINK("http://collections.slsa.sa.gov.au/arthur/01250/BRG347_1183.htm")</f>
        <v>http://collections.slsa.sa.gov.au/arthur/01250/BRG347_1183.htm</v>
      </c>
    </row>
    <row r="1731" spans="1:11" x14ac:dyDescent="0.25">
      <c r="A1731" t="s">
        <v>6309</v>
      </c>
      <c r="B1731" s="1" t="str">
        <f>HYPERLINK("https://www.catalog.slsa.sa.gov.au/record=b2110410")</f>
        <v>https://www.catalog.slsa.sa.gov.au/record=b2110410</v>
      </c>
      <c r="C1731" s="1" t="str">
        <f>HYPERLINK("https://www.catalog.slsa.sa.gov.au/xrecord=b2110410")</f>
        <v>https://www.catalog.slsa.sa.gov.au/xrecord=b2110410</v>
      </c>
      <c r="D1731" t="s">
        <v>66</v>
      </c>
      <c r="E1731" t="s">
        <v>6268</v>
      </c>
      <c r="F1731">
        <v>1955</v>
      </c>
      <c r="G1731" t="s">
        <v>121</v>
      </c>
      <c r="H1731" t="s">
        <v>6310</v>
      </c>
      <c r="I1731" t="s">
        <v>6311</v>
      </c>
      <c r="J1731" t="s">
        <v>71</v>
      </c>
      <c r="K1731" s="2" t="str">
        <f>HYPERLINK("http://collections.slsa.sa.gov.au/arthur/01250/BRG347_1184.htm")</f>
        <v>http://collections.slsa.sa.gov.au/arthur/01250/BRG347_1184.htm</v>
      </c>
    </row>
    <row r="1732" spans="1:11" x14ac:dyDescent="0.25">
      <c r="A1732" t="s">
        <v>6312</v>
      </c>
      <c r="B1732" s="1" t="str">
        <f>HYPERLINK("https://www.catalog.slsa.sa.gov.au/record=b2110412")</f>
        <v>https://www.catalog.slsa.sa.gov.au/record=b2110412</v>
      </c>
      <c r="C1732" s="1" t="str">
        <f>HYPERLINK("https://www.catalog.slsa.sa.gov.au/xrecord=b2110412")</f>
        <v>https://www.catalog.slsa.sa.gov.au/xrecord=b2110412</v>
      </c>
      <c r="D1732" t="s">
        <v>66</v>
      </c>
      <c r="E1732" t="s">
        <v>5603</v>
      </c>
      <c r="F1732">
        <v>1955</v>
      </c>
      <c r="G1732" t="s">
        <v>121</v>
      </c>
      <c r="H1732" t="s">
        <v>6313</v>
      </c>
      <c r="I1732" t="s">
        <v>6314</v>
      </c>
      <c r="J1732" t="s">
        <v>71</v>
      </c>
      <c r="K1732" s="2" t="str">
        <f>HYPERLINK("http://collections.slsa.sa.gov.au/arthur/01250/BRG347_1186.htm")</f>
        <v>http://collections.slsa.sa.gov.au/arthur/01250/BRG347_1186.htm</v>
      </c>
    </row>
    <row r="1733" spans="1:11" x14ac:dyDescent="0.25">
      <c r="A1733" t="s">
        <v>6315</v>
      </c>
      <c r="B1733" s="1" t="str">
        <f>HYPERLINK("https://www.catalog.slsa.sa.gov.au/record=b2110413")</f>
        <v>https://www.catalog.slsa.sa.gov.au/record=b2110413</v>
      </c>
      <c r="C1733" s="1" t="str">
        <f>HYPERLINK("https://www.catalog.slsa.sa.gov.au/xrecord=b2110413")</f>
        <v>https://www.catalog.slsa.sa.gov.au/xrecord=b2110413</v>
      </c>
      <c r="D1733" t="s">
        <v>66</v>
      </c>
      <c r="E1733" t="s">
        <v>6268</v>
      </c>
      <c r="F1733">
        <v>1955</v>
      </c>
      <c r="G1733" t="s">
        <v>121</v>
      </c>
      <c r="H1733" t="s">
        <v>6316</v>
      </c>
      <c r="I1733" t="s">
        <v>6317</v>
      </c>
      <c r="J1733" t="s">
        <v>71</v>
      </c>
      <c r="K1733" s="2" t="str">
        <f>HYPERLINK("http://collections.slsa.sa.gov.au/arthur/01250/BRG347_1187.htm")</f>
        <v>http://collections.slsa.sa.gov.au/arthur/01250/BRG347_1187.htm</v>
      </c>
    </row>
    <row r="1734" spans="1:11" x14ac:dyDescent="0.25">
      <c r="A1734" t="s">
        <v>6318</v>
      </c>
      <c r="B1734" s="1" t="str">
        <f>HYPERLINK("https://www.catalog.slsa.sa.gov.au/record=b2117714")</f>
        <v>https://www.catalog.slsa.sa.gov.au/record=b2117714</v>
      </c>
      <c r="C1734" s="1" t="str">
        <f>HYPERLINK("https://www.catalog.slsa.sa.gov.au/xrecord=b2117714")</f>
        <v>https://www.catalog.slsa.sa.gov.au/xrecord=b2117714</v>
      </c>
      <c r="D1734" t="s">
        <v>66</v>
      </c>
      <c r="E1734" t="s">
        <v>6319</v>
      </c>
      <c r="F1734">
        <v>1955</v>
      </c>
      <c r="G1734" t="s">
        <v>5597</v>
      </c>
      <c r="H1734" t="s">
        <v>6320</v>
      </c>
      <c r="I1734" t="s">
        <v>6321</v>
      </c>
      <c r="J1734" t="s">
        <v>71</v>
      </c>
      <c r="K1734" s="2" t="str">
        <f>HYPERLINK("http://collections.slsa.sa.gov.au/arthur/01250/BRG347_1200.htm")</f>
        <v>http://collections.slsa.sa.gov.au/arthur/01250/BRG347_1200.htm</v>
      </c>
    </row>
    <row r="1735" spans="1:11" x14ac:dyDescent="0.25">
      <c r="A1735" t="s">
        <v>6322</v>
      </c>
      <c r="B1735" s="1" t="str">
        <f>HYPERLINK("https://www.catalog.slsa.sa.gov.au/record=b2110495")</f>
        <v>https://www.catalog.slsa.sa.gov.au/record=b2110495</v>
      </c>
      <c r="C1735" s="1" t="str">
        <f>HYPERLINK("https://www.catalog.slsa.sa.gov.au/xrecord=b2110495")</f>
        <v>https://www.catalog.slsa.sa.gov.au/xrecord=b2110495</v>
      </c>
      <c r="D1735" t="s">
        <v>66</v>
      </c>
      <c r="E1735" t="s">
        <v>6323</v>
      </c>
      <c r="F1735">
        <v>1955</v>
      </c>
      <c r="G1735" t="s">
        <v>121</v>
      </c>
      <c r="H1735" t="s">
        <v>6324</v>
      </c>
      <c r="I1735" t="s">
        <v>6325</v>
      </c>
      <c r="J1735" t="s">
        <v>71</v>
      </c>
      <c r="K1735" s="2" t="str">
        <f>HYPERLINK("http://collections.slsa.sa.gov.au/arthur/01500/BRG347_1270.htm")</f>
        <v>http://collections.slsa.sa.gov.au/arthur/01500/BRG347_1270.htm</v>
      </c>
    </row>
    <row r="1736" spans="1:11" x14ac:dyDescent="0.25">
      <c r="A1736" t="s">
        <v>6326</v>
      </c>
      <c r="B1736" s="1" t="str">
        <f>HYPERLINK("https://www.catalog.slsa.sa.gov.au/record=b2110496")</f>
        <v>https://www.catalog.slsa.sa.gov.au/record=b2110496</v>
      </c>
      <c r="C1736" s="1" t="str">
        <f>HYPERLINK("https://www.catalog.slsa.sa.gov.au/xrecord=b2110496")</f>
        <v>https://www.catalog.slsa.sa.gov.au/xrecord=b2110496</v>
      </c>
      <c r="D1736" t="s">
        <v>66</v>
      </c>
      <c r="E1736" t="s">
        <v>6327</v>
      </c>
      <c r="F1736">
        <v>1955</v>
      </c>
      <c r="G1736" t="s">
        <v>121</v>
      </c>
      <c r="H1736" t="s">
        <v>6328</v>
      </c>
      <c r="I1736" t="s">
        <v>6329</v>
      </c>
      <c r="J1736" t="s">
        <v>71</v>
      </c>
      <c r="K1736" s="2" t="str">
        <f>HYPERLINK("http://collections.slsa.sa.gov.au/arthur/01500/BRG347_1271.htm")</f>
        <v>http://collections.slsa.sa.gov.au/arthur/01500/BRG347_1271.htm</v>
      </c>
    </row>
    <row r="1737" spans="1:11" x14ac:dyDescent="0.25">
      <c r="A1737" t="s">
        <v>6330</v>
      </c>
      <c r="B1737" s="1" t="str">
        <f>HYPERLINK("https://www.catalog.slsa.sa.gov.au/record=b2110497")</f>
        <v>https://www.catalog.slsa.sa.gov.au/record=b2110497</v>
      </c>
      <c r="C1737" s="1" t="str">
        <f>HYPERLINK("https://www.catalog.slsa.sa.gov.au/xrecord=b2110497")</f>
        <v>https://www.catalog.slsa.sa.gov.au/xrecord=b2110497</v>
      </c>
      <c r="D1737" t="s">
        <v>66</v>
      </c>
      <c r="E1737" t="s">
        <v>6327</v>
      </c>
      <c r="F1737">
        <v>1955</v>
      </c>
      <c r="G1737" t="s">
        <v>121</v>
      </c>
      <c r="H1737" t="s">
        <v>6331</v>
      </c>
      <c r="I1737" t="s">
        <v>6329</v>
      </c>
      <c r="J1737" t="s">
        <v>71</v>
      </c>
      <c r="K1737" s="2" t="str">
        <f>HYPERLINK("http://collections.slsa.sa.gov.au/arthur/01500/BRG347_1272.htm")</f>
        <v>http://collections.slsa.sa.gov.au/arthur/01500/BRG347_1272.htm</v>
      </c>
    </row>
    <row r="1738" spans="1:11" x14ac:dyDescent="0.25">
      <c r="A1738" t="s">
        <v>6332</v>
      </c>
      <c r="B1738" s="1" t="str">
        <f>HYPERLINK("https://www.catalog.slsa.sa.gov.au/record=b2111118")</f>
        <v>https://www.catalog.slsa.sa.gov.au/record=b2111118</v>
      </c>
      <c r="C1738" s="1" t="str">
        <f>HYPERLINK("https://www.catalog.slsa.sa.gov.au/xrecord=b2111118")</f>
        <v>https://www.catalog.slsa.sa.gov.au/xrecord=b2111118</v>
      </c>
      <c r="D1738" t="s">
        <v>66</v>
      </c>
      <c r="E1738" t="s">
        <v>6333</v>
      </c>
      <c r="F1738">
        <v>1955</v>
      </c>
      <c r="G1738" t="s">
        <v>121</v>
      </c>
      <c r="H1738" t="s">
        <v>6334</v>
      </c>
      <c r="I1738" t="s">
        <v>6335</v>
      </c>
      <c r="J1738" t="s">
        <v>71</v>
      </c>
      <c r="K1738" s="2" t="str">
        <f>HYPERLINK("http://collections.slsa.sa.gov.au/arthur/02000/BRG347_1804.htm")</f>
        <v>http://collections.slsa.sa.gov.au/arthur/02000/BRG347_1804.htm</v>
      </c>
    </row>
    <row r="1739" spans="1:11" x14ac:dyDescent="0.25">
      <c r="A1739" t="s">
        <v>6336</v>
      </c>
      <c r="B1739" s="1" t="str">
        <f>HYPERLINK("https://www.catalog.slsa.sa.gov.au/record=b2111235")</f>
        <v>https://www.catalog.slsa.sa.gov.au/record=b2111235</v>
      </c>
      <c r="C1739" s="1" t="str">
        <f>HYPERLINK("https://www.catalog.slsa.sa.gov.au/xrecord=b2111235")</f>
        <v>https://www.catalog.slsa.sa.gov.au/xrecord=b2111235</v>
      </c>
      <c r="D1739" t="s">
        <v>66</v>
      </c>
      <c r="E1739" t="s">
        <v>6337</v>
      </c>
      <c r="F1739">
        <v>1955</v>
      </c>
      <c r="G1739" t="s">
        <v>121</v>
      </c>
      <c r="H1739" t="s">
        <v>6338</v>
      </c>
      <c r="I1739" t="s">
        <v>6339</v>
      </c>
      <c r="J1739" t="s">
        <v>71</v>
      </c>
      <c r="K1739" s="2" t="str">
        <f>HYPERLINK("http://collections.slsa.sa.gov.au/arthur/02000/BRG347_1905.htm")</f>
        <v>http://collections.slsa.sa.gov.au/arthur/02000/BRG347_1905.htm</v>
      </c>
    </row>
    <row r="1740" spans="1:11" x14ac:dyDescent="0.25">
      <c r="A1740" t="s">
        <v>6340</v>
      </c>
      <c r="B1740" s="1" t="str">
        <f>HYPERLINK("https://www.catalog.slsa.sa.gov.au/record=b2111236")</f>
        <v>https://www.catalog.slsa.sa.gov.au/record=b2111236</v>
      </c>
      <c r="C1740" s="1" t="str">
        <f>HYPERLINK("https://www.catalog.slsa.sa.gov.au/xrecord=b2111236")</f>
        <v>https://www.catalog.slsa.sa.gov.au/xrecord=b2111236</v>
      </c>
      <c r="D1740" t="s">
        <v>66</v>
      </c>
      <c r="E1740" t="s">
        <v>6341</v>
      </c>
      <c r="F1740">
        <v>1955</v>
      </c>
      <c r="G1740" t="s">
        <v>121</v>
      </c>
      <c r="H1740" t="s">
        <v>6342</v>
      </c>
      <c r="I1740" t="s">
        <v>6343</v>
      </c>
      <c r="J1740" t="s">
        <v>71</v>
      </c>
      <c r="K1740" s="2" t="str">
        <f>HYPERLINK("http://collections.slsa.sa.gov.au/arthur/02000/BRG347_1906.htm")</f>
        <v>http://collections.slsa.sa.gov.au/arthur/02000/BRG347_1906.htm</v>
      </c>
    </row>
    <row r="1741" spans="1:11" x14ac:dyDescent="0.25">
      <c r="A1741" t="s">
        <v>6344</v>
      </c>
      <c r="B1741" s="1" t="str">
        <f>HYPERLINK("https://www.catalog.slsa.sa.gov.au/record=b2111237")</f>
        <v>https://www.catalog.slsa.sa.gov.au/record=b2111237</v>
      </c>
      <c r="C1741" s="1" t="str">
        <f>HYPERLINK("https://www.catalog.slsa.sa.gov.au/xrecord=b2111237")</f>
        <v>https://www.catalog.slsa.sa.gov.au/xrecord=b2111237</v>
      </c>
      <c r="D1741" t="s">
        <v>66</v>
      </c>
      <c r="E1741" t="s">
        <v>6345</v>
      </c>
      <c r="F1741">
        <v>1955</v>
      </c>
      <c r="G1741" t="s">
        <v>121</v>
      </c>
      <c r="H1741" t="s">
        <v>6346</v>
      </c>
      <c r="I1741" t="s">
        <v>6347</v>
      </c>
      <c r="J1741" t="s">
        <v>71</v>
      </c>
      <c r="K1741" s="2" t="str">
        <f>HYPERLINK("http://collections.slsa.sa.gov.au/arthur/02000/BRG347_1907.htm")</f>
        <v>http://collections.slsa.sa.gov.au/arthur/02000/BRG347_1907.htm</v>
      </c>
    </row>
    <row r="1742" spans="1:11" x14ac:dyDescent="0.25">
      <c r="A1742" t="s">
        <v>6348</v>
      </c>
      <c r="B1742" s="1" t="str">
        <f>HYPERLINK("https://www.catalog.slsa.sa.gov.au/record=b2111238")</f>
        <v>https://www.catalog.slsa.sa.gov.au/record=b2111238</v>
      </c>
      <c r="C1742" s="1" t="str">
        <f>HYPERLINK("https://www.catalog.slsa.sa.gov.au/xrecord=b2111238")</f>
        <v>https://www.catalog.slsa.sa.gov.au/xrecord=b2111238</v>
      </c>
      <c r="D1742" t="s">
        <v>66</v>
      </c>
      <c r="E1742" t="s">
        <v>6349</v>
      </c>
      <c r="F1742">
        <v>1955</v>
      </c>
      <c r="G1742" t="s">
        <v>121</v>
      </c>
      <c r="H1742" t="s">
        <v>6350</v>
      </c>
      <c r="I1742" t="s">
        <v>6351</v>
      </c>
      <c r="J1742" t="s">
        <v>71</v>
      </c>
      <c r="K1742" s="2" t="str">
        <f>HYPERLINK("http://collections.slsa.sa.gov.au/arthur/02000/BRG347_1908.htm")</f>
        <v>http://collections.slsa.sa.gov.au/arthur/02000/BRG347_1908.htm</v>
      </c>
    </row>
    <row r="1743" spans="1:11" x14ac:dyDescent="0.25">
      <c r="A1743" t="s">
        <v>6352</v>
      </c>
      <c r="B1743" s="1" t="str">
        <f>HYPERLINK("https://www.catalog.slsa.sa.gov.au/record=b2111239")</f>
        <v>https://www.catalog.slsa.sa.gov.au/record=b2111239</v>
      </c>
      <c r="C1743" s="1" t="str">
        <f>HYPERLINK("https://www.catalog.slsa.sa.gov.au/xrecord=b2111239")</f>
        <v>https://www.catalog.slsa.sa.gov.au/xrecord=b2111239</v>
      </c>
      <c r="D1743" t="s">
        <v>66</v>
      </c>
      <c r="E1743" t="s">
        <v>6337</v>
      </c>
      <c r="F1743">
        <v>1955</v>
      </c>
      <c r="G1743" t="s">
        <v>121</v>
      </c>
      <c r="H1743" t="s">
        <v>6353</v>
      </c>
      <c r="I1743" t="s">
        <v>6354</v>
      </c>
      <c r="J1743" t="s">
        <v>71</v>
      </c>
      <c r="K1743" s="2" t="str">
        <f>HYPERLINK("http://collections.slsa.sa.gov.au/arthur/02000/BRG347_1909.htm")</f>
        <v>http://collections.slsa.sa.gov.au/arthur/02000/BRG347_1909.htm</v>
      </c>
    </row>
    <row r="1744" spans="1:11" x14ac:dyDescent="0.25">
      <c r="A1744" t="s">
        <v>6355</v>
      </c>
      <c r="B1744" s="1" t="str">
        <f>HYPERLINK("https://www.catalog.slsa.sa.gov.au/record=b2111240")</f>
        <v>https://www.catalog.slsa.sa.gov.au/record=b2111240</v>
      </c>
      <c r="C1744" s="1" t="str">
        <f>HYPERLINK("https://www.catalog.slsa.sa.gov.au/xrecord=b2111240")</f>
        <v>https://www.catalog.slsa.sa.gov.au/xrecord=b2111240</v>
      </c>
      <c r="D1744" t="s">
        <v>66</v>
      </c>
      <c r="E1744" t="s">
        <v>6356</v>
      </c>
      <c r="F1744">
        <v>1955</v>
      </c>
      <c r="G1744" t="s">
        <v>121</v>
      </c>
      <c r="H1744" t="s">
        <v>6357</v>
      </c>
      <c r="I1744" t="s">
        <v>6358</v>
      </c>
      <c r="J1744" t="s">
        <v>71</v>
      </c>
      <c r="K1744" s="2" t="str">
        <f>HYPERLINK("http://collections.slsa.sa.gov.au/arthur/02000/BRG347_1910.htm")</f>
        <v>http://collections.slsa.sa.gov.au/arthur/02000/BRG347_1910.htm</v>
      </c>
    </row>
    <row r="1745" spans="1:11" x14ac:dyDescent="0.25">
      <c r="A1745" t="s">
        <v>6359</v>
      </c>
      <c r="B1745" s="1" t="str">
        <f>HYPERLINK("https://www.catalog.slsa.sa.gov.au/record=b2111241")</f>
        <v>https://www.catalog.slsa.sa.gov.au/record=b2111241</v>
      </c>
      <c r="C1745" s="1" t="str">
        <f>HYPERLINK("https://www.catalog.slsa.sa.gov.au/xrecord=b2111241")</f>
        <v>https://www.catalog.slsa.sa.gov.au/xrecord=b2111241</v>
      </c>
      <c r="D1745" t="s">
        <v>66</v>
      </c>
      <c r="E1745" t="s">
        <v>6360</v>
      </c>
      <c r="F1745">
        <v>1955</v>
      </c>
      <c r="G1745" t="s">
        <v>121</v>
      </c>
      <c r="H1745" t="s">
        <v>6361</v>
      </c>
      <c r="I1745" t="s">
        <v>6362</v>
      </c>
      <c r="J1745" t="s">
        <v>71</v>
      </c>
      <c r="K1745" s="2" t="str">
        <f>HYPERLINK("http://collections.slsa.sa.gov.au/arthur/02000/BRG347_1911.htm")</f>
        <v>http://collections.slsa.sa.gov.au/arthur/02000/BRG347_1911.htm</v>
      </c>
    </row>
    <row r="1746" spans="1:11" x14ac:dyDescent="0.25">
      <c r="A1746" t="s">
        <v>6363</v>
      </c>
      <c r="B1746" s="1" t="str">
        <f>HYPERLINK("https://www.catalog.slsa.sa.gov.au/record=b2111242")</f>
        <v>https://www.catalog.slsa.sa.gov.au/record=b2111242</v>
      </c>
      <c r="C1746" s="1" t="str">
        <f>HYPERLINK("https://www.catalog.slsa.sa.gov.au/xrecord=b2111242")</f>
        <v>https://www.catalog.slsa.sa.gov.au/xrecord=b2111242</v>
      </c>
      <c r="D1746" t="s">
        <v>66</v>
      </c>
      <c r="E1746" t="s">
        <v>6364</v>
      </c>
      <c r="F1746">
        <v>1955</v>
      </c>
      <c r="G1746" t="s">
        <v>121</v>
      </c>
      <c r="H1746" t="s">
        <v>6365</v>
      </c>
      <c r="I1746" t="s">
        <v>6366</v>
      </c>
      <c r="J1746" t="s">
        <v>71</v>
      </c>
      <c r="K1746" s="2" t="str">
        <f>HYPERLINK("http://collections.slsa.sa.gov.au/arthur/02000/BRG347_1912.htm")</f>
        <v>http://collections.slsa.sa.gov.au/arthur/02000/BRG347_1912.htm</v>
      </c>
    </row>
    <row r="1747" spans="1:11" x14ac:dyDescent="0.25">
      <c r="A1747" t="s">
        <v>6367</v>
      </c>
      <c r="B1747" s="1" t="str">
        <f>HYPERLINK("https://www.catalog.slsa.sa.gov.au/record=b2111243")</f>
        <v>https://www.catalog.slsa.sa.gov.au/record=b2111243</v>
      </c>
      <c r="C1747" s="1" t="str">
        <f>HYPERLINK("https://www.catalog.slsa.sa.gov.au/xrecord=b2111243")</f>
        <v>https://www.catalog.slsa.sa.gov.au/xrecord=b2111243</v>
      </c>
      <c r="D1747" t="s">
        <v>66</v>
      </c>
      <c r="E1747" t="s">
        <v>6368</v>
      </c>
      <c r="F1747">
        <v>1955</v>
      </c>
      <c r="G1747" t="s">
        <v>121</v>
      </c>
      <c r="H1747" t="s">
        <v>6369</v>
      </c>
      <c r="I1747" t="s">
        <v>6370</v>
      </c>
      <c r="J1747" t="s">
        <v>71</v>
      </c>
      <c r="K1747" s="2" t="str">
        <f>HYPERLINK("http://collections.slsa.sa.gov.au/arthur/02000/BRG347_1913.htm")</f>
        <v>http://collections.slsa.sa.gov.au/arthur/02000/BRG347_1913.htm</v>
      </c>
    </row>
    <row r="1748" spans="1:11" x14ac:dyDescent="0.25">
      <c r="A1748" t="s">
        <v>6371</v>
      </c>
      <c r="B1748" s="1" t="str">
        <f>HYPERLINK("https://www.catalog.slsa.sa.gov.au/record=b2111244")</f>
        <v>https://www.catalog.slsa.sa.gov.au/record=b2111244</v>
      </c>
      <c r="C1748" s="1" t="str">
        <f>HYPERLINK("https://www.catalog.slsa.sa.gov.au/xrecord=b2111244")</f>
        <v>https://www.catalog.slsa.sa.gov.au/xrecord=b2111244</v>
      </c>
      <c r="D1748" t="s">
        <v>66</v>
      </c>
      <c r="E1748" t="s">
        <v>6372</v>
      </c>
      <c r="F1748">
        <v>1955</v>
      </c>
      <c r="G1748" t="s">
        <v>121</v>
      </c>
      <c r="H1748" t="s">
        <v>6373</v>
      </c>
      <c r="I1748" t="s">
        <v>6374</v>
      </c>
      <c r="J1748" t="s">
        <v>71</v>
      </c>
      <c r="K1748" s="2" t="str">
        <f>HYPERLINK("http://collections.slsa.sa.gov.au/arthur/02000/BRG347_1914.htm")</f>
        <v>http://collections.slsa.sa.gov.au/arthur/02000/BRG347_1914.htm</v>
      </c>
    </row>
    <row r="1749" spans="1:11" x14ac:dyDescent="0.25">
      <c r="A1749" t="s">
        <v>6375</v>
      </c>
      <c r="B1749" s="1" t="str">
        <f>HYPERLINK("https://www.catalog.slsa.sa.gov.au/record=b2111245")</f>
        <v>https://www.catalog.slsa.sa.gov.au/record=b2111245</v>
      </c>
      <c r="C1749" s="1" t="str">
        <f>HYPERLINK("https://www.catalog.slsa.sa.gov.au/xrecord=b2111245")</f>
        <v>https://www.catalog.slsa.sa.gov.au/xrecord=b2111245</v>
      </c>
      <c r="D1749" t="s">
        <v>66</v>
      </c>
      <c r="E1749" t="s">
        <v>6349</v>
      </c>
      <c r="F1749">
        <v>1955</v>
      </c>
      <c r="G1749" t="s">
        <v>121</v>
      </c>
      <c r="H1749" t="s">
        <v>6376</v>
      </c>
      <c r="I1749" t="s">
        <v>6351</v>
      </c>
      <c r="J1749" t="s">
        <v>71</v>
      </c>
      <c r="K1749" s="2" t="str">
        <f>HYPERLINK("http://collections.slsa.sa.gov.au/arthur/02000/BRG347_1915.htm")</f>
        <v>http://collections.slsa.sa.gov.au/arthur/02000/BRG347_1915.htm</v>
      </c>
    </row>
    <row r="1750" spans="1:11" x14ac:dyDescent="0.25">
      <c r="A1750" t="s">
        <v>6377</v>
      </c>
      <c r="B1750" s="1" t="str">
        <f>HYPERLINK("https://www.catalog.slsa.sa.gov.au/record=b2111246")</f>
        <v>https://www.catalog.slsa.sa.gov.au/record=b2111246</v>
      </c>
      <c r="C1750" s="1" t="str">
        <f>HYPERLINK("https://www.catalog.slsa.sa.gov.au/xrecord=b2111246")</f>
        <v>https://www.catalog.slsa.sa.gov.au/xrecord=b2111246</v>
      </c>
      <c r="D1750" t="s">
        <v>66</v>
      </c>
      <c r="E1750" t="s">
        <v>6349</v>
      </c>
      <c r="F1750">
        <v>1955</v>
      </c>
      <c r="G1750" t="s">
        <v>121</v>
      </c>
      <c r="H1750" t="s">
        <v>6378</v>
      </c>
      <c r="I1750" t="s">
        <v>6351</v>
      </c>
      <c r="J1750" t="s">
        <v>71</v>
      </c>
      <c r="K1750" s="2" t="str">
        <f>HYPERLINK("http://collections.slsa.sa.gov.au/arthur/02000/BRG347_1916.htm")</f>
        <v>http://collections.slsa.sa.gov.au/arthur/02000/BRG347_1916.htm</v>
      </c>
    </row>
    <row r="1751" spans="1:11" x14ac:dyDescent="0.25">
      <c r="A1751" t="s">
        <v>6379</v>
      </c>
      <c r="B1751" s="1" t="str">
        <f>HYPERLINK("https://www.catalog.slsa.sa.gov.au/record=b2111247")</f>
        <v>https://www.catalog.slsa.sa.gov.au/record=b2111247</v>
      </c>
      <c r="C1751" s="1" t="str">
        <f>HYPERLINK("https://www.catalog.slsa.sa.gov.au/xrecord=b2111247")</f>
        <v>https://www.catalog.slsa.sa.gov.au/xrecord=b2111247</v>
      </c>
      <c r="D1751" t="s">
        <v>66</v>
      </c>
      <c r="E1751" t="s">
        <v>6380</v>
      </c>
      <c r="F1751">
        <v>1955</v>
      </c>
      <c r="G1751" t="s">
        <v>121</v>
      </c>
      <c r="H1751" t="s">
        <v>6381</v>
      </c>
      <c r="I1751" t="s">
        <v>6382</v>
      </c>
      <c r="J1751" t="s">
        <v>71</v>
      </c>
      <c r="K1751" s="2" t="str">
        <f>HYPERLINK("http://collections.slsa.sa.gov.au/arthur/02000/BRG347_1917.htm")</f>
        <v>http://collections.slsa.sa.gov.au/arthur/02000/BRG347_1917.htm</v>
      </c>
    </row>
    <row r="1752" spans="1:11" x14ac:dyDescent="0.25">
      <c r="A1752" t="s">
        <v>6383</v>
      </c>
      <c r="B1752" s="1" t="str">
        <f>HYPERLINK("https://www.catalog.slsa.sa.gov.au/record=b2111248")</f>
        <v>https://www.catalog.slsa.sa.gov.au/record=b2111248</v>
      </c>
      <c r="C1752" s="1" t="str">
        <f>HYPERLINK("https://www.catalog.slsa.sa.gov.au/xrecord=b2111248")</f>
        <v>https://www.catalog.slsa.sa.gov.au/xrecord=b2111248</v>
      </c>
      <c r="D1752" t="s">
        <v>66</v>
      </c>
      <c r="E1752" t="s">
        <v>6384</v>
      </c>
      <c r="F1752">
        <v>1955</v>
      </c>
      <c r="G1752" t="s">
        <v>121</v>
      </c>
      <c r="H1752" t="s">
        <v>6385</v>
      </c>
      <c r="I1752" t="s">
        <v>6386</v>
      </c>
      <c r="J1752" t="s">
        <v>71</v>
      </c>
      <c r="K1752" s="2" t="str">
        <f>HYPERLINK("http://collections.slsa.sa.gov.au/arthur/02000/BRG347_1918.htm")</f>
        <v>http://collections.slsa.sa.gov.au/arthur/02000/BRG347_1918.htm</v>
      </c>
    </row>
    <row r="1753" spans="1:11" x14ac:dyDescent="0.25">
      <c r="A1753" t="s">
        <v>6387</v>
      </c>
      <c r="B1753" s="1" t="str">
        <f>HYPERLINK("https://www.catalog.slsa.sa.gov.au/record=b2111249")</f>
        <v>https://www.catalog.slsa.sa.gov.au/record=b2111249</v>
      </c>
      <c r="C1753" s="1" t="str">
        <f>HYPERLINK("https://www.catalog.slsa.sa.gov.au/xrecord=b2111249")</f>
        <v>https://www.catalog.slsa.sa.gov.au/xrecord=b2111249</v>
      </c>
      <c r="D1753" t="s">
        <v>66</v>
      </c>
      <c r="E1753" t="s">
        <v>6388</v>
      </c>
      <c r="F1753">
        <v>1955</v>
      </c>
      <c r="G1753" t="s">
        <v>121</v>
      </c>
      <c r="H1753" t="s">
        <v>6389</v>
      </c>
      <c r="I1753" t="s">
        <v>6390</v>
      </c>
      <c r="J1753" t="s">
        <v>71</v>
      </c>
      <c r="K1753" s="2" t="str">
        <f>HYPERLINK("http://collections.slsa.sa.gov.au/arthur/02000/BRG347_1919.htm")</f>
        <v>http://collections.slsa.sa.gov.au/arthur/02000/BRG347_1919.htm</v>
      </c>
    </row>
    <row r="1754" spans="1:11" x14ac:dyDescent="0.25">
      <c r="A1754" t="s">
        <v>6391</v>
      </c>
      <c r="B1754" s="1" t="str">
        <f>HYPERLINK("https://www.catalog.slsa.sa.gov.au/record=b2111250")</f>
        <v>https://www.catalog.slsa.sa.gov.au/record=b2111250</v>
      </c>
      <c r="C1754" s="1" t="str">
        <f>HYPERLINK("https://www.catalog.slsa.sa.gov.au/xrecord=b2111250")</f>
        <v>https://www.catalog.slsa.sa.gov.au/xrecord=b2111250</v>
      </c>
      <c r="D1754" t="s">
        <v>66</v>
      </c>
      <c r="E1754" t="s">
        <v>6392</v>
      </c>
      <c r="F1754">
        <v>1955</v>
      </c>
      <c r="G1754" t="s">
        <v>121</v>
      </c>
      <c r="H1754" t="s">
        <v>6393</v>
      </c>
      <c r="I1754" t="s">
        <v>6394</v>
      </c>
      <c r="J1754" t="s">
        <v>71</v>
      </c>
      <c r="K1754" s="2" t="str">
        <f>HYPERLINK("http://collections.slsa.sa.gov.au/arthur/02000/BRG347_1920.htm")</f>
        <v>http://collections.slsa.sa.gov.au/arthur/02000/BRG347_1920.htm</v>
      </c>
    </row>
    <row r="1755" spans="1:11" x14ac:dyDescent="0.25">
      <c r="A1755" t="s">
        <v>6395</v>
      </c>
      <c r="B1755" s="1" t="str">
        <f>HYPERLINK("https://www.catalog.slsa.sa.gov.au/record=b2111251")</f>
        <v>https://www.catalog.slsa.sa.gov.au/record=b2111251</v>
      </c>
      <c r="C1755" s="1" t="str">
        <f>HYPERLINK("https://www.catalog.slsa.sa.gov.au/xrecord=b2111251")</f>
        <v>https://www.catalog.slsa.sa.gov.au/xrecord=b2111251</v>
      </c>
      <c r="D1755" t="s">
        <v>66</v>
      </c>
      <c r="E1755" t="s">
        <v>6396</v>
      </c>
      <c r="F1755">
        <v>1955</v>
      </c>
      <c r="G1755" t="s">
        <v>121</v>
      </c>
      <c r="H1755" t="s">
        <v>6397</v>
      </c>
      <c r="I1755" t="s">
        <v>6398</v>
      </c>
      <c r="J1755" t="s">
        <v>71</v>
      </c>
      <c r="K1755" s="2" t="str">
        <f>HYPERLINK("http://collections.slsa.sa.gov.au/arthur/02000/BRG347_1921.htm")</f>
        <v>http://collections.slsa.sa.gov.au/arthur/02000/BRG347_1921.htm</v>
      </c>
    </row>
    <row r="1756" spans="1:11" x14ac:dyDescent="0.25">
      <c r="A1756" t="s">
        <v>6399</v>
      </c>
      <c r="B1756" s="1" t="str">
        <f>HYPERLINK("https://www.catalog.slsa.sa.gov.au/record=b2111252")</f>
        <v>https://www.catalog.slsa.sa.gov.au/record=b2111252</v>
      </c>
      <c r="C1756" s="1" t="str">
        <f>HYPERLINK("https://www.catalog.slsa.sa.gov.au/xrecord=b2111252")</f>
        <v>https://www.catalog.slsa.sa.gov.au/xrecord=b2111252</v>
      </c>
      <c r="D1756" t="s">
        <v>66</v>
      </c>
      <c r="E1756" t="s">
        <v>6400</v>
      </c>
      <c r="F1756">
        <v>1955</v>
      </c>
      <c r="G1756" t="s">
        <v>121</v>
      </c>
      <c r="H1756" t="s">
        <v>6401</v>
      </c>
      <c r="I1756" t="s">
        <v>6402</v>
      </c>
      <c r="J1756" t="s">
        <v>71</v>
      </c>
      <c r="K1756" s="2" t="str">
        <f>HYPERLINK("http://collections.slsa.sa.gov.au/arthur/02000/BRG347_1922.htm")</f>
        <v>http://collections.slsa.sa.gov.au/arthur/02000/BRG347_1922.htm</v>
      </c>
    </row>
    <row r="1757" spans="1:11" x14ac:dyDescent="0.25">
      <c r="A1757" t="s">
        <v>6403</v>
      </c>
      <c r="B1757" s="1" t="str">
        <f>HYPERLINK("https://www.catalog.slsa.sa.gov.au/record=b2111253")</f>
        <v>https://www.catalog.slsa.sa.gov.au/record=b2111253</v>
      </c>
      <c r="C1757" s="1" t="str">
        <f>HYPERLINK("https://www.catalog.slsa.sa.gov.au/xrecord=b2111253")</f>
        <v>https://www.catalog.slsa.sa.gov.au/xrecord=b2111253</v>
      </c>
      <c r="D1757" t="s">
        <v>66</v>
      </c>
      <c r="E1757" t="s">
        <v>6404</v>
      </c>
      <c r="F1757">
        <v>1955</v>
      </c>
      <c r="G1757" t="s">
        <v>121</v>
      </c>
      <c r="H1757" t="s">
        <v>6405</v>
      </c>
      <c r="I1757" t="s">
        <v>6406</v>
      </c>
      <c r="J1757" t="s">
        <v>71</v>
      </c>
      <c r="K1757" s="2" t="str">
        <f>HYPERLINK("http://collections.slsa.sa.gov.au/arthur/02000/BRG347_1923.htm")</f>
        <v>http://collections.slsa.sa.gov.au/arthur/02000/BRG347_1923.htm</v>
      </c>
    </row>
    <row r="1758" spans="1:11" x14ac:dyDescent="0.25">
      <c r="A1758" t="s">
        <v>6407</v>
      </c>
      <c r="B1758" s="1" t="str">
        <f>HYPERLINK("https://www.catalog.slsa.sa.gov.au/record=b2111254")</f>
        <v>https://www.catalog.slsa.sa.gov.au/record=b2111254</v>
      </c>
      <c r="C1758" s="1" t="str">
        <f>HYPERLINK("https://www.catalog.slsa.sa.gov.au/xrecord=b2111254")</f>
        <v>https://www.catalog.slsa.sa.gov.au/xrecord=b2111254</v>
      </c>
      <c r="D1758" t="s">
        <v>66</v>
      </c>
      <c r="E1758" t="s">
        <v>6408</v>
      </c>
      <c r="F1758">
        <v>1955</v>
      </c>
      <c r="G1758" t="s">
        <v>121</v>
      </c>
      <c r="H1758" t="s">
        <v>6409</v>
      </c>
      <c r="I1758" t="s">
        <v>6410</v>
      </c>
      <c r="J1758" t="s">
        <v>71</v>
      </c>
      <c r="K1758" s="2" t="str">
        <f>HYPERLINK("http://collections.slsa.sa.gov.au/arthur/02000/BRG347_1924.htm")</f>
        <v>http://collections.slsa.sa.gov.au/arthur/02000/BRG347_1924.htm</v>
      </c>
    </row>
    <row r="1759" spans="1:11" x14ac:dyDescent="0.25">
      <c r="A1759" t="s">
        <v>6411</v>
      </c>
      <c r="B1759" s="1" t="str">
        <f>HYPERLINK("https://www.catalog.slsa.sa.gov.au/record=b2111257")</f>
        <v>https://www.catalog.slsa.sa.gov.au/record=b2111257</v>
      </c>
      <c r="C1759" s="1" t="str">
        <f>HYPERLINK("https://www.catalog.slsa.sa.gov.au/xrecord=b2111257")</f>
        <v>https://www.catalog.slsa.sa.gov.au/xrecord=b2111257</v>
      </c>
      <c r="D1759" t="s">
        <v>66</v>
      </c>
      <c r="E1759" t="s">
        <v>6412</v>
      </c>
      <c r="F1759">
        <v>1955</v>
      </c>
      <c r="G1759" t="s">
        <v>121</v>
      </c>
      <c r="H1759" t="s">
        <v>6413</v>
      </c>
      <c r="I1759" t="s">
        <v>6414</v>
      </c>
      <c r="J1759" t="s">
        <v>71</v>
      </c>
      <c r="K1759" s="2" t="str">
        <f>HYPERLINK("http://collections.slsa.sa.gov.au/arthur/02000/BRG347_1927.htm")</f>
        <v>http://collections.slsa.sa.gov.au/arthur/02000/BRG347_1927.htm</v>
      </c>
    </row>
    <row r="1760" spans="1:11" x14ac:dyDescent="0.25">
      <c r="A1760" t="s">
        <v>6415</v>
      </c>
      <c r="B1760" s="1" t="str">
        <f>HYPERLINK("https://www.catalog.slsa.sa.gov.au/record=b2111258")</f>
        <v>https://www.catalog.slsa.sa.gov.au/record=b2111258</v>
      </c>
      <c r="C1760" s="1" t="str">
        <f>HYPERLINK("https://www.catalog.slsa.sa.gov.au/xrecord=b2111258")</f>
        <v>https://www.catalog.slsa.sa.gov.au/xrecord=b2111258</v>
      </c>
      <c r="D1760" t="s">
        <v>66</v>
      </c>
      <c r="E1760" t="s">
        <v>6416</v>
      </c>
      <c r="F1760">
        <v>1955</v>
      </c>
      <c r="G1760" t="s">
        <v>121</v>
      </c>
      <c r="H1760" t="s">
        <v>6417</v>
      </c>
      <c r="I1760" t="s">
        <v>6418</v>
      </c>
      <c r="J1760" t="s">
        <v>71</v>
      </c>
      <c r="K1760" s="2" t="str">
        <f>HYPERLINK("http://collections.slsa.sa.gov.au/arthur/02000/BRG347_1928.htm")</f>
        <v>http://collections.slsa.sa.gov.au/arthur/02000/BRG347_1928.htm</v>
      </c>
    </row>
    <row r="1761" spans="1:11" x14ac:dyDescent="0.25">
      <c r="A1761" t="s">
        <v>6419</v>
      </c>
      <c r="B1761" s="1" t="str">
        <f>HYPERLINK("https://www.catalog.slsa.sa.gov.au/record=b2117891")</f>
        <v>https://www.catalog.slsa.sa.gov.au/record=b2117891</v>
      </c>
      <c r="C1761" s="1" t="str">
        <f>HYPERLINK("https://www.catalog.slsa.sa.gov.au/xrecord=b2117891")</f>
        <v>https://www.catalog.slsa.sa.gov.au/xrecord=b2117891</v>
      </c>
      <c r="D1761" t="s">
        <v>66</v>
      </c>
      <c r="E1761" t="s">
        <v>6420</v>
      </c>
      <c r="F1761">
        <v>1955</v>
      </c>
      <c r="G1761" t="s">
        <v>121</v>
      </c>
      <c r="H1761" t="s">
        <v>6421</v>
      </c>
      <c r="I1761" t="s">
        <v>6422</v>
      </c>
      <c r="J1761" t="s">
        <v>71</v>
      </c>
      <c r="K1761" s="2" t="str">
        <f>HYPERLINK("http://collections.slsa.sa.gov.au/arthur/02000/BRG347_1931.htm")</f>
        <v>http://collections.slsa.sa.gov.au/arthur/02000/BRG347_1931.htm</v>
      </c>
    </row>
    <row r="1762" spans="1:11" x14ac:dyDescent="0.25">
      <c r="A1762" t="s">
        <v>6423</v>
      </c>
      <c r="B1762" s="1" t="str">
        <f>HYPERLINK("https://www.catalog.slsa.sa.gov.au/record=b2111346")</f>
        <v>https://www.catalog.slsa.sa.gov.au/record=b2111346</v>
      </c>
      <c r="C1762" s="1" t="str">
        <f>HYPERLINK("https://www.catalog.slsa.sa.gov.au/xrecord=b2111346")</f>
        <v>https://www.catalog.slsa.sa.gov.au/xrecord=b2111346</v>
      </c>
      <c r="D1762" t="s">
        <v>66</v>
      </c>
      <c r="E1762" t="s">
        <v>6424</v>
      </c>
      <c r="F1762">
        <v>1955</v>
      </c>
      <c r="G1762" t="s">
        <v>121</v>
      </c>
      <c r="H1762" t="s">
        <v>6425</v>
      </c>
      <c r="I1762" t="s">
        <v>6426</v>
      </c>
      <c r="J1762" t="s">
        <v>71</v>
      </c>
      <c r="K1762" s="2" t="str">
        <f>HYPERLINK("http://collections.slsa.sa.gov.au/arthur/02250/BRG347_2018.htm")</f>
        <v>http://collections.slsa.sa.gov.au/arthur/02250/BRG347_2018.htm</v>
      </c>
    </row>
    <row r="1763" spans="1:11" x14ac:dyDescent="0.25">
      <c r="A1763" t="s">
        <v>6427</v>
      </c>
      <c r="B1763" s="1" t="str">
        <f>HYPERLINK("https://www.catalog.slsa.sa.gov.au/record=b2111405")</f>
        <v>https://www.catalog.slsa.sa.gov.au/record=b2111405</v>
      </c>
      <c r="C1763" s="1" t="str">
        <f>HYPERLINK("https://www.catalog.slsa.sa.gov.au/xrecord=b2111405")</f>
        <v>https://www.catalog.slsa.sa.gov.au/xrecord=b2111405</v>
      </c>
      <c r="D1763" t="s">
        <v>66</v>
      </c>
      <c r="E1763" t="s">
        <v>6428</v>
      </c>
      <c r="F1763">
        <v>1955</v>
      </c>
      <c r="G1763" t="s">
        <v>121</v>
      </c>
      <c r="H1763" t="s">
        <v>6429</v>
      </c>
      <c r="I1763" t="s">
        <v>6430</v>
      </c>
      <c r="J1763" t="s">
        <v>71</v>
      </c>
      <c r="K1763" s="2" t="str">
        <f>HYPERLINK("http://collections.slsa.sa.gov.au/arthur/02250/BRG347_2039.htm")</f>
        <v>http://collections.slsa.sa.gov.au/arthur/02250/BRG347_2039.htm</v>
      </c>
    </row>
    <row r="1764" spans="1:11" x14ac:dyDescent="0.25">
      <c r="A1764" t="s">
        <v>6431</v>
      </c>
      <c r="B1764" s="1" t="str">
        <f>HYPERLINK("https://www.catalog.slsa.sa.gov.au/record=b2111406")</f>
        <v>https://www.catalog.slsa.sa.gov.au/record=b2111406</v>
      </c>
      <c r="C1764" s="1" t="str">
        <f>HYPERLINK("https://www.catalog.slsa.sa.gov.au/xrecord=b2111406")</f>
        <v>https://www.catalog.slsa.sa.gov.au/xrecord=b2111406</v>
      </c>
      <c r="D1764" t="s">
        <v>66</v>
      </c>
      <c r="E1764" t="s">
        <v>6432</v>
      </c>
      <c r="F1764">
        <v>1955</v>
      </c>
      <c r="G1764" t="s">
        <v>121</v>
      </c>
      <c r="H1764" t="s">
        <v>6433</v>
      </c>
      <c r="I1764" t="s">
        <v>6434</v>
      </c>
      <c r="J1764" t="s">
        <v>71</v>
      </c>
      <c r="K1764" s="2" t="str">
        <f>HYPERLINK("http://collections.slsa.sa.gov.au/arthur/02250/BRG347_2040.htm")</f>
        <v>http://collections.slsa.sa.gov.au/arthur/02250/BRG347_2040.htm</v>
      </c>
    </row>
    <row r="1765" spans="1:11" x14ac:dyDescent="0.25">
      <c r="A1765" t="s">
        <v>6435</v>
      </c>
      <c r="B1765" s="1" t="str">
        <f>HYPERLINK("https://www.catalog.slsa.sa.gov.au/record=b2111407")</f>
        <v>https://www.catalog.slsa.sa.gov.au/record=b2111407</v>
      </c>
      <c r="C1765" s="1" t="str">
        <f>HYPERLINK("https://www.catalog.slsa.sa.gov.au/xrecord=b2111407")</f>
        <v>https://www.catalog.slsa.sa.gov.au/xrecord=b2111407</v>
      </c>
      <c r="D1765" t="s">
        <v>66</v>
      </c>
      <c r="E1765" t="s">
        <v>6432</v>
      </c>
      <c r="F1765">
        <v>1955</v>
      </c>
      <c r="G1765" t="s">
        <v>121</v>
      </c>
      <c r="H1765" t="s">
        <v>6433</v>
      </c>
      <c r="I1765" t="s">
        <v>6434</v>
      </c>
      <c r="J1765" t="s">
        <v>71</v>
      </c>
      <c r="K1765" s="2" t="str">
        <f>HYPERLINK("http://collections.slsa.sa.gov.au/arthur/02250/BRG347_2041.htm")</f>
        <v>http://collections.slsa.sa.gov.au/arthur/02250/BRG347_2041.htm</v>
      </c>
    </row>
    <row r="1766" spans="1:11" x14ac:dyDescent="0.25">
      <c r="A1766" t="s">
        <v>6436</v>
      </c>
      <c r="B1766" s="1" t="str">
        <f>HYPERLINK("https://www.catalog.slsa.sa.gov.au/record=b2111408")</f>
        <v>https://www.catalog.slsa.sa.gov.au/record=b2111408</v>
      </c>
      <c r="C1766" s="1" t="str">
        <f>HYPERLINK("https://www.catalog.slsa.sa.gov.au/xrecord=b2111408")</f>
        <v>https://www.catalog.slsa.sa.gov.au/xrecord=b2111408</v>
      </c>
      <c r="D1766" t="s">
        <v>66</v>
      </c>
      <c r="E1766" t="s">
        <v>6432</v>
      </c>
      <c r="F1766">
        <v>1955</v>
      </c>
      <c r="G1766" t="s">
        <v>121</v>
      </c>
      <c r="H1766" t="s">
        <v>6433</v>
      </c>
      <c r="I1766" t="s">
        <v>6434</v>
      </c>
      <c r="J1766" t="s">
        <v>71</v>
      </c>
      <c r="K1766" s="2" t="str">
        <f>HYPERLINK("http://collections.slsa.sa.gov.au/arthur/02250/BRG347_2042.htm")</f>
        <v>http://collections.slsa.sa.gov.au/arthur/02250/BRG347_2042.htm</v>
      </c>
    </row>
    <row r="1767" spans="1:11" x14ac:dyDescent="0.25">
      <c r="A1767" t="s">
        <v>6437</v>
      </c>
      <c r="B1767" s="1" t="str">
        <f>HYPERLINK("https://www.catalog.slsa.sa.gov.au/record=b2111409")</f>
        <v>https://www.catalog.slsa.sa.gov.au/record=b2111409</v>
      </c>
      <c r="C1767" s="1" t="str">
        <f>HYPERLINK("https://www.catalog.slsa.sa.gov.au/xrecord=b2111409")</f>
        <v>https://www.catalog.slsa.sa.gov.au/xrecord=b2111409</v>
      </c>
      <c r="D1767" t="s">
        <v>66</v>
      </c>
      <c r="E1767" t="s">
        <v>6438</v>
      </c>
      <c r="F1767">
        <v>1955</v>
      </c>
      <c r="G1767" t="s">
        <v>121</v>
      </c>
      <c r="H1767" t="s">
        <v>6439</v>
      </c>
      <c r="I1767" t="s">
        <v>5299</v>
      </c>
      <c r="J1767" t="s">
        <v>71</v>
      </c>
      <c r="K1767" s="2" t="str">
        <f>HYPERLINK("http://collections.slsa.sa.gov.au/arthur/02250/BRG347_2043.htm")</f>
        <v>http://collections.slsa.sa.gov.au/arthur/02250/BRG347_2043.htm</v>
      </c>
    </row>
    <row r="1768" spans="1:11" x14ac:dyDescent="0.25">
      <c r="A1768" t="s">
        <v>6440</v>
      </c>
      <c r="B1768" s="1" t="str">
        <f>HYPERLINK("https://www.catalog.slsa.sa.gov.au/record=b2111410")</f>
        <v>https://www.catalog.slsa.sa.gov.au/record=b2111410</v>
      </c>
      <c r="C1768" s="1" t="str">
        <f>HYPERLINK("https://www.catalog.slsa.sa.gov.au/xrecord=b2111410")</f>
        <v>https://www.catalog.slsa.sa.gov.au/xrecord=b2111410</v>
      </c>
      <c r="D1768" t="s">
        <v>66</v>
      </c>
      <c r="E1768" t="s">
        <v>6438</v>
      </c>
      <c r="F1768">
        <v>1955</v>
      </c>
      <c r="G1768" t="s">
        <v>121</v>
      </c>
      <c r="H1768" t="s">
        <v>6441</v>
      </c>
      <c r="I1768" t="s">
        <v>6442</v>
      </c>
      <c r="J1768" t="s">
        <v>71</v>
      </c>
      <c r="K1768" s="2" t="str">
        <f>HYPERLINK("http://collections.slsa.sa.gov.au/arthur/02250/BRG347_2044.htm")</f>
        <v>http://collections.slsa.sa.gov.au/arthur/02250/BRG347_2044.htm</v>
      </c>
    </row>
    <row r="1769" spans="1:11" x14ac:dyDescent="0.25">
      <c r="A1769" t="s">
        <v>6443</v>
      </c>
      <c r="B1769" s="1" t="str">
        <f>HYPERLINK("https://www.catalog.slsa.sa.gov.au/record=b2111411")</f>
        <v>https://www.catalog.slsa.sa.gov.au/record=b2111411</v>
      </c>
      <c r="C1769" s="1" t="str">
        <f>HYPERLINK("https://www.catalog.slsa.sa.gov.au/xrecord=b2111411")</f>
        <v>https://www.catalog.slsa.sa.gov.au/xrecord=b2111411</v>
      </c>
      <c r="D1769" t="s">
        <v>66</v>
      </c>
      <c r="E1769" t="s">
        <v>6444</v>
      </c>
      <c r="F1769">
        <v>1955</v>
      </c>
      <c r="G1769" t="s">
        <v>121</v>
      </c>
      <c r="H1769" t="s">
        <v>6445</v>
      </c>
      <c r="I1769" t="s">
        <v>6446</v>
      </c>
      <c r="J1769" t="s">
        <v>71</v>
      </c>
      <c r="K1769" s="2" t="str">
        <f>HYPERLINK("http://collections.slsa.sa.gov.au/arthur/02250/BRG347_2045.htm")</f>
        <v>http://collections.slsa.sa.gov.au/arthur/02250/BRG347_2045.htm</v>
      </c>
    </row>
    <row r="1770" spans="1:11" x14ac:dyDescent="0.25">
      <c r="A1770" t="s">
        <v>6447</v>
      </c>
      <c r="B1770" s="1" t="str">
        <f>HYPERLINK("https://www.catalog.slsa.sa.gov.au/record=b2111412")</f>
        <v>https://www.catalog.slsa.sa.gov.au/record=b2111412</v>
      </c>
      <c r="C1770" s="1" t="str">
        <f>HYPERLINK("https://www.catalog.slsa.sa.gov.au/xrecord=b2111412")</f>
        <v>https://www.catalog.slsa.sa.gov.au/xrecord=b2111412</v>
      </c>
      <c r="D1770" t="s">
        <v>66</v>
      </c>
      <c r="E1770" t="s">
        <v>6438</v>
      </c>
      <c r="F1770">
        <v>1955</v>
      </c>
      <c r="G1770" t="s">
        <v>121</v>
      </c>
      <c r="H1770" t="s">
        <v>6448</v>
      </c>
      <c r="I1770" t="s">
        <v>6442</v>
      </c>
      <c r="J1770" t="s">
        <v>71</v>
      </c>
      <c r="K1770" s="2" t="str">
        <f>HYPERLINK("http://collections.slsa.sa.gov.au/arthur/02250/BRG347_2046.htm")</f>
        <v>http://collections.slsa.sa.gov.au/arthur/02250/BRG347_2046.htm</v>
      </c>
    </row>
    <row r="1771" spans="1:11" x14ac:dyDescent="0.25">
      <c r="A1771" t="s">
        <v>6449</v>
      </c>
      <c r="B1771" s="1" t="str">
        <f>HYPERLINK("https://www.catalog.slsa.sa.gov.au/record=b2111413")</f>
        <v>https://www.catalog.slsa.sa.gov.au/record=b2111413</v>
      </c>
      <c r="C1771" s="1" t="str">
        <f>HYPERLINK("https://www.catalog.slsa.sa.gov.au/xrecord=b2111413")</f>
        <v>https://www.catalog.slsa.sa.gov.au/xrecord=b2111413</v>
      </c>
      <c r="D1771" t="s">
        <v>66</v>
      </c>
      <c r="E1771" t="s">
        <v>6438</v>
      </c>
      <c r="F1771">
        <v>1955</v>
      </c>
      <c r="G1771" t="s">
        <v>121</v>
      </c>
      <c r="H1771" t="s">
        <v>6450</v>
      </c>
      <c r="I1771" t="s">
        <v>6442</v>
      </c>
      <c r="J1771" t="s">
        <v>71</v>
      </c>
      <c r="K1771" s="2" t="str">
        <f>HYPERLINK("http://collections.slsa.sa.gov.au/arthur/02250/BRG347_2047.htm")</f>
        <v>http://collections.slsa.sa.gov.au/arthur/02250/BRG347_2047.htm</v>
      </c>
    </row>
    <row r="1772" spans="1:11" x14ac:dyDescent="0.25">
      <c r="A1772" t="s">
        <v>6451</v>
      </c>
      <c r="B1772" s="1" t="str">
        <f>HYPERLINK("https://www.catalog.slsa.sa.gov.au/record=b2111414")</f>
        <v>https://www.catalog.slsa.sa.gov.au/record=b2111414</v>
      </c>
      <c r="C1772" s="1" t="str">
        <f>HYPERLINK("https://www.catalog.slsa.sa.gov.au/xrecord=b2111414")</f>
        <v>https://www.catalog.slsa.sa.gov.au/xrecord=b2111414</v>
      </c>
      <c r="D1772" t="s">
        <v>66</v>
      </c>
      <c r="E1772" t="s">
        <v>6438</v>
      </c>
      <c r="F1772">
        <v>1955</v>
      </c>
      <c r="G1772" t="s">
        <v>121</v>
      </c>
      <c r="H1772" t="s">
        <v>6452</v>
      </c>
      <c r="I1772" t="s">
        <v>6453</v>
      </c>
      <c r="J1772" t="s">
        <v>71</v>
      </c>
      <c r="K1772" s="2" t="str">
        <f>HYPERLINK("http://collections.slsa.sa.gov.au/arthur/02250/BRG347_2048.htm")</f>
        <v>http://collections.slsa.sa.gov.au/arthur/02250/BRG347_2048.htm</v>
      </c>
    </row>
    <row r="1773" spans="1:11" x14ac:dyDescent="0.25">
      <c r="A1773" t="s">
        <v>6454</v>
      </c>
      <c r="B1773" s="1" t="str">
        <f>HYPERLINK("https://www.catalog.slsa.sa.gov.au/record=b2111420")</f>
        <v>https://www.catalog.slsa.sa.gov.au/record=b2111420</v>
      </c>
      <c r="C1773" s="1" t="str">
        <f>HYPERLINK("https://www.catalog.slsa.sa.gov.au/xrecord=b2111420")</f>
        <v>https://www.catalog.slsa.sa.gov.au/xrecord=b2111420</v>
      </c>
      <c r="D1773" t="s">
        <v>66</v>
      </c>
      <c r="E1773" t="s">
        <v>6455</v>
      </c>
      <c r="F1773">
        <v>1955</v>
      </c>
      <c r="G1773" t="s">
        <v>121</v>
      </c>
      <c r="H1773" t="s">
        <v>6456</v>
      </c>
      <c r="I1773" t="s">
        <v>6457</v>
      </c>
      <c r="J1773" t="s">
        <v>71</v>
      </c>
      <c r="K1773" s="2" t="str">
        <f>HYPERLINK("http://collections.slsa.sa.gov.au/arthur/02250/BRG347_2054.htm")</f>
        <v>http://collections.slsa.sa.gov.au/arthur/02250/BRG347_2054.htm</v>
      </c>
    </row>
    <row r="1774" spans="1:11" x14ac:dyDescent="0.25">
      <c r="A1774" t="s">
        <v>6458</v>
      </c>
      <c r="B1774" s="1" t="str">
        <f>HYPERLINK("https://www.catalog.slsa.sa.gov.au/record=b2112115")</f>
        <v>https://www.catalog.slsa.sa.gov.au/record=b2112115</v>
      </c>
      <c r="C1774" s="1" t="str">
        <f>HYPERLINK("https://www.catalog.slsa.sa.gov.au/xrecord=b2112115")</f>
        <v>https://www.catalog.slsa.sa.gov.au/xrecord=b2112115</v>
      </c>
      <c r="D1774" t="s">
        <v>66</v>
      </c>
      <c r="E1774" t="s">
        <v>6459</v>
      </c>
      <c r="F1774">
        <v>1955</v>
      </c>
      <c r="G1774" t="s">
        <v>121</v>
      </c>
      <c r="H1774" t="s">
        <v>6460</v>
      </c>
      <c r="I1774" t="s">
        <v>6461</v>
      </c>
      <c r="J1774" t="s">
        <v>71</v>
      </c>
      <c r="K1774" s="2" t="str">
        <f>HYPERLINK("http://collections.slsa.sa.gov.au/arthur/02750/BRG347_2545.htm")</f>
        <v>http://collections.slsa.sa.gov.au/arthur/02750/BRG347_2545.htm</v>
      </c>
    </row>
    <row r="1775" spans="1:11" x14ac:dyDescent="0.25">
      <c r="A1775" t="s">
        <v>6462</v>
      </c>
      <c r="B1775" s="1" t="str">
        <f>HYPERLINK("https://www.catalog.slsa.sa.gov.au/record=b2112116")</f>
        <v>https://www.catalog.slsa.sa.gov.au/record=b2112116</v>
      </c>
      <c r="C1775" s="1" t="str">
        <f>HYPERLINK("https://www.catalog.slsa.sa.gov.au/xrecord=b2112116")</f>
        <v>https://www.catalog.slsa.sa.gov.au/xrecord=b2112116</v>
      </c>
      <c r="D1775" t="s">
        <v>66</v>
      </c>
      <c r="E1775" t="s">
        <v>6463</v>
      </c>
      <c r="F1775">
        <v>1955</v>
      </c>
      <c r="G1775" t="s">
        <v>121</v>
      </c>
      <c r="H1775" t="s">
        <v>6464</v>
      </c>
      <c r="I1775" t="s">
        <v>6465</v>
      </c>
      <c r="J1775" t="s">
        <v>71</v>
      </c>
      <c r="K1775" s="2" t="str">
        <f>HYPERLINK("http://collections.slsa.sa.gov.au/arthur/02750/BRG347_2546.htm")</f>
        <v>http://collections.slsa.sa.gov.au/arthur/02750/BRG347_2546.htm</v>
      </c>
    </row>
    <row r="1776" spans="1:11" x14ac:dyDescent="0.25">
      <c r="A1776" t="s">
        <v>6466</v>
      </c>
      <c r="B1776" s="1" t="str">
        <f>HYPERLINK("https://www.catalog.slsa.sa.gov.au/record=b2112117")</f>
        <v>https://www.catalog.slsa.sa.gov.au/record=b2112117</v>
      </c>
      <c r="C1776" s="1" t="str">
        <f>HYPERLINK("https://www.catalog.slsa.sa.gov.au/xrecord=b2112117")</f>
        <v>https://www.catalog.slsa.sa.gov.au/xrecord=b2112117</v>
      </c>
      <c r="D1776" t="s">
        <v>66</v>
      </c>
      <c r="E1776" t="s">
        <v>6467</v>
      </c>
      <c r="F1776">
        <v>1955</v>
      </c>
      <c r="G1776" t="s">
        <v>121</v>
      </c>
      <c r="H1776" t="s">
        <v>6468</v>
      </c>
      <c r="I1776" t="s">
        <v>6469</v>
      </c>
      <c r="J1776" t="s">
        <v>71</v>
      </c>
      <c r="K1776" s="2" t="str">
        <f>HYPERLINK("http://collections.slsa.sa.gov.au/arthur/02750/BRG347_2547.htm")</f>
        <v>http://collections.slsa.sa.gov.au/arthur/02750/BRG347_2547.htm</v>
      </c>
    </row>
    <row r="1777" spans="1:11" x14ac:dyDescent="0.25">
      <c r="A1777" t="s">
        <v>6470</v>
      </c>
      <c r="B1777" s="1" t="str">
        <f>HYPERLINK("https://www.catalog.slsa.sa.gov.au/record=b2112118")</f>
        <v>https://www.catalog.slsa.sa.gov.au/record=b2112118</v>
      </c>
      <c r="C1777" s="1" t="str">
        <f>HYPERLINK("https://www.catalog.slsa.sa.gov.au/xrecord=b2112118")</f>
        <v>https://www.catalog.slsa.sa.gov.au/xrecord=b2112118</v>
      </c>
      <c r="D1777" t="s">
        <v>66</v>
      </c>
      <c r="E1777" t="s">
        <v>6467</v>
      </c>
      <c r="F1777">
        <v>1955</v>
      </c>
      <c r="G1777" t="s">
        <v>121</v>
      </c>
      <c r="H1777" t="s">
        <v>6468</v>
      </c>
      <c r="I1777" t="s">
        <v>6469</v>
      </c>
      <c r="J1777" t="s">
        <v>71</v>
      </c>
      <c r="K1777" s="2" t="str">
        <f>HYPERLINK("http://collections.slsa.sa.gov.au/arthur/02750/BRG347_2548.htm")</f>
        <v>http://collections.slsa.sa.gov.au/arthur/02750/BRG347_2548.htm</v>
      </c>
    </row>
    <row r="1778" spans="1:11" x14ac:dyDescent="0.25">
      <c r="A1778" t="s">
        <v>6471</v>
      </c>
      <c r="B1778" s="1" t="str">
        <f>HYPERLINK("https://www.catalog.slsa.sa.gov.au/record=b2112119")</f>
        <v>https://www.catalog.slsa.sa.gov.au/record=b2112119</v>
      </c>
      <c r="C1778" s="1" t="str">
        <f>HYPERLINK("https://www.catalog.slsa.sa.gov.au/xrecord=b2112119")</f>
        <v>https://www.catalog.slsa.sa.gov.au/xrecord=b2112119</v>
      </c>
      <c r="D1778" t="s">
        <v>66</v>
      </c>
      <c r="E1778" t="s">
        <v>6472</v>
      </c>
      <c r="F1778">
        <v>1955</v>
      </c>
      <c r="G1778" t="s">
        <v>121</v>
      </c>
      <c r="H1778" t="s">
        <v>6473</v>
      </c>
      <c r="I1778" t="s">
        <v>6469</v>
      </c>
      <c r="J1778" t="s">
        <v>71</v>
      </c>
      <c r="K1778" s="2" t="str">
        <f>HYPERLINK("http://collections.slsa.sa.gov.au/arthur/02750/BRG347_2549.htm")</f>
        <v>http://collections.slsa.sa.gov.au/arthur/02750/BRG347_2549.htm</v>
      </c>
    </row>
    <row r="1779" spans="1:11" x14ac:dyDescent="0.25">
      <c r="A1779" t="s">
        <v>6474</v>
      </c>
      <c r="B1779" s="1" t="str">
        <f>HYPERLINK("https://www.catalog.slsa.sa.gov.au/record=b2112120")</f>
        <v>https://www.catalog.slsa.sa.gov.au/record=b2112120</v>
      </c>
      <c r="C1779" s="1" t="str">
        <f>HYPERLINK("https://www.catalog.slsa.sa.gov.au/xrecord=b2112120")</f>
        <v>https://www.catalog.slsa.sa.gov.au/xrecord=b2112120</v>
      </c>
      <c r="D1779" t="s">
        <v>66</v>
      </c>
      <c r="E1779" t="s">
        <v>6467</v>
      </c>
      <c r="F1779">
        <v>1955</v>
      </c>
      <c r="G1779" t="s">
        <v>121</v>
      </c>
      <c r="H1779" t="s">
        <v>6475</v>
      </c>
      <c r="I1779" t="s">
        <v>6476</v>
      </c>
      <c r="J1779" t="s">
        <v>71</v>
      </c>
      <c r="K1779" s="2" t="str">
        <f>HYPERLINK("http://collections.slsa.sa.gov.au/arthur/02750/BRG347_2550.htm")</f>
        <v>http://collections.slsa.sa.gov.au/arthur/02750/BRG347_2550.htm</v>
      </c>
    </row>
    <row r="1780" spans="1:11" x14ac:dyDescent="0.25">
      <c r="A1780" t="s">
        <v>6477</v>
      </c>
      <c r="B1780" s="1" t="str">
        <f>HYPERLINK("https://www.catalog.slsa.sa.gov.au/record=b2112134")</f>
        <v>https://www.catalog.slsa.sa.gov.au/record=b2112134</v>
      </c>
      <c r="C1780" s="1" t="str">
        <f>HYPERLINK("https://www.catalog.slsa.sa.gov.au/xrecord=b2112134")</f>
        <v>https://www.catalog.slsa.sa.gov.au/xrecord=b2112134</v>
      </c>
      <c r="D1780" t="s">
        <v>66</v>
      </c>
      <c r="E1780" t="s">
        <v>6349</v>
      </c>
      <c r="F1780">
        <v>1955</v>
      </c>
      <c r="G1780" t="s">
        <v>121</v>
      </c>
      <c r="H1780" t="s">
        <v>6478</v>
      </c>
      <c r="I1780" t="s">
        <v>6351</v>
      </c>
      <c r="J1780" t="s">
        <v>71</v>
      </c>
      <c r="K1780" s="2" t="str">
        <f>HYPERLINK("http://collections.slsa.sa.gov.au/arthur/02750/BRG347_2564.htm")</f>
        <v>http://collections.slsa.sa.gov.au/arthur/02750/BRG347_2564.htm</v>
      </c>
    </row>
    <row r="1781" spans="1:11" x14ac:dyDescent="0.25">
      <c r="A1781" t="s">
        <v>6479</v>
      </c>
      <c r="B1781" s="1" t="str">
        <f>HYPERLINK("https://www.catalog.slsa.sa.gov.au/record=b2112204")</f>
        <v>https://www.catalog.slsa.sa.gov.au/record=b2112204</v>
      </c>
      <c r="C1781" s="1" t="str">
        <f>HYPERLINK("https://www.catalog.slsa.sa.gov.au/xrecord=b2112204")</f>
        <v>https://www.catalog.slsa.sa.gov.au/xrecord=b2112204</v>
      </c>
      <c r="D1781" t="s">
        <v>66</v>
      </c>
      <c r="E1781" t="s">
        <v>6408</v>
      </c>
      <c r="F1781">
        <v>1955</v>
      </c>
      <c r="G1781" t="s">
        <v>121</v>
      </c>
      <c r="H1781" t="s">
        <v>6480</v>
      </c>
      <c r="I1781" t="s">
        <v>6410</v>
      </c>
      <c r="J1781" t="s">
        <v>71</v>
      </c>
      <c r="K1781" s="2" t="str">
        <f>HYPERLINK("http://collections.slsa.sa.gov.au/arthur/02750/BRG347_2636.htm")</f>
        <v>http://collections.slsa.sa.gov.au/arthur/02750/BRG347_2636.htm</v>
      </c>
    </row>
    <row r="1782" spans="1:11" x14ac:dyDescent="0.25">
      <c r="A1782" t="s">
        <v>6481</v>
      </c>
      <c r="B1782" s="1" t="str">
        <f>HYPERLINK("https://www.catalog.slsa.sa.gov.au/record=b2112205")</f>
        <v>https://www.catalog.slsa.sa.gov.au/record=b2112205</v>
      </c>
      <c r="C1782" s="1" t="str">
        <f>HYPERLINK("https://www.catalog.slsa.sa.gov.au/xrecord=b2112205")</f>
        <v>https://www.catalog.slsa.sa.gov.au/xrecord=b2112205</v>
      </c>
      <c r="D1782" t="s">
        <v>66</v>
      </c>
      <c r="E1782" t="s">
        <v>6482</v>
      </c>
      <c r="F1782">
        <v>1955</v>
      </c>
      <c r="G1782" t="s">
        <v>121</v>
      </c>
      <c r="H1782" t="s">
        <v>6483</v>
      </c>
      <c r="I1782" t="s">
        <v>6484</v>
      </c>
      <c r="J1782" t="s">
        <v>71</v>
      </c>
      <c r="K1782" s="2" t="str">
        <f>HYPERLINK("http://collections.slsa.sa.gov.au/arthur/02750/BRG347_2637.htm")</f>
        <v>http://collections.slsa.sa.gov.au/arthur/02750/BRG347_2637.htm</v>
      </c>
    </row>
    <row r="1783" spans="1:11" x14ac:dyDescent="0.25">
      <c r="A1783" t="s">
        <v>6485</v>
      </c>
      <c r="B1783" s="1" t="str">
        <f>HYPERLINK("https://www.catalog.slsa.sa.gov.au/record=b2112206")</f>
        <v>https://www.catalog.slsa.sa.gov.au/record=b2112206</v>
      </c>
      <c r="C1783" s="1" t="str">
        <f>HYPERLINK("https://www.catalog.slsa.sa.gov.au/xrecord=b2112206")</f>
        <v>https://www.catalog.slsa.sa.gov.au/xrecord=b2112206</v>
      </c>
      <c r="D1783" t="s">
        <v>66</v>
      </c>
      <c r="E1783" t="s">
        <v>6482</v>
      </c>
      <c r="F1783">
        <v>1955</v>
      </c>
      <c r="G1783" t="s">
        <v>121</v>
      </c>
      <c r="H1783" t="s">
        <v>6486</v>
      </c>
      <c r="I1783" t="s">
        <v>6487</v>
      </c>
      <c r="J1783" t="s">
        <v>71</v>
      </c>
      <c r="K1783" s="2" t="str">
        <f>HYPERLINK("http://collections.slsa.sa.gov.au/arthur/02750/BRG347_2638.htm")</f>
        <v>http://collections.slsa.sa.gov.au/arthur/02750/BRG347_2638.htm</v>
      </c>
    </row>
    <row r="1784" spans="1:11" x14ac:dyDescent="0.25">
      <c r="A1784" t="s">
        <v>6488</v>
      </c>
      <c r="B1784" s="1" t="str">
        <f>HYPERLINK("https://www.catalog.slsa.sa.gov.au/record=b2112208")</f>
        <v>https://www.catalog.slsa.sa.gov.au/record=b2112208</v>
      </c>
      <c r="C1784" s="1" t="str">
        <f>HYPERLINK("https://www.catalog.slsa.sa.gov.au/xrecord=b2112208")</f>
        <v>https://www.catalog.slsa.sa.gov.au/xrecord=b2112208</v>
      </c>
      <c r="D1784" t="s">
        <v>66</v>
      </c>
      <c r="E1784" t="s">
        <v>6489</v>
      </c>
      <c r="F1784">
        <v>1955</v>
      </c>
      <c r="G1784" t="s">
        <v>121</v>
      </c>
      <c r="H1784" t="s">
        <v>6490</v>
      </c>
      <c r="I1784" t="s">
        <v>6410</v>
      </c>
      <c r="J1784" t="s">
        <v>71</v>
      </c>
      <c r="K1784" s="2" t="str">
        <f>HYPERLINK("http://collections.slsa.sa.gov.au/arthur/02750/BRG347_2640.htm")</f>
        <v>http://collections.slsa.sa.gov.au/arthur/02750/BRG347_2640.htm</v>
      </c>
    </row>
    <row r="1785" spans="1:11" x14ac:dyDescent="0.25">
      <c r="A1785" t="s">
        <v>6491</v>
      </c>
      <c r="B1785" s="1" t="str">
        <f>HYPERLINK("https://www.catalog.slsa.sa.gov.au/record=b2112250")</f>
        <v>https://www.catalog.slsa.sa.gov.au/record=b2112250</v>
      </c>
      <c r="C1785" s="1" t="str">
        <f>HYPERLINK("https://www.catalog.slsa.sa.gov.au/xrecord=b2112250")</f>
        <v>https://www.catalog.slsa.sa.gov.au/xrecord=b2112250</v>
      </c>
      <c r="D1785" t="s">
        <v>66</v>
      </c>
      <c r="E1785" t="s">
        <v>6492</v>
      </c>
      <c r="F1785">
        <v>1955</v>
      </c>
      <c r="G1785" t="s">
        <v>121</v>
      </c>
      <c r="H1785" t="s">
        <v>6493</v>
      </c>
      <c r="I1785" t="s">
        <v>6398</v>
      </c>
      <c r="J1785" t="s">
        <v>71</v>
      </c>
      <c r="K1785" s="2" t="str">
        <f>HYPERLINK("http://collections.slsa.sa.gov.au/arthur/02750/BRG347_2684.htm")</f>
        <v>http://collections.slsa.sa.gov.au/arthur/02750/BRG347_2684.htm</v>
      </c>
    </row>
    <row r="1786" spans="1:11" x14ac:dyDescent="0.25">
      <c r="A1786" t="s">
        <v>6494</v>
      </c>
      <c r="B1786" s="1" t="str">
        <f>HYPERLINK("https://www.catalog.slsa.sa.gov.au/record=b2112555")</f>
        <v>https://www.catalog.slsa.sa.gov.au/record=b2112555</v>
      </c>
      <c r="C1786" s="1" t="str">
        <f>HYPERLINK("https://www.catalog.slsa.sa.gov.au/xrecord=b2112555")</f>
        <v>https://www.catalog.slsa.sa.gov.au/xrecord=b2112555</v>
      </c>
      <c r="D1786" t="s">
        <v>66</v>
      </c>
      <c r="E1786" t="s">
        <v>6495</v>
      </c>
      <c r="F1786">
        <v>1955</v>
      </c>
      <c r="G1786" t="s">
        <v>121</v>
      </c>
      <c r="H1786" t="s">
        <v>6496</v>
      </c>
      <c r="I1786" t="s">
        <v>6497</v>
      </c>
      <c r="J1786" t="s">
        <v>71</v>
      </c>
      <c r="K1786" s="2" t="str">
        <f>HYPERLINK("http://collections.slsa.sa.gov.au/arthur/03000/BRG347_2825.htm")</f>
        <v>http://collections.slsa.sa.gov.au/arthur/03000/BRG347_2825.htm</v>
      </c>
    </row>
    <row r="1787" spans="1:11" x14ac:dyDescent="0.25">
      <c r="A1787" t="s">
        <v>6498</v>
      </c>
      <c r="B1787" s="1" t="str">
        <f>HYPERLINK("https://www.catalog.slsa.sa.gov.au/record=b2112556")</f>
        <v>https://www.catalog.slsa.sa.gov.au/record=b2112556</v>
      </c>
      <c r="C1787" s="1" t="str">
        <f>HYPERLINK("https://www.catalog.slsa.sa.gov.au/xrecord=b2112556")</f>
        <v>https://www.catalog.slsa.sa.gov.au/xrecord=b2112556</v>
      </c>
      <c r="D1787" t="s">
        <v>66</v>
      </c>
      <c r="E1787" t="s">
        <v>6499</v>
      </c>
      <c r="F1787">
        <v>1955</v>
      </c>
      <c r="G1787" t="s">
        <v>121</v>
      </c>
      <c r="H1787" t="s">
        <v>6500</v>
      </c>
      <c r="I1787" t="s">
        <v>6501</v>
      </c>
      <c r="J1787" t="s">
        <v>71</v>
      </c>
      <c r="K1787" s="2" t="str">
        <f>HYPERLINK("http://collections.slsa.sa.gov.au/arthur/03000/BRG347_2826.htm")</f>
        <v>http://collections.slsa.sa.gov.au/arthur/03000/BRG347_2826.htm</v>
      </c>
    </row>
    <row r="1788" spans="1:11" x14ac:dyDescent="0.25">
      <c r="A1788" t="s">
        <v>6502</v>
      </c>
      <c r="B1788" s="1" t="str">
        <f>HYPERLINK("https://www.catalog.slsa.sa.gov.au/record=b2112558")</f>
        <v>https://www.catalog.slsa.sa.gov.au/record=b2112558</v>
      </c>
      <c r="C1788" s="1" t="str">
        <f>HYPERLINK("https://www.catalog.slsa.sa.gov.au/xrecord=b2112558")</f>
        <v>https://www.catalog.slsa.sa.gov.au/xrecord=b2112558</v>
      </c>
      <c r="D1788" t="s">
        <v>66</v>
      </c>
      <c r="E1788" t="s">
        <v>6503</v>
      </c>
      <c r="F1788">
        <v>1955</v>
      </c>
      <c r="G1788" t="s">
        <v>121</v>
      </c>
      <c r="H1788" t="s">
        <v>6504</v>
      </c>
      <c r="I1788" t="s">
        <v>6505</v>
      </c>
      <c r="J1788" t="s">
        <v>71</v>
      </c>
      <c r="K1788" s="2" t="str">
        <f>HYPERLINK("http://collections.slsa.sa.gov.au/arthur/03000/BRG347_2828.htm")</f>
        <v>http://collections.slsa.sa.gov.au/arthur/03000/BRG347_2828.htm</v>
      </c>
    </row>
    <row r="1789" spans="1:11" x14ac:dyDescent="0.25">
      <c r="A1789" t="s">
        <v>6506</v>
      </c>
      <c r="B1789" s="1" t="str">
        <f>HYPERLINK("https://www.catalog.slsa.sa.gov.au/record=b2112559")</f>
        <v>https://www.catalog.slsa.sa.gov.au/record=b2112559</v>
      </c>
      <c r="C1789" s="1" t="str">
        <f>HYPERLINK("https://www.catalog.slsa.sa.gov.au/xrecord=b2112559")</f>
        <v>https://www.catalog.slsa.sa.gov.au/xrecord=b2112559</v>
      </c>
      <c r="D1789" t="s">
        <v>66</v>
      </c>
      <c r="E1789" t="s">
        <v>6499</v>
      </c>
      <c r="F1789">
        <v>1955</v>
      </c>
      <c r="G1789" t="s">
        <v>121</v>
      </c>
      <c r="H1789" t="s">
        <v>6507</v>
      </c>
      <c r="I1789" t="s">
        <v>6508</v>
      </c>
      <c r="J1789" t="s">
        <v>71</v>
      </c>
      <c r="K1789" s="2" t="str">
        <f>HYPERLINK("http://collections.slsa.sa.gov.au/arthur/03000/BRG347_2829.htm")</f>
        <v>http://collections.slsa.sa.gov.au/arthur/03000/BRG347_2829.htm</v>
      </c>
    </row>
    <row r="1790" spans="1:11" x14ac:dyDescent="0.25">
      <c r="A1790" t="s">
        <v>6509</v>
      </c>
      <c r="B1790" s="1" t="str">
        <f>HYPERLINK("https://www.catalog.slsa.sa.gov.au/record=b2112560")</f>
        <v>https://www.catalog.slsa.sa.gov.au/record=b2112560</v>
      </c>
      <c r="C1790" s="1" t="str">
        <f>HYPERLINK("https://www.catalog.slsa.sa.gov.au/xrecord=b2112560")</f>
        <v>https://www.catalog.slsa.sa.gov.au/xrecord=b2112560</v>
      </c>
      <c r="D1790" t="s">
        <v>66</v>
      </c>
      <c r="E1790" t="s">
        <v>6510</v>
      </c>
      <c r="F1790">
        <v>1955</v>
      </c>
      <c r="G1790" t="s">
        <v>121</v>
      </c>
      <c r="H1790" t="s">
        <v>6511</v>
      </c>
      <c r="I1790" t="s">
        <v>6512</v>
      </c>
      <c r="J1790" t="s">
        <v>71</v>
      </c>
      <c r="K1790" s="2" t="str">
        <f>HYPERLINK("http://collections.slsa.sa.gov.au/arthur/03000/BRG347_2830.htm")</f>
        <v>http://collections.slsa.sa.gov.au/arthur/03000/BRG347_2830.htm</v>
      </c>
    </row>
    <row r="1791" spans="1:11" x14ac:dyDescent="0.25">
      <c r="A1791" t="s">
        <v>6513</v>
      </c>
      <c r="B1791" s="1" t="str">
        <f>HYPERLINK("https://www.catalog.slsa.sa.gov.au/record=b2112563")</f>
        <v>https://www.catalog.slsa.sa.gov.au/record=b2112563</v>
      </c>
      <c r="C1791" s="1" t="str">
        <f>HYPERLINK("https://www.catalog.slsa.sa.gov.au/xrecord=b2112563")</f>
        <v>https://www.catalog.slsa.sa.gov.au/xrecord=b2112563</v>
      </c>
      <c r="D1791" t="s">
        <v>66</v>
      </c>
      <c r="E1791" t="s">
        <v>6514</v>
      </c>
      <c r="F1791">
        <v>1955</v>
      </c>
      <c r="G1791" t="s">
        <v>121</v>
      </c>
      <c r="H1791" t="s">
        <v>6515</v>
      </c>
      <c r="I1791" t="s">
        <v>6516</v>
      </c>
      <c r="J1791" t="s">
        <v>71</v>
      </c>
      <c r="K1791" s="2" t="str">
        <f>HYPERLINK("http://collections.slsa.sa.gov.au/arthur/03000/BRG347_2833.htm")</f>
        <v>http://collections.slsa.sa.gov.au/arthur/03000/BRG347_2833.htm</v>
      </c>
    </row>
    <row r="1792" spans="1:11" x14ac:dyDescent="0.25">
      <c r="A1792" t="s">
        <v>6517</v>
      </c>
      <c r="B1792" s="1" t="str">
        <f>HYPERLINK("https://www.catalog.slsa.sa.gov.au/record=b2112568")</f>
        <v>https://www.catalog.slsa.sa.gov.au/record=b2112568</v>
      </c>
      <c r="C1792" s="1" t="str">
        <f>HYPERLINK("https://www.catalog.slsa.sa.gov.au/xrecord=b2112568")</f>
        <v>https://www.catalog.slsa.sa.gov.au/xrecord=b2112568</v>
      </c>
      <c r="D1792" t="s">
        <v>66</v>
      </c>
      <c r="E1792" t="s">
        <v>6518</v>
      </c>
      <c r="F1792">
        <v>1955</v>
      </c>
      <c r="G1792" t="s">
        <v>121</v>
      </c>
      <c r="H1792" t="s">
        <v>6519</v>
      </c>
      <c r="I1792" t="s">
        <v>6520</v>
      </c>
      <c r="J1792" t="s">
        <v>71</v>
      </c>
      <c r="K1792" s="2" t="str">
        <f>HYPERLINK("http://collections.slsa.sa.gov.au/arthur/03000/BRG347_2835.htm")</f>
        <v>http://collections.slsa.sa.gov.au/arthur/03000/BRG347_2835.htm</v>
      </c>
    </row>
    <row r="1793" spans="1:11" x14ac:dyDescent="0.25">
      <c r="A1793" t="s">
        <v>6521</v>
      </c>
      <c r="B1793" s="1" t="str">
        <f>HYPERLINK("https://www.catalog.slsa.sa.gov.au/record=b2112565")</f>
        <v>https://www.catalog.slsa.sa.gov.au/record=b2112565</v>
      </c>
      <c r="C1793" s="1" t="str">
        <f>HYPERLINK("https://www.catalog.slsa.sa.gov.au/xrecord=b2112565")</f>
        <v>https://www.catalog.slsa.sa.gov.au/xrecord=b2112565</v>
      </c>
      <c r="D1793" t="s">
        <v>66</v>
      </c>
      <c r="E1793" t="s">
        <v>6518</v>
      </c>
      <c r="F1793">
        <v>1955</v>
      </c>
      <c r="G1793" t="s">
        <v>121</v>
      </c>
      <c r="H1793" t="s">
        <v>6519</v>
      </c>
      <c r="I1793" t="s">
        <v>6520</v>
      </c>
      <c r="J1793" t="s">
        <v>71</v>
      </c>
      <c r="K1793" s="2" t="str">
        <f>HYPERLINK("http://collections.slsa.sa.gov.au/arthur/03000/BRG347_2836.htm")</f>
        <v>http://collections.slsa.sa.gov.au/arthur/03000/BRG347_2836.htm</v>
      </c>
    </row>
    <row r="1794" spans="1:11" x14ac:dyDescent="0.25">
      <c r="A1794" t="s">
        <v>6522</v>
      </c>
      <c r="B1794" s="1" t="str">
        <f>HYPERLINK("https://www.catalog.slsa.sa.gov.au/record=b2112566")</f>
        <v>https://www.catalog.slsa.sa.gov.au/record=b2112566</v>
      </c>
      <c r="C1794" s="1" t="str">
        <f>HYPERLINK("https://www.catalog.slsa.sa.gov.au/xrecord=b2112566")</f>
        <v>https://www.catalog.slsa.sa.gov.au/xrecord=b2112566</v>
      </c>
      <c r="D1794" t="s">
        <v>66</v>
      </c>
      <c r="E1794" t="s">
        <v>6523</v>
      </c>
      <c r="F1794">
        <v>1955</v>
      </c>
      <c r="G1794" t="s">
        <v>121</v>
      </c>
      <c r="H1794" t="s">
        <v>6524</v>
      </c>
      <c r="I1794" t="s">
        <v>6525</v>
      </c>
      <c r="J1794" t="s">
        <v>71</v>
      </c>
      <c r="K1794" s="2" t="str">
        <f>HYPERLINK("http://collections.slsa.sa.gov.au/arthur/03000/BRG347_2837.htm")</f>
        <v>http://collections.slsa.sa.gov.au/arthur/03000/BRG347_2837.htm</v>
      </c>
    </row>
    <row r="1795" spans="1:11" x14ac:dyDescent="0.25">
      <c r="A1795" t="s">
        <v>6526</v>
      </c>
      <c r="B1795" s="1" t="str">
        <f>HYPERLINK("https://www.catalog.slsa.sa.gov.au/record=b2112567")</f>
        <v>https://www.catalog.slsa.sa.gov.au/record=b2112567</v>
      </c>
      <c r="C1795" s="1" t="str">
        <f>HYPERLINK("https://www.catalog.slsa.sa.gov.au/xrecord=b2112567")</f>
        <v>https://www.catalog.slsa.sa.gov.au/xrecord=b2112567</v>
      </c>
      <c r="D1795" t="s">
        <v>66</v>
      </c>
      <c r="E1795" t="s">
        <v>6527</v>
      </c>
      <c r="F1795">
        <v>1955</v>
      </c>
      <c r="G1795" t="s">
        <v>121</v>
      </c>
      <c r="H1795" t="s">
        <v>6528</v>
      </c>
      <c r="I1795" t="s">
        <v>6529</v>
      </c>
      <c r="J1795" t="s">
        <v>71</v>
      </c>
      <c r="K1795" s="2" t="str">
        <f>HYPERLINK("http://collections.slsa.sa.gov.au/arthur/03000/BRG347_2838.htm")</f>
        <v>http://collections.slsa.sa.gov.au/arthur/03000/BRG347_2838.htm</v>
      </c>
    </row>
    <row r="1796" spans="1:11" x14ac:dyDescent="0.25">
      <c r="A1796" t="s">
        <v>6530</v>
      </c>
      <c r="B1796" s="1" t="str">
        <f>HYPERLINK("https://www.catalog.slsa.sa.gov.au/record=b2112569")</f>
        <v>https://www.catalog.slsa.sa.gov.au/record=b2112569</v>
      </c>
      <c r="C1796" s="1" t="str">
        <f>HYPERLINK("https://www.catalog.slsa.sa.gov.au/xrecord=b2112569")</f>
        <v>https://www.catalog.slsa.sa.gov.au/xrecord=b2112569</v>
      </c>
      <c r="D1796" t="s">
        <v>66</v>
      </c>
      <c r="E1796" t="s">
        <v>6499</v>
      </c>
      <c r="F1796">
        <v>1955</v>
      </c>
      <c r="G1796" t="s">
        <v>121</v>
      </c>
      <c r="H1796" t="s">
        <v>6531</v>
      </c>
      <c r="I1796" t="s">
        <v>6501</v>
      </c>
      <c r="J1796" t="s">
        <v>71</v>
      </c>
      <c r="K1796" s="2" t="str">
        <f>HYPERLINK("http://collections.slsa.sa.gov.au/arthur/03000/BRG347_2839.htm")</f>
        <v>http://collections.slsa.sa.gov.au/arthur/03000/BRG347_2839.htm</v>
      </c>
    </row>
    <row r="1797" spans="1:11" x14ac:dyDescent="0.25">
      <c r="A1797" t="s">
        <v>6532</v>
      </c>
      <c r="B1797" s="1" t="str">
        <f>HYPERLINK("https://www.catalog.slsa.sa.gov.au/record=b2112570")</f>
        <v>https://www.catalog.slsa.sa.gov.au/record=b2112570</v>
      </c>
      <c r="C1797" s="1" t="str">
        <f>HYPERLINK("https://www.catalog.slsa.sa.gov.au/xrecord=b2112570")</f>
        <v>https://www.catalog.slsa.sa.gov.au/xrecord=b2112570</v>
      </c>
      <c r="D1797" t="s">
        <v>66</v>
      </c>
      <c r="E1797" t="s">
        <v>6533</v>
      </c>
      <c r="F1797">
        <v>1955</v>
      </c>
      <c r="G1797" t="s">
        <v>121</v>
      </c>
      <c r="H1797" t="s">
        <v>6534</v>
      </c>
      <c r="I1797" t="s">
        <v>6535</v>
      </c>
      <c r="J1797" t="s">
        <v>71</v>
      </c>
      <c r="K1797" s="2" t="str">
        <f>HYPERLINK("http://collections.slsa.sa.gov.au/arthur/03000/BRG347_2840.htm")</f>
        <v>http://collections.slsa.sa.gov.au/arthur/03000/BRG347_2840.htm</v>
      </c>
    </row>
    <row r="1798" spans="1:11" x14ac:dyDescent="0.25">
      <c r="A1798" t="s">
        <v>6536</v>
      </c>
      <c r="B1798" s="1" t="str">
        <f>HYPERLINK("https://www.catalog.slsa.sa.gov.au/record=b2112571")</f>
        <v>https://www.catalog.slsa.sa.gov.au/record=b2112571</v>
      </c>
      <c r="C1798" s="1" t="str">
        <f>HYPERLINK("https://www.catalog.slsa.sa.gov.au/xrecord=b2112571")</f>
        <v>https://www.catalog.slsa.sa.gov.au/xrecord=b2112571</v>
      </c>
      <c r="D1798" t="s">
        <v>66</v>
      </c>
      <c r="E1798" t="s">
        <v>6537</v>
      </c>
      <c r="F1798">
        <v>1955</v>
      </c>
      <c r="G1798" t="s">
        <v>121</v>
      </c>
      <c r="H1798" t="s">
        <v>6538</v>
      </c>
      <c r="I1798" t="s">
        <v>6539</v>
      </c>
      <c r="J1798" t="s">
        <v>71</v>
      </c>
      <c r="K1798" s="2" t="str">
        <f>HYPERLINK("http://collections.slsa.sa.gov.au/arthur/03000/BRG347_2841.htm")</f>
        <v>http://collections.slsa.sa.gov.au/arthur/03000/BRG347_2841.htm</v>
      </c>
    </row>
    <row r="1799" spans="1:11" x14ac:dyDescent="0.25">
      <c r="A1799" t="s">
        <v>6540</v>
      </c>
      <c r="B1799" s="1" t="str">
        <f>HYPERLINK("https://www.catalog.slsa.sa.gov.au/record=b2112572")</f>
        <v>https://www.catalog.slsa.sa.gov.au/record=b2112572</v>
      </c>
      <c r="C1799" s="1" t="str">
        <f>HYPERLINK("https://www.catalog.slsa.sa.gov.au/xrecord=b2112572")</f>
        <v>https://www.catalog.slsa.sa.gov.au/xrecord=b2112572</v>
      </c>
      <c r="D1799" t="s">
        <v>66</v>
      </c>
      <c r="E1799" t="s">
        <v>6541</v>
      </c>
      <c r="F1799">
        <v>1955</v>
      </c>
      <c r="G1799" t="s">
        <v>121</v>
      </c>
      <c r="H1799" t="s">
        <v>6542</v>
      </c>
      <c r="I1799" t="s">
        <v>6525</v>
      </c>
      <c r="J1799" t="s">
        <v>71</v>
      </c>
      <c r="K1799" s="2" t="str">
        <f>HYPERLINK("http://collections.slsa.sa.gov.au/arthur/03000/BRG347_2842.htm")</f>
        <v>http://collections.slsa.sa.gov.au/arthur/03000/BRG347_2842.htm</v>
      </c>
    </row>
    <row r="1800" spans="1:11" x14ac:dyDescent="0.25">
      <c r="A1800" t="s">
        <v>6543</v>
      </c>
      <c r="B1800" s="1" t="str">
        <f>HYPERLINK("https://www.catalog.slsa.sa.gov.au/record=b2112573")</f>
        <v>https://www.catalog.slsa.sa.gov.au/record=b2112573</v>
      </c>
      <c r="C1800" s="1" t="str">
        <f>HYPERLINK("https://www.catalog.slsa.sa.gov.au/xrecord=b2112573")</f>
        <v>https://www.catalog.slsa.sa.gov.au/xrecord=b2112573</v>
      </c>
      <c r="D1800" t="s">
        <v>66</v>
      </c>
      <c r="E1800" t="s">
        <v>6499</v>
      </c>
      <c r="F1800">
        <v>1955</v>
      </c>
      <c r="G1800" t="s">
        <v>121</v>
      </c>
      <c r="H1800" t="s">
        <v>6544</v>
      </c>
      <c r="I1800" t="s">
        <v>6501</v>
      </c>
      <c r="J1800" t="s">
        <v>71</v>
      </c>
      <c r="K1800" s="2" t="str">
        <f>HYPERLINK("http://collections.slsa.sa.gov.au/arthur/03000/BRG347_2843.htm")</f>
        <v>http://collections.slsa.sa.gov.au/arthur/03000/BRG347_2843.htm</v>
      </c>
    </row>
    <row r="1801" spans="1:11" x14ac:dyDescent="0.25">
      <c r="A1801" t="s">
        <v>6545</v>
      </c>
      <c r="B1801" s="1" t="str">
        <f>HYPERLINK("https://www.catalog.slsa.sa.gov.au/record=b2112574")</f>
        <v>https://www.catalog.slsa.sa.gov.au/record=b2112574</v>
      </c>
      <c r="C1801" s="1" t="str">
        <f>HYPERLINK("https://www.catalog.slsa.sa.gov.au/xrecord=b2112574")</f>
        <v>https://www.catalog.slsa.sa.gov.au/xrecord=b2112574</v>
      </c>
      <c r="D1801" t="s">
        <v>66</v>
      </c>
      <c r="E1801" t="s">
        <v>6546</v>
      </c>
      <c r="F1801">
        <v>1955</v>
      </c>
      <c r="G1801" t="s">
        <v>121</v>
      </c>
      <c r="H1801" t="s">
        <v>6547</v>
      </c>
      <c r="I1801" t="s">
        <v>6548</v>
      </c>
      <c r="J1801" t="s">
        <v>71</v>
      </c>
      <c r="K1801" s="2" t="str">
        <f>HYPERLINK("http://collections.slsa.sa.gov.au/arthur/03000/BRG347_2844.htm")</f>
        <v>http://collections.slsa.sa.gov.au/arthur/03000/BRG347_2844.htm</v>
      </c>
    </row>
    <row r="1802" spans="1:11" x14ac:dyDescent="0.25">
      <c r="A1802" t="s">
        <v>6549</v>
      </c>
      <c r="B1802" s="1" t="str">
        <f>HYPERLINK("https://www.catalog.slsa.sa.gov.au/record=b2112575")</f>
        <v>https://www.catalog.slsa.sa.gov.au/record=b2112575</v>
      </c>
      <c r="C1802" s="1" t="str">
        <f>HYPERLINK("https://www.catalog.slsa.sa.gov.au/xrecord=b2112575")</f>
        <v>https://www.catalog.slsa.sa.gov.au/xrecord=b2112575</v>
      </c>
      <c r="D1802" t="s">
        <v>66</v>
      </c>
      <c r="E1802" t="s">
        <v>6499</v>
      </c>
      <c r="F1802">
        <v>1955</v>
      </c>
      <c r="G1802" t="s">
        <v>121</v>
      </c>
      <c r="H1802" t="s">
        <v>6550</v>
      </c>
      <c r="I1802" t="s">
        <v>6551</v>
      </c>
      <c r="J1802" t="s">
        <v>71</v>
      </c>
      <c r="K1802" s="2" t="str">
        <f>HYPERLINK("http://collections.slsa.sa.gov.au/arthur/03000/BRG347_2845.htm")</f>
        <v>http://collections.slsa.sa.gov.au/arthur/03000/BRG347_2845.htm</v>
      </c>
    </row>
    <row r="1803" spans="1:11" x14ac:dyDescent="0.25">
      <c r="A1803" t="s">
        <v>6552</v>
      </c>
      <c r="B1803" s="1" t="str">
        <f>HYPERLINK("https://www.catalog.slsa.sa.gov.au/record=b2112576")</f>
        <v>https://www.catalog.slsa.sa.gov.au/record=b2112576</v>
      </c>
      <c r="C1803" s="1" t="str">
        <f>HYPERLINK("https://www.catalog.slsa.sa.gov.au/xrecord=b2112576")</f>
        <v>https://www.catalog.slsa.sa.gov.au/xrecord=b2112576</v>
      </c>
      <c r="D1803" t="s">
        <v>66</v>
      </c>
      <c r="E1803" t="s">
        <v>6553</v>
      </c>
      <c r="F1803">
        <v>1955</v>
      </c>
      <c r="G1803" t="s">
        <v>121</v>
      </c>
      <c r="H1803" t="s">
        <v>6554</v>
      </c>
      <c r="I1803" t="s">
        <v>6525</v>
      </c>
      <c r="J1803" t="s">
        <v>71</v>
      </c>
      <c r="K1803" s="2" t="str">
        <f>HYPERLINK("http://collections.slsa.sa.gov.au/arthur/03000/BRG347_2846.htm")</f>
        <v>http://collections.slsa.sa.gov.au/arthur/03000/BRG347_2846.htm</v>
      </c>
    </row>
    <row r="1804" spans="1:11" x14ac:dyDescent="0.25">
      <c r="A1804" t="s">
        <v>6555</v>
      </c>
      <c r="B1804" s="1" t="str">
        <f>HYPERLINK("https://www.catalog.slsa.sa.gov.au/record=b2112577")</f>
        <v>https://www.catalog.slsa.sa.gov.au/record=b2112577</v>
      </c>
      <c r="C1804" s="1" t="str">
        <f>HYPERLINK("https://www.catalog.slsa.sa.gov.au/xrecord=b2112577")</f>
        <v>https://www.catalog.slsa.sa.gov.au/xrecord=b2112577</v>
      </c>
      <c r="D1804" t="s">
        <v>66</v>
      </c>
      <c r="E1804" t="s">
        <v>6556</v>
      </c>
      <c r="F1804">
        <v>1955</v>
      </c>
      <c r="G1804" t="s">
        <v>121</v>
      </c>
      <c r="H1804" t="s">
        <v>6557</v>
      </c>
      <c r="I1804" t="s">
        <v>6558</v>
      </c>
      <c r="J1804" t="s">
        <v>71</v>
      </c>
      <c r="K1804" s="2" t="str">
        <f>HYPERLINK("http://collections.slsa.sa.gov.au/arthur/03000/BRG347_2847.htm")</f>
        <v>http://collections.slsa.sa.gov.au/arthur/03000/BRG347_2847.htm</v>
      </c>
    </row>
    <row r="1805" spans="1:11" x14ac:dyDescent="0.25">
      <c r="A1805" t="s">
        <v>6559</v>
      </c>
      <c r="B1805" s="1" t="str">
        <f>HYPERLINK("https://www.catalog.slsa.sa.gov.au/record=b2112578")</f>
        <v>https://www.catalog.slsa.sa.gov.au/record=b2112578</v>
      </c>
      <c r="C1805" s="1" t="str">
        <f>HYPERLINK("https://www.catalog.slsa.sa.gov.au/xrecord=b2112578")</f>
        <v>https://www.catalog.slsa.sa.gov.au/xrecord=b2112578</v>
      </c>
      <c r="D1805" t="s">
        <v>66</v>
      </c>
      <c r="E1805" t="s">
        <v>6560</v>
      </c>
      <c r="F1805">
        <v>1955</v>
      </c>
      <c r="G1805" t="s">
        <v>121</v>
      </c>
      <c r="H1805" t="s">
        <v>6561</v>
      </c>
      <c r="I1805" t="s">
        <v>6516</v>
      </c>
      <c r="J1805" t="s">
        <v>71</v>
      </c>
      <c r="K1805" s="2" t="str">
        <f>HYPERLINK("http://collections.slsa.sa.gov.au/arthur/03000/BRG347_2848.htm")</f>
        <v>http://collections.slsa.sa.gov.au/arthur/03000/BRG347_2848.htm</v>
      </c>
    </row>
    <row r="1806" spans="1:11" x14ac:dyDescent="0.25">
      <c r="A1806" t="s">
        <v>6562</v>
      </c>
      <c r="B1806" s="1" t="str">
        <f>HYPERLINK("https://www.catalog.slsa.sa.gov.au/record=b2112579")</f>
        <v>https://www.catalog.slsa.sa.gov.au/record=b2112579</v>
      </c>
      <c r="C1806" s="1" t="str">
        <f>HYPERLINK("https://www.catalog.slsa.sa.gov.au/xrecord=b2112579")</f>
        <v>https://www.catalog.slsa.sa.gov.au/xrecord=b2112579</v>
      </c>
      <c r="D1806" t="s">
        <v>66</v>
      </c>
      <c r="E1806" t="s">
        <v>6514</v>
      </c>
      <c r="F1806">
        <v>1955</v>
      </c>
      <c r="G1806" t="s">
        <v>121</v>
      </c>
      <c r="H1806" t="s">
        <v>6563</v>
      </c>
      <c r="I1806" t="s">
        <v>6564</v>
      </c>
      <c r="J1806" t="s">
        <v>71</v>
      </c>
      <c r="K1806" s="2" t="str">
        <f>HYPERLINK("http://collections.slsa.sa.gov.au/arthur/03000/BRG347_2849.htm")</f>
        <v>http://collections.slsa.sa.gov.au/arthur/03000/BRG347_2849.htm</v>
      </c>
    </row>
    <row r="1807" spans="1:11" x14ac:dyDescent="0.25">
      <c r="A1807" t="s">
        <v>6565</v>
      </c>
      <c r="B1807" s="1" t="str">
        <f>HYPERLINK("https://www.catalog.slsa.sa.gov.au/record=b2112585")</f>
        <v>https://www.catalog.slsa.sa.gov.au/record=b2112585</v>
      </c>
      <c r="C1807" s="1" t="str">
        <f>HYPERLINK("https://www.catalog.slsa.sa.gov.au/xrecord=b2112585")</f>
        <v>https://www.catalog.slsa.sa.gov.au/xrecord=b2112585</v>
      </c>
      <c r="D1807" t="s">
        <v>66</v>
      </c>
      <c r="E1807" t="s">
        <v>6514</v>
      </c>
      <c r="F1807">
        <v>1955</v>
      </c>
      <c r="G1807" t="s">
        <v>121</v>
      </c>
      <c r="H1807" t="s">
        <v>6566</v>
      </c>
      <c r="I1807" t="s">
        <v>6516</v>
      </c>
      <c r="J1807" t="s">
        <v>71</v>
      </c>
      <c r="K1807" s="2" t="str">
        <f>HYPERLINK("http://collections.slsa.sa.gov.au/arthur/03000/BRG347_2855.htm")</f>
        <v>http://collections.slsa.sa.gov.au/arthur/03000/BRG347_2855.htm</v>
      </c>
    </row>
    <row r="1808" spans="1:11" x14ac:dyDescent="0.25">
      <c r="A1808" t="s">
        <v>6567</v>
      </c>
      <c r="B1808" s="1" t="str">
        <f>HYPERLINK("https://www.catalog.slsa.sa.gov.au/record=b2112587")</f>
        <v>https://www.catalog.slsa.sa.gov.au/record=b2112587</v>
      </c>
      <c r="C1808" s="1" t="str">
        <f>HYPERLINK("https://www.catalog.slsa.sa.gov.au/xrecord=b2112587")</f>
        <v>https://www.catalog.slsa.sa.gov.au/xrecord=b2112587</v>
      </c>
      <c r="D1808" t="s">
        <v>66</v>
      </c>
      <c r="E1808" t="s">
        <v>6556</v>
      </c>
      <c r="F1808">
        <v>1955</v>
      </c>
      <c r="G1808" t="s">
        <v>121</v>
      </c>
      <c r="H1808" t="s">
        <v>6568</v>
      </c>
      <c r="I1808" t="s">
        <v>6558</v>
      </c>
      <c r="J1808" t="s">
        <v>71</v>
      </c>
      <c r="K1808" s="2" t="str">
        <f>HYPERLINK("http://collections.slsa.sa.gov.au/arthur/03000/BRG347_2857.htm")</f>
        <v>http://collections.slsa.sa.gov.au/arthur/03000/BRG347_2857.htm</v>
      </c>
    </row>
    <row r="1809" spans="1:11" x14ac:dyDescent="0.25">
      <c r="A1809" t="s">
        <v>6569</v>
      </c>
      <c r="B1809" s="1" t="str">
        <f>HYPERLINK("https://www.catalog.slsa.sa.gov.au/record=b2112588")</f>
        <v>https://www.catalog.slsa.sa.gov.au/record=b2112588</v>
      </c>
      <c r="C1809" s="1" t="str">
        <f>HYPERLINK("https://www.catalog.slsa.sa.gov.au/xrecord=b2112588")</f>
        <v>https://www.catalog.slsa.sa.gov.au/xrecord=b2112588</v>
      </c>
      <c r="D1809" t="s">
        <v>66</v>
      </c>
      <c r="E1809" t="s">
        <v>6570</v>
      </c>
      <c r="F1809">
        <v>1955</v>
      </c>
      <c r="G1809" t="s">
        <v>121</v>
      </c>
      <c r="H1809" t="s">
        <v>6571</v>
      </c>
      <c r="I1809" t="s">
        <v>6572</v>
      </c>
      <c r="J1809" t="s">
        <v>71</v>
      </c>
      <c r="K1809" s="2" t="str">
        <f>HYPERLINK("http://collections.slsa.sa.gov.au/arthur/03000/BRG347_2858.htm")</f>
        <v>http://collections.slsa.sa.gov.au/arthur/03000/BRG347_2858.htm</v>
      </c>
    </row>
    <row r="1810" spans="1:11" x14ac:dyDescent="0.25">
      <c r="A1810" t="s">
        <v>6573</v>
      </c>
      <c r="B1810" s="1" t="str">
        <f>HYPERLINK("https://www.catalog.slsa.sa.gov.au/record=b2112597")</f>
        <v>https://www.catalog.slsa.sa.gov.au/record=b2112597</v>
      </c>
      <c r="C1810" s="1" t="str">
        <f>HYPERLINK("https://www.catalog.slsa.sa.gov.au/xrecord=b2112597")</f>
        <v>https://www.catalog.slsa.sa.gov.au/xrecord=b2112597</v>
      </c>
      <c r="D1810" t="s">
        <v>66</v>
      </c>
      <c r="E1810" t="s">
        <v>6570</v>
      </c>
      <c r="F1810">
        <v>1955</v>
      </c>
      <c r="G1810" t="s">
        <v>121</v>
      </c>
      <c r="H1810" t="s">
        <v>6574</v>
      </c>
      <c r="I1810" t="s">
        <v>6575</v>
      </c>
      <c r="J1810" t="s">
        <v>71</v>
      </c>
      <c r="K1810" s="2" t="str">
        <f>HYPERLINK("http://collections.slsa.sa.gov.au/arthur/03000/BRG347_2867.htm")</f>
        <v>http://collections.slsa.sa.gov.au/arthur/03000/BRG347_2867.htm</v>
      </c>
    </row>
    <row r="1811" spans="1:11" x14ac:dyDescent="0.25">
      <c r="A1811" t="s">
        <v>6576</v>
      </c>
      <c r="B1811" s="1" t="str">
        <f>HYPERLINK("https://www.catalog.slsa.sa.gov.au/record=b2112600")</f>
        <v>https://www.catalog.slsa.sa.gov.au/record=b2112600</v>
      </c>
      <c r="C1811" s="1" t="str">
        <f>HYPERLINK("https://www.catalog.slsa.sa.gov.au/xrecord=b2112600")</f>
        <v>https://www.catalog.slsa.sa.gov.au/xrecord=b2112600</v>
      </c>
      <c r="D1811" t="s">
        <v>66</v>
      </c>
      <c r="E1811" t="s">
        <v>6577</v>
      </c>
      <c r="F1811">
        <v>1955</v>
      </c>
      <c r="G1811" t="s">
        <v>121</v>
      </c>
      <c r="H1811" t="s">
        <v>6578</v>
      </c>
      <c r="I1811" t="s">
        <v>6579</v>
      </c>
      <c r="J1811" t="s">
        <v>71</v>
      </c>
      <c r="K1811" s="2" t="str">
        <f>HYPERLINK("http://collections.slsa.sa.gov.au/arthur/03000/BRG347_2870.htm")</f>
        <v>http://collections.slsa.sa.gov.au/arthur/03000/BRG347_2870.htm</v>
      </c>
    </row>
    <row r="1812" spans="1:11" x14ac:dyDescent="0.25">
      <c r="A1812" t="s">
        <v>6580</v>
      </c>
      <c r="B1812" s="1" t="str">
        <f>HYPERLINK("https://www.catalog.slsa.sa.gov.au/record=b2112601")</f>
        <v>https://www.catalog.slsa.sa.gov.au/record=b2112601</v>
      </c>
      <c r="C1812" s="1" t="str">
        <f>HYPERLINK("https://www.catalog.slsa.sa.gov.au/xrecord=b2112601")</f>
        <v>https://www.catalog.slsa.sa.gov.au/xrecord=b2112601</v>
      </c>
      <c r="D1812" t="s">
        <v>66</v>
      </c>
      <c r="E1812" t="s">
        <v>6581</v>
      </c>
      <c r="F1812">
        <v>1955</v>
      </c>
      <c r="G1812" t="s">
        <v>121</v>
      </c>
      <c r="H1812" t="s">
        <v>6582</v>
      </c>
      <c r="I1812" t="s">
        <v>6583</v>
      </c>
      <c r="J1812" t="s">
        <v>71</v>
      </c>
      <c r="K1812" s="2" t="str">
        <f>HYPERLINK("http://collections.slsa.sa.gov.au/arthur/03000/BRG347_2871.htm")</f>
        <v>http://collections.slsa.sa.gov.au/arthur/03000/BRG347_2871.htm</v>
      </c>
    </row>
    <row r="1813" spans="1:11" x14ac:dyDescent="0.25">
      <c r="A1813" t="s">
        <v>6584</v>
      </c>
      <c r="B1813" s="1" t="str">
        <f>HYPERLINK("https://www.catalog.slsa.sa.gov.au/record=b2112602")</f>
        <v>https://www.catalog.slsa.sa.gov.au/record=b2112602</v>
      </c>
      <c r="C1813" s="1" t="str">
        <f>HYPERLINK("https://www.catalog.slsa.sa.gov.au/xrecord=b2112602")</f>
        <v>https://www.catalog.slsa.sa.gov.au/xrecord=b2112602</v>
      </c>
      <c r="D1813" t="s">
        <v>66</v>
      </c>
      <c r="E1813" t="s">
        <v>6585</v>
      </c>
      <c r="F1813">
        <v>1955</v>
      </c>
      <c r="G1813" t="s">
        <v>121</v>
      </c>
      <c r="H1813" t="s">
        <v>6586</v>
      </c>
      <c r="I1813" t="s">
        <v>6587</v>
      </c>
      <c r="J1813" t="s">
        <v>71</v>
      </c>
      <c r="K1813" s="2" t="str">
        <f>HYPERLINK("http://collections.slsa.sa.gov.au/arthur/03000/BRG347_2872.htm")</f>
        <v>http://collections.slsa.sa.gov.au/arthur/03000/BRG347_2872.htm</v>
      </c>
    </row>
    <row r="1814" spans="1:11" x14ac:dyDescent="0.25">
      <c r="A1814" t="s">
        <v>6588</v>
      </c>
      <c r="B1814" s="1" t="str">
        <f>HYPERLINK("https://www.catalog.slsa.sa.gov.au/record=b2112603")</f>
        <v>https://www.catalog.slsa.sa.gov.au/record=b2112603</v>
      </c>
      <c r="C1814" s="1" t="str">
        <f>HYPERLINK("https://www.catalog.slsa.sa.gov.au/xrecord=b2112603")</f>
        <v>https://www.catalog.slsa.sa.gov.au/xrecord=b2112603</v>
      </c>
      <c r="D1814" t="s">
        <v>66</v>
      </c>
      <c r="E1814" t="s">
        <v>6589</v>
      </c>
      <c r="F1814">
        <v>1955</v>
      </c>
      <c r="G1814" t="s">
        <v>121</v>
      </c>
      <c r="H1814" t="s">
        <v>6590</v>
      </c>
      <c r="I1814" t="s">
        <v>6591</v>
      </c>
      <c r="J1814" t="s">
        <v>71</v>
      </c>
      <c r="K1814" s="2" t="str">
        <f>HYPERLINK("http://collections.slsa.sa.gov.au/arthur/03000/BRG347_2873.htm")</f>
        <v>http://collections.slsa.sa.gov.au/arthur/03000/BRG347_2873.htm</v>
      </c>
    </row>
    <row r="1815" spans="1:11" x14ac:dyDescent="0.25">
      <c r="A1815" t="s">
        <v>6592</v>
      </c>
      <c r="B1815" s="1" t="str">
        <f>HYPERLINK("https://www.catalog.slsa.sa.gov.au/record=b2112605")</f>
        <v>https://www.catalog.slsa.sa.gov.au/record=b2112605</v>
      </c>
      <c r="C1815" s="1" t="str">
        <f>HYPERLINK("https://www.catalog.slsa.sa.gov.au/xrecord=b2112605")</f>
        <v>https://www.catalog.slsa.sa.gov.au/xrecord=b2112605</v>
      </c>
      <c r="D1815" t="s">
        <v>66</v>
      </c>
      <c r="E1815" t="s">
        <v>6495</v>
      </c>
      <c r="F1815">
        <v>1955</v>
      </c>
      <c r="G1815" t="s">
        <v>121</v>
      </c>
      <c r="H1815" t="s">
        <v>6593</v>
      </c>
      <c r="I1815" t="s">
        <v>6591</v>
      </c>
      <c r="J1815" t="s">
        <v>71</v>
      </c>
      <c r="K1815" s="2" t="str">
        <f>HYPERLINK("http://collections.slsa.sa.gov.au/arthur/03000/BRG347_2875.htm")</f>
        <v>http://collections.slsa.sa.gov.au/arthur/03000/BRG347_2875.htm</v>
      </c>
    </row>
    <row r="1816" spans="1:11" x14ac:dyDescent="0.25">
      <c r="A1816" t="s">
        <v>6594</v>
      </c>
      <c r="B1816" s="1" t="str">
        <f>HYPERLINK("https://www.catalog.slsa.sa.gov.au/record=b2112623")</f>
        <v>https://www.catalog.slsa.sa.gov.au/record=b2112623</v>
      </c>
      <c r="C1816" s="1" t="str">
        <f>HYPERLINK("https://www.catalog.slsa.sa.gov.au/xrecord=b2112623")</f>
        <v>https://www.catalog.slsa.sa.gov.au/xrecord=b2112623</v>
      </c>
      <c r="D1816" t="s">
        <v>66</v>
      </c>
      <c r="E1816" t="s">
        <v>6595</v>
      </c>
      <c r="F1816">
        <v>1955</v>
      </c>
      <c r="G1816" t="s">
        <v>121</v>
      </c>
      <c r="H1816" t="s">
        <v>6596</v>
      </c>
      <c r="I1816" t="s">
        <v>6587</v>
      </c>
      <c r="J1816" t="s">
        <v>71</v>
      </c>
      <c r="K1816" s="2" t="str">
        <f>HYPERLINK("http://collections.slsa.sa.gov.au/arthur/03000/BRG347_2893.htm")</f>
        <v>http://collections.slsa.sa.gov.au/arthur/03000/BRG347_2893.htm</v>
      </c>
    </row>
    <row r="1817" spans="1:11" x14ac:dyDescent="0.25">
      <c r="A1817" t="s">
        <v>6597</v>
      </c>
      <c r="B1817" s="1" t="str">
        <f>HYPERLINK("https://www.catalog.slsa.sa.gov.au/record=b2112625")</f>
        <v>https://www.catalog.slsa.sa.gov.au/record=b2112625</v>
      </c>
      <c r="C1817" s="1" t="str">
        <f>HYPERLINK("https://www.catalog.slsa.sa.gov.au/xrecord=b2112625")</f>
        <v>https://www.catalog.slsa.sa.gov.au/xrecord=b2112625</v>
      </c>
      <c r="D1817" t="s">
        <v>66</v>
      </c>
      <c r="E1817" t="s">
        <v>6598</v>
      </c>
      <c r="F1817">
        <v>1955</v>
      </c>
      <c r="G1817" t="s">
        <v>121</v>
      </c>
      <c r="H1817" t="s">
        <v>6599</v>
      </c>
      <c r="I1817" t="s">
        <v>6600</v>
      </c>
      <c r="J1817" t="s">
        <v>71</v>
      </c>
      <c r="K1817" s="2" t="str">
        <f>HYPERLINK("http://collections.slsa.sa.gov.au/arthur/03000/BRG347_2895.htm")</f>
        <v>http://collections.slsa.sa.gov.au/arthur/03000/BRG347_2895.htm</v>
      </c>
    </row>
    <row r="1818" spans="1:11" x14ac:dyDescent="0.25">
      <c r="A1818" t="s">
        <v>6601</v>
      </c>
      <c r="B1818" s="1" t="str">
        <f>HYPERLINK("https://www.catalog.slsa.sa.gov.au/record=b2112626")</f>
        <v>https://www.catalog.slsa.sa.gov.au/record=b2112626</v>
      </c>
      <c r="C1818" s="1" t="str">
        <f>HYPERLINK("https://www.catalog.slsa.sa.gov.au/xrecord=b2112626")</f>
        <v>https://www.catalog.slsa.sa.gov.au/xrecord=b2112626</v>
      </c>
      <c r="D1818" t="s">
        <v>66</v>
      </c>
      <c r="E1818" t="s">
        <v>6495</v>
      </c>
      <c r="F1818">
        <v>1955</v>
      </c>
      <c r="G1818" t="s">
        <v>121</v>
      </c>
      <c r="H1818" t="s">
        <v>6602</v>
      </c>
      <c r="I1818" t="s">
        <v>6603</v>
      </c>
      <c r="J1818" t="s">
        <v>71</v>
      </c>
      <c r="K1818" s="2" t="str">
        <f>HYPERLINK("http://collections.slsa.sa.gov.au/arthur/03000/BRG347_2896.htm")</f>
        <v>http://collections.slsa.sa.gov.au/arthur/03000/BRG347_2896.htm</v>
      </c>
    </row>
    <row r="1819" spans="1:11" x14ac:dyDescent="0.25">
      <c r="A1819" t="s">
        <v>6604</v>
      </c>
      <c r="B1819" s="1" t="str">
        <f>HYPERLINK("https://www.catalog.slsa.sa.gov.au/record=b2112627")</f>
        <v>https://www.catalog.slsa.sa.gov.au/record=b2112627</v>
      </c>
      <c r="C1819" s="1" t="str">
        <f>HYPERLINK("https://www.catalog.slsa.sa.gov.au/xrecord=b2112627")</f>
        <v>https://www.catalog.slsa.sa.gov.au/xrecord=b2112627</v>
      </c>
      <c r="D1819" t="s">
        <v>66</v>
      </c>
      <c r="E1819" t="s">
        <v>6605</v>
      </c>
      <c r="F1819">
        <v>1955</v>
      </c>
      <c r="G1819" t="s">
        <v>121</v>
      </c>
      <c r="H1819" t="s">
        <v>6606</v>
      </c>
      <c r="I1819" t="s">
        <v>6607</v>
      </c>
      <c r="J1819" t="s">
        <v>71</v>
      </c>
      <c r="K1819" s="2" t="str">
        <f>HYPERLINK("http://collections.slsa.sa.gov.au/arthur/03000/BRG347_2897.htm")</f>
        <v>http://collections.slsa.sa.gov.au/arthur/03000/BRG347_2897.htm</v>
      </c>
    </row>
    <row r="1820" spans="1:11" x14ac:dyDescent="0.25">
      <c r="A1820" t="s">
        <v>6608</v>
      </c>
      <c r="B1820" s="1" t="str">
        <f>HYPERLINK("https://www.catalog.slsa.sa.gov.au/record=b2112628")</f>
        <v>https://www.catalog.slsa.sa.gov.au/record=b2112628</v>
      </c>
      <c r="C1820" s="1" t="str">
        <f>HYPERLINK("https://www.catalog.slsa.sa.gov.au/xrecord=b2112628")</f>
        <v>https://www.catalog.slsa.sa.gov.au/xrecord=b2112628</v>
      </c>
      <c r="D1820" t="s">
        <v>66</v>
      </c>
      <c r="E1820" t="s">
        <v>6609</v>
      </c>
      <c r="F1820">
        <v>1955</v>
      </c>
      <c r="G1820" t="s">
        <v>121</v>
      </c>
      <c r="H1820" t="s">
        <v>6610</v>
      </c>
      <c r="I1820" t="s">
        <v>3646</v>
      </c>
      <c r="J1820" t="s">
        <v>71</v>
      </c>
      <c r="K1820" s="2" t="str">
        <f>HYPERLINK("http://collections.slsa.sa.gov.au/arthur/03000/BRG347_2898.htm")</f>
        <v>http://collections.slsa.sa.gov.au/arthur/03000/BRG347_2898.htm</v>
      </c>
    </row>
    <row r="1821" spans="1:11" x14ac:dyDescent="0.25">
      <c r="A1821" t="s">
        <v>6611</v>
      </c>
      <c r="B1821" s="1" t="str">
        <f>HYPERLINK("https://www.catalog.slsa.sa.gov.au/record=b2112629")</f>
        <v>https://www.catalog.slsa.sa.gov.au/record=b2112629</v>
      </c>
      <c r="C1821" s="1" t="str">
        <f>HYPERLINK("https://www.catalog.slsa.sa.gov.au/xrecord=b2112629")</f>
        <v>https://www.catalog.slsa.sa.gov.au/xrecord=b2112629</v>
      </c>
      <c r="D1821" t="s">
        <v>66</v>
      </c>
      <c r="E1821" t="s">
        <v>6495</v>
      </c>
      <c r="F1821">
        <v>1955</v>
      </c>
      <c r="G1821" t="s">
        <v>121</v>
      </c>
      <c r="H1821" t="s">
        <v>6612</v>
      </c>
      <c r="I1821" t="s">
        <v>6613</v>
      </c>
      <c r="J1821" t="s">
        <v>71</v>
      </c>
      <c r="K1821" s="2" t="str">
        <f>HYPERLINK("http://collections.slsa.sa.gov.au/arthur/03000/BRG347_2899.htm")</f>
        <v>http://collections.slsa.sa.gov.au/arthur/03000/BRG347_2899.htm</v>
      </c>
    </row>
    <row r="1822" spans="1:11" x14ac:dyDescent="0.25">
      <c r="A1822" t="s">
        <v>6614</v>
      </c>
      <c r="B1822" s="1" t="str">
        <f>HYPERLINK("https://www.catalog.slsa.sa.gov.au/record=b2112631")</f>
        <v>https://www.catalog.slsa.sa.gov.au/record=b2112631</v>
      </c>
      <c r="C1822" s="1" t="str">
        <f>HYPERLINK("https://www.catalog.slsa.sa.gov.au/xrecord=b2112631")</f>
        <v>https://www.catalog.slsa.sa.gov.au/xrecord=b2112631</v>
      </c>
      <c r="D1822" t="s">
        <v>66</v>
      </c>
      <c r="E1822" t="s">
        <v>6499</v>
      </c>
      <c r="F1822">
        <v>1955</v>
      </c>
      <c r="G1822" t="s">
        <v>121</v>
      </c>
      <c r="H1822" t="s">
        <v>6615</v>
      </c>
      <c r="I1822" t="s">
        <v>6501</v>
      </c>
      <c r="J1822" t="s">
        <v>71</v>
      </c>
      <c r="K1822" s="2" t="str">
        <f>HYPERLINK("http://collections.slsa.sa.gov.au/arthur/03000/BRG347_2900.htm")</f>
        <v>http://collections.slsa.sa.gov.au/arthur/03000/BRG347_2900.htm</v>
      </c>
    </row>
    <row r="1823" spans="1:11" x14ac:dyDescent="0.25">
      <c r="A1823" t="s">
        <v>6616</v>
      </c>
      <c r="B1823" s="1" t="str">
        <f>HYPERLINK("https://www.catalog.slsa.sa.gov.au/record=b2112632")</f>
        <v>https://www.catalog.slsa.sa.gov.au/record=b2112632</v>
      </c>
      <c r="C1823" s="1" t="str">
        <f>HYPERLINK("https://www.catalog.slsa.sa.gov.au/xrecord=b2112632")</f>
        <v>https://www.catalog.slsa.sa.gov.au/xrecord=b2112632</v>
      </c>
      <c r="D1823" t="s">
        <v>66</v>
      </c>
      <c r="E1823" t="s">
        <v>6617</v>
      </c>
      <c r="F1823">
        <v>1955</v>
      </c>
      <c r="G1823" t="s">
        <v>121</v>
      </c>
      <c r="H1823" t="s">
        <v>6618</v>
      </c>
      <c r="I1823" t="s">
        <v>6587</v>
      </c>
      <c r="J1823" t="s">
        <v>71</v>
      </c>
      <c r="K1823" s="2" t="str">
        <f>HYPERLINK("http://collections.slsa.sa.gov.au/arthur/03000/BRG347_2901.htm")</f>
        <v>http://collections.slsa.sa.gov.au/arthur/03000/BRG347_2901.htm</v>
      </c>
    </row>
    <row r="1824" spans="1:11" x14ac:dyDescent="0.25">
      <c r="A1824" t="s">
        <v>6619</v>
      </c>
      <c r="B1824" s="1" t="str">
        <f>HYPERLINK("https://www.catalog.slsa.sa.gov.au/record=b2112633")</f>
        <v>https://www.catalog.slsa.sa.gov.au/record=b2112633</v>
      </c>
      <c r="C1824" s="1" t="str">
        <f>HYPERLINK("https://www.catalog.slsa.sa.gov.au/xrecord=b2112633")</f>
        <v>https://www.catalog.slsa.sa.gov.au/xrecord=b2112633</v>
      </c>
      <c r="D1824" t="s">
        <v>66</v>
      </c>
      <c r="E1824" t="s">
        <v>6617</v>
      </c>
      <c r="F1824">
        <v>1955</v>
      </c>
      <c r="G1824" t="s">
        <v>121</v>
      </c>
      <c r="H1824" t="s">
        <v>6620</v>
      </c>
      <c r="I1824" t="s">
        <v>6621</v>
      </c>
      <c r="J1824" t="s">
        <v>71</v>
      </c>
      <c r="K1824" s="2" t="str">
        <f>HYPERLINK("http://collections.slsa.sa.gov.au/arthur/03000/BRG347_2902.htm")</f>
        <v>http://collections.slsa.sa.gov.au/arthur/03000/BRG347_2902.htm</v>
      </c>
    </row>
    <row r="1825" spans="1:11" x14ac:dyDescent="0.25">
      <c r="A1825" t="s">
        <v>6622</v>
      </c>
      <c r="B1825" s="1" t="str">
        <f>HYPERLINK("https://www.catalog.slsa.sa.gov.au/record=b2112636")</f>
        <v>https://www.catalog.slsa.sa.gov.au/record=b2112636</v>
      </c>
      <c r="C1825" s="1" t="str">
        <f>HYPERLINK("https://www.catalog.slsa.sa.gov.au/xrecord=b2112636")</f>
        <v>https://www.catalog.slsa.sa.gov.au/xrecord=b2112636</v>
      </c>
      <c r="D1825" t="s">
        <v>66</v>
      </c>
      <c r="E1825" t="s">
        <v>6623</v>
      </c>
      <c r="F1825">
        <v>1955</v>
      </c>
      <c r="G1825" t="s">
        <v>121</v>
      </c>
      <c r="H1825" t="s">
        <v>6624</v>
      </c>
      <c r="I1825" t="s">
        <v>3646</v>
      </c>
      <c r="J1825" t="s">
        <v>71</v>
      </c>
      <c r="K1825" s="2" t="str">
        <f>HYPERLINK("http://collections.slsa.sa.gov.au/arthur/03000/BRG347_2904.htm")</f>
        <v>http://collections.slsa.sa.gov.au/arthur/03000/BRG347_2904.htm</v>
      </c>
    </row>
    <row r="1826" spans="1:11" x14ac:dyDescent="0.25">
      <c r="A1826" t="s">
        <v>6625</v>
      </c>
      <c r="B1826" s="1" t="str">
        <f>HYPERLINK("https://www.catalog.slsa.sa.gov.au/record=b2118231")</f>
        <v>https://www.catalog.slsa.sa.gov.au/record=b2118231</v>
      </c>
      <c r="C1826" s="1" t="str">
        <f>HYPERLINK("https://www.catalog.slsa.sa.gov.au/xrecord=b2118231")</f>
        <v>https://www.catalog.slsa.sa.gov.au/xrecord=b2118231</v>
      </c>
      <c r="D1826" t="s">
        <v>66</v>
      </c>
      <c r="E1826" t="s">
        <v>6626</v>
      </c>
      <c r="F1826">
        <v>1955</v>
      </c>
      <c r="G1826" t="s">
        <v>6627</v>
      </c>
      <c r="H1826" t="s">
        <v>6628</v>
      </c>
      <c r="I1826" t="s">
        <v>6629</v>
      </c>
      <c r="J1826" t="s">
        <v>71</v>
      </c>
      <c r="K1826" s="2" t="str">
        <f>HYPERLINK("http://collections.slsa.sa.gov.au/arthur/03000/BRG347_2905.htm")</f>
        <v>http://collections.slsa.sa.gov.au/arthur/03000/BRG347_2905.htm</v>
      </c>
    </row>
    <row r="1827" spans="1:11" x14ac:dyDescent="0.25">
      <c r="A1827" t="s">
        <v>6630</v>
      </c>
      <c r="B1827" s="1" t="str">
        <f>HYPERLINK("https://www.catalog.slsa.sa.gov.au/record=b2112638")</f>
        <v>https://www.catalog.slsa.sa.gov.au/record=b2112638</v>
      </c>
      <c r="C1827" s="1" t="str">
        <f>HYPERLINK("https://www.catalog.slsa.sa.gov.au/xrecord=b2112638")</f>
        <v>https://www.catalog.slsa.sa.gov.au/xrecord=b2112638</v>
      </c>
      <c r="D1827" t="s">
        <v>66</v>
      </c>
      <c r="E1827" t="s">
        <v>6631</v>
      </c>
      <c r="F1827">
        <v>1955</v>
      </c>
      <c r="G1827" t="s">
        <v>121</v>
      </c>
      <c r="H1827" t="s">
        <v>6632</v>
      </c>
      <c r="I1827" t="s">
        <v>6525</v>
      </c>
      <c r="J1827" t="s">
        <v>71</v>
      </c>
      <c r="K1827" s="2" t="str">
        <f>HYPERLINK("http://collections.slsa.sa.gov.au/arthur/03000/BRG347_2906.htm")</f>
        <v>http://collections.slsa.sa.gov.au/arthur/03000/BRG347_2906.htm</v>
      </c>
    </row>
    <row r="1828" spans="1:11" x14ac:dyDescent="0.25">
      <c r="A1828" t="s">
        <v>6633</v>
      </c>
      <c r="B1828" s="1" t="str">
        <f>HYPERLINK("https://www.catalog.slsa.sa.gov.au/record=b2112641")</f>
        <v>https://www.catalog.slsa.sa.gov.au/record=b2112641</v>
      </c>
      <c r="C1828" s="1" t="str">
        <f>HYPERLINK("https://www.catalog.slsa.sa.gov.au/xrecord=b2112641")</f>
        <v>https://www.catalog.slsa.sa.gov.au/xrecord=b2112641</v>
      </c>
      <c r="D1828" t="s">
        <v>66</v>
      </c>
      <c r="E1828" t="s">
        <v>6499</v>
      </c>
      <c r="F1828">
        <v>1955</v>
      </c>
      <c r="G1828" t="s">
        <v>121</v>
      </c>
      <c r="H1828" t="s">
        <v>6634</v>
      </c>
      <c r="I1828" t="s">
        <v>6501</v>
      </c>
      <c r="J1828" t="s">
        <v>71</v>
      </c>
      <c r="K1828" s="2" t="str">
        <f>HYPERLINK("http://collections.slsa.sa.gov.au/arthur/03000/BRG347_2907.htm")</f>
        <v>http://collections.slsa.sa.gov.au/arthur/03000/BRG347_2907.htm</v>
      </c>
    </row>
    <row r="1829" spans="1:11" x14ac:dyDescent="0.25">
      <c r="A1829" t="s">
        <v>6635</v>
      </c>
      <c r="B1829" s="1" t="str">
        <f>HYPERLINK("https://www.catalog.slsa.sa.gov.au/record=b2112820")</f>
        <v>https://www.catalog.slsa.sa.gov.au/record=b2112820</v>
      </c>
      <c r="C1829" s="1" t="str">
        <f>HYPERLINK("https://www.catalog.slsa.sa.gov.au/xrecord=b2112820")</f>
        <v>https://www.catalog.slsa.sa.gov.au/xrecord=b2112820</v>
      </c>
      <c r="D1829" t="s">
        <v>66</v>
      </c>
      <c r="E1829" t="s">
        <v>6636</v>
      </c>
      <c r="F1829">
        <v>1955</v>
      </c>
      <c r="G1829" t="s">
        <v>121</v>
      </c>
      <c r="H1829" t="s">
        <v>6637</v>
      </c>
      <c r="I1829" t="s">
        <v>6638</v>
      </c>
      <c r="J1829" t="s">
        <v>71</v>
      </c>
      <c r="K1829" s="2" t="str">
        <f>HYPERLINK("http://collections.slsa.sa.gov.au/arthur/03250/BRG347_3056.htm")</f>
        <v>http://collections.slsa.sa.gov.au/arthur/03250/BRG347_3056.htm</v>
      </c>
    </row>
    <row r="1830" spans="1:11" x14ac:dyDescent="0.25">
      <c r="A1830" t="s">
        <v>6639</v>
      </c>
      <c r="B1830" s="1" t="str">
        <f>HYPERLINK("https://www.catalog.slsa.sa.gov.au/record=b2112831")</f>
        <v>https://www.catalog.slsa.sa.gov.au/record=b2112831</v>
      </c>
      <c r="C1830" s="1" t="str">
        <f>HYPERLINK("https://www.catalog.slsa.sa.gov.au/xrecord=b2112831")</f>
        <v>https://www.catalog.slsa.sa.gov.au/xrecord=b2112831</v>
      </c>
      <c r="D1830" t="s">
        <v>66</v>
      </c>
      <c r="E1830" t="s">
        <v>6640</v>
      </c>
      <c r="F1830">
        <v>1955</v>
      </c>
      <c r="G1830" t="s">
        <v>121</v>
      </c>
      <c r="H1830" t="s">
        <v>6641</v>
      </c>
      <c r="I1830" t="s">
        <v>6642</v>
      </c>
      <c r="J1830" t="s">
        <v>71</v>
      </c>
      <c r="K1830" s="2" t="str">
        <f>HYPERLINK("http://collections.slsa.sa.gov.au/arthur/03250/BRG347_3067.htm")</f>
        <v>http://collections.slsa.sa.gov.au/arthur/03250/BRG347_3067.htm</v>
      </c>
    </row>
    <row r="1831" spans="1:11" x14ac:dyDescent="0.25">
      <c r="A1831" t="s">
        <v>6643</v>
      </c>
      <c r="B1831" s="1" t="str">
        <f>HYPERLINK("https://www.catalog.slsa.sa.gov.au/record=b2112857")</f>
        <v>https://www.catalog.slsa.sa.gov.au/record=b2112857</v>
      </c>
      <c r="C1831" s="1" t="str">
        <f>HYPERLINK("https://www.catalog.slsa.sa.gov.au/xrecord=b2112857")</f>
        <v>https://www.catalog.slsa.sa.gov.au/xrecord=b2112857</v>
      </c>
      <c r="D1831" t="s">
        <v>66</v>
      </c>
      <c r="E1831" t="s">
        <v>6644</v>
      </c>
      <c r="F1831">
        <v>1955</v>
      </c>
      <c r="G1831" t="s">
        <v>121</v>
      </c>
      <c r="H1831" t="s">
        <v>6645</v>
      </c>
      <c r="I1831" t="s">
        <v>6646</v>
      </c>
      <c r="J1831" t="s">
        <v>71</v>
      </c>
      <c r="K1831" s="2" t="str">
        <f>HYPERLINK("http://collections.slsa.sa.gov.au/arthur/03250/BRG347_3093.htm")</f>
        <v>http://collections.slsa.sa.gov.au/arthur/03250/BRG347_3093.htm</v>
      </c>
    </row>
    <row r="1832" spans="1:11" x14ac:dyDescent="0.25">
      <c r="A1832" t="s">
        <v>6647</v>
      </c>
      <c r="B1832" s="1" t="str">
        <f>HYPERLINK("https://www.catalog.slsa.sa.gov.au/record=b2112858")</f>
        <v>https://www.catalog.slsa.sa.gov.au/record=b2112858</v>
      </c>
      <c r="C1832" s="1" t="str">
        <f>HYPERLINK("https://www.catalog.slsa.sa.gov.au/xrecord=b2112858")</f>
        <v>https://www.catalog.slsa.sa.gov.au/xrecord=b2112858</v>
      </c>
      <c r="D1832" t="s">
        <v>66</v>
      </c>
      <c r="E1832" t="s">
        <v>6648</v>
      </c>
      <c r="F1832">
        <v>1955</v>
      </c>
      <c r="G1832" t="s">
        <v>121</v>
      </c>
      <c r="H1832" t="s">
        <v>6649</v>
      </c>
      <c r="I1832" t="s">
        <v>6650</v>
      </c>
      <c r="J1832" t="s">
        <v>71</v>
      </c>
      <c r="K1832" s="2" t="str">
        <f>HYPERLINK("http://collections.slsa.sa.gov.au/arthur/03250/BRG347_3094.htm")</f>
        <v>http://collections.slsa.sa.gov.au/arthur/03250/BRG347_3094.htm</v>
      </c>
    </row>
    <row r="1833" spans="1:11" x14ac:dyDescent="0.25">
      <c r="A1833" t="s">
        <v>6651</v>
      </c>
      <c r="B1833" s="1" t="str">
        <f>HYPERLINK("https://www.catalog.slsa.sa.gov.au/record=b2117511")</f>
        <v>https://www.catalog.slsa.sa.gov.au/record=b2117511</v>
      </c>
      <c r="C1833" s="1" t="str">
        <f>HYPERLINK("https://www.catalog.slsa.sa.gov.au/xrecord=b2117511")</f>
        <v>https://www.catalog.slsa.sa.gov.au/xrecord=b2117511</v>
      </c>
      <c r="D1833" t="s">
        <v>66</v>
      </c>
      <c r="E1833" t="s">
        <v>6652</v>
      </c>
      <c r="F1833">
        <v>1955</v>
      </c>
      <c r="G1833" t="s">
        <v>121</v>
      </c>
      <c r="H1833" t="s">
        <v>6653</v>
      </c>
      <c r="I1833" t="s">
        <v>6654</v>
      </c>
      <c r="J1833" t="s">
        <v>71</v>
      </c>
      <c r="K1833" s="2" t="str">
        <f>HYPERLINK("http://collections.slsa.sa.gov.au/arthur/03250/BRG347_3095.htm")</f>
        <v>http://collections.slsa.sa.gov.au/arthur/03250/BRG347_3095.htm</v>
      </c>
    </row>
    <row r="1834" spans="1:11" x14ac:dyDescent="0.25">
      <c r="A1834" t="s">
        <v>6655</v>
      </c>
      <c r="B1834" s="1" t="str">
        <f>HYPERLINK("https://www.catalog.slsa.sa.gov.au/record=b2112859")</f>
        <v>https://www.catalog.slsa.sa.gov.au/record=b2112859</v>
      </c>
      <c r="C1834" s="1" t="str">
        <f>HYPERLINK("https://www.catalog.slsa.sa.gov.au/xrecord=b2112859")</f>
        <v>https://www.catalog.slsa.sa.gov.au/xrecord=b2112859</v>
      </c>
      <c r="D1834" t="s">
        <v>66</v>
      </c>
      <c r="E1834" t="s">
        <v>6656</v>
      </c>
      <c r="F1834">
        <v>1955</v>
      </c>
      <c r="G1834" t="s">
        <v>121</v>
      </c>
      <c r="H1834" t="s">
        <v>6657</v>
      </c>
      <c r="I1834" t="s">
        <v>6658</v>
      </c>
      <c r="J1834" t="s">
        <v>71</v>
      </c>
      <c r="K1834" s="2" t="str">
        <f>HYPERLINK("http://collections.slsa.sa.gov.au/arthur/03250/BRG347_3096.htm")</f>
        <v>http://collections.slsa.sa.gov.au/arthur/03250/BRG347_3096.htm</v>
      </c>
    </row>
    <row r="1835" spans="1:11" x14ac:dyDescent="0.25">
      <c r="A1835" t="s">
        <v>6659</v>
      </c>
      <c r="B1835" s="1" t="str">
        <f>HYPERLINK("https://www.catalog.slsa.sa.gov.au/record=b2112860")</f>
        <v>https://www.catalog.slsa.sa.gov.au/record=b2112860</v>
      </c>
      <c r="C1835" s="1" t="str">
        <f>HYPERLINK("https://www.catalog.slsa.sa.gov.au/xrecord=b2112860")</f>
        <v>https://www.catalog.slsa.sa.gov.au/xrecord=b2112860</v>
      </c>
      <c r="D1835" t="s">
        <v>66</v>
      </c>
      <c r="E1835" t="s">
        <v>6660</v>
      </c>
      <c r="F1835">
        <v>1955</v>
      </c>
      <c r="G1835" t="s">
        <v>121</v>
      </c>
      <c r="H1835" t="s">
        <v>6661</v>
      </c>
      <c r="I1835" t="s">
        <v>6662</v>
      </c>
      <c r="J1835" t="s">
        <v>71</v>
      </c>
      <c r="K1835" s="2" t="str">
        <f>HYPERLINK("http://collections.slsa.sa.gov.au/arthur/03250/BRG347_3097.htm")</f>
        <v>http://collections.slsa.sa.gov.au/arthur/03250/BRG347_3097.htm</v>
      </c>
    </row>
    <row r="1836" spans="1:11" x14ac:dyDescent="0.25">
      <c r="A1836" t="s">
        <v>6663</v>
      </c>
      <c r="B1836" s="1" t="str">
        <f>HYPERLINK("https://www.catalog.slsa.sa.gov.au/record=b2112861")</f>
        <v>https://www.catalog.slsa.sa.gov.au/record=b2112861</v>
      </c>
      <c r="C1836" s="1" t="str">
        <f>HYPERLINK("https://www.catalog.slsa.sa.gov.au/xrecord=b2112861")</f>
        <v>https://www.catalog.slsa.sa.gov.au/xrecord=b2112861</v>
      </c>
      <c r="D1836" t="s">
        <v>66</v>
      </c>
      <c r="E1836" t="s">
        <v>6664</v>
      </c>
      <c r="F1836">
        <v>1955</v>
      </c>
      <c r="G1836" t="s">
        <v>121</v>
      </c>
      <c r="H1836" t="s">
        <v>6665</v>
      </c>
      <c r="I1836" t="s">
        <v>6666</v>
      </c>
      <c r="J1836" t="s">
        <v>71</v>
      </c>
      <c r="K1836" s="2" t="str">
        <f>HYPERLINK("http://collections.slsa.sa.gov.au/arthur/03250/BRG347_3098.htm")</f>
        <v>http://collections.slsa.sa.gov.au/arthur/03250/BRG347_3098.htm</v>
      </c>
    </row>
    <row r="1837" spans="1:11" x14ac:dyDescent="0.25">
      <c r="A1837" t="s">
        <v>6667</v>
      </c>
      <c r="B1837" s="1" t="str">
        <f>HYPERLINK("https://www.catalog.slsa.sa.gov.au/record=b2114069")</f>
        <v>https://www.catalog.slsa.sa.gov.au/record=b2114069</v>
      </c>
      <c r="C1837" s="1" t="str">
        <f>HYPERLINK("https://www.catalog.slsa.sa.gov.au/xrecord=b2114069")</f>
        <v>https://www.catalog.slsa.sa.gov.au/xrecord=b2114069</v>
      </c>
      <c r="D1837" t="s">
        <v>66</v>
      </c>
      <c r="E1837" t="s">
        <v>6668</v>
      </c>
      <c r="F1837">
        <v>1955</v>
      </c>
      <c r="G1837" t="s">
        <v>121</v>
      </c>
      <c r="H1837" t="s">
        <v>6669</v>
      </c>
      <c r="I1837" t="s">
        <v>6670</v>
      </c>
      <c r="J1837" t="s">
        <v>71</v>
      </c>
      <c r="K1837" s="2" t="str">
        <f>HYPERLINK("http://collections.slsa.sa.gov.au/arthur/04000/BRG347_3903.htm")</f>
        <v>http://collections.slsa.sa.gov.au/arthur/04000/BRG347_3903.htm</v>
      </c>
    </row>
    <row r="1838" spans="1:11" x14ac:dyDescent="0.25">
      <c r="A1838" t="s">
        <v>6671</v>
      </c>
      <c r="B1838" s="1" t="str">
        <f>HYPERLINK("https://www.catalog.slsa.sa.gov.au/record=b2114071")</f>
        <v>https://www.catalog.slsa.sa.gov.au/record=b2114071</v>
      </c>
      <c r="C1838" s="1" t="str">
        <f>HYPERLINK("https://www.catalog.slsa.sa.gov.au/xrecord=b2114071")</f>
        <v>https://www.catalog.slsa.sa.gov.au/xrecord=b2114071</v>
      </c>
      <c r="D1838" t="s">
        <v>66</v>
      </c>
      <c r="E1838" t="s">
        <v>6672</v>
      </c>
      <c r="F1838">
        <v>1955</v>
      </c>
      <c r="G1838" t="s">
        <v>121</v>
      </c>
      <c r="H1838" t="s">
        <v>6673</v>
      </c>
      <c r="I1838" t="s">
        <v>6674</v>
      </c>
      <c r="J1838" t="s">
        <v>71</v>
      </c>
      <c r="K1838" s="2" t="str">
        <f>HYPERLINK("http://collections.slsa.sa.gov.au/arthur/04000/BRG347_3905.htm")</f>
        <v>http://collections.slsa.sa.gov.au/arthur/04000/BRG347_3905.htm</v>
      </c>
    </row>
    <row r="1839" spans="1:11" x14ac:dyDescent="0.25">
      <c r="A1839" t="s">
        <v>6675</v>
      </c>
      <c r="B1839" s="1" t="str">
        <f>HYPERLINK("https://www.catalog.slsa.sa.gov.au/record=b2114082")</f>
        <v>https://www.catalog.slsa.sa.gov.au/record=b2114082</v>
      </c>
      <c r="C1839" s="1" t="str">
        <f>HYPERLINK("https://www.catalog.slsa.sa.gov.au/xrecord=b2114082")</f>
        <v>https://www.catalog.slsa.sa.gov.au/xrecord=b2114082</v>
      </c>
      <c r="D1839" t="s">
        <v>66</v>
      </c>
      <c r="E1839" t="s">
        <v>6676</v>
      </c>
      <c r="F1839">
        <v>1955</v>
      </c>
      <c r="G1839" t="s">
        <v>121</v>
      </c>
      <c r="H1839" t="s">
        <v>6677</v>
      </c>
      <c r="I1839" t="s">
        <v>6678</v>
      </c>
      <c r="J1839" t="s">
        <v>71</v>
      </c>
      <c r="K1839" s="2" t="str">
        <f>HYPERLINK("http://collections.slsa.sa.gov.au/arthur/04000/BRG347_3917.htm")</f>
        <v>http://collections.slsa.sa.gov.au/arthur/04000/BRG347_3917.htm</v>
      </c>
    </row>
    <row r="1840" spans="1:11" x14ac:dyDescent="0.25">
      <c r="A1840" t="s">
        <v>6679</v>
      </c>
      <c r="B1840" s="1" t="str">
        <f>HYPERLINK("https://www.catalog.slsa.sa.gov.au/record=b2114083")</f>
        <v>https://www.catalog.slsa.sa.gov.au/record=b2114083</v>
      </c>
      <c r="C1840" s="1" t="str">
        <f>HYPERLINK("https://www.catalog.slsa.sa.gov.au/xrecord=b2114083")</f>
        <v>https://www.catalog.slsa.sa.gov.au/xrecord=b2114083</v>
      </c>
      <c r="D1840" t="s">
        <v>66</v>
      </c>
      <c r="E1840" t="s">
        <v>6680</v>
      </c>
      <c r="F1840">
        <v>1955</v>
      </c>
      <c r="G1840" t="s">
        <v>121</v>
      </c>
      <c r="H1840" t="s">
        <v>6681</v>
      </c>
      <c r="I1840" t="s">
        <v>6682</v>
      </c>
      <c r="J1840" t="s">
        <v>71</v>
      </c>
      <c r="K1840" s="2" t="str">
        <f>HYPERLINK("http://collections.slsa.sa.gov.au/arthur/04000/BRG347_3918.htm")</f>
        <v>http://collections.slsa.sa.gov.au/arthur/04000/BRG347_3918.htm</v>
      </c>
    </row>
    <row r="1841" spans="1:11" x14ac:dyDescent="0.25">
      <c r="A1841" t="s">
        <v>6683</v>
      </c>
      <c r="B1841" s="1" t="str">
        <f>HYPERLINK("https://www.catalog.slsa.sa.gov.au/record=b2114084")</f>
        <v>https://www.catalog.slsa.sa.gov.au/record=b2114084</v>
      </c>
      <c r="C1841" s="1" t="str">
        <f>HYPERLINK("https://www.catalog.slsa.sa.gov.au/xrecord=b2114084")</f>
        <v>https://www.catalog.slsa.sa.gov.au/xrecord=b2114084</v>
      </c>
      <c r="D1841" t="s">
        <v>66</v>
      </c>
      <c r="E1841" t="s">
        <v>6684</v>
      </c>
      <c r="F1841">
        <v>1955</v>
      </c>
      <c r="G1841" t="s">
        <v>121</v>
      </c>
      <c r="H1841" t="s">
        <v>6685</v>
      </c>
      <c r="I1841" t="s">
        <v>6686</v>
      </c>
      <c r="J1841" t="s">
        <v>71</v>
      </c>
      <c r="K1841" s="2" t="str">
        <f>HYPERLINK("http://collections.slsa.sa.gov.au/arthur/04000/BRG347_3919.htm")</f>
        <v>http://collections.slsa.sa.gov.au/arthur/04000/BRG347_3919.htm</v>
      </c>
    </row>
    <row r="1842" spans="1:11" x14ac:dyDescent="0.25">
      <c r="A1842" t="s">
        <v>6687</v>
      </c>
      <c r="B1842" s="1" t="str">
        <f>HYPERLINK("https://www.catalog.slsa.sa.gov.au/record=b2114085")</f>
        <v>https://www.catalog.slsa.sa.gov.au/record=b2114085</v>
      </c>
      <c r="C1842" s="1" t="str">
        <f>HYPERLINK("https://www.catalog.slsa.sa.gov.au/xrecord=b2114085")</f>
        <v>https://www.catalog.slsa.sa.gov.au/xrecord=b2114085</v>
      </c>
      <c r="D1842" t="s">
        <v>66</v>
      </c>
      <c r="E1842" t="s">
        <v>6688</v>
      </c>
      <c r="F1842">
        <v>1955</v>
      </c>
      <c r="G1842" t="s">
        <v>121</v>
      </c>
      <c r="H1842" t="s">
        <v>6689</v>
      </c>
      <c r="I1842" t="s">
        <v>6690</v>
      </c>
      <c r="J1842" t="s">
        <v>71</v>
      </c>
      <c r="K1842" s="2" t="str">
        <f>HYPERLINK("http://collections.slsa.sa.gov.au/arthur/04000/BRG347_3920.htm")</f>
        <v>http://collections.slsa.sa.gov.au/arthur/04000/BRG347_3920.htm</v>
      </c>
    </row>
    <row r="1843" spans="1:11" x14ac:dyDescent="0.25">
      <c r="A1843" t="s">
        <v>6691</v>
      </c>
      <c r="B1843" s="1" t="str">
        <f>HYPERLINK("https://www.catalog.slsa.sa.gov.au/record=b2114086")</f>
        <v>https://www.catalog.slsa.sa.gov.au/record=b2114086</v>
      </c>
      <c r="C1843" s="1" t="str">
        <f>HYPERLINK("https://www.catalog.slsa.sa.gov.au/xrecord=b2114086")</f>
        <v>https://www.catalog.slsa.sa.gov.au/xrecord=b2114086</v>
      </c>
      <c r="D1843" t="s">
        <v>66</v>
      </c>
      <c r="E1843" t="s">
        <v>6692</v>
      </c>
      <c r="F1843">
        <v>1955</v>
      </c>
      <c r="G1843" t="s">
        <v>121</v>
      </c>
      <c r="H1843" t="s">
        <v>6693</v>
      </c>
      <c r="I1843" t="s">
        <v>6694</v>
      </c>
      <c r="J1843" t="s">
        <v>71</v>
      </c>
      <c r="K1843" s="2" t="str">
        <f>HYPERLINK("http://collections.slsa.sa.gov.au/arthur/04000/BRG347_3921.htm")</f>
        <v>http://collections.slsa.sa.gov.au/arthur/04000/BRG347_3921.htm</v>
      </c>
    </row>
    <row r="1844" spans="1:11" x14ac:dyDescent="0.25">
      <c r="A1844" t="s">
        <v>6695</v>
      </c>
      <c r="B1844" s="1" t="str">
        <f>HYPERLINK("https://www.catalog.slsa.sa.gov.au/record=b2114088")</f>
        <v>https://www.catalog.slsa.sa.gov.au/record=b2114088</v>
      </c>
      <c r="C1844" s="1" t="str">
        <f>HYPERLINK("https://www.catalog.slsa.sa.gov.au/xrecord=b2114088")</f>
        <v>https://www.catalog.slsa.sa.gov.au/xrecord=b2114088</v>
      </c>
      <c r="D1844" t="s">
        <v>66</v>
      </c>
      <c r="E1844" t="s">
        <v>6696</v>
      </c>
      <c r="F1844">
        <v>1955</v>
      </c>
      <c r="G1844" t="s">
        <v>121</v>
      </c>
      <c r="H1844" t="s">
        <v>6697</v>
      </c>
      <c r="I1844" t="s">
        <v>6698</v>
      </c>
      <c r="J1844" t="s">
        <v>71</v>
      </c>
      <c r="K1844" s="2" t="str">
        <f>HYPERLINK("http://collections.slsa.sa.gov.au/arthur/04000/BRG347_3923.htm")</f>
        <v>http://collections.slsa.sa.gov.au/arthur/04000/BRG347_3923.htm</v>
      </c>
    </row>
    <row r="1845" spans="1:11" x14ac:dyDescent="0.25">
      <c r="A1845" t="s">
        <v>6699</v>
      </c>
      <c r="B1845" s="1" t="str">
        <f>HYPERLINK("https://www.catalog.slsa.sa.gov.au/record=b2114089")</f>
        <v>https://www.catalog.slsa.sa.gov.au/record=b2114089</v>
      </c>
      <c r="C1845" s="1" t="str">
        <f>HYPERLINK("https://www.catalog.slsa.sa.gov.au/xrecord=b2114089")</f>
        <v>https://www.catalog.slsa.sa.gov.au/xrecord=b2114089</v>
      </c>
      <c r="D1845" t="s">
        <v>66</v>
      </c>
      <c r="E1845" t="s">
        <v>6700</v>
      </c>
      <c r="F1845">
        <v>1955</v>
      </c>
      <c r="G1845" t="s">
        <v>121</v>
      </c>
      <c r="H1845" t="s">
        <v>6701</v>
      </c>
      <c r="I1845" t="s">
        <v>6702</v>
      </c>
      <c r="J1845" t="s">
        <v>71</v>
      </c>
      <c r="K1845" s="2" t="str">
        <f>HYPERLINK("http://collections.slsa.sa.gov.au/arthur/04000/BRG347_3924.htm")</f>
        <v>http://collections.slsa.sa.gov.au/arthur/04000/BRG347_3924.htm</v>
      </c>
    </row>
    <row r="1846" spans="1:11" x14ac:dyDescent="0.25">
      <c r="A1846" t="s">
        <v>6703</v>
      </c>
      <c r="B1846" s="1" t="str">
        <f>HYPERLINK("https://www.catalog.slsa.sa.gov.au/record=b2114090")</f>
        <v>https://www.catalog.slsa.sa.gov.au/record=b2114090</v>
      </c>
      <c r="C1846" s="1" t="str">
        <f>HYPERLINK("https://www.catalog.slsa.sa.gov.au/xrecord=b2114090")</f>
        <v>https://www.catalog.slsa.sa.gov.au/xrecord=b2114090</v>
      </c>
      <c r="D1846" t="s">
        <v>66</v>
      </c>
      <c r="E1846" t="s">
        <v>6704</v>
      </c>
      <c r="F1846">
        <v>1955</v>
      </c>
      <c r="G1846" t="s">
        <v>121</v>
      </c>
      <c r="H1846" t="s">
        <v>6705</v>
      </c>
      <c r="I1846" t="s">
        <v>6706</v>
      </c>
      <c r="J1846" t="s">
        <v>71</v>
      </c>
      <c r="K1846" s="2" t="str">
        <f>HYPERLINK("http://collections.slsa.sa.gov.au/arthur/04000/BRG347_3925.htm")</f>
        <v>http://collections.slsa.sa.gov.au/arthur/04000/BRG347_3925.htm</v>
      </c>
    </row>
    <row r="1847" spans="1:11" x14ac:dyDescent="0.25">
      <c r="A1847" t="s">
        <v>6707</v>
      </c>
      <c r="B1847" s="1" t="str">
        <f>HYPERLINK("https://www.catalog.slsa.sa.gov.au/record=b2114091")</f>
        <v>https://www.catalog.slsa.sa.gov.au/record=b2114091</v>
      </c>
      <c r="C1847" s="1" t="str">
        <f>HYPERLINK("https://www.catalog.slsa.sa.gov.au/xrecord=b2114091")</f>
        <v>https://www.catalog.slsa.sa.gov.au/xrecord=b2114091</v>
      </c>
      <c r="D1847" t="s">
        <v>66</v>
      </c>
      <c r="E1847" t="s">
        <v>6708</v>
      </c>
      <c r="F1847">
        <v>1955</v>
      </c>
      <c r="G1847" t="s">
        <v>121</v>
      </c>
      <c r="H1847" t="s">
        <v>6709</v>
      </c>
      <c r="I1847" t="s">
        <v>6710</v>
      </c>
      <c r="J1847" t="s">
        <v>71</v>
      </c>
      <c r="K1847" s="2" t="str">
        <f>HYPERLINK("http://collections.slsa.sa.gov.au/arthur/04000/BRG347_3926.htm")</f>
        <v>http://collections.slsa.sa.gov.au/arthur/04000/BRG347_3926.htm</v>
      </c>
    </row>
    <row r="1848" spans="1:11" x14ac:dyDescent="0.25">
      <c r="A1848" t="s">
        <v>6711</v>
      </c>
      <c r="B1848" s="1" t="str">
        <f>HYPERLINK("https://www.catalog.slsa.sa.gov.au/record=b2114092")</f>
        <v>https://www.catalog.slsa.sa.gov.au/record=b2114092</v>
      </c>
      <c r="C1848" s="1" t="str">
        <f>HYPERLINK("https://www.catalog.slsa.sa.gov.au/xrecord=b2114092")</f>
        <v>https://www.catalog.slsa.sa.gov.au/xrecord=b2114092</v>
      </c>
      <c r="D1848" t="s">
        <v>66</v>
      </c>
      <c r="E1848" t="s">
        <v>6712</v>
      </c>
      <c r="F1848">
        <v>1955</v>
      </c>
      <c r="G1848" t="s">
        <v>121</v>
      </c>
      <c r="H1848" t="s">
        <v>6713</v>
      </c>
      <c r="I1848" t="s">
        <v>6714</v>
      </c>
      <c r="J1848" t="s">
        <v>71</v>
      </c>
      <c r="K1848" s="2" t="str">
        <f>HYPERLINK("http://collections.slsa.sa.gov.au/arthur/04000/BRG347_3927.htm")</f>
        <v>http://collections.slsa.sa.gov.au/arthur/04000/BRG347_3927.htm</v>
      </c>
    </row>
    <row r="1849" spans="1:11" x14ac:dyDescent="0.25">
      <c r="A1849" t="s">
        <v>6715</v>
      </c>
      <c r="B1849" s="1" t="str">
        <f>HYPERLINK("https://www.catalog.slsa.sa.gov.au/record=b2114094")</f>
        <v>https://www.catalog.slsa.sa.gov.au/record=b2114094</v>
      </c>
      <c r="C1849" s="1" t="str">
        <f>HYPERLINK("https://www.catalog.slsa.sa.gov.au/xrecord=b2114094")</f>
        <v>https://www.catalog.slsa.sa.gov.au/xrecord=b2114094</v>
      </c>
      <c r="D1849" t="s">
        <v>66</v>
      </c>
      <c r="E1849" t="s">
        <v>6716</v>
      </c>
      <c r="F1849">
        <v>1955</v>
      </c>
      <c r="G1849" t="s">
        <v>121</v>
      </c>
      <c r="H1849" t="s">
        <v>6717</v>
      </c>
      <c r="I1849" t="s">
        <v>6718</v>
      </c>
      <c r="J1849" t="s">
        <v>71</v>
      </c>
      <c r="K1849" s="2" t="str">
        <f>HYPERLINK("http://collections.slsa.sa.gov.au/arthur/04000/BRG347_3929.htm")</f>
        <v>http://collections.slsa.sa.gov.au/arthur/04000/BRG347_3929.htm</v>
      </c>
    </row>
    <row r="1850" spans="1:11" x14ac:dyDescent="0.25">
      <c r="A1850" t="s">
        <v>6719</v>
      </c>
      <c r="B1850" s="1" t="str">
        <f>HYPERLINK("https://www.catalog.slsa.sa.gov.au/record=b2114095")</f>
        <v>https://www.catalog.slsa.sa.gov.au/record=b2114095</v>
      </c>
      <c r="C1850" s="1" t="str">
        <f>HYPERLINK("https://www.catalog.slsa.sa.gov.au/xrecord=b2114095")</f>
        <v>https://www.catalog.slsa.sa.gov.au/xrecord=b2114095</v>
      </c>
      <c r="D1850" t="s">
        <v>66</v>
      </c>
      <c r="E1850" t="s">
        <v>6720</v>
      </c>
      <c r="F1850">
        <v>1955</v>
      </c>
      <c r="G1850" t="s">
        <v>121</v>
      </c>
      <c r="H1850" t="s">
        <v>6721</v>
      </c>
      <c r="I1850" t="s">
        <v>6722</v>
      </c>
      <c r="J1850" t="s">
        <v>71</v>
      </c>
      <c r="K1850" s="2" t="str">
        <f>HYPERLINK("http://collections.slsa.sa.gov.au/arthur/04000/BRG347_3930.htm")</f>
        <v>http://collections.slsa.sa.gov.au/arthur/04000/BRG347_3930.htm</v>
      </c>
    </row>
    <row r="1851" spans="1:11" x14ac:dyDescent="0.25">
      <c r="A1851" t="s">
        <v>6723</v>
      </c>
      <c r="B1851" s="1" t="str">
        <f>HYPERLINK("https://www.catalog.slsa.sa.gov.au/record=b2114096")</f>
        <v>https://www.catalog.slsa.sa.gov.au/record=b2114096</v>
      </c>
      <c r="C1851" s="1" t="str">
        <f>HYPERLINK("https://www.catalog.slsa.sa.gov.au/xrecord=b2114096")</f>
        <v>https://www.catalog.slsa.sa.gov.au/xrecord=b2114096</v>
      </c>
      <c r="D1851" t="s">
        <v>66</v>
      </c>
      <c r="E1851" t="s">
        <v>6724</v>
      </c>
      <c r="F1851">
        <v>1955</v>
      </c>
      <c r="G1851" t="s">
        <v>121</v>
      </c>
      <c r="H1851" t="s">
        <v>6725</v>
      </c>
      <c r="I1851" t="s">
        <v>6726</v>
      </c>
      <c r="J1851" t="s">
        <v>71</v>
      </c>
      <c r="K1851" s="2" t="str">
        <f>HYPERLINK("http://collections.slsa.sa.gov.au/arthur/04000/BRG347_3931.htm")</f>
        <v>http://collections.slsa.sa.gov.au/arthur/04000/BRG347_3931.htm</v>
      </c>
    </row>
    <row r="1852" spans="1:11" x14ac:dyDescent="0.25">
      <c r="A1852" t="s">
        <v>6727</v>
      </c>
      <c r="B1852" s="1" t="str">
        <f>HYPERLINK("https://www.catalog.slsa.sa.gov.au/record=b2114097")</f>
        <v>https://www.catalog.slsa.sa.gov.au/record=b2114097</v>
      </c>
      <c r="C1852" s="1" t="str">
        <f>HYPERLINK("https://www.catalog.slsa.sa.gov.au/xrecord=b2114097")</f>
        <v>https://www.catalog.slsa.sa.gov.au/xrecord=b2114097</v>
      </c>
      <c r="D1852" t="s">
        <v>66</v>
      </c>
      <c r="E1852" t="s">
        <v>6728</v>
      </c>
      <c r="F1852">
        <v>1955</v>
      </c>
      <c r="G1852" t="s">
        <v>121</v>
      </c>
      <c r="H1852" t="s">
        <v>6729</v>
      </c>
      <c r="I1852" t="s">
        <v>6730</v>
      </c>
      <c r="J1852" t="s">
        <v>71</v>
      </c>
      <c r="K1852" s="2" t="str">
        <f>HYPERLINK("http://collections.slsa.sa.gov.au/arthur/04000/BRG347_3932.htm")</f>
        <v>http://collections.slsa.sa.gov.au/arthur/04000/BRG347_3932.htm</v>
      </c>
    </row>
    <row r="1853" spans="1:11" x14ac:dyDescent="0.25">
      <c r="A1853" t="s">
        <v>6731</v>
      </c>
      <c r="B1853" s="1" t="str">
        <f>HYPERLINK("https://www.catalog.slsa.sa.gov.au/record=b2117819")</f>
        <v>https://www.catalog.slsa.sa.gov.au/record=b2117819</v>
      </c>
      <c r="C1853" s="1" t="str">
        <f>HYPERLINK("https://www.catalog.slsa.sa.gov.au/xrecord=b2117819")</f>
        <v>https://www.catalog.slsa.sa.gov.au/xrecord=b2117819</v>
      </c>
      <c r="D1853" t="s">
        <v>66</v>
      </c>
      <c r="E1853" t="s">
        <v>6732</v>
      </c>
      <c r="F1853">
        <v>1955</v>
      </c>
      <c r="G1853" t="s">
        <v>121</v>
      </c>
      <c r="H1853" t="s">
        <v>6733</v>
      </c>
      <c r="I1853" t="s">
        <v>6734</v>
      </c>
      <c r="J1853" t="s">
        <v>71</v>
      </c>
      <c r="K1853" s="2" t="str">
        <f>HYPERLINK("http://collections.slsa.sa.gov.au/arthur/04000/BRG347_3934.htm")</f>
        <v>http://collections.slsa.sa.gov.au/arthur/04000/BRG347_3934.htm</v>
      </c>
    </row>
    <row r="1854" spans="1:11" x14ac:dyDescent="0.25">
      <c r="A1854" t="s">
        <v>6735</v>
      </c>
      <c r="B1854" s="1" t="str">
        <f>HYPERLINK("https://www.catalog.slsa.sa.gov.au/record=b2114099")</f>
        <v>https://www.catalog.slsa.sa.gov.au/record=b2114099</v>
      </c>
      <c r="C1854" s="1" t="str">
        <f>HYPERLINK("https://www.catalog.slsa.sa.gov.au/xrecord=b2114099")</f>
        <v>https://www.catalog.slsa.sa.gov.au/xrecord=b2114099</v>
      </c>
      <c r="D1854" t="s">
        <v>66</v>
      </c>
      <c r="E1854" t="s">
        <v>6736</v>
      </c>
      <c r="F1854">
        <v>1955</v>
      </c>
      <c r="G1854" t="s">
        <v>121</v>
      </c>
      <c r="H1854" t="s">
        <v>6737</v>
      </c>
      <c r="I1854" t="s">
        <v>6738</v>
      </c>
      <c r="J1854" t="s">
        <v>71</v>
      </c>
      <c r="K1854" s="2" t="str">
        <f>HYPERLINK("http://collections.slsa.sa.gov.au/arthur/04000/BRG347_3935.htm")</f>
        <v>http://collections.slsa.sa.gov.au/arthur/04000/BRG347_3935.htm</v>
      </c>
    </row>
    <row r="1855" spans="1:11" x14ac:dyDescent="0.25">
      <c r="A1855" t="s">
        <v>6739</v>
      </c>
      <c r="B1855" s="1" t="str">
        <f>HYPERLINK("https://www.catalog.slsa.sa.gov.au/record=b2114100")</f>
        <v>https://www.catalog.slsa.sa.gov.au/record=b2114100</v>
      </c>
      <c r="C1855" s="1" t="str">
        <f>HYPERLINK("https://www.catalog.slsa.sa.gov.au/xrecord=b2114100")</f>
        <v>https://www.catalog.slsa.sa.gov.au/xrecord=b2114100</v>
      </c>
      <c r="D1855" t="s">
        <v>66</v>
      </c>
      <c r="E1855" t="s">
        <v>6740</v>
      </c>
      <c r="F1855">
        <v>1955</v>
      </c>
      <c r="G1855" t="s">
        <v>121</v>
      </c>
      <c r="H1855" t="s">
        <v>6741</v>
      </c>
      <c r="I1855" t="s">
        <v>6742</v>
      </c>
      <c r="J1855" t="s">
        <v>71</v>
      </c>
      <c r="K1855" s="2" t="str">
        <f>HYPERLINK("http://collections.slsa.sa.gov.au/arthur/04000/BRG347_3936.htm")</f>
        <v>http://collections.slsa.sa.gov.au/arthur/04000/BRG347_3936.htm</v>
      </c>
    </row>
    <row r="1856" spans="1:11" x14ac:dyDescent="0.25">
      <c r="A1856" t="s">
        <v>6743</v>
      </c>
      <c r="B1856" s="1" t="str">
        <f>HYPERLINK("https://www.catalog.slsa.sa.gov.au/record=b2114101")</f>
        <v>https://www.catalog.slsa.sa.gov.au/record=b2114101</v>
      </c>
      <c r="C1856" s="1" t="str">
        <f>HYPERLINK("https://www.catalog.slsa.sa.gov.au/xrecord=b2114101")</f>
        <v>https://www.catalog.slsa.sa.gov.au/xrecord=b2114101</v>
      </c>
      <c r="D1856" t="s">
        <v>66</v>
      </c>
      <c r="E1856" t="s">
        <v>6744</v>
      </c>
      <c r="F1856">
        <v>1955</v>
      </c>
      <c r="G1856" t="s">
        <v>121</v>
      </c>
      <c r="H1856" t="s">
        <v>6745</v>
      </c>
      <c r="I1856" t="s">
        <v>6746</v>
      </c>
      <c r="J1856" t="s">
        <v>71</v>
      </c>
      <c r="K1856" s="2" t="str">
        <f>HYPERLINK("http://collections.slsa.sa.gov.au/arthur/04000/BRG347_3937.htm")</f>
        <v>http://collections.slsa.sa.gov.au/arthur/04000/BRG347_3937.htm</v>
      </c>
    </row>
    <row r="1857" spans="1:11" x14ac:dyDescent="0.25">
      <c r="A1857" t="s">
        <v>6747</v>
      </c>
      <c r="B1857" s="1" t="str">
        <f>HYPERLINK("https://www.catalog.slsa.sa.gov.au/record=b2117820")</f>
        <v>https://www.catalog.slsa.sa.gov.au/record=b2117820</v>
      </c>
      <c r="C1857" s="1" t="str">
        <f>HYPERLINK("https://www.catalog.slsa.sa.gov.au/xrecord=b2117820")</f>
        <v>https://www.catalog.slsa.sa.gov.au/xrecord=b2117820</v>
      </c>
      <c r="D1857" t="s">
        <v>66</v>
      </c>
      <c r="E1857" t="s">
        <v>6748</v>
      </c>
      <c r="F1857">
        <v>1955</v>
      </c>
      <c r="G1857" t="s">
        <v>121</v>
      </c>
      <c r="H1857" t="s">
        <v>6749</v>
      </c>
      <c r="I1857" t="s">
        <v>6750</v>
      </c>
      <c r="J1857" t="s">
        <v>71</v>
      </c>
      <c r="K1857" s="2" t="str">
        <f>HYPERLINK("http://collections.slsa.sa.gov.au/arthur/04000/BRG347_3938.htm")</f>
        <v>http://collections.slsa.sa.gov.au/arthur/04000/BRG347_3938.htm</v>
      </c>
    </row>
    <row r="1858" spans="1:11" x14ac:dyDescent="0.25">
      <c r="A1858" t="s">
        <v>6751</v>
      </c>
      <c r="B1858" s="1" t="str">
        <f>HYPERLINK("https://www.catalog.slsa.sa.gov.au/record=b2114102")</f>
        <v>https://www.catalog.slsa.sa.gov.au/record=b2114102</v>
      </c>
      <c r="C1858" s="1" t="str">
        <f>HYPERLINK("https://www.catalog.slsa.sa.gov.au/xrecord=b2114102")</f>
        <v>https://www.catalog.slsa.sa.gov.au/xrecord=b2114102</v>
      </c>
      <c r="D1858" t="s">
        <v>66</v>
      </c>
      <c r="E1858" t="s">
        <v>6752</v>
      </c>
      <c r="F1858">
        <v>1955</v>
      </c>
      <c r="G1858" t="s">
        <v>121</v>
      </c>
      <c r="H1858" t="s">
        <v>6753</v>
      </c>
      <c r="I1858" t="s">
        <v>6754</v>
      </c>
      <c r="J1858" t="s">
        <v>71</v>
      </c>
      <c r="K1858" s="2" t="str">
        <f>HYPERLINK("http://collections.slsa.sa.gov.au/arthur/04000/BRG347_3939.htm")</f>
        <v>http://collections.slsa.sa.gov.au/arthur/04000/BRG347_3939.htm</v>
      </c>
    </row>
    <row r="1859" spans="1:11" x14ac:dyDescent="0.25">
      <c r="A1859" t="s">
        <v>6755</v>
      </c>
      <c r="B1859" s="1" t="str">
        <f>HYPERLINK("https://www.catalog.slsa.sa.gov.au/record=b2117821")</f>
        <v>https://www.catalog.slsa.sa.gov.au/record=b2117821</v>
      </c>
      <c r="C1859" s="1" t="str">
        <f>HYPERLINK("https://www.catalog.slsa.sa.gov.au/xrecord=b2117821")</f>
        <v>https://www.catalog.slsa.sa.gov.au/xrecord=b2117821</v>
      </c>
      <c r="D1859" t="s">
        <v>66</v>
      </c>
      <c r="E1859" t="s">
        <v>6756</v>
      </c>
      <c r="F1859">
        <v>1955</v>
      </c>
      <c r="G1859" t="s">
        <v>121</v>
      </c>
      <c r="H1859" t="s">
        <v>6757</v>
      </c>
      <c r="I1859" t="s">
        <v>6758</v>
      </c>
      <c r="J1859" t="s">
        <v>71</v>
      </c>
      <c r="K1859" s="2" t="str">
        <f>HYPERLINK("http://collections.slsa.sa.gov.au/arthur/04000/BRG347_3940.htm")</f>
        <v>http://collections.slsa.sa.gov.au/arthur/04000/BRG347_3940.htm</v>
      </c>
    </row>
    <row r="1860" spans="1:11" x14ac:dyDescent="0.25">
      <c r="A1860" t="s">
        <v>6759</v>
      </c>
      <c r="B1860" s="1" t="str">
        <f>HYPERLINK("https://www.catalog.slsa.sa.gov.au/record=b2114103")</f>
        <v>https://www.catalog.slsa.sa.gov.au/record=b2114103</v>
      </c>
      <c r="C1860" s="1" t="str">
        <f>HYPERLINK("https://www.catalog.slsa.sa.gov.au/xrecord=b2114103")</f>
        <v>https://www.catalog.slsa.sa.gov.au/xrecord=b2114103</v>
      </c>
      <c r="D1860" t="s">
        <v>66</v>
      </c>
      <c r="E1860" t="s">
        <v>6760</v>
      </c>
      <c r="F1860">
        <v>1955</v>
      </c>
      <c r="G1860" t="s">
        <v>121</v>
      </c>
      <c r="H1860" t="s">
        <v>6761</v>
      </c>
      <c r="I1860" t="s">
        <v>6762</v>
      </c>
      <c r="J1860" t="s">
        <v>71</v>
      </c>
      <c r="K1860" s="2" t="str">
        <f>HYPERLINK("http://collections.slsa.sa.gov.au/arthur/04000/BRG347_3941.htm")</f>
        <v>http://collections.slsa.sa.gov.au/arthur/04000/BRG347_3941.htm</v>
      </c>
    </row>
    <row r="1861" spans="1:11" x14ac:dyDescent="0.25">
      <c r="A1861" t="s">
        <v>6763</v>
      </c>
      <c r="B1861" s="1" t="str">
        <f>HYPERLINK("https://www.catalog.slsa.sa.gov.au/record=b2114116")</f>
        <v>https://www.catalog.slsa.sa.gov.au/record=b2114116</v>
      </c>
      <c r="C1861" s="1" t="str">
        <f>HYPERLINK("https://www.catalog.slsa.sa.gov.au/xrecord=b2114116")</f>
        <v>https://www.catalog.slsa.sa.gov.au/xrecord=b2114116</v>
      </c>
      <c r="D1861" t="s">
        <v>66</v>
      </c>
      <c r="E1861" t="s">
        <v>6764</v>
      </c>
      <c r="F1861">
        <v>1955</v>
      </c>
      <c r="G1861" t="s">
        <v>121</v>
      </c>
      <c r="H1861" t="s">
        <v>6765</v>
      </c>
      <c r="I1861" t="s">
        <v>6766</v>
      </c>
      <c r="J1861" t="s">
        <v>71</v>
      </c>
      <c r="K1861" s="2" t="str">
        <f>HYPERLINK("http://collections.slsa.sa.gov.au/arthur/04000/BRG347_3943.htm")</f>
        <v>http://collections.slsa.sa.gov.au/arthur/04000/BRG347_3943.htm</v>
      </c>
    </row>
    <row r="1862" spans="1:11" x14ac:dyDescent="0.25">
      <c r="A1862" t="s">
        <v>6767</v>
      </c>
      <c r="B1862" s="1" t="str">
        <f>HYPERLINK("https://www.catalog.slsa.sa.gov.au/record=b2114117")</f>
        <v>https://www.catalog.slsa.sa.gov.au/record=b2114117</v>
      </c>
      <c r="C1862" s="1" t="str">
        <f>HYPERLINK("https://www.catalog.slsa.sa.gov.au/xrecord=b2114117")</f>
        <v>https://www.catalog.slsa.sa.gov.au/xrecord=b2114117</v>
      </c>
      <c r="D1862" t="s">
        <v>66</v>
      </c>
      <c r="E1862" t="s">
        <v>6768</v>
      </c>
      <c r="F1862">
        <v>1955</v>
      </c>
      <c r="G1862" t="s">
        <v>121</v>
      </c>
      <c r="H1862" t="s">
        <v>6769</v>
      </c>
      <c r="I1862" t="s">
        <v>6770</v>
      </c>
      <c r="J1862" t="s">
        <v>71</v>
      </c>
      <c r="K1862" s="2" t="str">
        <f>HYPERLINK("http://collections.slsa.sa.gov.au/arthur/04000/BRG347_3944.htm")</f>
        <v>http://collections.slsa.sa.gov.au/arthur/04000/BRG347_3944.htm</v>
      </c>
    </row>
    <row r="1863" spans="1:11" x14ac:dyDescent="0.25">
      <c r="A1863" t="s">
        <v>6771</v>
      </c>
      <c r="B1863" s="1" t="str">
        <f>HYPERLINK("https://www.catalog.slsa.sa.gov.au/record=b2116530")</f>
        <v>https://www.catalog.slsa.sa.gov.au/record=b2116530</v>
      </c>
      <c r="C1863" s="1" t="str">
        <f>HYPERLINK("https://www.catalog.slsa.sa.gov.au/xrecord=b2116530")</f>
        <v>https://www.catalog.slsa.sa.gov.au/xrecord=b2116530</v>
      </c>
      <c r="D1863" t="s">
        <v>66</v>
      </c>
      <c r="E1863" t="s">
        <v>6772</v>
      </c>
      <c r="F1863">
        <v>1955</v>
      </c>
      <c r="G1863" t="s">
        <v>121</v>
      </c>
      <c r="H1863" t="s">
        <v>6773</v>
      </c>
      <c r="I1863" t="s">
        <v>6774</v>
      </c>
      <c r="J1863" t="s">
        <v>71</v>
      </c>
      <c r="K1863" s="2" t="str">
        <f>HYPERLINK("http://collections.slsa.sa.gov.au/arthur/05750/BRG347_5545.htm")</f>
        <v>http://collections.slsa.sa.gov.au/arthur/05750/BRG347_5545.htm</v>
      </c>
    </row>
    <row r="1864" spans="1:11" x14ac:dyDescent="0.25">
      <c r="A1864" t="s">
        <v>6775</v>
      </c>
      <c r="B1864" s="1" t="str">
        <f>HYPERLINK("https://www.catalog.slsa.sa.gov.au/record=b2116631")</f>
        <v>https://www.catalog.slsa.sa.gov.au/record=b2116631</v>
      </c>
      <c r="C1864" s="1" t="str">
        <f>HYPERLINK("https://www.catalog.slsa.sa.gov.au/xrecord=b2116631")</f>
        <v>https://www.catalog.slsa.sa.gov.au/xrecord=b2116631</v>
      </c>
      <c r="D1864" t="s">
        <v>66</v>
      </c>
      <c r="E1864" t="s">
        <v>6776</v>
      </c>
      <c r="F1864">
        <v>1955</v>
      </c>
      <c r="G1864" t="s">
        <v>121</v>
      </c>
      <c r="H1864" t="s">
        <v>6777</v>
      </c>
      <c r="I1864" t="s">
        <v>6778</v>
      </c>
      <c r="J1864" t="s">
        <v>71</v>
      </c>
      <c r="K1864" s="2" t="str">
        <f>HYPERLINK("http://collections.slsa.sa.gov.au/arthur/05750/BRG347_5558.htm")</f>
        <v>http://collections.slsa.sa.gov.au/arthur/05750/BRG347_5558.htm</v>
      </c>
    </row>
    <row r="1865" spans="1:11" x14ac:dyDescent="0.25">
      <c r="A1865" t="s">
        <v>6779</v>
      </c>
      <c r="B1865" s="1" t="str">
        <f>HYPERLINK("https://www.catalog.slsa.sa.gov.au/record=b2116636")</f>
        <v>https://www.catalog.slsa.sa.gov.au/record=b2116636</v>
      </c>
      <c r="C1865" s="1" t="str">
        <f>HYPERLINK("https://www.catalog.slsa.sa.gov.au/xrecord=b2116636")</f>
        <v>https://www.catalog.slsa.sa.gov.au/xrecord=b2116636</v>
      </c>
      <c r="D1865" t="s">
        <v>66</v>
      </c>
      <c r="E1865" t="s">
        <v>6780</v>
      </c>
      <c r="F1865">
        <v>1955</v>
      </c>
      <c r="G1865" t="s">
        <v>121</v>
      </c>
      <c r="H1865" t="s">
        <v>6781</v>
      </c>
      <c r="I1865" t="s">
        <v>6782</v>
      </c>
      <c r="J1865" t="s">
        <v>71</v>
      </c>
      <c r="K1865" s="2" t="str">
        <f>HYPERLINK("http://collections.slsa.sa.gov.au/arthur/05750/BRG347_5563.htm")</f>
        <v>http://collections.slsa.sa.gov.au/arthur/05750/BRG347_5563.htm</v>
      </c>
    </row>
    <row r="1866" spans="1:11" x14ac:dyDescent="0.25">
      <c r="A1866" t="s">
        <v>6783</v>
      </c>
      <c r="B1866" s="1" t="str">
        <f>HYPERLINK("https://www.catalog.slsa.sa.gov.au/record=b2116639")</f>
        <v>https://www.catalog.slsa.sa.gov.au/record=b2116639</v>
      </c>
      <c r="C1866" s="1" t="str">
        <f>HYPERLINK("https://www.catalog.slsa.sa.gov.au/xrecord=b2116639")</f>
        <v>https://www.catalog.slsa.sa.gov.au/xrecord=b2116639</v>
      </c>
      <c r="D1866" t="s">
        <v>66</v>
      </c>
      <c r="E1866" t="s">
        <v>6784</v>
      </c>
      <c r="F1866">
        <v>1955</v>
      </c>
      <c r="G1866" t="s">
        <v>121</v>
      </c>
      <c r="H1866" t="s">
        <v>6785</v>
      </c>
      <c r="I1866" t="s">
        <v>6786</v>
      </c>
      <c r="J1866" t="s">
        <v>71</v>
      </c>
      <c r="K1866" s="2" t="str">
        <f>HYPERLINK("http://collections.slsa.sa.gov.au/arthur/05750/BRG347_5566.htm")</f>
        <v>http://collections.slsa.sa.gov.au/arthur/05750/BRG347_5566.htm</v>
      </c>
    </row>
    <row r="1867" spans="1:11" x14ac:dyDescent="0.25">
      <c r="A1867" t="s">
        <v>6787</v>
      </c>
      <c r="B1867" s="1" t="str">
        <f>HYPERLINK("https://www.catalog.slsa.sa.gov.au/record=b2116640")</f>
        <v>https://www.catalog.slsa.sa.gov.au/record=b2116640</v>
      </c>
      <c r="C1867" s="1" t="str">
        <f>HYPERLINK("https://www.catalog.slsa.sa.gov.au/xrecord=b2116640")</f>
        <v>https://www.catalog.slsa.sa.gov.au/xrecord=b2116640</v>
      </c>
      <c r="D1867" t="s">
        <v>66</v>
      </c>
      <c r="E1867" t="s">
        <v>6788</v>
      </c>
      <c r="F1867">
        <v>1955</v>
      </c>
      <c r="G1867" t="s">
        <v>121</v>
      </c>
      <c r="H1867" t="s">
        <v>6789</v>
      </c>
      <c r="I1867" t="s">
        <v>6790</v>
      </c>
      <c r="J1867" t="s">
        <v>71</v>
      </c>
      <c r="K1867" s="2" t="str">
        <f>HYPERLINK("http://collections.slsa.sa.gov.au/arthur/05750/BRG347_5567.htm")</f>
        <v>http://collections.slsa.sa.gov.au/arthur/05750/BRG347_5567.htm</v>
      </c>
    </row>
    <row r="1868" spans="1:11" x14ac:dyDescent="0.25">
      <c r="A1868" t="s">
        <v>6791</v>
      </c>
      <c r="B1868" s="1" t="str">
        <f>HYPERLINK("https://www.catalog.slsa.sa.gov.au/record=b2116641")</f>
        <v>https://www.catalog.slsa.sa.gov.au/record=b2116641</v>
      </c>
      <c r="C1868" s="1" t="str">
        <f>HYPERLINK("https://www.catalog.slsa.sa.gov.au/xrecord=b2116641")</f>
        <v>https://www.catalog.slsa.sa.gov.au/xrecord=b2116641</v>
      </c>
      <c r="D1868" t="s">
        <v>66</v>
      </c>
      <c r="E1868" t="s">
        <v>6792</v>
      </c>
      <c r="F1868">
        <v>1955</v>
      </c>
      <c r="G1868" t="s">
        <v>121</v>
      </c>
      <c r="H1868" t="s">
        <v>6793</v>
      </c>
      <c r="I1868" t="s">
        <v>6794</v>
      </c>
      <c r="J1868" t="s">
        <v>71</v>
      </c>
      <c r="K1868" s="2" t="str">
        <f>HYPERLINK("http://collections.slsa.sa.gov.au/arthur/05750/BRG347_5568.htm")</f>
        <v>http://collections.slsa.sa.gov.au/arthur/05750/BRG347_5568.htm</v>
      </c>
    </row>
    <row r="1869" spans="1:11" x14ac:dyDescent="0.25">
      <c r="A1869" t="s">
        <v>6795</v>
      </c>
      <c r="B1869" s="1" t="str">
        <f>HYPERLINK("https://www.catalog.slsa.sa.gov.au/record=b2116642")</f>
        <v>https://www.catalog.slsa.sa.gov.au/record=b2116642</v>
      </c>
      <c r="C1869" s="1" t="str">
        <f>HYPERLINK("https://www.catalog.slsa.sa.gov.au/xrecord=b2116642")</f>
        <v>https://www.catalog.slsa.sa.gov.au/xrecord=b2116642</v>
      </c>
      <c r="D1869" t="s">
        <v>66</v>
      </c>
      <c r="E1869" t="s">
        <v>6796</v>
      </c>
      <c r="F1869">
        <v>1955</v>
      </c>
      <c r="G1869" t="s">
        <v>121</v>
      </c>
      <c r="H1869" t="s">
        <v>6797</v>
      </c>
      <c r="I1869" t="s">
        <v>6798</v>
      </c>
      <c r="J1869" t="s">
        <v>71</v>
      </c>
      <c r="K1869" s="2" t="str">
        <f>HYPERLINK("http://collections.slsa.sa.gov.au/arthur/05750/BRG347_5569.htm")</f>
        <v>http://collections.slsa.sa.gov.au/arthur/05750/BRG347_5569.htm</v>
      </c>
    </row>
    <row r="1870" spans="1:11" x14ac:dyDescent="0.25">
      <c r="A1870" t="s">
        <v>6799</v>
      </c>
      <c r="B1870" s="1" t="str">
        <f>HYPERLINK("https://www.catalog.slsa.sa.gov.au/record=b2116643")</f>
        <v>https://www.catalog.slsa.sa.gov.au/record=b2116643</v>
      </c>
      <c r="C1870" s="1" t="str">
        <f>HYPERLINK("https://www.catalog.slsa.sa.gov.au/xrecord=b2116643")</f>
        <v>https://www.catalog.slsa.sa.gov.au/xrecord=b2116643</v>
      </c>
      <c r="D1870" t="s">
        <v>66</v>
      </c>
      <c r="E1870" t="s">
        <v>6800</v>
      </c>
      <c r="F1870">
        <v>1955</v>
      </c>
      <c r="G1870" t="s">
        <v>121</v>
      </c>
      <c r="H1870" t="s">
        <v>6801</v>
      </c>
      <c r="I1870" t="s">
        <v>6802</v>
      </c>
      <c r="J1870" t="s">
        <v>71</v>
      </c>
      <c r="K1870" s="2" t="str">
        <f>HYPERLINK("http://collections.slsa.sa.gov.au/arthur/05750/BRG347_5570.htm")</f>
        <v>http://collections.slsa.sa.gov.au/arthur/05750/BRG347_5570.htm</v>
      </c>
    </row>
    <row r="1871" spans="1:11" x14ac:dyDescent="0.25">
      <c r="A1871" t="s">
        <v>6803</v>
      </c>
      <c r="B1871" s="1" t="str">
        <f>HYPERLINK("https://www.catalog.slsa.sa.gov.au/record=b2116644")</f>
        <v>https://www.catalog.slsa.sa.gov.au/record=b2116644</v>
      </c>
      <c r="C1871" s="1" t="str">
        <f>HYPERLINK("https://www.catalog.slsa.sa.gov.au/xrecord=b2116644")</f>
        <v>https://www.catalog.slsa.sa.gov.au/xrecord=b2116644</v>
      </c>
      <c r="D1871" t="s">
        <v>66</v>
      </c>
      <c r="E1871" t="s">
        <v>6804</v>
      </c>
      <c r="F1871">
        <v>1955</v>
      </c>
      <c r="G1871" t="s">
        <v>121</v>
      </c>
      <c r="H1871" t="s">
        <v>6805</v>
      </c>
      <c r="I1871" t="s">
        <v>6806</v>
      </c>
      <c r="J1871" t="s">
        <v>71</v>
      </c>
      <c r="K1871" s="2" t="str">
        <f>HYPERLINK("http://collections.slsa.sa.gov.au/arthur/05750/BRG347_5571.htm")</f>
        <v>http://collections.slsa.sa.gov.au/arthur/05750/BRG347_5571.htm</v>
      </c>
    </row>
    <row r="1872" spans="1:11" x14ac:dyDescent="0.25">
      <c r="A1872" t="s">
        <v>6807</v>
      </c>
      <c r="B1872" s="1" t="str">
        <f>HYPERLINK("https://www.catalog.slsa.sa.gov.au/record=b2116645")</f>
        <v>https://www.catalog.slsa.sa.gov.au/record=b2116645</v>
      </c>
      <c r="C1872" s="1" t="str">
        <f>HYPERLINK("https://www.catalog.slsa.sa.gov.au/xrecord=b2116645")</f>
        <v>https://www.catalog.slsa.sa.gov.au/xrecord=b2116645</v>
      </c>
      <c r="D1872" t="s">
        <v>66</v>
      </c>
      <c r="E1872" t="s">
        <v>6808</v>
      </c>
      <c r="F1872">
        <v>1955</v>
      </c>
      <c r="G1872" t="s">
        <v>121</v>
      </c>
      <c r="H1872" t="s">
        <v>6809</v>
      </c>
      <c r="I1872" t="s">
        <v>6810</v>
      </c>
      <c r="J1872" t="s">
        <v>71</v>
      </c>
      <c r="K1872" s="2" t="str">
        <f>HYPERLINK("http://collections.slsa.sa.gov.au/arthur/05750/BRG347_5572.htm")</f>
        <v>http://collections.slsa.sa.gov.au/arthur/05750/BRG347_5572.htm</v>
      </c>
    </row>
    <row r="1873" spans="1:11" x14ac:dyDescent="0.25">
      <c r="A1873" t="s">
        <v>6811</v>
      </c>
      <c r="B1873" s="1" t="str">
        <f>HYPERLINK("https://www.catalog.slsa.sa.gov.au/record=b2116646")</f>
        <v>https://www.catalog.slsa.sa.gov.au/record=b2116646</v>
      </c>
      <c r="C1873" s="1" t="str">
        <f>HYPERLINK("https://www.catalog.slsa.sa.gov.au/xrecord=b2116646")</f>
        <v>https://www.catalog.slsa.sa.gov.au/xrecord=b2116646</v>
      </c>
      <c r="D1873" t="s">
        <v>66</v>
      </c>
      <c r="E1873" t="s">
        <v>6812</v>
      </c>
      <c r="F1873">
        <v>1955</v>
      </c>
      <c r="G1873" t="s">
        <v>121</v>
      </c>
      <c r="H1873" t="s">
        <v>6813</v>
      </c>
      <c r="I1873" t="s">
        <v>6814</v>
      </c>
      <c r="J1873" t="s">
        <v>71</v>
      </c>
      <c r="K1873" s="2" t="str">
        <f>HYPERLINK("http://collections.slsa.sa.gov.au/arthur/05750/BRG347_5573.htm")</f>
        <v>http://collections.slsa.sa.gov.au/arthur/05750/BRG347_5573.htm</v>
      </c>
    </row>
    <row r="1874" spans="1:11" x14ac:dyDescent="0.25">
      <c r="A1874" t="s">
        <v>6815</v>
      </c>
      <c r="B1874" s="1" t="str">
        <f>HYPERLINK("https://www.catalog.slsa.sa.gov.au/record=b2116647")</f>
        <v>https://www.catalog.slsa.sa.gov.au/record=b2116647</v>
      </c>
      <c r="C1874" s="1" t="str">
        <f>HYPERLINK("https://www.catalog.slsa.sa.gov.au/xrecord=b2116647")</f>
        <v>https://www.catalog.slsa.sa.gov.au/xrecord=b2116647</v>
      </c>
      <c r="D1874" t="s">
        <v>66</v>
      </c>
      <c r="E1874" t="s">
        <v>6816</v>
      </c>
      <c r="F1874">
        <v>1955</v>
      </c>
      <c r="G1874" t="s">
        <v>121</v>
      </c>
      <c r="H1874" t="s">
        <v>6817</v>
      </c>
      <c r="I1874" t="s">
        <v>6818</v>
      </c>
      <c r="J1874" t="s">
        <v>71</v>
      </c>
      <c r="K1874" s="2" t="str">
        <f>HYPERLINK("http://collections.slsa.sa.gov.au/arthur/05750/BRG347_5574.htm")</f>
        <v>http://collections.slsa.sa.gov.au/arthur/05750/BRG347_5574.htm</v>
      </c>
    </row>
    <row r="1875" spans="1:11" x14ac:dyDescent="0.25">
      <c r="A1875" t="s">
        <v>6819</v>
      </c>
      <c r="B1875" s="1" t="str">
        <f>HYPERLINK("https://www.catalog.slsa.sa.gov.au/record=b2116648")</f>
        <v>https://www.catalog.slsa.sa.gov.au/record=b2116648</v>
      </c>
      <c r="C1875" s="1" t="str">
        <f>HYPERLINK("https://www.catalog.slsa.sa.gov.au/xrecord=b2116648")</f>
        <v>https://www.catalog.slsa.sa.gov.au/xrecord=b2116648</v>
      </c>
      <c r="D1875" t="s">
        <v>66</v>
      </c>
      <c r="E1875" t="s">
        <v>6820</v>
      </c>
      <c r="F1875">
        <v>1955</v>
      </c>
      <c r="G1875" t="s">
        <v>121</v>
      </c>
      <c r="H1875" t="s">
        <v>6821</v>
      </c>
      <c r="I1875" t="s">
        <v>6822</v>
      </c>
      <c r="J1875" t="s">
        <v>71</v>
      </c>
      <c r="K1875" s="2" t="str">
        <f>HYPERLINK("http://collections.slsa.sa.gov.au/arthur/05750/BRG347_5575.htm")</f>
        <v>http://collections.slsa.sa.gov.au/arthur/05750/BRG347_5575.htm</v>
      </c>
    </row>
    <row r="1876" spans="1:11" x14ac:dyDescent="0.25">
      <c r="A1876" t="s">
        <v>6823</v>
      </c>
      <c r="B1876" s="1" t="str">
        <f>HYPERLINK("https://www.catalog.slsa.sa.gov.au/record=b2116649")</f>
        <v>https://www.catalog.slsa.sa.gov.au/record=b2116649</v>
      </c>
      <c r="C1876" s="1" t="str">
        <f>HYPERLINK("https://www.catalog.slsa.sa.gov.au/xrecord=b2116649")</f>
        <v>https://www.catalog.slsa.sa.gov.au/xrecord=b2116649</v>
      </c>
      <c r="D1876" t="s">
        <v>66</v>
      </c>
      <c r="E1876" t="s">
        <v>6824</v>
      </c>
      <c r="F1876">
        <v>1955</v>
      </c>
      <c r="G1876" t="s">
        <v>121</v>
      </c>
      <c r="H1876" t="s">
        <v>6825</v>
      </c>
      <c r="I1876" t="s">
        <v>6826</v>
      </c>
      <c r="J1876" t="s">
        <v>71</v>
      </c>
      <c r="K1876" s="2" t="str">
        <f>HYPERLINK("http://collections.slsa.sa.gov.au/arthur/05750/BRG347_5576.htm")</f>
        <v>http://collections.slsa.sa.gov.au/arthur/05750/BRG347_5576.htm</v>
      </c>
    </row>
    <row r="1877" spans="1:11" x14ac:dyDescent="0.25">
      <c r="A1877" t="s">
        <v>6827</v>
      </c>
      <c r="B1877" s="1" t="str">
        <f>HYPERLINK("https://www.catalog.slsa.sa.gov.au/record=b2116650")</f>
        <v>https://www.catalog.slsa.sa.gov.au/record=b2116650</v>
      </c>
      <c r="C1877" s="1" t="str">
        <f>HYPERLINK("https://www.catalog.slsa.sa.gov.au/xrecord=b2116650")</f>
        <v>https://www.catalog.slsa.sa.gov.au/xrecord=b2116650</v>
      </c>
      <c r="D1877" t="s">
        <v>66</v>
      </c>
      <c r="E1877" t="s">
        <v>6828</v>
      </c>
      <c r="F1877">
        <v>1955</v>
      </c>
      <c r="G1877" t="s">
        <v>121</v>
      </c>
      <c r="H1877" t="s">
        <v>6829</v>
      </c>
      <c r="I1877" t="s">
        <v>6830</v>
      </c>
      <c r="J1877" t="s">
        <v>71</v>
      </c>
      <c r="K1877" s="2" t="str">
        <f>HYPERLINK("http://collections.slsa.sa.gov.au/arthur/05750/BRG347_5577.htm")</f>
        <v>http://collections.slsa.sa.gov.au/arthur/05750/BRG347_5577.htm</v>
      </c>
    </row>
    <row r="1878" spans="1:11" x14ac:dyDescent="0.25">
      <c r="A1878" t="s">
        <v>6831</v>
      </c>
      <c r="B1878" s="1" t="str">
        <f>HYPERLINK("https://www.catalog.slsa.sa.gov.au/record=b2116651")</f>
        <v>https://www.catalog.slsa.sa.gov.au/record=b2116651</v>
      </c>
      <c r="C1878" s="1" t="str">
        <f>HYPERLINK("https://www.catalog.slsa.sa.gov.au/xrecord=b2116651")</f>
        <v>https://www.catalog.slsa.sa.gov.au/xrecord=b2116651</v>
      </c>
      <c r="D1878" t="s">
        <v>66</v>
      </c>
      <c r="E1878" t="s">
        <v>6832</v>
      </c>
      <c r="F1878">
        <v>1955</v>
      </c>
      <c r="G1878" t="s">
        <v>121</v>
      </c>
      <c r="H1878" t="s">
        <v>6833</v>
      </c>
      <c r="I1878" t="s">
        <v>6834</v>
      </c>
      <c r="J1878" t="s">
        <v>71</v>
      </c>
      <c r="K1878" s="2" t="str">
        <f>HYPERLINK("http://collections.slsa.sa.gov.au/arthur/05750/BRG347_5578.htm")</f>
        <v>http://collections.slsa.sa.gov.au/arthur/05750/BRG347_5578.htm</v>
      </c>
    </row>
    <row r="1879" spans="1:11" x14ac:dyDescent="0.25">
      <c r="A1879" t="s">
        <v>6835</v>
      </c>
      <c r="B1879" s="1" t="str">
        <f>HYPERLINK("https://www.catalog.slsa.sa.gov.au/record=b2116652")</f>
        <v>https://www.catalog.slsa.sa.gov.au/record=b2116652</v>
      </c>
      <c r="C1879" s="1" t="str">
        <f>HYPERLINK("https://www.catalog.slsa.sa.gov.au/xrecord=b2116652")</f>
        <v>https://www.catalog.slsa.sa.gov.au/xrecord=b2116652</v>
      </c>
      <c r="D1879" t="s">
        <v>66</v>
      </c>
      <c r="E1879" t="s">
        <v>193</v>
      </c>
      <c r="F1879">
        <v>1955</v>
      </c>
      <c r="G1879" t="s">
        <v>121</v>
      </c>
      <c r="H1879" t="s">
        <v>6836</v>
      </c>
      <c r="I1879" t="s">
        <v>6837</v>
      </c>
      <c r="J1879" t="s">
        <v>71</v>
      </c>
      <c r="K1879" s="2" t="str">
        <f>HYPERLINK("http://collections.slsa.sa.gov.au/arthur/05750/BRG347_5579.htm")</f>
        <v>http://collections.slsa.sa.gov.au/arthur/05750/BRG347_5579.htm</v>
      </c>
    </row>
    <row r="1880" spans="1:11" x14ac:dyDescent="0.25">
      <c r="A1880" t="s">
        <v>6838</v>
      </c>
      <c r="B1880" s="1" t="str">
        <f>HYPERLINK("https://www.catalog.slsa.sa.gov.au/record=b2116653")</f>
        <v>https://www.catalog.slsa.sa.gov.au/record=b2116653</v>
      </c>
      <c r="C1880" s="1" t="str">
        <f>HYPERLINK("https://www.catalog.slsa.sa.gov.au/xrecord=b2116653")</f>
        <v>https://www.catalog.slsa.sa.gov.au/xrecord=b2116653</v>
      </c>
      <c r="D1880" t="s">
        <v>66</v>
      </c>
      <c r="E1880" t="s">
        <v>6839</v>
      </c>
      <c r="F1880">
        <v>1955</v>
      </c>
      <c r="G1880" t="s">
        <v>121</v>
      </c>
      <c r="H1880" t="s">
        <v>6840</v>
      </c>
      <c r="I1880" t="s">
        <v>6841</v>
      </c>
      <c r="J1880" t="s">
        <v>71</v>
      </c>
      <c r="K1880" s="2" t="str">
        <f>HYPERLINK("http://collections.slsa.sa.gov.au/arthur/05750/BRG347_5580.htm")</f>
        <v>http://collections.slsa.sa.gov.au/arthur/05750/BRG347_5580.htm</v>
      </c>
    </row>
    <row r="1881" spans="1:11" x14ac:dyDescent="0.25">
      <c r="A1881" t="s">
        <v>6842</v>
      </c>
      <c r="B1881" s="1" t="str">
        <f>HYPERLINK("https://www.catalog.slsa.sa.gov.au/record=b2116654")</f>
        <v>https://www.catalog.slsa.sa.gov.au/record=b2116654</v>
      </c>
      <c r="C1881" s="1" t="str">
        <f>HYPERLINK("https://www.catalog.slsa.sa.gov.au/xrecord=b2116654")</f>
        <v>https://www.catalog.slsa.sa.gov.au/xrecord=b2116654</v>
      </c>
      <c r="D1881" t="s">
        <v>66</v>
      </c>
      <c r="E1881" t="s">
        <v>716</v>
      </c>
      <c r="F1881">
        <v>1955</v>
      </c>
      <c r="G1881" t="s">
        <v>121</v>
      </c>
      <c r="H1881" t="s">
        <v>6843</v>
      </c>
      <c r="I1881" t="s">
        <v>718</v>
      </c>
      <c r="J1881" t="s">
        <v>71</v>
      </c>
      <c r="K1881" s="2" t="str">
        <f>HYPERLINK("http://collections.slsa.sa.gov.au/arthur/05750/BRG347_5581.htm")</f>
        <v>http://collections.slsa.sa.gov.au/arthur/05750/BRG347_5581.htm</v>
      </c>
    </row>
    <row r="1882" spans="1:11" x14ac:dyDescent="0.25">
      <c r="A1882" t="s">
        <v>6844</v>
      </c>
      <c r="B1882" s="1" t="str">
        <f>HYPERLINK("https://www.catalog.slsa.sa.gov.au/record=b2116655")</f>
        <v>https://www.catalog.slsa.sa.gov.au/record=b2116655</v>
      </c>
      <c r="C1882" s="1" t="str">
        <f>HYPERLINK("https://www.catalog.slsa.sa.gov.au/xrecord=b2116655")</f>
        <v>https://www.catalog.slsa.sa.gov.au/xrecord=b2116655</v>
      </c>
      <c r="D1882" t="s">
        <v>66</v>
      </c>
      <c r="E1882" t="s">
        <v>6845</v>
      </c>
      <c r="F1882">
        <v>1955</v>
      </c>
      <c r="G1882" t="s">
        <v>121</v>
      </c>
      <c r="H1882" t="s">
        <v>6846</v>
      </c>
      <c r="I1882" t="s">
        <v>6847</v>
      </c>
      <c r="J1882" t="s">
        <v>71</v>
      </c>
      <c r="K1882" s="2" t="str">
        <f>HYPERLINK("http://collections.slsa.sa.gov.au/arthur/05750/BRG347_5582.htm")</f>
        <v>http://collections.slsa.sa.gov.au/arthur/05750/BRG347_5582.htm</v>
      </c>
    </row>
    <row r="1883" spans="1:11" x14ac:dyDescent="0.25">
      <c r="A1883" t="s">
        <v>6848</v>
      </c>
      <c r="B1883" s="1" t="str">
        <f>HYPERLINK("https://www.catalog.slsa.sa.gov.au/record=b2116656")</f>
        <v>https://www.catalog.slsa.sa.gov.au/record=b2116656</v>
      </c>
      <c r="C1883" s="1" t="str">
        <f>HYPERLINK("https://www.catalog.slsa.sa.gov.au/xrecord=b2116656")</f>
        <v>https://www.catalog.slsa.sa.gov.au/xrecord=b2116656</v>
      </c>
      <c r="D1883" t="s">
        <v>66</v>
      </c>
      <c r="E1883" t="s">
        <v>6849</v>
      </c>
      <c r="F1883">
        <v>1955</v>
      </c>
      <c r="G1883" t="s">
        <v>121</v>
      </c>
      <c r="H1883" t="s">
        <v>6850</v>
      </c>
      <c r="I1883" t="s">
        <v>6851</v>
      </c>
      <c r="J1883" t="s">
        <v>71</v>
      </c>
      <c r="K1883" s="2" t="str">
        <f>HYPERLINK("http://collections.slsa.sa.gov.au/arthur/05750/BRG347_5583.htm")</f>
        <v>http://collections.slsa.sa.gov.au/arthur/05750/BRG347_5583.htm</v>
      </c>
    </row>
    <row r="1884" spans="1:11" x14ac:dyDescent="0.25">
      <c r="A1884" t="s">
        <v>6852</v>
      </c>
      <c r="B1884" s="1" t="str">
        <f>HYPERLINK("https://www.catalog.slsa.sa.gov.au/record=b2116658")</f>
        <v>https://www.catalog.slsa.sa.gov.au/record=b2116658</v>
      </c>
      <c r="C1884" s="1" t="str">
        <f>HYPERLINK("https://www.catalog.slsa.sa.gov.au/xrecord=b2116658")</f>
        <v>https://www.catalog.slsa.sa.gov.au/xrecord=b2116658</v>
      </c>
      <c r="D1884" t="s">
        <v>66</v>
      </c>
      <c r="E1884" t="s">
        <v>6853</v>
      </c>
      <c r="F1884">
        <v>1955</v>
      </c>
      <c r="G1884" t="s">
        <v>121</v>
      </c>
      <c r="H1884" t="s">
        <v>6854</v>
      </c>
      <c r="I1884" t="s">
        <v>6855</v>
      </c>
      <c r="J1884" t="s">
        <v>71</v>
      </c>
      <c r="K1884" s="2" t="str">
        <f>HYPERLINK("http://collections.slsa.sa.gov.au/arthur/05750/BRG347_5585.htm")</f>
        <v>http://collections.slsa.sa.gov.au/arthur/05750/BRG347_5585.htm</v>
      </c>
    </row>
    <row r="1885" spans="1:11" x14ac:dyDescent="0.25">
      <c r="A1885" t="s">
        <v>6856</v>
      </c>
      <c r="B1885" s="1" t="str">
        <f>HYPERLINK("https://www.catalog.slsa.sa.gov.au/record=b2116659")</f>
        <v>https://www.catalog.slsa.sa.gov.au/record=b2116659</v>
      </c>
      <c r="C1885" s="1" t="str">
        <f>HYPERLINK("https://www.catalog.slsa.sa.gov.au/xrecord=b2116659")</f>
        <v>https://www.catalog.slsa.sa.gov.au/xrecord=b2116659</v>
      </c>
      <c r="D1885" t="s">
        <v>66</v>
      </c>
      <c r="E1885" t="s">
        <v>6857</v>
      </c>
      <c r="F1885">
        <v>1955</v>
      </c>
      <c r="G1885" t="s">
        <v>121</v>
      </c>
      <c r="H1885" t="s">
        <v>6858</v>
      </c>
      <c r="I1885" t="s">
        <v>6859</v>
      </c>
      <c r="J1885" t="s">
        <v>71</v>
      </c>
      <c r="K1885" s="2" t="str">
        <f>HYPERLINK("http://collections.slsa.sa.gov.au/arthur/05750/BRG347_5586.htm")</f>
        <v>http://collections.slsa.sa.gov.au/arthur/05750/BRG347_5586.htm</v>
      </c>
    </row>
    <row r="1886" spans="1:11" x14ac:dyDescent="0.25">
      <c r="A1886" t="s">
        <v>6860</v>
      </c>
      <c r="B1886" s="1" t="str">
        <f>HYPERLINK("https://www.catalog.slsa.sa.gov.au/record=b2116660")</f>
        <v>https://www.catalog.slsa.sa.gov.au/record=b2116660</v>
      </c>
      <c r="C1886" s="1" t="str">
        <f>HYPERLINK("https://www.catalog.slsa.sa.gov.au/xrecord=b2116660")</f>
        <v>https://www.catalog.slsa.sa.gov.au/xrecord=b2116660</v>
      </c>
      <c r="D1886" t="s">
        <v>66</v>
      </c>
      <c r="E1886" t="s">
        <v>6861</v>
      </c>
      <c r="F1886">
        <v>1955</v>
      </c>
      <c r="G1886" t="s">
        <v>121</v>
      </c>
      <c r="H1886" t="s">
        <v>6862</v>
      </c>
      <c r="I1886" t="s">
        <v>6863</v>
      </c>
      <c r="J1886" t="s">
        <v>71</v>
      </c>
      <c r="K1886" s="2" t="str">
        <f>HYPERLINK("http://collections.slsa.sa.gov.au/arthur/05750/BRG347_5587.htm")</f>
        <v>http://collections.slsa.sa.gov.au/arthur/05750/BRG347_5587.htm</v>
      </c>
    </row>
    <row r="1887" spans="1:11" x14ac:dyDescent="0.25">
      <c r="A1887" t="s">
        <v>6864</v>
      </c>
      <c r="B1887" s="1" t="str">
        <f>HYPERLINK("https://www.catalog.slsa.sa.gov.au/record=b2116661")</f>
        <v>https://www.catalog.slsa.sa.gov.au/record=b2116661</v>
      </c>
      <c r="C1887" s="1" t="str">
        <f>HYPERLINK("https://www.catalog.slsa.sa.gov.au/xrecord=b2116661")</f>
        <v>https://www.catalog.slsa.sa.gov.au/xrecord=b2116661</v>
      </c>
      <c r="D1887" t="s">
        <v>66</v>
      </c>
      <c r="E1887" t="s">
        <v>6865</v>
      </c>
      <c r="F1887">
        <v>1955</v>
      </c>
      <c r="G1887" t="s">
        <v>121</v>
      </c>
      <c r="H1887" t="s">
        <v>6866</v>
      </c>
      <c r="I1887" t="s">
        <v>6867</v>
      </c>
      <c r="J1887" t="s">
        <v>71</v>
      </c>
      <c r="K1887" s="2" t="str">
        <f>HYPERLINK("http://collections.slsa.sa.gov.au/arthur/05750/BRG347_5588.htm")</f>
        <v>http://collections.slsa.sa.gov.au/arthur/05750/BRG347_5588.htm</v>
      </c>
    </row>
    <row r="1888" spans="1:11" x14ac:dyDescent="0.25">
      <c r="A1888" t="s">
        <v>6868</v>
      </c>
      <c r="B1888" s="1" t="str">
        <f>HYPERLINK("https://www.catalog.slsa.sa.gov.au/record=b2116662")</f>
        <v>https://www.catalog.slsa.sa.gov.au/record=b2116662</v>
      </c>
      <c r="C1888" s="1" t="str">
        <f>HYPERLINK("https://www.catalog.slsa.sa.gov.au/xrecord=b2116662")</f>
        <v>https://www.catalog.slsa.sa.gov.au/xrecord=b2116662</v>
      </c>
      <c r="D1888" t="s">
        <v>66</v>
      </c>
      <c r="E1888" t="s">
        <v>6869</v>
      </c>
      <c r="F1888">
        <v>1955</v>
      </c>
      <c r="G1888" t="s">
        <v>121</v>
      </c>
      <c r="H1888" t="s">
        <v>6797</v>
      </c>
      <c r="I1888" t="s">
        <v>6870</v>
      </c>
      <c r="J1888" t="s">
        <v>71</v>
      </c>
      <c r="K1888" s="2" t="str">
        <f>HYPERLINK("http://collections.slsa.sa.gov.au/arthur/05750/BRG347_5589.htm")</f>
        <v>http://collections.slsa.sa.gov.au/arthur/05750/BRG347_5589.htm</v>
      </c>
    </row>
    <row r="1889" spans="1:11" x14ac:dyDescent="0.25">
      <c r="A1889" t="s">
        <v>6871</v>
      </c>
      <c r="B1889" s="1" t="str">
        <f>HYPERLINK("https://www.catalog.slsa.sa.gov.au/record=b2116663")</f>
        <v>https://www.catalog.slsa.sa.gov.au/record=b2116663</v>
      </c>
      <c r="C1889" s="1" t="str">
        <f>HYPERLINK("https://www.catalog.slsa.sa.gov.au/xrecord=b2116663")</f>
        <v>https://www.catalog.slsa.sa.gov.au/xrecord=b2116663</v>
      </c>
      <c r="D1889" t="s">
        <v>66</v>
      </c>
      <c r="E1889" t="s">
        <v>6872</v>
      </c>
      <c r="F1889">
        <v>1955</v>
      </c>
      <c r="G1889" t="s">
        <v>121</v>
      </c>
      <c r="H1889" t="s">
        <v>6873</v>
      </c>
      <c r="I1889" t="s">
        <v>6874</v>
      </c>
      <c r="J1889" t="s">
        <v>71</v>
      </c>
      <c r="K1889" s="2" t="str">
        <f>HYPERLINK("http://collections.slsa.sa.gov.au/arthur/05750/BRG347_5590.htm")</f>
        <v>http://collections.slsa.sa.gov.au/arthur/05750/BRG347_5590.htm</v>
      </c>
    </row>
    <row r="1890" spans="1:11" x14ac:dyDescent="0.25">
      <c r="A1890" t="s">
        <v>6875</v>
      </c>
      <c r="B1890" s="1" t="str">
        <f>HYPERLINK("https://www.catalog.slsa.sa.gov.au/record=b2116665")</f>
        <v>https://www.catalog.slsa.sa.gov.au/record=b2116665</v>
      </c>
      <c r="C1890" s="1" t="str">
        <f>HYPERLINK("https://www.catalog.slsa.sa.gov.au/xrecord=b2116665")</f>
        <v>https://www.catalog.slsa.sa.gov.au/xrecord=b2116665</v>
      </c>
      <c r="D1890" t="s">
        <v>66</v>
      </c>
      <c r="E1890" t="s">
        <v>6876</v>
      </c>
      <c r="F1890">
        <v>1955</v>
      </c>
      <c r="G1890" t="s">
        <v>121</v>
      </c>
      <c r="H1890" t="s">
        <v>6877</v>
      </c>
      <c r="I1890" t="s">
        <v>6878</v>
      </c>
      <c r="J1890" t="s">
        <v>71</v>
      </c>
      <c r="K1890" s="2" t="str">
        <f>HYPERLINK("http://collections.slsa.sa.gov.au/arthur/05750/BRG347_5592.htm")</f>
        <v>http://collections.slsa.sa.gov.au/arthur/05750/BRG347_5592.htm</v>
      </c>
    </row>
    <row r="1891" spans="1:11" x14ac:dyDescent="0.25">
      <c r="A1891" t="s">
        <v>6879</v>
      </c>
      <c r="B1891" s="1" t="str">
        <f>HYPERLINK("https://www.catalog.slsa.sa.gov.au/record=b2116666")</f>
        <v>https://www.catalog.slsa.sa.gov.au/record=b2116666</v>
      </c>
      <c r="C1891" s="1" t="str">
        <f>HYPERLINK("https://www.catalog.slsa.sa.gov.au/xrecord=b2116666")</f>
        <v>https://www.catalog.slsa.sa.gov.au/xrecord=b2116666</v>
      </c>
      <c r="D1891" t="s">
        <v>66</v>
      </c>
      <c r="E1891" t="s">
        <v>6880</v>
      </c>
      <c r="F1891">
        <v>1955</v>
      </c>
      <c r="G1891" t="s">
        <v>121</v>
      </c>
      <c r="H1891" t="s">
        <v>6881</v>
      </c>
      <c r="I1891" t="s">
        <v>6882</v>
      </c>
      <c r="J1891" t="s">
        <v>71</v>
      </c>
      <c r="K1891" s="2" t="str">
        <f>HYPERLINK("http://collections.slsa.sa.gov.au/arthur/05750/BRG347_5593.htm")</f>
        <v>http://collections.slsa.sa.gov.au/arthur/05750/BRG347_5593.htm</v>
      </c>
    </row>
    <row r="1892" spans="1:11" x14ac:dyDescent="0.25">
      <c r="A1892" t="s">
        <v>6883</v>
      </c>
      <c r="B1892" s="1" t="str">
        <f>HYPERLINK("https://www.catalog.slsa.sa.gov.au/record=b2116667")</f>
        <v>https://www.catalog.slsa.sa.gov.au/record=b2116667</v>
      </c>
      <c r="C1892" s="1" t="str">
        <f>HYPERLINK("https://www.catalog.slsa.sa.gov.au/xrecord=b2116667")</f>
        <v>https://www.catalog.slsa.sa.gov.au/xrecord=b2116667</v>
      </c>
      <c r="D1892" t="s">
        <v>66</v>
      </c>
      <c r="E1892" t="s">
        <v>6884</v>
      </c>
      <c r="F1892">
        <v>1955</v>
      </c>
      <c r="G1892" t="s">
        <v>121</v>
      </c>
      <c r="H1892" t="s">
        <v>6885</v>
      </c>
      <c r="I1892" t="s">
        <v>6886</v>
      </c>
      <c r="J1892" t="s">
        <v>71</v>
      </c>
      <c r="K1892" s="2" t="str">
        <f>HYPERLINK("http://collections.slsa.sa.gov.au/arthur/05750/BRG347_5594.htm")</f>
        <v>http://collections.slsa.sa.gov.au/arthur/05750/BRG347_5594.htm</v>
      </c>
    </row>
    <row r="1893" spans="1:11" x14ac:dyDescent="0.25">
      <c r="A1893" t="s">
        <v>6887</v>
      </c>
      <c r="B1893" s="1" t="str">
        <f>HYPERLINK("https://www.catalog.slsa.sa.gov.au/record=b2116668")</f>
        <v>https://www.catalog.slsa.sa.gov.au/record=b2116668</v>
      </c>
      <c r="C1893" s="1" t="str">
        <f>HYPERLINK("https://www.catalog.slsa.sa.gov.au/xrecord=b2116668")</f>
        <v>https://www.catalog.slsa.sa.gov.au/xrecord=b2116668</v>
      </c>
      <c r="D1893" t="s">
        <v>66</v>
      </c>
      <c r="E1893" t="s">
        <v>6888</v>
      </c>
      <c r="F1893">
        <v>1955</v>
      </c>
      <c r="G1893" t="s">
        <v>121</v>
      </c>
      <c r="H1893" t="s">
        <v>6889</v>
      </c>
      <c r="I1893" t="s">
        <v>6890</v>
      </c>
      <c r="J1893" t="s">
        <v>71</v>
      </c>
      <c r="K1893" s="2" t="str">
        <f>HYPERLINK("http://collections.slsa.sa.gov.au/arthur/05750/BRG347_5595.htm")</f>
        <v>http://collections.slsa.sa.gov.au/arthur/05750/BRG347_5595.htm</v>
      </c>
    </row>
    <row r="1894" spans="1:11" x14ac:dyDescent="0.25">
      <c r="A1894" t="s">
        <v>6891</v>
      </c>
      <c r="B1894" s="1" t="str">
        <f>HYPERLINK("https://www.catalog.slsa.sa.gov.au/record=b2116669")</f>
        <v>https://www.catalog.slsa.sa.gov.au/record=b2116669</v>
      </c>
      <c r="C1894" s="1" t="str">
        <f>HYPERLINK("https://www.catalog.slsa.sa.gov.au/xrecord=b2116669")</f>
        <v>https://www.catalog.slsa.sa.gov.au/xrecord=b2116669</v>
      </c>
      <c r="D1894" t="s">
        <v>66</v>
      </c>
      <c r="E1894" t="s">
        <v>6892</v>
      </c>
      <c r="F1894">
        <v>1955</v>
      </c>
      <c r="G1894" t="s">
        <v>121</v>
      </c>
      <c r="H1894" t="s">
        <v>6893</v>
      </c>
      <c r="I1894" t="s">
        <v>6894</v>
      </c>
      <c r="J1894" t="s">
        <v>71</v>
      </c>
      <c r="K1894" s="2" t="str">
        <f>HYPERLINK("http://collections.slsa.sa.gov.au/arthur/05750/BRG347_5596.htm")</f>
        <v>http://collections.slsa.sa.gov.au/arthur/05750/BRG347_5596.htm</v>
      </c>
    </row>
    <row r="1895" spans="1:11" x14ac:dyDescent="0.25">
      <c r="A1895" t="s">
        <v>6895</v>
      </c>
      <c r="B1895" s="1" t="str">
        <f>HYPERLINK("https://www.catalog.slsa.sa.gov.au/record=b2116670")</f>
        <v>https://www.catalog.slsa.sa.gov.au/record=b2116670</v>
      </c>
      <c r="C1895" s="1" t="str">
        <f>HYPERLINK("https://www.catalog.slsa.sa.gov.au/xrecord=b2116670")</f>
        <v>https://www.catalog.slsa.sa.gov.au/xrecord=b2116670</v>
      </c>
      <c r="D1895" t="s">
        <v>66</v>
      </c>
      <c r="E1895" t="s">
        <v>6896</v>
      </c>
      <c r="F1895">
        <v>1955</v>
      </c>
      <c r="G1895" t="s">
        <v>121</v>
      </c>
      <c r="H1895" t="s">
        <v>6897</v>
      </c>
      <c r="I1895" t="s">
        <v>6898</v>
      </c>
      <c r="J1895" t="s">
        <v>71</v>
      </c>
      <c r="K1895" s="2" t="str">
        <f>HYPERLINK("http://collections.slsa.sa.gov.au/arthur/05750/BRG347_5597.htm")</f>
        <v>http://collections.slsa.sa.gov.au/arthur/05750/BRG347_5597.htm</v>
      </c>
    </row>
    <row r="1896" spans="1:11" x14ac:dyDescent="0.25">
      <c r="A1896" t="s">
        <v>6899</v>
      </c>
      <c r="B1896" s="1" t="str">
        <f>HYPERLINK("https://www.catalog.slsa.sa.gov.au/record=b2116671")</f>
        <v>https://www.catalog.slsa.sa.gov.au/record=b2116671</v>
      </c>
      <c r="C1896" s="1" t="str">
        <f>HYPERLINK("https://www.catalog.slsa.sa.gov.au/xrecord=b2116671")</f>
        <v>https://www.catalog.slsa.sa.gov.au/xrecord=b2116671</v>
      </c>
      <c r="D1896" t="s">
        <v>66</v>
      </c>
      <c r="E1896" t="s">
        <v>6900</v>
      </c>
      <c r="F1896">
        <v>1955</v>
      </c>
      <c r="G1896" t="s">
        <v>121</v>
      </c>
      <c r="H1896" t="s">
        <v>6901</v>
      </c>
      <c r="I1896" t="s">
        <v>6902</v>
      </c>
      <c r="J1896" t="s">
        <v>71</v>
      </c>
      <c r="K1896" s="2" t="str">
        <f>HYPERLINK("http://collections.slsa.sa.gov.au/arthur/05750/BRG347_5598.htm")</f>
        <v>http://collections.slsa.sa.gov.au/arthur/05750/BRG347_5598.htm</v>
      </c>
    </row>
    <row r="1897" spans="1:11" x14ac:dyDescent="0.25">
      <c r="A1897" t="s">
        <v>6903</v>
      </c>
      <c r="B1897" s="1" t="str">
        <f>HYPERLINK("https://www.catalog.slsa.sa.gov.au/record=b2116672")</f>
        <v>https://www.catalog.slsa.sa.gov.au/record=b2116672</v>
      </c>
      <c r="C1897" s="1" t="str">
        <f>HYPERLINK("https://www.catalog.slsa.sa.gov.au/xrecord=b2116672")</f>
        <v>https://www.catalog.slsa.sa.gov.au/xrecord=b2116672</v>
      </c>
      <c r="D1897" t="s">
        <v>66</v>
      </c>
      <c r="E1897" t="s">
        <v>6904</v>
      </c>
      <c r="F1897">
        <v>1955</v>
      </c>
      <c r="G1897" t="s">
        <v>121</v>
      </c>
      <c r="H1897" t="s">
        <v>6905</v>
      </c>
      <c r="I1897" t="s">
        <v>6906</v>
      </c>
      <c r="J1897" t="s">
        <v>71</v>
      </c>
      <c r="K1897" s="2" t="str">
        <f>HYPERLINK("http://collections.slsa.sa.gov.au/arthur/05750/BRG347_5599.htm")</f>
        <v>http://collections.slsa.sa.gov.au/arthur/05750/BRG347_5599.htm</v>
      </c>
    </row>
    <row r="1898" spans="1:11" x14ac:dyDescent="0.25">
      <c r="A1898" t="s">
        <v>6907</v>
      </c>
      <c r="B1898" s="1" t="str">
        <f>HYPERLINK("https://www.catalog.slsa.sa.gov.au/record=b2116673")</f>
        <v>https://www.catalog.slsa.sa.gov.au/record=b2116673</v>
      </c>
      <c r="C1898" s="1" t="str">
        <f>HYPERLINK("https://www.catalog.slsa.sa.gov.au/xrecord=b2116673")</f>
        <v>https://www.catalog.slsa.sa.gov.au/xrecord=b2116673</v>
      </c>
      <c r="D1898" t="s">
        <v>66</v>
      </c>
      <c r="E1898" t="s">
        <v>6908</v>
      </c>
      <c r="F1898">
        <v>1955</v>
      </c>
      <c r="G1898" t="s">
        <v>121</v>
      </c>
      <c r="H1898" t="s">
        <v>6909</v>
      </c>
      <c r="I1898" t="s">
        <v>6910</v>
      </c>
      <c r="J1898" t="s">
        <v>71</v>
      </c>
      <c r="K1898" s="2" t="str">
        <f>HYPERLINK("http://collections.slsa.sa.gov.au/arthur/05750/BRG347_5600.htm")</f>
        <v>http://collections.slsa.sa.gov.au/arthur/05750/BRG347_5600.htm</v>
      </c>
    </row>
    <row r="1899" spans="1:11" x14ac:dyDescent="0.25">
      <c r="A1899" t="s">
        <v>6911</v>
      </c>
      <c r="B1899" s="1" t="str">
        <f>HYPERLINK("https://www.catalog.slsa.sa.gov.au/record=b2116681")</f>
        <v>https://www.catalog.slsa.sa.gov.au/record=b2116681</v>
      </c>
      <c r="C1899" s="1" t="str">
        <f>HYPERLINK("https://www.catalog.slsa.sa.gov.au/xrecord=b2116681")</f>
        <v>https://www.catalog.slsa.sa.gov.au/xrecord=b2116681</v>
      </c>
      <c r="D1899" t="s">
        <v>66</v>
      </c>
      <c r="E1899" t="s">
        <v>6912</v>
      </c>
      <c r="F1899">
        <v>1955</v>
      </c>
      <c r="G1899" t="s">
        <v>121</v>
      </c>
      <c r="H1899" t="s">
        <v>6913</v>
      </c>
      <c r="I1899" t="s">
        <v>6914</v>
      </c>
      <c r="J1899" t="s">
        <v>71</v>
      </c>
      <c r="K1899" s="2" t="str">
        <f>HYPERLINK("http://collections.slsa.sa.gov.au/arthur/05750/BRG347_5609.htm")</f>
        <v>http://collections.slsa.sa.gov.au/arthur/05750/BRG347_5609.htm</v>
      </c>
    </row>
    <row r="1900" spans="1:11" x14ac:dyDescent="0.25">
      <c r="A1900" t="s">
        <v>6915</v>
      </c>
      <c r="B1900" s="1" t="str">
        <f>HYPERLINK("https://www.catalog.slsa.sa.gov.au/record=b2116700")</f>
        <v>https://www.catalog.slsa.sa.gov.au/record=b2116700</v>
      </c>
      <c r="C1900" s="1" t="str">
        <f>HYPERLINK("https://www.catalog.slsa.sa.gov.au/xrecord=b2116700")</f>
        <v>https://www.catalog.slsa.sa.gov.au/xrecord=b2116700</v>
      </c>
      <c r="D1900" t="s">
        <v>66</v>
      </c>
      <c r="E1900" t="s">
        <v>1174</v>
      </c>
      <c r="F1900">
        <v>1955</v>
      </c>
      <c r="G1900" t="s">
        <v>121</v>
      </c>
      <c r="H1900" t="s">
        <v>6916</v>
      </c>
      <c r="I1900" t="s">
        <v>6917</v>
      </c>
      <c r="J1900" t="s">
        <v>71</v>
      </c>
      <c r="K1900" s="2" t="str">
        <f>HYPERLINK("http://collections.slsa.sa.gov.au/arthur/05750/BRG347_5628.htm")</f>
        <v>http://collections.slsa.sa.gov.au/arthur/05750/BRG347_5628.htm</v>
      </c>
    </row>
    <row r="1901" spans="1:11" x14ac:dyDescent="0.25">
      <c r="A1901" t="s">
        <v>6918</v>
      </c>
      <c r="B1901" s="1" t="str">
        <f>HYPERLINK("https://www.catalog.slsa.sa.gov.au/record=b2116748")</f>
        <v>https://www.catalog.slsa.sa.gov.au/record=b2116748</v>
      </c>
      <c r="C1901" s="1" t="str">
        <f>HYPERLINK("https://www.catalog.slsa.sa.gov.au/xrecord=b2116748")</f>
        <v>https://www.catalog.slsa.sa.gov.au/xrecord=b2116748</v>
      </c>
      <c r="D1901" t="s">
        <v>66</v>
      </c>
      <c r="E1901" t="s">
        <v>6919</v>
      </c>
      <c r="F1901">
        <v>1955</v>
      </c>
      <c r="G1901" t="s">
        <v>121</v>
      </c>
      <c r="H1901" t="s">
        <v>6920</v>
      </c>
      <c r="I1901" t="s">
        <v>6921</v>
      </c>
      <c r="J1901" t="s">
        <v>71</v>
      </c>
      <c r="K1901" s="2" t="str">
        <f>HYPERLINK("http://collections.slsa.sa.gov.au/arthur/05750/BRG347_5642.htm")</f>
        <v>http://collections.slsa.sa.gov.au/arthur/05750/BRG347_5642.htm</v>
      </c>
    </row>
    <row r="1902" spans="1:11" x14ac:dyDescent="0.25">
      <c r="A1902" t="s">
        <v>6922</v>
      </c>
      <c r="B1902" s="1" t="str">
        <f>HYPERLINK("https://www.catalog.slsa.sa.gov.au/record=b2117143")</f>
        <v>https://www.catalog.slsa.sa.gov.au/record=b2117143</v>
      </c>
      <c r="C1902" s="1" t="str">
        <f>HYPERLINK("https://www.catalog.slsa.sa.gov.au/xrecord=b2117143")</f>
        <v>https://www.catalog.slsa.sa.gov.au/xrecord=b2117143</v>
      </c>
      <c r="D1902" t="s">
        <v>66</v>
      </c>
      <c r="E1902" t="s">
        <v>6923</v>
      </c>
      <c r="F1902">
        <v>1955</v>
      </c>
      <c r="G1902" t="s">
        <v>121</v>
      </c>
      <c r="H1902" t="s">
        <v>6924</v>
      </c>
      <c r="I1902" t="s">
        <v>6925</v>
      </c>
      <c r="J1902" t="s">
        <v>71</v>
      </c>
      <c r="K1902" s="2" t="str">
        <f>HYPERLINK("http://collections.slsa.sa.gov.au/arthur/06000/BRG347_5923.htm")</f>
        <v>http://collections.slsa.sa.gov.au/arthur/06000/BRG347_5923.htm</v>
      </c>
    </row>
    <row r="1903" spans="1:11" x14ac:dyDescent="0.25">
      <c r="A1903" t="s">
        <v>6926</v>
      </c>
      <c r="B1903" s="1" t="str">
        <f>HYPERLINK("https://www.catalog.slsa.sa.gov.au/record=b2117146")</f>
        <v>https://www.catalog.slsa.sa.gov.au/record=b2117146</v>
      </c>
      <c r="C1903" s="1" t="str">
        <f>HYPERLINK("https://www.catalog.slsa.sa.gov.au/xrecord=b2117146")</f>
        <v>https://www.catalog.slsa.sa.gov.au/xrecord=b2117146</v>
      </c>
      <c r="D1903" t="s">
        <v>66</v>
      </c>
      <c r="E1903" t="s">
        <v>6927</v>
      </c>
      <c r="F1903">
        <v>1955</v>
      </c>
      <c r="G1903" t="s">
        <v>121</v>
      </c>
      <c r="H1903" t="s">
        <v>6928</v>
      </c>
      <c r="I1903" t="s">
        <v>6929</v>
      </c>
      <c r="J1903" t="s">
        <v>71</v>
      </c>
      <c r="K1903" s="2" t="str">
        <f>HYPERLINK("http://collections.slsa.sa.gov.au/arthur/06000/BRG347_5926.htm")</f>
        <v>http://collections.slsa.sa.gov.au/arthur/06000/BRG347_5926.htm</v>
      </c>
    </row>
    <row r="1904" spans="1:11" x14ac:dyDescent="0.25">
      <c r="A1904" t="s">
        <v>6930</v>
      </c>
      <c r="B1904" s="1" t="str">
        <f>HYPERLINK("https://www.catalog.slsa.sa.gov.au/record=b2117150")</f>
        <v>https://www.catalog.slsa.sa.gov.au/record=b2117150</v>
      </c>
      <c r="C1904" s="1" t="str">
        <f>HYPERLINK("https://www.catalog.slsa.sa.gov.au/xrecord=b2117150")</f>
        <v>https://www.catalog.slsa.sa.gov.au/xrecord=b2117150</v>
      </c>
      <c r="D1904" t="s">
        <v>66</v>
      </c>
      <c r="E1904" t="s">
        <v>6931</v>
      </c>
      <c r="F1904">
        <v>1955</v>
      </c>
      <c r="G1904" t="s">
        <v>121</v>
      </c>
      <c r="H1904" t="s">
        <v>6932</v>
      </c>
      <c r="I1904" t="s">
        <v>6933</v>
      </c>
      <c r="J1904" t="s">
        <v>71</v>
      </c>
      <c r="K1904" s="2" t="str">
        <f>HYPERLINK("http://collections.slsa.sa.gov.au/arthur/06000/BRG347_5929.htm")</f>
        <v>http://collections.slsa.sa.gov.au/arthur/06000/BRG347_5929.htm</v>
      </c>
    </row>
    <row r="1905" spans="1:11" x14ac:dyDescent="0.25">
      <c r="A1905" t="s">
        <v>6934</v>
      </c>
      <c r="B1905" s="1" t="str">
        <f>HYPERLINK("https://www.catalog.slsa.sa.gov.au/record=b2118289")</f>
        <v>https://www.catalog.slsa.sa.gov.au/record=b2118289</v>
      </c>
      <c r="C1905" s="1" t="str">
        <f>HYPERLINK("https://www.catalog.slsa.sa.gov.au/xrecord=b2118289")</f>
        <v>https://www.catalog.slsa.sa.gov.au/xrecord=b2118289</v>
      </c>
      <c r="D1905" t="s">
        <v>66</v>
      </c>
      <c r="E1905" t="s">
        <v>6935</v>
      </c>
      <c r="F1905">
        <v>1955</v>
      </c>
      <c r="G1905" t="s">
        <v>121</v>
      </c>
      <c r="H1905" t="s">
        <v>6936</v>
      </c>
      <c r="I1905" t="s">
        <v>6937</v>
      </c>
      <c r="J1905" t="s">
        <v>71</v>
      </c>
      <c r="K1905" s="2" t="str">
        <f>HYPERLINK("http://collections.slsa.sa.gov.au/arthur/06500/BRG347_6383.htm")</f>
        <v>http://collections.slsa.sa.gov.au/arthur/06500/BRG347_6383.htm</v>
      </c>
    </row>
    <row r="1906" spans="1:11" x14ac:dyDescent="0.25">
      <c r="A1906" t="s">
        <v>6938</v>
      </c>
      <c r="B1906" s="1" t="str">
        <f>HYPERLINK("https://www.catalog.slsa.sa.gov.au/record=b2118290")</f>
        <v>https://www.catalog.slsa.sa.gov.au/record=b2118290</v>
      </c>
      <c r="C1906" s="1" t="str">
        <f>HYPERLINK("https://www.catalog.slsa.sa.gov.au/xrecord=b2118290")</f>
        <v>https://www.catalog.slsa.sa.gov.au/xrecord=b2118290</v>
      </c>
      <c r="D1906" t="s">
        <v>66</v>
      </c>
      <c r="E1906" t="s">
        <v>6939</v>
      </c>
      <c r="F1906">
        <v>1955</v>
      </c>
      <c r="G1906" t="s">
        <v>121</v>
      </c>
      <c r="H1906" t="s">
        <v>6940</v>
      </c>
      <c r="I1906" t="s">
        <v>311</v>
      </c>
      <c r="J1906" t="s">
        <v>71</v>
      </c>
      <c r="K1906" s="2" t="str">
        <f>HYPERLINK("http://collections.slsa.sa.gov.au/arthur/06500/BRG347_6384.htm")</f>
        <v>http://collections.slsa.sa.gov.au/arthur/06500/BRG347_6384.htm</v>
      </c>
    </row>
    <row r="1907" spans="1:11" x14ac:dyDescent="0.25">
      <c r="A1907" t="s">
        <v>6941</v>
      </c>
      <c r="B1907" s="1" t="str">
        <f>HYPERLINK("https://www.catalog.slsa.sa.gov.au/record=b2122734")</f>
        <v>https://www.catalog.slsa.sa.gov.au/record=b2122734</v>
      </c>
      <c r="C1907" s="1" t="str">
        <f>HYPERLINK("https://www.catalog.slsa.sa.gov.au/xrecord=b2122734")</f>
        <v>https://www.catalog.slsa.sa.gov.au/xrecord=b2122734</v>
      </c>
      <c r="D1907" t="s">
        <v>66</v>
      </c>
      <c r="E1907" t="s">
        <v>6942</v>
      </c>
      <c r="F1907">
        <v>1955</v>
      </c>
      <c r="G1907" t="s">
        <v>121</v>
      </c>
      <c r="H1907" t="s">
        <v>6943</v>
      </c>
      <c r="I1907" t="s">
        <v>6944</v>
      </c>
      <c r="J1907" t="s">
        <v>71</v>
      </c>
      <c r="K1907" s="2" t="str">
        <f>HYPERLINK("http://collections.slsa.sa.gov.au/arthur/06500/BRG347_6387.htm")</f>
        <v>http://collections.slsa.sa.gov.au/arthur/06500/BRG347_6387.htm</v>
      </c>
    </row>
    <row r="1908" spans="1:11" x14ac:dyDescent="0.25">
      <c r="A1908" t="s">
        <v>6945</v>
      </c>
      <c r="B1908" s="1" t="str">
        <f>HYPERLINK("https://www.catalog.slsa.sa.gov.au/record=b2118325")</f>
        <v>https://www.catalog.slsa.sa.gov.au/record=b2118325</v>
      </c>
      <c r="C1908" s="1" t="str">
        <f>HYPERLINK("https://www.catalog.slsa.sa.gov.au/xrecord=b2118325")</f>
        <v>https://www.catalog.slsa.sa.gov.au/xrecord=b2118325</v>
      </c>
      <c r="D1908" t="s">
        <v>66</v>
      </c>
      <c r="E1908" t="s">
        <v>6946</v>
      </c>
      <c r="F1908">
        <v>1955</v>
      </c>
      <c r="G1908" t="s">
        <v>121</v>
      </c>
      <c r="H1908" t="s">
        <v>6947</v>
      </c>
      <c r="I1908" t="s">
        <v>6948</v>
      </c>
      <c r="J1908" t="s">
        <v>71</v>
      </c>
      <c r="K1908" s="2" t="str">
        <f>HYPERLINK("http://collections.slsa.sa.gov.au/arthur/06500/BRG347_6420.htm")</f>
        <v>http://collections.slsa.sa.gov.au/arthur/06500/BRG347_6420.htm</v>
      </c>
    </row>
    <row r="1909" spans="1:11" x14ac:dyDescent="0.25">
      <c r="A1909" t="s">
        <v>6949</v>
      </c>
      <c r="B1909" s="1" t="str">
        <f>HYPERLINK("https://www.catalog.slsa.sa.gov.au/record=b2118335")</f>
        <v>https://www.catalog.slsa.sa.gov.au/record=b2118335</v>
      </c>
      <c r="C1909" s="1" t="str">
        <f>HYPERLINK("https://www.catalog.slsa.sa.gov.au/xrecord=b2118335")</f>
        <v>https://www.catalog.slsa.sa.gov.au/xrecord=b2118335</v>
      </c>
      <c r="D1909" t="s">
        <v>66</v>
      </c>
      <c r="E1909" t="s">
        <v>6950</v>
      </c>
      <c r="F1909">
        <v>1955</v>
      </c>
      <c r="G1909" t="s">
        <v>121</v>
      </c>
      <c r="H1909" t="s">
        <v>6951</v>
      </c>
      <c r="I1909" t="s">
        <v>6952</v>
      </c>
      <c r="J1909" t="s">
        <v>71</v>
      </c>
      <c r="K1909" s="2" t="str">
        <f>HYPERLINK("http://collections.slsa.sa.gov.au/arthur/06500/BRG347_6431.htm")</f>
        <v>http://collections.slsa.sa.gov.au/arthur/06500/BRG347_6431.htm</v>
      </c>
    </row>
    <row r="1910" spans="1:11" x14ac:dyDescent="0.25">
      <c r="A1910" t="s">
        <v>6953</v>
      </c>
      <c r="B1910" s="1" t="str">
        <f>HYPERLINK("https://www.catalog.slsa.sa.gov.au/record=b2118336")</f>
        <v>https://www.catalog.slsa.sa.gov.au/record=b2118336</v>
      </c>
      <c r="C1910" s="1" t="str">
        <f>HYPERLINK("https://www.catalog.slsa.sa.gov.au/xrecord=b2118336")</f>
        <v>https://www.catalog.slsa.sa.gov.au/xrecord=b2118336</v>
      </c>
      <c r="D1910" t="s">
        <v>66</v>
      </c>
      <c r="E1910" t="s">
        <v>6954</v>
      </c>
      <c r="F1910">
        <v>1955</v>
      </c>
      <c r="G1910" t="s">
        <v>121</v>
      </c>
      <c r="H1910" t="s">
        <v>6955</v>
      </c>
      <c r="I1910" t="s">
        <v>6956</v>
      </c>
      <c r="J1910" t="s">
        <v>71</v>
      </c>
      <c r="K1910" s="2" t="str">
        <f>HYPERLINK("http://collections.slsa.sa.gov.au/arthur/06500/BRG347_6432.htm")</f>
        <v>http://collections.slsa.sa.gov.au/arthur/06500/BRG347_6432.htm</v>
      </c>
    </row>
    <row r="1911" spans="1:11" x14ac:dyDescent="0.25">
      <c r="A1911" t="s">
        <v>6957</v>
      </c>
      <c r="B1911" s="1" t="str">
        <f>HYPERLINK("https://www.catalog.slsa.sa.gov.au/record=b2118337")</f>
        <v>https://www.catalog.slsa.sa.gov.au/record=b2118337</v>
      </c>
      <c r="C1911" s="1" t="str">
        <f>HYPERLINK("https://www.catalog.slsa.sa.gov.au/xrecord=b2118337")</f>
        <v>https://www.catalog.slsa.sa.gov.au/xrecord=b2118337</v>
      </c>
      <c r="D1911" t="s">
        <v>66</v>
      </c>
      <c r="E1911" t="s">
        <v>6958</v>
      </c>
      <c r="F1911">
        <v>1955</v>
      </c>
      <c r="G1911" t="s">
        <v>121</v>
      </c>
      <c r="H1911" t="s">
        <v>6959</v>
      </c>
      <c r="I1911" t="s">
        <v>6960</v>
      </c>
      <c r="J1911" t="s">
        <v>71</v>
      </c>
      <c r="K1911" s="2" t="str">
        <f>HYPERLINK("http://collections.slsa.sa.gov.au/arthur/06500/BRG347_6433.htm")</f>
        <v>http://collections.slsa.sa.gov.au/arthur/06500/BRG347_6433.htm</v>
      </c>
    </row>
    <row r="1912" spans="1:11" x14ac:dyDescent="0.25">
      <c r="A1912" t="s">
        <v>6961</v>
      </c>
      <c r="B1912" s="1" t="str">
        <f>HYPERLINK("https://www.catalog.slsa.sa.gov.au/record=b2118339")</f>
        <v>https://www.catalog.slsa.sa.gov.au/record=b2118339</v>
      </c>
      <c r="C1912" s="1" t="str">
        <f>HYPERLINK("https://www.catalog.slsa.sa.gov.au/xrecord=b2118339")</f>
        <v>https://www.catalog.slsa.sa.gov.au/xrecord=b2118339</v>
      </c>
      <c r="D1912" t="s">
        <v>66</v>
      </c>
      <c r="E1912" t="s">
        <v>1971</v>
      </c>
      <c r="F1912">
        <v>1955</v>
      </c>
      <c r="G1912" t="s">
        <v>121</v>
      </c>
      <c r="H1912" t="s">
        <v>6962</v>
      </c>
      <c r="I1912" t="s">
        <v>6963</v>
      </c>
      <c r="J1912" t="s">
        <v>71</v>
      </c>
      <c r="K1912" s="2" t="str">
        <f>HYPERLINK("http://collections.slsa.sa.gov.au/arthur/06500/BRG347_6435.htm")</f>
        <v>http://collections.slsa.sa.gov.au/arthur/06500/BRG347_6435.htm</v>
      </c>
    </row>
    <row r="1913" spans="1:11" x14ac:dyDescent="0.25">
      <c r="A1913" t="s">
        <v>6964</v>
      </c>
      <c r="B1913" s="1" t="str">
        <f>HYPERLINK("https://www.catalog.slsa.sa.gov.au/record=b2118345")</f>
        <v>https://www.catalog.slsa.sa.gov.au/record=b2118345</v>
      </c>
      <c r="C1913" s="1" t="str">
        <f>HYPERLINK("https://www.catalog.slsa.sa.gov.au/xrecord=b2118345")</f>
        <v>https://www.catalog.slsa.sa.gov.au/xrecord=b2118345</v>
      </c>
      <c r="D1913" t="s">
        <v>66</v>
      </c>
      <c r="E1913" t="s">
        <v>6965</v>
      </c>
      <c r="F1913">
        <v>1955</v>
      </c>
      <c r="G1913" t="s">
        <v>121</v>
      </c>
      <c r="H1913" t="s">
        <v>6966</v>
      </c>
      <c r="I1913" t="s">
        <v>6967</v>
      </c>
      <c r="J1913" t="s">
        <v>71</v>
      </c>
      <c r="K1913" s="2" t="str">
        <f>HYPERLINK("http://collections.slsa.sa.gov.au/arthur/06500/BRG347_6441.htm")</f>
        <v>http://collections.slsa.sa.gov.au/arthur/06500/BRG347_6441.htm</v>
      </c>
    </row>
    <row r="1914" spans="1:11" x14ac:dyDescent="0.25">
      <c r="A1914" t="s">
        <v>6968</v>
      </c>
      <c r="B1914" s="1" t="str">
        <f>HYPERLINK("https://www.catalog.slsa.sa.gov.au/record=b2118346")</f>
        <v>https://www.catalog.slsa.sa.gov.au/record=b2118346</v>
      </c>
      <c r="C1914" s="1" t="str">
        <f>HYPERLINK("https://www.catalog.slsa.sa.gov.au/xrecord=b2118346")</f>
        <v>https://www.catalog.slsa.sa.gov.au/xrecord=b2118346</v>
      </c>
      <c r="D1914" t="s">
        <v>66</v>
      </c>
      <c r="E1914" t="s">
        <v>6969</v>
      </c>
      <c r="F1914">
        <v>1955</v>
      </c>
      <c r="G1914" t="s">
        <v>121</v>
      </c>
      <c r="H1914" t="s">
        <v>6970</v>
      </c>
      <c r="I1914" t="s">
        <v>6971</v>
      </c>
      <c r="J1914" t="s">
        <v>71</v>
      </c>
      <c r="K1914" s="2" t="str">
        <f>HYPERLINK("http://collections.slsa.sa.gov.au/arthur/06500/BRG347_6442.htm")</f>
        <v>http://collections.slsa.sa.gov.au/arthur/06500/BRG347_6442.htm</v>
      </c>
    </row>
    <row r="1915" spans="1:11" x14ac:dyDescent="0.25">
      <c r="A1915" t="s">
        <v>6972</v>
      </c>
      <c r="B1915" s="1" t="str">
        <f>HYPERLINK("https://www.catalog.slsa.sa.gov.au/record=b2118347")</f>
        <v>https://www.catalog.slsa.sa.gov.au/record=b2118347</v>
      </c>
      <c r="C1915" s="1" t="str">
        <f>HYPERLINK("https://www.catalog.slsa.sa.gov.au/xrecord=b2118347")</f>
        <v>https://www.catalog.slsa.sa.gov.au/xrecord=b2118347</v>
      </c>
      <c r="D1915" t="s">
        <v>66</v>
      </c>
      <c r="E1915" t="s">
        <v>6973</v>
      </c>
      <c r="F1915">
        <v>1955</v>
      </c>
      <c r="G1915" t="s">
        <v>121</v>
      </c>
      <c r="H1915" t="s">
        <v>6974</v>
      </c>
      <c r="I1915" t="s">
        <v>6975</v>
      </c>
      <c r="J1915" t="s">
        <v>71</v>
      </c>
      <c r="K1915" s="2" t="str">
        <f>HYPERLINK("http://collections.slsa.sa.gov.au/arthur/06500/BRG347_6443.htm")</f>
        <v>http://collections.slsa.sa.gov.au/arthur/06500/BRG347_6443.htm</v>
      </c>
    </row>
    <row r="1916" spans="1:11" x14ac:dyDescent="0.25">
      <c r="A1916" t="s">
        <v>6976</v>
      </c>
      <c r="B1916" s="1" t="str">
        <f>HYPERLINK("https://www.catalog.slsa.sa.gov.au/record=b2118362")</f>
        <v>https://www.catalog.slsa.sa.gov.au/record=b2118362</v>
      </c>
      <c r="C1916" s="1" t="str">
        <f>HYPERLINK("https://www.catalog.slsa.sa.gov.au/xrecord=b2118362")</f>
        <v>https://www.catalog.slsa.sa.gov.au/xrecord=b2118362</v>
      </c>
      <c r="D1916" t="s">
        <v>66</v>
      </c>
      <c r="E1916" t="s">
        <v>6977</v>
      </c>
      <c r="F1916">
        <v>1955</v>
      </c>
      <c r="G1916" t="s">
        <v>121</v>
      </c>
      <c r="H1916" t="s">
        <v>6978</v>
      </c>
      <c r="I1916" t="s">
        <v>6979</v>
      </c>
      <c r="J1916" t="s">
        <v>71</v>
      </c>
      <c r="K1916" s="2" t="str">
        <f>HYPERLINK("http://collections.slsa.sa.gov.au/arthur/06500/BRG347_6458.htm")</f>
        <v>http://collections.slsa.sa.gov.au/arthur/06500/BRG347_6458.htm</v>
      </c>
    </row>
    <row r="1917" spans="1:11" x14ac:dyDescent="0.25">
      <c r="A1917" t="s">
        <v>6980</v>
      </c>
      <c r="B1917" s="1" t="str">
        <f>HYPERLINK("https://www.catalog.slsa.sa.gov.au/record=b2118383")</f>
        <v>https://www.catalog.slsa.sa.gov.au/record=b2118383</v>
      </c>
      <c r="C1917" s="1" t="str">
        <f>HYPERLINK("https://www.catalog.slsa.sa.gov.au/xrecord=b2118383")</f>
        <v>https://www.catalog.slsa.sa.gov.au/xrecord=b2118383</v>
      </c>
      <c r="D1917" t="s">
        <v>66</v>
      </c>
      <c r="E1917" t="s">
        <v>6981</v>
      </c>
      <c r="F1917">
        <v>1955</v>
      </c>
      <c r="G1917" t="s">
        <v>121</v>
      </c>
      <c r="H1917" t="s">
        <v>6982</v>
      </c>
      <c r="I1917" t="s">
        <v>6983</v>
      </c>
      <c r="J1917" t="s">
        <v>71</v>
      </c>
      <c r="K1917" s="2" t="str">
        <f>HYPERLINK("http://collections.slsa.sa.gov.au/arthur/06500/BRG347_6471.htm")</f>
        <v>http://collections.slsa.sa.gov.au/arthur/06500/BRG347_6471.htm</v>
      </c>
    </row>
    <row r="1918" spans="1:11" x14ac:dyDescent="0.25">
      <c r="A1918" t="s">
        <v>6984</v>
      </c>
      <c r="B1918" s="1" t="str">
        <f>HYPERLINK("https://www.catalog.slsa.sa.gov.au/record=b2118384")</f>
        <v>https://www.catalog.slsa.sa.gov.au/record=b2118384</v>
      </c>
      <c r="C1918" s="1" t="str">
        <f>HYPERLINK("https://www.catalog.slsa.sa.gov.au/xrecord=b2118384")</f>
        <v>https://www.catalog.slsa.sa.gov.au/xrecord=b2118384</v>
      </c>
      <c r="D1918" t="s">
        <v>66</v>
      </c>
      <c r="E1918" t="s">
        <v>6985</v>
      </c>
      <c r="F1918">
        <v>1955</v>
      </c>
      <c r="G1918" t="s">
        <v>121</v>
      </c>
      <c r="H1918" t="s">
        <v>6986</v>
      </c>
      <c r="I1918" t="s">
        <v>6987</v>
      </c>
      <c r="J1918" t="s">
        <v>71</v>
      </c>
      <c r="K1918" s="2" t="str">
        <f>HYPERLINK("http://collections.slsa.sa.gov.au/arthur/06500/BRG347_6472.htm")</f>
        <v>http://collections.slsa.sa.gov.au/arthur/06500/BRG347_6472.htm</v>
      </c>
    </row>
    <row r="1919" spans="1:11" x14ac:dyDescent="0.25">
      <c r="A1919" t="s">
        <v>6988</v>
      </c>
      <c r="B1919" s="1" t="str">
        <f>HYPERLINK("https://www.catalog.slsa.sa.gov.au/record=b2118385")</f>
        <v>https://www.catalog.slsa.sa.gov.au/record=b2118385</v>
      </c>
      <c r="C1919" s="1" t="str">
        <f>HYPERLINK("https://www.catalog.slsa.sa.gov.au/xrecord=b2118385")</f>
        <v>https://www.catalog.slsa.sa.gov.au/xrecord=b2118385</v>
      </c>
      <c r="D1919" t="s">
        <v>66</v>
      </c>
      <c r="E1919" t="s">
        <v>6989</v>
      </c>
      <c r="F1919">
        <v>1955</v>
      </c>
      <c r="G1919" t="s">
        <v>121</v>
      </c>
      <c r="H1919" t="s">
        <v>6990</v>
      </c>
      <c r="I1919" t="s">
        <v>6991</v>
      </c>
      <c r="J1919" t="s">
        <v>71</v>
      </c>
      <c r="K1919" s="2" t="str">
        <f>HYPERLINK("http://collections.slsa.sa.gov.au/arthur/06500/BRG347_6473.htm")</f>
        <v>http://collections.slsa.sa.gov.au/arthur/06500/BRG347_6473.htm</v>
      </c>
    </row>
    <row r="1920" spans="1:11" x14ac:dyDescent="0.25">
      <c r="A1920" t="s">
        <v>6992</v>
      </c>
      <c r="B1920" s="1" t="str">
        <f>HYPERLINK("https://www.catalog.slsa.sa.gov.au/record=b2118386")</f>
        <v>https://www.catalog.slsa.sa.gov.au/record=b2118386</v>
      </c>
      <c r="C1920" s="1" t="str">
        <f>HYPERLINK("https://www.catalog.slsa.sa.gov.au/xrecord=b2118386")</f>
        <v>https://www.catalog.slsa.sa.gov.au/xrecord=b2118386</v>
      </c>
      <c r="D1920" t="s">
        <v>66</v>
      </c>
      <c r="E1920" t="s">
        <v>6993</v>
      </c>
      <c r="F1920">
        <v>1955</v>
      </c>
      <c r="G1920" t="s">
        <v>121</v>
      </c>
      <c r="H1920" t="s">
        <v>6994</v>
      </c>
      <c r="I1920" t="s">
        <v>6995</v>
      </c>
      <c r="J1920" t="s">
        <v>71</v>
      </c>
      <c r="K1920" s="2" t="str">
        <f>HYPERLINK("http://collections.slsa.sa.gov.au/arthur/06500/BRG347_6474.htm")</f>
        <v>http://collections.slsa.sa.gov.au/arthur/06500/BRG347_6474.htm</v>
      </c>
    </row>
    <row r="1921" spans="1:11" x14ac:dyDescent="0.25">
      <c r="A1921" t="s">
        <v>6996</v>
      </c>
      <c r="B1921" s="1" t="str">
        <f>HYPERLINK("https://www.catalog.slsa.sa.gov.au/record=b2118387")</f>
        <v>https://www.catalog.slsa.sa.gov.au/record=b2118387</v>
      </c>
      <c r="C1921" s="1" t="str">
        <f>HYPERLINK("https://www.catalog.slsa.sa.gov.au/xrecord=b2118387")</f>
        <v>https://www.catalog.slsa.sa.gov.au/xrecord=b2118387</v>
      </c>
      <c r="D1921" t="s">
        <v>66</v>
      </c>
      <c r="E1921" t="s">
        <v>6997</v>
      </c>
      <c r="F1921">
        <v>1955</v>
      </c>
      <c r="G1921" t="s">
        <v>121</v>
      </c>
      <c r="H1921" t="s">
        <v>6998</v>
      </c>
      <c r="I1921" t="s">
        <v>6999</v>
      </c>
      <c r="J1921" t="s">
        <v>71</v>
      </c>
      <c r="K1921" s="2" t="str">
        <f>HYPERLINK("http://collections.slsa.sa.gov.au/arthur/06500/BRG347_6475.htm")</f>
        <v>http://collections.slsa.sa.gov.au/arthur/06500/BRG347_6475.htm</v>
      </c>
    </row>
    <row r="1922" spans="1:11" x14ac:dyDescent="0.25">
      <c r="A1922" t="s">
        <v>7000</v>
      </c>
      <c r="B1922" s="1" t="str">
        <f>HYPERLINK("https://www.catalog.slsa.sa.gov.au/record=b2118443")</f>
        <v>https://www.catalog.slsa.sa.gov.au/record=b2118443</v>
      </c>
      <c r="C1922" s="1" t="str">
        <f>HYPERLINK("https://www.catalog.slsa.sa.gov.au/xrecord=b2118443")</f>
        <v>https://www.catalog.slsa.sa.gov.au/xrecord=b2118443</v>
      </c>
      <c r="D1922" t="s">
        <v>66</v>
      </c>
      <c r="E1922" t="s">
        <v>7001</v>
      </c>
      <c r="F1922">
        <v>1955</v>
      </c>
      <c r="G1922" t="s">
        <v>121</v>
      </c>
      <c r="H1922" t="s">
        <v>7002</v>
      </c>
      <c r="I1922" t="s">
        <v>7003</v>
      </c>
      <c r="J1922" t="s">
        <v>71</v>
      </c>
      <c r="K1922" s="2" t="str">
        <f>HYPERLINK("http://collections.slsa.sa.gov.au/arthur/06750/BRG347_6533.htm")</f>
        <v>http://collections.slsa.sa.gov.au/arthur/06750/BRG347_6533.htm</v>
      </c>
    </row>
    <row r="1923" spans="1:11" x14ac:dyDescent="0.25">
      <c r="A1923" t="s">
        <v>7004</v>
      </c>
      <c r="B1923" s="1" t="str">
        <f>HYPERLINK("https://www.catalog.slsa.sa.gov.au/record=b2118755")</f>
        <v>https://www.catalog.slsa.sa.gov.au/record=b2118755</v>
      </c>
      <c r="C1923" s="1" t="str">
        <f>HYPERLINK("https://www.catalog.slsa.sa.gov.au/xrecord=b2118755")</f>
        <v>https://www.catalog.slsa.sa.gov.au/xrecord=b2118755</v>
      </c>
      <c r="D1923" t="s">
        <v>66</v>
      </c>
      <c r="E1923" t="s">
        <v>7005</v>
      </c>
      <c r="F1923">
        <v>1955</v>
      </c>
      <c r="G1923" t="s">
        <v>121</v>
      </c>
      <c r="H1923" t="s">
        <v>7006</v>
      </c>
      <c r="I1923" t="s">
        <v>7007</v>
      </c>
      <c r="J1923" t="s">
        <v>71</v>
      </c>
      <c r="K1923" s="2" t="str">
        <f>HYPERLINK("http://collections.slsa.sa.gov.au/arthur/06750/BRG347_6713.htm")</f>
        <v>http://collections.slsa.sa.gov.au/arthur/06750/BRG347_6713.htm</v>
      </c>
    </row>
    <row r="1924" spans="1:11" x14ac:dyDescent="0.25">
      <c r="A1924" t="s">
        <v>7008</v>
      </c>
      <c r="B1924" s="1" t="str">
        <f>HYPERLINK("https://www.catalog.slsa.sa.gov.au/record=b2118757")</f>
        <v>https://www.catalog.slsa.sa.gov.au/record=b2118757</v>
      </c>
      <c r="C1924" s="1" t="str">
        <f>HYPERLINK("https://www.catalog.slsa.sa.gov.au/xrecord=b2118757")</f>
        <v>https://www.catalog.slsa.sa.gov.au/xrecord=b2118757</v>
      </c>
      <c r="D1924" t="s">
        <v>66</v>
      </c>
      <c r="E1924" t="s">
        <v>5736</v>
      </c>
      <c r="F1924">
        <v>1955</v>
      </c>
      <c r="G1924" t="s">
        <v>121</v>
      </c>
      <c r="H1924" t="s">
        <v>7009</v>
      </c>
      <c r="I1924" t="s">
        <v>5289</v>
      </c>
      <c r="J1924" t="s">
        <v>71</v>
      </c>
      <c r="K1924" s="2" t="str">
        <f>HYPERLINK("http://collections.slsa.sa.gov.au/arthur/06750/BRG347_6715.htm")</f>
        <v>http://collections.slsa.sa.gov.au/arthur/06750/BRG347_6715.htm</v>
      </c>
    </row>
    <row r="1925" spans="1:11" x14ac:dyDescent="0.25">
      <c r="A1925" t="s">
        <v>7010</v>
      </c>
      <c r="B1925" s="1" t="str">
        <f>HYPERLINK("https://www.catalog.slsa.sa.gov.au/record=b2118758")</f>
        <v>https://www.catalog.slsa.sa.gov.au/record=b2118758</v>
      </c>
      <c r="C1925" s="1" t="str">
        <f>HYPERLINK("https://www.catalog.slsa.sa.gov.au/xrecord=b2118758")</f>
        <v>https://www.catalog.slsa.sa.gov.au/xrecord=b2118758</v>
      </c>
      <c r="D1925" t="s">
        <v>66</v>
      </c>
      <c r="E1925" t="s">
        <v>5736</v>
      </c>
      <c r="F1925">
        <v>1955</v>
      </c>
      <c r="G1925" t="s">
        <v>121</v>
      </c>
      <c r="H1925" t="s">
        <v>7009</v>
      </c>
      <c r="I1925" t="s">
        <v>5289</v>
      </c>
      <c r="J1925" t="s">
        <v>71</v>
      </c>
      <c r="K1925" s="2" t="str">
        <f>HYPERLINK("http://collections.slsa.sa.gov.au/arthur/06750/BRG347_6716.htm")</f>
        <v>http://collections.slsa.sa.gov.au/arthur/06750/BRG347_6716.htm</v>
      </c>
    </row>
    <row r="1926" spans="1:11" x14ac:dyDescent="0.25">
      <c r="A1926" t="s">
        <v>7011</v>
      </c>
      <c r="B1926" s="1" t="str">
        <f>HYPERLINK("https://www.catalog.slsa.sa.gov.au/record=b2118766")</f>
        <v>https://www.catalog.slsa.sa.gov.au/record=b2118766</v>
      </c>
      <c r="C1926" s="1" t="str">
        <f>HYPERLINK("https://www.catalog.slsa.sa.gov.au/xrecord=b2118766")</f>
        <v>https://www.catalog.slsa.sa.gov.au/xrecord=b2118766</v>
      </c>
      <c r="D1926" t="s">
        <v>66</v>
      </c>
      <c r="E1926" t="s">
        <v>7012</v>
      </c>
      <c r="F1926">
        <v>1955</v>
      </c>
      <c r="G1926" t="s">
        <v>121</v>
      </c>
      <c r="H1926" t="s">
        <v>7013</v>
      </c>
      <c r="I1926" t="s">
        <v>6501</v>
      </c>
      <c r="J1926" t="s">
        <v>71</v>
      </c>
      <c r="K1926" s="2" t="str">
        <f>HYPERLINK("http://collections.slsa.sa.gov.au/arthur/06750/BRG347_6724.htm")</f>
        <v>http://collections.slsa.sa.gov.au/arthur/06750/BRG347_6724.htm</v>
      </c>
    </row>
    <row r="1927" spans="1:11" x14ac:dyDescent="0.25">
      <c r="A1927" t="s">
        <v>7014</v>
      </c>
      <c r="B1927" s="1" t="str">
        <f>HYPERLINK("https://www.catalog.slsa.sa.gov.au/record=b2118767")</f>
        <v>https://www.catalog.slsa.sa.gov.au/record=b2118767</v>
      </c>
      <c r="C1927" s="1" t="str">
        <f>HYPERLINK("https://www.catalog.slsa.sa.gov.au/xrecord=b2118767")</f>
        <v>https://www.catalog.slsa.sa.gov.au/xrecord=b2118767</v>
      </c>
      <c r="D1927" t="s">
        <v>66</v>
      </c>
      <c r="E1927" t="s">
        <v>4534</v>
      </c>
      <c r="F1927">
        <v>1955</v>
      </c>
      <c r="G1927" t="s">
        <v>121</v>
      </c>
      <c r="H1927" t="s">
        <v>7015</v>
      </c>
      <c r="I1927" t="s">
        <v>4536</v>
      </c>
      <c r="J1927" t="s">
        <v>71</v>
      </c>
      <c r="K1927" s="2" t="str">
        <f>HYPERLINK("http://collections.slsa.sa.gov.au/arthur/06750/BRG347_6725.htm")</f>
        <v>http://collections.slsa.sa.gov.au/arthur/06750/BRG347_6725.htm</v>
      </c>
    </row>
    <row r="1928" spans="1:11" x14ac:dyDescent="0.25">
      <c r="A1928" t="s">
        <v>7016</v>
      </c>
      <c r="B1928" s="1" t="str">
        <f>HYPERLINK("https://www.catalog.slsa.sa.gov.au/record=b2118768")</f>
        <v>https://www.catalog.slsa.sa.gov.au/record=b2118768</v>
      </c>
      <c r="C1928" s="1" t="str">
        <f>HYPERLINK("https://www.catalog.slsa.sa.gov.au/xrecord=b2118768")</f>
        <v>https://www.catalog.slsa.sa.gov.au/xrecord=b2118768</v>
      </c>
      <c r="D1928" t="s">
        <v>66</v>
      </c>
      <c r="E1928" t="s">
        <v>4534</v>
      </c>
      <c r="F1928">
        <v>1955</v>
      </c>
      <c r="G1928" t="s">
        <v>121</v>
      </c>
      <c r="H1928" t="s">
        <v>7015</v>
      </c>
      <c r="I1928" t="s">
        <v>4536</v>
      </c>
      <c r="J1928" t="s">
        <v>71</v>
      </c>
      <c r="K1928" s="2" t="str">
        <f>HYPERLINK("http://collections.slsa.sa.gov.au/arthur/06750/BRG347_6726.htm")</f>
        <v>http://collections.slsa.sa.gov.au/arthur/06750/BRG347_6726.htm</v>
      </c>
    </row>
    <row r="1929" spans="1:11" x14ac:dyDescent="0.25">
      <c r="A1929" t="s">
        <v>7017</v>
      </c>
      <c r="B1929" s="1" t="str">
        <f>HYPERLINK("https://www.catalog.slsa.sa.gov.au/record=b2118770")</f>
        <v>https://www.catalog.slsa.sa.gov.au/record=b2118770</v>
      </c>
      <c r="C1929" s="1" t="str">
        <f>HYPERLINK("https://www.catalog.slsa.sa.gov.au/xrecord=b2118770")</f>
        <v>https://www.catalog.slsa.sa.gov.au/xrecord=b2118770</v>
      </c>
      <c r="D1929" t="s">
        <v>66</v>
      </c>
      <c r="E1929" t="s">
        <v>7018</v>
      </c>
      <c r="F1929">
        <v>1955</v>
      </c>
      <c r="G1929" t="s">
        <v>121</v>
      </c>
      <c r="H1929" t="s">
        <v>7019</v>
      </c>
      <c r="I1929" t="s">
        <v>7020</v>
      </c>
      <c r="J1929" t="s">
        <v>71</v>
      </c>
      <c r="K1929" s="2" t="str">
        <f>HYPERLINK("http://collections.slsa.sa.gov.au/arthur/06750/BRG347_6728.htm")</f>
        <v>http://collections.slsa.sa.gov.au/arthur/06750/BRG347_6728.htm</v>
      </c>
    </row>
    <row r="1930" spans="1:11" x14ac:dyDescent="0.25">
      <c r="A1930" t="s">
        <v>7021</v>
      </c>
      <c r="B1930" s="1" t="str">
        <f>HYPERLINK("https://www.catalog.slsa.sa.gov.au/record=b2118791")</f>
        <v>https://www.catalog.slsa.sa.gov.au/record=b2118791</v>
      </c>
      <c r="C1930" s="1" t="str">
        <f>HYPERLINK("https://www.catalog.slsa.sa.gov.au/xrecord=b2118791")</f>
        <v>https://www.catalog.slsa.sa.gov.au/xrecord=b2118791</v>
      </c>
      <c r="D1930" t="s">
        <v>66</v>
      </c>
      <c r="E1930" t="s">
        <v>7022</v>
      </c>
      <c r="F1930">
        <v>1955</v>
      </c>
      <c r="G1930" t="s">
        <v>121</v>
      </c>
      <c r="H1930" t="s">
        <v>7023</v>
      </c>
      <c r="I1930" t="s">
        <v>7024</v>
      </c>
      <c r="J1930" t="s">
        <v>71</v>
      </c>
      <c r="K1930" s="2" t="str">
        <f>HYPERLINK("http://collections.slsa.sa.gov.au/arthur/06750/BRG347_6749.htm")</f>
        <v>http://collections.slsa.sa.gov.au/arthur/06750/BRG347_6749.htm</v>
      </c>
    </row>
    <row r="1931" spans="1:11" x14ac:dyDescent="0.25">
      <c r="A1931" t="s">
        <v>7025</v>
      </c>
      <c r="B1931" s="1" t="str">
        <f>HYPERLINK("https://www.catalog.slsa.sa.gov.au/record=b2118803")</f>
        <v>https://www.catalog.slsa.sa.gov.au/record=b2118803</v>
      </c>
      <c r="C1931" s="1" t="str">
        <f>HYPERLINK("https://www.catalog.slsa.sa.gov.au/xrecord=b2118803")</f>
        <v>https://www.catalog.slsa.sa.gov.au/xrecord=b2118803</v>
      </c>
      <c r="D1931" t="s">
        <v>66</v>
      </c>
      <c r="E1931" t="s">
        <v>5652</v>
      </c>
      <c r="F1931">
        <v>1955</v>
      </c>
      <c r="G1931" t="s">
        <v>121</v>
      </c>
      <c r="H1931" t="s">
        <v>7026</v>
      </c>
      <c r="I1931" t="s">
        <v>5654</v>
      </c>
      <c r="J1931" t="s">
        <v>71</v>
      </c>
      <c r="K1931" s="2" t="str">
        <f>HYPERLINK("http://collections.slsa.sa.gov.au/arthur/07000/BRG347_6755.htm")</f>
        <v>http://collections.slsa.sa.gov.au/arthur/07000/BRG347_6755.htm</v>
      </c>
    </row>
    <row r="1932" spans="1:11" x14ac:dyDescent="0.25">
      <c r="A1932" t="s">
        <v>7027</v>
      </c>
      <c r="B1932" s="1" t="str">
        <f>HYPERLINK("https://www.catalog.slsa.sa.gov.au/record=b2119268")</f>
        <v>https://www.catalog.slsa.sa.gov.au/record=b2119268</v>
      </c>
      <c r="C1932" s="1" t="str">
        <f>HYPERLINK("https://www.catalog.slsa.sa.gov.au/xrecord=b2119268")</f>
        <v>https://www.catalog.slsa.sa.gov.au/xrecord=b2119268</v>
      </c>
      <c r="D1932" t="s">
        <v>66</v>
      </c>
      <c r="E1932" t="s">
        <v>7028</v>
      </c>
      <c r="F1932">
        <v>1955</v>
      </c>
      <c r="G1932" t="s">
        <v>121</v>
      </c>
      <c r="H1932" t="s">
        <v>7029</v>
      </c>
      <c r="I1932" t="s">
        <v>7030</v>
      </c>
      <c r="J1932" t="s">
        <v>71</v>
      </c>
      <c r="K1932" s="2" t="str">
        <f>HYPERLINK("http://collections.slsa.sa.gov.au/arthur/07000/BRG347_6817.htm")</f>
        <v>http://collections.slsa.sa.gov.au/arthur/07000/BRG347_6817.htm</v>
      </c>
    </row>
    <row r="1933" spans="1:11" x14ac:dyDescent="0.25">
      <c r="A1933" t="s">
        <v>7031</v>
      </c>
      <c r="B1933" s="1" t="str">
        <f>HYPERLINK("https://www.catalog.slsa.sa.gov.au/record=b2119269")</f>
        <v>https://www.catalog.slsa.sa.gov.au/record=b2119269</v>
      </c>
      <c r="C1933" s="1" t="str">
        <f>HYPERLINK("https://www.catalog.slsa.sa.gov.au/xrecord=b2119269")</f>
        <v>https://www.catalog.slsa.sa.gov.au/xrecord=b2119269</v>
      </c>
      <c r="D1933" t="s">
        <v>66</v>
      </c>
      <c r="E1933" t="s">
        <v>7032</v>
      </c>
      <c r="F1933">
        <v>1955</v>
      </c>
      <c r="G1933" t="s">
        <v>121</v>
      </c>
      <c r="H1933" t="s">
        <v>7033</v>
      </c>
      <c r="I1933" t="s">
        <v>7034</v>
      </c>
      <c r="J1933" t="s">
        <v>71</v>
      </c>
      <c r="K1933" s="2" t="str">
        <f>HYPERLINK("http://collections.slsa.sa.gov.au/arthur/07000/BRG347_6818.htm")</f>
        <v>http://collections.slsa.sa.gov.au/arthur/07000/BRG347_6818.htm</v>
      </c>
    </row>
    <row r="1934" spans="1:11" x14ac:dyDescent="0.25">
      <c r="A1934" t="s">
        <v>7035</v>
      </c>
      <c r="B1934" s="1" t="str">
        <f>HYPERLINK("https://www.catalog.slsa.sa.gov.au/record=b2119270")</f>
        <v>https://www.catalog.slsa.sa.gov.au/record=b2119270</v>
      </c>
      <c r="C1934" s="1" t="str">
        <f>HYPERLINK("https://www.catalog.slsa.sa.gov.au/xrecord=b2119270")</f>
        <v>https://www.catalog.slsa.sa.gov.au/xrecord=b2119270</v>
      </c>
      <c r="D1934" t="s">
        <v>66</v>
      </c>
      <c r="E1934" t="s">
        <v>7032</v>
      </c>
      <c r="F1934">
        <v>1955</v>
      </c>
      <c r="G1934" t="s">
        <v>121</v>
      </c>
      <c r="H1934" t="s">
        <v>7036</v>
      </c>
      <c r="I1934" t="s">
        <v>7034</v>
      </c>
      <c r="J1934" t="s">
        <v>71</v>
      </c>
      <c r="K1934" s="2" t="str">
        <f>HYPERLINK("http://collections.slsa.sa.gov.au/arthur/07000/BRG347_6819.htm")</f>
        <v>http://collections.slsa.sa.gov.au/arthur/07000/BRG347_6819.htm</v>
      </c>
    </row>
    <row r="1935" spans="1:11" x14ac:dyDescent="0.25">
      <c r="A1935" t="s">
        <v>7037</v>
      </c>
      <c r="B1935" s="1" t="str">
        <f>HYPERLINK("https://www.catalog.slsa.sa.gov.au/record=b2119273")</f>
        <v>https://www.catalog.slsa.sa.gov.au/record=b2119273</v>
      </c>
      <c r="C1935" s="1" t="str">
        <f>HYPERLINK("https://www.catalog.slsa.sa.gov.au/xrecord=b2119273")</f>
        <v>https://www.catalog.slsa.sa.gov.au/xrecord=b2119273</v>
      </c>
      <c r="D1935" t="s">
        <v>66</v>
      </c>
      <c r="E1935" t="s">
        <v>7038</v>
      </c>
      <c r="F1935">
        <v>1955</v>
      </c>
      <c r="G1935" t="s">
        <v>121</v>
      </c>
      <c r="H1935" t="s">
        <v>7039</v>
      </c>
      <c r="I1935" t="s">
        <v>7040</v>
      </c>
      <c r="J1935" t="s">
        <v>71</v>
      </c>
      <c r="K1935" s="2" t="str">
        <f>HYPERLINK("http://collections.slsa.sa.gov.au/arthur/07000/BRG347_6820.htm")</f>
        <v>http://collections.slsa.sa.gov.au/arthur/07000/BRG347_6820.htm</v>
      </c>
    </row>
    <row r="1936" spans="1:11" x14ac:dyDescent="0.25">
      <c r="A1936" t="s">
        <v>7041</v>
      </c>
      <c r="B1936" s="1" t="str">
        <f>HYPERLINK("https://www.catalog.slsa.sa.gov.au/record=b2119278")</f>
        <v>https://www.catalog.slsa.sa.gov.au/record=b2119278</v>
      </c>
      <c r="C1936" s="1" t="str">
        <f>HYPERLINK("https://www.catalog.slsa.sa.gov.au/xrecord=b2119278")</f>
        <v>https://www.catalog.slsa.sa.gov.au/xrecord=b2119278</v>
      </c>
      <c r="D1936" t="s">
        <v>66</v>
      </c>
      <c r="E1936" t="s">
        <v>7042</v>
      </c>
      <c r="F1936">
        <v>1955</v>
      </c>
      <c r="G1936" t="s">
        <v>121</v>
      </c>
      <c r="H1936" t="s">
        <v>7043</v>
      </c>
      <c r="I1936" t="s">
        <v>7044</v>
      </c>
      <c r="J1936" t="s">
        <v>71</v>
      </c>
      <c r="K1936" s="2" t="str">
        <f>HYPERLINK("http://collections.slsa.sa.gov.au/arthur/07000/BRG347_6821.htm")</f>
        <v>http://collections.slsa.sa.gov.au/arthur/07000/BRG347_6821.htm</v>
      </c>
    </row>
    <row r="1937" spans="1:11" x14ac:dyDescent="0.25">
      <c r="A1937" t="s">
        <v>7045</v>
      </c>
      <c r="B1937" s="1" t="str">
        <f>HYPERLINK("https://www.catalog.slsa.sa.gov.au/record=b2119279")</f>
        <v>https://www.catalog.slsa.sa.gov.au/record=b2119279</v>
      </c>
      <c r="C1937" s="1" t="str">
        <f>HYPERLINK("https://www.catalog.slsa.sa.gov.au/xrecord=b2119279")</f>
        <v>https://www.catalog.slsa.sa.gov.au/xrecord=b2119279</v>
      </c>
      <c r="D1937" t="s">
        <v>66</v>
      </c>
      <c r="E1937" t="s">
        <v>7046</v>
      </c>
      <c r="F1937">
        <v>1955</v>
      </c>
      <c r="G1937" t="s">
        <v>121</v>
      </c>
      <c r="H1937" t="s">
        <v>7047</v>
      </c>
      <c r="I1937" t="s">
        <v>7048</v>
      </c>
      <c r="J1937" t="s">
        <v>71</v>
      </c>
      <c r="K1937" s="2" t="str">
        <f>HYPERLINK("http://collections.slsa.sa.gov.au/arthur/07000/BRG347_6822.htm")</f>
        <v>http://collections.slsa.sa.gov.au/arthur/07000/BRG347_6822.htm</v>
      </c>
    </row>
    <row r="1938" spans="1:11" x14ac:dyDescent="0.25">
      <c r="A1938" t="s">
        <v>7049</v>
      </c>
      <c r="B1938" s="1" t="str">
        <f>HYPERLINK("https://www.catalog.slsa.sa.gov.au/record=b2119290")</f>
        <v>https://www.catalog.slsa.sa.gov.au/record=b2119290</v>
      </c>
      <c r="C1938" s="1" t="str">
        <f>HYPERLINK("https://www.catalog.slsa.sa.gov.au/xrecord=b2119290")</f>
        <v>https://www.catalog.slsa.sa.gov.au/xrecord=b2119290</v>
      </c>
      <c r="D1938" t="s">
        <v>66</v>
      </c>
      <c r="E1938" t="s">
        <v>7050</v>
      </c>
      <c r="F1938">
        <v>1955</v>
      </c>
      <c r="G1938" t="s">
        <v>121</v>
      </c>
      <c r="H1938" t="s">
        <v>7051</v>
      </c>
      <c r="I1938" t="s">
        <v>7052</v>
      </c>
      <c r="J1938" t="s">
        <v>71</v>
      </c>
      <c r="K1938" s="2" t="str">
        <f>HYPERLINK("http://collections.slsa.sa.gov.au/arthur/07000/BRG347_6835.htm")</f>
        <v>http://collections.slsa.sa.gov.au/arthur/07000/BRG347_6835.htm</v>
      </c>
    </row>
    <row r="1939" spans="1:11" x14ac:dyDescent="0.25">
      <c r="A1939" t="s">
        <v>7053</v>
      </c>
      <c r="B1939" s="1" t="str">
        <f>HYPERLINK("https://www.catalog.slsa.sa.gov.au/record=b2119322")</f>
        <v>https://www.catalog.slsa.sa.gov.au/record=b2119322</v>
      </c>
      <c r="C1939" s="1" t="str">
        <f>HYPERLINK("https://www.catalog.slsa.sa.gov.au/xrecord=b2119322")</f>
        <v>https://www.catalog.slsa.sa.gov.au/xrecord=b2119322</v>
      </c>
      <c r="D1939" t="s">
        <v>66</v>
      </c>
      <c r="E1939" t="s">
        <v>7054</v>
      </c>
      <c r="F1939">
        <v>1955</v>
      </c>
      <c r="G1939" t="s">
        <v>121</v>
      </c>
      <c r="H1939" t="s">
        <v>7055</v>
      </c>
      <c r="I1939" t="s">
        <v>7056</v>
      </c>
      <c r="J1939" t="s">
        <v>71</v>
      </c>
      <c r="K1939" s="2" t="str">
        <f>HYPERLINK("http://collections.slsa.sa.gov.au/arthur/07000/BRG347_6860.htm")</f>
        <v>http://collections.slsa.sa.gov.au/arthur/07000/BRG347_6860.htm</v>
      </c>
    </row>
    <row r="1940" spans="1:11" x14ac:dyDescent="0.25">
      <c r="A1940" t="s">
        <v>7057</v>
      </c>
      <c r="B1940" s="1" t="str">
        <f>HYPERLINK("https://www.catalog.slsa.sa.gov.au/record=b2119607")</f>
        <v>https://www.catalog.slsa.sa.gov.au/record=b2119607</v>
      </c>
      <c r="C1940" s="1" t="str">
        <f>HYPERLINK("https://www.catalog.slsa.sa.gov.au/xrecord=b2119607")</f>
        <v>https://www.catalog.slsa.sa.gov.au/xrecord=b2119607</v>
      </c>
      <c r="D1940" t="s">
        <v>66</v>
      </c>
      <c r="E1940" t="s">
        <v>4606</v>
      </c>
      <c r="F1940">
        <v>1955</v>
      </c>
      <c r="G1940" t="s">
        <v>121</v>
      </c>
      <c r="H1940" t="s">
        <v>7058</v>
      </c>
      <c r="I1940" t="s">
        <v>1750</v>
      </c>
      <c r="J1940" t="s">
        <v>71</v>
      </c>
      <c r="K1940" s="2" t="str">
        <f>HYPERLINK("http://collections.slsa.sa.gov.au/arthur/07000/BRG347_6920.htm")</f>
        <v>http://collections.slsa.sa.gov.au/arthur/07000/BRG347_6920.htm</v>
      </c>
    </row>
    <row r="1941" spans="1:11" x14ac:dyDescent="0.25">
      <c r="A1941" t="s">
        <v>7059</v>
      </c>
      <c r="B1941" s="1" t="str">
        <f>HYPERLINK("https://www.catalog.slsa.sa.gov.au/record=b2119613")</f>
        <v>https://www.catalog.slsa.sa.gov.au/record=b2119613</v>
      </c>
      <c r="C1941" s="1" t="str">
        <f>HYPERLINK("https://www.catalog.slsa.sa.gov.au/xrecord=b2119613")</f>
        <v>https://www.catalog.slsa.sa.gov.au/xrecord=b2119613</v>
      </c>
      <c r="D1941" t="s">
        <v>66</v>
      </c>
      <c r="E1941" t="s">
        <v>4974</v>
      </c>
      <c r="F1941">
        <v>1955</v>
      </c>
      <c r="G1941" t="s">
        <v>121</v>
      </c>
      <c r="H1941" t="s">
        <v>7060</v>
      </c>
      <c r="I1941" t="s">
        <v>1750</v>
      </c>
      <c r="J1941" t="s">
        <v>71</v>
      </c>
      <c r="K1941" s="2" t="str">
        <f>HYPERLINK("http://collections.slsa.sa.gov.au/arthur/07000/BRG347_6926.htm")</f>
        <v>http://collections.slsa.sa.gov.au/arthur/07000/BRG347_6926.htm</v>
      </c>
    </row>
    <row r="1942" spans="1:11" x14ac:dyDescent="0.25">
      <c r="A1942" t="s">
        <v>7061</v>
      </c>
      <c r="B1942" s="1" t="str">
        <f>HYPERLINK("https://www.catalog.slsa.sa.gov.au/record=b2119614")</f>
        <v>https://www.catalog.slsa.sa.gov.au/record=b2119614</v>
      </c>
      <c r="C1942" s="1" t="str">
        <f>HYPERLINK("https://www.catalog.slsa.sa.gov.au/xrecord=b2119614")</f>
        <v>https://www.catalog.slsa.sa.gov.au/xrecord=b2119614</v>
      </c>
      <c r="D1942" t="s">
        <v>66</v>
      </c>
      <c r="E1942" t="s">
        <v>7062</v>
      </c>
      <c r="F1942">
        <v>1955</v>
      </c>
      <c r="G1942" t="s">
        <v>121</v>
      </c>
      <c r="H1942" t="s">
        <v>7063</v>
      </c>
      <c r="I1942" t="s">
        <v>1750</v>
      </c>
      <c r="J1942" t="s">
        <v>71</v>
      </c>
      <c r="K1942" s="2" t="str">
        <f>HYPERLINK("http://collections.slsa.sa.gov.au/arthur/07000/BRG347_6927.htm")</f>
        <v>http://collections.slsa.sa.gov.au/arthur/07000/BRG347_6927.htm</v>
      </c>
    </row>
    <row r="1943" spans="1:11" x14ac:dyDescent="0.25">
      <c r="A1943" t="s">
        <v>7064</v>
      </c>
      <c r="B1943" s="1" t="str">
        <f>HYPERLINK("https://www.catalog.slsa.sa.gov.au/record=b2119619")</f>
        <v>https://www.catalog.slsa.sa.gov.au/record=b2119619</v>
      </c>
      <c r="C1943" s="1" t="str">
        <f>HYPERLINK("https://www.catalog.slsa.sa.gov.au/xrecord=b2119619")</f>
        <v>https://www.catalog.slsa.sa.gov.au/xrecord=b2119619</v>
      </c>
      <c r="D1943" t="s">
        <v>66</v>
      </c>
      <c r="E1943" t="s">
        <v>4606</v>
      </c>
      <c r="F1943">
        <v>1955</v>
      </c>
      <c r="G1943" t="s">
        <v>121</v>
      </c>
      <c r="H1943" t="s">
        <v>7065</v>
      </c>
      <c r="I1943" t="s">
        <v>1750</v>
      </c>
      <c r="J1943" t="s">
        <v>71</v>
      </c>
      <c r="K1943" s="2" t="str">
        <f>HYPERLINK("http://collections.slsa.sa.gov.au/arthur/07000/BRG347_6932.htm")</f>
        <v>http://collections.slsa.sa.gov.au/arthur/07000/BRG347_6932.htm</v>
      </c>
    </row>
    <row r="1944" spans="1:11" x14ac:dyDescent="0.25">
      <c r="A1944" t="s">
        <v>7066</v>
      </c>
      <c r="B1944" s="1" t="str">
        <f>HYPERLINK("https://www.catalog.slsa.sa.gov.au/record=b3024331")</f>
        <v>https://www.catalog.slsa.sa.gov.au/record=b3024331</v>
      </c>
      <c r="C1944" s="1" t="str">
        <f>HYPERLINK("https://www.catalog.slsa.sa.gov.au/xrecord=b3024331")</f>
        <v>https://www.catalog.slsa.sa.gov.au/xrecord=b3024331</v>
      </c>
      <c r="E1944" t="s">
        <v>7067</v>
      </c>
      <c r="F1944">
        <v>1955</v>
      </c>
      <c r="G1944" t="s">
        <v>7068</v>
      </c>
      <c r="H1944" t="s">
        <v>7069</v>
      </c>
      <c r="I1944" t="s">
        <v>7070</v>
      </c>
      <c r="J1944" t="s">
        <v>7071</v>
      </c>
      <c r="K1944" s="2" t="str">
        <f>HYPERLINK("http://collections.slsa.sa.gov.au/resource/PRG+1631/104/364")</f>
        <v>http://collections.slsa.sa.gov.au/resource/PRG+1631/104/364</v>
      </c>
    </row>
    <row r="1945" spans="1:11" x14ac:dyDescent="0.25">
      <c r="A1945" t="s">
        <v>7072</v>
      </c>
      <c r="B1945" s="1" t="str">
        <f>HYPERLINK("https://www.catalog.slsa.sa.gov.au/record=b2111315")</f>
        <v>https://www.catalog.slsa.sa.gov.au/record=b2111315</v>
      </c>
      <c r="C1945" s="1" t="str">
        <f>HYPERLINK("https://www.catalog.slsa.sa.gov.au/xrecord=b2111315")</f>
        <v>https://www.catalog.slsa.sa.gov.au/xrecord=b2111315</v>
      </c>
      <c r="D1945" t="s">
        <v>66</v>
      </c>
      <c r="E1945" t="s">
        <v>7073</v>
      </c>
      <c r="F1945" t="s">
        <v>7074</v>
      </c>
      <c r="G1945" t="s">
        <v>121</v>
      </c>
      <c r="H1945" t="s">
        <v>7075</v>
      </c>
      <c r="I1945" t="s">
        <v>7076</v>
      </c>
      <c r="J1945" t="s">
        <v>71</v>
      </c>
      <c r="K1945" s="2" t="str">
        <f>HYPERLINK("http://collections.slsa.sa.gov.au/arthur/02000/BRG347_1986.htm")</f>
        <v>http://collections.slsa.sa.gov.au/arthur/02000/BRG347_1986.htm</v>
      </c>
    </row>
    <row r="1946" spans="1:11" x14ac:dyDescent="0.25">
      <c r="A1946" t="s">
        <v>7077</v>
      </c>
      <c r="B1946" s="1" t="str">
        <f>HYPERLINK("https://www.catalog.slsa.sa.gov.au/record=b2111326")</f>
        <v>https://www.catalog.slsa.sa.gov.au/record=b2111326</v>
      </c>
      <c r="C1946" s="1" t="str">
        <f>HYPERLINK("https://www.catalog.slsa.sa.gov.au/xrecord=b2111326")</f>
        <v>https://www.catalog.slsa.sa.gov.au/xrecord=b2111326</v>
      </c>
      <c r="D1946" t="s">
        <v>66</v>
      </c>
      <c r="E1946" t="s">
        <v>7078</v>
      </c>
      <c r="F1946" t="s">
        <v>7074</v>
      </c>
      <c r="G1946" t="s">
        <v>121</v>
      </c>
      <c r="H1946" t="s">
        <v>7079</v>
      </c>
      <c r="I1946" t="s">
        <v>7080</v>
      </c>
      <c r="J1946" t="s">
        <v>71</v>
      </c>
      <c r="K1946" s="2" t="str">
        <f>HYPERLINK("http://collections.slsa.sa.gov.au/arthur/02000/BRG347_1997.htm")</f>
        <v>http://collections.slsa.sa.gov.au/arthur/02000/BRG347_1997.htm</v>
      </c>
    </row>
    <row r="1947" spans="1:11" x14ac:dyDescent="0.25">
      <c r="A1947" t="s">
        <v>7081</v>
      </c>
      <c r="B1947" s="1" t="str">
        <f>HYPERLINK("https://www.catalog.slsa.sa.gov.au/record=b2112251")</f>
        <v>https://www.catalog.slsa.sa.gov.au/record=b2112251</v>
      </c>
      <c r="C1947" s="1" t="str">
        <f>HYPERLINK("https://www.catalog.slsa.sa.gov.au/xrecord=b2112251")</f>
        <v>https://www.catalog.slsa.sa.gov.au/xrecord=b2112251</v>
      </c>
      <c r="D1947" t="s">
        <v>66</v>
      </c>
      <c r="E1947" t="s">
        <v>7082</v>
      </c>
      <c r="F1947" t="s">
        <v>7074</v>
      </c>
      <c r="G1947" t="s">
        <v>121</v>
      </c>
      <c r="H1947" t="s">
        <v>7083</v>
      </c>
      <c r="I1947" t="s">
        <v>7084</v>
      </c>
      <c r="J1947" t="s">
        <v>71</v>
      </c>
      <c r="K1947" s="2" t="str">
        <f>HYPERLINK("http://collections.slsa.sa.gov.au/arthur/02750/BRG347_2685.htm")</f>
        <v>http://collections.slsa.sa.gov.au/arthur/02750/BRG347_2685.htm</v>
      </c>
    </row>
    <row r="1948" spans="1:11" x14ac:dyDescent="0.25">
      <c r="A1948" t="s">
        <v>7085</v>
      </c>
      <c r="B1948" s="1" t="str">
        <f>HYPERLINK("https://www.catalog.slsa.sa.gov.au/record=b2112252")</f>
        <v>https://www.catalog.slsa.sa.gov.au/record=b2112252</v>
      </c>
      <c r="C1948" s="1" t="str">
        <f>HYPERLINK("https://www.catalog.slsa.sa.gov.au/xrecord=b2112252")</f>
        <v>https://www.catalog.slsa.sa.gov.au/xrecord=b2112252</v>
      </c>
      <c r="D1948" t="s">
        <v>66</v>
      </c>
      <c r="E1948" t="s">
        <v>7082</v>
      </c>
      <c r="F1948" t="s">
        <v>7074</v>
      </c>
      <c r="G1948" t="s">
        <v>121</v>
      </c>
      <c r="H1948" t="s">
        <v>7086</v>
      </c>
      <c r="I1948" t="s">
        <v>7087</v>
      </c>
      <c r="J1948" t="s">
        <v>71</v>
      </c>
      <c r="K1948" s="2" t="str">
        <f>HYPERLINK("http://collections.slsa.sa.gov.au/arthur/02750/BRG347_2686.htm")</f>
        <v>http://collections.slsa.sa.gov.au/arthur/02750/BRG347_2686.htm</v>
      </c>
    </row>
    <row r="1949" spans="1:11" x14ac:dyDescent="0.25">
      <c r="A1949" t="s">
        <v>7088</v>
      </c>
      <c r="B1949" s="1" t="str">
        <f>HYPERLINK("https://www.catalog.slsa.sa.gov.au/record=b2116876")</f>
        <v>https://www.catalog.slsa.sa.gov.au/record=b2116876</v>
      </c>
      <c r="C1949" s="1" t="str">
        <f>HYPERLINK("https://www.catalog.slsa.sa.gov.au/xrecord=b2116876")</f>
        <v>https://www.catalog.slsa.sa.gov.au/xrecord=b2116876</v>
      </c>
      <c r="D1949" t="s">
        <v>66</v>
      </c>
      <c r="E1949" t="s">
        <v>660</v>
      </c>
      <c r="F1949" t="s">
        <v>7074</v>
      </c>
      <c r="G1949" t="s">
        <v>121</v>
      </c>
      <c r="H1949" t="s">
        <v>7089</v>
      </c>
      <c r="I1949" t="s">
        <v>7090</v>
      </c>
      <c r="J1949" t="s">
        <v>71</v>
      </c>
      <c r="K1949" s="2" t="str">
        <f>HYPERLINK("http://collections.slsa.sa.gov.au/arthur/05750/BRG347_5706.htm")</f>
        <v>http://collections.slsa.sa.gov.au/arthur/05750/BRG347_5706.htm</v>
      </c>
    </row>
    <row r="1950" spans="1:11" x14ac:dyDescent="0.25">
      <c r="A1950" t="s">
        <v>7091</v>
      </c>
      <c r="B1950" s="1" t="str">
        <f>HYPERLINK("https://www.catalog.slsa.sa.gov.au/record=b2927109")</f>
        <v>https://www.catalog.slsa.sa.gov.au/record=b2927109</v>
      </c>
      <c r="C1950" s="1" t="str">
        <f>HYPERLINK("https://www.catalog.slsa.sa.gov.au/xrecord=b2927109")</f>
        <v>https://www.catalog.slsa.sa.gov.au/xrecord=b2927109</v>
      </c>
      <c r="E1950" t="s">
        <v>7092</v>
      </c>
      <c r="F1950" t="s">
        <v>7074</v>
      </c>
      <c r="G1950" t="s">
        <v>7093</v>
      </c>
      <c r="H1950" t="s">
        <v>7094</v>
      </c>
      <c r="I1950" t="s">
        <v>7095</v>
      </c>
      <c r="J1950" t="s">
        <v>7096</v>
      </c>
      <c r="K1950" s="2" t="str">
        <f>HYPERLINK("http://collections.slsa.sa.gov.au/prgr/1561/5/PRG1561_5_1_49.htm")</f>
        <v>http://collections.slsa.sa.gov.au/prgr/1561/5/PRG1561_5_1_49.htm</v>
      </c>
    </row>
    <row r="1951" spans="1:11" x14ac:dyDescent="0.25">
      <c r="A1951" t="s">
        <v>7097</v>
      </c>
      <c r="B1951" s="1" t="str">
        <f>HYPERLINK("https://www.catalog.slsa.sa.gov.au/record=b3131579")</f>
        <v>https://www.catalog.slsa.sa.gov.au/record=b3131579</v>
      </c>
      <c r="C1951" s="1" t="str">
        <f>HYPERLINK("https://www.catalog.slsa.sa.gov.au/xrecord=b3131579")</f>
        <v>https://www.catalog.slsa.sa.gov.au/xrecord=b3131579</v>
      </c>
      <c r="D1951" t="s">
        <v>1792</v>
      </c>
      <c r="E1951" t="s">
        <v>7098</v>
      </c>
      <c r="F1951" t="s">
        <v>7074</v>
      </c>
      <c r="G1951" t="s">
        <v>7099</v>
      </c>
      <c r="H1951" t="s">
        <v>7100</v>
      </c>
      <c r="I1951" t="s">
        <v>1796</v>
      </c>
      <c r="K1951" s="2" t="str">
        <f>HYPERLINK("http://collections.slsa.sa.gov.au/resource/BRG+332/12/109")</f>
        <v>http://collections.slsa.sa.gov.au/resource/BRG+332/12/109</v>
      </c>
    </row>
    <row r="1952" spans="1:11" x14ac:dyDescent="0.25">
      <c r="A1952" t="s">
        <v>7101</v>
      </c>
      <c r="B1952" s="1" t="str">
        <f>HYPERLINK("https://www.catalog.slsa.sa.gov.au/record=b3189484")</f>
        <v>https://www.catalog.slsa.sa.gov.au/record=b3189484</v>
      </c>
      <c r="C1952" s="1" t="str">
        <f>HYPERLINK("https://www.catalog.slsa.sa.gov.au/xrecord=b3189484")</f>
        <v>https://www.catalog.slsa.sa.gov.au/xrecord=b3189484</v>
      </c>
      <c r="E1952" t="s">
        <v>7102</v>
      </c>
      <c r="F1952" t="s">
        <v>7074</v>
      </c>
      <c r="G1952" t="s">
        <v>7103</v>
      </c>
      <c r="H1952" t="s">
        <v>7104</v>
      </c>
      <c r="I1952" t="s">
        <v>7105</v>
      </c>
      <c r="J1952" t="s">
        <v>2825</v>
      </c>
      <c r="K1952" s="2" t="str">
        <f>HYPERLINK("http://collections.slsa.sa.gov.au/resource/PRG+1712/9/5")</f>
        <v>http://collections.slsa.sa.gov.au/resource/PRG+1712/9/5</v>
      </c>
    </row>
    <row r="1953" spans="1:11" x14ac:dyDescent="0.25">
      <c r="A1953" t="s">
        <v>7106</v>
      </c>
      <c r="B1953" s="1" t="str">
        <f>HYPERLINK("https://www.catalog.slsa.sa.gov.au/record=b3189490")</f>
        <v>https://www.catalog.slsa.sa.gov.au/record=b3189490</v>
      </c>
      <c r="C1953" s="1" t="str">
        <f>HYPERLINK("https://www.catalog.slsa.sa.gov.au/xrecord=b3189490")</f>
        <v>https://www.catalog.slsa.sa.gov.au/xrecord=b3189490</v>
      </c>
      <c r="E1953" t="s">
        <v>7102</v>
      </c>
      <c r="F1953" t="s">
        <v>7074</v>
      </c>
      <c r="G1953" t="s">
        <v>7107</v>
      </c>
      <c r="H1953" t="s">
        <v>7108</v>
      </c>
      <c r="I1953" t="s">
        <v>7109</v>
      </c>
      <c r="J1953" t="s">
        <v>2825</v>
      </c>
      <c r="K1953" s="2" t="str">
        <f>HYPERLINK("http://collections.slsa.sa.gov.au/resource/PRG+1712/9/6")</f>
        <v>http://collections.slsa.sa.gov.au/resource/PRG+1712/9/6</v>
      </c>
    </row>
    <row r="1954" spans="1:11" x14ac:dyDescent="0.25">
      <c r="A1954" t="s">
        <v>7110</v>
      </c>
      <c r="B1954" s="1" t="str">
        <f>HYPERLINK("https://www.catalog.slsa.sa.gov.au/record=b3085341")</f>
        <v>https://www.catalog.slsa.sa.gov.au/record=b3085341</v>
      </c>
      <c r="C1954" s="1" t="str">
        <f>HYPERLINK("https://www.catalog.slsa.sa.gov.au/xrecord=b3085341")</f>
        <v>https://www.catalog.slsa.sa.gov.au/xrecord=b3085341</v>
      </c>
      <c r="D1954" t="s">
        <v>2827</v>
      </c>
      <c r="E1954" t="s">
        <v>7111</v>
      </c>
      <c r="F1954" t="s">
        <v>7074</v>
      </c>
      <c r="G1954" t="s">
        <v>7112</v>
      </c>
      <c r="H1954" t="s">
        <v>7113</v>
      </c>
      <c r="I1954" t="s">
        <v>7114</v>
      </c>
      <c r="K1954" s="2" t="str">
        <f>HYPERLINK("http://collections.slsa.sa.gov.au/resource/PRG+331/10/37")</f>
        <v>http://collections.slsa.sa.gov.au/resource/PRG+331/10/37</v>
      </c>
    </row>
    <row r="1955" spans="1:11" x14ac:dyDescent="0.25">
      <c r="A1955" t="s">
        <v>7115</v>
      </c>
      <c r="B1955" s="1" t="str">
        <f>HYPERLINK("https://www.catalog.slsa.sa.gov.au/record=b3138668")</f>
        <v>https://www.catalog.slsa.sa.gov.au/record=b3138668</v>
      </c>
      <c r="C1955" s="1" t="str">
        <f>HYPERLINK("https://www.catalog.slsa.sa.gov.au/xrecord=b3138668")</f>
        <v>https://www.catalog.slsa.sa.gov.au/xrecord=b3138668</v>
      </c>
      <c r="D1955" t="s">
        <v>3698</v>
      </c>
      <c r="E1955" t="s">
        <v>7116</v>
      </c>
      <c r="F1955" t="s">
        <v>7117</v>
      </c>
      <c r="G1955" t="s">
        <v>7118</v>
      </c>
      <c r="H1955" t="s">
        <v>7119</v>
      </c>
      <c r="I1955" t="s">
        <v>7120</v>
      </c>
      <c r="J1955" t="s">
        <v>7121</v>
      </c>
      <c r="K1955" s="2" t="str">
        <f>HYPERLINK("http://collections.slsa.sa.gov.au/resource/PRG+830/20/38")</f>
        <v>http://collections.slsa.sa.gov.au/resource/PRG+830/20/38</v>
      </c>
    </row>
    <row r="1956" spans="1:11" x14ac:dyDescent="0.25">
      <c r="A1956" t="s">
        <v>7122</v>
      </c>
      <c r="B1956" s="1" t="str">
        <f>HYPERLINK("https://www.catalog.slsa.sa.gov.au/record=b3138669")</f>
        <v>https://www.catalog.slsa.sa.gov.au/record=b3138669</v>
      </c>
      <c r="C1956" s="1" t="str">
        <f>HYPERLINK("https://www.catalog.slsa.sa.gov.au/xrecord=b3138669")</f>
        <v>https://www.catalog.slsa.sa.gov.au/xrecord=b3138669</v>
      </c>
      <c r="D1956" t="s">
        <v>3698</v>
      </c>
      <c r="E1956" t="s">
        <v>7116</v>
      </c>
      <c r="F1956" t="s">
        <v>7117</v>
      </c>
      <c r="G1956" t="s">
        <v>7118</v>
      </c>
      <c r="H1956" t="s">
        <v>7123</v>
      </c>
      <c r="I1956" t="s">
        <v>7120</v>
      </c>
      <c r="J1956" t="s">
        <v>7121</v>
      </c>
      <c r="K1956" s="2" t="str">
        <f>HYPERLINK("http://collections.slsa.sa.gov.au/resource/PRG+830/20/39")</f>
        <v>http://collections.slsa.sa.gov.au/resource/PRG+830/20/39</v>
      </c>
    </row>
    <row r="1957" spans="1:11" x14ac:dyDescent="0.25">
      <c r="A1957" t="s">
        <v>7124</v>
      </c>
      <c r="B1957" s="1" t="str">
        <f>HYPERLINK("https://www.catalog.slsa.sa.gov.au/record=b3138670")</f>
        <v>https://www.catalog.slsa.sa.gov.au/record=b3138670</v>
      </c>
      <c r="C1957" s="1" t="str">
        <f>HYPERLINK("https://www.catalog.slsa.sa.gov.au/xrecord=b3138670")</f>
        <v>https://www.catalog.slsa.sa.gov.au/xrecord=b3138670</v>
      </c>
      <c r="D1957" t="s">
        <v>3698</v>
      </c>
      <c r="E1957" t="s">
        <v>7116</v>
      </c>
      <c r="F1957" t="s">
        <v>7117</v>
      </c>
      <c r="G1957" t="s">
        <v>7125</v>
      </c>
      <c r="H1957" t="s">
        <v>7126</v>
      </c>
      <c r="I1957" t="s">
        <v>7120</v>
      </c>
      <c r="J1957" t="s">
        <v>7121</v>
      </c>
      <c r="K1957" s="2" t="str">
        <f>HYPERLINK("http://collections.slsa.sa.gov.au/resource/PRG+830/20/40")</f>
        <v>http://collections.slsa.sa.gov.au/resource/PRG+830/20/40</v>
      </c>
    </row>
    <row r="1958" spans="1:11" x14ac:dyDescent="0.25">
      <c r="A1958" t="s">
        <v>7127</v>
      </c>
      <c r="B1958" s="1" t="str">
        <f>HYPERLINK("https://www.catalog.slsa.sa.gov.au/record=b3138671")</f>
        <v>https://www.catalog.slsa.sa.gov.au/record=b3138671</v>
      </c>
      <c r="C1958" s="1" t="str">
        <f>HYPERLINK("https://www.catalog.slsa.sa.gov.au/xrecord=b3138671")</f>
        <v>https://www.catalog.slsa.sa.gov.au/xrecord=b3138671</v>
      </c>
      <c r="D1958" t="s">
        <v>3698</v>
      </c>
      <c r="E1958" t="s">
        <v>7116</v>
      </c>
      <c r="F1958" t="s">
        <v>7117</v>
      </c>
      <c r="G1958" t="s">
        <v>7118</v>
      </c>
      <c r="H1958" t="s">
        <v>7128</v>
      </c>
      <c r="I1958" t="s">
        <v>7120</v>
      </c>
      <c r="J1958" t="s">
        <v>7121</v>
      </c>
      <c r="K1958" s="2" t="str">
        <f>HYPERLINK("http://collections.slsa.sa.gov.au/resource/PRG+830/20/41")</f>
        <v>http://collections.slsa.sa.gov.au/resource/PRG+830/20/41</v>
      </c>
    </row>
    <row r="1959" spans="1:11" x14ac:dyDescent="0.25">
      <c r="A1959" t="s">
        <v>7129</v>
      </c>
      <c r="B1959" s="1" t="str">
        <f>HYPERLINK("https://www.catalog.slsa.sa.gov.au/record=b3138672")</f>
        <v>https://www.catalog.slsa.sa.gov.au/record=b3138672</v>
      </c>
      <c r="C1959" s="1" t="str">
        <f>HYPERLINK("https://www.catalog.slsa.sa.gov.au/xrecord=b3138672")</f>
        <v>https://www.catalog.slsa.sa.gov.au/xrecord=b3138672</v>
      </c>
      <c r="D1959" t="s">
        <v>3698</v>
      </c>
      <c r="E1959" t="s">
        <v>7116</v>
      </c>
      <c r="F1959" t="s">
        <v>7117</v>
      </c>
      <c r="G1959" t="s">
        <v>7118</v>
      </c>
      <c r="H1959" t="s">
        <v>7130</v>
      </c>
      <c r="I1959" t="s">
        <v>7120</v>
      </c>
      <c r="J1959" t="s">
        <v>7121</v>
      </c>
      <c r="K1959" s="2" t="str">
        <f>HYPERLINK("http://collections.slsa.sa.gov.au/resource/PRG+830/20/42")</f>
        <v>http://collections.slsa.sa.gov.au/resource/PRG+830/20/42</v>
      </c>
    </row>
    <row r="1960" spans="1:11" x14ac:dyDescent="0.25">
      <c r="A1960" t="s">
        <v>7131</v>
      </c>
      <c r="B1960" s="1" t="str">
        <f>HYPERLINK("https://www.catalog.slsa.sa.gov.au/record=b3138673")</f>
        <v>https://www.catalog.slsa.sa.gov.au/record=b3138673</v>
      </c>
      <c r="C1960" s="1" t="str">
        <f>HYPERLINK("https://www.catalog.slsa.sa.gov.au/xrecord=b3138673")</f>
        <v>https://www.catalog.slsa.sa.gov.au/xrecord=b3138673</v>
      </c>
      <c r="D1960" t="s">
        <v>3698</v>
      </c>
      <c r="E1960" t="s">
        <v>7116</v>
      </c>
      <c r="F1960" t="s">
        <v>7117</v>
      </c>
      <c r="G1960" t="s">
        <v>7118</v>
      </c>
      <c r="H1960" t="s">
        <v>7132</v>
      </c>
      <c r="I1960" t="s">
        <v>7120</v>
      </c>
      <c r="J1960" t="s">
        <v>7121</v>
      </c>
      <c r="K1960" s="2" t="str">
        <f>HYPERLINK("http://collections.slsa.sa.gov.au/resource/PRG+830/20/43")</f>
        <v>http://collections.slsa.sa.gov.au/resource/PRG+830/20/43</v>
      </c>
    </row>
    <row r="1961" spans="1:11" x14ac:dyDescent="0.25">
      <c r="A1961" t="s">
        <v>7133</v>
      </c>
      <c r="B1961" s="1" t="str">
        <f>HYPERLINK("https://www.catalog.slsa.sa.gov.au/record=b3138674")</f>
        <v>https://www.catalog.slsa.sa.gov.au/record=b3138674</v>
      </c>
      <c r="C1961" s="1" t="str">
        <f>HYPERLINK("https://www.catalog.slsa.sa.gov.au/xrecord=b3138674")</f>
        <v>https://www.catalog.slsa.sa.gov.au/xrecord=b3138674</v>
      </c>
      <c r="D1961" t="s">
        <v>3698</v>
      </c>
      <c r="E1961" t="s">
        <v>7116</v>
      </c>
      <c r="F1961" t="s">
        <v>7117</v>
      </c>
      <c r="G1961" t="s">
        <v>7118</v>
      </c>
      <c r="H1961" t="s">
        <v>7134</v>
      </c>
      <c r="I1961" t="s">
        <v>7120</v>
      </c>
      <c r="J1961" t="s">
        <v>7121</v>
      </c>
      <c r="K1961" s="2" t="str">
        <f>HYPERLINK("http://collections.slsa.sa.gov.au/resource/PRG+830/20/44")</f>
        <v>http://collections.slsa.sa.gov.au/resource/PRG+830/20/44</v>
      </c>
    </row>
    <row r="1962" spans="1:11" x14ac:dyDescent="0.25">
      <c r="A1962" t="s">
        <v>7135</v>
      </c>
      <c r="B1962" s="1" t="str">
        <f>HYPERLINK("https://www.catalog.slsa.sa.gov.au/record=b3138675")</f>
        <v>https://www.catalog.slsa.sa.gov.au/record=b3138675</v>
      </c>
      <c r="C1962" s="1" t="str">
        <f>HYPERLINK("https://www.catalog.slsa.sa.gov.au/xrecord=b3138675")</f>
        <v>https://www.catalog.slsa.sa.gov.au/xrecord=b3138675</v>
      </c>
      <c r="D1962" t="s">
        <v>3698</v>
      </c>
      <c r="E1962" t="s">
        <v>7116</v>
      </c>
      <c r="F1962" t="s">
        <v>7117</v>
      </c>
      <c r="G1962" t="s">
        <v>7118</v>
      </c>
      <c r="H1962" t="s">
        <v>7136</v>
      </c>
      <c r="I1962" t="s">
        <v>7120</v>
      </c>
      <c r="J1962" t="s">
        <v>7121</v>
      </c>
      <c r="K1962" s="2" t="str">
        <f>HYPERLINK("http://collections.slsa.sa.gov.au/resource/PRG+830/20/45")</f>
        <v>http://collections.slsa.sa.gov.au/resource/PRG+830/20/45</v>
      </c>
    </row>
    <row r="1963" spans="1:11" x14ac:dyDescent="0.25">
      <c r="A1963" t="s">
        <v>7137</v>
      </c>
      <c r="B1963" s="1" t="str">
        <f>HYPERLINK("https://www.catalog.slsa.sa.gov.au/record=b3138676")</f>
        <v>https://www.catalog.slsa.sa.gov.au/record=b3138676</v>
      </c>
      <c r="C1963" s="1" t="str">
        <f>HYPERLINK("https://www.catalog.slsa.sa.gov.au/xrecord=b3138676")</f>
        <v>https://www.catalog.slsa.sa.gov.au/xrecord=b3138676</v>
      </c>
      <c r="D1963" t="s">
        <v>3698</v>
      </c>
      <c r="E1963" t="s">
        <v>7116</v>
      </c>
      <c r="F1963" t="s">
        <v>7117</v>
      </c>
      <c r="G1963" t="s">
        <v>7118</v>
      </c>
      <c r="H1963" t="s">
        <v>7128</v>
      </c>
      <c r="I1963" t="s">
        <v>7120</v>
      </c>
      <c r="J1963" t="s">
        <v>7121</v>
      </c>
      <c r="K1963" s="2" t="str">
        <f>HYPERLINK("http://collections.slsa.sa.gov.au/resource/PRG+830/20/46")</f>
        <v>http://collections.slsa.sa.gov.au/resource/PRG+830/20/46</v>
      </c>
    </row>
    <row r="1964" spans="1:11" x14ac:dyDescent="0.25">
      <c r="A1964" t="s">
        <v>7138</v>
      </c>
      <c r="B1964" s="1" t="str">
        <f>HYPERLINK("https://www.catalog.slsa.sa.gov.au/record=b3138677")</f>
        <v>https://www.catalog.slsa.sa.gov.au/record=b3138677</v>
      </c>
      <c r="C1964" s="1" t="str">
        <f>HYPERLINK("https://www.catalog.slsa.sa.gov.au/xrecord=b3138677")</f>
        <v>https://www.catalog.slsa.sa.gov.au/xrecord=b3138677</v>
      </c>
      <c r="D1964" t="s">
        <v>3698</v>
      </c>
      <c r="E1964" t="s">
        <v>7116</v>
      </c>
      <c r="F1964" t="s">
        <v>7117</v>
      </c>
      <c r="G1964" t="s">
        <v>7118</v>
      </c>
      <c r="H1964" t="s">
        <v>7139</v>
      </c>
      <c r="I1964" t="s">
        <v>7140</v>
      </c>
      <c r="J1964" t="s">
        <v>7121</v>
      </c>
      <c r="K1964" s="2" t="str">
        <f>HYPERLINK("http://collections.slsa.sa.gov.au/resource/PRG+830/20/47")</f>
        <v>http://collections.slsa.sa.gov.au/resource/PRG+830/20/47</v>
      </c>
    </row>
    <row r="1965" spans="1:11" x14ac:dyDescent="0.25">
      <c r="A1965" t="s">
        <v>7141</v>
      </c>
      <c r="B1965" s="1" t="str">
        <f>HYPERLINK("https://www.catalog.slsa.sa.gov.au/record=b3138678")</f>
        <v>https://www.catalog.slsa.sa.gov.au/record=b3138678</v>
      </c>
      <c r="C1965" s="1" t="str">
        <f>HYPERLINK("https://www.catalog.slsa.sa.gov.au/xrecord=b3138678")</f>
        <v>https://www.catalog.slsa.sa.gov.au/xrecord=b3138678</v>
      </c>
      <c r="D1965" t="s">
        <v>3698</v>
      </c>
      <c r="E1965" t="s">
        <v>7116</v>
      </c>
      <c r="F1965" t="s">
        <v>7117</v>
      </c>
      <c r="G1965" t="s">
        <v>7118</v>
      </c>
      <c r="H1965" t="s">
        <v>7142</v>
      </c>
      <c r="I1965" t="s">
        <v>7120</v>
      </c>
      <c r="J1965" t="s">
        <v>7121</v>
      </c>
      <c r="K1965" s="2" t="str">
        <f>HYPERLINK("http://collections.slsa.sa.gov.au/resource/PRG+830/20/48")</f>
        <v>http://collections.slsa.sa.gov.au/resource/PRG+830/20/48</v>
      </c>
    </row>
    <row r="1966" spans="1:11" x14ac:dyDescent="0.25">
      <c r="A1966" t="s">
        <v>7143</v>
      </c>
      <c r="B1966" s="1" t="str">
        <f>HYPERLINK("https://www.catalog.slsa.sa.gov.au/record=b3138679")</f>
        <v>https://www.catalog.slsa.sa.gov.au/record=b3138679</v>
      </c>
      <c r="C1966" s="1" t="str">
        <f>HYPERLINK("https://www.catalog.slsa.sa.gov.au/xrecord=b3138679")</f>
        <v>https://www.catalog.slsa.sa.gov.au/xrecord=b3138679</v>
      </c>
      <c r="D1966" t="s">
        <v>3698</v>
      </c>
      <c r="E1966" t="s">
        <v>7116</v>
      </c>
      <c r="F1966" t="s">
        <v>7117</v>
      </c>
      <c r="G1966" t="s">
        <v>7118</v>
      </c>
      <c r="H1966" t="s">
        <v>7144</v>
      </c>
      <c r="I1966" t="s">
        <v>7145</v>
      </c>
      <c r="J1966" t="s">
        <v>7121</v>
      </c>
      <c r="K1966" s="2" t="str">
        <f>HYPERLINK("http://collections.slsa.sa.gov.au/resource/PRG+830/20/49")</f>
        <v>http://collections.slsa.sa.gov.au/resource/PRG+830/20/49</v>
      </c>
    </row>
    <row r="1967" spans="1:11" x14ac:dyDescent="0.25">
      <c r="A1967" t="s">
        <v>7146</v>
      </c>
      <c r="B1967" s="1" t="str">
        <f>HYPERLINK("https://www.catalog.slsa.sa.gov.au/record=b3138680")</f>
        <v>https://www.catalog.slsa.sa.gov.au/record=b3138680</v>
      </c>
      <c r="C1967" s="1" t="str">
        <f>HYPERLINK("https://www.catalog.slsa.sa.gov.au/xrecord=b3138680")</f>
        <v>https://www.catalog.slsa.sa.gov.au/xrecord=b3138680</v>
      </c>
      <c r="D1967" t="s">
        <v>3698</v>
      </c>
      <c r="E1967" t="s">
        <v>7116</v>
      </c>
      <c r="F1967" t="s">
        <v>7117</v>
      </c>
      <c r="G1967" t="s">
        <v>7118</v>
      </c>
      <c r="H1967" t="s">
        <v>7147</v>
      </c>
      <c r="I1967" t="s">
        <v>7120</v>
      </c>
      <c r="J1967" t="s">
        <v>7121</v>
      </c>
      <c r="K1967" s="2" t="str">
        <f>HYPERLINK("http://collections.slsa.sa.gov.au/resource/PRG+830/20/50")</f>
        <v>http://collections.slsa.sa.gov.au/resource/PRG+830/20/50</v>
      </c>
    </row>
    <row r="1968" spans="1:11" x14ac:dyDescent="0.25">
      <c r="A1968" t="s">
        <v>7148</v>
      </c>
      <c r="B1968" s="1" t="str">
        <f>HYPERLINK("https://www.catalog.slsa.sa.gov.au/record=b3138681")</f>
        <v>https://www.catalog.slsa.sa.gov.au/record=b3138681</v>
      </c>
      <c r="C1968" s="1" t="str">
        <f>HYPERLINK("https://www.catalog.slsa.sa.gov.au/xrecord=b3138681")</f>
        <v>https://www.catalog.slsa.sa.gov.au/xrecord=b3138681</v>
      </c>
      <c r="D1968" t="s">
        <v>3698</v>
      </c>
      <c r="E1968" t="s">
        <v>7116</v>
      </c>
      <c r="F1968" t="s">
        <v>7117</v>
      </c>
      <c r="G1968" t="s">
        <v>7118</v>
      </c>
      <c r="H1968" t="s">
        <v>7149</v>
      </c>
      <c r="I1968" t="s">
        <v>7120</v>
      </c>
      <c r="J1968" t="s">
        <v>7121</v>
      </c>
      <c r="K1968" s="2" t="str">
        <f>HYPERLINK("http://collections.slsa.sa.gov.au/resource/PRG+830/20/51")</f>
        <v>http://collections.slsa.sa.gov.au/resource/PRG+830/20/51</v>
      </c>
    </row>
    <row r="1969" spans="1:11" x14ac:dyDescent="0.25">
      <c r="A1969" t="s">
        <v>7150</v>
      </c>
      <c r="B1969" s="1" t="str">
        <f>HYPERLINK("https://www.catalog.slsa.sa.gov.au/record=b3138682")</f>
        <v>https://www.catalog.slsa.sa.gov.au/record=b3138682</v>
      </c>
      <c r="C1969" s="1" t="str">
        <f>HYPERLINK("https://www.catalog.slsa.sa.gov.au/xrecord=b3138682")</f>
        <v>https://www.catalog.slsa.sa.gov.au/xrecord=b3138682</v>
      </c>
      <c r="D1969" t="s">
        <v>3698</v>
      </c>
      <c r="E1969" t="s">
        <v>7116</v>
      </c>
      <c r="F1969" t="s">
        <v>7117</v>
      </c>
      <c r="G1969" t="s">
        <v>7118</v>
      </c>
      <c r="H1969" t="s">
        <v>7151</v>
      </c>
      <c r="I1969" t="s">
        <v>7120</v>
      </c>
      <c r="J1969" t="s">
        <v>7121</v>
      </c>
      <c r="K1969" s="2" t="str">
        <f>HYPERLINK("http://collections.slsa.sa.gov.au/resource/PRG+830/20/52")</f>
        <v>http://collections.slsa.sa.gov.au/resource/PRG+830/20/52</v>
      </c>
    </row>
    <row r="1970" spans="1:11" x14ac:dyDescent="0.25">
      <c r="A1970" t="s">
        <v>7152</v>
      </c>
      <c r="B1970" s="1" t="str">
        <f>HYPERLINK("https://www.catalog.slsa.sa.gov.au/record=b3138683")</f>
        <v>https://www.catalog.slsa.sa.gov.au/record=b3138683</v>
      </c>
      <c r="C1970" s="1" t="str">
        <f>HYPERLINK("https://www.catalog.slsa.sa.gov.au/xrecord=b3138683")</f>
        <v>https://www.catalog.slsa.sa.gov.au/xrecord=b3138683</v>
      </c>
      <c r="D1970" t="s">
        <v>3698</v>
      </c>
      <c r="E1970" t="s">
        <v>7116</v>
      </c>
      <c r="F1970" t="s">
        <v>7117</v>
      </c>
      <c r="G1970" t="s">
        <v>3650</v>
      </c>
      <c r="H1970" t="s">
        <v>7128</v>
      </c>
      <c r="I1970" t="s">
        <v>7120</v>
      </c>
      <c r="J1970" t="s">
        <v>7121</v>
      </c>
      <c r="K1970" s="2" t="str">
        <f>HYPERLINK("http://collections.slsa.sa.gov.au/resource/PRG+830/20/53")</f>
        <v>http://collections.slsa.sa.gov.au/resource/PRG+830/20/53</v>
      </c>
    </row>
    <row r="1971" spans="1:11" x14ac:dyDescent="0.25">
      <c r="A1971" t="s">
        <v>7153</v>
      </c>
      <c r="B1971" s="1" t="str">
        <f>HYPERLINK("https://www.catalog.slsa.sa.gov.au/record=b3138684")</f>
        <v>https://www.catalog.slsa.sa.gov.au/record=b3138684</v>
      </c>
      <c r="C1971" s="1" t="str">
        <f>HYPERLINK("https://www.catalog.slsa.sa.gov.au/xrecord=b3138684")</f>
        <v>https://www.catalog.slsa.sa.gov.au/xrecord=b3138684</v>
      </c>
      <c r="D1971" t="s">
        <v>3698</v>
      </c>
      <c r="E1971" t="s">
        <v>7116</v>
      </c>
      <c r="F1971" t="s">
        <v>7117</v>
      </c>
      <c r="G1971" t="s">
        <v>3650</v>
      </c>
      <c r="H1971" t="s">
        <v>7154</v>
      </c>
      <c r="I1971" t="s">
        <v>7145</v>
      </c>
      <c r="J1971" t="s">
        <v>7121</v>
      </c>
      <c r="K1971" s="2" t="str">
        <f>HYPERLINK("http://collections.slsa.sa.gov.au/resource/PRG+830/20/54")</f>
        <v>http://collections.slsa.sa.gov.au/resource/PRG+830/20/54</v>
      </c>
    </row>
    <row r="1972" spans="1:11" x14ac:dyDescent="0.25">
      <c r="A1972" t="s">
        <v>7155</v>
      </c>
      <c r="B1972" s="1" t="str">
        <f>HYPERLINK("https://www.catalog.slsa.sa.gov.au/record=b3138685")</f>
        <v>https://www.catalog.slsa.sa.gov.au/record=b3138685</v>
      </c>
      <c r="C1972" s="1" t="str">
        <f>HYPERLINK("https://www.catalog.slsa.sa.gov.au/xrecord=b3138685")</f>
        <v>https://www.catalog.slsa.sa.gov.au/xrecord=b3138685</v>
      </c>
      <c r="D1972" t="s">
        <v>3698</v>
      </c>
      <c r="E1972" t="s">
        <v>7116</v>
      </c>
      <c r="F1972" t="s">
        <v>7117</v>
      </c>
      <c r="G1972" t="s">
        <v>3650</v>
      </c>
      <c r="H1972" t="s">
        <v>7156</v>
      </c>
      <c r="I1972" t="s">
        <v>7120</v>
      </c>
      <c r="J1972" t="s">
        <v>7121</v>
      </c>
      <c r="K1972" s="2" t="str">
        <f>HYPERLINK("http://collections.slsa.sa.gov.au/resource/PRG+830/20/55")</f>
        <v>http://collections.slsa.sa.gov.au/resource/PRG+830/20/55</v>
      </c>
    </row>
    <row r="1973" spans="1:11" x14ac:dyDescent="0.25">
      <c r="A1973" t="s">
        <v>7157</v>
      </c>
      <c r="B1973" s="1" t="str">
        <f>HYPERLINK("https://www.catalog.slsa.sa.gov.au/record=b3138686")</f>
        <v>https://www.catalog.slsa.sa.gov.au/record=b3138686</v>
      </c>
      <c r="C1973" s="1" t="str">
        <f>HYPERLINK("https://www.catalog.slsa.sa.gov.au/xrecord=b3138686")</f>
        <v>https://www.catalog.slsa.sa.gov.au/xrecord=b3138686</v>
      </c>
      <c r="D1973" t="s">
        <v>3698</v>
      </c>
      <c r="E1973" t="s">
        <v>7116</v>
      </c>
      <c r="F1973" t="s">
        <v>7117</v>
      </c>
      <c r="G1973" t="s">
        <v>3650</v>
      </c>
      <c r="H1973" t="s">
        <v>7158</v>
      </c>
      <c r="I1973" t="s">
        <v>7120</v>
      </c>
      <c r="J1973" t="s">
        <v>7121</v>
      </c>
      <c r="K1973" s="2" t="str">
        <f>HYPERLINK("http://collections.slsa.sa.gov.au/resource/PRG+830/20/56")</f>
        <v>http://collections.slsa.sa.gov.au/resource/PRG+830/20/56</v>
      </c>
    </row>
    <row r="1974" spans="1:11" x14ac:dyDescent="0.25">
      <c r="A1974" t="s">
        <v>7159</v>
      </c>
      <c r="B1974" s="1" t="str">
        <f>HYPERLINK("https://www.catalog.slsa.sa.gov.au/record=b3138687")</f>
        <v>https://www.catalog.slsa.sa.gov.au/record=b3138687</v>
      </c>
      <c r="C1974" s="1" t="str">
        <f>HYPERLINK("https://www.catalog.slsa.sa.gov.au/xrecord=b3138687")</f>
        <v>https://www.catalog.slsa.sa.gov.au/xrecord=b3138687</v>
      </c>
      <c r="D1974" t="s">
        <v>3698</v>
      </c>
      <c r="E1974" t="s">
        <v>7116</v>
      </c>
      <c r="F1974" t="s">
        <v>7117</v>
      </c>
      <c r="G1974" t="s">
        <v>3650</v>
      </c>
      <c r="H1974" t="s">
        <v>7142</v>
      </c>
      <c r="I1974" t="s">
        <v>7120</v>
      </c>
      <c r="J1974" t="s">
        <v>7121</v>
      </c>
      <c r="K1974" s="2" t="str">
        <f>HYPERLINK("http://collections.slsa.sa.gov.au/resource/PRG+830/20/57")</f>
        <v>http://collections.slsa.sa.gov.au/resource/PRG+830/20/57</v>
      </c>
    </row>
    <row r="1975" spans="1:11" x14ac:dyDescent="0.25">
      <c r="A1975" t="s">
        <v>7160</v>
      </c>
      <c r="B1975" s="1" t="str">
        <f>HYPERLINK("https://www.catalog.slsa.sa.gov.au/record=b3138688")</f>
        <v>https://www.catalog.slsa.sa.gov.au/record=b3138688</v>
      </c>
      <c r="C1975" s="1" t="str">
        <f>HYPERLINK("https://www.catalog.slsa.sa.gov.au/xrecord=b3138688")</f>
        <v>https://www.catalog.slsa.sa.gov.au/xrecord=b3138688</v>
      </c>
      <c r="D1975" t="s">
        <v>3698</v>
      </c>
      <c r="E1975" t="s">
        <v>7116</v>
      </c>
      <c r="F1975" t="s">
        <v>7117</v>
      </c>
      <c r="G1975" t="s">
        <v>3650</v>
      </c>
      <c r="H1975" t="s">
        <v>7142</v>
      </c>
      <c r="I1975" t="s">
        <v>7120</v>
      </c>
      <c r="J1975" t="s">
        <v>7121</v>
      </c>
      <c r="K1975" s="2" t="str">
        <f>HYPERLINK("http://collections.slsa.sa.gov.au/resource/PRG+830/20/58")</f>
        <v>http://collections.slsa.sa.gov.au/resource/PRG+830/20/58</v>
      </c>
    </row>
    <row r="1976" spans="1:11" x14ac:dyDescent="0.25">
      <c r="A1976" t="s">
        <v>7161</v>
      </c>
      <c r="B1976" s="1" t="str">
        <f>HYPERLINK("https://www.catalog.slsa.sa.gov.au/record=b3138689")</f>
        <v>https://www.catalog.slsa.sa.gov.au/record=b3138689</v>
      </c>
      <c r="C1976" s="1" t="str">
        <f>HYPERLINK("https://www.catalog.slsa.sa.gov.au/xrecord=b3138689")</f>
        <v>https://www.catalog.slsa.sa.gov.au/xrecord=b3138689</v>
      </c>
      <c r="D1976" t="s">
        <v>3698</v>
      </c>
      <c r="E1976" t="s">
        <v>7116</v>
      </c>
      <c r="F1976" t="s">
        <v>7117</v>
      </c>
      <c r="G1976" t="s">
        <v>3650</v>
      </c>
      <c r="H1976" t="s">
        <v>7162</v>
      </c>
      <c r="I1976" t="s">
        <v>7120</v>
      </c>
      <c r="J1976" t="s">
        <v>7121</v>
      </c>
      <c r="K1976" s="2" t="str">
        <f>HYPERLINK("http://collections.slsa.sa.gov.au/resource/PRG+830/20/59")</f>
        <v>http://collections.slsa.sa.gov.au/resource/PRG+830/20/59</v>
      </c>
    </row>
    <row r="1977" spans="1:11" x14ac:dyDescent="0.25">
      <c r="A1977" t="s">
        <v>7163</v>
      </c>
      <c r="B1977" s="1" t="str">
        <f>HYPERLINK("https://www.catalog.slsa.sa.gov.au/record=b2107531")</f>
        <v>https://www.catalog.slsa.sa.gov.au/record=b2107531</v>
      </c>
      <c r="C1977" s="1" t="str">
        <f>HYPERLINK("https://www.catalog.slsa.sa.gov.au/xrecord=b2107531")</f>
        <v>https://www.catalog.slsa.sa.gov.au/xrecord=b2107531</v>
      </c>
      <c r="E1977" t="s">
        <v>7164</v>
      </c>
      <c r="F1977">
        <v>1956</v>
      </c>
      <c r="G1977" t="s">
        <v>7165</v>
      </c>
      <c r="H1977" t="s">
        <v>14</v>
      </c>
      <c r="I1977" t="s">
        <v>7166</v>
      </c>
      <c r="J1977" t="s">
        <v>16</v>
      </c>
      <c r="K1977" s="2" t="str">
        <f>HYPERLINK("http://collections.slsa.sa.gov.au/arbonlem/00750/PRG1324_613.htm")</f>
        <v>http://collections.slsa.sa.gov.au/arbonlem/00750/PRG1324_613.htm</v>
      </c>
    </row>
    <row r="1978" spans="1:11" x14ac:dyDescent="0.25">
      <c r="A1978" t="s">
        <v>7167</v>
      </c>
      <c r="B1978" s="1" t="str">
        <f>HYPERLINK("https://www.catalog.slsa.sa.gov.au/record=b2108126")</f>
        <v>https://www.catalog.slsa.sa.gov.au/record=b2108126</v>
      </c>
      <c r="C1978" s="1" t="str">
        <f>HYPERLINK("https://www.catalog.slsa.sa.gov.au/xrecord=b2108126")</f>
        <v>https://www.catalog.slsa.sa.gov.au/xrecord=b2108126</v>
      </c>
      <c r="E1978" t="s">
        <v>7168</v>
      </c>
      <c r="F1978">
        <v>1956</v>
      </c>
      <c r="G1978" t="s">
        <v>7169</v>
      </c>
      <c r="H1978" t="s">
        <v>14</v>
      </c>
      <c r="I1978" t="s">
        <v>7170</v>
      </c>
      <c r="J1978" t="s">
        <v>16</v>
      </c>
      <c r="K1978" s="2" t="str">
        <f>HYPERLINK("http://collections.slsa.sa.gov.au/arbonlem/01500/PRG1324_1381.htm")</f>
        <v>http://collections.slsa.sa.gov.au/arbonlem/01500/PRG1324_1381.htm</v>
      </c>
    </row>
    <row r="1979" spans="1:11" x14ac:dyDescent="0.25">
      <c r="A1979" t="s">
        <v>7171</v>
      </c>
      <c r="B1979" s="1" t="str">
        <f>HYPERLINK("https://www.catalog.slsa.sa.gov.au/record=b2110173")</f>
        <v>https://www.catalog.slsa.sa.gov.au/record=b2110173</v>
      </c>
      <c r="C1979" s="1" t="str">
        <f>HYPERLINK("https://www.catalog.slsa.sa.gov.au/xrecord=b2110173")</f>
        <v>https://www.catalog.slsa.sa.gov.au/xrecord=b2110173</v>
      </c>
      <c r="D1979" t="s">
        <v>66</v>
      </c>
      <c r="E1979" t="s">
        <v>7172</v>
      </c>
      <c r="F1979">
        <v>1956</v>
      </c>
      <c r="G1979" t="s">
        <v>121</v>
      </c>
      <c r="H1979" t="s">
        <v>7173</v>
      </c>
      <c r="I1979" t="s">
        <v>7174</v>
      </c>
      <c r="J1979" t="s">
        <v>71</v>
      </c>
      <c r="K1979" s="2" t="str">
        <f>HYPERLINK("http://collections.slsa.sa.gov.au/arthur/01000/BRG347_977.htm")</f>
        <v>http://collections.slsa.sa.gov.au/arthur/01000/BRG347_977.htm</v>
      </c>
    </row>
    <row r="1980" spans="1:11" x14ac:dyDescent="0.25">
      <c r="A1980" t="s">
        <v>7175</v>
      </c>
      <c r="B1980" s="1" t="str">
        <f>HYPERLINK("https://www.catalog.slsa.sa.gov.au/record=b2110183")</f>
        <v>https://www.catalog.slsa.sa.gov.au/record=b2110183</v>
      </c>
      <c r="C1980" s="1" t="str">
        <f>HYPERLINK("https://www.catalog.slsa.sa.gov.au/xrecord=b2110183")</f>
        <v>https://www.catalog.slsa.sa.gov.au/xrecord=b2110183</v>
      </c>
      <c r="D1980" t="s">
        <v>66</v>
      </c>
      <c r="E1980" t="s">
        <v>7176</v>
      </c>
      <c r="F1980">
        <v>1956</v>
      </c>
      <c r="G1980" t="s">
        <v>121</v>
      </c>
      <c r="H1980" t="s">
        <v>7177</v>
      </c>
      <c r="I1980" t="s">
        <v>7178</v>
      </c>
      <c r="J1980" t="s">
        <v>71</v>
      </c>
      <c r="K1980" s="2" t="str">
        <f>HYPERLINK("http://collections.slsa.sa.gov.au/arthur/01000/BRG347_987.htm")</f>
        <v>http://collections.slsa.sa.gov.au/arthur/01000/BRG347_987.htm</v>
      </c>
    </row>
    <row r="1981" spans="1:11" x14ac:dyDescent="0.25">
      <c r="A1981" t="s">
        <v>7179</v>
      </c>
      <c r="B1981" s="1" t="str">
        <f>HYPERLINK("https://www.catalog.slsa.sa.gov.au/record=b2110186")</f>
        <v>https://www.catalog.slsa.sa.gov.au/record=b2110186</v>
      </c>
      <c r="C1981" s="1" t="str">
        <f>HYPERLINK("https://www.catalog.slsa.sa.gov.au/xrecord=b2110186")</f>
        <v>https://www.catalog.slsa.sa.gov.au/xrecord=b2110186</v>
      </c>
      <c r="D1981" t="s">
        <v>66</v>
      </c>
      <c r="E1981" t="s">
        <v>7180</v>
      </c>
      <c r="F1981">
        <v>1956</v>
      </c>
      <c r="G1981" t="s">
        <v>121</v>
      </c>
      <c r="H1981" t="s">
        <v>7181</v>
      </c>
      <c r="I1981" t="s">
        <v>7182</v>
      </c>
      <c r="J1981" t="s">
        <v>71</v>
      </c>
      <c r="K1981" s="2" t="str">
        <f>HYPERLINK("http://collections.slsa.sa.gov.au/arthur/01000/BRG347_990.htm")</f>
        <v>http://collections.slsa.sa.gov.au/arthur/01000/BRG347_990.htm</v>
      </c>
    </row>
    <row r="1982" spans="1:11" x14ac:dyDescent="0.25">
      <c r="A1982" t="s">
        <v>7183</v>
      </c>
      <c r="B1982" s="1" t="str">
        <f>HYPERLINK("https://www.catalog.slsa.sa.gov.au/record=b2110187")</f>
        <v>https://www.catalog.slsa.sa.gov.au/record=b2110187</v>
      </c>
      <c r="C1982" s="1" t="str">
        <f>HYPERLINK("https://www.catalog.slsa.sa.gov.au/xrecord=b2110187")</f>
        <v>https://www.catalog.slsa.sa.gov.au/xrecord=b2110187</v>
      </c>
      <c r="D1982" t="s">
        <v>66</v>
      </c>
      <c r="E1982" t="s">
        <v>7184</v>
      </c>
      <c r="F1982">
        <v>1956</v>
      </c>
      <c r="G1982" t="s">
        <v>121</v>
      </c>
      <c r="H1982" t="s">
        <v>7185</v>
      </c>
      <c r="I1982" t="s">
        <v>7186</v>
      </c>
      <c r="J1982" t="s">
        <v>71</v>
      </c>
      <c r="K1982" s="2" t="str">
        <f>HYPERLINK("http://collections.slsa.sa.gov.au/arthur/01000/BRG347_991.htm")</f>
        <v>http://collections.slsa.sa.gov.au/arthur/01000/BRG347_991.htm</v>
      </c>
    </row>
    <row r="1983" spans="1:11" x14ac:dyDescent="0.25">
      <c r="A1983" t="s">
        <v>7187</v>
      </c>
      <c r="B1983" s="1" t="str">
        <f>HYPERLINK("https://www.catalog.slsa.sa.gov.au/record=b2110188")</f>
        <v>https://www.catalog.slsa.sa.gov.au/record=b2110188</v>
      </c>
      <c r="C1983" s="1" t="str">
        <f>HYPERLINK("https://www.catalog.slsa.sa.gov.au/xrecord=b2110188")</f>
        <v>https://www.catalog.slsa.sa.gov.au/xrecord=b2110188</v>
      </c>
      <c r="D1983" t="s">
        <v>66</v>
      </c>
      <c r="E1983" t="s">
        <v>7188</v>
      </c>
      <c r="F1983">
        <v>1956</v>
      </c>
      <c r="G1983" t="s">
        <v>121</v>
      </c>
      <c r="H1983" t="s">
        <v>7189</v>
      </c>
      <c r="I1983" t="s">
        <v>7190</v>
      </c>
      <c r="J1983" t="s">
        <v>71</v>
      </c>
      <c r="K1983" s="2" t="str">
        <f>HYPERLINK("http://collections.slsa.sa.gov.au/arthur/01000/BRG347_992.htm")</f>
        <v>http://collections.slsa.sa.gov.au/arthur/01000/BRG347_992.htm</v>
      </c>
    </row>
    <row r="1984" spans="1:11" x14ac:dyDescent="0.25">
      <c r="A1984" t="s">
        <v>7191</v>
      </c>
      <c r="B1984" s="1" t="str">
        <f>HYPERLINK("https://www.catalog.slsa.sa.gov.au/record=b2110189")</f>
        <v>https://www.catalog.slsa.sa.gov.au/record=b2110189</v>
      </c>
      <c r="C1984" s="1" t="str">
        <f>HYPERLINK("https://www.catalog.slsa.sa.gov.au/xrecord=b2110189")</f>
        <v>https://www.catalog.slsa.sa.gov.au/xrecord=b2110189</v>
      </c>
      <c r="D1984" t="s">
        <v>66</v>
      </c>
      <c r="E1984" t="s">
        <v>7192</v>
      </c>
      <c r="F1984">
        <v>1956</v>
      </c>
      <c r="G1984" t="s">
        <v>121</v>
      </c>
      <c r="H1984" t="s">
        <v>7193</v>
      </c>
      <c r="I1984" t="s">
        <v>7194</v>
      </c>
      <c r="J1984" t="s">
        <v>71</v>
      </c>
      <c r="K1984" s="2" t="str">
        <f>HYPERLINK("http://collections.slsa.sa.gov.au/arthur/01000/BRG347_993.htm")</f>
        <v>http://collections.slsa.sa.gov.au/arthur/01000/BRG347_993.htm</v>
      </c>
    </row>
    <row r="1985" spans="1:11" x14ac:dyDescent="0.25">
      <c r="A1985" t="s">
        <v>7195</v>
      </c>
      <c r="B1985" s="1" t="str">
        <f>HYPERLINK("https://www.catalog.slsa.sa.gov.au/record=b2110190")</f>
        <v>https://www.catalog.slsa.sa.gov.au/record=b2110190</v>
      </c>
      <c r="C1985" s="1" t="str">
        <f>HYPERLINK("https://www.catalog.slsa.sa.gov.au/xrecord=b2110190")</f>
        <v>https://www.catalog.slsa.sa.gov.au/xrecord=b2110190</v>
      </c>
      <c r="D1985" t="s">
        <v>66</v>
      </c>
      <c r="E1985" t="s">
        <v>7188</v>
      </c>
      <c r="F1985">
        <v>1956</v>
      </c>
      <c r="G1985" t="s">
        <v>121</v>
      </c>
      <c r="H1985" t="s">
        <v>7196</v>
      </c>
      <c r="I1985" t="s">
        <v>7190</v>
      </c>
      <c r="J1985" t="s">
        <v>71</v>
      </c>
      <c r="K1985" s="2" t="str">
        <f>HYPERLINK("http://collections.slsa.sa.gov.au/arthur/01000/BRG347_994.htm")</f>
        <v>http://collections.slsa.sa.gov.au/arthur/01000/BRG347_994.htm</v>
      </c>
    </row>
    <row r="1986" spans="1:11" x14ac:dyDescent="0.25">
      <c r="A1986" t="s">
        <v>7197</v>
      </c>
      <c r="B1986" s="1" t="str">
        <f>HYPERLINK("https://www.catalog.slsa.sa.gov.au/record=b2110191")</f>
        <v>https://www.catalog.slsa.sa.gov.au/record=b2110191</v>
      </c>
      <c r="C1986" s="1" t="str">
        <f>HYPERLINK("https://www.catalog.slsa.sa.gov.au/xrecord=b2110191")</f>
        <v>https://www.catalog.slsa.sa.gov.au/xrecord=b2110191</v>
      </c>
      <c r="D1986" t="s">
        <v>66</v>
      </c>
      <c r="E1986" t="s">
        <v>7188</v>
      </c>
      <c r="F1986">
        <v>1956</v>
      </c>
      <c r="G1986" t="s">
        <v>121</v>
      </c>
      <c r="H1986" t="s">
        <v>7198</v>
      </c>
      <c r="I1986" t="s">
        <v>7190</v>
      </c>
      <c r="J1986" t="s">
        <v>71</v>
      </c>
      <c r="K1986" s="2" t="str">
        <f>HYPERLINK("http://collections.slsa.sa.gov.au/arthur/01000/BRG347_995.htm")</f>
        <v>http://collections.slsa.sa.gov.au/arthur/01000/BRG347_995.htm</v>
      </c>
    </row>
    <row r="1987" spans="1:11" x14ac:dyDescent="0.25">
      <c r="A1987" t="s">
        <v>7199</v>
      </c>
      <c r="B1987" s="1" t="str">
        <f>HYPERLINK("https://www.catalog.slsa.sa.gov.au/record=b2110192")</f>
        <v>https://www.catalog.slsa.sa.gov.au/record=b2110192</v>
      </c>
      <c r="C1987" s="1" t="str">
        <f>HYPERLINK("https://www.catalog.slsa.sa.gov.au/xrecord=b2110192")</f>
        <v>https://www.catalog.slsa.sa.gov.au/xrecord=b2110192</v>
      </c>
      <c r="D1987" t="s">
        <v>66</v>
      </c>
      <c r="E1987" t="s">
        <v>7188</v>
      </c>
      <c r="F1987">
        <v>1956</v>
      </c>
      <c r="G1987" t="s">
        <v>121</v>
      </c>
      <c r="H1987" t="s">
        <v>7198</v>
      </c>
      <c r="I1987" t="s">
        <v>7190</v>
      </c>
      <c r="J1987" t="s">
        <v>71</v>
      </c>
      <c r="K1987" s="2" t="str">
        <f>HYPERLINK("http://collections.slsa.sa.gov.au/arthur/01000/BRG347_996.htm")</f>
        <v>http://collections.slsa.sa.gov.au/arthur/01000/BRG347_996.htm</v>
      </c>
    </row>
    <row r="1988" spans="1:11" x14ac:dyDescent="0.25">
      <c r="A1988" t="s">
        <v>7200</v>
      </c>
      <c r="B1988" s="1" t="str">
        <f>HYPERLINK("https://www.catalog.slsa.sa.gov.au/record=b2110302")</f>
        <v>https://www.catalog.slsa.sa.gov.au/record=b2110302</v>
      </c>
      <c r="C1988" s="1" t="str">
        <f>HYPERLINK("https://www.catalog.slsa.sa.gov.au/xrecord=b2110302")</f>
        <v>https://www.catalog.slsa.sa.gov.au/xrecord=b2110302</v>
      </c>
      <c r="D1988" t="s">
        <v>66</v>
      </c>
      <c r="E1988" t="s">
        <v>7201</v>
      </c>
      <c r="F1988">
        <v>1956</v>
      </c>
      <c r="G1988" t="s">
        <v>121</v>
      </c>
      <c r="H1988" t="s">
        <v>7202</v>
      </c>
      <c r="I1988" t="s">
        <v>7203</v>
      </c>
      <c r="J1988" t="s">
        <v>71</v>
      </c>
      <c r="K1988" s="2" t="str">
        <f>HYPERLINK("http://collections.slsa.sa.gov.au/arthur/01250/BRG347_1073.htm")</f>
        <v>http://collections.slsa.sa.gov.au/arthur/01250/BRG347_1073.htm</v>
      </c>
    </row>
    <row r="1989" spans="1:11" x14ac:dyDescent="0.25">
      <c r="A1989" t="s">
        <v>7204</v>
      </c>
      <c r="B1989" s="1" t="str">
        <f>HYPERLINK("https://www.catalog.slsa.sa.gov.au/record=b2110303")</f>
        <v>https://www.catalog.slsa.sa.gov.au/record=b2110303</v>
      </c>
      <c r="C1989" s="1" t="str">
        <f>HYPERLINK("https://www.catalog.slsa.sa.gov.au/xrecord=b2110303")</f>
        <v>https://www.catalog.slsa.sa.gov.au/xrecord=b2110303</v>
      </c>
      <c r="D1989" t="s">
        <v>66</v>
      </c>
      <c r="E1989" t="s">
        <v>7201</v>
      </c>
      <c r="F1989">
        <v>1956</v>
      </c>
      <c r="G1989" t="s">
        <v>121</v>
      </c>
      <c r="H1989" t="s">
        <v>7205</v>
      </c>
      <c r="I1989" t="s">
        <v>7203</v>
      </c>
      <c r="J1989" t="s">
        <v>71</v>
      </c>
      <c r="K1989" s="2" t="str">
        <f>HYPERLINK("http://collections.slsa.sa.gov.au/arthur/01250/BRG347_1074.htm")</f>
        <v>http://collections.slsa.sa.gov.au/arthur/01250/BRG347_1074.htm</v>
      </c>
    </row>
    <row r="1990" spans="1:11" x14ac:dyDescent="0.25">
      <c r="A1990" t="s">
        <v>7206</v>
      </c>
      <c r="B1990" s="1" t="str">
        <f>HYPERLINK("https://www.catalog.slsa.sa.gov.au/record=b2110307")</f>
        <v>https://www.catalog.slsa.sa.gov.au/record=b2110307</v>
      </c>
      <c r="C1990" s="1" t="str">
        <f>HYPERLINK("https://www.catalog.slsa.sa.gov.au/xrecord=b2110307")</f>
        <v>https://www.catalog.slsa.sa.gov.au/xrecord=b2110307</v>
      </c>
      <c r="D1990" t="s">
        <v>66</v>
      </c>
      <c r="E1990" t="s">
        <v>7207</v>
      </c>
      <c r="F1990">
        <v>1956</v>
      </c>
      <c r="G1990" t="s">
        <v>121</v>
      </c>
      <c r="H1990" t="s">
        <v>7208</v>
      </c>
      <c r="I1990" t="s">
        <v>7209</v>
      </c>
      <c r="J1990" t="s">
        <v>71</v>
      </c>
      <c r="K1990" s="2" t="str">
        <f>HYPERLINK("http://collections.slsa.sa.gov.au/arthur/01250/BRG347_1078.htm")</f>
        <v>http://collections.slsa.sa.gov.au/arthur/01250/BRG347_1078.htm</v>
      </c>
    </row>
    <row r="1991" spans="1:11" x14ac:dyDescent="0.25">
      <c r="A1991" t="s">
        <v>7210</v>
      </c>
      <c r="B1991" s="1" t="str">
        <f>HYPERLINK("https://www.catalog.slsa.sa.gov.au/record=b2110309")</f>
        <v>https://www.catalog.slsa.sa.gov.au/record=b2110309</v>
      </c>
      <c r="C1991" s="1" t="str">
        <f>HYPERLINK("https://www.catalog.slsa.sa.gov.au/xrecord=b2110309")</f>
        <v>https://www.catalog.slsa.sa.gov.au/xrecord=b2110309</v>
      </c>
      <c r="D1991" t="s">
        <v>66</v>
      </c>
      <c r="E1991" t="s">
        <v>6202</v>
      </c>
      <c r="F1991">
        <v>1956</v>
      </c>
      <c r="G1991" t="s">
        <v>121</v>
      </c>
      <c r="H1991" t="s">
        <v>7211</v>
      </c>
      <c r="I1991" t="s">
        <v>6208</v>
      </c>
      <c r="J1991" t="s">
        <v>71</v>
      </c>
      <c r="K1991" s="2" t="str">
        <f>HYPERLINK("http://collections.slsa.sa.gov.au/arthur/01250/BRG347_1081.htm")</f>
        <v>http://collections.slsa.sa.gov.au/arthur/01250/BRG347_1081.htm</v>
      </c>
    </row>
    <row r="1992" spans="1:11" x14ac:dyDescent="0.25">
      <c r="A1992" t="s">
        <v>7212</v>
      </c>
      <c r="B1992" s="1" t="str">
        <f>HYPERLINK("https://www.catalog.slsa.sa.gov.au/record=b2110387")</f>
        <v>https://www.catalog.slsa.sa.gov.au/record=b2110387</v>
      </c>
      <c r="C1992" s="1" t="str">
        <f>HYPERLINK("https://www.catalog.slsa.sa.gov.au/xrecord=b2110387")</f>
        <v>https://www.catalog.slsa.sa.gov.au/xrecord=b2110387</v>
      </c>
      <c r="D1992" t="s">
        <v>66</v>
      </c>
      <c r="E1992" t="s">
        <v>7213</v>
      </c>
      <c r="F1992">
        <v>1956</v>
      </c>
      <c r="G1992" t="s">
        <v>121</v>
      </c>
      <c r="H1992" t="s">
        <v>7214</v>
      </c>
      <c r="I1992" t="s">
        <v>7215</v>
      </c>
      <c r="J1992" t="s">
        <v>71</v>
      </c>
      <c r="K1992" s="2" t="str">
        <f>HYPERLINK("http://collections.slsa.sa.gov.au/arthur/01250/BRG347_1160.htm")</f>
        <v>http://collections.slsa.sa.gov.au/arthur/01250/BRG347_1160.htm</v>
      </c>
    </row>
    <row r="1993" spans="1:11" x14ac:dyDescent="0.25">
      <c r="A1993" t="s">
        <v>7216</v>
      </c>
      <c r="B1993" s="1" t="str">
        <f>HYPERLINK("https://www.catalog.slsa.sa.gov.au/record=b2110388")</f>
        <v>https://www.catalog.slsa.sa.gov.au/record=b2110388</v>
      </c>
      <c r="C1993" s="1" t="str">
        <f>HYPERLINK("https://www.catalog.slsa.sa.gov.au/xrecord=b2110388")</f>
        <v>https://www.catalog.slsa.sa.gov.au/xrecord=b2110388</v>
      </c>
      <c r="D1993" t="s">
        <v>66</v>
      </c>
      <c r="E1993" t="s">
        <v>7217</v>
      </c>
      <c r="F1993">
        <v>1956</v>
      </c>
      <c r="G1993" t="s">
        <v>121</v>
      </c>
      <c r="H1993" t="s">
        <v>7218</v>
      </c>
      <c r="I1993" t="s">
        <v>7219</v>
      </c>
      <c r="J1993" t="s">
        <v>71</v>
      </c>
      <c r="K1993" s="2" t="str">
        <f>HYPERLINK("http://collections.slsa.sa.gov.au/arthur/01250/BRG347_1161.htm")</f>
        <v>http://collections.slsa.sa.gov.au/arthur/01250/BRG347_1161.htm</v>
      </c>
    </row>
    <row r="1994" spans="1:11" x14ac:dyDescent="0.25">
      <c r="A1994" t="s">
        <v>7220</v>
      </c>
      <c r="B1994" s="1" t="str">
        <f>HYPERLINK("https://www.catalog.slsa.sa.gov.au/record=b2110389")</f>
        <v>https://www.catalog.slsa.sa.gov.au/record=b2110389</v>
      </c>
      <c r="C1994" s="1" t="str">
        <f>HYPERLINK("https://www.catalog.slsa.sa.gov.au/xrecord=b2110389")</f>
        <v>https://www.catalog.slsa.sa.gov.au/xrecord=b2110389</v>
      </c>
      <c r="D1994" t="s">
        <v>66</v>
      </c>
      <c r="E1994" t="s">
        <v>7217</v>
      </c>
      <c r="F1994">
        <v>1956</v>
      </c>
      <c r="G1994" t="s">
        <v>121</v>
      </c>
      <c r="H1994" t="s">
        <v>7221</v>
      </c>
      <c r="I1994" t="s">
        <v>7222</v>
      </c>
      <c r="J1994" t="s">
        <v>71</v>
      </c>
      <c r="K1994" s="2" t="str">
        <f>HYPERLINK("http://collections.slsa.sa.gov.au/arthur/01250/BRG347_1162.htm")</f>
        <v>http://collections.slsa.sa.gov.au/arthur/01250/BRG347_1162.htm</v>
      </c>
    </row>
    <row r="1995" spans="1:11" x14ac:dyDescent="0.25">
      <c r="A1995" t="s">
        <v>7223</v>
      </c>
      <c r="B1995" s="1" t="str">
        <f>HYPERLINK("https://www.catalog.slsa.sa.gov.au/record=b2110390")</f>
        <v>https://www.catalog.slsa.sa.gov.au/record=b2110390</v>
      </c>
      <c r="C1995" s="1" t="str">
        <f>HYPERLINK("https://www.catalog.slsa.sa.gov.au/xrecord=b2110390")</f>
        <v>https://www.catalog.slsa.sa.gov.au/xrecord=b2110390</v>
      </c>
      <c r="D1995" t="s">
        <v>66</v>
      </c>
      <c r="E1995" t="s">
        <v>7224</v>
      </c>
      <c r="F1995">
        <v>1956</v>
      </c>
      <c r="G1995" t="s">
        <v>121</v>
      </c>
      <c r="H1995" t="s">
        <v>7225</v>
      </c>
      <c r="I1995" t="s">
        <v>7226</v>
      </c>
      <c r="J1995" t="s">
        <v>71</v>
      </c>
      <c r="K1995" s="2" t="str">
        <f>HYPERLINK("http://collections.slsa.sa.gov.au/arthur/01250/BRG347_1163.htm")</f>
        <v>http://collections.slsa.sa.gov.au/arthur/01250/BRG347_1163.htm</v>
      </c>
    </row>
    <row r="1996" spans="1:11" x14ac:dyDescent="0.25">
      <c r="A1996" t="s">
        <v>7227</v>
      </c>
      <c r="B1996" s="1" t="str">
        <f>HYPERLINK("https://www.catalog.slsa.sa.gov.au/record=b2110391")</f>
        <v>https://www.catalog.slsa.sa.gov.au/record=b2110391</v>
      </c>
      <c r="C1996" s="1" t="str">
        <f>HYPERLINK("https://www.catalog.slsa.sa.gov.au/xrecord=b2110391")</f>
        <v>https://www.catalog.slsa.sa.gov.au/xrecord=b2110391</v>
      </c>
      <c r="D1996" t="s">
        <v>66</v>
      </c>
      <c r="E1996" t="s">
        <v>7228</v>
      </c>
      <c r="F1996">
        <v>1956</v>
      </c>
      <c r="G1996" t="s">
        <v>121</v>
      </c>
      <c r="H1996" t="s">
        <v>7229</v>
      </c>
      <c r="I1996" t="s">
        <v>7219</v>
      </c>
      <c r="J1996" t="s">
        <v>71</v>
      </c>
      <c r="K1996" s="2" t="str">
        <f>HYPERLINK("http://collections.slsa.sa.gov.au/arthur/01250/BRG347_1164.htm")</f>
        <v>http://collections.slsa.sa.gov.au/arthur/01250/BRG347_1164.htm</v>
      </c>
    </row>
    <row r="1997" spans="1:11" x14ac:dyDescent="0.25">
      <c r="A1997" t="s">
        <v>7230</v>
      </c>
      <c r="B1997" s="1" t="str">
        <f>HYPERLINK("https://www.catalog.slsa.sa.gov.au/record=b2110392")</f>
        <v>https://www.catalog.slsa.sa.gov.au/record=b2110392</v>
      </c>
      <c r="C1997" s="1" t="str">
        <f>HYPERLINK("https://www.catalog.slsa.sa.gov.au/xrecord=b2110392")</f>
        <v>https://www.catalog.slsa.sa.gov.au/xrecord=b2110392</v>
      </c>
      <c r="D1997" t="s">
        <v>66</v>
      </c>
      <c r="E1997" t="s">
        <v>7231</v>
      </c>
      <c r="F1997">
        <v>1956</v>
      </c>
      <c r="G1997" t="s">
        <v>121</v>
      </c>
      <c r="H1997" t="s">
        <v>7232</v>
      </c>
      <c r="I1997" t="s">
        <v>7233</v>
      </c>
      <c r="J1997" t="s">
        <v>71</v>
      </c>
      <c r="K1997" s="2" t="str">
        <f>HYPERLINK("http://collections.slsa.sa.gov.au/arthur/01250/BRG347_1165.htm")</f>
        <v>http://collections.slsa.sa.gov.au/arthur/01250/BRG347_1165.htm</v>
      </c>
    </row>
    <row r="1998" spans="1:11" x14ac:dyDescent="0.25">
      <c r="A1998" t="s">
        <v>7234</v>
      </c>
      <c r="B1998" s="1" t="str">
        <f>HYPERLINK("https://www.catalog.slsa.sa.gov.au/record=b2110393")</f>
        <v>https://www.catalog.slsa.sa.gov.au/record=b2110393</v>
      </c>
      <c r="C1998" s="1" t="str">
        <f>HYPERLINK("https://www.catalog.slsa.sa.gov.au/xrecord=b2110393")</f>
        <v>https://www.catalog.slsa.sa.gov.au/xrecord=b2110393</v>
      </c>
      <c r="D1998" t="s">
        <v>66</v>
      </c>
      <c r="E1998" t="s">
        <v>7235</v>
      </c>
      <c r="F1998">
        <v>1956</v>
      </c>
      <c r="G1998" t="s">
        <v>121</v>
      </c>
      <c r="H1998" t="s">
        <v>7236</v>
      </c>
      <c r="I1998" t="s">
        <v>7237</v>
      </c>
      <c r="J1998" t="s">
        <v>71</v>
      </c>
      <c r="K1998" s="2" t="str">
        <f>HYPERLINK("http://collections.slsa.sa.gov.au/arthur/01250/BRG347_1166.htm")</f>
        <v>http://collections.slsa.sa.gov.au/arthur/01250/BRG347_1166.htm</v>
      </c>
    </row>
    <row r="1999" spans="1:11" x14ac:dyDescent="0.25">
      <c r="A1999" t="s">
        <v>7238</v>
      </c>
      <c r="B1999" s="1" t="str">
        <f>HYPERLINK("https://www.catalog.slsa.sa.gov.au/record=b2110394")</f>
        <v>https://www.catalog.slsa.sa.gov.au/record=b2110394</v>
      </c>
      <c r="C1999" s="1" t="str">
        <f>HYPERLINK("https://www.catalog.slsa.sa.gov.au/xrecord=b2110394")</f>
        <v>https://www.catalog.slsa.sa.gov.au/xrecord=b2110394</v>
      </c>
      <c r="D1999" t="s">
        <v>66</v>
      </c>
      <c r="E1999" t="s">
        <v>7239</v>
      </c>
      <c r="F1999">
        <v>1956</v>
      </c>
      <c r="G1999" t="s">
        <v>121</v>
      </c>
      <c r="H1999" t="s">
        <v>7240</v>
      </c>
      <c r="I1999" t="s">
        <v>7241</v>
      </c>
      <c r="J1999" t="s">
        <v>71</v>
      </c>
      <c r="K1999" s="2" t="str">
        <f>HYPERLINK("http://collections.slsa.sa.gov.au/arthur/01250/BRG347_1167.htm")</f>
        <v>http://collections.slsa.sa.gov.au/arthur/01250/BRG347_1167.htm</v>
      </c>
    </row>
    <row r="2000" spans="1:11" x14ac:dyDescent="0.25">
      <c r="A2000" t="s">
        <v>7242</v>
      </c>
      <c r="B2000" s="1" t="str">
        <f>HYPERLINK("https://www.catalog.slsa.sa.gov.au/record=b2110395")</f>
        <v>https://www.catalog.slsa.sa.gov.au/record=b2110395</v>
      </c>
      <c r="C2000" s="1" t="str">
        <f>HYPERLINK("https://www.catalog.slsa.sa.gov.au/xrecord=b2110395")</f>
        <v>https://www.catalog.slsa.sa.gov.au/xrecord=b2110395</v>
      </c>
      <c r="D2000" t="s">
        <v>66</v>
      </c>
      <c r="E2000" t="s">
        <v>7243</v>
      </c>
      <c r="F2000">
        <v>1956</v>
      </c>
      <c r="G2000" t="s">
        <v>121</v>
      </c>
      <c r="H2000" t="s">
        <v>7244</v>
      </c>
      <c r="I2000" t="s">
        <v>7245</v>
      </c>
      <c r="J2000" t="s">
        <v>71</v>
      </c>
      <c r="K2000" s="2" t="str">
        <f>HYPERLINK("http://collections.slsa.sa.gov.au/arthur/01250/BRG347_1168.htm")</f>
        <v>http://collections.slsa.sa.gov.au/arthur/01250/BRG347_1168.htm</v>
      </c>
    </row>
    <row r="2001" spans="1:11" x14ac:dyDescent="0.25">
      <c r="A2001" t="s">
        <v>7246</v>
      </c>
      <c r="B2001" s="1" t="str">
        <f>HYPERLINK("https://www.catalog.slsa.sa.gov.au/record=b2110396")</f>
        <v>https://www.catalog.slsa.sa.gov.au/record=b2110396</v>
      </c>
      <c r="C2001" s="1" t="str">
        <f>HYPERLINK("https://www.catalog.slsa.sa.gov.au/xrecord=b2110396")</f>
        <v>https://www.catalog.slsa.sa.gov.au/xrecord=b2110396</v>
      </c>
      <c r="D2001" t="s">
        <v>66</v>
      </c>
      <c r="E2001" t="s">
        <v>7247</v>
      </c>
      <c r="F2001">
        <v>1956</v>
      </c>
      <c r="G2001" t="s">
        <v>121</v>
      </c>
      <c r="H2001" t="s">
        <v>7248</v>
      </c>
      <c r="I2001" t="s">
        <v>7249</v>
      </c>
      <c r="J2001" t="s">
        <v>71</v>
      </c>
      <c r="K2001" s="2" t="str">
        <f>HYPERLINK("http://collections.slsa.sa.gov.au/arthur/01250/BRG347_1169.htm")</f>
        <v>http://collections.slsa.sa.gov.au/arthur/01250/BRG347_1169.htm</v>
      </c>
    </row>
    <row r="2002" spans="1:11" x14ac:dyDescent="0.25">
      <c r="A2002" t="s">
        <v>7250</v>
      </c>
      <c r="B2002" s="1" t="str">
        <f>HYPERLINK("https://www.catalog.slsa.sa.gov.au/record=b2110423")</f>
        <v>https://www.catalog.slsa.sa.gov.au/record=b2110423</v>
      </c>
      <c r="C2002" s="1" t="str">
        <f>HYPERLINK("https://www.catalog.slsa.sa.gov.au/xrecord=b2110423")</f>
        <v>https://www.catalog.slsa.sa.gov.au/xrecord=b2110423</v>
      </c>
      <c r="D2002" t="s">
        <v>66</v>
      </c>
      <c r="E2002" t="s">
        <v>7251</v>
      </c>
      <c r="F2002">
        <v>1956</v>
      </c>
      <c r="G2002" t="s">
        <v>121</v>
      </c>
      <c r="H2002" t="s">
        <v>7252</v>
      </c>
      <c r="I2002" t="s">
        <v>7253</v>
      </c>
      <c r="J2002" t="s">
        <v>71</v>
      </c>
      <c r="K2002" s="2" t="str">
        <f>HYPERLINK("http://collections.slsa.sa.gov.au/arthur/01250/BRG347_1199.htm")</f>
        <v>http://collections.slsa.sa.gov.au/arthur/01250/BRG347_1199.htm</v>
      </c>
    </row>
    <row r="2003" spans="1:11" x14ac:dyDescent="0.25">
      <c r="A2003" t="s">
        <v>7254</v>
      </c>
      <c r="B2003" s="1" t="str">
        <f>HYPERLINK("https://www.catalog.slsa.sa.gov.au/record=b2111182")</f>
        <v>https://www.catalog.slsa.sa.gov.au/record=b2111182</v>
      </c>
      <c r="C2003" s="1" t="str">
        <f>HYPERLINK("https://www.catalog.slsa.sa.gov.au/xrecord=b2111182")</f>
        <v>https://www.catalog.slsa.sa.gov.au/xrecord=b2111182</v>
      </c>
      <c r="D2003" t="s">
        <v>66</v>
      </c>
      <c r="E2003" t="s">
        <v>7255</v>
      </c>
      <c r="F2003">
        <v>1956</v>
      </c>
      <c r="G2003" t="s">
        <v>121</v>
      </c>
      <c r="H2003" t="s">
        <v>7256</v>
      </c>
      <c r="I2003" t="s">
        <v>7257</v>
      </c>
      <c r="J2003" t="s">
        <v>71</v>
      </c>
      <c r="K2003" s="2" t="str">
        <f>HYPERLINK("http://collections.slsa.sa.gov.au/arthur/02000/BRG347_1879.htm")</f>
        <v>http://collections.slsa.sa.gov.au/arthur/02000/BRG347_1879.htm</v>
      </c>
    </row>
    <row r="2004" spans="1:11" x14ac:dyDescent="0.25">
      <c r="A2004" t="s">
        <v>7258</v>
      </c>
      <c r="B2004" s="1" t="str">
        <f>HYPERLINK("https://www.catalog.slsa.sa.gov.au/record=b2111221")</f>
        <v>https://www.catalog.slsa.sa.gov.au/record=b2111221</v>
      </c>
      <c r="C2004" s="1" t="str">
        <f>HYPERLINK("https://www.catalog.slsa.sa.gov.au/xrecord=b2111221")</f>
        <v>https://www.catalog.slsa.sa.gov.au/xrecord=b2111221</v>
      </c>
      <c r="D2004" t="s">
        <v>66</v>
      </c>
      <c r="E2004" t="s">
        <v>7259</v>
      </c>
      <c r="F2004">
        <v>1956</v>
      </c>
      <c r="G2004" t="s">
        <v>121</v>
      </c>
      <c r="H2004" t="s">
        <v>7260</v>
      </c>
      <c r="I2004" t="s">
        <v>7261</v>
      </c>
      <c r="J2004" t="s">
        <v>71</v>
      </c>
      <c r="K2004" s="2" t="str">
        <f>HYPERLINK("http://collections.slsa.sa.gov.au/arthur/02000/BRG347_1889.htm")</f>
        <v>http://collections.slsa.sa.gov.au/arthur/02000/BRG347_1889.htm</v>
      </c>
    </row>
    <row r="2005" spans="1:11" x14ac:dyDescent="0.25">
      <c r="A2005" t="s">
        <v>7262</v>
      </c>
      <c r="B2005" s="1" t="str">
        <f>HYPERLINK("https://www.catalog.slsa.sa.gov.au/record=b2111222")</f>
        <v>https://www.catalog.slsa.sa.gov.au/record=b2111222</v>
      </c>
      <c r="C2005" s="1" t="str">
        <f>HYPERLINK("https://www.catalog.slsa.sa.gov.au/xrecord=b2111222")</f>
        <v>https://www.catalog.slsa.sa.gov.au/xrecord=b2111222</v>
      </c>
      <c r="D2005" t="s">
        <v>66</v>
      </c>
      <c r="E2005" t="s">
        <v>7263</v>
      </c>
      <c r="F2005">
        <v>1956</v>
      </c>
      <c r="G2005" t="s">
        <v>121</v>
      </c>
      <c r="H2005" t="s">
        <v>7264</v>
      </c>
      <c r="I2005" t="s">
        <v>7265</v>
      </c>
      <c r="J2005" t="s">
        <v>71</v>
      </c>
      <c r="K2005" s="2" t="str">
        <f>HYPERLINK("http://collections.slsa.sa.gov.au/arthur/02000/BRG347_1890.htm")</f>
        <v>http://collections.slsa.sa.gov.au/arthur/02000/BRG347_1890.htm</v>
      </c>
    </row>
    <row r="2006" spans="1:11" x14ac:dyDescent="0.25">
      <c r="A2006" t="s">
        <v>7266</v>
      </c>
      <c r="B2006" s="1" t="str">
        <f>HYPERLINK("https://www.catalog.slsa.sa.gov.au/record=b2111223")</f>
        <v>https://www.catalog.slsa.sa.gov.au/record=b2111223</v>
      </c>
      <c r="C2006" s="1" t="str">
        <f>HYPERLINK("https://www.catalog.slsa.sa.gov.au/xrecord=b2111223")</f>
        <v>https://www.catalog.slsa.sa.gov.au/xrecord=b2111223</v>
      </c>
      <c r="D2006" t="s">
        <v>66</v>
      </c>
      <c r="E2006" t="s">
        <v>7267</v>
      </c>
      <c r="F2006">
        <v>1956</v>
      </c>
      <c r="G2006" t="s">
        <v>121</v>
      </c>
      <c r="H2006" t="s">
        <v>7268</v>
      </c>
      <c r="I2006" t="s">
        <v>7269</v>
      </c>
      <c r="J2006" t="s">
        <v>71</v>
      </c>
      <c r="K2006" s="2" t="str">
        <f>HYPERLINK("http://collections.slsa.sa.gov.au/arthur/02000/BRG347_1891.htm")</f>
        <v>http://collections.slsa.sa.gov.au/arthur/02000/BRG347_1891.htm</v>
      </c>
    </row>
    <row r="2007" spans="1:11" x14ac:dyDescent="0.25">
      <c r="A2007" t="s">
        <v>7270</v>
      </c>
      <c r="B2007" s="1" t="str">
        <f>HYPERLINK("https://www.catalog.slsa.sa.gov.au/record=b2111224")</f>
        <v>https://www.catalog.slsa.sa.gov.au/record=b2111224</v>
      </c>
      <c r="C2007" s="1" t="str">
        <f>HYPERLINK("https://www.catalog.slsa.sa.gov.au/xrecord=b2111224")</f>
        <v>https://www.catalog.slsa.sa.gov.au/xrecord=b2111224</v>
      </c>
      <c r="D2007" t="s">
        <v>66</v>
      </c>
      <c r="E2007" t="s">
        <v>7271</v>
      </c>
      <c r="F2007">
        <v>1956</v>
      </c>
      <c r="G2007" t="s">
        <v>121</v>
      </c>
      <c r="H2007" t="s">
        <v>7272</v>
      </c>
      <c r="I2007" t="s">
        <v>7273</v>
      </c>
      <c r="J2007" t="s">
        <v>71</v>
      </c>
      <c r="K2007" s="2" t="str">
        <f>HYPERLINK("http://collections.slsa.sa.gov.au/arthur/02000/BRG347_1892.htm")</f>
        <v>http://collections.slsa.sa.gov.au/arthur/02000/BRG347_1892.htm</v>
      </c>
    </row>
    <row r="2008" spans="1:11" x14ac:dyDescent="0.25">
      <c r="A2008" t="s">
        <v>7274</v>
      </c>
      <c r="B2008" s="1" t="str">
        <f>HYPERLINK("https://www.catalog.slsa.sa.gov.au/record=b2111226")</f>
        <v>https://www.catalog.slsa.sa.gov.au/record=b2111226</v>
      </c>
      <c r="C2008" s="1" t="str">
        <f>HYPERLINK("https://www.catalog.slsa.sa.gov.au/xrecord=b2111226")</f>
        <v>https://www.catalog.slsa.sa.gov.au/xrecord=b2111226</v>
      </c>
      <c r="D2008" t="s">
        <v>66</v>
      </c>
      <c r="E2008" t="s">
        <v>7275</v>
      </c>
      <c r="F2008">
        <v>1956</v>
      </c>
      <c r="G2008" t="s">
        <v>121</v>
      </c>
      <c r="H2008" t="s">
        <v>7276</v>
      </c>
      <c r="I2008" t="s">
        <v>7277</v>
      </c>
      <c r="J2008" t="s">
        <v>71</v>
      </c>
      <c r="K2008" s="2" t="str">
        <f>HYPERLINK("http://collections.slsa.sa.gov.au/arthur/02000/BRG347_1894.htm")</f>
        <v>http://collections.slsa.sa.gov.au/arthur/02000/BRG347_1894.htm</v>
      </c>
    </row>
    <row r="2009" spans="1:11" x14ac:dyDescent="0.25">
      <c r="A2009" t="s">
        <v>7278</v>
      </c>
      <c r="B2009" s="1" t="str">
        <f>HYPERLINK("https://www.catalog.slsa.sa.gov.au/record=b2111227")</f>
        <v>https://www.catalog.slsa.sa.gov.au/record=b2111227</v>
      </c>
      <c r="C2009" s="1" t="str">
        <f>HYPERLINK("https://www.catalog.slsa.sa.gov.au/xrecord=b2111227")</f>
        <v>https://www.catalog.slsa.sa.gov.au/xrecord=b2111227</v>
      </c>
      <c r="D2009" t="s">
        <v>66</v>
      </c>
      <c r="E2009" t="s">
        <v>7201</v>
      </c>
      <c r="F2009">
        <v>1956</v>
      </c>
      <c r="G2009" t="s">
        <v>121</v>
      </c>
      <c r="H2009" t="s">
        <v>7279</v>
      </c>
      <c r="I2009" t="s">
        <v>7280</v>
      </c>
      <c r="J2009" t="s">
        <v>71</v>
      </c>
      <c r="K2009" s="2" t="str">
        <f>HYPERLINK("http://collections.slsa.sa.gov.au/arthur/02000/BRG347_1895.htm")</f>
        <v>http://collections.slsa.sa.gov.au/arthur/02000/BRG347_1895.htm</v>
      </c>
    </row>
    <row r="2010" spans="1:11" x14ac:dyDescent="0.25">
      <c r="A2010" t="s">
        <v>7281</v>
      </c>
      <c r="B2010" s="1" t="str">
        <f>HYPERLINK("https://www.catalog.slsa.sa.gov.au/record=b2111228")</f>
        <v>https://www.catalog.slsa.sa.gov.au/record=b2111228</v>
      </c>
      <c r="C2010" s="1" t="str">
        <f>HYPERLINK("https://www.catalog.slsa.sa.gov.au/xrecord=b2111228")</f>
        <v>https://www.catalog.slsa.sa.gov.au/xrecord=b2111228</v>
      </c>
      <c r="D2010" t="s">
        <v>66</v>
      </c>
      <c r="E2010" t="s">
        <v>7201</v>
      </c>
      <c r="F2010">
        <v>1956</v>
      </c>
      <c r="G2010" t="s">
        <v>121</v>
      </c>
      <c r="H2010" t="s">
        <v>7282</v>
      </c>
      <c r="I2010" t="s">
        <v>7280</v>
      </c>
      <c r="J2010" t="s">
        <v>71</v>
      </c>
      <c r="K2010" s="2" t="str">
        <f>HYPERLINK("http://collections.slsa.sa.gov.au/arthur/02000/BRG347_1896.htm")</f>
        <v>http://collections.slsa.sa.gov.au/arthur/02000/BRG347_1896.htm</v>
      </c>
    </row>
    <row r="2011" spans="1:11" x14ac:dyDescent="0.25">
      <c r="A2011" t="s">
        <v>7283</v>
      </c>
      <c r="B2011" s="1" t="str">
        <f>HYPERLINK("https://www.catalog.slsa.sa.gov.au/record=b2111229")</f>
        <v>https://www.catalog.slsa.sa.gov.au/record=b2111229</v>
      </c>
      <c r="C2011" s="1" t="str">
        <f>HYPERLINK("https://www.catalog.slsa.sa.gov.au/xrecord=b2111229")</f>
        <v>https://www.catalog.slsa.sa.gov.au/xrecord=b2111229</v>
      </c>
      <c r="D2011" t="s">
        <v>66</v>
      </c>
      <c r="E2011" t="s">
        <v>7284</v>
      </c>
      <c r="F2011">
        <v>1956</v>
      </c>
      <c r="G2011" t="s">
        <v>121</v>
      </c>
      <c r="H2011" t="s">
        <v>7285</v>
      </c>
      <c r="I2011" t="s">
        <v>7286</v>
      </c>
      <c r="J2011" t="s">
        <v>71</v>
      </c>
      <c r="K2011" s="2" t="str">
        <f>HYPERLINK("http://collections.slsa.sa.gov.au/arthur/02000/BRG347_1897.htm")</f>
        <v>http://collections.slsa.sa.gov.au/arthur/02000/BRG347_1897.htm</v>
      </c>
    </row>
    <row r="2012" spans="1:11" x14ac:dyDescent="0.25">
      <c r="A2012" t="s">
        <v>7287</v>
      </c>
      <c r="B2012" s="1" t="str">
        <f>HYPERLINK("https://www.catalog.slsa.sa.gov.au/record=b2111230")</f>
        <v>https://www.catalog.slsa.sa.gov.au/record=b2111230</v>
      </c>
      <c r="C2012" s="1" t="str">
        <f>HYPERLINK("https://www.catalog.slsa.sa.gov.au/xrecord=b2111230")</f>
        <v>https://www.catalog.slsa.sa.gov.au/xrecord=b2111230</v>
      </c>
      <c r="D2012" t="s">
        <v>66</v>
      </c>
      <c r="E2012" t="s">
        <v>7288</v>
      </c>
      <c r="F2012">
        <v>1956</v>
      </c>
      <c r="G2012" t="s">
        <v>121</v>
      </c>
      <c r="H2012" t="s">
        <v>7289</v>
      </c>
      <c r="I2012" t="s">
        <v>7290</v>
      </c>
      <c r="J2012" t="s">
        <v>71</v>
      </c>
      <c r="K2012" s="2" t="str">
        <f>HYPERLINK("http://collections.slsa.sa.gov.au/arthur/02000/BRG347_1898.htm")</f>
        <v>http://collections.slsa.sa.gov.au/arthur/02000/BRG347_1898.htm</v>
      </c>
    </row>
    <row r="2013" spans="1:11" x14ac:dyDescent="0.25">
      <c r="A2013" t="s">
        <v>7291</v>
      </c>
      <c r="B2013" s="1" t="str">
        <f>HYPERLINK("https://www.catalog.slsa.sa.gov.au/record=b2111231")</f>
        <v>https://www.catalog.slsa.sa.gov.au/record=b2111231</v>
      </c>
      <c r="C2013" s="1" t="str">
        <f>HYPERLINK("https://www.catalog.slsa.sa.gov.au/xrecord=b2111231")</f>
        <v>https://www.catalog.slsa.sa.gov.au/xrecord=b2111231</v>
      </c>
      <c r="D2013" t="s">
        <v>66</v>
      </c>
      <c r="E2013" t="s">
        <v>4183</v>
      </c>
      <c r="F2013">
        <v>1956</v>
      </c>
      <c r="G2013" t="s">
        <v>121</v>
      </c>
      <c r="H2013" t="s">
        <v>7292</v>
      </c>
      <c r="I2013" t="s">
        <v>7293</v>
      </c>
      <c r="J2013" t="s">
        <v>71</v>
      </c>
      <c r="K2013" s="2" t="str">
        <f>HYPERLINK("http://collections.slsa.sa.gov.au/arthur/02000/BRG347_1899.htm")</f>
        <v>http://collections.slsa.sa.gov.au/arthur/02000/BRG347_1899.htm</v>
      </c>
    </row>
    <row r="2014" spans="1:11" x14ac:dyDescent="0.25">
      <c r="A2014" t="s">
        <v>7294</v>
      </c>
      <c r="B2014" s="1" t="str">
        <f>HYPERLINK("https://www.catalog.slsa.sa.gov.au/record=b2111232")</f>
        <v>https://www.catalog.slsa.sa.gov.au/record=b2111232</v>
      </c>
      <c r="C2014" s="1" t="str">
        <f>HYPERLINK("https://www.catalog.slsa.sa.gov.au/xrecord=b2111232")</f>
        <v>https://www.catalog.slsa.sa.gov.au/xrecord=b2111232</v>
      </c>
      <c r="D2014" t="s">
        <v>66</v>
      </c>
      <c r="E2014" t="s">
        <v>7295</v>
      </c>
      <c r="F2014">
        <v>1956</v>
      </c>
      <c r="G2014" t="s">
        <v>121</v>
      </c>
      <c r="H2014" t="s">
        <v>7296</v>
      </c>
      <c r="I2014" t="s">
        <v>6418</v>
      </c>
      <c r="J2014" t="s">
        <v>71</v>
      </c>
      <c r="K2014" s="2" t="str">
        <f>HYPERLINK("http://collections.slsa.sa.gov.au/arthur/02000/BRG347_1900.htm")</f>
        <v>http://collections.slsa.sa.gov.au/arthur/02000/BRG347_1900.htm</v>
      </c>
    </row>
    <row r="2015" spans="1:11" x14ac:dyDescent="0.25">
      <c r="A2015" t="s">
        <v>7297</v>
      </c>
      <c r="B2015" s="1" t="str">
        <f>HYPERLINK("https://www.catalog.slsa.sa.gov.au/record=b2111233")</f>
        <v>https://www.catalog.slsa.sa.gov.au/record=b2111233</v>
      </c>
      <c r="C2015" s="1" t="str">
        <f>HYPERLINK("https://www.catalog.slsa.sa.gov.au/xrecord=b2111233")</f>
        <v>https://www.catalog.slsa.sa.gov.au/xrecord=b2111233</v>
      </c>
      <c r="D2015" t="s">
        <v>66</v>
      </c>
      <c r="E2015" t="s">
        <v>7295</v>
      </c>
      <c r="F2015">
        <v>1956</v>
      </c>
      <c r="G2015" t="s">
        <v>121</v>
      </c>
      <c r="H2015" t="s">
        <v>7298</v>
      </c>
      <c r="I2015" t="s">
        <v>6418</v>
      </c>
      <c r="J2015" t="s">
        <v>71</v>
      </c>
      <c r="K2015" s="2" t="str">
        <f>HYPERLINK("http://collections.slsa.sa.gov.au/arthur/02000/BRG347_1901.htm")</f>
        <v>http://collections.slsa.sa.gov.au/arthur/02000/BRG347_1901.htm</v>
      </c>
    </row>
    <row r="2016" spans="1:11" x14ac:dyDescent="0.25">
      <c r="A2016" t="s">
        <v>7299</v>
      </c>
      <c r="B2016" s="1" t="str">
        <f>HYPERLINK("https://www.catalog.slsa.sa.gov.au/record=b2111234")</f>
        <v>https://www.catalog.slsa.sa.gov.au/record=b2111234</v>
      </c>
      <c r="C2016" s="1" t="str">
        <f>HYPERLINK("https://www.catalog.slsa.sa.gov.au/xrecord=b2111234")</f>
        <v>https://www.catalog.slsa.sa.gov.au/xrecord=b2111234</v>
      </c>
      <c r="D2016" t="s">
        <v>66</v>
      </c>
      <c r="E2016" t="s">
        <v>7295</v>
      </c>
      <c r="F2016">
        <v>1956</v>
      </c>
      <c r="G2016" t="s">
        <v>121</v>
      </c>
      <c r="H2016" t="s">
        <v>7300</v>
      </c>
      <c r="I2016" t="s">
        <v>6418</v>
      </c>
      <c r="J2016" t="s">
        <v>71</v>
      </c>
      <c r="K2016" s="2" t="str">
        <f>HYPERLINK("http://collections.slsa.sa.gov.au/arthur/02000/BRG347_1902.htm")</f>
        <v>http://collections.slsa.sa.gov.au/arthur/02000/BRG347_1902.htm</v>
      </c>
    </row>
    <row r="2017" spans="1:11" x14ac:dyDescent="0.25">
      <c r="A2017" t="s">
        <v>7301</v>
      </c>
      <c r="B2017" s="1" t="str">
        <f>HYPERLINK("https://www.catalog.slsa.sa.gov.au/record=b2117889")</f>
        <v>https://www.catalog.slsa.sa.gov.au/record=b2117889</v>
      </c>
      <c r="C2017" s="1" t="str">
        <f>HYPERLINK("https://www.catalog.slsa.sa.gov.au/xrecord=b2117889")</f>
        <v>https://www.catalog.slsa.sa.gov.au/xrecord=b2117889</v>
      </c>
      <c r="D2017" t="s">
        <v>66</v>
      </c>
      <c r="E2017" t="s">
        <v>7295</v>
      </c>
      <c r="F2017">
        <v>1956</v>
      </c>
      <c r="G2017" t="s">
        <v>121</v>
      </c>
      <c r="H2017" t="s">
        <v>7302</v>
      </c>
      <c r="I2017" t="s">
        <v>7303</v>
      </c>
      <c r="J2017" t="s">
        <v>71</v>
      </c>
      <c r="K2017" s="2" t="str">
        <f>HYPERLINK("http://collections.slsa.sa.gov.au/arthur/02000/BRG347_1903.htm")</f>
        <v>http://collections.slsa.sa.gov.au/arthur/02000/BRG347_1903.htm</v>
      </c>
    </row>
    <row r="2018" spans="1:11" x14ac:dyDescent="0.25">
      <c r="A2018" t="s">
        <v>7304</v>
      </c>
      <c r="B2018" s="1" t="str">
        <f>HYPERLINK("https://www.catalog.slsa.sa.gov.au/record=b2111415")</f>
        <v>https://www.catalog.slsa.sa.gov.au/record=b2111415</v>
      </c>
      <c r="C2018" s="1" t="str">
        <f>HYPERLINK("https://www.catalog.slsa.sa.gov.au/xrecord=b2111415")</f>
        <v>https://www.catalog.slsa.sa.gov.au/xrecord=b2111415</v>
      </c>
      <c r="D2018" t="s">
        <v>66</v>
      </c>
      <c r="E2018" t="s">
        <v>7295</v>
      </c>
      <c r="F2018">
        <v>1956</v>
      </c>
      <c r="G2018" t="s">
        <v>121</v>
      </c>
      <c r="H2018" t="s">
        <v>7305</v>
      </c>
      <c r="I2018" t="s">
        <v>6430</v>
      </c>
      <c r="J2018" t="s">
        <v>71</v>
      </c>
      <c r="K2018" s="2" t="str">
        <f>HYPERLINK("http://collections.slsa.sa.gov.au/arthur/02250/BRG347_2049.htm")</f>
        <v>http://collections.slsa.sa.gov.au/arthur/02250/BRG347_2049.htm</v>
      </c>
    </row>
    <row r="2019" spans="1:11" x14ac:dyDescent="0.25">
      <c r="A2019" t="s">
        <v>7306</v>
      </c>
      <c r="B2019" s="1" t="str">
        <f>HYPERLINK("https://www.catalog.slsa.sa.gov.au/record=b2111416")</f>
        <v>https://www.catalog.slsa.sa.gov.au/record=b2111416</v>
      </c>
      <c r="C2019" s="1" t="str">
        <f>HYPERLINK("https://www.catalog.slsa.sa.gov.au/xrecord=b2111416")</f>
        <v>https://www.catalog.slsa.sa.gov.au/xrecord=b2111416</v>
      </c>
      <c r="D2019" t="s">
        <v>66</v>
      </c>
      <c r="E2019" t="s">
        <v>7295</v>
      </c>
      <c r="F2019">
        <v>1956</v>
      </c>
      <c r="G2019" t="s">
        <v>121</v>
      </c>
      <c r="H2019" t="s">
        <v>7307</v>
      </c>
      <c r="I2019" t="s">
        <v>6430</v>
      </c>
      <c r="J2019" t="s">
        <v>71</v>
      </c>
      <c r="K2019" s="2" t="str">
        <f>HYPERLINK("http://collections.slsa.sa.gov.au/arthur/02250/BRG347_2050.htm")</f>
        <v>http://collections.slsa.sa.gov.au/arthur/02250/BRG347_2050.htm</v>
      </c>
    </row>
    <row r="2020" spans="1:11" x14ac:dyDescent="0.25">
      <c r="A2020" t="s">
        <v>7308</v>
      </c>
      <c r="B2020" s="1" t="str">
        <f>HYPERLINK("https://www.catalog.slsa.sa.gov.au/record=b2111417")</f>
        <v>https://www.catalog.slsa.sa.gov.au/record=b2111417</v>
      </c>
      <c r="C2020" s="1" t="str">
        <f>HYPERLINK("https://www.catalog.slsa.sa.gov.au/xrecord=b2111417")</f>
        <v>https://www.catalog.slsa.sa.gov.au/xrecord=b2111417</v>
      </c>
      <c r="D2020" t="s">
        <v>66</v>
      </c>
      <c r="E2020" t="s">
        <v>7309</v>
      </c>
      <c r="F2020">
        <v>1956</v>
      </c>
      <c r="G2020" t="s">
        <v>121</v>
      </c>
      <c r="H2020" t="s">
        <v>7310</v>
      </c>
      <c r="I2020" t="s">
        <v>7311</v>
      </c>
      <c r="J2020" t="s">
        <v>71</v>
      </c>
      <c r="K2020" s="2" t="str">
        <f>HYPERLINK("http://collections.slsa.sa.gov.au/arthur/02250/BRG347_2051.htm")</f>
        <v>http://collections.slsa.sa.gov.au/arthur/02250/BRG347_2051.htm</v>
      </c>
    </row>
    <row r="2021" spans="1:11" x14ac:dyDescent="0.25">
      <c r="A2021" t="s">
        <v>7312</v>
      </c>
      <c r="B2021" s="1" t="str">
        <f>HYPERLINK("https://www.catalog.slsa.sa.gov.au/record=b2111418")</f>
        <v>https://www.catalog.slsa.sa.gov.au/record=b2111418</v>
      </c>
      <c r="C2021" s="1" t="str">
        <f>HYPERLINK("https://www.catalog.slsa.sa.gov.au/xrecord=b2111418")</f>
        <v>https://www.catalog.slsa.sa.gov.au/xrecord=b2111418</v>
      </c>
      <c r="D2021" t="s">
        <v>66</v>
      </c>
      <c r="E2021" t="s">
        <v>7313</v>
      </c>
      <c r="F2021">
        <v>1956</v>
      </c>
      <c r="G2021" t="s">
        <v>121</v>
      </c>
      <c r="H2021" t="s">
        <v>7314</v>
      </c>
      <c r="I2021" t="s">
        <v>7024</v>
      </c>
      <c r="J2021" t="s">
        <v>71</v>
      </c>
      <c r="K2021" s="2" t="str">
        <f>HYPERLINK("http://collections.slsa.sa.gov.au/arthur/02250/BRG347_2052.htm")</f>
        <v>http://collections.slsa.sa.gov.au/arthur/02250/BRG347_2052.htm</v>
      </c>
    </row>
    <row r="2022" spans="1:11" x14ac:dyDescent="0.25">
      <c r="A2022" t="s">
        <v>7315</v>
      </c>
      <c r="B2022" s="1" t="str">
        <f>HYPERLINK("https://www.catalog.slsa.sa.gov.au/record=b2111419")</f>
        <v>https://www.catalog.slsa.sa.gov.au/record=b2111419</v>
      </c>
      <c r="C2022" s="1" t="str">
        <f>HYPERLINK("https://www.catalog.slsa.sa.gov.au/xrecord=b2111419")</f>
        <v>https://www.catalog.slsa.sa.gov.au/xrecord=b2111419</v>
      </c>
      <c r="D2022" t="s">
        <v>66</v>
      </c>
      <c r="E2022" t="s">
        <v>7316</v>
      </c>
      <c r="F2022">
        <v>1956</v>
      </c>
      <c r="G2022" t="s">
        <v>121</v>
      </c>
      <c r="H2022" t="s">
        <v>7317</v>
      </c>
      <c r="I2022" t="s">
        <v>7318</v>
      </c>
      <c r="J2022" t="s">
        <v>71</v>
      </c>
      <c r="K2022" s="2" t="str">
        <f>HYPERLINK("http://collections.slsa.sa.gov.au/arthur/02250/BRG347_2053.htm")</f>
        <v>http://collections.slsa.sa.gov.au/arthur/02250/BRG347_2053.htm</v>
      </c>
    </row>
    <row r="2023" spans="1:11" x14ac:dyDescent="0.25">
      <c r="A2023" t="s">
        <v>7319</v>
      </c>
      <c r="B2023" s="1" t="str">
        <f>HYPERLINK("https://www.catalog.slsa.sa.gov.au/record=b2111421")</f>
        <v>https://www.catalog.slsa.sa.gov.au/record=b2111421</v>
      </c>
      <c r="C2023" s="1" t="str">
        <f>HYPERLINK("https://www.catalog.slsa.sa.gov.au/xrecord=b2111421")</f>
        <v>https://www.catalog.slsa.sa.gov.au/xrecord=b2111421</v>
      </c>
      <c r="D2023" t="s">
        <v>66</v>
      </c>
      <c r="E2023" t="s">
        <v>7313</v>
      </c>
      <c r="F2023">
        <v>1956</v>
      </c>
      <c r="G2023" t="s">
        <v>121</v>
      </c>
      <c r="H2023" t="s">
        <v>7320</v>
      </c>
      <c r="I2023" t="s">
        <v>7024</v>
      </c>
      <c r="J2023" t="s">
        <v>71</v>
      </c>
      <c r="K2023" s="2" t="str">
        <f>HYPERLINK("http://collections.slsa.sa.gov.au/arthur/02250/BRG347_2055.htm")</f>
        <v>http://collections.slsa.sa.gov.au/arthur/02250/BRG347_2055.htm</v>
      </c>
    </row>
    <row r="2024" spans="1:11" x14ac:dyDescent="0.25">
      <c r="A2024" t="s">
        <v>7321</v>
      </c>
      <c r="B2024" s="1" t="str">
        <f>HYPERLINK("https://www.catalog.slsa.sa.gov.au/record=b2111422")</f>
        <v>https://www.catalog.slsa.sa.gov.au/record=b2111422</v>
      </c>
      <c r="C2024" s="1" t="str">
        <f>HYPERLINK("https://www.catalog.slsa.sa.gov.au/xrecord=b2111422")</f>
        <v>https://www.catalog.slsa.sa.gov.au/xrecord=b2111422</v>
      </c>
      <c r="D2024" t="s">
        <v>66</v>
      </c>
      <c r="E2024" t="s">
        <v>7322</v>
      </c>
      <c r="F2024">
        <v>1956</v>
      </c>
      <c r="G2024" t="s">
        <v>121</v>
      </c>
      <c r="H2024" t="s">
        <v>7323</v>
      </c>
      <c r="I2024" t="s">
        <v>7324</v>
      </c>
      <c r="J2024" t="s">
        <v>71</v>
      </c>
      <c r="K2024" s="2" t="str">
        <f>HYPERLINK("http://collections.slsa.sa.gov.au/arthur/02250/BRG347_2056.htm")</f>
        <v>http://collections.slsa.sa.gov.au/arthur/02250/BRG347_2056.htm</v>
      </c>
    </row>
    <row r="2025" spans="1:11" x14ac:dyDescent="0.25">
      <c r="A2025" t="s">
        <v>7325</v>
      </c>
      <c r="B2025" s="1" t="str">
        <f>HYPERLINK("https://www.catalog.slsa.sa.gov.au/record=b2111424")</f>
        <v>https://www.catalog.slsa.sa.gov.au/record=b2111424</v>
      </c>
      <c r="C2025" s="1" t="str">
        <f>HYPERLINK("https://www.catalog.slsa.sa.gov.au/xrecord=b2111424")</f>
        <v>https://www.catalog.slsa.sa.gov.au/xrecord=b2111424</v>
      </c>
      <c r="D2025" t="s">
        <v>66</v>
      </c>
      <c r="E2025" t="s">
        <v>7295</v>
      </c>
      <c r="F2025">
        <v>1956</v>
      </c>
      <c r="G2025" t="s">
        <v>121</v>
      </c>
      <c r="H2025" t="s">
        <v>7326</v>
      </c>
      <c r="I2025" t="s">
        <v>6430</v>
      </c>
      <c r="J2025" t="s">
        <v>71</v>
      </c>
      <c r="K2025" s="2" t="str">
        <f>HYPERLINK("http://collections.slsa.sa.gov.au/arthur/02250/BRG347_2058.htm")</f>
        <v>http://collections.slsa.sa.gov.au/arthur/02250/BRG347_2058.htm</v>
      </c>
    </row>
    <row r="2026" spans="1:11" x14ac:dyDescent="0.25">
      <c r="A2026" t="s">
        <v>7327</v>
      </c>
      <c r="B2026" s="1" t="str">
        <f>HYPERLINK("https://www.catalog.slsa.sa.gov.au/record=b2111425")</f>
        <v>https://www.catalog.slsa.sa.gov.au/record=b2111425</v>
      </c>
      <c r="C2026" s="1" t="str">
        <f>HYPERLINK("https://www.catalog.slsa.sa.gov.au/xrecord=b2111425")</f>
        <v>https://www.catalog.slsa.sa.gov.au/xrecord=b2111425</v>
      </c>
      <c r="D2026" t="s">
        <v>66</v>
      </c>
      <c r="E2026" t="s">
        <v>7328</v>
      </c>
      <c r="F2026">
        <v>1956</v>
      </c>
      <c r="G2026" t="s">
        <v>121</v>
      </c>
      <c r="H2026" t="s">
        <v>7329</v>
      </c>
      <c r="I2026" t="s">
        <v>7330</v>
      </c>
      <c r="J2026" t="s">
        <v>71</v>
      </c>
      <c r="K2026" s="2" t="str">
        <f>HYPERLINK("http://collections.slsa.sa.gov.au/arthur/02250/BRG347_2059.htm")</f>
        <v>http://collections.slsa.sa.gov.au/arthur/02250/BRG347_2059.htm</v>
      </c>
    </row>
    <row r="2027" spans="1:11" x14ac:dyDescent="0.25">
      <c r="A2027" t="s">
        <v>7331</v>
      </c>
      <c r="B2027" s="1" t="str">
        <f>HYPERLINK("https://www.catalog.slsa.sa.gov.au/record=b2117802")</f>
        <v>https://www.catalog.slsa.sa.gov.au/record=b2117802</v>
      </c>
      <c r="C2027" s="1" t="str">
        <f>HYPERLINK("https://www.catalog.slsa.sa.gov.au/xrecord=b2117802")</f>
        <v>https://www.catalog.slsa.sa.gov.au/xrecord=b2117802</v>
      </c>
      <c r="D2027" t="s">
        <v>66</v>
      </c>
      <c r="E2027" t="s">
        <v>7332</v>
      </c>
      <c r="F2027">
        <v>1956</v>
      </c>
      <c r="G2027" t="s">
        <v>121</v>
      </c>
      <c r="H2027" t="s">
        <v>7333</v>
      </c>
      <c r="I2027" t="s">
        <v>7330</v>
      </c>
      <c r="J2027" t="s">
        <v>71</v>
      </c>
      <c r="K2027" s="2" t="str">
        <f>HYPERLINK("http://collections.slsa.sa.gov.au/arthur/02250/BRG347_2060.htm")</f>
        <v>http://collections.slsa.sa.gov.au/arthur/02250/BRG347_2060.htm</v>
      </c>
    </row>
    <row r="2028" spans="1:11" x14ac:dyDescent="0.25">
      <c r="A2028" t="s">
        <v>7334</v>
      </c>
      <c r="B2028" s="1" t="str">
        <f>HYPERLINK("https://www.catalog.slsa.sa.gov.au/record=b2111427")</f>
        <v>https://www.catalog.slsa.sa.gov.au/record=b2111427</v>
      </c>
      <c r="C2028" s="1" t="str">
        <f>HYPERLINK("https://www.catalog.slsa.sa.gov.au/xrecord=b2111427")</f>
        <v>https://www.catalog.slsa.sa.gov.au/xrecord=b2111427</v>
      </c>
      <c r="D2028" t="s">
        <v>66</v>
      </c>
      <c r="E2028" t="s">
        <v>7332</v>
      </c>
      <c r="F2028">
        <v>1956</v>
      </c>
      <c r="G2028" t="s">
        <v>121</v>
      </c>
      <c r="H2028" t="s">
        <v>7333</v>
      </c>
      <c r="I2028" t="s">
        <v>7330</v>
      </c>
      <c r="J2028" t="s">
        <v>71</v>
      </c>
      <c r="K2028" s="2" t="str">
        <f>HYPERLINK("http://collections.slsa.sa.gov.au/arthur/02250/BRG347_2062.htm")</f>
        <v>http://collections.slsa.sa.gov.au/arthur/02250/BRG347_2062.htm</v>
      </c>
    </row>
    <row r="2029" spans="1:11" x14ac:dyDescent="0.25">
      <c r="A2029" t="s">
        <v>7335</v>
      </c>
      <c r="B2029" s="1" t="str">
        <f>HYPERLINK("https://www.catalog.slsa.sa.gov.au/record=b2111429")</f>
        <v>https://www.catalog.slsa.sa.gov.au/record=b2111429</v>
      </c>
      <c r="C2029" s="1" t="str">
        <f>HYPERLINK("https://www.catalog.slsa.sa.gov.au/xrecord=b2111429")</f>
        <v>https://www.catalog.slsa.sa.gov.au/xrecord=b2111429</v>
      </c>
      <c r="D2029" t="s">
        <v>66</v>
      </c>
      <c r="E2029" t="s">
        <v>7336</v>
      </c>
      <c r="F2029">
        <v>1956</v>
      </c>
      <c r="G2029" t="s">
        <v>121</v>
      </c>
      <c r="H2029" t="s">
        <v>7337</v>
      </c>
      <c r="I2029" t="s">
        <v>7330</v>
      </c>
      <c r="J2029" t="s">
        <v>71</v>
      </c>
      <c r="K2029" s="2" t="str">
        <f>HYPERLINK("http://collections.slsa.sa.gov.au/arthur/02250/BRG347_2064.htm")</f>
        <v>http://collections.slsa.sa.gov.au/arthur/02250/BRG347_2064.htm</v>
      </c>
    </row>
    <row r="2030" spans="1:11" x14ac:dyDescent="0.25">
      <c r="A2030" t="s">
        <v>7338</v>
      </c>
      <c r="B2030" s="1" t="str">
        <f>HYPERLINK("https://www.catalog.slsa.sa.gov.au/record=b2111430")</f>
        <v>https://www.catalog.slsa.sa.gov.au/record=b2111430</v>
      </c>
      <c r="C2030" s="1" t="str">
        <f>HYPERLINK("https://www.catalog.slsa.sa.gov.au/xrecord=b2111430")</f>
        <v>https://www.catalog.slsa.sa.gov.au/xrecord=b2111430</v>
      </c>
      <c r="D2030" t="s">
        <v>66</v>
      </c>
      <c r="E2030" t="s">
        <v>7336</v>
      </c>
      <c r="F2030">
        <v>1956</v>
      </c>
      <c r="G2030" t="s">
        <v>121</v>
      </c>
      <c r="H2030" t="s">
        <v>7339</v>
      </c>
      <c r="I2030" t="s">
        <v>7330</v>
      </c>
      <c r="J2030" t="s">
        <v>71</v>
      </c>
      <c r="K2030" s="2" t="str">
        <f>HYPERLINK("http://collections.slsa.sa.gov.au/arthur/02250/BRG347_2065.htm")</f>
        <v>http://collections.slsa.sa.gov.au/arthur/02250/BRG347_2065.htm</v>
      </c>
    </row>
    <row r="2031" spans="1:11" x14ac:dyDescent="0.25">
      <c r="A2031" t="s">
        <v>7340</v>
      </c>
      <c r="B2031" s="1" t="str">
        <f>HYPERLINK("https://www.catalog.slsa.sa.gov.au/record=b2111440")</f>
        <v>https://www.catalog.slsa.sa.gov.au/record=b2111440</v>
      </c>
      <c r="C2031" s="1" t="str">
        <f>HYPERLINK("https://www.catalog.slsa.sa.gov.au/xrecord=b2111440")</f>
        <v>https://www.catalog.slsa.sa.gov.au/xrecord=b2111440</v>
      </c>
      <c r="D2031" t="s">
        <v>66</v>
      </c>
      <c r="E2031" t="s">
        <v>7341</v>
      </c>
      <c r="F2031">
        <v>1956</v>
      </c>
      <c r="G2031" t="s">
        <v>121</v>
      </c>
      <c r="H2031" t="s">
        <v>7342</v>
      </c>
      <c r="I2031" t="s">
        <v>7343</v>
      </c>
      <c r="J2031" t="s">
        <v>71</v>
      </c>
      <c r="K2031" s="2" t="str">
        <f>HYPERLINK("http://collections.slsa.sa.gov.au/arthur/02250/BRG347_2075.htm")</f>
        <v>http://collections.slsa.sa.gov.au/arthur/02250/BRG347_2075.htm</v>
      </c>
    </row>
    <row r="2032" spans="1:11" x14ac:dyDescent="0.25">
      <c r="A2032" t="s">
        <v>7344</v>
      </c>
      <c r="B2032" s="1" t="str">
        <f>HYPERLINK("https://www.catalog.slsa.sa.gov.au/record=b2112105")</f>
        <v>https://www.catalog.slsa.sa.gov.au/record=b2112105</v>
      </c>
      <c r="C2032" s="1" t="str">
        <f>HYPERLINK("https://www.catalog.slsa.sa.gov.au/xrecord=b2112105")</f>
        <v>https://www.catalog.slsa.sa.gov.au/xrecord=b2112105</v>
      </c>
      <c r="D2032" t="s">
        <v>66</v>
      </c>
      <c r="E2032" t="s">
        <v>6467</v>
      </c>
      <c r="F2032">
        <v>1956</v>
      </c>
      <c r="G2032" t="s">
        <v>121</v>
      </c>
      <c r="H2032" t="s">
        <v>7345</v>
      </c>
      <c r="I2032" t="s">
        <v>7346</v>
      </c>
      <c r="J2032" t="s">
        <v>71</v>
      </c>
      <c r="K2032" s="2" t="str">
        <f>HYPERLINK("http://collections.slsa.sa.gov.au/arthur/02750/BRG347_2535.htm")</f>
        <v>http://collections.slsa.sa.gov.au/arthur/02750/BRG347_2535.htm</v>
      </c>
    </row>
    <row r="2033" spans="1:11" x14ac:dyDescent="0.25">
      <c r="A2033" t="s">
        <v>7347</v>
      </c>
      <c r="B2033" s="1" t="str">
        <f>HYPERLINK("https://www.catalog.slsa.sa.gov.au/record=b2112107")</f>
        <v>https://www.catalog.slsa.sa.gov.au/record=b2112107</v>
      </c>
      <c r="C2033" s="1" t="str">
        <f>HYPERLINK("https://www.catalog.slsa.sa.gov.au/xrecord=b2112107")</f>
        <v>https://www.catalog.slsa.sa.gov.au/xrecord=b2112107</v>
      </c>
      <c r="D2033" t="s">
        <v>66</v>
      </c>
      <c r="E2033" t="s">
        <v>7348</v>
      </c>
      <c r="F2033">
        <v>1956</v>
      </c>
      <c r="G2033" t="s">
        <v>121</v>
      </c>
      <c r="H2033" t="s">
        <v>7349</v>
      </c>
      <c r="I2033" t="s">
        <v>7350</v>
      </c>
      <c r="J2033" t="s">
        <v>71</v>
      </c>
      <c r="K2033" s="2" t="str">
        <f>HYPERLINK("http://collections.slsa.sa.gov.au/arthur/02750/BRG347_2537.htm")</f>
        <v>http://collections.slsa.sa.gov.au/arthur/02750/BRG347_2537.htm</v>
      </c>
    </row>
    <row r="2034" spans="1:11" x14ac:dyDescent="0.25">
      <c r="A2034" t="s">
        <v>7351</v>
      </c>
      <c r="B2034" s="1" t="str">
        <f>HYPERLINK("https://www.catalog.slsa.sa.gov.au/record=b2112121")</f>
        <v>https://www.catalog.slsa.sa.gov.au/record=b2112121</v>
      </c>
      <c r="C2034" s="1" t="str">
        <f>HYPERLINK("https://www.catalog.slsa.sa.gov.au/xrecord=b2112121")</f>
        <v>https://www.catalog.slsa.sa.gov.au/xrecord=b2112121</v>
      </c>
      <c r="D2034" t="s">
        <v>66</v>
      </c>
      <c r="E2034" t="s">
        <v>6467</v>
      </c>
      <c r="F2034">
        <v>1956</v>
      </c>
      <c r="G2034" t="s">
        <v>121</v>
      </c>
      <c r="H2034" t="s">
        <v>7352</v>
      </c>
      <c r="I2034" t="s">
        <v>7346</v>
      </c>
      <c r="J2034" t="s">
        <v>71</v>
      </c>
      <c r="K2034" s="2" t="str">
        <f>HYPERLINK("http://collections.slsa.sa.gov.au/arthur/02750/BRG347_2551.htm")</f>
        <v>http://collections.slsa.sa.gov.au/arthur/02750/BRG347_2551.htm</v>
      </c>
    </row>
    <row r="2035" spans="1:11" x14ac:dyDescent="0.25">
      <c r="A2035" t="s">
        <v>7353</v>
      </c>
      <c r="B2035" s="1" t="str">
        <f>HYPERLINK("https://www.catalog.slsa.sa.gov.au/record=b2112122")</f>
        <v>https://www.catalog.slsa.sa.gov.au/record=b2112122</v>
      </c>
      <c r="C2035" s="1" t="str">
        <f>HYPERLINK("https://www.catalog.slsa.sa.gov.au/xrecord=b2112122")</f>
        <v>https://www.catalog.slsa.sa.gov.au/xrecord=b2112122</v>
      </c>
      <c r="D2035" t="s">
        <v>66</v>
      </c>
      <c r="E2035" t="s">
        <v>6467</v>
      </c>
      <c r="F2035">
        <v>1956</v>
      </c>
      <c r="G2035" t="s">
        <v>121</v>
      </c>
      <c r="H2035" t="s">
        <v>7354</v>
      </c>
      <c r="I2035" t="s">
        <v>6476</v>
      </c>
      <c r="J2035" t="s">
        <v>71</v>
      </c>
      <c r="K2035" s="2" t="str">
        <f>HYPERLINK("http://collections.slsa.sa.gov.au/arthur/02750/BRG347_2552.htm")</f>
        <v>http://collections.slsa.sa.gov.au/arthur/02750/BRG347_2552.htm</v>
      </c>
    </row>
    <row r="2036" spans="1:11" x14ac:dyDescent="0.25">
      <c r="A2036" t="s">
        <v>7355</v>
      </c>
      <c r="B2036" s="1" t="str">
        <f>HYPERLINK("https://www.catalog.slsa.sa.gov.au/record=b2112123")</f>
        <v>https://www.catalog.slsa.sa.gov.au/record=b2112123</v>
      </c>
      <c r="C2036" s="1" t="str">
        <f>HYPERLINK("https://www.catalog.slsa.sa.gov.au/xrecord=b2112123")</f>
        <v>https://www.catalog.slsa.sa.gov.au/xrecord=b2112123</v>
      </c>
      <c r="D2036" t="s">
        <v>66</v>
      </c>
      <c r="E2036" t="s">
        <v>6467</v>
      </c>
      <c r="F2036">
        <v>1956</v>
      </c>
      <c r="G2036" t="s">
        <v>121</v>
      </c>
      <c r="H2036" t="s">
        <v>7356</v>
      </c>
      <c r="I2036" t="s">
        <v>7346</v>
      </c>
      <c r="J2036" t="s">
        <v>71</v>
      </c>
      <c r="K2036" s="2" t="str">
        <f>HYPERLINK("http://collections.slsa.sa.gov.au/arthur/02750/BRG347_2553.htm")</f>
        <v>http://collections.slsa.sa.gov.au/arthur/02750/BRG347_2553.htm</v>
      </c>
    </row>
    <row r="2037" spans="1:11" x14ac:dyDescent="0.25">
      <c r="A2037" t="s">
        <v>7357</v>
      </c>
      <c r="B2037" s="1" t="str">
        <f>HYPERLINK("https://www.catalog.slsa.sa.gov.au/record=b2112135")</f>
        <v>https://www.catalog.slsa.sa.gov.au/record=b2112135</v>
      </c>
      <c r="C2037" s="1" t="str">
        <f>HYPERLINK("https://www.catalog.slsa.sa.gov.au/xrecord=b2112135")</f>
        <v>https://www.catalog.slsa.sa.gov.au/xrecord=b2112135</v>
      </c>
      <c r="D2037" t="s">
        <v>66</v>
      </c>
      <c r="E2037" t="s">
        <v>7295</v>
      </c>
      <c r="F2037">
        <v>1956</v>
      </c>
      <c r="G2037" t="s">
        <v>121</v>
      </c>
      <c r="H2037" t="s">
        <v>7358</v>
      </c>
      <c r="I2037" t="s">
        <v>6430</v>
      </c>
      <c r="J2037" t="s">
        <v>71</v>
      </c>
      <c r="K2037" s="2" t="str">
        <f>HYPERLINK("http://collections.slsa.sa.gov.au/arthur/02750/BRG347_2565.htm")</f>
        <v>http://collections.slsa.sa.gov.au/arthur/02750/BRG347_2565.htm</v>
      </c>
    </row>
    <row r="2038" spans="1:11" x14ac:dyDescent="0.25">
      <c r="A2038" t="s">
        <v>7359</v>
      </c>
      <c r="B2038" s="1" t="str">
        <f>HYPERLINK("https://www.catalog.slsa.sa.gov.au/record=b2112136")</f>
        <v>https://www.catalog.slsa.sa.gov.au/record=b2112136</v>
      </c>
      <c r="C2038" s="1" t="str">
        <f>HYPERLINK("https://www.catalog.slsa.sa.gov.au/xrecord=b2112136")</f>
        <v>https://www.catalog.slsa.sa.gov.au/xrecord=b2112136</v>
      </c>
      <c r="D2038" t="s">
        <v>66</v>
      </c>
      <c r="E2038" t="s">
        <v>7360</v>
      </c>
      <c r="F2038">
        <v>1956</v>
      </c>
      <c r="G2038" t="s">
        <v>121</v>
      </c>
      <c r="H2038" t="s">
        <v>7361</v>
      </c>
      <c r="I2038" t="s">
        <v>7362</v>
      </c>
      <c r="J2038" t="s">
        <v>71</v>
      </c>
      <c r="K2038" s="2" t="str">
        <f>HYPERLINK("http://collections.slsa.sa.gov.au/arthur/02750/BRG347_2566.htm")</f>
        <v>http://collections.slsa.sa.gov.au/arthur/02750/BRG347_2566.htm</v>
      </c>
    </row>
    <row r="2039" spans="1:11" x14ac:dyDescent="0.25">
      <c r="A2039" t="s">
        <v>7363</v>
      </c>
      <c r="B2039" s="1" t="str">
        <f>HYPERLINK("https://www.catalog.slsa.sa.gov.au/record=b2112138")</f>
        <v>https://www.catalog.slsa.sa.gov.au/record=b2112138</v>
      </c>
      <c r="C2039" s="1" t="str">
        <f>HYPERLINK("https://www.catalog.slsa.sa.gov.au/xrecord=b2112138")</f>
        <v>https://www.catalog.slsa.sa.gov.au/xrecord=b2112138</v>
      </c>
      <c r="D2039" t="s">
        <v>66</v>
      </c>
      <c r="E2039" t="s">
        <v>7364</v>
      </c>
      <c r="F2039">
        <v>1956</v>
      </c>
      <c r="G2039" t="s">
        <v>121</v>
      </c>
      <c r="H2039" t="s">
        <v>7365</v>
      </c>
      <c r="I2039" t="s">
        <v>7366</v>
      </c>
      <c r="J2039" t="s">
        <v>71</v>
      </c>
      <c r="K2039" s="2" t="str">
        <f>HYPERLINK("http://collections.slsa.sa.gov.au/arthur/02750/BRG347_2568.htm")</f>
        <v>http://collections.slsa.sa.gov.au/arthur/02750/BRG347_2568.htm</v>
      </c>
    </row>
    <row r="2040" spans="1:11" x14ac:dyDescent="0.25">
      <c r="A2040" t="s">
        <v>7367</v>
      </c>
      <c r="B2040" s="1" t="str">
        <f>HYPERLINK("https://www.catalog.slsa.sa.gov.au/record=b2112154")</f>
        <v>https://www.catalog.slsa.sa.gov.au/record=b2112154</v>
      </c>
      <c r="C2040" s="1" t="str">
        <f>HYPERLINK("https://www.catalog.slsa.sa.gov.au/xrecord=b2112154")</f>
        <v>https://www.catalog.slsa.sa.gov.au/xrecord=b2112154</v>
      </c>
      <c r="D2040" t="s">
        <v>66</v>
      </c>
      <c r="E2040" t="s">
        <v>7368</v>
      </c>
      <c r="F2040">
        <v>1956</v>
      </c>
      <c r="G2040" t="s">
        <v>121</v>
      </c>
      <c r="H2040" t="s">
        <v>7369</v>
      </c>
      <c r="I2040" t="s">
        <v>7370</v>
      </c>
      <c r="J2040" t="s">
        <v>71</v>
      </c>
      <c r="K2040" s="2" t="str">
        <f>HYPERLINK("http://collections.slsa.sa.gov.au/arthur/02750/BRG347_2584.htm")</f>
        <v>http://collections.slsa.sa.gov.au/arthur/02750/BRG347_2584.htm</v>
      </c>
    </row>
    <row r="2041" spans="1:11" x14ac:dyDescent="0.25">
      <c r="A2041" t="s">
        <v>7371</v>
      </c>
      <c r="B2041" s="1" t="str">
        <f>HYPERLINK("https://www.catalog.slsa.sa.gov.au/record=b2118012")</f>
        <v>https://www.catalog.slsa.sa.gov.au/record=b2118012</v>
      </c>
      <c r="C2041" s="1" t="str">
        <f>HYPERLINK("https://www.catalog.slsa.sa.gov.au/xrecord=b2118012")</f>
        <v>https://www.catalog.slsa.sa.gov.au/xrecord=b2118012</v>
      </c>
      <c r="D2041" t="s">
        <v>66</v>
      </c>
      <c r="E2041" t="s">
        <v>7372</v>
      </c>
      <c r="F2041">
        <v>1956</v>
      </c>
      <c r="G2041" t="s">
        <v>121</v>
      </c>
      <c r="H2041" t="s">
        <v>7373</v>
      </c>
      <c r="I2041" t="s">
        <v>7374</v>
      </c>
      <c r="J2041" t="s">
        <v>71</v>
      </c>
      <c r="K2041" s="2" t="str">
        <f>HYPERLINK("http://collections.slsa.sa.gov.au/arthur/02750/BRG347_2585.htm")</f>
        <v>http://collections.slsa.sa.gov.au/arthur/02750/BRG347_2585.htm</v>
      </c>
    </row>
    <row r="2042" spans="1:11" x14ac:dyDescent="0.25">
      <c r="A2042" t="s">
        <v>7375</v>
      </c>
      <c r="B2042" s="1" t="str">
        <f>HYPERLINK("https://www.catalog.slsa.sa.gov.au/record=b2112156")</f>
        <v>https://www.catalog.slsa.sa.gov.au/record=b2112156</v>
      </c>
      <c r="C2042" s="1" t="str">
        <f>HYPERLINK("https://www.catalog.slsa.sa.gov.au/xrecord=b2112156")</f>
        <v>https://www.catalog.slsa.sa.gov.au/xrecord=b2112156</v>
      </c>
      <c r="D2042" t="s">
        <v>66</v>
      </c>
      <c r="E2042" t="s">
        <v>7376</v>
      </c>
      <c r="F2042">
        <v>1956</v>
      </c>
      <c r="G2042" t="s">
        <v>121</v>
      </c>
      <c r="H2042" t="s">
        <v>7377</v>
      </c>
      <c r="I2042" t="s">
        <v>7370</v>
      </c>
      <c r="J2042" t="s">
        <v>71</v>
      </c>
      <c r="K2042" s="2" t="str">
        <f>HYPERLINK("http://collections.slsa.sa.gov.au/arthur/02750/BRG347_2587.htm")</f>
        <v>http://collections.slsa.sa.gov.au/arthur/02750/BRG347_2587.htm</v>
      </c>
    </row>
    <row r="2043" spans="1:11" x14ac:dyDescent="0.25">
      <c r="A2043" t="s">
        <v>7378</v>
      </c>
      <c r="B2043" s="1" t="str">
        <f>HYPERLINK("https://www.catalog.slsa.sa.gov.au/record=b2112157")</f>
        <v>https://www.catalog.slsa.sa.gov.au/record=b2112157</v>
      </c>
      <c r="C2043" s="1" t="str">
        <f>HYPERLINK("https://www.catalog.slsa.sa.gov.au/xrecord=b2112157")</f>
        <v>https://www.catalog.slsa.sa.gov.au/xrecord=b2112157</v>
      </c>
      <c r="D2043" t="s">
        <v>66</v>
      </c>
      <c r="E2043" t="s">
        <v>7376</v>
      </c>
      <c r="F2043">
        <v>1956</v>
      </c>
      <c r="G2043" t="s">
        <v>121</v>
      </c>
      <c r="H2043" t="s">
        <v>7379</v>
      </c>
      <c r="I2043" t="s">
        <v>7370</v>
      </c>
      <c r="J2043" t="s">
        <v>71</v>
      </c>
      <c r="K2043" s="2" t="str">
        <f>HYPERLINK("http://collections.slsa.sa.gov.au/arthur/02750/BRG347_2588.htm")</f>
        <v>http://collections.slsa.sa.gov.au/arthur/02750/BRG347_2588.htm</v>
      </c>
    </row>
    <row r="2044" spans="1:11" x14ac:dyDescent="0.25">
      <c r="A2044" t="s">
        <v>7380</v>
      </c>
      <c r="B2044" s="1" t="str">
        <f>HYPERLINK("https://www.catalog.slsa.sa.gov.au/record=b2112209")</f>
        <v>https://www.catalog.slsa.sa.gov.au/record=b2112209</v>
      </c>
      <c r="C2044" s="1" t="str">
        <f>HYPERLINK("https://www.catalog.slsa.sa.gov.au/xrecord=b2112209")</f>
        <v>https://www.catalog.slsa.sa.gov.au/xrecord=b2112209</v>
      </c>
      <c r="D2044" t="s">
        <v>66</v>
      </c>
      <c r="E2044" t="s">
        <v>7381</v>
      </c>
      <c r="F2044">
        <v>1956</v>
      </c>
      <c r="G2044" t="s">
        <v>121</v>
      </c>
      <c r="H2044" t="s">
        <v>7382</v>
      </c>
      <c r="I2044" t="s">
        <v>7383</v>
      </c>
      <c r="J2044" t="s">
        <v>71</v>
      </c>
      <c r="K2044" s="2" t="str">
        <f>HYPERLINK("http://collections.slsa.sa.gov.au/arthur/02750/BRG347_2641.htm")</f>
        <v>http://collections.slsa.sa.gov.au/arthur/02750/BRG347_2641.htm</v>
      </c>
    </row>
    <row r="2045" spans="1:11" x14ac:dyDescent="0.25">
      <c r="A2045" t="s">
        <v>7384</v>
      </c>
      <c r="B2045" s="1" t="str">
        <f>HYPERLINK("https://www.catalog.slsa.sa.gov.au/record=b2112517")</f>
        <v>https://www.catalog.slsa.sa.gov.au/record=b2112517</v>
      </c>
      <c r="C2045" s="1" t="str">
        <f>HYPERLINK("https://www.catalog.slsa.sa.gov.au/xrecord=b2112517")</f>
        <v>https://www.catalog.slsa.sa.gov.au/xrecord=b2112517</v>
      </c>
      <c r="D2045" t="s">
        <v>66</v>
      </c>
      <c r="E2045" t="s">
        <v>7385</v>
      </c>
      <c r="F2045">
        <v>1956</v>
      </c>
      <c r="G2045" t="s">
        <v>121</v>
      </c>
      <c r="H2045" t="s">
        <v>7386</v>
      </c>
      <c r="I2045" t="s">
        <v>7387</v>
      </c>
      <c r="J2045" t="s">
        <v>71</v>
      </c>
      <c r="K2045" s="2" t="str">
        <f>HYPERLINK("http://collections.slsa.sa.gov.au/arthur/03000/BRG347_2784.htm")</f>
        <v>http://collections.slsa.sa.gov.au/arthur/03000/BRG347_2784.htm</v>
      </c>
    </row>
    <row r="2046" spans="1:11" x14ac:dyDescent="0.25">
      <c r="A2046" t="s">
        <v>7388</v>
      </c>
      <c r="B2046" s="1" t="str">
        <f>HYPERLINK("https://www.catalog.slsa.sa.gov.au/record=b2112557")</f>
        <v>https://www.catalog.slsa.sa.gov.au/record=b2112557</v>
      </c>
      <c r="C2046" s="1" t="str">
        <f>HYPERLINK("https://www.catalog.slsa.sa.gov.au/xrecord=b2112557")</f>
        <v>https://www.catalog.slsa.sa.gov.au/xrecord=b2112557</v>
      </c>
      <c r="D2046" t="s">
        <v>66</v>
      </c>
      <c r="E2046" t="s">
        <v>6577</v>
      </c>
      <c r="F2046">
        <v>1956</v>
      </c>
      <c r="G2046" t="s">
        <v>121</v>
      </c>
      <c r="H2046" t="s">
        <v>7389</v>
      </c>
      <c r="I2046" t="s">
        <v>7390</v>
      </c>
      <c r="J2046" t="s">
        <v>71</v>
      </c>
      <c r="K2046" s="2" t="str">
        <f>HYPERLINK("http://collections.slsa.sa.gov.au/arthur/03000/BRG347_2827.htm")</f>
        <v>http://collections.slsa.sa.gov.au/arthur/03000/BRG347_2827.htm</v>
      </c>
    </row>
    <row r="2047" spans="1:11" x14ac:dyDescent="0.25">
      <c r="A2047" t="s">
        <v>7391</v>
      </c>
      <c r="B2047" s="1" t="str">
        <f>HYPERLINK("https://www.catalog.slsa.sa.gov.au/record=b2112561")</f>
        <v>https://www.catalog.slsa.sa.gov.au/record=b2112561</v>
      </c>
      <c r="C2047" s="1" t="str">
        <f>HYPERLINK("https://www.catalog.slsa.sa.gov.au/xrecord=b2112561")</f>
        <v>https://www.catalog.slsa.sa.gov.au/xrecord=b2112561</v>
      </c>
      <c r="D2047" t="s">
        <v>66</v>
      </c>
      <c r="E2047" t="s">
        <v>7392</v>
      </c>
      <c r="F2047">
        <v>1956</v>
      </c>
      <c r="G2047" t="s">
        <v>121</v>
      </c>
      <c r="H2047" t="s">
        <v>7393</v>
      </c>
      <c r="I2047" t="s">
        <v>7394</v>
      </c>
      <c r="J2047" t="s">
        <v>71</v>
      </c>
      <c r="K2047" s="2" t="str">
        <f>HYPERLINK("http://collections.slsa.sa.gov.au/arthur/03000/BRG347_2831.htm")</f>
        <v>http://collections.slsa.sa.gov.au/arthur/03000/BRG347_2831.htm</v>
      </c>
    </row>
    <row r="2048" spans="1:11" x14ac:dyDescent="0.25">
      <c r="A2048" t="s">
        <v>7395</v>
      </c>
      <c r="B2048" s="1" t="str">
        <f>HYPERLINK("https://www.catalog.slsa.sa.gov.au/record=b2112562")</f>
        <v>https://www.catalog.slsa.sa.gov.au/record=b2112562</v>
      </c>
      <c r="C2048" s="1" t="str">
        <f>HYPERLINK("https://www.catalog.slsa.sa.gov.au/xrecord=b2112562")</f>
        <v>https://www.catalog.slsa.sa.gov.au/xrecord=b2112562</v>
      </c>
      <c r="D2048" t="s">
        <v>66</v>
      </c>
      <c r="E2048" t="s">
        <v>7396</v>
      </c>
      <c r="F2048">
        <v>1956</v>
      </c>
      <c r="G2048" t="s">
        <v>121</v>
      </c>
      <c r="H2048" t="s">
        <v>7397</v>
      </c>
      <c r="I2048" t="s">
        <v>7398</v>
      </c>
      <c r="J2048" t="s">
        <v>71</v>
      </c>
      <c r="K2048" s="2" t="str">
        <f>HYPERLINK("http://collections.slsa.sa.gov.au/arthur/03000/BRG347_2832.htm")</f>
        <v>http://collections.slsa.sa.gov.au/arthur/03000/BRG347_2832.htm</v>
      </c>
    </row>
    <row r="2049" spans="1:11" x14ac:dyDescent="0.25">
      <c r="A2049" t="s">
        <v>7399</v>
      </c>
      <c r="B2049" s="1" t="str">
        <f>HYPERLINK("https://www.catalog.slsa.sa.gov.au/record=b2112564")</f>
        <v>https://www.catalog.slsa.sa.gov.au/record=b2112564</v>
      </c>
      <c r="C2049" s="1" t="str">
        <f>HYPERLINK("https://www.catalog.slsa.sa.gov.au/xrecord=b2112564")</f>
        <v>https://www.catalog.slsa.sa.gov.au/xrecord=b2112564</v>
      </c>
      <c r="D2049" t="s">
        <v>66</v>
      </c>
      <c r="E2049" t="s">
        <v>7392</v>
      </c>
      <c r="F2049">
        <v>1956</v>
      </c>
      <c r="G2049" t="s">
        <v>121</v>
      </c>
      <c r="H2049" t="s">
        <v>7400</v>
      </c>
      <c r="I2049" t="s">
        <v>7401</v>
      </c>
      <c r="J2049" t="s">
        <v>71</v>
      </c>
      <c r="K2049" s="2" t="str">
        <f>HYPERLINK("http://collections.slsa.sa.gov.au/arthur/03000/BRG347_2834.htm")</f>
        <v>http://collections.slsa.sa.gov.au/arthur/03000/BRG347_2834.htm</v>
      </c>
    </row>
    <row r="2050" spans="1:11" x14ac:dyDescent="0.25">
      <c r="A2050" t="s">
        <v>7402</v>
      </c>
      <c r="B2050" s="1" t="str">
        <f>HYPERLINK("https://www.catalog.slsa.sa.gov.au/record=b2118072")</f>
        <v>https://www.catalog.slsa.sa.gov.au/record=b2118072</v>
      </c>
      <c r="C2050" s="1" t="str">
        <f>HYPERLINK("https://www.catalog.slsa.sa.gov.au/xrecord=b2118072")</f>
        <v>https://www.catalog.slsa.sa.gov.au/xrecord=b2118072</v>
      </c>
      <c r="D2050" t="s">
        <v>66</v>
      </c>
      <c r="E2050" t="s">
        <v>7392</v>
      </c>
      <c r="F2050">
        <v>1956</v>
      </c>
      <c r="G2050" t="s">
        <v>121</v>
      </c>
      <c r="H2050" t="s">
        <v>7403</v>
      </c>
      <c r="I2050" t="s">
        <v>7394</v>
      </c>
      <c r="J2050" t="s">
        <v>71</v>
      </c>
      <c r="K2050" s="2" t="str">
        <f>HYPERLINK("http://collections.slsa.sa.gov.au/arthur/03000/BRG347_2850.htm")</f>
        <v>http://collections.slsa.sa.gov.au/arthur/03000/BRG347_2850.htm</v>
      </c>
    </row>
    <row r="2051" spans="1:11" x14ac:dyDescent="0.25">
      <c r="A2051" t="s">
        <v>7404</v>
      </c>
      <c r="B2051" s="1" t="str">
        <f>HYPERLINK("https://www.catalog.slsa.sa.gov.au/record=b2112581")</f>
        <v>https://www.catalog.slsa.sa.gov.au/record=b2112581</v>
      </c>
      <c r="C2051" s="1" t="str">
        <f>HYPERLINK("https://www.catalog.slsa.sa.gov.au/xrecord=b2112581")</f>
        <v>https://www.catalog.slsa.sa.gov.au/xrecord=b2112581</v>
      </c>
      <c r="D2051" t="s">
        <v>66</v>
      </c>
      <c r="E2051" t="s">
        <v>7405</v>
      </c>
      <c r="F2051">
        <v>1956</v>
      </c>
      <c r="G2051" t="s">
        <v>121</v>
      </c>
      <c r="H2051" t="s">
        <v>7406</v>
      </c>
      <c r="I2051" t="s">
        <v>7407</v>
      </c>
      <c r="J2051" t="s">
        <v>71</v>
      </c>
      <c r="K2051" s="2" t="str">
        <f>HYPERLINK("http://collections.slsa.sa.gov.au/arthur/03000/BRG347_2851.htm")</f>
        <v>http://collections.slsa.sa.gov.au/arthur/03000/BRG347_2851.htm</v>
      </c>
    </row>
    <row r="2052" spans="1:11" x14ac:dyDescent="0.25">
      <c r="A2052" t="s">
        <v>7408</v>
      </c>
      <c r="B2052" s="1" t="str">
        <f>HYPERLINK("https://www.catalog.slsa.sa.gov.au/record=b2112583")</f>
        <v>https://www.catalog.slsa.sa.gov.au/record=b2112583</v>
      </c>
      <c r="C2052" s="1" t="str">
        <f>HYPERLINK("https://www.catalog.slsa.sa.gov.au/xrecord=b2112583")</f>
        <v>https://www.catalog.slsa.sa.gov.au/xrecord=b2112583</v>
      </c>
      <c r="D2052" t="s">
        <v>66</v>
      </c>
      <c r="E2052" t="s">
        <v>7409</v>
      </c>
      <c r="F2052">
        <v>1956</v>
      </c>
      <c r="G2052" t="s">
        <v>121</v>
      </c>
      <c r="H2052" t="s">
        <v>7410</v>
      </c>
      <c r="I2052" t="s">
        <v>7411</v>
      </c>
      <c r="J2052" t="s">
        <v>71</v>
      </c>
      <c r="K2052" s="2" t="str">
        <f>HYPERLINK("http://collections.slsa.sa.gov.au/arthur/03000/BRG347_2853.htm")</f>
        <v>http://collections.slsa.sa.gov.au/arthur/03000/BRG347_2853.htm</v>
      </c>
    </row>
    <row r="2053" spans="1:11" x14ac:dyDescent="0.25">
      <c r="A2053" t="s">
        <v>7412</v>
      </c>
      <c r="B2053" s="1" t="str">
        <f>HYPERLINK("https://www.catalog.slsa.sa.gov.au/record=b2112584")</f>
        <v>https://www.catalog.slsa.sa.gov.au/record=b2112584</v>
      </c>
      <c r="C2053" s="1" t="str">
        <f>HYPERLINK("https://www.catalog.slsa.sa.gov.au/xrecord=b2112584")</f>
        <v>https://www.catalog.slsa.sa.gov.au/xrecord=b2112584</v>
      </c>
      <c r="D2053" t="s">
        <v>66</v>
      </c>
      <c r="E2053" t="s">
        <v>7413</v>
      </c>
      <c r="F2053">
        <v>1956</v>
      </c>
      <c r="G2053" t="s">
        <v>121</v>
      </c>
      <c r="H2053" t="s">
        <v>7414</v>
      </c>
      <c r="I2053" t="s">
        <v>7415</v>
      </c>
      <c r="J2053" t="s">
        <v>71</v>
      </c>
      <c r="K2053" s="2" t="str">
        <f>HYPERLINK("http://collections.slsa.sa.gov.au/arthur/03000/BRG347_2854.htm")</f>
        <v>http://collections.slsa.sa.gov.au/arthur/03000/BRG347_2854.htm</v>
      </c>
    </row>
    <row r="2054" spans="1:11" x14ac:dyDescent="0.25">
      <c r="A2054" t="s">
        <v>7416</v>
      </c>
      <c r="B2054" s="1" t="str">
        <f>HYPERLINK("https://www.catalog.slsa.sa.gov.au/record=b2112586")</f>
        <v>https://www.catalog.slsa.sa.gov.au/record=b2112586</v>
      </c>
      <c r="C2054" s="1" t="str">
        <f>HYPERLINK("https://www.catalog.slsa.sa.gov.au/xrecord=b2112586")</f>
        <v>https://www.catalog.slsa.sa.gov.au/xrecord=b2112586</v>
      </c>
      <c r="D2054" t="s">
        <v>66</v>
      </c>
      <c r="E2054" t="s">
        <v>7417</v>
      </c>
      <c r="F2054">
        <v>1956</v>
      </c>
      <c r="G2054" t="s">
        <v>121</v>
      </c>
      <c r="H2054" t="s">
        <v>7418</v>
      </c>
      <c r="I2054" t="s">
        <v>7419</v>
      </c>
      <c r="J2054" t="s">
        <v>71</v>
      </c>
      <c r="K2054" s="2" t="str">
        <f>HYPERLINK("http://collections.slsa.sa.gov.au/arthur/03000/BRG347_2856.htm")</f>
        <v>http://collections.slsa.sa.gov.au/arthur/03000/BRG347_2856.htm</v>
      </c>
    </row>
    <row r="2055" spans="1:11" x14ac:dyDescent="0.25">
      <c r="A2055" t="s">
        <v>7420</v>
      </c>
      <c r="B2055" s="1" t="str">
        <f>HYPERLINK("https://www.catalog.slsa.sa.gov.au/record=b2112593")</f>
        <v>https://www.catalog.slsa.sa.gov.au/record=b2112593</v>
      </c>
      <c r="C2055" s="1" t="str">
        <f>HYPERLINK("https://www.catalog.slsa.sa.gov.au/xrecord=b2112593")</f>
        <v>https://www.catalog.slsa.sa.gov.au/xrecord=b2112593</v>
      </c>
      <c r="D2055" t="s">
        <v>66</v>
      </c>
      <c r="E2055" t="s">
        <v>7421</v>
      </c>
      <c r="F2055">
        <v>1956</v>
      </c>
      <c r="G2055" t="s">
        <v>121</v>
      </c>
      <c r="H2055" t="s">
        <v>7422</v>
      </c>
      <c r="I2055" t="s">
        <v>7423</v>
      </c>
      <c r="J2055" t="s">
        <v>71</v>
      </c>
      <c r="K2055" s="2" t="str">
        <f>HYPERLINK("http://collections.slsa.sa.gov.au/arthur/03000/BRG347_2864.htm")</f>
        <v>http://collections.slsa.sa.gov.au/arthur/03000/BRG347_2864.htm</v>
      </c>
    </row>
    <row r="2056" spans="1:11" x14ac:dyDescent="0.25">
      <c r="A2056" t="s">
        <v>7424</v>
      </c>
      <c r="B2056" s="1" t="str">
        <f>HYPERLINK("https://www.catalog.slsa.sa.gov.au/record=b2112595")</f>
        <v>https://www.catalog.slsa.sa.gov.au/record=b2112595</v>
      </c>
      <c r="C2056" s="1" t="str">
        <f>HYPERLINK("https://www.catalog.slsa.sa.gov.au/xrecord=b2112595")</f>
        <v>https://www.catalog.slsa.sa.gov.au/xrecord=b2112595</v>
      </c>
      <c r="D2056" t="s">
        <v>66</v>
      </c>
      <c r="E2056" t="s">
        <v>7392</v>
      </c>
      <c r="F2056">
        <v>1956</v>
      </c>
      <c r="G2056" t="s">
        <v>121</v>
      </c>
      <c r="H2056" t="s">
        <v>7425</v>
      </c>
      <c r="I2056" t="s">
        <v>7394</v>
      </c>
      <c r="J2056" t="s">
        <v>71</v>
      </c>
      <c r="K2056" s="2" t="str">
        <f>HYPERLINK("http://collections.slsa.sa.gov.au/arthur/03000/BRG347_2865.htm")</f>
        <v>http://collections.slsa.sa.gov.au/arthur/03000/BRG347_2865.htm</v>
      </c>
    </row>
    <row r="2057" spans="1:11" x14ac:dyDescent="0.25">
      <c r="A2057" t="s">
        <v>7426</v>
      </c>
      <c r="B2057" s="1" t="str">
        <f>HYPERLINK("https://www.catalog.slsa.sa.gov.au/record=b2112604")</f>
        <v>https://www.catalog.slsa.sa.gov.au/record=b2112604</v>
      </c>
      <c r="C2057" s="1" t="str">
        <f>HYPERLINK("https://www.catalog.slsa.sa.gov.au/xrecord=b2112604")</f>
        <v>https://www.catalog.slsa.sa.gov.au/xrecord=b2112604</v>
      </c>
      <c r="D2057" t="s">
        <v>66</v>
      </c>
      <c r="E2057" t="s">
        <v>7392</v>
      </c>
      <c r="F2057">
        <v>1956</v>
      </c>
      <c r="G2057" t="s">
        <v>121</v>
      </c>
      <c r="H2057" t="s">
        <v>7427</v>
      </c>
      <c r="I2057" t="s">
        <v>7394</v>
      </c>
      <c r="J2057" t="s">
        <v>71</v>
      </c>
      <c r="K2057" s="2" t="str">
        <f>HYPERLINK("http://collections.slsa.sa.gov.au/arthur/03000/BRG347_2874.htm")</f>
        <v>http://collections.slsa.sa.gov.au/arthur/03000/BRG347_2874.htm</v>
      </c>
    </row>
    <row r="2058" spans="1:11" x14ac:dyDescent="0.25">
      <c r="A2058" t="s">
        <v>7428</v>
      </c>
      <c r="B2058" s="1" t="str">
        <f>HYPERLINK("https://www.catalog.slsa.sa.gov.au/record=b2112606")</f>
        <v>https://www.catalog.slsa.sa.gov.au/record=b2112606</v>
      </c>
      <c r="C2058" s="1" t="str">
        <f>HYPERLINK("https://www.catalog.slsa.sa.gov.au/xrecord=b2112606")</f>
        <v>https://www.catalog.slsa.sa.gov.au/xrecord=b2112606</v>
      </c>
      <c r="D2058" t="s">
        <v>66</v>
      </c>
      <c r="E2058" t="s">
        <v>7429</v>
      </c>
      <c r="F2058">
        <v>1956</v>
      </c>
      <c r="G2058" t="s">
        <v>121</v>
      </c>
      <c r="H2058" t="s">
        <v>7430</v>
      </c>
      <c r="I2058" t="s">
        <v>7431</v>
      </c>
      <c r="J2058" t="s">
        <v>71</v>
      </c>
      <c r="K2058" s="2" t="str">
        <f>HYPERLINK("http://collections.slsa.sa.gov.au/arthur/03000/BRG347_2876.htm")</f>
        <v>http://collections.slsa.sa.gov.au/arthur/03000/BRG347_2876.htm</v>
      </c>
    </row>
    <row r="2059" spans="1:11" x14ac:dyDescent="0.25">
      <c r="A2059" t="s">
        <v>7432</v>
      </c>
      <c r="B2059" s="1" t="str">
        <f>HYPERLINK("https://www.catalog.slsa.sa.gov.au/record=b2112607")</f>
        <v>https://www.catalog.slsa.sa.gov.au/record=b2112607</v>
      </c>
      <c r="C2059" s="1" t="str">
        <f>HYPERLINK("https://www.catalog.slsa.sa.gov.au/xrecord=b2112607")</f>
        <v>https://www.catalog.slsa.sa.gov.au/xrecord=b2112607</v>
      </c>
      <c r="D2059" t="s">
        <v>66</v>
      </c>
      <c r="E2059" t="s">
        <v>7429</v>
      </c>
      <c r="F2059">
        <v>1956</v>
      </c>
      <c r="G2059" t="s">
        <v>121</v>
      </c>
      <c r="H2059" t="s">
        <v>7433</v>
      </c>
      <c r="I2059" t="s">
        <v>7431</v>
      </c>
      <c r="J2059" t="s">
        <v>71</v>
      </c>
      <c r="K2059" s="2" t="str">
        <f>HYPERLINK("http://collections.slsa.sa.gov.au/arthur/03000/BRG347_2877.htm")</f>
        <v>http://collections.slsa.sa.gov.au/arthur/03000/BRG347_2877.htm</v>
      </c>
    </row>
    <row r="2060" spans="1:11" x14ac:dyDescent="0.25">
      <c r="A2060" t="s">
        <v>7434</v>
      </c>
      <c r="B2060" s="1" t="str">
        <f>HYPERLINK("https://www.catalog.slsa.sa.gov.au/record=b2112608")</f>
        <v>https://www.catalog.slsa.sa.gov.au/record=b2112608</v>
      </c>
      <c r="C2060" s="1" t="str">
        <f>HYPERLINK("https://www.catalog.slsa.sa.gov.au/xrecord=b2112608")</f>
        <v>https://www.catalog.slsa.sa.gov.au/xrecord=b2112608</v>
      </c>
      <c r="D2060" t="s">
        <v>66</v>
      </c>
      <c r="E2060" t="s">
        <v>7435</v>
      </c>
      <c r="F2060">
        <v>1956</v>
      </c>
      <c r="G2060" t="s">
        <v>121</v>
      </c>
      <c r="H2060" t="s">
        <v>7436</v>
      </c>
      <c r="I2060" t="s">
        <v>6587</v>
      </c>
      <c r="J2060" t="s">
        <v>71</v>
      </c>
      <c r="K2060" s="2" t="str">
        <f>HYPERLINK("http://collections.slsa.sa.gov.au/arthur/03000/BRG347_2878.htm")</f>
        <v>http://collections.slsa.sa.gov.au/arthur/03000/BRG347_2878.htm</v>
      </c>
    </row>
    <row r="2061" spans="1:11" x14ac:dyDescent="0.25">
      <c r="A2061" t="s">
        <v>7437</v>
      </c>
      <c r="B2061" s="1" t="str">
        <f>HYPERLINK("https://www.catalog.slsa.sa.gov.au/record=b2112609")</f>
        <v>https://www.catalog.slsa.sa.gov.au/record=b2112609</v>
      </c>
      <c r="C2061" s="1" t="str">
        <f>HYPERLINK("https://www.catalog.slsa.sa.gov.au/xrecord=b2112609")</f>
        <v>https://www.catalog.slsa.sa.gov.au/xrecord=b2112609</v>
      </c>
      <c r="D2061" t="s">
        <v>66</v>
      </c>
      <c r="E2061" t="s">
        <v>7438</v>
      </c>
      <c r="F2061">
        <v>1956</v>
      </c>
      <c r="G2061" t="s">
        <v>121</v>
      </c>
      <c r="H2061" t="s">
        <v>7439</v>
      </c>
      <c r="I2061" t="s">
        <v>6587</v>
      </c>
      <c r="J2061" t="s">
        <v>71</v>
      </c>
      <c r="K2061" s="2" t="str">
        <f>HYPERLINK("http://collections.slsa.sa.gov.au/arthur/03000/BRG347_2879.htm")</f>
        <v>http://collections.slsa.sa.gov.au/arthur/03000/BRG347_2879.htm</v>
      </c>
    </row>
    <row r="2062" spans="1:11" x14ac:dyDescent="0.25">
      <c r="A2062" t="s">
        <v>7440</v>
      </c>
      <c r="B2062" s="1" t="str">
        <f>HYPERLINK("https://www.catalog.slsa.sa.gov.au/record=b2112610")</f>
        <v>https://www.catalog.slsa.sa.gov.au/record=b2112610</v>
      </c>
      <c r="C2062" s="1" t="str">
        <f>HYPERLINK("https://www.catalog.slsa.sa.gov.au/xrecord=b2112610")</f>
        <v>https://www.catalog.slsa.sa.gov.au/xrecord=b2112610</v>
      </c>
      <c r="D2062" t="s">
        <v>66</v>
      </c>
      <c r="E2062" t="s">
        <v>7441</v>
      </c>
      <c r="F2062">
        <v>1956</v>
      </c>
      <c r="G2062" t="s">
        <v>121</v>
      </c>
      <c r="H2062" t="s">
        <v>7442</v>
      </c>
      <c r="I2062" t="s">
        <v>7443</v>
      </c>
      <c r="J2062" t="s">
        <v>71</v>
      </c>
      <c r="K2062" s="2" t="str">
        <f>HYPERLINK("http://collections.slsa.sa.gov.au/arthur/03000/BRG347_2880.htm")</f>
        <v>http://collections.slsa.sa.gov.au/arthur/03000/BRG347_2880.htm</v>
      </c>
    </row>
    <row r="2063" spans="1:11" x14ac:dyDescent="0.25">
      <c r="A2063" t="s">
        <v>7444</v>
      </c>
      <c r="B2063" s="1" t="str">
        <f>HYPERLINK("https://www.catalog.slsa.sa.gov.au/record=b2112611")</f>
        <v>https://www.catalog.slsa.sa.gov.au/record=b2112611</v>
      </c>
      <c r="C2063" s="1" t="str">
        <f>HYPERLINK("https://www.catalog.slsa.sa.gov.au/xrecord=b2112611")</f>
        <v>https://www.catalog.slsa.sa.gov.au/xrecord=b2112611</v>
      </c>
      <c r="D2063" t="s">
        <v>66</v>
      </c>
      <c r="E2063" t="s">
        <v>7445</v>
      </c>
      <c r="F2063">
        <v>1956</v>
      </c>
      <c r="G2063" t="s">
        <v>121</v>
      </c>
      <c r="H2063" t="s">
        <v>7446</v>
      </c>
      <c r="I2063" t="s">
        <v>7447</v>
      </c>
      <c r="J2063" t="s">
        <v>71</v>
      </c>
      <c r="K2063" s="2" t="str">
        <f>HYPERLINK("http://collections.slsa.sa.gov.au/arthur/03000/BRG347_2881.htm")</f>
        <v>http://collections.slsa.sa.gov.au/arthur/03000/BRG347_2881.htm</v>
      </c>
    </row>
    <row r="2064" spans="1:11" x14ac:dyDescent="0.25">
      <c r="A2064" t="s">
        <v>7448</v>
      </c>
      <c r="B2064" s="1" t="str">
        <f>HYPERLINK("https://www.catalog.slsa.sa.gov.au/record=b2112612")</f>
        <v>https://www.catalog.slsa.sa.gov.au/record=b2112612</v>
      </c>
      <c r="C2064" s="1" t="str">
        <f>HYPERLINK("https://www.catalog.slsa.sa.gov.au/xrecord=b2112612")</f>
        <v>https://www.catalog.slsa.sa.gov.au/xrecord=b2112612</v>
      </c>
      <c r="D2064" t="s">
        <v>66</v>
      </c>
      <c r="E2064" t="s">
        <v>7449</v>
      </c>
      <c r="F2064">
        <v>1956</v>
      </c>
      <c r="G2064" t="s">
        <v>121</v>
      </c>
      <c r="H2064" t="s">
        <v>7450</v>
      </c>
      <c r="I2064" t="s">
        <v>7451</v>
      </c>
      <c r="J2064" t="s">
        <v>71</v>
      </c>
      <c r="K2064" s="2" t="str">
        <f>HYPERLINK("http://collections.slsa.sa.gov.au/arthur/03000/BRG347_2882.htm")</f>
        <v>http://collections.slsa.sa.gov.au/arthur/03000/BRG347_2882.htm</v>
      </c>
    </row>
    <row r="2065" spans="1:11" x14ac:dyDescent="0.25">
      <c r="A2065" t="s">
        <v>7452</v>
      </c>
      <c r="B2065" s="1" t="str">
        <f>HYPERLINK("https://www.catalog.slsa.sa.gov.au/record=b2112613")</f>
        <v>https://www.catalog.slsa.sa.gov.au/record=b2112613</v>
      </c>
      <c r="C2065" s="1" t="str">
        <f>HYPERLINK("https://www.catalog.slsa.sa.gov.au/xrecord=b2112613")</f>
        <v>https://www.catalog.slsa.sa.gov.au/xrecord=b2112613</v>
      </c>
      <c r="D2065" t="s">
        <v>66</v>
      </c>
      <c r="E2065" t="s">
        <v>6527</v>
      </c>
      <c r="F2065">
        <v>1956</v>
      </c>
      <c r="G2065" t="s">
        <v>121</v>
      </c>
      <c r="H2065" t="s">
        <v>7453</v>
      </c>
      <c r="I2065" t="s">
        <v>7454</v>
      </c>
      <c r="J2065" t="s">
        <v>71</v>
      </c>
      <c r="K2065" s="2" t="str">
        <f>HYPERLINK("http://collections.slsa.sa.gov.au/arthur/03000/BRG347_2883.htm")</f>
        <v>http://collections.slsa.sa.gov.au/arthur/03000/BRG347_2883.htm</v>
      </c>
    </row>
    <row r="2066" spans="1:11" x14ac:dyDescent="0.25">
      <c r="A2066" t="s">
        <v>7455</v>
      </c>
      <c r="B2066" s="1" t="str">
        <f>HYPERLINK("https://www.catalog.slsa.sa.gov.au/record=b2112864")</f>
        <v>https://www.catalog.slsa.sa.gov.au/record=b2112864</v>
      </c>
      <c r="C2066" s="1" t="str">
        <f>HYPERLINK("https://www.catalog.slsa.sa.gov.au/xrecord=b2112864")</f>
        <v>https://www.catalog.slsa.sa.gov.au/xrecord=b2112864</v>
      </c>
      <c r="D2066" t="s">
        <v>66</v>
      </c>
      <c r="E2066" t="s">
        <v>7456</v>
      </c>
      <c r="F2066">
        <v>1956</v>
      </c>
      <c r="G2066" t="s">
        <v>121</v>
      </c>
      <c r="H2066" t="s">
        <v>7457</v>
      </c>
      <c r="I2066" t="s">
        <v>7458</v>
      </c>
      <c r="J2066" t="s">
        <v>71</v>
      </c>
      <c r="K2066" s="2" t="str">
        <f>HYPERLINK("http://collections.slsa.sa.gov.au/arthur/03250/BRG347_3101.htm")</f>
        <v>http://collections.slsa.sa.gov.au/arthur/03250/BRG347_3101.htm</v>
      </c>
    </row>
    <row r="2067" spans="1:11" x14ac:dyDescent="0.25">
      <c r="A2067" t="s">
        <v>7459</v>
      </c>
      <c r="B2067" s="1" t="str">
        <f>HYPERLINK("https://www.catalog.slsa.sa.gov.au/record=b2112865")</f>
        <v>https://www.catalog.slsa.sa.gov.au/record=b2112865</v>
      </c>
      <c r="C2067" s="1" t="str">
        <f>HYPERLINK("https://www.catalog.slsa.sa.gov.au/xrecord=b2112865")</f>
        <v>https://www.catalog.slsa.sa.gov.au/xrecord=b2112865</v>
      </c>
      <c r="D2067" t="s">
        <v>66</v>
      </c>
      <c r="E2067" t="s">
        <v>7460</v>
      </c>
      <c r="F2067">
        <v>1956</v>
      </c>
      <c r="G2067" t="s">
        <v>121</v>
      </c>
      <c r="H2067" t="s">
        <v>7461</v>
      </c>
      <c r="I2067" t="s">
        <v>7462</v>
      </c>
      <c r="J2067" t="s">
        <v>71</v>
      </c>
      <c r="K2067" s="2" t="str">
        <f>HYPERLINK("http://collections.slsa.sa.gov.au/arthur/03250/BRG347_3102.htm")</f>
        <v>http://collections.slsa.sa.gov.au/arthur/03250/BRG347_3102.htm</v>
      </c>
    </row>
    <row r="2068" spans="1:11" x14ac:dyDescent="0.25">
      <c r="A2068" t="s">
        <v>7463</v>
      </c>
      <c r="B2068" s="1" t="str">
        <f>HYPERLINK("https://www.catalog.slsa.sa.gov.au/record=b2112866")</f>
        <v>https://www.catalog.slsa.sa.gov.au/record=b2112866</v>
      </c>
      <c r="C2068" s="1" t="str">
        <f>HYPERLINK("https://www.catalog.slsa.sa.gov.au/xrecord=b2112866")</f>
        <v>https://www.catalog.slsa.sa.gov.au/xrecord=b2112866</v>
      </c>
      <c r="D2068" t="s">
        <v>66</v>
      </c>
      <c r="E2068" t="s">
        <v>7464</v>
      </c>
      <c r="F2068">
        <v>1956</v>
      </c>
      <c r="G2068" t="s">
        <v>121</v>
      </c>
      <c r="H2068" t="s">
        <v>7465</v>
      </c>
      <c r="I2068" t="s">
        <v>7466</v>
      </c>
      <c r="J2068" t="s">
        <v>71</v>
      </c>
      <c r="K2068" s="2" t="str">
        <f>HYPERLINK("http://collections.slsa.sa.gov.au/arthur/03250/BRG347_3103.htm")</f>
        <v>http://collections.slsa.sa.gov.au/arthur/03250/BRG347_3103.htm</v>
      </c>
    </row>
    <row r="2069" spans="1:11" x14ac:dyDescent="0.25">
      <c r="A2069" t="s">
        <v>7467</v>
      </c>
      <c r="B2069" s="1" t="str">
        <f>HYPERLINK("https://www.catalog.slsa.sa.gov.au/record=b2112867")</f>
        <v>https://www.catalog.slsa.sa.gov.au/record=b2112867</v>
      </c>
      <c r="C2069" s="1" t="str">
        <f>HYPERLINK("https://www.catalog.slsa.sa.gov.au/xrecord=b2112867")</f>
        <v>https://www.catalog.slsa.sa.gov.au/xrecord=b2112867</v>
      </c>
      <c r="D2069" t="s">
        <v>66</v>
      </c>
      <c r="E2069" t="s">
        <v>7468</v>
      </c>
      <c r="F2069">
        <v>1956</v>
      </c>
      <c r="G2069" t="s">
        <v>121</v>
      </c>
      <c r="H2069" t="s">
        <v>7469</v>
      </c>
      <c r="I2069" t="s">
        <v>7470</v>
      </c>
      <c r="J2069" t="s">
        <v>71</v>
      </c>
      <c r="K2069" s="2" t="str">
        <f>HYPERLINK("http://collections.slsa.sa.gov.au/arthur/03250/BRG347_3104.htm")</f>
        <v>http://collections.slsa.sa.gov.au/arthur/03250/BRG347_3104.htm</v>
      </c>
    </row>
    <row r="2070" spans="1:11" x14ac:dyDescent="0.25">
      <c r="A2070" t="s">
        <v>7471</v>
      </c>
      <c r="B2070" s="1" t="str">
        <f>HYPERLINK("https://www.catalog.slsa.sa.gov.au/record=b2112868")</f>
        <v>https://www.catalog.slsa.sa.gov.au/record=b2112868</v>
      </c>
      <c r="C2070" s="1" t="str">
        <f>HYPERLINK("https://www.catalog.slsa.sa.gov.au/xrecord=b2112868")</f>
        <v>https://www.catalog.slsa.sa.gov.au/xrecord=b2112868</v>
      </c>
      <c r="D2070" t="s">
        <v>66</v>
      </c>
      <c r="E2070" t="s">
        <v>7472</v>
      </c>
      <c r="F2070">
        <v>1956</v>
      </c>
      <c r="G2070" t="s">
        <v>121</v>
      </c>
      <c r="H2070" t="s">
        <v>7473</v>
      </c>
      <c r="I2070" t="s">
        <v>7474</v>
      </c>
      <c r="J2070" t="s">
        <v>71</v>
      </c>
      <c r="K2070" s="2" t="str">
        <f>HYPERLINK("http://collections.slsa.sa.gov.au/arthur/03250/BRG347_3105.htm")</f>
        <v>http://collections.slsa.sa.gov.au/arthur/03250/BRG347_3105.htm</v>
      </c>
    </row>
    <row r="2071" spans="1:11" x14ac:dyDescent="0.25">
      <c r="A2071" t="s">
        <v>7475</v>
      </c>
      <c r="B2071" s="1" t="str">
        <f>HYPERLINK("https://www.catalog.slsa.sa.gov.au/record=b2112869")</f>
        <v>https://www.catalog.slsa.sa.gov.au/record=b2112869</v>
      </c>
      <c r="C2071" s="1" t="str">
        <f>HYPERLINK("https://www.catalog.slsa.sa.gov.au/xrecord=b2112869")</f>
        <v>https://www.catalog.slsa.sa.gov.au/xrecord=b2112869</v>
      </c>
      <c r="D2071" t="s">
        <v>66</v>
      </c>
      <c r="E2071" t="s">
        <v>7476</v>
      </c>
      <c r="F2071">
        <v>1956</v>
      </c>
      <c r="G2071" t="s">
        <v>121</v>
      </c>
      <c r="H2071" t="s">
        <v>7477</v>
      </c>
      <c r="I2071" t="s">
        <v>7478</v>
      </c>
      <c r="J2071" t="s">
        <v>71</v>
      </c>
      <c r="K2071" s="2" t="str">
        <f>HYPERLINK("http://collections.slsa.sa.gov.au/arthur/03250/BRG347_3106.htm")</f>
        <v>http://collections.slsa.sa.gov.au/arthur/03250/BRG347_3106.htm</v>
      </c>
    </row>
    <row r="2072" spans="1:11" x14ac:dyDescent="0.25">
      <c r="A2072" t="s">
        <v>7479</v>
      </c>
      <c r="B2072" s="1" t="str">
        <f>HYPERLINK("https://www.catalog.slsa.sa.gov.au/record=b2112870")</f>
        <v>https://www.catalog.slsa.sa.gov.au/record=b2112870</v>
      </c>
      <c r="C2072" s="1" t="str">
        <f>HYPERLINK("https://www.catalog.slsa.sa.gov.au/xrecord=b2112870")</f>
        <v>https://www.catalog.slsa.sa.gov.au/xrecord=b2112870</v>
      </c>
      <c r="D2072" t="s">
        <v>66</v>
      </c>
      <c r="E2072" t="s">
        <v>7480</v>
      </c>
      <c r="F2072">
        <v>1956</v>
      </c>
      <c r="G2072" t="s">
        <v>121</v>
      </c>
      <c r="H2072" t="s">
        <v>7481</v>
      </c>
      <c r="I2072" t="s">
        <v>7482</v>
      </c>
      <c r="J2072" t="s">
        <v>71</v>
      </c>
      <c r="K2072" s="2" t="str">
        <f>HYPERLINK("http://collections.slsa.sa.gov.au/arthur/03250/BRG347_3107.htm")</f>
        <v>http://collections.slsa.sa.gov.au/arthur/03250/BRG347_3107.htm</v>
      </c>
    </row>
    <row r="2073" spans="1:11" x14ac:dyDescent="0.25">
      <c r="A2073" t="s">
        <v>7483</v>
      </c>
      <c r="B2073" s="1" t="str">
        <f>HYPERLINK("https://www.catalog.slsa.sa.gov.au/record=b2112874")</f>
        <v>https://www.catalog.slsa.sa.gov.au/record=b2112874</v>
      </c>
      <c r="C2073" s="1" t="str">
        <f>HYPERLINK("https://www.catalog.slsa.sa.gov.au/xrecord=b2112874")</f>
        <v>https://www.catalog.slsa.sa.gov.au/xrecord=b2112874</v>
      </c>
      <c r="D2073" t="s">
        <v>66</v>
      </c>
      <c r="E2073" t="s">
        <v>7484</v>
      </c>
      <c r="F2073">
        <v>1956</v>
      </c>
      <c r="G2073" t="s">
        <v>121</v>
      </c>
      <c r="H2073" t="s">
        <v>7485</v>
      </c>
      <c r="I2073" t="s">
        <v>7486</v>
      </c>
      <c r="J2073" t="s">
        <v>71</v>
      </c>
      <c r="K2073" s="2" t="str">
        <f>HYPERLINK("http://collections.slsa.sa.gov.au/arthur/03250/BRG347_3111.htm")</f>
        <v>http://collections.slsa.sa.gov.au/arthur/03250/BRG347_3111.htm</v>
      </c>
    </row>
    <row r="2074" spans="1:11" x14ac:dyDescent="0.25">
      <c r="A2074" t="s">
        <v>7487</v>
      </c>
      <c r="B2074" s="1" t="str">
        <f>HYPERLINK("https://www.catalog.slsa.sa.gov.au/record=b2112875")</f>
        <v>https://www.catalog.slsa.sa.gov.au/record=b2112875</v>
      </c>
      <c r="C2074" s="1" t="str">
        <f>HYPERLINK("https://www.catalog.slsa.sa.gov.au/xrecord=b2112875")</f>
        <v>https://www.catalog.slsa.sa.gov.au/xrecord=b2112875</v>
      </c>
      <c r="D2074" t="s">
        <v>66</v>
      </c>
      <c r="E2074" t="s">
        <v>165</v>
      </c>
      <c r="F2074">
        <v>1956</v>
      </c>
      <c r="G2074" t="s">
        <v>121</v>
      </c>
      <c r="H2074" t="s">
        <v>7488</v>
      </c>
      <c r="I2074" t="s">
        <v>7489</v>
      </c>
      <c r="J2074" t="s">
        <v>71</v>
      </c>
      <c r="K2074" s="2" t="str">
        <f>HYPERLINK("http://collections.slsa.sa.gov.au/arthur/03250/BRG347_3112.htm")</f>
        <v>http://collections.slsa.sa.gov.au/arthur/03250/BRG347_3112.htm</v>
      </c>
    </row>
    <row r="2075" spans="1:11" x14ac:dyDescent="0.25">
      <c r="A2075" t="s">
        <v>7490</v>
      </c>
      <c r="B2075" s="1" t="str">
        <f>HYPERLINK("https://www.catalog.slsa.sa.gov.au/record=b2114098")</f>
        <v>https://www.catalog.slsa.sa.gov.au/record=b2114098</v>
      </c>
      <c r="C2075" s="1" t="str">
        <f>HYPERLINK("https://www.catalog.slsa.sa.gov.au/xrecord=b2114098")</f>
        <v>https://www.catalog.slsa.sa.gov.au/xrecord=b2114098</v>
      </c>
      <c r="D2075" t="s">
        <v>66</v>
      </c>
      <c r="E2075" t="s">
        <v>7491</v>
      </c>
      <c r="F2075">
        <v>1956</v>
      </c>
      <c r="G2075" t="s">
        <v>121</v>
      </c>
      <c r="H2075" t="s">
        <v>7492</v>
      </c>
      <c r="I2075" t="s">
        <v>7493</v>
      </c>
      <c r="J2075" t="s">
        <v>71</v>
      </c>
      <c r="K2075" s="2" t="str">
        <f>HYPERLINK("http://collections.slsa.sa.gov.au/arthur/04000/BRG347_3933.htm")</f>
        <v>http://collections.slsa.sa.gov.au/arthur/04000/BRG347_3933.htm</v>
      </c>
    </row>
    <row r="2076" spans="1:11" x14ac:dyDescent="0.25">
      <c r="A2076" t="s">
        <v>7494</v>
      </c>
      <c r="B2076" s="1" t="str">
        <f>HYPERLINK("https://www.catalog.slsa.sa.gov.au/record=b2117928")</f>
        <v>https://www.catalog.slsa.sa.gov.au/record=b2117928</v>
      </c>
      <c r="C2076" s="1" t="str">
        <f>HYPERLINK("https://www.catalog.slsa.sa.gov.au/xrecord=b2117928")</f>
        <v>https://www.catalog.slsa.sa.gov.au/xrecord=b2117928</v>
      </c>
      <c r="D2076" t="s">
        <v>66</v>
      </c>
      <c r="E2076" t="s">
        <v>7495</v>
      </c>
      <c r="F2076">
        <v>1956</v>
      </c>
      <c r="G2076" t="s">
        <v>121</v>
      </c>
      <c r="H2076" t="s">
        <v>7496</v>
      </c>
      <c r="I2076" t="s">
        <v>1500</v>
      </c>
      <c r="J2076" t="s">
        <v>71</v>
      </c>
      <c r="K2076" s="2" t="str">
        <f>HYPERLINK("http://collections.slsa.sa.gov.au/arthur/06500/BRG347_6330.htm")</f>
        <v>http://collections.slsa.sa.gov.au/arthur/06500/BRG347_6330.htm</v>
      </c>
    </row>
    <row r="2077" spans="1:11" x14ac:dyDescent="0.25">
      <c r="A2077" t="s">
        <v>7497</v>
      </c>
      <c r="B2077" s="1" t="str">
        <f>HYPERLINK("https://www.catalog.slsa.sa.gov.au/record=b2123815")</f>
        <v>https://www.catalog.slsa.sa.gov.au/record=b2123815</v>
      </c>
      <c r="C2077" s="1" t="str">
        <f>HYPERLINK("https://www.catalog.slsa.sa.gov.au/xrecord=b2123815")</f>
        <v>https://www.catalog.slsa.sa.gov.au/xrecord=b2123815</v>
      </c>
      <c r="D2077" t="s">
        <v>66</v>
      </c>
      <c r="E2077" t="s">
        <v>7495</v>
      </c>
      <c r="F2077">
        <v>1956</v>
      </c>
      <c r="G2077" t="s">
        <v>121</v>
      </c>
      <c r="H2077" t="s">
        <v>7498</v>
      </c>
      <c r="I2077" t="s">
        <v>1500</v>
      </c>
      <c r="J2077" t="s">
        <v>71</v>
      </c>
      <c r="K2077" s="2" t="str">
        <f>HYPERLINK("http://collections.slsa.sa.gov.au/arthur/06500/BRG347_6331.htm")</f>
        <v>http://collections.slsa.sa.gov.au/arthur/06500/BRG347_6331.htm</v>
      </c>
    </row>
    <row r="2078" spans="1:11" x14ac:dyDescent="0.25">
      <c r="A2078" t="s">
        <v>7499</v>
      </c>
      <c r="B2078" s="1" t="str">
        <f>HYPERLINK("https://www.catalog.slsa.sa.gov.au/record=b2118353")</f>
        <v>https://www.catalog.slsa.sa.gov.au/record=b2118353</v>
      </c>
      <c r="C2078" s="1" t="str">
        <f>HYPERLINK("https://www.catalog.slsa.sa.gov.au/xrecord=b2118353")</f>
        <v>https://www.catalog.slsa.sa.gov.au/xrecord=b2118353</v>
      </c>
      <c r="D2078" t="s">
        <v>66</v>
      </c>
      <c r="E2078" t="s">
        <v>7500</v>
      </c>
      <c r="F2078">
        <v>1956</v>
      </c>
      <c r="G2078" t="s">
        <v>121</v>
      </c>
      <c r="H2078" t="s">
        <v>7501</v>
      </c>
      <c r="I2078" t="s">
        <v>7502</v>
      </c>
      <c r="J2078" t="s">
        <v>71</v>
      </c>
      <c r="K2078" s="2" t="str">
        <f>HYPERLINK("http://collections.slsa.sa.gov.au/arthur/06500/BRG347_6449.htm")</f>
        <v>http://collections.slsa.sa.gov.au/arthur/06500/BRG347_6449.htm</v>
      </c>
    </row>
    <row r="2079" spans="1:11" x14ac:dyDescent="0.25">
      <c r="A2079" t="s">
        <v>7503</v>
      </c>
      <c r="B2079" s="1" t="str">
        <f>HYPERLINK("https://www.catalog.slsa.sa.gov.au/record=b2118354")</f>
        <v>https://www.catalog.slsa.sa.gov.au/record=b2118354</v>
      </c>
      <c r="C2079" s="1" t="str">
        <f>HYPERLINK("https://www.catalog.slsa.sa.gov.au/xrecord=b2118354")</f>
        <v>https://www.catalog.slsa.sa.gov.au/xrecord=b2118354</v>
      </c>
      <c r="D2079" t="s">
        <v>66</v>
      </c>
      <c r="E2079" t="s">
        <v>7504</v>
      </c>
      <c r="F2079">
        <v>1956</v>
      </c>
      <c r="G2079" t="s">
        <v>121</v>
      </c>
      <c r="H2079" t="s">
        <v>7505</v>
      </c>
      <c r="I2079" t="s">
        <v>7506</v>
      </c>
      <c r="J2079" t="s">
        <v>71</v>
      </c>
      <c r="K2079" s="2" t="str">
        <f>HYPERLINK("http://collections.slsa.sa.gov.au/arthur/06500/BRG347_6450.htm")</f>
        <v>http://collections.slsa.sa.gov.au/arthur/06500/BRG347_6450.htm</v>
      </c>
    </row>
    <row r="2080" spans="1:11" x14ac:dyDescent="0.25">
      <c r="A2080" t="s">
        <v>7507</v>
      </c>
      <c r="B2080" s="1" t="str">
        <f>HYPERLINK("https://www.catalog.slsa.sa.gov.au/record=b2118355")</f>
        <v>https://www.catalog.slsa.sa.gov.au/record=b2118355</v>
      </c>
      <c r="C2080" s="1" t="str">
        <f>HYPERLINK("https://www.catalog.slsa.sa.gov.au/xrecord=b2118355")</f>
        <v>https://www.catalog.slsa.sa.gov.au/xrecord=b2118355</v>
      </c>
      <c r="D2080" t="s">
        <v>66</v>
      </c>
      <c r="E2080" t="s">
        <v>7500</v>
      </c>
      <c r="F2080">
        <v>1956</v>
      </c>
      <c r="G2080" t="s">
        <v>121</v>
      </c>
      <c r="H2080" t="s">
        <v>7508</v>
      </c>
      <c r="I2080" t="s">
        <v>7502</v>
      </c>
      <c r="J2080" t="s">
        <v>71</v>
      </c>
      <c r="K2080" s="2" t="str">
        <f>HYPERLINK("http://collections.slsa.sa.gov.au/arthur/06500/BRG347_6451.htm")</f>
        <v>http://collections.slsa.sa.gov.au/arthur/06500/BRG347_6451.htm</v>
      </c>
    </row>
    <row r="2081" spans="1:11" x14ac:dyDescent="0.25">
      <c r="A2081" t="s">
        <v>7509</v>
      </c>
      <c r="B2081" s="1" t="str">
        <f>HYPERLINK("https://www.catalog.slsa.sa.gov.au/record=b2118360")</f>
        <v>https://www.catalog.slsa.sa.gov.au/record=b2118360</v>
      </c>
      <c r="C2081" s="1" t="str">
        <f>HYPERLINK("https://www.catalog.slsa.sa.gov.au/xrecord=b2118360")</f>
        <v>https://www.catalog.slsa.sa.gov.au/xrecord=b2118360</v>
      </c>
      <c r="D2081" t="s">
        <v>66</v>
      </c>
      <c r="E2081" t="s">
        <v>7510</v>
      </c>
      <c r="F2081">
        <v>1956</v>
      </c>
      <c r="G2081" t="s">
        <v>121</v>
      </c>
      <c r="H2081" t="s">
        <v>7511</v>
      </c>
      <c r="I2081" t="s">
        <v>7512</v>
      </c>
      <c r="J2081" t="s">
        <v>71</v>
      </c>
      <c r="K2081" s="2" t="str">
        <f>HYPERLINK("http://collections.slsa.sa.gov.au/arthur/06500/BRG347_6456.htm")</f>
        <v>http://collections.slsa.sa.gov.au/arthur/06500/BRG347_6456.htm</v>
      </c>
    </row>
    <row r="2082" spans="1:11" x14ac:dyDescent="0.25">
      <c r="A2082" t="s">
        <v>7513</v>
      </c>
      <c r="B2082" s="1" t="str">
        <f>HYPERLINK("https://www.catalog.slsa.sa.gov.au/record=b2118441")</f>
        <v>https://www.catalog.slsa.sa.gov.au/record=b2118441</v>
      </c>
      <c r="C2082" s="1" t="str">
        <f>HYPERLINK("https://www.catalog.slsa.sa.gov.au/xrecord=b2118441")</f>
        <v>https://www.catalog.slsa.sa.gov.au/xrecord=b2118441</v>
      </c>
      <c r="D2082" t="s">
        <v>66</v>
      </c>
      <c r="E2082" t="s">
        <v>7514</v>
      </c>
      <c r="F2082">
        <v>1956</v>
      </c>
      <c r="G2082" t="s">
        <v>121</v>
      </c>
      <c r="H2082" t="s">
        <v>7515</v>
      </c>
      <c r="I2082" t="s">
        <v>7516</v>
      </c>
      <c r="J2082" t="s">
        <v>71</v>
      </c>
      <c r="K2082" s="2" t="str">
        <f>HYPERLINK("http://collections.slsa.sa.gov.au/arthur/06750/BRG347_6531.htm")</f>
        <v>http://collections.slsa.sa.gov.au/arthur/06750/BRG347_6531.htm</v>
      </c>
    </row>
    <row r="2083" spans="1:11" x14ac:dyDescent="0.25">
      <c r="A2083" t="s">
        <v>7517</v>
      </c>
      <c r="B2083" s="1" t="str">
        <f>HYPERLINK("https://www.catalog.slsa.sa.gov.au/record=b2122738")</f>
        <v>https://www.catalog.slsa.sa.gov.au/record=b2122738</v>
      </c>
      <c r="C2083" s="1" t="str">
        <f>HYPERLINK("https://www.catalog.slsa.sa.gov.au/xrecord=b2122738")</f>
        <v>https://www.catalog.slsa.sa.gov.au/xrecord=b2122738</v>
      </c>
      <c r="D2083" t="s">
        <v>66</v>
      </c>
      <c r="E2083" t="s">
        <v>7001</v>
      </c>
      <c r="F2083">
        <v>1956</v>
      </c>
      <c r="G2083" t="s">
        <v>121</v>
      </c>
      <c r="H2083" t="s">
        <v>7518</v>
      </c>
      <c r="I2083" t="s">
        <v>7003</v>
      </c>
      <c r="J2083" t="s">
        <v>71</v>
      </c>
      <c r="K2083" s="2" t="str">
        <f>HYPERLINK("http://collections.slsa.sa.gov.au/arthur/06750/BRG347_6531A.htm")</f>
        <v>http://collections.slsa.sa.gov.au/arthur/06750/BRG347_6531A.htm</v>
      </c>
    </row>
    <row r="2084" spans="1:11" x14ac:dyDescent="0.25">
      <c r="A2084" t="s">
        <v>7519</v>
      </c>
      <c r="B2084" s="1" t="str">
        <f>HYPERLINK("https://www.catalog.slsa.sa.gov.au/record=b2118467")</f>
        <v>https://www.catalog.slsa.sa.gov.au/record=b2118467</v>
      </c>
      <c r="C2084" s="1" t="str">
        <f>HYPERLINK("https://www.catalog.slsa.sa.gov.au/xrecord=b2118467")</f>
        <v>https://www.catalog.slsa.sa.gov.au/xrecord=b2118467</v>
      </c>
      <c r="D2084" t="s">
        <v>66</v>
      </c>
      <c r="E2084" t="s">
        <v>7520</v>
      </c>
      <c r="F2084">
        <v>1956</v>
      </c>
      <c r="G2084" t="s">
        <v>121</v>
      </c>
      <c r="H2084" t="s">
        <v>7521</v>
      </c>
      <c r="I2084" t="s">
        <v>7522</v>
      </c>
      <c r="J2084" t="s">
        <v>71</v>
      </c>
      <c r="K2084" s="2" t="str">
        <f>HYPERLINK("http://collections.slsa.sa.gov.au/arthur/06750/BRG347_6548.htm")</f>
        <v>http://collections.slsa.sa.gov.au/arthur/06750/BRG347_6548.htm</v>
      </c>
    </row>
    <row r="2085" spans="1:11" x14ac:dyDescent="0.25">
      <c r="A2085" t="s">
        <v>7523</v>
      </c>
      <c r="B2085" s="1" t="str">
        <f>HYPERLINK("https://www.catalog.slsa.sa.gov.au/record=b2118468")</f>
        <v>https://www.catalog.slsa.sa.gov.au/record=b2118468</v>
      </c>
      <c r="C2085" s="1" t="str">
        <f>HYPERLINK("https://www.catalog.slsa.sa.gov.au/xrecord=b2118468")</f>
        <v>https://www.catalog.slsa.sa.gov.au/xrecord=b2118468</v>
      </c>
      <c r="D2085" t="s">
        <v>66</v>
      </c>
      <c r="E2085" t="s">
        <v>7524</v>
      </c>
      <c r="F2085">
        <v>1956</v>
      </c>
      <c r="G2085" t="s">
        <v>121</v>
      </c>
      <c r="H2085" t="s">
        <v>7525</v>
      </c>
      <c r="I2085" t="s">
        <v>6629</v>
      </c>
      <c r="J2085" t="s">
        <v>71</v>
      </c>
      <c r="K2085" s="2" t="str">
        <f>HYPERLINK("http://collections.slsa.sa.gov.au/arthur/06750/BRG347_6549.htm")</f>
        <v>http://collections.slsa.sa.gov.au/arthur/06750/BRG347_6549.htm</v>
      </c>
    </row>
    <row r="2086" spans="1:11" x14ac:dyDescent="0.25">
      <c r="A2086" t="s">
        <v>7526</v>
      </c>
      <c r="B2086" s="1" t="str">
        <f>HYPERLINK("https://www.catalog.slsa.sa.gov.au/record=b2118753")</f>
        <v>https://www.catalog.slsa.sa.gov.au/record=b2118753</v>
      </c>
      <c r="C2086" s="1" t="str">
        <f>HYPERLINK("https://www.catalog.slsa.sa.gov.au/xrecord=b2118753")</f>
        <v>https://www.catalog.slsa.sa.gov.au/xrecord=b2118753</v>
      </c>
      <c r="D2086" t="s">
        <v>66</v>
      </c>
      <c r="E2086" t="s">
        <v>7527</v>
      </c>
      <c r="F2086">
        <v>1956</v>
      </c>
      <c r="G2086" t="s">
        <v>121</v>
      </c>
      <c r="H2086" t="s">
        <v>7528</v>
      </c>
      <c r="I2086" t="s">
        <v>7529</v>
      </c>
      <c r="J2086" t="s">
        <v>71</v>
      </c>
      <c r="K2086" s="2" t="str">
        <f>HYPERLINK("http://collections.slsa.sa.gov.au/arthur/06750/BRG347_6711.htm")</f>
        <v>http://collections.slsa.sa.gov.au/arthur/06750/BRG347_6711.htm</v>
      </c>
    </row>
    <row r="2087" spans="1:11" x14ac:dyDescent="0.25">
      <c r="A2087" t="s">
        <v>7530</v>
      </c>
      <c r="B2087" s="1" t="str">
        <f>HYPERLINK("https://www.catalog.slsa.sa.gov.au/record=b2118769")</f>
        <v>https://www.catalog.slsa.sa.gov.au/record=b2118769</v>
      </c>
      <c r="C2087" s="1" t="str">
        <f>HYPERLINK("https://www.catalog.slsa.sa.gov.au/xrecord=b2118769")</f>
        <v>https://www.catalog.slsa.sa.gov.au/xrecord=b2118769</v>
      </c>
      <c r="D2087" t="s">
        <v>66</v>
      </c>
      <c r="E2087" t="s">
        <v>7531</v>
      </c>
      <c r="F2087">
        <v>1956</v>
      </c>
      <c r="G2087" t="s">
        <v>121</v>
      </c>
      <c r="H2087" t="s">
        <v>7532</v>
      </c>
      <c r="I2087" t="s">
        <v>5745</v>
      </c>
      <c r="J2087" t="s">
        <v>71</v>
      </c>
      <c r="K2087" s="2" t="str">
        <f>HYPERLINK("http://collections.slsa.sa.gov.au/arthur/06750/BRG347_6727.htm")</f>
        <v>http://collections.slsa.sa.gov.au/arthur/06750/BRG347_6727.htm</v>
      </c>
    </row>
    <row r="2088" spans="1:11" x14ac:dyDescent="0.25">
      <c r="A2088" t="s">
        <v>7533</v>
      </c>
      <c r="B2088" s="1" t="str">
        <f>HYPERLINK("https://www.catalog.slsa.sa.gov.au/record=b2119264")</f>
        <v>https://www.catalog.slsa.sa.gov.au/record=b2119264</v>
      </c>
      <c r="C2088" s="1" t="str">
        <f>HYPERLINK("https://www.catalog.slsa.sa.gov.au/xrecord=b2119264")</f>
        <v>https://www.catalog.slsa.sa.gov.au/xrecord=b2119264</v>
      </c>
      <c r="D2088" t="s">
        <v>66</v>
      </c>
      <c r="E2088" t="s">
        <v>7534</v>
      </c>
      <c r="F2088">
        <v>1956</v>
      </c>
      <c r="G2088" t="s">
        <v>121</v>
      </c>
      <c r="H2088" t="s">
        <v>7535</v>
      </c>
      <c r="I2088" t="s">
        <v>7536</v>
      </c>
      <c r="J2088" t="s">
        <v>71</v>
      </c>
      <c r="K2088" s="2" t="str">
        <f>HYPERLINK("http://collections.slsa.sa.gov.au/arthur/07000/BRG347_6815.htm")</f>
        <v>http://collections.slsa.sa.gov.au/arthur/07000/BRG347_6815.htm</v>
      </c>
    </row>
    <row r="2089" spans="1:11" x14ac:dyDescent="0.25">
      <c r="A2089" t="s">
        <v>7537</v>
      </c>
      <c r="B2089" s="1" t="str">
        <f>HYPERLINK("https://www.catalog.slsa.sa.gov.au/record=b2119265")</f>
        <v>https://www.catalog.slsa.sa.gov.au/record=b2119265</v>
      </c>
      <c r="C2089" s="1" t="str">
        <f>HYPERLINK("https://www.catalog.slsa.sa.gov.au/xrecord=b2119265")</f>
        <v>https://www.catalog.slsa.sa.gov.au/xrecord=b2119265</v>
      </c>
      <c r="D2089" t="s">
        <v>66</v>
      </c>
      <c r="E2089" t="s">
        <v>7534</v>
      </c>
      <c r="F2089">
        <v>1956</v>
      </c>
      <c r="G2089" t="s">
        <v>121</v>
      </c>
      <c r="H2089" t="s">
        <v>7538</v>
      </c>
      <c r="I2089" t="s">
        <v>7539</v>
      </c>
      <c r="J2089" t="s">
        <v>71</v>
      </c>
      <c r="K2089" s="2" t="str">
        <f>HYPERLINK("http://collections.slsa.sa.gov.au/arthur/07000/BRG347_6816.htm")</f>
        <v>http://collections.slsa.sa.gov.au/arthur/07000/BRG347_6816.htm</v>
      </c>
    </row>
    <row r="2090" spans="1:11" x14ac:dyDescent="0.25">
      <c r="A2090" t="s">
        <v>7540</v>
      </c>
      <c r="B2090" s="1" t="str">
        <f>HYPERLINK("https://www.catalog.slsa.sa.gov.au/record=b2119606")</f>
        <v>https://www.catalog.slsa.sa.gov.au/record=b2119606</v>
      </c>
      <c r="C2090" s="1" t="str">
        <f>HYPERLINK("https://www.catalog.slsa.sa.gov.au/xrecord=b2119606")</f>
        <v>https://www.catalog.slsa.sa.gov.au/xrecord=b2119606</v>
      </c>
      <c r="D2090" t="s">
        <v>66</v>
      </c>
      <c r="E2090" t="s">
        <v>5766</v>
      </c>
      <c r="F2090">
        <v>1956</v>
      </c>
      <c r="G2090" t="s">
        <v>121</v>
      </c>
      <c r="H2090" t="s">
        <v>7541</v>
      </c>
      <c r="I2090" t="s">
        <v>1750</v>
      </c>
      <c r="J2090" t="s">
        <v>71</v>
      </c>
      <c r="K2090" s="2" t="str">
        <f>HYPERLINK("http://collections.slsa.sa.gov.au/arthur/07000/BRG347_6919.htm")</f>
        <v>http://collections.slsa.sa.gov.au/arthur/07000/BRG347_6919.htm</v>
      </c>
    </row>
    <row r="2091" spans="1:11" x14ac:dyDescent="0.25">
      <c r="A2091" t="s">
        <v>7542</v>
      </c>
      <c r="B2091" s="1" t="str">
        <f>HYPERLINK("https://www.catalog.slsa.sa.gov.au/record=b2119622")</f>
        <v>https://www.catalog.slsa.sa.gov.au/record=b2119622</v>
      </c>
      <c r="C2091" s="1" t="str">
        <f>HYPERLINK("https://www.catalog.slsa.sa.gov.au/xrecord=b2119622")</f>
        <v>https://www.catalog.slsa.sa.gov.au/xrecord=b2119622</v>
      </c>
      <c r="D2091" t="s">
        <v>66</v>
      </c>
      <c r="E2091" t="s">
        <v>4974</v>
      </c>
      <c r="F2091">
        <v>1956</v>
      </c>
      <c r="G2091" t="s">
        <v>121</v>
      </c>
      <c r="H2091" t="s">
        <v>7543</v>
      </c>
      <c r="I2091" t="s">
        <v>1750</v>
      </c>
      <c r="J2091" t="s">
        <v>71</v>
      </c>
      <c r="K2091" s="2" t="str">
        <f>HYPERLINK("http://collections.slsa.sa.gov.au/arthur/07000/BRG347_6935.htm")</f>
        <v>http://collections.slsa.sa.gov.au/arthur/07000/BRG347_6935.htm</v>
      </c>
    </row>
    <row r="2092" spans="1:11" x14ac:dyDescent="0.25">
      <c r="A2092" t="s">
        <v>7544</v>
      </c>
      <c r="B2092" s="1" t="str">
        <f>HYPERLINK("https://www.catalog.slsa.sa.gov.au/record=b2112210")</f>
        <v>https://www.catalog.slsa.sa.gov.au/record=b2112210</v>
      </c>
      <c r="C2092" s="1" t="str">
        <f>HYPERLINK("https://www.catalog.slsa.sa.gov.au/xrecord=b2112210")</f>
        <v>https://www.catalog.slsa.sa.gov.au/xrecord=b2112210</v>
      </c>
      <c r="D2092" t="s">
        <v>66</v>
      </c>
      <c r="E2092" t="s">
        <v>7545</v>
      </c>
      <c r="F2092" t="s">
        <v>7546</v>
      </c>
      <c r="G2092" t="s">
        <v>121</v>
      </c>
      <c r="H2092" t="s">
        <v>7547</v>
      </c>
      <c r="I2092" t="s">
        <v>7548</v>
      </c>
      <c r="J2092" t="s">
        <v>71</v>
      </c>
      <c r="K2092" s="2" t="str">
        <f>HYPERLINK("http://collections.slsa.sa.gov.au/arthur/02750/BRG347_2642.htm")</f>
        <v>http://collections.slsa.sa.gov.au/arthur/02750/BRG347_2642.htm</v>
      </c>
    </row>
    <row r="2093" spans="1:11" x14ac:dyDescent="0.25">
      <c r="A2093" t="s">
        <v>7549</v>
      </c>
      <c r="B2093" s="1" t="str">
        <f>HYPERLINK("https://www.catalog.slsa.sa.gov.au/record=b2084975")</f>
        <v>https://www.catalog.slsa.sa.gov.au/record=b2084975</v>
      </c>
      <c r="C2093" s="1" t="str">
        <f>HYPERLINK("https://www.catalog.slsa.sa.gov.au/xrecord=b2084975")</f>
        <v>https://www.catalog.slsa.sa.gov.au/xrecord=b2084975</v>
      </c>
      <c r="E2093" t="s">
        <v>7550</v>
      </c>
      <c r="F2093" t="s">
        <v>7546</v>
      </c>
      <c r="G2093" t="s">
        <v>1760</v>
      </c>
      <c r="H2093" t="s">
        <v>7551</v>
      </c>
      <c r="I2093" t="s">
        <v>7552</v>
      </c>
      <c r="J2093" t="s">
        <v>1757</v>
      </c>
      <c r="K2093" s="2" t="str">
        <f>HYPERLINK("http://collections.slsa.sa.gov.au/godson/1/03500/PRG1258_1_3459.htm")</f>
        <v>http://collections.slsa.sa.gov.au/godson/1/03500/PRG1258_1_3459.htm</v>
      </c>
    </row>
    <row r="2094" spans="1:11" x14ac:dyDescent="0.25">
      <c r="A2094" t="s">
        <v>7553</v>
      </c>
      <c r="B2094" s="1" t="str">
        <f>HYPERLINK("https://www.catalog.slsa.sa.gov.au/record=b3026735")</f>
        <v>https://www.catalog.slsa.sa.gov.au/record=b3026735</v>
      </c>
      <c r="C2094" s="1" t="str">
        <f>HYPERLINK("https://www.catalog.slsa.sa.gov.au/xrecord=b3026735")</f>
        <v>https://www.catalog.slsa.sa.gov.au/xrecord=b3026735</v>
      </c>
      <c r="D2094" t="s">
        <v>5796</v>
      </c>
      <c r="E2094" t="s">
        <v>7554</v>
      </c>
      <c r="F2094" t="s">
        <v>7546</v>
      </c>
      <c r="G2094" t="s">
        <v>7555</v>
      </c>
      <c r="H2094" t="s">
        <v>7556</v>
      </c>
      <c r="I2094" t="s">
        <v>7557</v>
      </c>
      <c r="K2094" s="2" t="str">
        <f>HYPERLINK("http://collections.slsa.sa.gov.au/resource/PRG+1658/1/48")</f>
        <v>http://collections.slsa.sa.gov.au/resource/PRG+1658/1/48</v>
      </c>
    </row>
    <row r="2095" spans="1:11" x14ac:dyDescent="0.25">
      <c r="A2095" t="s">
        <v>7558</v>
      </c>
      <c r="B2095" s="1" t="str">
        <f>HYPERLINK("https://www.catalog.slsa.sa.gov.au/record=b2116919")</f>
        <v>https://www.catalog.slsa.sa.gov.au/record=b2116919</v>
      </c>
      <c r="C2095" s="1" t="str">
        <f>HYPERLINK("https://www.catalog.slsa.sa.gov.au/xrecord=b2116919")</f>
        <v>https://www.catalog.slsa.sa.gov.au/xrecord=b2116919</v>
      </c>
      <c r="D2095" t="s">
        <v>66</v>
      </c>
      <c r="E2095" t="s">
        <v>7559</v>
      </c>
      <c r="F2095" t="s">
        <v>7560</v>
      </c>
      <c r="G2095" t="s">
        <v>121</v>
      </c>
      <c r="H2095" t="s">
        <v>7561</v>
      </c>
      <c r="I2095" t="s">
        <v>7562</v>
      </c>
      <c r="J2095" t="s">
        <v>71</v>
      </c>
      <c r="K2095" s="2" t="str">
        <f>HYPERLINK("http://collections.slsa.sa.gov.au/arthur/05750/BRG347_5749.htm")</f>
        <v>http://collections.slsa.sa.gov.au/arthur/05750/BRG347_5749.htm</v>
      </c>
    </row>
    <row r="2096" spans="1:11" x14ac:dyDescent="0.25">
      <c r="A2096" t="s">
        <v>7563</v>
      </c>
      <c r="B2096" s="1" t="str">
        <f>HYPERLINK("https://www.catalog.slsa.sa.gov.au/record=b2908313")</f>
        <v>https://www.catalog.slsa.sa.gov.au/record=b2908313</v>
      </c>
      <c r="C2096" s="1" t="str">
        <f>HYPERLINK("https://www.catalog.slsa.sa.gov.au/xrecord=b2908313")</f>
        <v>https://www.catalog.slsa.sa.gov.au/xrecord=b2908313</v>
      </c>
      <c r="D2096" t="s">
        <v>7564</v>
      </c>
      <c r="E2096" t="s">
        <v>7565</v>
      </c>
      <c r="F2096" t="s">
        <v>7566</v>
      </c>
      <c r="G2096" t="s">
        <v>7567</v>
      </c>
      <c r="H2096" t="s">
        <v>7568</v>
      </c>
      <c r="J2096" t="s">
        <v>7569</v>
      </c>
      <c r="K2096" s="2" t="str">
        <f>HYPERLINK("http://collections.slsa.sa.gov.au/prg/1562/4/PRG1562_4_14.htm")</f>
        <v>http://collections.slsa.sa.gov.au/prg/1562/4/PRG1562_4_14.htm</v>
      </c>
    </row>
    <row r="2097" spans="1:11" x14ac:dyDescent="0.25">
      <c r="A2097" t="s">
        <v>7570</v>
      </c>
      <c r="B2097" s="1" t="str">
        <f>HYPERLINK("https://www.catalog.slsa.sa.gov.au/record=b2110093")</f>
        <v>https://www.catalog.slsa.sa.gov.au/record=b2110093</v>
      </c>
      <c r="C2097" s="1" t="str">
        <f>HYPERLINK("https://www.catalog.slsa.sa.gov.au/xrecord=b2110093")</f>
        <v>https://www.catalog.slsa.sa.gov.au/xrecord=b2110093</v>
      </c>
      <c r="D2097" t="s">
        <v>66</v>
      </c>
      <c r="E2097" t="s">
        <v>7571</v>
      </c>
      <c r="F2097">
        <v>1957</v>
      </c>
      <c r="G2097" t="s">
        <v>121</v>
      </c>
      <c r="H2097" t="s">
        <v>7572</v>
      </c>
      <c r="I2097" t="s">
        <v>7573</v>
      </c>
      <c r="J2097" t="s">
        <v>71</v>
      </c>
      <c r="K2097" s="2" t="str">
        <f>HYPERLINK("http://collections.slsa.sa.gov.au/arthur/01000/BRG347_897.htm")</f>
        <v>http://collections.slsa.sa.gov.au/arthur/01000/BRG347_897.htm</v>
      </c>
    </row>
    <row r="2098" spans="1:11" x14ac:dyDescent="0.25">
      <c r="A2098" t="s">
        <v>7574</v>
      </c>
      <c r="B2098" s="1" t="str">
        <f>HYPERLINK("https://www.catalog.slsa.sa.gov.au/record=b2110142")</f>
        <v>https://www.catalog.slsa.sa.gov.au/record=b2110142</v>
      </c>
      <c r="C2098" s="1" t="str">
        <f>HYPERLINK("https://www.catalog.slsa.sa.gov.au/xrecord=b2110142")</f>
        <v>https://www.catalog.slsa.sa.gov.au/xrecord=b2110142</v>
      </c>
      <c r="D2098" t="s">
        <v>66</v>
      </c>
      <c r="E2098" t="s">
        <v>7575</v>
      </c>
      <c r="F2098">
        <v>1957</v>
      </c>
      <c r="G2098" t="s">
        <v>121</v>
      </c>
      <c r="H2098" t="s">
        <v>7576</v>
      </c>
      <c r="I2098" t="s">
        <v>7577</v>
      </c>
      <c r="J2098" t="s">
        <v>71</v>
      </c>
      <c r="K2098" s="2" t="str">
        <f>HYPERLINK("http://collections.slsa.sa.gov.au/arthur/01000/BRG347_947.htm")</f>
        <v>http://collections.slsa.sa.gov.au/arthur/01000/BRG347_947.htm</v>
      </c>
    </row>
    <row r="2099" spans="1:11" x14ac:dyDescent="0.25">
      <c r="A2099" t="s">
        <v>7578</v>
      </c>
      <c r="B2099" s="1" t="str">
        <f>HYPERLINK("https://www.catalog.slsa.sa.gov.au/record=b2110154")</f>
        <v>https://www.catalog.slsa.sa.gov.au/record=b2110154</v>
      </c>
      <c r="C2099" s="1" t="str">
        <f>HYPERLINK("https://www.catalog.slsa.sa.gov.au/xrecord=b2110154")</f>
        <v>https://www.catalog.slsa.sa.gov.au/xrecord=b2110154</v>
      </c>
      <c r="D2099" t="s">
        <v>66</v>
      </c>
      <c r="E2099" t="s">
        <v>7579</v>
      </c>
      <c r="F2099">
        <v>1957</v>
      </c>
      <c r="G2099" t="s">
        <v>121</v>
      </c>
      <c r="H2099" t="s">
        <v>7580</v>
      </c>
      <c r="I2099" t="s">
        <v>7581</v>
      </c>
      <c r="J2099" t="s">
        <v>71</v>
      </c>
      <c r="K2099" s="2" t="str">
        <f>HYPERLINK("http://collections.slsa.sa.gov.au/arthur/01000/BRG347_959.htm")</f>
        <v>http://collections.slsa.sa.gov.au/arthur/01000/BRG347_959.htm</v>
      </c>
    </row>
    <row r="2100" spans="1:11" x14ac:dyDescent="0.25">
      <c r="A2100" t="s">
        <v>7582</v>
      </c>
      <c r="B2100" s="1" t="str">
        <f>HYPERLINK("https://www.catalog.slsa.sa.gov.au/record=b2110172")</f>
        <v>https://www.catalog.slsa.sa.gov.au/record=b2110172</v>
      </c>
      <c r="C2100" s="1" t="str">
        <f>HYPERLINK("https://www.catalog.slsa.sa.gov.au/xrecord=b2110172")</f>
        <v>https://www.catalog.slsa.sa.gov.au/xrecord=b2110172</v>
      </c>
      <c r="D2100" t="s">
        <v>66</v>
      </c>
      <c r="E2100" t="s">
        <v>7583</v>
      </c>
      <c r="F2100">
        <v>1957</v>
      </c>
      <c r="G2100" t="s">
        <v>121</v>
      </c>
      <c r="H2100" t="s">
        <v>7584</v>
      </c>
      <c r="I2100" t="s">
        <v>7178</v>
      </c>
      <c r="J2100" t="s">
        <v>71</v>
      </c>
      <c r="K2100" s="2" t="str">
        <f>HYPERLINK("http://collections.slsa.sa.gov.au/arthur/01000/BRG347_976.htm")</f>
        <v>http://collections.slsa.sa.gov.au/arthur/01000/BRG347_976.htm</v>
      </c>
    </row>
    <row r="2101" spans="1:11" x14ac:dyDescent="0.25">
      <c r="A2101" t="s">
        <v>7585</v>
      </c>
      <c r="B2101" s="1" t="str">
        <f>HYPERLINK("https://www.catalog.slsa.sa.gov.au/record=b2110174")</f>
        <v>https://www.catalog.slsa.sa.gov.au/record=b2110174</v>
      </c>
      <c r="C2101" s="1" t="str">
        <f>HYPERLINK("https://www.catalog.slsa.sa.gov.au/xrecord=b2110174")</f>
        <v>https://www.catalog.slsa.sa.gov.au/xrecord=b2110174</v>
      </c>
      <c r="D2101" t="s">
        <v>66</v>
      </c>
      <c r="E2101" t="s">
        <v>7586</v>
      </c>
      <c r="F2101">
        <v>1957</v>
      </c>
      <c r="G2101" t="s">
        <v>121</v>
      </c>
      <c r="H2101" t="s">
        <v>7587</v>
      </c>
      <c r="I2101" t="s">
        <v>7588</v>
      </c>
      <c r="J2101" t="s">
        <v>71</v>
      </c>
      <c r="K2101" s="2" t="str">
        <f>HYPERLINK("http://collections.slsa.sa.gov.au/arthur/01000/BRG347_978.htm")</f>
        <v>http://collections.slsa.sa.gov.au/arthur/01000/BRG347_978.htm</v>
      </c>
    </row>
    <row r="2102" spans="1:11" x14ac:dyDescent="0.25">
      <c r="A2102" t="s">
        <v>7589</v>
      </c>
      <c r="B2102" s="1" t="str">
        <f>HYPERLINK("https://www.catalog.slsa.sa.gov.au/record=b2110177")</f>
        <v>https://www.catalog.slsa.sa.gov.au/record=b2110177</v>
      </c>
      <c r="C2102" s="1" t="str">
        <f>HYPERLINK("https://www.catalog.slsa.sa.gov.au/xrecord=b2110177")</f>
        <v>https://www.catalog.slsa.sa.gov.au/xrecord=b2110177</v>
      </c>
      <c r="D2102" t="s">
        <v>66</v>
      </c>
      <c r="E2102" t="s">
        <v>7590</v>
      </c>
      <c r="F2102">
        <v>1957</v>
      </c>
      <c r="G2102" t="s">
        <v>121</v>
      </c>
      <c r="H2102" t="s">
        <v>7591</v>
      </c>
      <c r="I2102" t="s">
        <v>7592</v>
      </c>
      <c r="J2102" t="s">
        <v>71</v>
      </c>
      <c r="K2102" s="2" t="str">
        <f>HYPERLINK("http://collections.slsa.sa.gov.au/arthur/01000/BRG347_981.htm")</f>
        <v>http://collections.slsa.sa.gov.au/arthur/01000/BRG347_981.htm</v>
      </c>
    </row>
    <row r="2103" spans="1:11" x14ac:dyDescent="0.25">
      <c r="A2103" t="s">
        <v>7593</v>
      </c>
      <c r="B2103" s="1" t="str">
        <f>HYPERLINK("https://www.catalog.slsa.sa.gov.au/record=b2110178")</f>
        <v>https://www.catalog.slsa.sa.gov.au/record=b2110178</v>
      </c>
      <c r="C2103" s="1" t="str">
        <f>HYPERLINK("https://www.catalog.slsa.sa.gov.au/xrecord=b2110178")</f>
        <v>https://www.catalog.slsa.sa.gov.au/xrecord=b2110178</v>
      </c>
      <c r="D2103" t="s">
        <v>66</v>
      </c>
      <c r="E2103" t="s">
        <v>7594</v>
      </c>
      <c r="F2103">
        <v>1957</v>
      </c>
      <c r="G2103" t="s">
        <v>121</v>
      </c>
      <c r="H2103" t="s">
        <v>7595</v>
      </c>
      <c r="I2103" t="s">
        <v>7596</v>
      </c>
      <c r="J2103" t="s">
        <v>71</v>
      </c>
      <c r="K2103" s="2" t="str">
        <f>HYPERLINK("http://collections.slsa.sa.gov.au/arthur/01000/BRG347_982.htm")</f>
        <v>http://collections.slsa.sa.gov.au/arthur/01000/BRG347_982.htm</v>
      </c>
    </row>
    <row r="2104" spans="1:11" x14ac:dyDescent="0.25">
      <c r="A2104" t="s">
        <v>7597</v>
      </c>
      <c r="B2104" s="1" t="str">
        <f>HYPERLINK("https://www.catalog.slsa.sa.gov.au/record=b2110179")</f>
        <v>https://www.catalog.slsa.sa.gov.au/record=b2110179</v>
      </c>
      <c r="C2104" s="1" t="str">
        <f>HYPERLINK("https://www.catalog.slsa.sa.gov.au/xrecord=b2110179")</f>
        <v>https://www.catalog.slsa.sa.gov.au/xrecord=b2110179</v>
      </c>
      <c r="D2104" t="s">
        <v>66</v>
      </c>
      <c r="E2104" t="s">
        <v>7598</v>
      </c>
      <c r="F2104">
        <v>1957</v>
      </c>
      <c r="G2104" t="s">
        <v>121</v>
      </c>
      <c r="H2104" t="s">
        <v>7599</v>
      </c>
      <c r="I2104" t="s">
        <v>7600</v>
      </c>
      <c r="J2104" t="s">
        <v>71</v>
      </c>
      <c r="K2104" s="2" t="str">
        <f>HYPERLINK("http://collections.slsa.sa.gov.au/arthur/01000/BRG347_983.htm")</f>
        <v>http://collections.slsa.sa.gov.au/arthur/01000/BRG347_983.htm</v>
      </c>
    </row>
    <row r="2105" spans="1:11" x14ac:dyDescent="0.25">
      <c r="A2105" t="s">
        <v>7601</v>
      </c>
      <c r="B2105" s="1" t="str">
        <f>HYPERLINK("https://www.catalog.slsa.sa.gov.au/record=b2110180")</f>
        <v>https://www.catalog.slsa.sa.gov.au/record=b2110180</v>
      </c>
      <c r="C2105" s="1" t="str">
        <f>HYPERLINK("https://www.catalog.slsa.sa.gov.au/xrecord=b2110180")</f>
        <v>https://www.catalog.slsa.sa.gov.au/xrecord=b2110180</v>
      </c>
      <c r="D2105" t="s">
        <v>66</v>
      </c>
      <c r="E2105" t="s">
        <v>7602</v>
      </c>
      <c r="F2105">
        <v>1957</v>
      </c>
      <c r="G2105" t="s">
        <v>121</v>
      </c>
      <c r="H2105" t="s">
        <v>7603</v>
      </c>
      <c r="I2105" t="s">
        <v>7588</v>
      </c>
      <c r="J2105" t="s">
        <v>71</v>
      </c>
      <c r="K2105" s="2" t="str">
        <f>HYPERLINK("http://collections.slsa.sa.gov.au/arthur/01000/BRG347_984.htm")</f>
        <v>http://collections.slsa.sa.gov.au/arthur/01000/BRG347_984.htm</v>
      </c>
    </row>
    <row r="2106" spans="1:11" x14ac:dyDescent="0.25">
      <c r="A2106" t="s">
        <v>7604</v>
      </c>
      <c r="B2106" s="1" t="str">
        <f>HYPERLINK("https://www.catalog.slsa.sa.gov.au/record=b2110181")</f>
        <v>https://www.catalog.slsa.sa.gov.au/record=b2110181</v>
      </c>
      <c r="C2106" s="1" t="str">
        <f>HYPERLINK("https://www.catalog.slsa.sa.gov.au/xrecord=b2110181")</f>
        <v>https://www.catalog.slsa.sa.gov.au/xrecord=b2110181</v>
      </c>
      <c r="D2106" t="s">
        <v>66</v>
      </c>
      <c r="E2106" t="s">
        <v>7605</v>
      </c>
      <c r="F2106">
        <v>1957</v>
      </c>
      <c r="G2106" t="s">
        <v>121</v>
      </c>
      <c r="H2106" t="s">
        <v>7606</v>
      </c>
      <c r="I2106" t="s">
        <v>7178</v>
      </c>
      <c r="J2106" t="s">
        <v>71</v>
      </c>
      <c r="K2106" s="2" t="str">
        <f>HYPERLINK("http://collections.slsa.sa.gov.au/arthur/01000/BRG347_985.htm")</f>
        <v>http://collections.slsa.sa.gov.au/arthur/01000/BRG347_985.htm</v>
      </c>
    </row>
    <row r="2107" spans="1:11" x14ac:dyDescent="0.25">
      <c r="A2107" t="s">
        <v>7607</v>
      </c>
      <c r="B2107" s="1" t="str">
        <f>HYPERLINK("https://www.catalog.slsa.sa.gov.au/record=b2110182")</f>
        <v>https://www.catalog.slsa.sa.gov.au/record=b2110182</v>
      </c>
      <c r="C2107" s="1" t="str">
        <f>HYPERLINK("https://www.catalog.slsa.sa.gov.au/xrecord=b2110182")</f>
        <v>https://www.catalog.slsa.sa.gov.au/xrecord=b2110182</v>
      </c>
      <c r="D2107" t="s">
        <v>66</v>
      </c>
      <c r="E2107" t="s">
        <v>7608</v>
      </c>
      <c r="F2107">
        <v>1957</v>
      </c>
      <c r="G2107" t="s">
        <v>121</v>
      </c>
      <c r="H2107" t="s">
        <v>7609</v>
      </c>
      <c r="I2107" t="s">
        <v>7610</v>
      </c>
      <c r="J2107" t="s">
        <v>71</v>
      </c>
      <c r="K2107" s="2" t="str">
        <f>HYPERLINK("http://collections.slsa.sa.gov.au/arthur/01000/BRG347_986.htm")</f>
        <v>http://collections.slsa.sa.gov.au/arthur/01000/BRG347_986.htm</v>
      </c>
    </row>
    <row r="2108" spans="1:11" x14ac:dyDescent="0.25">
      <c r="A2108" t="s">
        <v>7611</v>
      </c>
      <c r="B2108" s="1" t="str">
        <f>HYPERLINK("https://www.catalog.slsa.sa.gov.au/record=b2110308")</f>
        <v>https://www.catalog.slsa.sa.gov.au/record=b2110308</v>
      </c>
      <c r="C2108" s="1" t="str">
        <f>HYPERLINK("https://www.catalog.slsa.sa.gov.au/xrecord=b2110308")</f>
        <v>https://www.catalog.slsa.sa.gov.au/xrecord=b2110308</v>
      </c>
      <c r="D2108" t="s">
        <v>66</v>
      </c>
      <c r="E2108" t="s">
        <v>7612</v>
      </c>
      <c r="F2108">
        <v>1957</v>
      </c>
      <c r="G2108" t="s">
        <v>121</v>
      </c>
      <c r="H2108" t="s">
        <v>7613</v>
      </c>
      <c r="I2108" t="s">
        <v>7614</v>
      </c>
      <c r="J2108" t="s">
        <v>71</v>
      </c>
      <c r="K2108" s="2" t="str">
        <f>HYPERLINK("http://collections.slsa.sa.gov.au/arthur/01250/BRG347_1079.htm")</f>
        <v>http://collections.slsa.sa.gov.au/arthur/01250/BRG347_1079.htm</v>
      </c>
    </row>
    <row r="2109" spans="1:11" x14ac:dyDescent="0.25">
      <c r="A2109" t="s">
        <v>7615</v>
      </c>
      <c r="B2109" s="1" t="str">
        <f>HYPERLINK("https://www.catalog.slsa.sa.gov.au/record=b2110318")</f>
        <v>https://www.catalog.slsa.sa.gov.au/record=b2110318</v>
      </c>
      <c r="C2109" s="1" t="str">
        <f>HYPERLINK("https://www.catalog.slsa.sa.gov.au/xrecord=b2110318")</f>
        <v>https://www.catalog.slsa.sa.gov.au/xrecord=b2110318</v>
      </c>
      <c r="D2109" t="s">
        <v>66</v>
      </c>
      <c r="E2109" t="s">
        <v>7616</v>
      </c>
      <c r="F2109">
        <v>1957</v>
      </c>
      <c r="G2109" t="s">
        <v>121</v>
      </c>
      <c r="H2109" t="s">
        <v>7617</v>
      </c>
      <c r="I2109" t="s">
        <v>7618</v>
      </c>
      <c r="J2109" t="s">
        <v>71</v>
      </c>
      <c r="K2109" s="2" t="str">
        <f>HYPERLINK("http://collections.slsa.sa.gov.au/arthur/01250/BRG347_1080.htm")</f>
        <v>http://collections.slsa.sa.gov.au/arthur/01250/BRG347_1080.htm</v>
      </c>
    </row>
    <row r="2110" spans="1:11" x14ac:dyDescent="0.25">
      <c r="A2110" t="s">
        <v>7619</v>
      </c>
      <c r="B2110" s="1" t="str">
        <f>HYPERLINK("https://www.catalog.slsa.sa.gov.au/record=b2110317")</f>
        <v>https://www.catalog.slsa.sa.gov.au/record=b2110317</v>
      </c>
      <c r="C2110" s="1" t="str">
        <f>HYPERLINK("https://www.catalog.slsa.sa.gov.au/xrecord=b2110317")</f>
        <v>https://www.catalog.slsa.sa.gov.au/xrecord=b2110317</v>
      </c>
      <c r="D2110" t="s">
        <v>66</v>
      </c>
      <c r="E2110" t="s">
        <v>7201</v>
      </c>
      <c r="F2110">
        <v>1957</v>
      </c>
      <c r="G2110" t="s">
        <v>121</v>
      </c>
      <c r="H2110" t="s">
        <v>7620</v>
      </c>
      <c r="I2110" t="s">
        <v>7203</v>
      </c>
      <c r="J2110" t="s">
        <v>71</v>
      </c>
      <c r="K2110" s="2" t="str">
        <f>HYPERLINK("http://collections.slsa.sa.gov.au/arthur/01250/BRG347_1089.htm")</f>
        <v>http://collections.slsa.sa.gov.au/arthur/01250/BRG347_1089.htm</v>
      </c>
    </row>
    <row r="2111" spans="1:11" x14ac:dyDescent="0.25">
      <c r="A2111" t="s">
        <v>7621</v>
      </c>
      <c r="B2111" s="1" t="str">
        <f>HYPERLINK("https://www.catalog.slsa.sa.gov.au/record=b2110321")</f>
        <v>https://www.catalog.slsa.sa.gov.au/record=b2110321</v>
      </c>
      <c r="C2111" s="1" t="str">
        <f>HYPERLINK("https://www.catalog.slsa.sa.gov.au/xrecord=b2110321")</f>
        <v>https://www.catalog.slsa.sa.gov.au/xrecord=b2110321</v>
      </c>
      <c r="D2111" t="s">
        <v>66</v>
      </c>
      <c r="E2111" t="s">
        <v>7622</v>
      </c>
      <c r="F2111">
        <v>1957</v>
      </c>
      <c r="G2111" t="s">
        <v>121</v>
      </c>
      <c r="H2111" t="s">
        <v>7623</v>
      </c>
      <c r="I2111" t="s">
        <v>7624</v>
      </c>
      <c r="J2111" t="s">
        <v>71</v>
      </c>
      <c r="K2111" s="2" t="str">
        <f>HYPERLINK("http://collections.slsa.sa.gov.au/arthur/01250/BRG347_1090.htm")</f>
        <v>http://collections.slsa.sa.gov.au/arthur/01250/BRG347_1090.htm</v>
      </c>
    </row>
    <row r="2112" spans="1:11" x14ac:dyDescent="0.25">
      <c r="A2112" t="s">
        <v>7625</v>
      </c>
      <c r="B2112" s="1" t="str">
        <f>HYPERLINK("https://www.catalog.slsa.sa.gov.au/record=b2110319")</f>
        <v>https://www.catalog.slsa.sa.gov.au/record=b2110319</v>
      </c>
      <c r="C2112" s="1" t="str">
        <f>HYPERLINK("https://www.catalog.slsa.sa.gov.au/xrecord=b2110319")</f>
        <v>https://www.catalog.slsa.sa.gov.au/xrecord=b2110319</v>
      </c>
      <c r="D2112" t="s">
        <v>66</v>
      </c>
      <c r="E2112" t="s">
        <v>7626</v>
      </c>
      <c r="F2112">
        <v>1957</v>
      </c>
      <c r="G2112" t="s">
        <v>121</v>
      </c>
      <c r="H2112" t="s">
        <v>7627</v>
      </c>
      <c r="I2112" t="s">
        <v>7628</v>
      </c>
      <c r="J2112" t="s">
        <v>71</v>
      </c>
      <c r="K2112" s="2" t="str">
        <f>HYPERLINK("http://collections.slsa.sa.gov.au/arthur/01250/BRG347_1091.htm")</f>
        <v>http://collections.slsa.sa.gov.au/arthur/01250/BRG347_1091.htm</v>
      </c>
    </row>
    <row r="2113" spans="1:11" x14ac:dyDescent="0.25">
      <c r="A2113" t="s">
        <v>7629</v>
      </c>
      <c r="B2113" s="1" t="str">
        <f>HYPERLINK("https://www.catalog.slsa.sa.gov.au/record=b2110320")</f>
        <v>https://www.catalog.slsa.sa.gov.au/record=b2110320</v>
      </c>
      <c r="C2113" s="1" t="str">
        <f>HYPERLINK("https://www.catalog.slsa.sa.gov.au/xrecord=b2110320")</f>
        <v>https://www.catalog.slsa.sa.gov.au/xrecord=b2110320</v>
      </c>
      <c r="D2113" t="s">
        <v>66</v>
      </c>
      <c r="E2113" t="s">
        <v>7630</v>
      </c>
      <c r="F2113">
        <v>1957</v>
      </c>
      <c r="G2113" t="s">
        <v>121</v>
      </c>
      <c r="H2113" t="s">
        <v>7631</v>
      </c>
      <c r="I2113" t="s">
        <v>7624</v>
      </c>
      <c r="J2113" t="s">
        <v>71</v>
      </c>
      <c r="K2113" s="2" t="str">
        <f>HYPERLINK("http://collections.slsa.sa.gov.au/arthur/01250/BRG347_1092.htm")</f>
        <v>http://collections.slsa.sa.gov.au/arthur/01250/BRG347_1092.htm</v>
      </c>
    </row>
    <row r="2114" spans="1:11" x14ac:dyDescent="0.25">
      <c r="A2114" t="s">
        <v>7632</v>
      </c>
      <c r="B2114" s="1" t="str">
        <f>HYPERLINK("https://www.catalog.slsa.sa.gov.au/record=b2110322")</f>
        <v>https://www.catalog.slsa.sa.gov.au/record=b2110322</v>
      </c>
      <c r="C2114" s="1" t="str">
        <f>HYPERLINK("https://www.catalog.slsa.sa.gov.au/xrecord=b2110322")</f>
        <v>https://www.catalog.slsa.sa.gov.au/xrecord=b2110322</v>
      </c>
      <c r="D2114" t="s">
        <v>66</v>
      </c>
      <c r="E2114" t="s">
        <v>7633</v>
      </c>
      <c r="F2114">
        <v>1957</v>
      </c>
      <c r="G2114" t="s">
        <v>121</v>
      </c>
      <c r="H2114" t="s">
        <v>7634</v>
      </c>
      <c r="I2114" t="s">
        <v>7635</v>
      </c>
      <c r="J2114" t="s">
        <v>71</v>
      </c>
      <c r="K2114" s="2" t="str">
        <f>HYPERLINK("http://collections.slsa.sa.gov.au/arthur/01250/BRG347_1093.htm")</f>
        <v>http://collections.slsa.sa.gov.au/arthur/01250/BRG347_1093.htm</v>
      </c>
    </row>
    <row r="2115" spans="1:11" x14ac:dyDescent="0.25">
      <c r="A2115" t="s">
        <v>7636</v>
      </c>
      <c r="B2115" s="1" t="str">
        <f>HYPERLINK("https://www.catalog.slsa.sa.gov.au/record=b2110323")</f>
        <v>https://www.catalog.slsa.sa.gov.au/record=b2110323</v>
      </c>
      <c r="C2115" s="1" t="str">
        <f>HYPERLINK("https://www.catalog.slsa.sa.gov.au/xrecord=b2110323")</f>
        <v>https://www.catalog.slsa.sa.gov.au/xrecord=b2110323</v>
      </c>
      <c r="D2115" t="s">
        <v>66</v>
      </c>
      <c r="E2115" t="s">
        <v>7626</v>
      </c>
      <c r="F2115">
        <v>1957</v>
      </c>
      <c r="G2115" t="s">
        <v>121</v>
      </c>
      <c r="H2115" t="s">
        <v>7637</v>
      </c>
      <c r="I2115" t="s">
        <v>7628</v>
      </c>
      <c r="J2115" t="s">
        <v>71</v>
      </c>
      <c r="K2115" s="2" t="str">
        <f>HYPERLINK("http://collections.slsa.sa.gov.au/arthur/01250/BRG347_1094.htm")</f>
        <v>http://collections.slsa.sa.gov.au/arthur/01250/BRG347_1094.htm</v>
      </c>
    </row>
    <row r="2116" spans="1:11" x14ac:dyDescent="0.25">
      <c r="A2116" t="s">
        <v>7638</v>
      </c>
      <c r="B2116" s="1" t="str">
        <f>HYPERLINK("https://www.catalog.slsa.sa.gov.au/record=b2110324")</f>
        <v>https://www.catalog.slsa.sa.gov.au/record=b2110324</v>
      </c>
      <c r="C2116" s="1" t="str">
        <f>HYPERLINK("https://www.catalog.slsa.sa.gov.au/xrecord=b2110324")</f>
        <v>https://www.catalog.slsa.sa.gov.au/xrecord=b2110324</v>
      </c>
      <c r="D2116" t="s">
        <v>66</v>
      </c>
      <c r="E2116" t="s">
        <v>7626</v>
      </c>
      <c r="F2116">
        <v>1957</v>
      </c>
      <c r="G2116" t="s">
        <v>121</v>
      </c>
      <c r="H2116" t="s">
        <v>7639</v>
      </c>
      <c r="I2116" t="s">
        <v>7628</v>
      </c>
      <c r="J2116" t="s">
        <v>71</v>
      </c>
      <c r="K2116" s="2" t="str">
        <f>HYPERLINK("http://collections.slsa.sa.gov.au/arthur/01250/BRG347_1095.htm")</f>
        <v>http://collections.slsa.sa.gov.au/arthur/01250/BRG347_1095.htm</v>
      </c>
    </row>
    <row r="2117" spans="1:11" x14ac:dyDescent="0.25">
      <c r="A2117" t="s">
        <v>7640</v>
      </c>
      <c r="B2117" s="1" t="str">
        <f>HYPERLINK("https://www.catalog.slsa.sa.gov.au/record=b2110325")</f>
        <v>https://www.catalog.slsa.sa.gov.au/record=b2110325</v>
      </c>
      <c r="C2117" s="1" t="str">
        <f>HYPERLINK("https://www.catalog.slsa.sa.gov.au/xrecord=b2110325")</f>
        <v>https://www.catalog.slsa.sa.gov.au/xrecord=b2110325</v>
      </c>
      <c r="D2117" t="s">
        <v>66</v>
      </c>
      <c r="E2117" t="s">
        <v>7626</v>
      </c>
      <c r="F2117">
        <v>1957</v>
      </c>
      <c r="G2117" t="s">
        <v>121</v>
      </c>
      <c r="H2117" t="s">
        <v>7641</v>
      </c>
      <c r="I2117" t="s">
        <v>7628</v>
      </c>
      <c r="J2117" t="s">
        <v>71</v>
      </c>
      <c r="K2117" s="2" t="str">
        <f>HYPERLINK("http://collections.slsa.sa.gov.au/arthur/01250/BRG347_1096.htm")</f>
        <v>http://collections.slsa.sa.gov.au/arthur/01250/BRG347_1096.htm</v>
      </c>
    </row>
    <row r="2118" spans="1:11" x14ac:dyDescent="0.25">
      <c r="A2118" t="s">
        <v>7642</v>
      </c>
      <c r="B2118" s="1" t="str">
        <f>HYPERLINK("https://www.catalog.slsa.sa.gov.au/record=b2110326")</f>
        <v>https://www.catalog.slsa.sa.gov.au/record=b2110326</v>
      </c>
      <c r="C2118" s="1" t="str">
        <f>HYPERLINK("https://www.catalog.slsa.sa.gov.au/xrecord=b2110326")</f>
        <v>https://www.catalog.slsa.sa.gov.au/xrecord=b2110326</v>
      </c>
      <c r="D2118" t="s">
        <v>66</v>
      </c>
      <c r="E2118" t="s">
        <v>7626</v>
      </c>
      <c r="F2118">
        <v>1957</v>
      </c>
      <c r="G2118" t="s">
        <v>121</v>
      </c>
      <c r="H2118" t="s">
        <v>7643</v>
      </c>
      <c r="I2118" t="s">
        <v>7628</v>
      </c>
      <c r="J2118" t="s">
        <v>71</v>
      </c>
      <c r="K2118" s="2" t="str">
        <f>HYPERLINK("http://collections.slsa.sa.gov.au/arthur/01250/BRG347_1097.htm")</f>
        <v>http://collections.slsa.sa.gov.au/arthur/01250/BRG347_1097.htm</v>
      </c>
    </row>
    <row r="2119" spans="1:11" x14ac:dyDescent="0.25">
      <c r="A2119" t="s">
        <v>7644</v>
      </c>
      <c r="B2119" s="1" t="str">
        <f>HYPERLINK("https://www.catalog.slsa.sa.gov.au/record=b2110327")</f>
        <v>https://www.catalog.slsa.sa.gov.au/record=b2110327</v>
      </c>
      <c r="C2119" s="1" t="str">
        <f>HYPERLINK("https://www.catalog.slsa.sa.gov.au/xrecord=b2110327")</f>
        <v>https://www.catalog.slsa.sa.gov.au/xrecord=b2110327</v>
      </c>
      <c r="D2119" t="s">
        <v>66</v>
      </c>
      <c r="E2119" t="s">
        <v>7626</v>
      </c>
      <c r="F2119">
        <v>1957</v>
      </c>
      <c r="G2119" t="s">
        <v>121</v>
      </c>
      <c r="H2119" t="s">
        <v>7645</v>
      </c>
      <c r="I2119" t="s">
        <v>7628</v>
      </c>
      <c r="J2119" t="s">
        <v>71</v>
      </c>
      <c r="K2119" s="2" t="str">
        <f>HYPERLINK("http://collections.slsa.sa.gov.au/arthur/01250/BRG347_1098.htm")</f>
        <v>http://collections.slsa.sa.gov.au/arthur/01250/BRG347_1098.htm</v>
      </c>
    </row>
    <row r="2120" spans="1:11" x14ac:dyDescent="0.25">
      <c r="A2120" t="s">
        <v>7646</v>
      </c>
      <c r="B2120" s="1" t="str">
        <f>HYPERLINK("https://www.catalog.slsa.sa.gov.au/record=b2110328")</f>
        <v>https://www.catalog.slsa.sa.gov.au/record=b2110328</v>
      </c>
      <c r="C2120" s="1" t="str">
        <f>HYPERLINK("https://www.catalog.slsa.sa.gov.au/xrecord=b2110328")</f>
        <v>https://www.catalog.slsa.sa.gov.au/xrecord=b2110328</v>
      </c>
      <c r="D2120" t="s">
        <v>66</v>
      </c>
      <c r="E2120" t="s">
        <v>7633</v>
      </c>
      <c r="F2120">
        <v>1957</v>
      </c>
      <c r="G2120" t="s">
        <v>121</v>
      </c>
      <c r="H2120" t="s">
        <v>7647</v>
      </c>
      <c r="I2120" t="s">
        <v>7648</v>
      </c>
      <c r="J2120" t="s">
        <v>71</v>
      </c>
      <c r="K2120" s="2" t="str">
        <f>HYPERLINK("http://collections.slsa.sa.gov.au/arthur/01250/BRG347_1099.htm")</f>
        <v>http://collections.slsa.sa.gov.au/arthur/01250/BRG347_1099.htm</v>
      </c>
    </row>
    <row r="2121" spans="1:11" x14ac:dyDescent="0.25">
      <c r="A2121" t="s">
        <v>7649</v>
      </c>
      <c r="B2121" s="1" t="str">
        <f>HYPERLINK("https://www.catalog.slsa.sa.gov.au/record=b2110329")</f>
        <v>https://www.catalog.slsa.sa.gov.au/record=b2110329</v>
      </c>
      <c r="C2121" s="1" t="str">
        <f>HYPERLINK("https://www.catalog.slsa.sa.gov.au/xrecord=b2110329")</f>
        <v>https://www.catalog.slsa.sa.gov.au/xrecord=b2110329</v>
      </c>
      <c r="D2121" t="s">
        <v>66</v>
      </c>
      <c r="E2121" t="s">
        <v>7650</v>
      </c>
      <c r="F2121">
        <v>1957</v>
      </c>
      <c r="G2121" t="s">
        <v>121</v>
      </c>
      <c r="H2121" t="s">
        <v>7651</v>
      </c>
      <c r="I2121" t="s">
        <v>7652</v>
      </c>
      <c r="J2121" t="s">
        <v>71</v>
      </c>
      <c r="K2121" s="2" t="str">
        <f>HYPERLINK("http://collections.slsa.sa.gov.au/arthur/01250/BRG347_1100.htm")</f>
        <v>http://collections.slsa.sa.gov.au/arthur/01250/BRG347_1100.htm</v>
      </c>
    </row>
    <row r="2122" spans="1:11" x14ac:dyDescent="0.25">
      <c r="A2122" t="s">
        <v>7653</v>
      </c>
      <c r="B2122" s="1" t="str">
        <f>HYPERLINK("https://www.catalog.slsa.sa.gov.au/record=b2110330")</f>
        <v>https://www.catalog.slsa.sa.gov.au/record=b2110330</v>
      </c>
      <c r="C2122" s="1" t="str">
        <f>HYPERLINK("https://www.catalog.slsa.sa.gov.au/xrecord=b2110330")</f>
        <v>https://www.catalog.slsa.sa.gov.au/xrecord=b2110330</v>
      </c>
      <c r="D2122" t="s">
        <v>66</v>
      </c>
      <c r="E2122" t="s">
        <v>7654</v>
      </c>
      <c r="F2122">
        <v>1957</v>
      </c>
      <c r="G2122" t="s">
        <v>121</v>
      </c>
      <c r="H2122" t="s">
        <v>7655</v>
      </c>
      <c r="I2122" t="s">
        <v>7656</v>
      </c>
      <c r="J2122" t="s">
        <v>71</v>
      </c>
      <c r="K2122" s="2" t="str">
        <f>HYPERLINK("http://collections.slsa.sa.gov.au/arthur/01250/BRG347_1101.htm")</f>
        <v>http://collections.slsa.sa.gov.au/arthur/01250/BRG347_1101.htm</v>
      </c>
    </row>
    <row r="2123" spans="1:11" x14ac:dyDescent="0.25">
      <c r="A2123" t="s">
        <v>7657</v>
      </c>
      <c r="B2123" s="1" t="str">
        <f>HYPERLINK("https://www.catalog.slsa.sa.gov.au/record=b2110331")</f>
        <v>https://www.catalog.slsa.sa.gov.au/record=b2110331</v>
      </c>
      <c r="C2123" s="1" t="str">
        <f>HYPERLINK("https://www.catalog.slsa.sa.gov.au/xrecord=b2110331")</f>
        <v>https://www.catalog.slsa.sa.gov.au/xrecord=b2110331</v>
      </c>
      <c r="D2123" t="s">
        <v>66</v>
      </c>
      <c r="E2123" t="s">
        <v>7658</v>
      </c>
      <c r="F2123">
        <v>1957</v>
      </c>
      <c r="G2123" t="s">
        <v>121</v>
      </c>
      <c r="H2123" t="s">
        <v>7659</v>
      </c>
      <c r="I2123" t="s">
        <v>7660</v>
      </c>
      <c r="J2123" t="s">
        <v>71</v>
      </c>
      <c r="K2123" s="2" t="str">
        <f>HYPERLINK("http://collections.slsa.sa.gov.au/arthur/01250/BRG347_1102.htm")</f>
        <v>http://collections.slsa.sa.gov.au/arthur/01250/BRG347_1102.htm</v>
      </c>
    </row>
    <row r="2124" spans="1:11" x14ac:dyDescent="0.25">
      <c r="A2124" t="s">
        <v>7661</v>
      </c>
      <c r="B2124" s="1" t="str">
        <f>HYPERLINK("https://www.catalog.slsa.sa.gov.au/record=b2110332")</f>
        <v>https://www.catalog.slsa.sa.gov.au/record=b2110332</v>
      </c>
      <c r="C2124" s="1" t="str">
        <f>HYPERLINK("https://www.catalog.slsa.sa.gov.au/xrecord=b2110332")</f>
        <v>https://www.catalog.slsa.sa.gov.au/xrecord=b2110332</v>
      </c>
      <c r="D2124" t="s">
        <v>66</v>
      </c>
      <c r="E2124" t="s">
        <v>7662</v>
      </c>
      <c r="F2124">
        <v>1957</v>
      </c>
      <c r="G2124" t="s">
        <v>121</v>
      </c>
      <c r="H2124" t="s">
        <v>7663</v>
      </c>
      <c r="I2124" t="s">
        <v>7664</v>
      </c>
      <c r="J2124" t="s">
        <v>71</v>
      </c>
      <c r="K2124" s="2" t="str">
        <f>HYPERLINK("http://collections.slsa.sa.gov.au/arthur/01250/BRG347_1103.htm")</f>
        <v>http://collections.slsa.sa.gov.au/arthur/01250/BRG347_1103.htm</v>
      </c>
    </row>
    <row r="2125" spans="1:11" x14ac:dyDescent="0.25">
      <c r="A2125" t="s">
        <v>7665</v>
      </c>
      <c r="B2125" s="1" t="str">
        <f>HYPERLINK("https://www.catalog.slsa.sa.gov.au/record=b2110333")</f>
        <v>https://www.catalog.slsa.sa.gov.au/record=b2110333</v>
      </c>
      <c r="C2125" s="1" t="str">
        <f>HYPERLINK("https://www.catalog.slsa.sa.gov.au/xrecord=b2110333")</f>
        <v>https://www.catalog.slsa.sa.gov.au/xrecord=b2110333</v>
      </c>
      <c r="D2125" t="s">
        <v>66</v>
      </c>
      <c r="E2125" t="s">
        <v>7666</v>
      </c>
      <c r="F2125">
        <v>1957</v>
      </c>
      <c r="G2125" t="s">
        <v>121</v>
      </c>
      <c r="H2125" t="s">
        <v>7667</v>
      </c>
      <c r="I2125" t="s">
        <v>7668</v>
      </c>
      <c r="J2125" t="s">
        <v>71</v>
      </c>
      <c r="K2125" s="2" t="str">
        <f>HYPERLINK("http://collections.slsa.sa.gov.au/arthur/01250/BRG347_1104.htm")</f>
        <v>http://collections.slsa.sa.gov.au/arthur/01250/BRG347_1104.htm</v>
      </c>
    </row>
    <row r="2126" spans="1:11" x14ac:dyDescent="0.25">
      <c r="A2126" t="s">
        <v>7669</v>
      </c>
      <c r="B2126" s="1" t="str">
        <f>HYPERLINK("https://www.catalog.slsa.sa.gov.au/record=b2110334")</f>
        <v>https://www.catalog.slsa.sa.gov.au/record=b2110334</v>
      </c>
      <c r="C2126" s="1" t="str">
        <f>HYPERLINK("https://www.catalog.slsa.sa.gov.au/xrecord=b2110334")</f>
        <v>https://www.catalog.slsa.sa.gov.au/xrecord=b2110334</v>
      </c>
      <c r="D2126" t="s">
        <v>66</v>
      </c>
      <c r="E2126" t="s">
        <v>7666</v>
      </c>
      <c r="F2126">
        <v>1957</v>
      </c>
      <c r="G2126" t="s">
        <v>121</v>
      </c>
      <c r="H2126" t="s">
        <v>7670</v>
      </c>
      <c r="I2126" t="s">
        <v>7668</v>
      </c>
      <c r="J2126" t="s">
        <v>71</v>
      </c>
      <c r="K2126" s="2" t="str">
        <f>HYPERLINK("http://collections.slsa.sa.gov.au/arthur/01250/BRG347_1105.htm")</f>
        <v>http://collections.slsa.sa.gov.au/arthur/01250/BRG347_1105.htm</v>
      </c>
    </row>
    <row r="2127" spans="1:11" x14ac:dyDescent="0.25">
      <c r="A2127" t="s">
        <v>7671</v>
      </c>
      <c r="B2127" s="1" t="str">
        <f>HYPERLINK("https://www.catalog.slsa.sa.gov.au/record=b2110335")</f>
        <v>https://www.catalog.slsa.sa.gov.au/record=b2110335</v>
      </c>
      <c r="C2127" s="1" t="str">
        <f>HYPERLINK("https://www.catalog.slsa.sa.gov.au/xrecord=b2110335")</f>
        <v>https://www.catalog.slsa.sa.gov.au/xrecord=b2110335</v>
      </c>
      <c r="D2127" t="s">
        <v>66</v>
      </c>
      <c r="E2127" t="s">
        <v>7672</v>
      </c>
      <c r="F2127">
        <v>1957</v>
      </c>
      <c r="G2127" t="s">
        <v>121</v>
      </c>
      <c r="H2127" t="s">
        <v>7673</v>
      </c>
      <c r="I2127" t="s">
        <v>7674</v>
      </c>
      <c r="J2127" t="s">
        <v>71</v>
      </c>
      <c r="K2127" s="2" t="str">
        <f>HYPERLINK("http://collections.slsa.sa.gov.au/arthur/01250/BRG347_1106.htm")</f>
        <v>http://collections.slsa.sa.gov.au/arthur/01250/BRG347_1106.htm</v>
      </c>
    </row>
    <row r="2128" spans="1:11" x14ac:dyDescent="0.25">
      <c r="A2128" t="s">
        <v>7675</v>
      </c>
      <c r="B2128" s="1" t="str">
        <f>HYPERLINK("https://www.catalog.slsa.sa.gov.au/record=b2110336")</f>
        <v>https://www.catalog.slsa.sa.gov.au/record=b2110336</v>
      </c>
      <c r="C2128" s="1" t="str">
        <f>HYPERLINK("https://www.catalog.slsa.sa.gov.au/xrecord=b2110336")</f>
        <v>https://www.catalog.slsa.sa.gov.au/xrecord=b2110336</v>
      </c>
      <c r="D2128" t="s">
        <v>66</v>
      </c>
      <c r="E2128" t="s">
        <v>7676</v>
      </c>
      <c r="F2128">
        <v>1957</v>
      </c>
      <c r="G2128" t="s">
        <v>121</v>
      </c>
      <c r="H2128" t="s">
        <v>7677</v>
      </c>
      <c r="I2128" t="s">
        <v>7678</v>
      </c>
      <c r="J2128" t="s">
        <v>71</v>
      </c>
      <c r="K2128" s="2" t="str">
        <f>HYPERLINK("http://collections.slsa.sa.gov.au/arthur/01250/BRG347_1107.htm")</f>
        <v>http://collections.slsa.sa.gov.au/arthur/01250/BRG347_1107.htm</v>
      </c>
    </row>
    <row r="2129" spans="1:11" x14ac:dyDescent="0.25">
      <c r="A2129" t="s">
        <v>7679</v>
      </c>
      <c r="B2129" s="1" t="str">
        <f>HYPERLINK("https://www.catalog.slsa.sa.gov.au/record=b2110337")</f>
        <v>https://www.catalog.slsa.sa.gov.au/record=b2110337</v>
      </c>
      <c r="C2129" s="1" t="str">
        <f>HYPERLINK("https://www.catalog.slsa.sa.gov.au/xrecord=b2110337")</f>
        <v>https://www.catalog.slsa.sa.gov.au/xrecord=b2110337</v>
      </c>
      <c r="D2129" t="s">
        <v>66</v>
      </c>
      <c r="E2129" t="s">
        <v>7680</v>
      </c>
      <c r="F2129">
        <v>1957</v>
      </c>
      <c r="G2129" t="s">
        <v>121</v>
      </c>
      <c r="H2129" t="s">
        <v>7681</v>
      </c>
      <c r="I2129" t="s">
        <v>7682</v>
      </c>
      <c r="J2129" t="s">
        <v>71</v>
      </c>
      <c r="K2129" s="2" t="str">
        <f>HYPERLINK("http://collections.slsa.sa.gov.au/arthur/01250/BRG347_1108.htm")</f>
        <v>http://collections.slsa.sa.gov.au/arthur/01250/BRG347_1108.htm</v>
      </c>
    </row>
    <row r="2130" spans="1:11" x14ac:dyDescent="0.25">
      <c r="A2130" t="s">
        <v>7683</v>
      </c>
      <c r="B2130" s="1" t="str">
        <f>HYPERLINK("https://www.catalog.slsa.sa.gov.au/record=b2110338")</f>
        <v>https://www.catalog.slsa.sa.gov.au/record=b2110338</v>
      </c>
      <c r="C2130" s="1" t="str">
        <f>HYPERLINK("https://www.catalog.slsa.sa.gov.au/xrecord=b2110338")</f>
        <v>https://www.catalog.slsa.sa.gov.au/xrecord=b2110338</v>
      </c>
      <c r="D2130" t="s">
        <v>66</v>
      </c>
      <c r="E2130" t="s">
        <v>7684</v>
      </c>
      <c r="F2130">
        <v>1957</v>
      </c>
      <c r="G2130" t="s">
        <v>121</v>
      </c>
      <c r="H2130" t="s">
        <v>7685</v>
      </c>
      <c r="I2130" t="s">
        <v>7686</v>
      </c>
      <c r="J2130" t="s">
        <v>71</v>
      </c>
      <c r="K2130" s="2" t="str">
        <f>HYPERLINK("http://collections.slsa.sa.gov.au/arthur/01250/BRG347_1109.htm")</f>
        <v>http://collections.slsa.sa.gov.au/arthur/01250/BRG347_1109.htm</v>
      </c>
    </row>
    <row r="2131" spans="1:11" x14ac:dyDescent="0.25">
      <c r="A2131" t="s">
        <v>7687</v>
      </c>
      <c r="B2131" s="1" t="str">
        <f>HYPERLINK("https://www.catalog.slsa.sa.gov.au/record=b2110339")</f>
        <v>https://www.catalog.slsa.sa.gov.au/record=b2110339</v>
      </c>
      <c r="C2131" s="1" t="str">
        <f>HYPERLINK("https://www.catalog.slsa.sa.gov.au/xrecord=b2110339")</f>
        <v>https://www.catalog.slsa.sa.gov.au/xrecord=b2110339</v>
      </c>
      <c r="D2131" t="s">
        <v>66</v>
      </c>
      <c r="E2131" t="s">
        <v>7688</v>
      </c>
      <c r="F2131">
        <v>1957</v>
      </c>
      <c r="G2131" t="s">
        <v>121</v>
      </c>
      <c r="H2131" t="s">
        <v>7689</v>
      </c>
      <c r="I2131" t="s">
        <v>7674</v>
      </c>
      <c r="J2131" t="s">
        <v>71</v>
      </c>
      <c r="K2131" s="2" t="str">
        <f>HYPERLINK("http://collections.slsa.sa.gov.au/arthur/01250/BRG347_1110.htm")</f>
        <v>http://collections.slsa.sa.gov.au/arthur/01250/BRG347_1110.htm</v>
      </c>
    </row>
    <row r="2132" spans="1:11" x14ac:dyDescent="0.25">
      <c r="A2132" t="s">
        <v>7690</v>
      </c>
      <c r="B2132" s="1" t="str">
        <f>HYPERLINK("https://www.catalog.slsa.sa.gov.au/record=b2110340")</f>
        <v>https://www.catalog.slsa.sa.gov.au/record=b2110340</v>
      </c>
      <c r="C2132" s="1" t="str">
        <f>HYPERLINK("https://www.catalog.slsa.sa.gov.au/xrecord=b2110340")</f>
        <v>https://www.catalog.slsa.sa.gov.au/xrecord=b2110340</v>
      </c>
      <c r="D2132" t="s">
        <v>66</v>
      </c>
      <c r="E2132" t="s">
        <v>7688</v>
      </c>
      <c r="F2132">
        <v>1957</v>
      </c>
      <c r="G2132" t="s">
        <v>121</v>
      </c>
      <c r="H2132" t="s">
        <v>7691</v>
      </c>
      <c r="I2132" t="s">
        <v>7674</v>
      </c>
      <c r="J2132" t="s">
        <v>71</v>
      </c>
      <c r="K2132" s="2" t="str">
        <f>HYPERLINK("http://collections.slsa.sa.gov.au/arthur/01250/BRG347_1111.htm")</f>
        <v>http://collections.slsa.sa.gov.au/arthur/01250/BRG347_1111.htm</v>
      </c>
    </row>
    <row r="2133" spans="1:11" x14ac:dyDescent="0.25">
      <c r="A2133" t="s">
        <v>7692</v>
      </c>
      <c r="B2133" s="1" t="str">
        <f>HYPERLINK("https://www.catalog.slsa.sa.gov.au/record=b2110344")</f>
        <v>https://www.catalog.slsa.sa.gov.au/record=b2110344</v>
      </c>
      <c r="C2133" s="1" t="str">
        <f>HYPERLINK("https://www.catalog.slsa.sa.gov.au/xrecord=b2110344")</f>
        <v>https://www.catalog.slsa.sa.gov.au/xrecord=b2110344</v>
      </c>
      <c r="D2133" t="s">
        <v>66</v>
      </c>
      <c r="E2133" t="s">
        <v>7693</v>
      </c>
      <c r="F2133">
        <v>1957</v>
      </c>
      <c r="G2133" t="s">
        <v>121</v>
      </c>
      <c r="H2133" t="s">
        <v>7691</v>
      </c>
      <c r="I2133" t="s">
        <v>7674</v>
      </c>
      <c r="J2133" t="s">
        <v>71</v>
      </c>
      <c r="K2133" s="2" t="str">
        <f>HYPERLINK("http://collections.slsa.sa.gov.au/arthur/01250/BRG347_1112.htm")</f>
        <v>http://collections.slsa.sa.gov.au/arthur/01250/BRG347_1112.htm</v>
      </c>
    </row>
    <row r="2134" spans="1:11" x14ac:dyDescent="0.25">
      <c r="A2134" t="s">
        <v>7694</v>
      </c>
      <c r="B2134" s="1" t="str">
        <f>HYPERLINK("https://www.catalog.slsa.sa.gov.au/record=b2110341")</f>
        <v>https://www.catalog.slsa.sa.gov.au/record=b2110341</v>
      </c>
      <c r="C2134" s="1" t="str">
        <f>HYPERLINK("https://www.catalog.slsa.sa.gov.au/xrecord=b2110341")</f>
        <v>https://www.catalog.slsa.sa.gov.au/xrecord=b2110341</v>
      </c>
      <c r="D2134" t="s">
        <v>66</v>
      </c>
      <c r="E2134" t="s">
        <v>7695</v>
      </c>
      <c r="F2134">
        <v>1957</v>
      </c>
      <c r="G2134" t="s">
        <v>121</v>
      </c>
      <c r="H2134" t="s">
        <v>7696</v>
      </c>
      <c r="I2134" t="s">
        <v>7697</v>
      </c>
      <c r="J2134" t="s">
        <v>71</v>
      </c>
      <c r="K2134" s="2" t="str">
        <f>HYPERLINK("http://collections.slsa.sa.gov.au/arthur/01250/BRG347_1113.htm")</f>
        <v>http://collections.slsa.sa.gov.au/arthur/01250/BRG347_1113.htm</v>
      </c>
    </row>
    <row r="2135" spans="1:11" x14ac:dyDescent="0.25">
      <c r="A2135" t="s">
        <v>7698</v>
      </c>
      <c r="B2135" s="1" t="str">
        <f>HYPERLINK("https://www.catalog.slsa.sa.gov.au/record=b2110342")</f>
        <v>https://www.catalog.slsa.sa.gov.au/record=b2110342</v>
      </c>
      <c r="C2135" s="1" t="str">
        <f>HYPERLINK("https://www.catalog.slsa.sa.gov.au/xrecord=b2110342")</f>
        <v>https://www.catalog.slsa.sa.gov.au/xrecord=b2110342</v>
      </c>
      <c r="D2135" t="s">
        <v>66</v>
      </c>
      <c r="E2135" t="s">
        <v>7699</v>
      </c>
      <c r="F2135">
        <v>1957</v>
      </c>
      <c r="G2135" t="s">
        <v>121</v>
      </c>
      <c r="H2135" t="s">
        <v>7700</v>
      </c>
      <c r="I2135" t="s">
        <v>7701</v>
      </c>
      <c r="J2135" t="s">
        <v>71</v>
      </c>
      <c r="K2135" s="2" t="str">
        <f>HYPERLINK("http://collections.slsa.sa.gov.au/arthur/01250/BRG347_1114.htm")</f>
        <v>http://collections.slsa.sa.gov.au/arthur/01250/BRG347_1114.htm</v>
      </c>
    </row>
    <row r="2136" spans="1:11" x14ac:dyDescent="0.25">
      <c r="A2136" t="s">
        <v>7702</v>
      </c>
      <c r="B2136" s="1" t="str">
        <f>HYPERLINK("https://www.catalog.slsa.sa.gov.au/record=b2110343")</f>
        <v>https://www.catalog.slsa.sa.gov.au/record=b2110343</v>
      </c>
      <c r="C2136" s="1" t="str">
        <f>HYPERLINK("https://www.catalog.slsa.sa.gov.au/xrecord=b2110343")</f>
        <v>https://www.catalog.slsa.sa.gov.au/xrecord=b2110343</v>
      </c>
      <c r="D2136" t="s">
        <v>66</v>
      </c>
      <c r="E2136" t="s">
        <v>7703</v>
      </c>
      <c r="F2136">
        <v>1957</v>
      </c>
      <c r="G2136" t="s">
        <v>121</v>
      </c>
      <c r="H2136" t="s">
        <v>7704</v>
      </c>
      <c r="I2136" t="s">
        <v>7705</v>
      </c>
      <c r="J2136" t="s">
        <v>71</v>
      </c>
      <c r="K2136" s="2" t="str">
        <f>HYPERLINK("http://collections.slsa.sa.gov.au/arthur/01250/BRG347_1115.htm")</f>
        <v>http://collections.slsa.sa.gov.au/arthur/01250/BRG347_1115.htm</v>
      </c>
    </row>
    <row r="2137" spans="1:11" x14ac:dyDescent="0.25">
      <c r="A2137" t="s">
        <v>7706</v>
      </c>
      <c r="B2137" s="1" t="str">
        <f>HYPERLINK("https://www.catalog.slsa.sa.gov.au/record=b2110345")</f>
        <v>https://www.catalog.slsa.sa.gov.au/record=b2110345</v>
      </c>
      <c r="C2137" s="1" t="str">
        <f>HYPERLINK("https://www.catalog.slsa.sa.gov.au/xrecord=b2110345")</f>
        <v>https://www.catalog.slsa.sa.gov.au/xrecord=b2110345</v>
      </c>
      <c r="D2137" t="s">
        <v>66</v>
      </c>
      <c r="E2137" t="s">
        <v>7707</v>
      </c>
      <c r="F2137">
        <v>1957</v>
      </c>
      <c r="G2137" t="s">
        <v>121</v>
      </c>
      <c r="H2137" t="s">
        <v>7708</v>
      </c>
      <c r="I2137" t="s">
        <v>7709</v>
      </c>
      <c r="J2137" t="s">
        <v>71</v>
      </c>
      <c r="K2137" s="2" t="str">
        <f>HYPERLINK("http://collections.slsa.sa.gov.au/arthur/01250/BRG347_1116.htm")</f>
        <v>http://collections.slsa.sa.gov.au/arthur/01250/BRG347_1116.htm</v>
      </c>
    </row>
    <row r="2138" spans="1:11" x14ac:dyDescent="0.25">
      <c r="A2138" t="s">
        <v>7710</v>
      </c>
      <c r="B2138" s="1" t="str">
        <f>HYPERLINK("https://www.catalog.slsa.sa.gov.au/record=b2110346")</f>
        <v>https://www.catalog.slsa.sa.gov.au/record=b2110346</v>
      </c>
      <c r="C2138" s="1" t="str">
        <f>HYPERLINK("https://www.catalog.slsa.sa.gov.au/xrecord=b2110346")</f>
        <v>https://www.catalog.slsa.sa.gov.au/xrecord=b2110346</v>
      </c>
      <c r="D2138" t="s">
        <v>66</v>
      </c>
      <c r="E2138" t="s">
        <v>7711</v>
      </c>
      <c r="F2138">
        <v>1957</v>
      </c>
      <c r="G2138" t="s">
        <v>121</v>
      </c>
      <c r="H2138" t="s">
        <v>7712</v>
      </c>
      <c r="I2138" t="s">
        <v>7713</v>
      </c>
      <c r="J2138" t="s">
        <v>71</v>
      </c>
      <c r="K2138" s="2" t="str">
        <f>HYPERLINK("http://collections.slsa.sa.gov.au/arthur/01250/BRG347_1117.htm")</f>
        <v>http://collections.slsa.sa.gov.au/arthur/01250/BRG347_1117.htm</v>
      </c>
    </row>
    <row r="2139" spans="1:11" x14ac:dyDescent="0.25">
      <c r="A2139" t="s">
        <v>7714</v>
      </c>
      <c r="B2139" s="1" t="str">
        <f>HYPERLINK("https://www.catalog.slsa.sa.gov.au/record=b2110347")</f>
        <v>https://www.catalog.slsa.sa.gov.au/record=b2110347</v>
      </c>
      <c r="C2139" s="1" t="str">
        <f>HYPERLINK("https://www.catalog.slsa.sa.gov.au/xrecord=b2110347")</f>
        <v>https://www.catalog.slsa.sa.gov.au/xrecord=b2110347</v>
      </c>
      <c r="D2139" t="s">
        <v>66</v>
      </c>
      <c r="E2139" t="s">
        <v>7695</v>
      </c>
      <c r="F2139">
        <v>1957</v>
      </c>
      <c r="G2139" t="s">
        <v>121</v>
      </c>
      <c r="H2139" t="s">
        <v>7715</v>
      </c>
      <c r="I2139" t="s">
        <v>7697</v>
      </c>
      <c r="J2139" t="s">
        <v>71</v>
      </c>
      <c r="K2139" s="2" t="str">
        <f>HYPERLINK("http://collections.slsa.sa.gov.au/arthur/01250/BRG347_1118.htm")</f>
        <v>http://collections.slsa.sa.gov.au/arthur/01250/BRG347_1118.htm</v>
      </c>
    </row>
    <row r="2140" spans="1:11" x14ac:dyDescent="0.25">
      <c r="A2140" t="s">
        <v>7716</v>
      </c>
      <c r="B2140" s="1" t="str">
        <f>HYPERLINK("https://www.catalog.slsa.sa.gov.au/record=b2110348")</f>
        <v>https://www.catalog.slsa.sa.gov.au/record=b2110348</v>
      </c>
      <c r="C2140" s="1" t="str">
        <f>HYPERLINK("https://www.catalog.slsa.sa.gov.au/xrecord=b2110348")</f>
        <v>https://www.catalog.slsa.sa.gov.au/xrecord=b2110348</v>
      </c>
      <c r="D2140" t="s">
        <v>66</v>
      </c>
      <c r="E2140" t="s">
        <v>7711</v>
      </c>
      <c r="F2140">
        <v>1957</v>
      </c>
      <c r="G2140" t="s">
        <v>121</v>
      </c>
      <c r="H2140" t="s">
        <v>7717</v>
      </c>
      <c r="I2140" t="s">
        <v>7718</v>
      </c>
      <c r="J2140" t="s">
        <v>71</v>
      </c>
      <c r="K2140" s="2" t="str">
        <f>HYPERLINK("http://collections.slsa.sa.gov.au/arthur/01250/BRG347_1119.htm")</f>
        <v>http://collections.slsa.sa.gov.au/arthur/01250/BRG347_1119.htm</v>
      </c>
    </row>
    <row r="2141" spans="1:11" x14ac:dyDescent="0.25">
      <c r="A2141" t="s">
        <v>7719</v>
      </c>
      <c r="B2141" s="1" t="str">
        <f>HYPERLINK("https://www.catalog.slsa.sa.gov.au/record=b2110349")</f>
        <v>https://www.catalog.slsa.sa.gov.au/record=b2110349</v>
      </c>
      <c r="C2141" s="1" t="str">
        <f>HYPERLINK("https://www.catalog.slsa.sa.gov.au/xrecord=b2110349")</f>
        <v>https://www.catalog.slsa.sa.gov.au/xrecord=b2110349</v>
      </c>
      <c r="D2141" t="s">
        <v>66</v>
      </c>
      <c r="E2141" t="s">
        <v>7711</v>
      </c>
      <c r="F2141">
        <v>1957</v>
      </c>
      <c r="G2141" t="s">
        <v>121</v>
      </c>
      <c r="H2141" t="s">
        <v>7720</v>
      </c>
      <c r="I2141" t="s">
        <v>7718</v>
      </c>
      <c r="J2141" t="s">
        <v>71</v>
      </c>
      <c r="K2141" s="2" t="str">
        <f>HYPERLINK("http://collections.slsa.sa.gov.au/arthur/01250/BRG347_1120.htm")</f>
        <v>http://collections.slsa.sa.gov.au/arthur/01250/BRG347_1120.htm</v>
      </c>
    </row>
    <row r="2142" spans="1:11" x14ac:dyDescent="0.25">
      <c r="A2142" t="s">
        <v>7721</v>
      </c>
      <c r="B2142" s="1" t="str">
        <f>HYPERLINK("https://www.catalog.slsa.sa.gov.au/record=b2110350")</f>
        <v>https://www.catalog.slsa.sa.gov.au/record=b2110350</v>
      </c>
      <c r="C2142" s="1" t="str">
        <f>HYPERLINK("https://www.catalog.slsa.sa.gov.au/xrecord=b2110350")</f>
        <v>https://www.catalog.slsa.sa.gov.au/xrecord=b2110350</v>
      </c>
      <c r="D2142" t="s">
        <v>66</v>
      </c>
      <c r="E2142" t="s">
        <v>7722</v>
      </c>
      <c r="F2142">
        <v>1957</v>
      </c>
      <c r="G2142" t="s">
        <v>121</v>
      </c>
      <c r="H2142" t="s">
        <v>7723</v>
      </c>
      <c r="I2142" t="s">
        <v>7724</v>
      </c>
      <c r="J2142" t="s">
        <v>71</v>
      </c>
      <c r="K2142" s="2" t="str">
        <f>HYPERLINK("http://collections.slsa.sa.gov.au/arthur/01250/BRG347_1121.htm")</f>
        <v>http://collections.slsa.sa.gov.au/arthur/01250/BRG347_1121.htm</v>
      </c>
    </row>
    <row r="2143" spans="1:11" x14ac:dyDescent="0.25">
      <c r="A2143" t="s">
        <v>7725</v>
      </c>
      <c r="B2143" s="1" t="str">
        <f>HYPERLINK("https://www.catalog.slsa.sa.gov.au/record=b2110351")</f>
        <v>https://www.catalog.slsa.sa.gov.au/record=b2110351</v>
      </c>
      <c r="C2143" s="1" t="str">
        <f>HYPERLINK("https://www.catalog.slsa.sa.gov.au/xrecord=b2110351")</f>
        <v>https://www.catalog.slsa.sa.gov.au/xrecord=b2110351</v>
      </c>
      <c r="D2143" t="s">
        <v>66</v>
      </c>
      <c r="E2143" t="s">
        <v>7662</v>
      </c>
      <c r="F2143">
        <v>1957</v>
      </c>
      <c r="G2143" t="s">
        <v>121</v>
      </c>
      <c r="H2143" t="s">
        <v>7726</v>
      </c>
      <c r="I2143" t="s">
        <v>7664</v>
      </c>
      <c r="J2143" t="s">
        <v>71</v>
      </c>
      <c r="K2143" s="2" t="str">
        <f>HYPERLINK("http://collections.slsa.sa.gov.au/arthur/01250/BRG347_1122.htm")</f>
        <v>http://collections.slsa.sa.gov.au/arthur/01250/BRG347_1122.htm</v>
      </c>
    </row>
    <row r="2144" spans="1:11" x14ac:dyDescent="0.25">
      <c r="A2144" t="s">
        <v>7727</v>
      </c>
      <c r="B2144" s="1" t="str">
        <f>HYPERLINK("https://www.catalog.slsa.sa.gov.au/record=b2110485")</f>
        <v>https://www.catalog.slsa.sa.gov.au/record=b2110485</v>
      </c>
      <c r="C2144" s="1" t="str">
        <f>HYPERLINK("https://www.catalog.slsa.sa.gov.au/xrecord=b2110485")</f>
        <v>https://www.catalog.slsa.sa.gov.au/xrecord=b2110485</v>
      </c>
      <c r="D2144" t="s">
        <v>66</v>
      </c>
      <c r="E2144" t="s">
        <v>7608</v>
      </c>
      <c r="F2144">
        <v>1957</v>
      </c>
      <c r="G2144" t="s">
        <v>121</v>
      </c>
      <c r="H2144" t="s">
        <v>7728</v>
      </c>
      <c r="I2144" t="s">
        <v>7729</v>
      </c>
      <c r="J2144" t="s">
        <v>71</v>
      </c>
      <c r="K2144" s="2" t="str">
        <f>HYPERLINK("http://collections.slsa.sa.gov.au/arthur/01500/BRG347_1260.htm")</f>
        <v>http://collections.slsa.sa.gov.au/arthur/01500/BRG347_1260.htm</v>
      </c>
    </row>
    <row r="2145" spans="1:11" x14ac:dyDescent="0.25">
      <c r="A2145" t="s">
        <v>7730</v>
      </c>
      <c r="B2145" s="1" t="str">
        <f>HYPERLINK("https://www.catalog.slsa.sa.gov.au/record=b2110493")</f>
        <v>https://www.catalog.slsa.sa.gov.au/record=b2110493</v>
      </c>
      <c r="C2145" s="1" t="str">
        <f>HYPERLINK("https://www.catalog.slsa.sa.gov.au/xrecord=b2110493")</f>
        <v>https://www.catalog.slsa.sa.gov.au/xrecord=b2110493</v>
      </c>
      <c r="D2145" t="s">
        <v>66</v>
      </c>
      <c r="E2145" t="s">
        <v>7731</v>
      </c>
      <c r="F2145">
        <v>1957</v>
      </c>
      <c r="G2145" t="s">
        <v>121</v>
      </c>
      <c r="H2145" t="s">
        <v>7732</v>
      </c>
      <c r="I2145" t="s">
        <v>7733</v>
      </c>
      <c r="J2145" t="s">
        <v>71</v>
      </c>
      <c r="K2145" s="2" t="str">
        <f>HYPERLINK("http://collections.slsa.sa.gov.au/arthur/01500/BRG347_1268.htm")</f>
        <v>http://collections.slsa.sa.gov.au/arthur/01500/BRG347_1268.htm</v>
      </c>
    </row>
    <row r="2146" spans="1:11" x14ac:dyDescent="0.25">
      <c r="A2146" t="s">
        <v>7734</v>
      </c>
      <c r="B2146" s="1" t="str">
        <f>HYPERLINK("https://www.catalog.slsa.sa.gov.au/record=b2111213")</f>
        <v>https://www.catalog.slsa.sa.gov.au/record=b2111213</v>
      </c>
      <c r="C2146" s="1" t="str">
        <f>HYPERLINK("https://www.catalog.slsa.sa.gov.au/xrecord=b2111213")</f>
        <v>https://www.catalog.slsa.sa.gov.au/xrecord=b2111213</v>
      </c>
      <c r="D2146" t="s">
        <v>66</v>
      </c>
      <c r="E2146" t="s">
        <v>7735</v>
      </c>
      <c r="F2146">
        <v>1957</v>
      </c>
      <c r="G2146" t="s">
        <v>121</v>
      </c>
      <c r="H2146" t="s">
        <v>7736</v>
      </c>
      <c r="I2146" t="s">
        <v>7737</v>
      </c>
      <c r="J2146" t="s">
        <v>71</v>
      </c>
      <c r="K2146" s="2" t="str">
        <f>HYPERLINK("http://collections.slsa.sa.gov.au/arthur/02000/BRG347_1880.htm")</f>
        <v>http://collections.slsa.sa.gov.au/arthur/02000/BRG347_1880.htm</v>
      </c>
    </row>
    <row r="2147" spans="1:11" x14ac:dyDescent="0.25">
      <c r="A2147" t="s">
        <v>7738</v>
      </c>
      <c r="B2147" s="1" t="str">
        <f>HYPERLINK("https://www.catalog.slsa.sa.gov.au/record=b2111214")</f>
        <v>https://www.catalog.slsa.sa.gov.au/record=b2111214</v>
      </c>
      <c r="C2147" s="1" t="str">
        <f>HYPERLINK("https://www.catalog.slsa.sa.gov.au/xrecord=b2111214")</f>
        <v>https://www.catalog.slsa.sa.gov.au/xrecord=b2111214</v>
      </c>
      <c r="D2147" t="s">
        <v>66</v>
      </c>
      <c r="E2147" t="s">
        <v>7739</v>
      </c>
      <c r="F2147">
        <v>1957</v>
      </c>
      <c r="G2147" t="s">
        <v>121</v>
      </c>
      <c r="H2147" t="s">
        <v>7740</v>
      </c>
      <c r="I2147" t="s">
        <v>7741</v>
      </c>
      <c r="J2147" t="s">
        <v>71</v>
      </c>
      <c r="K2147" s="2" t="str">
        <f>HYPERLINK("http://collections.slsa.sa.gov.au/arthur/02000/BRG347_1881.htm")</f>
        <v>http://collections.slsa.sa.gov.au/arthur/02000/BRG347_1881.htm</v>
      </c>
    </row>
    <row r="2148" spans="1:11" x14ac:dyDescent="0.25">
      <c r="A2148" t="s">
        <v>7742</v>
      </c>
      <c r="B2148" s="1" t="str">
        <f>HYPERLINK("https://www.catalog.slsa.sa.gov.au/record=b2111215")</f>
        <v>https://www.catalog.slsa.sa.gov.au/record=b2111215</v>
      </c>
      <c r="C2148" s="1" t="str">
        <f>HYPERLINK("https://www.catalog.slsa.sa.gov.au/xrecord=b2111215")</f>
        <v>https://www.catalog.slsa.sa.gov.au/xrecord=b2111215</v>
      </c>
      <c r="D2148" t="s">
        <v>66</v>
      </c>
      <c r="E2148" t="s">
        <v>7743</v>
      </c>
      <c r="F2148">
        <v>1957</v>
      </c>
      <c r="G2148" t="s">
        <v>121</v>
      </c>
      <c r="H2148" t="s">
        <v>7744</v>
      </c>
      <c r="I2148" t="s">
        <v>7745</v>
      </c>
      <c r="J2148" t="s">
        <v>71</v>
      </c>
      <c r="K2148" s="2" t="str">
        <f>HYPERLINK("http://collections.slsa.sa.gov.au/arthur/02000/BRG347_1882.htm")</f>
        <v>http://collections.slsa.sa.gov.au/arthur/02000/BRG347_1882.htm</v>
      </c>
    </row>
    <row r="2149" spans="1:11" x14ac:dyDescent="0.25">
      <c r="A2149" t="s">
        <v>7746</v>
      </c>
      <c r="B2149" s="1" t="str">
        <f>HYPERLINK("https://www.catalog.slsa.sa.gov.au/record=b2111216")</f>
        <v>https://www.catalog.slsa.sa.gov.au/record=b2111216</v>
      </c>
      <c r="C2149" s="1" t="str">
        <f>HYPERLINK("https://www.catalog.slsa.sa.gov.au/xrecord=b2111216")</f>
        <v>https://www.catalog.slsa.sa.gov.au/xrecord=b2111216</v>
      </c>
      <c r="D2149" t="s">
        <v>66</v>
      </c>
      <c r="E2149" t="s">
        <v>7747</v>
      </c>
      <c r="F2149">
        <v>1957</v>
      </c>
      <c r="G2149" t="s">
        <v>121</v>
      </c>
      <c r="H2149" t="s">
        <v>7748</v>
      </c>
      <c r="I2149" t="s">
        <v>7749</v>
      </c>
      <c r="J2149" t="s">
        <v>71</v>
      </c>
      <c r="K2149" s="2" t="str">
        <f>HYPERLINK("http://collections.slsa.sa.gov.au/arthur/02000/BRG347_1883.htm")</f>
        <v>http://collections.slsa.sa.gov.au/arthur/02000/BRG347_1883.htm</v>
      </c>
    </row>
    <row r="2150" spans="1:11" x14ac:dyDescent="0.25">
      <c r="A2150" t="s">
        <v>7750</v>
      </c>
      <c r="B2150" s="1" t="str">
        <f>HYPERLINK("https://www.catalog.slsa.sa.gov.au/record=b2111218")</f>
        <v>https://www.catalog.slsa.sa.gov.au/record=b2111218</v>
      </c>
      <c r="C2150" s="1" t="str">
        <f>HYPERLINK("https://www.catalog.slsa.sa.gov.au/xrecord=b2111218")</f>
        <v>https://www.catalog.slsa.sa.gov.au/xrecord=b2111218</v>
      </c>
      <c r="D2150" t="s">
        <v>66</v>
      </c>
      <c r="E2150" t="s">
        <v>7751</v>
      </c>
      <c r="F2150">
        <v>1957</v>
      </c>
      <c r="G2150" t="s">
        <v>121</v>
      </c>
      <c r="H2150" t="s">
        <v>7752</v>
      </c>
      <c r="I2150" t="s">
        <v>7753</v>
      </c>
      <c r="J2150" t="s">
        <v>71</v>
      </c>
      <c r="K2150" s="2" t="str">
        <f>HYPERLINK("http://collections.slsa.sa.gov.au/arthur/02000/BRG347_1885.htm")</f>
        <v>http://collections.slsa.sa.gov.au/arthur/02000/BRG347_1885.htm</v>
      </c>
    </row>
    <row r="2151" spans="1:11" x14ac:dyDescent="0.25">
      <c r="A2151" t="s">
        <v>7754</v>
      </c>
      <c r="B2151" s="1" t="str">
        <f>HYPERLINK("https://www.catalog.slsa.sa.gov.au/record=b2111219")</f>
        <v>https://www.catalog.slsa.sa.gov.au/record=b2111219</v>
      </c>
      <c r="C2151" s="1" t="str">
        <f>HYPERLINK("https://www.catalog.slsa.sa.gov.au/xrecord=b2111219")</f>
        <v>https://www.catalog.slsa.sa.gov.au/xrecord=b2111219</v>
      </c>
      <c r="D2151" t="s">
        <v>66</v>
      </c>
      <c r="E2151" t="s">
        <v>7755</v>
      </c>
      <c r="F2151">
        <v>1957</v>
      </c>
      <c r="G2151" t="s">
        <v>121</v>
      </c>
      <c r="H2151" t="s">
        <v>7756</v>
      </c>
      <c r="I2151" t="s">
        <v>7757</v>
      </c>
      <c r="J2151" t="s">
        <v>71</v>
      </c>
      <c r="K2151" s="2" t="str">
        <f>HYPERLINK("http://collections.slsa.sa.gov.au/arthur/02000/BRG347_1887.htm")</f>
        <v>http://collections.slsa.sa.gov.au/arthur/02000/BRG347_1887.htm</v>
      </c>
    </row>
    <row r="2152" spans="1:11" x14ac:dyDescent="0.25">
      <c r="A2152" t="s">
        <v>7758</v>
      </c>
      <c r="B2152" s="1" t="str">
        <f>HYPERLINK("https://www.catalog.slsa.sa.gov.au/record=b2111426")</f>
        <v>https://www.catalog.slsa.sa.gov.au/record=b2111426</v>
      </c>
      <c r="C2152" s="1" t="str">
        <f>HYPERLINK("https://www.catalog.slsa.sa.gov.au/xrecord=b2111426")</f>
        <v>https://www.catalog.slsa.sa.gov.au/xrecord=b2111426</v>
      </c>
      <c r="D2152" t="s">
        <v>66</v>
      </c>
      <c r="E2152" t="s">
        <v>7759</v>
      </c>
      <c r="F2152">
        <v>1957</v>
      </c>
      <c r="G2152" t="s">
        <v>121</v>
      </c>
      <c r="H2152" t="s">
        <v>7760</v>
      </c>
      <c r="I2152" t="s">
        <v>7761</v>
      </c>
      <c r="J2152" t="s">
        <v>71</v>
      </c>
      <c r="K2152" s="2" t="str">
        <f>HYPERLINK("http://collections.slsa.sa.gov.au/arthur/02250/BRG347_2061.htm")</f>
        <v>http://collections.slsa.sa.gov.au/arthur/02250/BRG347_2061.htm</v>
      </c>
    </row>
    <row r="2153" spans="1:11" x14ac:dyDescent="0.25">
      <c r="A2153" t="s">
        <v>7762</v>
      </c>
      <c r="B2153" s="1" t="str">
        <f>HYPERLINK("https://www.catalog.slsa.sa.gov.au/record=b2111428")</f>
        <v>https://www.catalog.slsa.sa.gov.au/record=b2111428</v>
      </c>
      <c r="C2153" s="1" t="str">
        <f>HYPERLINK("https://www.catalog.slsa.sa.gov.au/xrecord=b2111428")</f>
        <v>https://www.catalog.slsa.sa.gov.au/xrecord=b2111428</v>
      </c>
      <c r="D2153" t="s">
        <v>66</v>
      </c>
      <c r="E2153" t="s">
        <v>7763</v>
      </c>
      <c r="F2153">
        <v>1957</v>
      </c>
      <c r="G2153" t="s">
        <v>121</v>
      </c>
      <c r="H2153" t="s">
        <v>7764</v>
      </c>
      <c r="I2153" t="s">
        <v>7765</v>
      </c>
      <c r="J2153" t="s">
        <v>71</v>
      </c>
      <c r="K2153" s="2" t="str">
        <f>HYPERLINK("http://collections.slsa.sa.gov.au/arthur/02250/BRG347_2063.htm")</f>
        <v>http://collections.slsa.sa.gov.au/arthur/02250/BRG347_2063.htm</v>
      </c>
    </row>
    <row r="2154" spans="1:11" x14ac:dyDescent="0.25">
      <c r="A2154" t="s">
        <v>7766</v>
      </c>
      <c r="B2154" s="1" t="str">
        <f>HYPERLINK("https://www.catalog.slsa.sa.gov.au/record=b2111431")</f>
        <v>https://www.catalog.slsa.sa.gov.au/record=b2111431</v>
      </c>
      <c r="C2154" s="1" t="str">
        <f>HYPERLINK("https://www.catalog.slsa.sa.gov.au/xrecord=b2111431")</f>
        <v>https://www.catalog.slsa.sa.gov.au/xrecord=b2111431</v>
      </c>
      <c r="D2154" t="s">
        <v>66</v>
      </c>
      <c r="E2154" t="s">
        <v>7767</v>
      </c>
      <c r="F2154">
        <v>1957</v>
      </c>
      <c r="G2154" t="s">
        <v>121</v>
      </c>
      <c r="H2154" t="s">
        <v>7768</v>
      </c>
      <c r="I2154" t="s">
        <v>7769</v>
      </c>
      <c r="J2154" t="s">
        <v>71</v>
      </c>
      <c r="K2154" s="2" t="str">
        <f>HYPERLINK("http://collections.slsa.sa.gov.au/arthur/02250/BRG347_2066.htm")</f>
        <v>http://collections.slsa.sa.gov.au/arthur/02250/BRG347_2066.htm</v>
      </c>
    </row>
    <row r="2155" spans="1:11" x14ac:dyDescent="0.25">
      <c r="A2155" t="s">
        <v>7770</v>
      </c>
      <c r="B2155" s="1" t="str">
        <f>HYPERLINK("https://www.catalog.slsa.sa.gov.au/record=b2111432")</f>
        <v>https://www.catalog.slsa.sa.gov.au/record=b2111432</v>
      </c>
      <c r="C2155" s="1" t="str">
        <f>HYPERLINK("https://www.catalog.slsa.sa.gov.au/xrecord=b2111432")</f>
        <v>https://www.catalog.slsa.sa.gov.au/xrecord=b2111432</v>
      </c>
      <c r="D2155" t="s">
        <v>66</v>
      </c>
      <c r="E2155" t="s">
        <v>7771</v>
      </c>
      <c r="F2155">
        <v>1957</v>
      </c>
      <c r="G2155" t="s">
        <v>121</v>
      </c>
      <c r="H2155" t="s">
        <v>7772</v>
      </c>
      <c r="I2155" t="s">
        <v>7773</v>
      </c>
      <c r="J2155" t="s">
        <v>71</v>
      </c>
      <c r="K2155" s="2" t="str">
        <f>HYPERLINK("http://collections.slsa.sa.gov.au/arthur/02250/BRG347_2067.htm")</f>
        <v>http://collections.slsa.sa.gov.au/arthur/02250/BRG347_2067.htm</v>
      </c>
    </row>
    <row r="2156" spans="1:11" x14ac:dyDescent="0.25">
      <c r="A2156" t="s">
        <v>7774</v>
      </c>
      <c r="B2156" s="1" t="str">
        <f>HYPERLINK("https://www.catalog.slsa.sa.gov.au/record=b2111433")</f>
        <v>https://www.catalog.slsa.sa.gov.au/record=b2111433</v>
      </c>
      <c r="C2156" s="1" t="str">
        <f>HYPERLINK("https://www.catalog.slsa.sa.gov.au/xrecord=b2111433")</f>
        <v>https://www.catalog.slsa.sa.gov.au/xrecord=b2111433</v>
      </c>
      <c r="D2156" t="s">
        <v>66</v>
      </c>
      <c r="E2156" t="s">
        <v>7767</v>
      </c>
      <c r="F2156">
        <v>1957</v>
      </c>
      <c r="G2156" t="s">
        <v>121</v>
      </c>
      <c r="H2156" t="s">
        <v>7775</v>
      </c>
      <c r="I2156" t="s">
        <v>7769</v>
      </c>
      <c r="J2156" t="s">
        <v>71</v>
      </c>
      <c r="K2156" s="2" t="str">
        <f>HYPERLINK("http://collections.slsa.sa.gov.au/arthur/02250/BRG347_2068.htm")</f>
        <v>http://collections.slsa.sa.gov.au/arthur/02250/BRG347_2068.htm</v>
      </c>
    </row>
    <row r="2157" spans="1:11" x14ac:dyDescent="0.25">
      <c r="A2157" t="s">
        <v>7776</v>
      </c>
      <c r="B2157" s="1" t="str">
        <f>HYPERLINK("https://www.catalog.slsa.sa.gov.au/record=b2111434")</f>
        <v>https://www.catalog.slsa.sa.gov.au/record=b2111434</v>
      </c>
      <c r="C2157" s="1" t="str">
        <f>HYPERLINK("https://www.catalog.slsa.sa.gov.au/xrecord=b2111434")</f>
        <v>https://www.catalog.slsa.sa.gov.au/xrecord=b2111434</v>
      </c>
      <c r="D2157" t="s">
        <v>66</v>
      </c>
      <c r="E2157" t="s">
        <v>6467</v>
      </c>
      <c r="F2157">
        <v>1957</v>
      </c>
      <c r="G2157" t="s">
        <v>121</v>
      </c>
      <c r="H2157" t="s">
        <v>7777</v>
      </c>
      <c r="I2157" t="s">
        <v>7778</v>
      </c>
      <c r="J2157" t="s">
        <v>71</v>
      </c>
      <c r="K2157" s="2" t="str">
        <f>HYPERLINK("http://collections.slsa.sa.gov.au/arthur/02250/BRG347_2069.htm")</f>
        <v>http://collections.slsa.sa.gov.au/arthur/02250/BRG347_2069.htm</v>
      </c>
    </row>
    <row r="2158" spans="1:11" x14ac:dyDescent="0.25">
      <c r="A2158" t="s">
        <v>7779</v>
      </c>
      <c r="B2158" s="1" t="str">
        <f>HYPERLINK("https://www.catalog.slsa.sa.gov.au/record=b2111441")</f>
        <v>https://www.catalog.slsa.sa.gov.au/record=b2111441</v>
      </c>
      <c r="C2158" s="1" t="str">
        <f>HYPERLINK("https://www.catalog.slsa.sa.gov.au/xrecord=b2111441")</f>
        <v>https://www.catalog.slsa.sa.gov.au/xrecord=b2111441</v>
      </c>
      <c r="D2158" t="s">
        <v>66</v>
      </c>
      <c r="E2158" t="s">
        <v>7780</v>
      </c>
      <c r="F2158">
        <v>1957</v>
      </c>
      <c r="G2158" t="s">
        <v>121</v>
      </c>
      <c r="H2158" t="s">
        <v>7781</v>
      </c>
      <c r="I2158" t="s">
        <v>7782</v>
      </c>
      <c r="J2158" t="s">
        <v>71</v>
      </c>
      <c r="K2158" s="2" t="str">
        <f>HYPERLINK("http://collections.slsa.sa.gov.au/arthur/02250/BRG347_2076.htm")</f>
        <v>http://collections.slsa.sa.gov.au/arthur/02250/BRG347_2076.htm</v>
      </c>
    </row>
    <row r="2159" spans="1:11" x14ac:dyDescent="0.25">
      <c r="A2159" t="s">
        <v>7783</v>
      </c>
      <c r="B2159" s="1" t="str">
        <f>HYPERLINK("https://www.catalog.slsa.sa.gov.au/record=b2111442")</f>
        <v>https://www.catalog.slsa.sa.gov.au/record=b2111442</v>
      </c>
      <c r="C2159" s="1" t="str">
        <f>HYPERLINK("https://www.catalog.slsa.sa.gov.au/xrecord=b2111442")</f>
        <v>https://www.catalog.slsa.sa.gov.au/xrecord=b2111442</v>
      </c>
      <c r="D2159" t="s">
        <v>66</v>
      </c>
      <c r="E2159" t="s">
        <v>7784</v>
      </c>
      <c r="F2159">
        <v>1957</v>
      </c>
      <c r="G2159" t="s">
        <v>121</v>
      </c>
      <c r="H2159" t="s">
        <v>7785</v>
      </c>
      <c r="I2159" t="s">
        <v>7786</v>
      </c>
      <c r="J2159" t="s">
        <v>71</v>
      </c>
      <c r="K2159" s="2" t="str">
        <f>HYPERLINK("http://collections.slsa.sa.gov.au/arthur/02250/BRG347_2077.htm")</f>
        <v>http://collections.slsa.sa.gov.au/arthur/02250/BRG347_2077.htm</v>
      </c>
    </row>
    <row r="2160" spans="1:11" x14ac:dyDescent="0.25">
      <c r="A2160" t="s">
        <v>7787</v>
      </c>
      <c r="B2160" s="1" t="str">
        <f>HYPERLINK("https://www.catalog.slsa.sa.gov.au/record=b2111443")</f>
        <v>https://www.catalog.slsa.sa.gov.au/record=b2111443</v>
      </c>
      <c r="C2160" s="1" t="str">
        <f>HYPERLINK("https://www.catalog.slsa.sa.gov.au/xrecord=b2111443")</f>
        <v>https://www.catalog.slsa.sa.gov.au/xrecord=b2111443</v>
      </c>
      <c r="D2160" t="s">
        <v>66</v>
      </c>
      <c r="E2160" t="s">
        <v>7780</v>
      </c>
      <c r="F2160">
        <v>1957</v>
      </c>
      <c r="G2160" t="s">
        <v>121</v>
      </c>
      <c r="H2160" t="s">
        <v>7788</v>
      </c>
      <c r="I2160" t="s">
        <v>7782</v>
      </c>
      <c r="J2160" t="s">
        <v>71</v>
      </c>
      <c r="K2160" s="2" t="str">
        <f>HYPERLINK("http://collections.slsa.sa.gov.au/arthur/02250/BRG347_2078.htm")</f>
        <v>http://collections.slsa.sa.gov.au/arthur/02250/BRG347_2078.htm</v>
      </c>
    </row>
    <row r="2161" spans="1:11" x14ac:dyDescent="0.25">
      <c r="A2161" t="s">
        <v>7789</v>
      </c>
      <c r="B2161" s="1" t="str">
        <f>HYPERLINK("https://www.catalog.slsa.sa.gov.au/record=b2111444")</f>
        <v>https://www.catalog.slsa.sa.gov.au/record=b2111444</v>
      </c>
      <c r="C2161" s="1" t="str">
        <f>HYPERLINK("https://www.catalog.slsa.sa.gov.au/xrecord=b2111444")</f>
        <v>https://www.catalog.slsa.sa.gov.au/xrecord=b2111444</v>
      </c>
      <c r="D2161" t="s">
        <v>66</v>
      </c>
      <c r="E2161" t="s">
        <v>7767</v>
      </c>
      <c r="F2161">
        <v>1957</v>
      </c>
      <c r="G2161" t="s">
        <v>121</v>
      </c>
      <c r="H2161" t="s">
        <v>7790</v>
      </c>
      <c r="I2161" t="s">
        <v>7791</v>
      </c>
      <c r="J2161" t="s">
        <v>71</v>
      </c>
      <c r="K2161" s="2" t="str">
        <f>HYPERLINK("http://collections.slsa.sa.gov.au/arthur/02250/BRG347_2079.htm")</f>
        <v>http://collections.slsa.sa.gov.au/arthur/02250/BRG347_2079.htm</v>
      </c>
    </row>
    <row r="2162" spans="1:11" x14ac:dyDescent="0.25">
      <c r="A2162" t="s">
        <v>7792</v>
      </c>
      <c r="B2162" s="1" t="str">
        <f>HYPERLINK("https://www.catalog.slsa.sa.gov.au/record=b2111445")</f>
        <v>https://www.catalog.slsa.sa.gov.au/record=b2111445</v>
      </c>
      <c r="C2162" s="1" t="str">
        <f>HYPERLINK("https://www.catalog.slsa.sa.gov.au/xrecord=b2111445")</f>
        <v>https://www.catalog.slsa.sa.gov.au/xrecord=b2111445</v>
      </c>
      <c r="D2162" t="s">
        <v>66</v>
      </c>
      <c r="E2162" t="s">
        <v>7767</v>
      </c>
      <c r="F2162">
        <v>1957</v>
      </c>
      <c r="G2162" t="s">
        <v>121</v>
      </c>
      <c r="H2162" t="s">
        <v>7793</v>
      </c>
      <c r="I2162" t="s">
        <v>7791</v>
      </c>
      <c r="J2162" t="s">
        <v>71</v>
      </c>
      <c r="K2162" s="2" t="str">
        <f>HYPERLINK("http://collections.slsa.sa.gov.au/arthur/02250/BRG347_2080.htm")</f>
        <v>http://collections.slsa.sa.gov.au/arthur/02250/BRG347_2080.htm</v>
      </c>
    </row>
    <row r="2163" spans="1:11" x14ac:dyDescent="0.25">
      <c r="A2163" t="s">
        <v>7794</v>
      </c>
      <c r="B2163" s="1" t="str">
        <f>HYPERLINK("https://www.catalog.slsa.sa.gov.au/record=b2111456")</f>
        <v>https://www.catalog.slsa.sa.gov.au/record=b2111456</v>
      </c>
      <c r="C2163" s="1" t="str">
        <f>HYPERLINK("https://www.catalog.slsa.sa.gov.au/xrecord=b2111456")</f>
        <v>https://www.catalog.slsa.sa.gov.au/xrecord=b2111456</v>
      </c>
      <c r="D2163" t="s">
        <v>66</v>
      </c>
      <c r="E2163" t="s">
        <v>7784</v>
      </c>
      <c r="F2163">
        <v>1957</v>
      </c>
      <c r="G2163" t="s">
        <v>121</v>
      </c>
      <c r="H2163" t="s">
        <v>7795</v>
      </c>
      <c r="I2163" t="s">
        <v>7786</v>
      </c>
      <c r="J2163" t="s">
        <v>71</v>
      </c>
      <c r="K2163" s="2" t="str">
        <f>HYPERLINK("http://collections.slsa.sa.gov.au/arthur/02250/BRG347_2092.htm")</f>
        <v>http://collections.slsa.sa.gov.au/arthur/02250/BRG347_2092.htm</v>
      </c>
    </row>
    <row r="2164" spans="1:11" x14ac:dyDescent="0.25">
      <c r="A2164" t="s">
        <v>7796</v>
      </c>
      <c r="B2164" s="1" t="str">
        <f>HYPERLINK("https://www.catalog.slsa.sa.gov.au/record=b2111463")</f>
        <v>https://www.catalog.slsa.sa.gov.au/record=b2111463</v>
      </c>
      <c r="C2164" s="1" t="str">
        <f>HYPERLINK("https://www.catalog.slsa.sa.gov.au/xrecord=b2111463")</f>
        <v>https://www.catalog.slsa.sa.gov.au/xrecord=b2111463</v>
      </c>
      <c r="D2164" t="s">
        <v>66</v>
      </c>
      <c r="E2164" t="s">
        <v>7767</v>
      </c>
      <c r="F2164">
        <v>1957</v>
      </c>
      <c r="G2164" t="s">
        <v>121</v>
      </c>
      <c r="H2164" t="s">
        <v>7797</v>
      </c>
      <c r="I2164" t="s">
        <v>7769</v>
      </c>
      <c r="J2164" t="s">
        <v>71</v>
      </c>
      <c r="K2164" s="2" t="str">
        <f>HYPERLINK("http://collections.slsa.sa.gov.au/arthur/02250/BRG347_2099.htm")</f>
        <v>http://collections.slsa.sa.gov.au/arthur/02250/BRG347_2099.htm</v>
      </c>
    </row>
    <row r="2165" spans="1:11" x14ac:dyDescent="0.25">
      <c r="A2165" t="s">
        <v>7798</v>
      </c>
      <c r="B2165" s="1" t="str">
        <f>HYPERLINK("https://www.catalog.slsa.sa.gov.au/record=b2111464")</f>
        <v>https://www.catalog.slsa.sa.gov.au/record=b2111464</v>
      </c>
      <c r="C2165" s="1" t="str">
        <f>HYPERLINK("https://www.catalog.slsa.sa.gov.au/xrecord=b2111464")</f>
        <v>https://www.catalog.slsa.sa.gov.au/xrecord=b2111464</v>
      </c>
      <c r="D2165" t="s">
        <v>66</v>
      </c>
      <c r="E2165" t="s">
        <v>7767</v>
      </c>
      <c r="F2165">
        <v>1957</v>
      </c>
      <c r="G2165" t="s">
        <v>121</v>
      </c>
      <c r="H2165" t="s">
        <v>7799</v>
      </c>
      <c r="I2165" t="s">
        <v>7769</v>
      </c>
      <c r="J2165" t="s">
        <v>71</v>
      </c>
      <c r="K2165" s="2" t="str">
        <f>HYPERLINK("http://collections.slsa.sa.gov.au/arthur/02250/BRG347_2100.htm")</f>
        <v>http://collections.slsa.sa.gov.au/arthur/02250/BRG347_2100.htm</v>
      </c>
    </row>
    <row r="2166" spans="1:11" x14ac:dyDescent="0.25">
      <c r="A2166" t="s">
        <v>7800</v>
      </c>
      <c r="B2166" s="1" t="str">
        <f>HYPERLINK("https://www.catalog.slsa.sa.gov.au/record=b2112084")</f>
        <v>https://www.catalog.slsa.sa.gov.au/record=b2112084</v>
      </c>
      <c r="C2166" s="1" t="str">
        <f>HYPERLINK("https://www.catalog.slsa.sa.gov.au/xrecord=b2112084")</f>
        <v>https://www.catalog.slsa.sa.gov.au/xrecord=b2112084</v>
      </c>
      <c r="D2166" t="s">
        <v>66</v>
      </c>
      <c r="E2166" t="s">
        <v>6467</v>
      </c>
      <c r="F2166">
        <v>1957</v>
      </c>
      <c r="G2166" t="s">
        <v>121</v>
      </c>
      <c r="H2166" t="s">
        <v>7801</v>
      </c>
      <c r="I2166" t="s">
        <v>7346</v>
      </c>
      <c r="J2166" t="s">
        <v>71</v>
      </c>
      <c r="K2166" s="2" t="str">
        <f>HYPERLINK("http://collections.slsa.sa.gov.au/arthur/02750/BRG347_2514.htm")</f>
        <v>http://collections.slsa.sa.gov.au/arthur/02750/BRG347_2514.htm</v>
      </c>
    </row>
    <row r="2167" spans="1:11" x14ac:dyDescent="0.25">
      <c r="A2167" t="s">
        <v>7802</v>
      </c>
      <c r="B2167" s="1" t="str">
        <f>HYPERLINK("https://www.catalog.slsa.sa.gov.au/record=b2112085")</f>
        <v>https://www.catalog.slsa.sa.gov.au/record=b2112085</v>
      </c>
      <c r="C2167" s="1" t="str">
        <f>HYPERLINK("https://www.catalog.slsa.sa.gov.au/xrecord=b2112085")</f>
        <v>https://www.catalog.slsa.sa.gov.au/xrecord=b2112085</v>
      </c>
      <c r="D2167" t="s">
        <v>66</v>
      </c>
      <c r="E2167" t="s">
        <v>6467</v>
      </c>
      <c r="F2167">
        <v>1957</v>
      </c>
      <c r="G2167" t="s">
        <v>121</v>
      </c>
      <c r="H2167" t="s">
        <v>7801</v>
      </c>
      <c r="I2167" t="s">
        <v>7803</v>
      </c>
      <c r="J2167" t="s">
        <v>71</v>
      </c>
      <c r="K2167" s="2" t="str">
        <f>HYPERLINK("http://collections.slsa.sa.gov.au/arthur/02750/BRG347_2515.htm")</f>
        <v>http://collections.slsa.sa.gov.au/arthur/02750/BRG347_2515.htm</v>
      </c>
    </row>
    <row r="2168" spans="1:11" x14ac:dyDescent="0.25">
      <c r="A2168" t="s">
        <v>7804</v>
      </c>
      <c r="B2168" s="1" t="str">
        <f>HYPERLINK("https://www.catalog.slsa.sa.gov.au/record=b2112086")</f>
        <v>https://www.catalog.slsa.sa.gov.au/record=b2112086</v>
      </c>
      <c r="C2168" s="1" t="str">
        <f>HYPERLINK("https://www.catalog.slsa.sa.gov.au/xrecord=b2112086")</f>
        <v>https://www.catalog.slsa.sa.gov.au/xrecord=b2112086</v>
      </c>
      <c r="D2168" t="s">
        <v>66</v>
      </c>
      <c r="E2168" t="s">
        <v>7805</v>
      </c>
      <c r="F2168">
        <v>1957</v>
      </c>
      <c r="G2168" t="s">
        <v>121</v>
      </c>
      <c r="H2168" t="s">
        <v>7806</v>
      </c>
      <c r="I2168" t="s">
        <v>7807</v>
      </c>
      <c r="J2168" t="s">
        <v>71</v>
      </c>
      <c r="K2168" s="2" t="str">
        <f>HYPERLINK("http://collections.slsa.sa.gov.au/arthur/02750/BRG347_2516.htm")</f>
        <v>http://collections.slsa.sa.gov.au/arthur/02750/BRG347_2516.htm</v>
      </c>
    </row>
    <row r="2169" spans="1:11" x14ac:dyDescent="0.25">
      <c r="A2169" t="s">
        <v>7808</v>
      </c>
      <c r="B2169" s="1" t="str">
        <f>HYPERLINK("https://www.catalog.slsa.sa.gov.au/record=b2112108")</f>
        <v>https://www.catalog.slsa.sa.gov.au/record=b2112108</v>
      </c>
      <c r="C2169" s="1" t="str">
        <f>HYPERLINK("https://www.catalog.slsa.sa.gov.au/xrecord=b2112108")</f>
        <v>https://www.catalog.slsa.sa.gov.au/xrecord=b2112108</v>
      </c>
      <c r="D2169" t="s">
        <v>66</v>
      </c>
      <c r="E2169" t="s">
        <v>6467</v>
      </c>
      <c r="F2169">
        <v>1957</v>
      </c>
      <c r="G2169" t="s">
        <v>121</v>
      </c>
      <c r="H2169" t="s">
        <v>7809</v>
      </c>
      <c r="I2169" t="s">
        <v>7350</v>
      </c>
      <c r="J2169" t="s">
        <v>71</v>
      </c>
      <c r="K2169" s="2" t="str">
        <f>HYPERLINK("http://collections.slsa.sa.gov.au/arthur/02750/BRG347_2538.htm")</f>
        <v>http://collections.slsa.sa.gov.au/arthur/02750/BRG347_2538.htm</v>
      </c>
    </row>
    <row r="2170" spans="1:11" x14ac:dyDescent="0.25">
      <c r="A2170" t="s">
        <v>7810</v>
      </c>
      <c r="B2170" s="1" t="str">
        <f>HYPERLINK("https://www.catalog.slsa.sa.gov.au/record=b2112109")</f>
        <v>https://www.catalog.slsa.sa.gov.au/record=b2112109</v>
      </c>
      <c r="C2170" s="1" t="str">
        <f>HYPERLINK("https://www.catalog.slsa.sa.gov.au/xrecord=b2112109")</f>
        <v>https://www.catalog.slsa.sa.gov.au/xrecord=b2112109</v>
      </c>
      <c r="D2170" t="s">
        <v>66</v>
      </c>
      <c r="E2170" t="s">
        <v>6467</v>
      </c>
      <c r="F2170">
        <v>1957</v>
      </c>
      <c r="G2170" t="s">
        <v>121</v>
      </c>
      <c r="H2170" t="s">
        <v>7811</v>
      </c>
      <c r="I2170" t="s">
        <v>7350</v>
      </c>
      <c r="J2170" t="s">
        <v>71</v>
      </c>
      <c r="K2170" s="2" t="str">
        <f>HYPERLINK("http://collections.slsa.sa.gov.au/arthur/02750/BRG347_2539.htm")</f>
        <v>http://collections.slsa.sa.gov.au/arthur/02750/BRG347_2539.htm</v>
      </c>
    </row>
    <row r="2171" spans="1:11" x14ac:dyDescent="0.25">
      <c r="A2171" t="s">
        <v>7812</v>
      </c>
      <c r="B2171" s="1" t="str">
        <f>HYPERLINK("https://www.catalog.slsa.sa.gov.au/record=b2112110")</f>
        <v>https://www.catalog.slsa.sa.gov.au/record=b2112110</v>
      </c>
      <c r="C2171" s="1" t="str">
        <f>HYPERLINK("https://www.catalog.slsa.sa.gov.au/xrecord=b2112110")</f>
        <v>https://www.catalog.slsa.sa.gov.au/xrecord=b2112110</v>
      </c>
      <c r="D2171" t="s">
        <v>66</v>
      </c>
      <c r="E2171" t="s">
        <v>6467</v>
      </c>
      <c r="F2171">
        <v>1957</v>
      </c>
      <c r="G2171" t="s">
        <v>121</v>
      </c>
      <c r="H2171" t="s">
        <v>7813</v>
      </c>
      <c r="I2171" t="s">
        <v>7350</v>
      </c>
      <c r="J2171" t="s">
        <v>71</v>
      </c>
      <c r="K2171" s="2" t="str">
        <f>HYPERLINK("http://collections.slsa.sa.gov.au/arthur/02750/BRG347_2540.htm")</f>
        <v>http://collections.slsa.sa.gov.au/arthur/02750/BRG347_2540.htm</v>
      </c>
    </row>
    <row r="2172" spans="1:11" x14ac:dyDescent="0.25">
      <c r="A2172" t="s">
        <v>7814</v>
      </c>
      <c r="B2172" s="1" t="str">
        <f>HYPERLINK("https://www.catalog.slsa.sa.gov.au/record=b2112111")</f>
        <v>https://www.catalog.slsa.sa.gov.au/record=b2112111</v>
      </c>
      <c r="C2172" s="1" t="str">
        <f>HYPERLINK("https://www.catalog.slsa.sa.gov.au/xrecord=b2112111")</f>
        <v>https://www.catalog.slsa.sa.gov.au/xrecord=b2112111</v>
      </c>
      <c r="D2172" t="s">
        <v>66</v>
      </c>
      <c r="E2172" t="s">
        <v>6467</v>
      </c>
      <c r="F2172">
        <v>1957</v>
      </c>
      <c r="G2172" t="s">
        <v>121</v>
      </c>
      <c r="H2172" t="s">
        <v>7815</v>
      </c>
      <c r="I2172" t="s">
        <v>7350</v>
      </c>
      <c r="J2172" t="s">
        <v>71</v>
      </c>
      <c r="K2172" s="2" t="str">
        <f>HYPERLINK("http://collections.slsa.sa.gov.au/arthur/02750/BRG347_2541.htm")</f>
        <v>http://collections.slsa.sa.gov.au/arthur/02750/BRG347_2541.htm</v>
      </c>
    </row>
    <row r="2173" spans="1:11" x14ac:dyDescent="0.25">
      <c r="A2173" t="s">
        <v>7816</v>
      </c>
      <c r="B2173" s="1" t="str">
        <f>HYPERLINK("https://www.catalog.slsa.sa.gov.au/record=b2112112")</f>
        <v>https://www.catalog.slsa.sa.gov.au/record=b2112112</v>
      </c>
      <c r="C2173" s="1" t="str">
        <f>HYPERLINK("https://www.catalog.slsa.sa.gov.au/xrecord=b2112112")</f>
        <v>https://www.catalog.slsa.sa.gov.au/xrecord=b2112112</v>
      </c>
      <c r="D2173" t="s">
        <v>66</v>
      </c>
      <c r="E2173" t="s">
        <v>7817</v>
      </c>
      <c r="F2173">
        <v>1957</v>
      </c>
      <c r="G2173" t="s">
        <v>121</v>
      </c>
      <c r="H2173" t="s">
        <v>7818</v>
      </c>
      <c r="I2173" t="s">
        <v>7819</v>
      </c>
      <c r="J2173" t="s">
        <v>71</v>
      </c>
      <c r="K2173" s="2" t="str">
        <f>HYPERLINK("http://collections.slsa.sa.gov.au/arthur/02750/BRG347_2542.htm")</f>
        <v>http://collections.slsa.sa.gov.au/arthur/02750/BRG347_2542.htm</v>
      </c>
    </row>
    <row r="2174" spans="1:11" x14ac:dyDescent="0.25">
      <c r="A2174" t="s">
        <v>7820</v>
      </c>
      <c r="B2174" s="1" t="str">
        <f>HYPERLINK("https://www.catalog.slsa.sa.gov.au/record=b2112113")</f>
        <v>https://www.catalog.slsa.sa.gov.au/record=b2112113</v>
      </c>
      <c r="C2174" s="1" t="str">
        <f>HYPERLINK("https://www.catalog.slsa.sa.gov.au/xrecord=b2112113")</f>
        <v>https://www.catalog.slsa.sa.gov.au/xrecord=b2112113</v>
      </c>
      <c r="D2174" t="s">
        <v>66</v>
      </c>
      <c r="E2174" t="s">
        <v>6467</v>
      </c>
      <c r="F2174">
        <v>1957</v>
      </c>
      <c r="G2174" t="s">
        <v>121</v>
      </c>
      <c r="H2174" t="s">
        <v>7821</v>
      </c>
      <c r="I2174" t="s">
        <v>6476</v>
      </c>
      <c r="J2174" t="s">
        <v>71</v>
      </c>
      <c r="K2174" s="2" t="str">
        <f>HYPERLINK("http://collections.slsa.sa.gov.au/arthur/02750/BRG347_2543.htm")</f>
        <v>http://collections.slsa.sa.gov.au/arthur/02750/BRG347_2543.htm</v>
      </c>
    </row>
    <row r="2175" spans="1:11" x14ac:dyDescent="0.25">
      <c r="A2175" t="s">
        <v>7822</v>
      </c>
      <c r="B2175" s="1" t="str">
        <f>HYPERLINK("https://www.catalog.slsa.sa.gov.au/record=b2112114")</f>
        <v>https://www.catalog.slsa.sa.gov.au/record=b2112114</v>
      </c>
      <c r="C2175" s="1" t="str">
        <f>HYPERLINK("https://www.catalog.slsa.sa.gov.au/xrecord=b2112114")</f>
        <v>https://www.catalog.slsa.sa.gov.au/xrecord=b2112114</v>
      </c>
      <c r="D2175" t="s">
        <v>66</v>
      </c>
      <c r="E2175" t="s">
        <v>6467</v>
      </c>
      <c r="F2175">
        <v>1957</v>
      </c>
      <c r="G2175" t="s">
        <v>121</v>
      </c>
      <c r="H2175" t="s">
        <v>7823</v>
      </c>
      <c r="I2175" t="s">
        <v>7346</v>
      </c>
      <c r="J2175" t="s">
        <v>71</v>
      </c>
      <c r="K2175" s="2" t="str">
        <f>HYPERLINK("http://collections.slsa.sa.gov.au/arthur/02750/BRG347_2544.htm")</f>
        <v>http://collections.slsa.sa.gov.au/arthur/02750/BRG347_2544.htm</v>
      </c>
    </row>
    <row r="2176" spans="1:11" x14ac:dyDescent="0.25">
      <c r="A2176" t="s">
        <v>7824</v>
      </c>
      <c r="B2176" s="1" t="str">
        <f>HYPERLINK("https://www.catalog.slsa.sa.gov.au/record=b2112126")</f>
        <v>https://www.catalog.slsa.sa.gov.au/record=b2112126</v>
      </c>
      <c r="C2176" s="1" t="str">
        <f>HYPERLINK("https://www.catalog.slsa.sa.gov.au/xrecord=b2112126")</f>
        <v>https://www.catalog.slsa.sa.gov.au/xrecord=b2112126</v>
      </c>
      <c r="D2176" t="s">
        <v>66</v>
      </c>
      <c r="E2176" t="s">
        <v>7825</v>
      </c>
      <c r="F2176">
        <v>1957</v>
      </c>
      <c r="G2176" t="s">
        <v>121</v>
      </c>
      <c r="H2176" t="s">
        <v>7826</v>
      </c>
      <c r="I2176" t="s">
        <v>6476</v>
      </c>
      <c r="J2176" t="s">
        <v>71</v>
      </c>
      <c r="K2176" s="2" t="str">
        <f>HYPERLINK("http://collections.slsa.sa.gov.au/arthur/02750/BRG347_2556.htm")</f>
        <v>http://collections.slsa.sa.gov.au/arthur/02750/BRG347_2556.htm</v>
      </c>
    </row>
    <row r="2177" spans="1:11" x14ac:dyDescent="0.25">
      <c r="A2177" t="s">
        <v>7827</v>
      </c>
      <c r="B2177" s="1" t="str">
        <f>HYPERLINK("https://www.catalog.slsa.sa.gov.au/record=b2112127")</f>
        <v>https://www.catalog.slsa.sa.gov.au/record=b2112127</v>
      </c>
      <c r="C2177" s="1" t="str">
        <f>HYPERLINK("https://www.catalog.slsa.sa.gov.au/xrecord=b2112127")</f>
        <v>https://www.catalog.slsa.sa.gov.au/xrecord=b2112127</v>
      </c>
      <c r="D2177" t="s">
        <v>66</v>
      </c>
      <c r="E2177" t="s">
        <v>6467</v>
      </c>
      <c r="F2177">
        <v>1957</v>
      </c>
      <c r="G2177" t="s">
        <v>121</v>
      </c>
      <c r="H2177" t="s">
        <v>7828</v>
      </c>
      <c r="I2177" t="s">
        <v>6476</v>
      </c>
      <c r="J2177" t="s">
        <v>71</v>
      </c>
      <c r="K2177" s="2" t="str">
        <f>HYPERLINK("http://collections.slsa.sa.gov.au/arthur/02750/BRG347_2557.htm")</f>
        <v>http://collections.slsa.sa.gov.au/arthur/02750/BRG347_2557.htm</v>
      </c>
    </row>
    <row r="2178" spans="1:11" x14ac:dyDescent="0.25">
      <c r="A2178" t="s">
        <v>7829</v>
      </c>
      <c r="B2178" s="1" t="str">
        <f>HYPERLINK("https://www.catalog.slsa.sa.gov.au/record=b2112128")</f>
        <v>https://www.catalog.slsa.sa.gov.au/record=b2112128</v>
      </c>
      <c r="C2178" s="1" t="str">
        <f>HYPERLINK("https://www.catalog.slsa.sa.gov.au/xrecord=b2112128")</f>
        <v>https://www.catalog.slsa.sa.gov.au/xrecord=b2112128</v>
      </c>
      <c r="D2178" t="s">
        <v>66</v>
      </c>
      <c r="E2178" t="s">
        <v>7825</v>
      </c>
      <c r="F2178">
        <v>1957</v>
      </c>
      <c r="G2178" t="s">
        <v>121</v>
      </c>
      <c r="H2178" t="s">
        <v>7830</v>
      </c>
      <c r="I2178" t="s">
        <v>7831</v>
      </c>
      <c r="J2178" t="s">
        <v>71</v>
      </c>
      <c r="K2178" s="2" t="str">
        <f>HYPERLINK("http://collections.slsa.sa.gov.au/arthur/02750/BRG347_2558.htm")</f>
        <v>http://collections.slsa.sa.gov.au/arthur/02750/BRG347_2558.htm</v>
      </c>
    </row>
    <row r="2179" spans="1:11" x14ac:dyDescent="0.25">
      <c r="A2179" t="s">
        <v>7832</v>
      </c>
      <c r="B2179" s="1" t="str">
        <f>HYPERLINK("https://www.catalog.slsa.sa.gov.au/record=b2112129")</f>
        <v>https://www.catalog.slsa.sa.gov.au/record=b2112129</v>
      </c>
      <c r="C2179" s="1" t="str">
        <f>HYPERLINK("https://www.catalog.slsa.sa.gov.au/xrecord=b2112129")</f>
        <v>https://www.catalog.slsa.sa.gov.au/xrecord=b2112129</v>
      </c>
      <c r="D2179" t="s">
        <v>66</v>
      </c>
      <c r="E2179" t="s">
        <v>7833</v>
      </c>
      <c r="F2179">
        <v>1957</v>
      </c>
      <c r="G2179" t="s">
        <v>121</v>
      </c>
      <c r="H2179" t="s">
        <v>7834</v>
      </c>
      <c r="I2179" t="s">
        <v>7835</v>
      </c>
      <c r="J2179" t="s">
        <v>71</v>
      </c>
      <c r="K2179" s="2" t="str">
        <f>HYPERLINK("http://collections.slsa.sa.gov.au/arthur/02750/BRG347_2559.htm")</f>
        <v>http://collections.slsa.sa.gov.au/arthur/02750/BRG347_2559.htm</v>
      </c>
    </row>
    <row r="2180" spans="1:11" x14ac:dyDescent="0.25">
      <c r="A2180" t="s">
        <v>7836</v>
      </c>
      <c r="B2180" s="1" t="str">
        <f>HYPERLINK("https://www.catalog.slsa.sa.gov.au/record=b2112137")</f>
        <v>https://www.catalog.slsa.sa.gov.au/record=b2112137</v>
      </c>
      <c r="C2180" s="1" t="str">
        <f>HYPERLINK("https://www.catalog.slsa.sa.gov.au/xrecord=b2112137")</f>
        <v>https://www.catalog.slsa.sa.gov.au/xrecord=b2112137</v>
      </c>
      <c r="D2180" t="s">
        <v>66</v>
      </c>
      <c r="E2180" t="s">
        <v>7837</v>
      </c>
      <c r="F2180">
        <v>1957</v>
      </c>
      <c r="G2180" t="s">
        <v>121</v>
      </c>
      <c r="H2180" t="s">
        <v>7838</v>
      </c>
      <c r="I2180" t="s">
        <v>7839</v>
      </c>
      <c r="J2180" t="s">
        <v>71</v>
      </c>
      <c r="K2180" s="2" t="str">
        <f>HYPERLINK("http://collections.slsa.sa.gov.au/arthur/02750/BRG347_2567.htm")</f>
        <v>http://collections.slsa.sa.gov.au/arthur/02750/BRG347_2567.htm</v>
      </c>
    </row>
    <row r="2181" spans="1:11" x14ac:dyDescent="0.25">
      <c r="A2181" t="s">
        <v>7840</v>
      </c>
      <c r="B2181" s="1" t="str">
        <f>HYPERLINK("https://www.catalog.slsa.sa.gov.au/record=b2112140")</f>
        <v>https://www.catalog.slsa.sa.gov.au/record=b2112140</v>
      </c>
      <c r="C2181" s="1" t="str">
        <f>HYPERLINK("https://www.catalog.slsa.sa.gov.au/xrecord=b2112140")</f>
        <v>https://www.catalog.slsa.sa.gov.au/xrecord=b2112140</v>
      </c>
      <c r="D2181" t="s">
        <v>66</v>
      </c>
      <c r="E2181" t="s">
        <v>7841</v>
      </c>
      <c r="F2181">
        <v>1957</v>
      </c>
      <c r="G2181" t="s">
        <v>121</v>
      </c>
      <c r="H2181" t="s">
        <v>7842</v>
      </c>
      <c r="I2181" t="s">
        <v>4562</v>
      </c>
      <c r="J2181" t="s">
        <v>71</v>
      </c>
      <c r="K2181" s="2" t="str">
        <f>HYPERLINK("http://collections.slsa.sa.gov.au/arthur/02750/BRG347_2570.htm")</f>
        <v>http://collections.slsa.sa.gov.au/arthur/02750/BRG347_2570.htm</v>
      </c>
    </row>
    <row r="2182" spans="1:11" x14ac:dyDescent="0.25">
      <c r="A2182" t="s">
        <v>7843</v>
      </c>
      <c r="B2182" s="1" t="str">
        <f>HYPERLINK("https://www.catalog.slsa.sa.gov.au/record=b2112207")</f>
        <v>https://www.catalog.slsa.sa.gov.au/record=b2112207</v>
      </c>
      <c r="C2182" s="1" t="str">
        <f>HYPERLINK("https://www.catalog.slsa.sa.gov.au/xrecord=b2112207")</f>
        <v>https://www.catalog.slsa.sa.gov.au/xrecord=b2112207</v>
      </c>
      <c r="D2182" t="s">
        <v>66</v>
      </c>
      <c r="E2182" t="s">
        <v>7844</v>
      </c>
      <c r="F2182">
        <v>1957</v>
      </c>
      <c r="G2182" t="s">
        <v>121</v>
      </c>
      <c r="H2182" t="s">
        <v>7845</v>
      </c>
      <c r="I2182" t="s">
        <v>7846</v>
      </c>
      <c r="J2182" t="s">
        <v>71</v>
      </c>
      <c r="K2182" s="2" t="str">
        <f>HYPERLINK("http://collections.slsa.sa.gov.au/arthur/02750/BRG347_2639.htm")</f>
        <v>http://collections.slsa.sa.gov.au/arthur/02750/BRG347_2639.htm</v>
      </c>
    </row>
    <row r="2183" spans="1:11" x14ac:dyDescent="0.25">
      <c r="A2183" t="s">
        <v>7847</v>
      </c>
      <c r="B2183" s="1" t="str">
        <f>HYPERLINK("https://www.catalog.slsa.sa.gov.au/record=b2112211")</f>
        <v>https://www.catalog.slsa.sa.gov.au/record=b2112211</v>
      </c>
      <c r="C2183" s="1" t="str">
        <f>HYPERLINK("https://www.catalog.slsa.sa.gov.au/xrecord=b2112211")</f>
        <v>https://www.catalog.slsa.sa.gov.au/xrecord=b2112211</v>
      </c>
      <c r="D2183" t="s">
        <v>66</v>
      </c>
      <c r="E2183" t="s">
        <v>7848</v>
      </c>
      <c r="F2183">
        <v>1957</v>
      </c>
      <c r="G2183" t="s">
        <v>121</v>
      </c>
      <c r="H2183" t="s">
        <v>7849</v>
      </c>
      <c r="I2183" t="s">
        <v>7850</v>
      </c>
      <c r="J2183" t="s">
        <v>71</v>
      </c>
      <c r="K2183" s="2" t="str">
        <f>HYPERLINK("http://collections.slsa.sa.gov.au/arthur/02750/BRG347_2643.htm")</f>
        <v>http://collections.slsa.sa.gov.au/arthur/02750/BRG347_2643.htm</v>
      </c>
    </row>
    <row r="2184" spans="1:11" x14ac:dyDescent="0.25">
      <c r="A2184" t="s">
        <v>7851</v>
      </c>
      <c r="B2184" s="1" t="str">
        <f>HYPERLINK("https://www.catalog.slsa.sa.gov.au/record=b2112220")</f>
        <v>https://www.catalog.slsa.sa.gov.au/record=b2112220</v>
      </c>
      <c r="C2184" s="1" t="str">
        <f>HYPERLINK("https://www.catalog.slsa.sa.gov.au/xrecord=b2112220")</f>
        <v>https://www.catalog.slsa.sa.gov.au/xrecord=b2112220</v>
      </c>
      <c r="D2184" t="s">
        <v>66</v>
      </c>
      <c r="E2184" t="s">
        <v>7852</v>
      </c>
      <c r="F2184">
        <v>1957</v>
      </c>
      <c r="G2184" t="s">
        <v>121</v>
      </c>
      <c r="H2184" t="s">
        <v>7853</v>
      </c>
      <c r="I2184" t="s">
        <v>7850</v>
      </c>
      <c r="J2184" t="s">
        <v>71</v>
      </c>
      <c r="K2184" s="2" t="str">
        <f>HYPERLINK("http://collections.slsa.sa.gov.au/arthur/02750/BRG347_2652.htm")</f>
        <v>http://collections.slsa.sa.gov.au/arthur/02750/BRG347_2652.htm</v>
      </c>
    </row>
    <row r="2185" spans="1:11" x14ac:dyDescent="0.25">
      <c r="A2185" t="s">
        <v>7854</v>
      </c>
      <c r="B2185" s="1" t="str">
        <f>HYPERLINK("https://www.catalog.slsa.sa.gov.au/record=b2112223")</f>
        <v>https://www.catalog.slsa.sa.gov.au/record=b2112223</v>
      </c>
      <c r="C2185" s="1" t="str">
        <f>HYPERLINK("https://www.catalog.slsa.sa.gov.au/xrecord=b2112223")</f>
        <v>https://www.catalog.slsa.sa.gov.au/xrecord=b2112223</v>
      </c>
      <c r="D2185" t="s">
        <v>66</v>
      </c>
      <c r="E2185" t="s">
        <v>7852</v>
      </c>
      <c r="F2185">
        <v>1957</v>
      </c>
      <c r="G2185" t="s">
        <v>121</v>
      </c>
      <c r="H2185" t="s">
        <v>7855</v>
      </c>
      <c r="I2185" t="s">
        <v>7850</v>
      </c>
      <c r="J2185" t="s">
        <v>71</v>
      </c>
      <c r="K2185" s="2" t="str">
        <f>HYPERLINK("http://collections.slsa.sa.gov.au/arthur/02750/BRG347_2655.htm")</f>
        <v>http://collections.slsa.sa.gov.au/arthur/02750/BRG347_2655.htm</v>
      </c>
    </row>
    <row r="2186" spans="1:11" x14ac:dyDescent="0.25">
      <c r="A2186" t="s">
        <v>7856</v>
      </c>
      <c r="B2186" s="1" t="str">
        <f>HYPERLINK("https://www.catalog.slsa.sa.gov.au/record=b2112582")</f>
        <v>https://www.catalog.slsa.sa.gov.au/record=b2112582</v>
      </c>
      <c r="C2186" s="1" t="str">
        <f>HYPERLINK("https://www.catalog.slsa.sa.gov.au/xrecord=b2112582")</f>
        <v>https://www.catalog.slsa.sa.gov.au/xrecord=b2112582</v>
      </c>
      <c r="D2186" t="s">
        <v>66</v>
      </c>
      <c r="E2186" t="s">
        <v>7857</v>
      </c>
      <c r="F2186">
        <v>1957</v>
      </c>
      <c r="G2186" t="s">
        <v>121</v>
      </c>
      <c r="H2186" t="s">
        <v>7858</v>
      </c>
      <c r="I2186" t="s">
        <v>6558</v>
      </c>
      <c r="J2186" t="s">
        <v>71</v>
      </c>
      <c r="K2186" s="2" t="str">
        <f>HYPERLINK("http://collections.slsa.sa.gov.au/arthur/03000/BRG347_2852.htm")</f>
        <v>http://collections.slsa.sa.gov.au/arthur/03000/BRG347_2852.htm</v>
      </c>
    </row>
    <row r="2187" spans="1:11" x14ac:dyDescent="0.25">
      <c r="A2187" t="s">
        <v>7859</v>
      </c>
      <c r="B2187" s="1" t="str">
        <f>HYPERLINK("https://www.catalog.slsa.sa.gov.au/record=b2112589")</f>
        <v>https://www.catalog.slsa.sa.gov.au/record=b2112589</v>
      </c>
      <c r="C2187" s="1" t="str">
        <f>HYPERLINK("https://www.catalog.slsa.sa.gov.au/xrecord=b2112589")</f>
        <v>https://www.catalog.slsa.sa.gov.au/xrecord=b2112589</v>
      </c>
      <c r="D2187" t="s">
        <v>66</v>
      </c>
      <c r="E2187" t="s">
        <v>7860</v>
      </c>
      <c r="F2187">
        <v>1957</v>
      </c>
      <c r="G2187" t="s">
        <v>121</v>
      </c>
      <c r="H2187" t="s">
        <v>7861</v>
      </c>
      <c r="I2187" t="s">
        <v>7862</v>
      </c>
      <c r="J2187" t="s">
        <v>71</v>
      </c>
      <c r="K2187" s="2" t="str">
        <f>HYPERLINK("http://collections.slsa.sa.gov.au/arthur/03000/BRG347_2859.htm")</f>
        <v>http://collections.slsa.sa.gov.au/arthur/03000/BRG347_2859.htm</v>
      </c>
    </row>
    <row r="2188" spans="1:11" x14ac:dyDescent="0.25">
      <c r="A2188" t="s">
        <v>7863</v>
      </c>
      <c r="B2188" s="1" t="str">
        <f>HYPERLINK("https://www.catalog.slsa.sa.gov.au/record=b2112590")</f>
        <v>https://www.catalog.slsa.sa.gov.au/record=b2112590</v>
      </c>
      <c r="C2188" s="1" t="str">
        <f>HYPERLINK("https://www.catalog.slsa.sa.gov.au/xrecord=b2112590")</f>
        <v>https://www.catalog.slsa.sa.gov.au/xrecord=b2112590</v>
      </c>
      <c r="D2188" t="s">
        <v>66</v>
      </c>
      <c r="E2188" t="s">
        <v>7864</v>
      </c>
      <c r="F2188">
        <v>1957</v>
      </c>
      <c r="G2188" t="s">
        <v>121</v>
      </c>
      <c r="H2188" t="s">
        <v>7865</v>
      </c>
      <c r="I2188" t="s">
        <v>7866</v>
      </c>
      <c r="J2188" t="s">
        <v>71</v>
      </c>
      <c r="K2188" s="2" t="str">
        <f>HYPERLINK("http://collections.slsa.sa.gov.au/arthur/03000/BRG347_2860.htm")</f>
        <v>http://collections.slsa.sa.gov.au/arthur/03000/BRG347_2860.htm</v>
      </c>
    </row>
    <row r="2189" spans="1:11" x14ac:dyDescent="0.25">
      <c r="A2189" t="s">
        <v>7867</v>
      </c>
      <c r="B2189" s="1" t="str">
        <f>HYPERLINK("https://www.catalog.slsa.sa.gov.au/record=b2112591")</f>
        <v>https://www.catalog.slsa.sa.gov.au/record=b2112591</v>
      </c>
      <c r="C2189" s="1" t="str">
        <f>HYPERLINK("https://www.catalog.slsa.sa.gov.au/xrecord=b2112591")</f>
        <v>https://www.catalog.slsa.sa.gov.au/xrecord=b2112591</v>
      </c>
      <c r="D2189" t="s">
        <v>66</v>
      </c>
      <c r="E2189" t="s">
        <v>7864</v>
      </c>
      <c r="F2189">
        <v>1957</v>
      </c>
      <c r="G2189" t="s">
        <v>121</v>
      </c>
      <c r="H2189" t="s">
        <v>7868</v>
      </c>
      <c r="I2189" t="s">
        <v>7866</v>
      </c>
      <c r="J2189" t="s">
        <v>71</v>
      </c>
      <c r="K2189" s="2" t="str">
        <f>HYPERLINK("http://collections.slsa.sa.gov.au/arthur/03000/BRG347_2861.htm")</f>
        <v>http://collections.slsa.sa.gov.au/arthur/03000/BRG347_2861.htm</v>
      </c>
    </row>
    <row r="2190" spans="1:11" x14ac:dyDescent="0.25">
      <c r="A2190" t="s">
        <v>7869</v>
      </c>
      <c r="B2190" s="1" t="str">
        <f>HYPERLINK("https://www.catalog.slsa.sa.gov.au/record=b2118230")</f>
        <v>https://www.catalog.slsa.sa.gov.au/record=b2118230</v>
      </c>
      <c r="C2190" s="1" t="str">
        <f>HYPERLINK("https://www.catalog.slsa.sa.gov.au/xrecord=b2118230")</f>
        <v>https://www.catalog.slsa.sa.gov.au/xrecord=b2118230</v>
      </c>
      <c r="D2190" t="s">
        <v>66</v>
      </c>
      <c r="E2190" t="s">
        <v>7870</v>
      </c>
      <c r="F2190">
        <v>1957</v>
      </c>
      <c r="G2190" t="s">
        <v>7871</v>
      </c>
      <c r="H2190" t="s">
        <v>7872</v>
      </c>
      <c r="I2190" t="s">
        <v>7873</v>
      </c>
      <c r="J2190" t="s">
        <v>71</v>
      </c>
      <c r="K2190" s="2" t="str">
        <f>HYPERLINK("http://collections.slsa.sa.gov.au/arthur/03000/BRG347_2862.htm")</f>
        <v>http://collections.slsa.sa.gov.au/arthur/03000/BRG347_2862.htm</v>
      </c>
    </row>
    <row r="2191" spans="1:11" x14ac:dyDescent="0.25">
      <c r="A2191" t="s">
        <v>7874</v>
      </c>
      <c r="B2191" s="1" t="str">
        <f>HYPERLINK("https://www.catalog.slsa.sa.gov.au/record=b2112592")</f>
        <v>https://www.catalog.slsa.sa.gov.au/record=b2112592</v>
      </c>
      <c r="C2191" s="1" t="str">
        <f>HYPERLINK("https://www.catalog.slsa.sa.gov.au/xrecord=b2112592")</f>
        <v>https://www.catalog.slsa.sa.gov.au/xrecord=b2112592</v>
      </c>
      <c r="D2191" t="s">
        <v>66</v>
      </c>
      <c r="E2191" t="s">
        <v>7875</v>
      </c>
      <c r="F2191">
        <v>1957</v>
      </c>
      <c r="G2191" t="s">
        <v>121</v>
      </c>
      <c r="H2191" t="s">
        <v>7876</v>
      </c>
      <c r="I2191" t="s">
        <v>7877</v>
      </c>
      <c r="J2191" t="s">
        <v>71</v>
      </c>
      <c r="K2191" s="2" t="str">
        <f>HYPERLINK("http://collections.slsa.sa.gov.au/arthur/03000/BRG347_2863.htm")</f>
        <v>http://collections.slsa.sa.gov.au/arthur/03000/BRG347_2863.htm</v>
      </c>
    </row>
    <row r="2192" spans="1:11" x14ac:dyDescent="0.25">
      <c r="A2192" t="s">
        <v>7878</v>
      </c>
      <c r="B2192" s="1" t="str">
        <f>HYPERLINK("https://www.catalog.slsa.sa.gov.au/record=b2112596")</f>
        <v>https://www.catalog.slsa.sa.gov.au/record=b2112596</v>
      </c>
      <c r="C2192" s="1" t="str">
        <f>HYPERLINK("https://www.catalog.slsa.sa.gov.au/xrecord=b2112596")</f>
        <v>https://www.catalog.slsa.sa.gov.au/xrecord=b2112596</v>
      </c>
      <c r="D2192" t="s">
        <v>66</v>
      </c>
      <c r="E2192" t="s">
        <v>7879</v>
      </c>
      <c r="F2192">
        <v>1957</v>
      </c>
      <c r="G2192" t="s">
        <v>121</v>
      </c>
      <c r="H2192" t="s">
        <v>7880</v>
      </c>
      <c r="I2192" t="s">
        <v>7701</v>
      </c>
      <c r="J2192" t="s">
        <v>71</v>
      </c>
      <c r="K2192" s="2" t="str">
        <f>HYPERLINK("http://collections.slsa.sa.gov.au/arthur/03000/BRG347_2866.htm")</f>
        <v>http://collections.slsa.sa.gov.au/arthur/03000/BRG347_2866.htm</v>
      </c>
    </row>
    <row r="2193" spans="1:11" x14ac:dyDescent="0.25">
      <c r="A2193" t="s">
        <v>7881</v>
      </c>
      <c r="B2193" s="1" t="str">
        <f>HYPERLINK("https://www.catalog.slsa.sa.gov.au/record=b2112598")</f>
        <v>https://www.catalog.slsa.sa.gov.au/record=b2112598</v>
      </c>
      <c r="C2193" s="1" t="str">
        <f>HYPERLINK("https://www.catalog.slsa.sa.gov.au/xrecord=b2112598")</f>
        <v>https://www.catalog.slsa.sa.gov.au/xrecord=b2112598</v>
      </c>
      <c r="D2193" t="s">
        <v>66</v>
      </c>
      <c r="E2193" t="s">
        <v>7882</v>
      </c>
      <c r="F2193">
        <v>1957</v>
      </c>
      <c r="G2193" t="s">
        <v>121</v>
      </c>
      <c r="H2193" t="s">
        <v>7883</v>
      </c>
      <c r="I2193" t="s">
        <v>6583</v>
      </c>
      <c r="J2193" t="s">
        <v>71</v>
      </c>
      <c r="K2193" s="2" t="str">
        <f>HYPERLINK("http://collections.slsa.sa.gov.au/arthur/03000/BRG347_2868.htm")</f>
        <v>http://collections.slsa.sa.gov.au/arthur/03000/BRG347_2868.htm</v>
      </c>
    </row>
    <row r="2194" spans="1:11" x14ac:dyDescent="0.25">
      <c r="A2194" t="s">
        <v>7884</v>
      </c>
      <c r="B2194" s="1" t="str">
        <f>HYPERLINK("https://www.catalog.slsa.sa.gov.au/record=b2112599")</f>
        <v>https://www.catalog.slsa.sa.gov.au/record=b2112599</v>
      </c>
      <c r="C2194" s="1" t="str">
        <f>HYPERLINK("https://www.catalog.slsa.sa.gov.au/xrecord=b2112599")</f>
        <v>https://www.catalog.slsa.sa.gov.au/xrecord=b2112599</v>
      </c>
      <c r="D2194" t="s">
        <v>66</v>
      </c>
      <c r="E2194" t="s">
        <v>7882</v>
      </c>
      <c r="F2194">
        <v>1957</v>
      </c>
      <c r="G2194" t="s">
        <v>121</v>
      </c>
      <c r="H2194" t="s">
        <v>7885</v>
      </c>
      <c r="I2194" t="s">
        <v>6583</v>
      </c>
      <c r="J2194" t="s">
        <v>71</v>
      </c>
      <c r="K2194" s="2" t="str">
        <f>HYPERLINK("http://collections.slsa.sa.gov.au/arthur/03000/BRG347_2869.htm")</f>
        <v>http://collections.slsa.sa.gov.au/arthur/03000/BRG347_2869.htm</v>
      </c>
    </row>
    <row r="2195" spans="1:11" x14ac:dyDescent="0.25">
      <c r="A2195" t="s">
        <v>7886</v>
      </c>
      <c r="B2195" s="1" t="str">
        <f>HYPERLINK("https://www.catalog.slsa.sa.gov.au/record=b2112614")</f>
        <v>https://www.catalog.slsa.sa.gov.au/record=b2112614</v>
      </c>
      <c r="C2195" s="1" t="str">
        <f>HYPERLINK("https://www.catalog.slsa.sa.gov.au/xrecord=b2112614")</f>
        <v>https://www.catalog.slsa.sa.gov.au/xrecord=b2112614</v>
      </c>
      <c r="D2195" t="s">
        <v>66</v>
      </c>
      <c r="E2195" t="s">
        <v>7879</v>
      </c>
      <c r="F2195">
        <v>1957</v>
      </c>
      <c r="G2195" t="s">
        <v>121</v>
      </c>
      <c r="H2195" t="s">
        <v>7887</v>
      </c>
      <c r="I2195" t="s">
        <v>7701</v>
      </c>
      <c r="J2195" t="s">
        <v>71</v>
      </c>
      <c r="K2195" s="2" t="str">
        <f>HYPERLINK("http://collections.slsa.sa.gov.au/arthur/03000/BRG347_2884.htm")</f>
        <v>http://collections.slsa.sa.gov.au/arthur/03000/BRG347_2884.htm</v>
      </c>
    </row>
    <row r="2196" spans="1:11" x14ac:dyDescent="0.25">
      <c r="A2196" t="s">
        <v>7888</v>
      </c>
      <c r="B2196" s="1" t="str">
        <f>HYPERLINK("https://www.catalog.slsa.sa.gov.au/record=b2112615")</f>
        <v>https://www.catalog.slsa.sa.gov.au/record=b2112615</v>
      </c>
      <c r="C2196" s="1" t="str">
        <f>HYPERLINK("https://www.catalog.slsa.sa.gov.au/xrecord=b2112615")</f>
        <v>https://www.catalog.slsa.sa.gov.au/xrecord=b2112615</v>
      </c>
      <c r="D2196" t="s">
        <v>66</v>
      </c>
      <c r="E2196" t="s">
        <v>7879</v>
      </c>
      <c r="F2196">
        <v>1957</v>
      </c>
      <c r="G2196" t="s">
        <v>121</v>
      </c>
      <c r="H2196" t="s">
        <v>7889</v>
      </c>
      <c r="I2196" t="s">
        <v>7701</v>
      </c>
      <c r="J2196" t="s">
        <v>71</v>
      </c>
      <c r="K2196" s="2" t="str">
        <f>HYPERLINK("http://collections.slsa.sa.gov.au/arthur/03000/BRG347_2885.htm")</f>
        <v>http://collections.slsa.sa.gov.au/arthur/03000/BRG347_2885.htm</v>
      </c>
    </row>
    <row r="2197" spans="1:11" x14ac:dyDescent="0.25">
      <c r="A2197" t="s">
        <v>7890</v>
      </c>
      <c r="B2197" s="1" t="str">
        <f>HYPERLINK("https://www.catalog.slsa.sa.gov.au/record=b2112616")</f>
        <v>https://www.catalog.slsa.sa.gov.au/record=b2112616</v>
      </c>
      <c r="C2197" s="1" t="str">
        <f>HYPERLINK("https://www.catalog.slsa.sa.gov.au/xrecord=b2112616")</f>
        <v>https://www.catalog.slsa.sa.gov.au/xrecord=b2112616</v>
      </c>
      <c r="D2197" t="s">
        <v>66</v>
      </c>
      <c r="E2197" t="s">
        <v>7864</v>
      </c>
      <c r="F2197">
        <v>1957</v>
      </c>
      <c r="G2197" t="s">
        <v>121</v>
      </c>
      <c r="H2197" t="s">
        <v>7865</v>
      </c>
      <c r="I2197" t="s">
        <v>7891</v>
      </c>
      <c r="J2197" t="s">
        <v>71</v>
      </c>
      <c r="K2197" s="2" t="str">
        <f>HYPERLINK("http://collections.slsa.sa.gov.au/arthur/03000/BRG347_2886.htm")</f>
        <v>http://collections.slsa.sa.gov.au/arthur/03000/BRG347_2886.htm</v>
      </c>
    </row>
    <row r="2198" spans="1:11" x14ac:dyDescent="0.25">
      <c r="A2198" t="s">
        <v>7892</v>
      </c>
      <c r="B2198" s="1" t="str">
        <f>HYPERLINK("https://www.catalog.slsa.sa.gov.au/record=b2112617")</f>
        <v>https://www.catalog.slsa.sa.gov.au/record=b2112617</v>
      </c>
      <c r="C2198" s="1" t="str">
        <f>HYPERLINK("https://www.catalog.slsa.sa.gov.au/xrecord=b2112617")</f>
        <v>https://www.catalog.slsa.sa.gov.au/xrecord=b2112617</v>
      </c>
      <c r="D2198" t="s">
        <v>66</v>
      </c>
      <c r="E2198" t="s">
        <v>7882</v>
      </c>
      <c r="F2198">
        <v>1957</v>
      </c>
      <c r="G2198" t="s">
        <v>121</v>
      </c>
      <c r="H2198" t="s">
        <v>7893</v>
      </c>
      <c r="I2198" t="s">
        <v>6583</v>
      </c>
      <c r="J2198" t="s">
        <v>71</v>
      </c>
      <c r="K2198" s="2" t="str">
        <f>HYPERLINK("http://collections.slsa.sa.gov.au/arthur/03000/BRG347_2887.htm")</f>
        <v>http://collections.slsa.sa.gov.au/arthur/03000/BRG347_2887.htm</v>
      </c>
    </row>
    <row r="2199" spans="1:11" x14ac:dyDescent="0.25">
      <c r="A2199" t="s">
        <v>7894</v>
      </c>
      <c r="B2199" s="1" t="str">
        <f>HYPERLINK("https://www.catalog.slsa.sa.gov.au/record=b2112618")</f>
        <v>https://www.catalog.slsa.sa.gov.au/record=b2112618</v>
      </c>
      <c r="C2199" s="1" t="str">
        <f>HYPERLINK("https://www.catalog.slsa.sa.gov.au/xrecord=b2112618")</f>
        <v>https://www.catalog.slsa.sa.gov.au/xrecord=b2112618</v>
      </c>
      <c r="D2199" t="s">
        <v>66</v>
      </c>
      <c r="E2199" t="s">
        <v>7895</v>
      </c>
      <c r="F2199">
        <v>1957</v>
      </c>
      <c r="G2199" t="s">
        <v>121</v>
      </c>
      <c r="H2199" t="s">
        <v>7896</v>
      </c>
      <c r="I2199" t="s">
        <v>7897</v>
      </c>
      <c r="J2199" t="s">
        <v>71</v>
      </c>
      <c r="K2199" s="2" t="str">
        <f>HYPERLINK("http://collections.slsa.sa.gov.au/arthur/03000/BRG347_2888.htm")</f>
        <v>http://collections.slsa.sa.gov.au/arthur/03000/BRG347_2888.htm</v>
      </c>
    </row>
    <row r="2200" spans="1:11" x14ac:dyDescent="0.25">
      <c r="A2200" t="s">
        <v>7898</v>
      </c>
      <c r="B2200" s="1" t="str">
        <f>HYPERLINK("https://www.catalog.slsa.sa.gov.au/record=b2112619")</f>
        <v>https://www.catalog.slsa.sa.gov.au/record=b2112619</v>
      </c>
      <c r="C2200" s="1" t="str">
        <f>HYPERLINK("https://www.catalog.slsa.sa.gov.au/xrecord=b2112619")</f>
        <v>https://www.catalog.slsa.sa.gov.au/xrecord=b2112619</v>
      </c>
      <c r="D2200" t="s">
        <v>66</v>
      </c>
      <c r="E2200" t="s">
        <v>7895</v>
      </c>
      <c r="F2200">
        <v>1957</v>
      </c>
      <c r="G2200" t="s">
        <v>121</v>
      </c>
      <c r="H2200" t="s">
        <v>7899</v>
      </c>
      <c r="I2200" t="s">
        <v>7900</v>
      </c>
      <c r="J2200" t="s">
        <v>71</v>
      </c>
      <c r="K2200" s="2" t="str">
        <f>HYPERLINK("http://collections.slsa.sa.gov.au/arthur/03000/BRG347_2889.htm")</f>
        <v>http://collections.slsa.sa.gov.au/arthur/03000/BRG347_2889.htm</v>
      </c>
    </row>
    <row r="2201" spans="1:11" x14ac:dyDescent="0.25">
      <c r="A2201" t="s">
        <v>7901</v>
      </c>
      <c r="B2201" s="1" t="str">
        <f>HYPERLINK("https://www.catalog.slsa.sa.gov.au/record=b2112620")</f>
        <v>https://www.catalog.slsa.sa.gov.au/record=b2112620</v>
      </c>
      <c r="C2201" s="1" t="str">
        <f>HYPERLINK("https://www.catalog.slsa.sa.gov.au/xrecord=b2112620")</f>
        <v>https://www.catalog.slsa.sa.gov.au/xrecord=b2112620</v>
      </c>
      <c r="D2201" t="s">
        <v>66</v>
      </c>
      <c r="E2201" t="s">
        <v>7902</v>
      </c>
      <c r="F2201">
        <v>1957</v>
      </c>
      <c r="G2201" t="s">
        <v>121</v>
      </c>
      <c r="H2201" t="s">
        <v>7903</v>
      </c>
      <c r="I2201" t="s">
        <v>7904</v>
      </c>
      <c r="J2201" t="s">
        <v>71</v>
      </c>
      <c r="K2201" s="2" t="str">
        <f>HYPERLINK("http://collections.slsa.sa.gov.au/arthur/03000/BRG347_2890.htm")</f>
        <v>http://collections.slsa.sa.gov.au/arthur/03000/BRG347_2890.htm</v>
      </c>
    </row>
    <row r="2202" spans="1:11" x14ac:dyDescent="0.25">
      <c r="A2202" t="s">
        <v>7905</v>
      </c>
      <c r="B2202" s="1" t="str">
        <f>HYPERLINK("https://www.catalog.slsa.sa.gov.au/record=b2112621")</f>
        <v>https://www.catalog.slsa.sa.gov.au/record=b2112621</v>
      </c>
      <c r="C2202" s="1" t="str">
        <f>HYPERLINK("https://www.catalog.slsa.sa.gov.au/xrecord=b2112621")</f>
        <v>https://www.catalog.slsa.sa.gov.au/xrecord=b2112621</v>
      </c>
      <c r="D2202" t="s">
        <v>66</v>
      </c>
      <c r="E2202" t="s">
        <v>7879</v>
      </c>
      <c r="F2202">
        <v>1957</v>
      </c>
      <c r="G2202" t="s">
        <v>121</v>
      </c>
      <c r="H2202" t="s">
        <v>7906</v>
      </c>
      <c r="I2202" t="s">
        <v>7701</v>
      </c>
      <c r="J2202" t="s">
        <v>71</v>
      </c>
      <c r="K2202" s="2" t="str">
        <f>HYPERLINK("http://collections.slsa.sa.gov.au/arthur/03000/BRG347_2891.htm")</f>
        <v>http://collections.slsa.sa.gov.au/arthur/03000/BRG347_2891.htm</v>
      </c>
    </row>
    <row r="2203" spans="1:11" x14ac:dyDescent="0.25">
      <c r="A2203" t="s">
        <v>7907</v>
      </c>
      <c r="B2203" s="1" t="str">
        <f>HYPERLINK("https://www.catalog.slsa.sa.gov.au/record=b2112622")</f>
        <v>https://www.catalog.slsa.sa.gov.au/record=b2112622</v>
      </c>
      <c r="C2203" s="1" t="str">
        <f>HYPERLINK("https://www.catalog.slsa.sa.gov.au/xrecord=b2112622")</f>
        <v>https://www.catalog.slsa.sa.gov.au/xrecord=b2112622</v>
      </c>
      <c r="D2203" t="s">
        <v>66</v>
      </c>
      <c r="E2203" t="s">
        <v>7882</v>
      </c>
      <c r="F2203">
        <v>1957</v>
      </c>
      <c r="G2203" t="s">
        <v>121</v>
      </c>
      <c r="H2203" t="s">
        <v>7908</v>
      </c>
      <c r="I2203" t="s">
        <v>6583</v>
      </c>
      <c r="J2203" t="s">
        <v>71</v>
      </c>
      <c r="K2203" s="2" t="str">
        <f>HYPERLINK("http://collections.slsa.sa.gov.au/arthur/03000/BRG347_2892.htm")</f>
        <v>http://collections.slsa.sa.gov.au/arthur/03000/BRG347_2892.htm</v>
      </c>
    </row>
    <row r="2204" spans="1:11" x14ac:dyDescent="0.25">
      <c r="A2204" t="s">
        <v>7909</v>
      </c>
      <c r="B2204" s="1" t="str">
        <f>HYPERLINK("https://www.catalog.slsa.sa.gov.au/record=b2114093")</f>
        <v>https://www.catalog.slsa.sa.gov.au/record=b2114093</v>
      </c>
      <c r="C2204" s="1" t="str">
        <f>HYPERLINK("https://www.catalog.slsa.sa.gov.au/xrecord=b2114093")</f>
        <v>https://www.catalog.slsa.sa.gov.au/xrecord=b2114093</v>
      </c>
      <c r="D2204" t="s">
        <v>66</v>
      </c>
      <c r="E2204" t="s">
        <v>6712</v>
      </c>
      <c r="F2204">
        <v>1957</v>
      </c>
      <c r="G2204" t="s">
        <v>121</v>
      </c>
      <c r="H2204" t="s">
        <v>7910</v>
      </c>
      <c r="I2204" t="s">
        <v>7911</v>
      </c>
      <c r="J2204" t="s">
        <v>71</v>
      </c>
      <c r="K2204" s="2" t="str">
        <f>HYPERLINK("http://collections.slsa.sa.gov.au/arthur/04000/BRG347_3928.htm")</f>
        <v>http://collections.slsa.sa.gov.au/arthur/04000/BRG347_3928.htm</v>
      </c>
    </row>
    <row r="2205" spans="1:11" x14ac:dyDescent="0.25">
      <c r="A2205" t="s">
        <v>7912</v>
      </c>
      <c r="B2205" s="1" t="str">
        <f>HYPERLINK("https://www.catalog.slsa.sa.gov.au/record=b2116529")</f>
        <v>https://www.catalog.slsa.sa.gov.au/record=b2116529</v>
      </c>
      <c r="C2205" s="1" t="str">
        <f>HYPERLINK("https://www.catalog.slsa.sa.gov.au/xrecord=b2116529")</f>
        <v>https://www.catalog.slsa.sa.gov.au/xrecord=b2116529</v>
      </c>
      <c r="D2205" t="s">
        <v>66</v>
      </c>
      <c r="E2205" t="s">
        <v>7913</v>
      </c>
      <c r="F2205">
        <v>1957</v>
      </c>
      <c r="G2205" t="s">
        <v>121</v>
      </c>
      <c r="H2205" t="s">
        <v>7914</v>
      </c>
      <c r="I2205" t="s">
        <v>6774</v>
      </c>
      <c r="J2205" t="s">
        <v>71</v>
      </c>
      <c r="K2205" s="2" t="str">
        <f>HYPERLINK("http://collections.slsa.sa.gov.au/arthur/05750/BRG347_5544.htm")</f>
        <v>http://collections.slsa.sa.gov.au/arthur/05750/BRG347_5544.htm</v>
      </c>
    </row>
    <row r="2206" spans="1:11" x14ac:dyDescent="0.25">
      <c r="A2206" t="s">
        <v>7915</v>
      </c>
      <c r="B2206" s="1" t="str">
        <f>HYPERLINK("https://www.catalog.slsa.sa.gov.au/record=b2122733")</f>
        <v>https://www.catalog.slsa.sa.gov.au/record=b2122733</v>
      </c>
      <c r="C2206" s="1" t="str">
        <f>HYPERLINK("https://www.catalog.slsa.sa.gov.au/xrecord=b2122733")</f>
        <v>https://www.catalog.slsa.sa.gov.au/xrecord=b2122733</v>
      </c>
      <c r="D2206" t="s">
        <v>66</v>
      </c>
      <c r="E2206" t="s">
        <v>7916</v>
      </c>
      <c r="F2206">
        <v>1957</v>
      </c>
      <c r="G2206" t="s">
        <v>121</v>
      </c>
      <c r="H2206" t="s">
        <v>7917</v>
      </c>
      <c r="I2206" t="s">
        <v>7918</v>
      </c>
      <c r="J2206" t="s">
        <v>71</v>
      </c>
      <c r="K2206" s="2" t="str">
        <f>HYPERLINK("http://collections.slsa.sa.gov.au/arthur/06500/BRG347_6378.htm")</f>
        <v>http://collections.slsa.sa.gov.au/arthur/06500/BRG347_6378.htm</v>
      </c>
    </row>
    <row r="2207" spans="1:11" x14ac:dyDescent="0.25">
      <c r="A2207" t="s">
        <v>7919</v>
      </c>
      <c r="B2207" s="1" t="str">
        <f>HYPERLINK("https://www.catalog.slsa.sa.gov.au/record=b2118286")</f>
        <v>https://www.catalog.slsa.sa.gov.au/record=b2118286</v>
      </c>
      <c r="C2207" s="1" t="str">
        <f>HYPERLINK("https://www.catalog.slsa.sa.gov.au/xrecord=b2118286")</f>
        <v>https://www.catalog.slsa.sa.gov.au/xrecord=b2118286</v>
      </c>
      <c r="D2207" t="s">
        <v>66</v>
      </c>
      <c r="E2207" t="s">
        <v>7920</v>
      </c>
      <c r="F2207">
        <v>1957</v>
      </c>
      <c r="G2207" t="s">
        <v>121</v>
      </c>
      <c r="H2207" t="s">
        <v>7921</v>
      </c>
      <c r="I2207" t="s">
        <v>7922</v>
      </c>
      <c r="J2207" t="s">
        <v>71</v>
      </c>
      <c r="K2207" s="2" t="str">
        <f>HYPERLINK("http://collections.slsa.sa.gov.au/arthur/06500/BRG347_6379.htm")</f>
        <v>http://collections.slsa.sa.gov.au/arthur/06500/BRG347_6379.htm</v>
      </c>
    </row>
    <row r="2208" spans="1:11" x14ac:dyDescent="0.25">
      <c r="A2208" t="s">
        <v>7923</v>
      </c>
      <c r="B2208" s="1" t="str">
        <f>HYPERLINK("https://www.catalog.slsa.sa.gov.au/record=b2118292")</f>
        <v>https://www.catalog.slsa.sa.gov.au/record=b2118292</v>
      </c>
      <c r="C2208" s="1" t="str">
        <f>HYPERLINK("https://www.catalog.slsa.sa.gov.au/xrecord=b2118292")</f>
        <v>https://www.catalog.slsa.sa.gov.au/xrecord=b2118292</v>
      </c>
      <c r="D2208" t="s">
        <v>66</v>
      </c>
      <c r="E2208" t="s">
        <v>7924</v>
      </c>
      <c r="F2208">
        <v>1957</v>
      </c>
      <c r="G2208" t="s">
        <v>121</v>
      </c>
      <c r="H2208" t="s">
        <v>7925</v>
      </c>
      <c r="I2208" t="s">
        <v>7926</v>
      </c>
      <c r="J2208" t="s">
        <v>71</v>
      </c>
      <c r="K2208" s="2" t="str">
        <f>HYPERLINK("http://collections.slsa.sa.gov.au/arthur/06500/BRG347_6386.htm")</f>
        <v>http://collections.slsa.sa.gov.au/arthur/06500/BRG347_6386.htm</v>
      </c>
    </row>
    <row r="2209" spans="1:11" x14ac:dyDescent="0.25">
      <c r="A2209" t="s">
        <v>7927</v>
      </c>
      <c r="B2209" s="1" t="str">
        <f>HYPERLINK("https://www.catalog.slsa.sa.gov.au/record=b2118321")</f>
        <v>https://www.catalog.slsa.sa.gov.au/record=b2118321</v>
      </c>
      <c r="C2209" s="1" t="str">
        <f>HYPERLINK("https://www.catalog.slsa.sa.gov.au/xrecord=b2118321")</f>
        <v>https://www.catalog.slsa.sa.gov.au/xrecord=b2118321</v>
      </c>
      <c r="D2209" t="s">
        <v>66</v>
      </c>
      <c r="E2209" t="s">
        <v>7928</v>
      </c>
      <c r="F2209">
        <v>1957</v>
      </c>
      <c r="G2209" t="s">
        <v>121</v>
      </c>
      <c r="H2209" t="s">
        <v>7929</v>
      </c>
      <c r="I2209" t="s">
        <v>7930</v>
      </c>
      <c r="J2209" t="s">
        <v>71</v>
      </c>
      <c r="K2209" s="2" t="str">
        <f>HYPERLINK("http://collections.slsa.sa.gov.au/arthur/06500/BRG347_6416.htm")</f>
        <v>http://collections.slsa.sa.gov.au/arthur/06500/BRG347_6416.htm</v>
      </c>
    </row>
    <row r="2210" spans="1:11" x14ac:dyDescent="0.25">
      <c r="A2210" t="s">
        <v>7931</v>
      </c>
      <c r="B2210" s="1" t="str">
        <f>HYPERLINK("https://www.catalog.slsa.sa.gov.au/record=b2118323")</f>
        <v>https://www.catalog.slsa.sa.gov.au/record=b2118323</v>
      </c>
      <c r="C2210" s="1" t="str">
        <f>HYPERLINK("https://www.catalog.slsa.sa.gov.au/xrecord=b2118323")</f>
        <v>https://www.catalog.slsa.sa.gov.au/xrecord=b2118323</v>
      </c>
      <c r="D2210" t="s">
        <v>66</v>
      </c>
      <c r="E2210" t="s">
        <v>7932</v>
      </c>
      <c r="F2210">
        <v>1957</v>
      </c>
      <c r="G2210" t="s">
        <v>121</v>
      </c>
      <c r="H2210" t="s">
        <v>7933</v>
      </c>
      <c r="I2210" t="s">
        <v>7934</v>
      </c>
      <c r="J2210" t="s">
        <v>71</v>
      </c>
      <c r="K2210" s="2" t="str">
        <f>HYPERLINK("http://collections.slsa.sa.gov.au/arthur/06500/BRG347_6418.htm")</f>
        <v>http://collections.slsa.sa.gov.au/arthur/06500/BRG347_6418.htm</v>
      </c>
    </row>
    <row r="2211" spans="1:11" x14ac:dyDescent="0.25">
      <c r="A2211" t="s">
        <v>7935</v>
      </c>
      <c r="B2211" s="1" t="str">
        <f>HYPERLINK("https://www.catalog.slsa.sa.gov.au/record=b2118324")</f>
        <v>https://www.catalog.slsa.sa.gov.au/record=b2118324</v>
      </c>
      <c r="C2211" s="1" t="str">
        <f>HYPERLINK("https://www.catalog.slsa.sa.gov.au/xrecord=b2118324")</f>
        <v>https://www.catalog.slsa.sa.gov.au/xrecord=b2118324</v>
      </c>
      <c r="D2211" t="s">
        <v>66</v>
      </c>
      <c r="E2211" t="s">
        <v>7936</v>
      </c>
      <c r="F2211">
        <v>1957</v>
      </c>
      <c r="G2211" t="s">
        <v>121</v>
      </c>
      <c r="H2211" t="s">
        <v>7937</v>
      </c>
      <c r="I2211" t="s">
        <v>7938</v>
      </c>
      <c r="J2211" t="s">
        <v>71</v>
      </c>
      <c r="K2211" s="2" t="str">
        <f>HYPERLINK("http://collections.slsa.sa.gov.au/arthur/06500/BRG347_6419.htm")</f>
        <v>http://collections.slsa.sa.gov.au/arthur/06500/BRG347_6419.htm</v>
      </c>
    </row>
    <row r="2212" spans="1:11" x14ac:dyDescent="0.25">
      <c r="A2212" t="s">
        <v>7939</v>
      </c>
      <c r="B2212" s="1" t="str">
        <f>HYPERLINK("https://www.catalog.slsa.sa.gov.au/record=b2118326")</f>
        <v>https://www.catalog.slsa.sa.gov.au/record=b2118326</v>
      </c>
      <c r="C2212" s="1" t="str">
        <f>HYPERLINK("https://www.catalog.slsa.sa.gov.au/xrecord=b2118326")</f>
        <v>https://www.catalog.slsa.sa.gov.au/xrecord=b2118326</v>
      </c>
      <c r="D2212" t="s">
        <v>66</v>
      </c>
      <c r="E2212" t="s">
        <v>7940</v>
      </c>
      <c r="F2212">
        <v>1957</v>
      </c>
      <c r="G2212" t="s">
        <v>121</v>
      </c>
      <c r="H2212" t="s">
        <v>7941</v>
      </c>
      <c r="I2212" t="s">
        <v>7942</v>
      </c>
      <c r="J2212" t="s">
        <v>71</v>
      </c>
      <c r="K2212" s="2" t="str">
        <f>HYPERLINK("http://collections.slsa.sa.gov.au/arthur/06500/BRG347_6421.htm")</f>
        <v>http://collections.slsa.sa.gov.au/arthur/06500/BRG347_6421.htm</v>
      </c>
    </row>
    <row r="2213" spans="1:11" x14ac:dyDescent="0.25">
      <c r="A2213" t="s">
        <v>7943</v>
      </c>
      <c r="B2213" s="1" t="str">
        <f>HYPERLINK("https://www.catalog.slsa.sa.gov.au/record=b2122735")</f>
        <v>https://www.catalog.slsa.sa.gov.au/record=b2122735</v>
      </c>
      <c r="C2213" s="1" t="str">
        <f>HYPERLINK("https://www.catalog.slsa.sa.gov.au/xrecord=b2122735")</f>
        <v>https://www.catalog.slsa.sa.gov.au/xrecord=b2122735</v>
      </c>
      <c r="D2213" t="s">
        <v>66</v>
      </c>
      <c r="E2213" t="s">
        <v>7944</v>
      </c>
      <c r="F2213">
        <v>1957</v>
      </c>
      <c r="G2213" t="s">
        <v>121</v>
      </c>
      <c r="H2213" t="s">
        <v>7945</v>
      </c>
      <c r="I2213" t="s">
        <v>7946</v>
      </c>
      <c r="J2213" t="s">
        <v>71</v>
      </c>
      <c r="K2213" s="2" t="str">
        <f>HYPERLINK("http://collections.slsa.sa.gov.au/arthur/06500/BRG347_6422.htm")</f>
        <v>http://collections.slsa.sa.gov.au/arthur/06500/BRG347_6422.htm</v>
      </c>
    </row>
    <row r="2214" spans="1:11" x14ac:dyDescent="0.25">
      <c r="A2214" t="s">
        <v>7947</v>
      </c>
      <c r="B2214" s="1" t="str">
        <f>HYPERLINK("https://www.catalog.slsa.sa.gov.au/record=b2118327")</f>
        <v>https://www.catalog.slsa.sa.gov.au/record=b2118327</v>
      </c>
      <c r="C2214" s="1" t="str">
        <f>HYPERLINK("https://www.catalog.slsa.sa.gov.au/xrecord=b2118327")</f>
        <v>https://www.catalog.slsa.sa.gov.au/xrecord=b2118327</v>
      </c>
      <c r="D2214" t="s">
        <v>66</v>
      </c>
      <c r="E2214" t="s">
        <v>7948</v>
      </c>
      <c r="F2214">
        <v>1957</v>
      </c>
      <c r="G2214" t="s">
        <v>121</v>
      </c>
      <c r="H2214" t="s">
        <v>7949</v>
      </c>
      <c r="I2214" t="s">
        <v>7950</v>
      </c>
      <c r="J2214" t="s">
        <v>71</v>
      </c>
      <c r="K2214" s="2" t="str">
        <f>HYPERLINK("http://collections.slsa.sa.gov.au/arthur/06500/BRG347_6423.htm")</f>
        <v>http://collections.slsa.sa.gov.au/arthur/06500/BRG347_6423.htm</v>
      </c>
    </row>
    <row r="2215" spans="1:11" x14ac:dyDescent="0.25">
      <c r="A2215" t="s">
        <v>7951</v>
      </c>
      <c r="B2215" s="1" t="str">
        <f>HYPERLINK("https://www.catalog.slsa.sa.gov.au/record=b2118328")</f>
        <v>https://www.catalog.slsa.sa.gov.au/record=b2118328</v>
      </c>
      <c r="C2215" s="1" t="str">
        <f>HYPERLINK("https://www.catalog.slsa.sa.gov.au/xrecord=b2118328")</f>
        <v>https://www.catalog.slsa.sa.gov.au/xrecord=b2118328</v>
      </c>
      <c r="D2215" t="s">
        <v>66</v>
      </c>
      <c r="E2215" t="s">
        <v>7952</v>
      </c>
      <c r="F2215">
        <v>1957</v>
      </c>
      <c r="G2215" t="s">
        <v>121</v>
      </c>
      <c r="H2215" t="s">
        <v>7953</v>
      </c>
      <c r="I2215" t="s">
        <v>7954</v>
      </c>
      <c r="J2215" t="s">
        <v>71</v>
      </c>
      <c r="K2215" s="2" t="str">
        <f>HYPERLINK("http://collections.slsa.sa.gov.au/arthur/06500/BRG347_6424.htm")</f>
        <v>http://collections.slsa.sa.gov.au/arthur/06500/BRG347_6424.htm</v>
      </c>
    </row>
    <row r="2216" spans="1:11" x14ac:dyDescent="0.25">
      <c r="A2216" t="s">
        <v>7955</v>
      </c>
      <c r="B2216" s="1" t="str">
        <f>HYPERLINK("https://www.catalog.slsa.sa.gov.au/record=b2118329")</f>
        <v>https://www.catalog.slsa.sa.gov.au/record=b2118329</v>
      </c>
      <c r="C2216" s="1" t="str">
        <f>HYPERLINK("https://www.catalog.slsa.sa.gov.au/xrecord=b2118329")</f>
        <v>https://www.catalog.slsa.sa.gov.au/xrecord=b2118329</v>
      </c>
      <c r="D2216" t="s">
        <v>66</v>
      </c>
      <c r="E2216" t="s">
        <v>7956</v>
      </c>
      <c r="F2216">
        <v>1957</v>
      </c>
      <c r="G2216" t="s">
        <v>121</v>
      </c>
      <c r="H2216" t="s">
        <v>7957</v>
      </c>
      <c r="I2216" t="s">
        <v>7958</v>
      </c>
      <c r="J2216" t="s">
        <v>71</v>
      </c>
      <c r="K2216" s="2" t="str">
        <f>HYPERLINK("http://collections.slsa.sa.gov.au/arthur/06500/BRG347_6425.htm")</f>
        <v>http://collections.slsa.sa.gov.au/arthur/06500/BRG347_6425.htm</v>
      </c>
    </row>
    <row r="2217" spans="1:11" x14ac:dyDescent="0.25">
      <c r="A2217" t="s">
        <v>7959</v>
      </c>
      <c r="B2217" s="1" t="str">
        <f>HYPERLINK("https://www.catalog.slsa.sa.gov.au/record=b2118340")</f>
        <v>https://www.catalog.slsa.sa.gov.au/record=b2118340</v>
      </c>
      <c r="C2217" s="1" t="str">
        <f>HYPERLINK("https://www.catalog.slsa.sa.gov.au/xrecord=b2118340")</f>
        <v>https://www.catalog.slsa.sa.gov.au/xrecord=b2118340</v>
      </c>
      <c r="D2217" t="s">
        <v>66</v>
      </c>
      <c r="E2217" t="s">
        <v>7960</v>
      </c>
      <c r="F2217">
        <v>1957</v>
      </c>
      <c r="G2217" t="s">
        <v>121</v>
      </c>
      <c r="H2217" t="s">
        <v>7961</v>
      </c>
      <c r="I2217" t="s">
        <v>7962</v>
      </c>
      <c r="J2217" t="s">
        <v>71</v>
      </c>
      <c r="K2217" s="2" t="str">
        <f>HYPERLINK("http://collections.slsa.sa.gov.au/arthur/06500/BRG347_6436.htm")</f>
        <v>http://collections.slsa.sa.gov.au/arthur/06500/BRG347_6436.htm</v>
      </c>
    </row>
    <row r="2218" spans="1:11" x14ac:dyDescent="0.25">
      <c r="A2218" t="s">
        <v>7963</v>
      </c>
      <c r="B2218" s="1" t="str">
        <f>HYPERLINK("https://www.catalog.slsa.sa.gov.au/record=b2118341")</f>
        <v>https://www.catalog.slsa.sa.gov.au/record=b2118341</v>
      </c>
      <c r="C2218" s="1" t="str">
        <f>HYPERLINK("https://www.catalog.slsa.sa.gov.au/xrecord=b2118341")</f>
        <v>https://www.catalog.slsa.sa.gov.au/xrecord=b2118341</v>
      </c>
      <c r="D2218" t="s">
        <v>66</v>
      </c>
      <c r="E2218" t="s">
        <v>7964</v>
      </c>
      <c r="F2218">
        <v>1957</v>
      </c>
      <c r="G2218" t="s">
        <v>121</v>
      </c>
      <c r="H2218" t="s">
        <v>7965</v>
      </c>
      <c r="I2218" t="s">
        <v>7966</v>
      </c>
      <c r="J2218" t="s">
        <v>71</v>
      </c>
      <c r="K2218" s="2" t="str">
        <f>HYPERLINK("http://collections.slsa.sa.gov.au/arthur/06500/BRG347_6437.htm")</f>
        <v>http://collections.slsa.sa.gov.au/arthur/06500/BRG347_6437.htm</v>
      </c>
    </row>
    <row r="2219" spans="1:11" x14ac:dyDescent="0.25">
      <c r="A2219" t="s">
        <v>7967</v>
      </c>
      <c r="B2219" s="1" t="str">
        <f>HYPERLINK("https://www.catalog.slsa.sa.gov.au/record=b2118342")</f>
        <v>https://www.catalog.slsa.sa.gov.au/record=b2118342</v>
      </c>
      <c r="C2219" s="1" t="str">
        <f>HYPERLINK("https://www.catalog.slsa.sa.gov.au/xrecord=b2118342")</f>
        <v>https://www.catalog.slsa.sa.gov.au/xrecord=b2118342</v>
      </c>
      <c r="D2219" t="s">
        <v>66</v>
      </c>
      <c r="E2219" t="s">
        <v>7968</v>
      </c>
      <c r="F2219">
        <v>1957</v>
      </c>
      <c r="G2219" t="s">
        <v>121</v>
      </c>
      <c r="H2219" t="s">
        <v>7969</v>
      </c>
      <c r="I2219" t="s">
        <v>7970</v>
      </c>
      <c r="J2219" t="s">
        <v>71</v>
      </c>
      <c r="K2219" s="2" t="str">
        <f>HYPERLINK("http://collections.slsa.sa.gov.au/arthur/06500/BRG347_6438.htm")</f>
        <v>http://collections.slsa.sa.gov.au/arthur/06500/BRG347_6438.htm</v>
      </c>
    </row>
    <row r="2220" spans="1:11" x14ac:dyDescent="0.25">
      <c r="A2220" t="s">
        <v>7971</v>
      </c>
      <c r="B2220" s="1" t="str">
        <f>HYPERLINK("https://www.catalog.slsa.sa.gov.au/record=b2118348")</f>
        <v>https://www.catalog.slsa.sa.gov.au/record=b2118348</v>
      </c>
      <c r="C2220" s="1" t="str">
        <f>HYPERLINK("https://www.catalog.slsa.sa.gov.au/xrecord=b2118348")</f>
        <v>https://www.catalog.slsa.sa.gov.au/xrecord=b2118348</v>
      </c>
      <c r="D2220" t="s">
        <v>66</v>
      </c>
      <c r="E2220" t="s">
        <v>7972</v>
      </c>
      <c r="F2220">
        <v>1957</v>
      </c>
      <c r="G2220" t="s">
        <v>121</v>
      </c>
      <c r="H2220" t="s">
        <v>7973</v>
      </c>
      <c r="I2220" t="s">
        <v>7974</v>
      </c>
      <c r="J2220" t="s">
        <v>71</v>
      </c>
      <c r="K2220" s="2" t="str">
        <f>HYPERLINK("http://collections.slsa.sa.gov.au/arthur/06500/BRG347_6444.htm")</f>
        <v>http://collections.slsa.sa.gov.au/arthur/06500/BRG347_6444.htm</v>
      </c>
    </row>
    <row r="2221" spans="1:11" x14ac:dyDescent="0.25">
      <c r="A2221" t="s">
        <v>7975</v>
      </c>
      <c r="B2221" s="1" t="str">
        <f>HYPERLINK("https://www.catalog.slsa.sa.gov.au/record=b2118349")</f>
        <v>https://www.catalog.slsa.sa.gov.au/record=b2118349</v>
      </c>
      <c r="C2221" s="1" t="str">
        <f>HYPERLINK("https://www.catalog.slsa.sa.gov.au/xrecord=b2118349")</f>
        <v>https://www.catalog.slsa.sa.gov.au/xrecord=b2118349</v>
      </c>
      <c r="D2221" t="s">
        <v>66</v>
      </c>
      <c r="E2221" t="s">
        <v>7976</v>
      </c>
      <c r="F2221">
        <v>1957</v>
      </c>
      <c r="G2221" t="s">
        <v>121</v>
      </c>
      <c r="H2221" t="s">
        <v>7977</v>
      </c>
      <c r="I2221" t="s">
        <v>7978</v>
      </c>
      <c r="J2221" t="s">
        <v>71</v>
      </c>
      <c r="K2221" s="2" t="str">
        <f>HYPERLINK("http://collections.slsa.sa.gov.au/arthur/06500/BRG347_6445.htm")</f>
        <v>http://collections.slsa.sa.gov.au/arthur/06500/BRG347_6445.htm</v>
      </c>
    </row>
    <row r="2222" spans="1:11" x14ac:dyDescent="0.25">
      <c r="A2222" t="s">
        <v>7979</v>
      </c>
      <c r="B2222" s="1" t="str">
        <f>HYPERLINK("https://www.catalog.slsa.sa.gov.au/record=b2118351")</f>
        <v>https://www.catalog.slsa.sa.gov.au/record=b2118351</v>
      </c>
      <c r="C2222" s="1" t="str">
        <f>HYPERLINK("https://www.catalog.slsa.sa.gov.au/xrecord=b2118351")</f>
        <v>https://www.catalog.slsa.sa.gov.au/xrecord=b2118351</v>
      </c>
      <c r="D2222" t="s">
        <v>66</v>
      </c>
      <c r="E2222" t="s">
        <v>7980</v>
      </c>
      <c r="F2222">
        <v>1957</v>
      </c>
      <c r="G2222" t="s">
        <v>121</v>
      </c>
      <c r="H2222" t="s">
        <v>7981</v>
      </c>
      <c r="I2222" t="s">
        <v>7982</v>
      </c>
      <c r="J2222" t="s">
        <v>71</v>
      </c>
      <c r="K2222" s="2" t="str">
        <f>HYPERLINK("http://collections.slsa.sa.gov.au/arthur/06500/BRG347_6447.htm")</f>
        <v>http://collections.slsa.sa.gov.au/arthur/06500/BRG347_6447.htm</v>
      </c>
    </row>
    <row r="2223" spans="1:11" x14ac:dyDescent="0.25">
      <c r="A2223" t="s">
        <v>7983</v>
      </c>
      <c r="B2223" s="1" t="str">
        <f>HYPERLINK("https://www.catalog.slsa.sa.gov.au/record=b2118352")</f>
        <v>https://www.catalog.slsa.sa.gov.au/record=b2118352</v>
      </c>
      <c r="C2223" s="1" t="str">
        <f>HYPERLINK("https://www.catalog.slsa.sa.gov.au/xrecord=b2118352")</f>
        <v>https://www.catalog.slsa.sa.gov.au/xrecord=b2118352</v>
      </c>
      <c r="D2223" t="s">
        <v>66</v>
      </c>
      <c r="E2223" t="s">
        <v>7984</v>
      </c>
      <c r="F2223">
        <v>1957</v>
      </c>
      <c r="G2223" t="s">
        <v>121</v>
      </c>
      <c r="H2223" t="s">
        <v>7985</v>
      </c>
      <c r="I2223" t="s">
        <v>7986</v>
      </c>
      <c r="J2223" t="s">
        <v>71</v>
      </c>
      <c r="K2223" s="2" t="str">
        <f>HYPERLINK("http://collections.slsa.sa.gov.au/arthur/06500/BRG347_6448.htm")</f>
        <v>http://collections.slsa.sa.gov.au/arthur/06500/BRG347_6448.htm</v>
      </c>
    </row>
    <row r="2224" spans="1:11" x14ac:dyDescent="0.25">
      <c r="A2224" t="s">
        <v>7987</v>
      </c>
      <c r="B2224" s="1" t="str">
        <f>HYPERLINK("https://www.catalog.slsa.sa.gov.au/record=b2118357")</f>
        <v>https://www.catalog.slsa.sa.gov.au/record=b2118357</v>
      </c>
      <c r="C2224" s="1" t="str">
        <f>HYPERLINK("https://www.catalog.slsa.sa.gov.au/xrecord=b2118357")</f>
        <v>https://www.catalog.slsa.sa.gov.au/xrecord=b2118357</v>
      </c>
      <c r="D2224" t="s">
        <v>66</v>
      </c>
      <c r="E2224" t="s">
        <v>7988</v>
      </c>
      <c r="F2224">
        <v>1957</v>
      </c>
      <c r="G2224" t="s">
        <v>121</v>
      </c>
      <c r="H2224" t="s">
        <v>7989</v>
      </c>
      <c r="I2224" t="s">
        <v>7990</v>
      </c>
      <c r="J2224" t="s">
        <v>71</v>
      </c>
      <c r="K2224" s="2" t="str">
        <f>HYPERLINK("http://collections.slsa.sa.gov.au/arthur/06500/BRG347_6453.htm")</f>
        <v>http://collections.slsa.sa.gov.au/arthur/06500/BRG347_6453.htm</v>
      </c>
    </row>
    <row r="2225" spans="1:11" x14ac:dyDescent="0.25">
      <c r="A2225" t="s">
        <v>7991</v>
      </c>
      <c r="B2225" s="1" t="str">
        <f>HYPERLINK("https://www.catalog.slsa.sa.gov.au/record=b2118358")</f>
        <v>https://www.catalog.slsa.sa.gov.au/record=b2118358</v>
      </c>
      <c r="C2225" s="1" t="str">
        <f>HYPERLINK("https://www.catalog.slsa.sa.gov.au/xrecord=b2118358")</f>
        <v>https://www.catalog.slsa.sa.gov.au/xrecord=b2118358</v>
      </c>
      <c r="D2225" t="s">
        <v>66</v>
      </c>
      <c r="E2225" t="s">
        <v>7992</v>
      </c>
      <c r="F2225">
        <v>1957</v>
      </c>
      <c r="G2225" t="s">
        <v>121</v>
      </c>
      <c r="H2225" t="s">
        <v>7993</v>
      </c>
      <c r="I2225" t="s">
        <v>7994</v>
      </c>
      <c r="J2225" t="s">
        <v>71</v>
      </c>
      <c r="K2225" s="2" t="str">
        <f>HYPERLINK("http://collections.slsa.sa.gov.au/arthur/06500/BRG347_6454.htm")</f>
        <v>http://collections.slsa.sa.gov.au/arthur/06500/BRG347_6454.htm</v>
      </c>
    </row>
    <row r="2226" spans="1:11" x14ac:dyDescent="0.25">
      <c r="A2226" t="s">
        <v>7995</v>
      </c>
      <c r="B2226" s="1" t="str">
        <f>HYPERLINK("https://www.catalog.slsa.sa.gov.au/record=b2118379")</f>
        <v>https://www.catalog.slsa.sa.gov.au/record=b2118379</v>
      </c>
      <c r="C2226" s="1" t="str">
        <f>HYPERLINK("https://www.catalog.slsa.sa.gov.au/xrecord=b2118379")</f>
        <v>https://www.catalog.slsa.sa.gov.au/xrecord=b2118379</v>
      </c>
      <c r="D2226" t="s">
        <v>66</v>
      </c>
      <c r="E2226" t="s">
        <v>7996</v>
      </c>
      <c r="F2226">
        <v>1957</v>
      </c>
      <c r="G2226" t="s">
        <v>121</v>
      </c>
      <c r="H2226" t="s">
        <v>7997</v>
      </c>
      <c r="I2226" t="s">
        <v>7998</v>
      </c>
      <c r="J2226" t="s">
        <v>71</v>
      </c>
      <c r="K2226" s="2" t="str">
        <f>HYPERLINK("http://collections.slsa.sa.gov.au/arthur/06500/BRG347_6467.htm")</f>
        <v>http://collections.slsa.sa.gov.au/arthur/06500/BRG347_6467.htm</v>
      </c>
    </row>
    <row r="2227" spans="1:11" x14ac:dyDescent="0.25">
      <c r="A2227" t="s">
        <v>7999</v>
      </c>
      <c r="B2227" s="1" t="str">
        <f>HYPERLINK("https://www.catalog.slsa.sa.gov.au/record=b2118380")</f>
        <v>https://www.catalog.slsa.sa.gov.au/record=b2118380</v>
      </c>
      <c r="C2227" s="1" t="str">
        <f>HYPERLINK("https://www.catalog.slsa.sa.gov.au/xrecord=b2118380")</f>
        <v>https://www.catalog.slsa.sa.gov.au/xrecord=b2118380</v>
      </c>
      <c r="D2227" t="s">
        <v>66</v>
      </c>
      <c r="E2227" t="s">
        <v>8000</v>
      </c>
      <c r="F2227">
        <v>1957</v>
      </c>
      <c r="G2227" t="s">
        <v>121</v>
      </c>
      <c r="H2227" t="s">
        <v>8001</v>
      </c>
      <c r="I2227" t="s">
        <v>8002</v>
      </c>
      <c r="J2227" t="s">
        <v>71</v>
      </c>
      <c r="K2227" s="2" t="str">
        <f>HYPERLINK("http://collections.slsa.sa.gov.au/arthur/06500/BRG347_6468.htm")</f>
        <v>http://collections.slsa.sa.gov.au/arthur/06500/BRG347_6468.htm</v>
      </c>
    </row>
    <row r="2228" spans="1:11" x14ac:dyDescent="0.25">
      <c r="A2228" t="s">
        <v>8003</v>
      </c>
      <c r="B2228" s="1" t="str">
        <f>HYPERLINK("https://www.catalog.slsa.sa.gov.au/record=b2118381")</f>
        <v>https://www.catalog.slsa.sa.gov.au/record=b2118381</v>
      </c>
      <c r="C2228" s="1" t="str">
        <f>HYPERLINK("https://www.catalog.slsa.sa.gov.au/xrecord=b2118381")</f>
        <v>https://www.catalog.slsa.sa.gov.au/xrecord=b2118381</v>
      </c>
      <c r="D2228" t="s">
        <v>66</v>
      </c>
      <c r="E2228" t="s">
        <v>8004</v>
      </c>
      <c r="F2228">
        <v>1957</v>
      </c>
      <c r="G2228" t="s">
        <v>121</v>
      </c>
      <c r="H2228" t="s">
        <v>8005</v>
      </c>
      <c r="I2228" t="s">
        <v>8006</v>
      </c>
      <c r="J2228" t="s">
        <v>71</v>
      </c>
      <c r="K2228" s="2" t="str">
        <f>HYPERLINK("http://collections.slsa.sa.gov.au/arthur/06500/BRG347_6469.htm")</f>
        <v>http://collections.slsa.sa.gov.au/arthur/06500/BRG347_6469.htm</v>
      </c>
    </row>
    <row r="2229" spans="1:11" x14ac:dyDescent="0.25">
      <c r="A2229" t="s">
        <v>8007</v>
      </c>
      <c r="B2229" s="1" t="str">
        <f>HYPERLINK("https://www.catalog.slsa.sa.gov.au/record=b2118382")</f>
        <v>https://www.catalog.slsa.sa.gov.au/record=b2118382</v>
      </c>
      <c r="C2229" s="1" t="str">
        <f>HYPERLINK("https://www.catalog.slsa.sa.gov.au/xrecord=b2118382")</f>
        <v>https://www.catalog.slsa.sa.gov.au/xrecord=b2118382</v>
      </c>
      <c r="D2229" t="s">
        <v>66</v>
      </c>
      <c r="E2229" t="s">
        <v>8008</v>
      </c>
      <c r="F2229">
        <v>1957</v>
      </c>
      <c r="G2229" t="s">
        <v>121</v>
      </c>
      <c r="H2229" t="s">
        <v>8009</v>
      </c>
      <c r="I2229" t="s">
        <v>8010</v>
      </c>
      <c r="J2229" t="s">
        <v>71</v>
      </c>
      <c r="K2229" s="2" t="str">
        <f>HYPERLINK("http://collections.slsa.sa.gov.au/arthur/06500/BRG347_6470.htm")</f>
        <v>http://collections.slsa.sa.gov.au/arthur/06500/BRG347_6470.htm</v>
      </c>
    </row>
    <row r="2230" spans="1:11" x14ac:dyDescent="0.25">
      <c r="A2230" t="s">
        <v>8011</v>
      </c>
      <c r="B2230" s="1" t="str">
        <f>HYPERLINK("https://www.catalog.slsa.sa.gov.au/record=b2118469")</f>
        <v>https://www.catalog.slsa.sa.gov.au/record=b2118469</v>
      </c>
      <c r="C2230" s="1" t="str">
        <f>HYPERLINK("https://www.catalog.slsa.sa.gov.au/xrecord=b2118469")</f>
        <v>https://www.catalog.slsa.sa.gov.au/xrecord=b2118469</v>
      </c>
      <c r="D2230" t="s">
        <v>66</v>
      </c>
      <c r="E2230" t="s">
        <v>8012</v>
      </c>
      <c r="F2230">
        <v>1957</v>
      </c>
      <c r="G2230" t="s">
        <v>121</v>
      </c>
      <c r="H2230" t="s">
        <v>8013</v>
      </c>
      <c r="I2230" t="s">
        <v>8014</v>
      </c>
      <c r="J2230" t="s">
        <v>71</v>
      </c>
      <c r="K2230" s="2" t="str">
        <f>HYPERLINK("http://collections.slsa.sa.gov.au/arthur/06750/BRG347_6550.htm")</f>
        <v>http://collections.slsa.sa.gov.au/arthur/06750/BRG347_6550.htm</v>
      </c>
    </row>
    <row r="2231" spans="1:11" x14ac:dyDescent="0.25">
      <c r="A2231" t="s">
        <v>8015</v>
      </c>
      <c r="B2231" s="1" t="str">
        <f>HYPERLINK("https://www.catalog.slsa.sa.gov.au/record=b2118470")</f>
        <v>https://www.catalog.slsa.sa.gov.au/record=b2118470</v>
      </c>
      <c r="C2231" s="1" t="str">
        <f>HYPERLINK("https://www.catalog.slsa.sa.gov.au/xrecord=b2118470")</f>
        <v>https://www.catalog.slsa.sa.gov.au/xrecord=b2118470</v>
      </c>
      <c r="D2231" t="s">
        <v>66</v>
      </c>
      <c r="E2231" t="s">
        <v>8012</v>
      </c>
      <c r="F2231">
        <v>1957</v>
      </c>
      <c r="G2231" t="s">
        <v>121</v>
      </c>
      <c r="H2231" t="s">
        <v>8016</v>
      </c>
      <c r="I2231" t="s">
        <v>8014</v>
      </c>
      <c r="J2231" t="s">
        <v>71</v>
      </c>
      <c r="K2231" s="2" t="str">
        <f>HYPERLINK("http://collections.slsa.sa.gov.au/arthur/06750/BRG347_6551.htm")</f>
        <v>http://collections.slsa.sa.gov.au/arthur/06750/BRG347_6551.htm</v>
      </c>
    </row>
    <row r="2232" spans="1:11" x14ac:dyDescent="0.25">
      <c r="A2232" t="s">
        <v>8017</v>
      </c>
      <c r="B2232" s="1" t="str">
        <f>HYPERLINK("https://www.catalog.slsa.sa.gov.au/record=b2118471")</f>
        <v>https://www.catalog.slsa.sa.gov.au/record=b2118471</v>
      </c>
      <c r="C2232" s="1" t="str">
        <f>HYPERLINK("https://www.catalog.slsa.sa.gov.au/xrecord=b2118471")</f>
        <v>https://www.catalog.slsa.sa.gov.au/xrecord=b2118471</v>
      </c>
      <c r="D2232" t="s">
        <v>66</v>
      </c>
      <c r="E2232" t="s">
        <v>8018</v>
      </c>
      <c r="F2232">
        <v>1957</v>
      </c>
      <c r="G2232" t="s">
        <v>121</v>
      </c>
      <c r="H2232" t="s">
        <v>8019</v>
      </c>
      <c r="I2232" t="s">
        <v>7522</v>
      </c>
      <c r="J2232" t="s">
        <v>71</v>
      </c>
      <c r="K2232" s="2" t="str">
        <f>HYPERLINK("http://collections.slsa.sa.gov.au/arthur/06750/BRG347_6552.htm")</f>
        <v>http://collections.slsa.sa.gov.au/arthur/06750/BRG347_6552.htm</v>
      </c>
    </row>
    <row r="2233" spans="1:11" x14ac:dyDescent="0.25">
      <c r="A2233" t="s">
        <v>8020</v>
      </c>
      <c r="B2233" s="1" t="str">
        <f>HYPERLINK("https://www.catalog.slsa.sa.gov.au/record=b2118472")</f>
        <v>https://www.catalog.slsa.sa.gov.au/record=b2118472</v>
      </c>
      <c r="C2233" s="1" t="str">
        <f>HYPERLINK("https://www.catalog.slsa.sa.gov.au/xrecord=b2118472")</f>
        <v>https://www.catalog.slsa.sa.gov.au/xrecord=b2118472</v>
      </c>
      <c r="D2233" t="s">
        <v>66</v>
      </c>
      <c r="E2233" t="s">
        <v>8021</v>
      </c>
      <c r="F2233">
        <v>1957</v>
      </c>
      <c r="G2233" t="s">
        <v>121</v>
      </c>
      <c r="H2233" t="s">
        <v>8022</v>
      </c>
      <c r="I2233" t="s">
        <v>4509</v>
      </c>
      <c r="J2233" t="s">
        <v>71</v>
      </c>
      <c r="K2233" s="2" t="str">
        <f>HYPERLINK("http://collections.slsa.sa.gov.au/arthur/06750/BRG347_6553.htm")</f>
        <v>http://collections.slsa.sa.gov.au/arthur/06750/BRG347_6553.htm</v>
      </c>
    </row>
    <row r="2234" spans="1:11" x14ac:dyDescent="0.25">
      <c r="A2234" t="s">
        <v>8023</v>
      </c>
      <c r="B2234" s="1" t="str">
        <f>HYPERLINK("https://www.catalog.slsa.sa.gov.au/record=b2118475")</f>
        <v>https://www.catalog.slsa.sa.gov.au/record=b2118475</v>
      </c>
      <c r="C2234" s="1" t="str">
        <f>HYPERLINK("https://www.catalog.slsa.sa.gov.au/xrecord=b2118475")</f>
        <v>https://www.catalog.slsa.sa.gov.au/xrecord=b2118475</v>
      </c>
      <c r="D2234" t="s">
        <v>66</v>
      </c>
      <c r="E2234" t="s">
        <v>4897</v>
      </c>
      <c r="F2234">
        <v>1957</v>
      </c>
      <c r="G2234" t="s">
        <v>121</v>
      </c>
      <c r="H2234" t="s">
        <v>8024</v>
      </c>
      <c r="I2234" t="s">
        <v>4899</v>
      </c>
      <c r="J2234" t="s">
        <v>71</v>
      </c>
      <c r="K2234" s="2" t="str">
        <f>HYPERLINK("http://collections.slsa.sa.gov.au/arthur/06750/BRG347_6556.htm")</f>
        <v>http://collections.slsa.sa.gov.au/arthur/06750/BRG347_6556.htm</v>
      </c>
    </row>
    <row r="2235" spans="1:11" x14ac:dyDescent="0.25">
      <c r="A2235" t="s">
        <v>8025</v>
      </c>
      <c r="B2235" s="1" t="str">
        <f>HYPERLINK("https://www.catalog.slsa.sa.gov.au/record=b2118754")</f>
        <v>https://www.catalog.slsa.sa.gov.au/record=b2118754</v>
      </c>
      <c r="C2235" s="1" t="str">
        <f>HYPERLINK("https://www.catalog.slsa.sa.gov.au/xrecord=b2118754")</f>
        <v>https://www.catalog.slsa.sa.gov.au/xrecord=b2118754</v>
      </c>
      <c r="D2235" t="s">
        <v>66</v>
      </c>
      <c r="E2235" t="s">
        <v>7005</v>
      </c>
      <c r="F2235">
        <v>1957</v>
      </c>
      <c r="G2235" t="s">
        <v>121</v>
      </c>
      <c r="H2235" t="s">
        <v>8026</v>
      </c>
      <c r="I2235" t="s">
        <v>7007</v>
      </c>
      <c r="J2235" t="s">
        <v>71</v>
      </c>
      <c r="K2235" s="2" t="str">
        <f>HYPERLINK("http://collections.slsa.sa.gov.au/arthur/06750/BRG347_6712.htm")</f>
        <v>http://collections.slsa.sa.gov.au/arthur/06750/BRG347_6712.htm</v>
      </c>
    </row>
    <row r="2236" spans="1:11" x14ac:dyDescent="0.25">
      <c r="A2236" t="s">
        <v>8027</v>
      </c>
      <c r="B2236" s="1" t="str">
        <f>HYPERLINK("https://www.catalog.slsa.sa.gov.au/record=b2119256")</f>
        <v>https://www.catalog.slsa.sa.gov.au/record=b2119256</v>
      </c>
      <c r="C2236" s="1" t="str">
        <f>HYPERLINK("https://www.catalog.slsa.sa.gov.au/xrecord=b2119256")</f>
        <v>https://www.catalog.slsa.sa.gov.au/xrecord=b2119256</v>
      </c>
      <c r="D2236" t="s">
        <v>66</v>
      </c>
      <c r="E2236" t="s">
        <v>8028</v>
      </c>
      <c r="F2236">
        <v>1957</v>
      </c>
      <c r="G2236" t="s">
        <v>121</v>
      </c>
      <c r="H2236" t="s">
        <v>8029</v>
      </c>
      <c r="I2236" t="s">
        <v>8030</v>
      </c>
      <c r="J2236" t="s">
        <v>71</v>
      </c>
      <c r="K2236" s="2" t="str">
        <f>HYPERLINK("http://collections.slsa.sa.gov.au/arthur/07000/BRG347_6809.htm")</f>
        <v>http://collections.slsa.sa.gov.au/arthur/07000/BRG347_6809.htm</v>
      </c>
    </row>
    <row r="2237" spans="1:11" x14ac:dyDescent="0.25">
      <c r="A2237" t="s">
        <v>8031</v>
      </c>
      <c r="B2237" s="1" t="str">
        <f>HYPERLINK("https://www.catalog.slsa.sa.gov.au/record=b2119257")</f>
        <v>https://www.catalog.slsa.sa.gov.au/record=b2119257</v>
      </c>
      <c r="C2237" s="1" t="str">
        <f>HYPERLINK("https://www.catalog.slsa.sa.gov.au/xrecord=b2119257")</f>
        <v>https://www.catalog.slsa.sa.gov.au/xrecord=b2119257</v>
      </c>
      <c r="D2237" t="s">
        <v>66</v>
      </c>
      <c r="E2237" t="s">
        <v>8032</v>
      </c>
      <c r="F2237">
        <v>1957</v>
      </c>
      <c r="G2237" t="s">
        <v>121</v>
      </c>
      <c r="H2237" t="s">
        <v>8033</v>
      </c>
      <c r="I2237" t="s">
        <v>4581</v>
      </c>
      <c r="J2237" t="s">
        <v>71</v>
      </c>
      <c r="K2237" s="2" t="str">
        <f>HYPERLINK("http://collections.slsa.sa.gov.au/arthur/07000/BRG347_6810.htm")</f>
        <v>http://collections.slsa.sa.gov.au/arthur/07000/BRG347_6810.htm</v>
      </c>
    </row>
    <row r="2238" spans="1:11" x14ac:dyDescent="0.25">
      <c r="A2238" t="s">
        <v>8034</v>
      </c>
      <c r="B2238" s="1" t="str">
        <f>HYPERLINK("https://www.catalog.slsa.sa.gov.au/record=b2119259")</f>
        <v>https://www.catalog.slsa.sa.gov.au/record=b2119259</v>
      </c>
      <c r="C2238" s="1" t="str">
        <f>HYPERLINK("https://www.catalog.slsa.sa.gov.au/xrecord=b2119259")</f>
        <v>https://www.catalog.slsa.sa.gov.au/xrecord=b2119259</v>
      </c>
      <c r="D2238" t="s">
        <v>66</v>
      </c>
      <c r="E2238" t="s">
        <v>8035</v>
      </c>
      <c r="F2238">
        <v>1957</v>
      </c>
      <c r="G2238" t="s">
        <v>121</v>
      </c>
      <c r="H2238" t="s">
        <v>8036</v>
      </c>
      <c r="I2238" t="s">
        <v>8037</v>
      </c>
      <c r="J2238" t="s">
        <v>71</v>
      </c>
      <c r="K2238" s="2" t="str">
        <f>HYPERLINK("http://collections.slsa.sa.gov.au/arthur/07000/BRG347_6811.htm")</f>
        <v>http://collections.slsa.sa.gov.au/arthur/07000/BRG347_6811.htm</v>
      </c>
    </row>
    <row r="2239" spans="1:11" x14ac:dyDescent="0.25">
      <c r="A2239" t="s">
        <v>8038</v>
      </c>
      <c r="B2239" s="1" t="str">
        <f>HYPERLINK("https://www.catalog.slsa.sa.gov.au/record=b2119260")</f>
        <v>https://www.catalog.slsa.sa.gov.au/record=b2119260</v>
      </c>
      <c r="C2239" s="1" t="str">
        <f>HYPERLINK("https://www.catalog.slsa.sa.gov.au/xrecord=b2119260")</f>
        <v>https://www.catalog.slsa.sa.gov.au/xrecord=b2119260</v>
      </c>
      <c r="D2239" t="s">
        <v>66</v>
      </c>
      <c r="E2239" t="s">
        <v>7188</v>
      </c>
      <c r="F2239">
        <v>1957</v>
      </c>
      <c r="G2239" t="s">
        <v>121</v>
      </c>
      <c r="H2239" t="s">
        <v>8039</v>
      </c>
      <c r="I2239" t="s">
        <v>4581</v>
      </c>
      <c r="J2239" t="s">
        <v>71</v>
      </c>
      <c r="K2239" s="2" t="str">
        <f>HYPERLINK("http://collections.slsa.sa.gov.au/arthur/07000/BRG347_6812.htm")</f>
        <v>http://collections.slsa.sa.gov.au/arthur/07000/BRG347_6812.htm</v>
      </c>
    </row>
    <row r="2240" spans="1:11" x14ac:dyDescent="0.25">
      <c r="A2240" t="s">
        <v>8040</v>
      </c>
      <c r="B2240" s="1" t="str">
        <f>HYPERLINK("https://www.catalog.slsa.sa.gov.au/record=b2119261")</f>
        <v>https://www.catalog.slsa.sa.gov.au/record=b2119261</v>
      </c>
      <c r="C2240" s="1" t="str">
        <f>HYPERLINK("https://www.catalog.slsa.sa.gov.au/xrecord=b2119261")</f>
        <v>https://www.catalog.slsa.sa.gov.au/xrecord=b2119261</v>
      </c>
      <c r="D2240" t="s">
        <v>66</v>
      </c>
      <c r="E2240" t="s">
        <v>8041</v>
      </c>
      <c r="F2240">
        <v>1957</v>
      </c>
      <c r="G2240" t="s">
        <v>121</v>
      </c>
      <c r="H2240" t="s">
        <v>8042</v>
      </c>
      <c r="I2240" t="s">
        <v>8043</v>
      </c>
      <c r="J2240" t="s">
        <v>71</v>
      </c>
      <c r="K2240" s="2" t="str">
        <f>HYPERLINK("http://collections.slsa.sa.gov.au/arthur/07000/BRG347_6813.htm")</f>
        <v>http://collections.slsa.sa.gov.au/arthur/07000/BRG347_6813.htm</v>
      </c>
    </row>
    <row r="2241" spans="1:11" x14ac:dyDescent="0.25">
      <c r="A2241" t="s">
        <v>8044</v>
      </c>
      <c r="B2241" s="1" t="str">
        <f>HYPERLINK("https://www.catalog.slsa.sa.gov.au/record=b2119262")</f>
        <v>https://www.catalog.slsa.sa.gov.au/record=b2119262</v>
      </c>
      <c r="C2241" s="1" t="str">
        <f>HYPERLINK("https://www.catalog.slsa.sa.gov.au/xrecord=b2119262")</f>
        <v>https://www.catalog.slsa.sa.gov.au/xrecord=b2119262</v>
      </c>
      <c r="D2241" t="s">
        <v>66</v>
      </c>
      <c r="E2241" t="s">
        <v>8045</v>
      </c>
      <c r="F2241">
        <v>1957</v>
      </c>
      <c r="G2241" t="s">
        <v>121</v>
      </c>
      <c r="H2241" t="s">
        <v>8046</v>
      </c>
      <c r="I2241" t="s">
        <v>8047</v>
      </c>
      <c r="J2241" t="s">
        <v>71</v>
      </c>
      <c r="K2241" s="2" t="str">
        <f>HYPERLINK("http://collections.slsa.sa.gov.au/arthur/07000/BRG347_6814.htm")</f>
        <v>http://collections.slsa.sa.gov.au/arthur/07000/BRG347_6814.htm</v>
      </c>
    </row>
    <row r="2242" spans="1:11" x14ac:dyDescent="0.25">
      <c r="A2242" t="s">
        <v>8048</v>
      </c>
      <c r="B2242" s="1" t="str">
        <f>HYPERLINK("https://www.catalog.slsa.sa.gov.au/record=b2119280")</f>
        <v>https://www.catalog.slsa.sa.gov.au/record=b2119280</v>
      </c>
      <c r="C2242" s="1" t="str">
        <f>HYPERLINK("https://www.catalog.slsa.sa.gov.au/xrecord=b2119280")</f>
        <v>https://www.catalog.slsa.sa.gov.au/xrecord=b2119280</v>
      </c>
      <c r="D2242" t="s">
        <v>66</v>
      </c>
      <c r="E2242" t="s">
        <v>8049</v>
      </c>
      <c r="F2242">
        <v>1957</v>
      </c>
      <c r="G2242" t="s">
        <v>121</v>
      </c>
      <c r="H2242" t="s">
        <v>8050</v>
      </c>
      <c r="I2242" t="s">
        <v>8051</v>
      </c>
      <c r="J2242" t="s">
        <v>71</v>
      </c>
      <c r="K2242" s="2" t="str">
        <f>HYPERLINK("http://collections.slsa.sa.gov.au/arthur/07000/BRG347_6823.htm")</f>
        <v>http://collections.slsa.sa.gov.au/arthur/07000/BRG347_6823.htm</v>
      </c>
    </row>
    <row r="2243" spans="1:11" x14ac:dyDescent="0.25">
      <c r="A2243" t="s">
        <v>8052</v>
      </c>
      <c r="B2243" s="1" t="str">
        <f>HYPERLINK("https://www.catalog.slsa.sa.gov.au/record=b2119289")</f>
        <v>https://www.catalog.slsa.sa.gov.au/record=b2119289</v>
      </c>
      <c r="C2243" s="1" t="str">
        <f>HYPERLINK("https://www.catalog.slsa.sa.gov.au/xrecord=b2119289")</f>
        <v>https://www.catalog.slsa.sa.gov.au/xrecord=b2119289</v>
      </c>
      <c r="D2243" t="s">
        <v>66</v>
      </c>
      <c r="E2243" t="s">
        <v>8053</v>
      </c>
      <c r="F2243">
        <v>1957</v>
      </c>
      <c r="G2243" t="s">
        <v>121</v>
      </c>
      <c r="H2243" t="s">
        <v>8054</v>
      </c>
      <c r="I2243" t="s">
        <v>8055</v>
      </c>
      <c r="J2243" t="s">
        <v>71</v>
      </c>
      <c r="K2243" s="2" t="str">
        <f>HYPERLINK("http://collections.slsa.sa.gov.au/arthur/07000/BRG347_6834.htm")</f>
        <v>http://collections.slsa.sa.gov.au/arthur/07000/BRG347_6834.htm</v>
      </c>
    </row>
    <row r="2244" spans="1:11" x14ac:dyDescent="0.25">
      <c r="A2244" t="s">
        <v>8056</v>
      </c>
      <c r="B2244" s="1" t="str">
        <f>HYPERLINK("https://www.catalog.slsa.sa.gov.au/record=b2119317")</f>
        <v>https://www.catalog.slsa.sa.gov.au/record=b2119317</v>
      </c>
      <c r="C2244" s="1" t="str">
        <f>HYPERLINK("https://www.catalog.slsa.sa.gov.au/xrecord=b2119317")</f>
        <v>https://www.catalog.slsa.sa.gov.au/xrecord=b2119317</v>
      </c>
      <c r="D2244" t="s">
        <v>66</v>
      </c>
      <c r="E2244" t="s">
        <v>7028</v>
      </c>
      <c r="F2244">
        <v>1957</v>
      </c>
      <c r="G2244" t="s">
        <v>121</v>
      </c>
      <c r="H2244" t="s">
        <v>8057</v>
      </c>
      <c r="I2244" t="s">
        <v>7030</v>
      </c>
      <c r="J2244" t="s">
        <v>71</v>
      </c>
      <c r="K2244" s="2" t="str">
        <f>HYPERLINK("http://collections.slsa.sa.gov.au/arthur/07000/BRG347_6856.htm")</f>
        <v>http://collections.slsa.sa.gov.au/arthur/07000/BRG347_6856.htm</v>
      </c>
    </row>
    <row r="2245" spans="1:11" x14ac:dyDescent="0.25">
      <c r="A2245" t="s">
        <v>8058</v>
      </c>
      <c r="B2245" s="1" t="str">
        <f>HYPERLINK("https://www.catalog.slsa.sa.gov.au/record=b2119319")</f>
        <v>https://www.catalog.slsa.sa.gov.au/record=b2119319</v>
      </c>
      <c r="C2245" s="1" t="str">
        <f>HYPERLINK("https://www.catalog.slsa.sa.gov.au/xrecord=b2119319")</f>
        <v>https://www.catalog.slsa.sa.gov.au/xrecord=b2119319</v>
      </c>
      <c r="D2245" t="s">
        <v>66</v>
      </c>
      <c r="E2245" t="s">
        <v>8059</v>
      </c>
      <c r="F2245">
        <v>1957</v>
      </c>
      <c r="G2245" t="s">
        <v>121</v>
      </c>
      <c r="H2245" t="s">
        <v>8060</v>
      </c>
      <c r="I2245" t="s">
        <v>8061</v>
      </c>
      <c r="J2245" t="s">
        <v>71</v>
      </c>
      <c r="K2245" s="2" t="str">
        <f>HYPERLINK("http://collections.slsa.sa.gov.au/arthur/07000/BRG347_6858.htm")</f>
        <v>http://collections.slsa.sa.gov.au/arthur/07000/BRG347_6858.htm</v>
      </c>
    </row>
    <row r="2246" spans="1:11" x14ac:dyDescent="0.25">
      <c r="A2246" t="s">
        <v>8062</v>
      </c>
      <c r="B2246" s="1" t="str">
        <f>HYPERLINK("https://www.catalog.slsa.sa.gov.au/record=b2119329")</f>
        <v>https://www.catalog.slsa.sa.gov.au/record=b2119329</v>
      </c>
      <c r="C2246" s="1" t="str">
        <f>HYPERLINK("https://www.catalog.slsa.sa.gov.au/xrecord=b2119329")</f>
        <v>https://www.catalog.slsa.sa.gov.au/xrecord=b2119329</v>
      </c>
      <c r="D2246" t="s">
        <v>66</v>
      </c>
      <c r="E2246" t="s">
        <v>8063</v>
      </c>
      <c r="F2246">
        <v>1957</v>
      </c>
      <c r="G2246" t="s">
        <v>121</v>
      </c>
      <c r="H2246" t="s">
        <v>8064</v>
      </c>
      <c r="I2246" t="s">
        <v>8065</v>
      </c>
      <c r="J2246" t="s">
        <v>71</v>
      </c>
      <c r="K2246" s="2" t="str">
        <f>HYPERLINK("http://collections.slsa.sa.gov.au/arthur/07000/BRG347_6862.htm")</f>
        <v>http://collections.slsa.sa.gov.au/arthur/07000/BRG347_6862.htm</v>
      </c>
    </row>
    <row r="2247" spans="1:11" x14ac:dyDescent="0.25">
      <c r="A2247" t="s">
        <v>8066</v>
      </c>
      <c r="B2247" s="1" t="str">
        <f>HYPERLINK("https://www.catalog.slsa.sa.gov.au/record=b2119620")</f>
        <v>https://www.catalog.slsa.sa.gov.au/record=b2119620</v>
      </c>
      <c r="C2247" s="1" t="str">
        <f>HYPERLINK("https://www.catalog.slsa.sa.gov.au/xrecord=b2119620")</f>
        <v>https://www.catalog.slsa.sa.gov.au/xrecord=b2119620</v>
      </c>
      <c r="D2247" t="s">
        <v>66</v>
      </c>
      <c r="E2247" t="s">
        <v>8067</v>
      </c>
      <c r="F2247">
        <v>1957</v>
      </c>
      <c r="G2247" t="s">
        <v>121</v>
      </c>
      <c r="H2247" t="s">
        <v>8068</v>
      </c>
      <c r="I2247" t="s">
        <v>1750</v>
      </c>
      <c r="J2247" t="s">
        <v>71</v>
      </c>
      <c r="K2247" s="2" t="str">
        <f>HYPERLINK("http://collections.slsa.sa.gov.au/arthur/07000/BRG347_6933.htm")</f>
        <v>http://collections.slsa.sa.gov.au/arthur/07000/BRG347_6933.htm</v>
      </c>
    </row>
    <row r="2248" spans="1:11" x14ac:dyDescent="0.25">
      <c r="A2248" t="s">
        <v>8069</v>
      </c>
      <c r="B2248" s="1" t="str">
        <f>HYPERLINK("https://www.catalog.slsa.sa.gov.au/record=b2119621")</f>
        <v>https://www.catalog.slsa.sa.gov.au/record=b2119621</v>
      </c>
      <c r="C2248" s="1" t="str">
        <f>HYPERLINK("https://www.catalog.slsa.sa.gov.au/xrecord=b2119621")</f>
        <v>https://www.catalog.slsa.sa.gov.au/xrecord=b2119621</v>
      </c>
      <c r="D2248" t="s">
        <v>66</v>
      </c>
      <c r="E2248" t="s">
        <v>4606</v>
      </c>
      <c r="F2248">
        <v>1957</v>
      </c>
      <c r="G2248" t="s">
        <v>121</v>
      </c>
      <c r="H2248" t="s">
        <v>8070</v>
      </c>
      <c r="I2248" t="s">
        <v>1750</v>
      </c>
      <c r="J2248" t="s">
        <v>71</v>
      </c>
      <c r="K2248" s="2" t="str">
        <f>HYPERLINK("http://collections.slsa.sa.gov.au/arthur/07000/BRG347_6934.htm")</f>
        <v>http://collections.slsa.sa.gov.au/arthur/07000/BRG347_6934.htm</v>
      </c>
    </row>
    <row r="2249" spans="1:11" x14ac:dyDescent="0.25">
      <c r="A2249" t="s">
        <v>8071</v>
      </c>
      <c r="B2249" s="1" t="str">
        <f>HYPERLINK("https://www.catalog.slsa.sa.gov.au/record=b2119631")</f>
        <v>https://www.catalog.slsa.sa.gov.au/record=b2119631</v>
      </c>
      <c r="C2249" s="1" t="str">
        <f>HYPERLINK("https://www.catalog.slsa.sa.gov.au/xrecord=b2119631")</f>
        <v>https://www.catalog.slsa.sa.gov.au/xrecord=b2119631</v>
      </c>
      <c r="D2249" t="s">
        <v>66</v>
      </c>
      <c r="E2249" t="s">
        <v>4606</v>
      </c>
      <c r="F2249">
        <v>1957</v>
      </c>
      <c r="G2249" t="s">
        <v>121</v>
      </c>
      <c r="H2249" t="s">
        <v>8072</v>
      </c>
      <c r="I2249" t="s">
        <v>1750</v>
      </c>
      <c r="J2249" t="s">
        <v>71</v>
      </c>
      <c r="K2249" s="2" t="str">
        <f>HYPERLINK("http://collections.slsa.sa.gov.au/arthur/07000/BRG347_6944.htm")</f>
        <v>http://collections.slsa.sa.gov.au/arthur/07000/BRG347_6944.htm</v>
      </c>
    </row>
    <row r="2250" spans="1:11" x14ac:dyDescent="0.25">
      <c r="A2250" t="s">
        <v>8073</v>
      </c>
      <c r="B2250" s="1" t="str">
        <f>HYPERLINK("https://www.catalog.slsa.sa.gov.au/record=b2111212")</f>
        <v>https://www.catalog.slsa.sa.gov.au/record=b2111212</v>
      </c>
      <c r="C2250" s="1" t="str">
        <f>HYPERLINK("https://www.catalog.slsa.sa.gov.au/xrecord=b2111212")</f>
        <v>https://www.catalog.slsa.sa.gov.au/xrecord=b2111212</v>
      </c>
      <c r="D2250" t="s">
        <v>66</v>
      </c>
      <c r="E2250" t="s">
        <v>8074</v>
      </c>
      <c r="F2250" t="s">
        <v>8075</v>
      </c>
      <c r="G2250" t="s">
        <v>121</v>
      </c>
      <c r="H2250" t="s">
        <v>8076</v>
      </c>
      <c r="I2250" t="s">
        <v>8077</v>
      </c>
      <c r="J2250" t="s">
        <v>71</v>
      </c>
      <c r="K2250" s="2" t="str">
        <f>HYPERLINK("http://collections.slsa.sa.gov.au/arthur/02000/BRG347_1886.htm")</f>
        <v>http://collections.slsa.sa.gov.au/arthur/02000/BRG347_1886.htm</v>
      </c>
    </row>
    <row r="2251" spans="1:11" x14ac:dyDescent="0.25">
      <c r="A2251" t="s">
        <v>8078</v>
      </c>
      <c r="B2251" s="1" t="str">
        <f>HYPERLINK("https://www.catalog.slsa.sa.gov.au/record=b2117822")</f>
        <v>https://www.catalog.slsa.sa.gov.au/record=b2117822</v>
      </c>
      <c r="C2251" s="1" t="str">
        <f>HYPERLINK("https://www.catalog.slsa.sa.gov.au/xrecord=b2117822")</f>
        <v>https://www.catalog.slsa.sa.gov.au/xrecord=b2117822</v>
      </c>
      <c r="D2251" t="s">
        <v>66</v>
      </c>
      <c r="E2251" t="s">
        <v>8079</v>
      </c>
      <c r="F2251" t="s">
        <v>8075</v>
      </c>
      <c r="G2251" t="s">
        <v>121</v>
      </c>
      <c r="H2251" t="s">
        <v>8080</v>
      </c>
      <c r="I2251" t="s">
        <v>8081</v>
      </c>
      <c r="J2251" t="s">
        <v>71</v>
      </c>
      <c r="K2251" s="2" t="str">
        <f>HYPERLINK("http://collections.slsa.sa.gov.au/arthur/04000/BRG347_3942.htm")</f>
        <v>http://collections.slsa.sa.gov.au/arthur/04000/BRG347_3942.htm</v>
      </c>
    </row>
    <row r="2252" spans="1:11" x14ac:dyDescent="0.25">
      <c r="A2252" t="s">
        <v>8082</v>
      </c>
      <c r="B2252" s="1" t="str">
        <f>HYPERLINK("https://www.catalog.slsa.sa.gov.au/record=b2107167")</f>
        <v>https://www.catalog.slsa.sa.gov.au/record=b2107167</v>
      </c>
      <c r="C2252" s="1" t="str">
        <f>HYPERLINK("https://www.catalog.slsa.sa.gov.au/xrecord=b2107167")</f>
        <v>https://www.catalog.slsa.sa.gov.au/xrecord=b2107167</v>
      </c>
      <c r="E2252" t="s">
        <v>8083</v>
      </c>
      <c r="F2252">
        <v>1958</v>
      </c>
      <c r="G2252" t="s">
        <v>8084</v>
      </c>
      <c r="H2252" t="s">
        <v>14</v>
      </c>
      <c r="I2252" t="s">
        <v>8085</v>
      </c>
      <c r="J2252" t="s">
        <v>16</v>
      </c>
      <c r="K2252" s="2" t="str">
        <f>HYPERLINK("http://collections.slsa.sa.gov.au/arbonlem/00250/PRG1324_70.htm")</f>
        <v>http://collections.slsa.sa.gov.au/arbonlem/00250/PRG1324_70.htm</v>
      </c>
    </row>
    <row r="2253" spans="1:11" x14ac:dyDescent="0.25">
      <c r="A2253" t="s">
        <v>8086</v>
      </c>
      <c r="B2253" s="1" t="str">
        <f>HYPERLINK("https://www.catalog.slsa.sa.gov.au/record=b2108291")</f>
        <v>https://www.catalog.slsa.sa.gov.au/record=b2108291</v>
      </c>
      <c r="C2253" s="1" t="str">
        <f>HYPERLINK("https://www.catalog.slsa.sa.gov.au/xrecord=b2108291")</f>
        <v>https://www.catalog.slsa.sa.gov.au/xrecord=b2108291</v>
      </c>
      <c r="E2253" t="s">
        <v>8087</v>
      </c>
      <c r="F2253">
        <v>1958</v>
      </c>
      <c r="G2253" t="s">
        <v>8088</v>
      </c>
      <c r="H2253" t="s">
        <v>14</v>
      </c>
      <c r="I2253" t="s">
        <v>8089</v>
      </c>
      <c r="J2253" t="s">
        <v>16</v>
      </c>
      <c r="K2253" s="2" t="str">
        <f>HYPERLINK("http://collections.slsa.sa.gov.au/arbonlem/01750/PRG1324_1541.htm")</f>
        <v>http://collections.slsa.sa.gov.au/arbonlem/01750/PRG1324_1541.htm</v>
      </c>
    </row>
    <row r="2254" spans="1:11" x14ac:dyDescent="0.25">
      <c r="A2254" t="s">
        <v>8090</v>
      </c>
      <c r="B2254" s="1" t="str">
        <f>HYPERLINK("https://www.catalog.slsa.sa.gov.au/record=b2106871")</f>
        <v>https://www.catalog.slsa.sa.gov.au/record=b2106871</v>
      </c>
      <c r="C2254" s="1" t="str">
        <f>HYPERLINK("https://www.catalog.slsa.sa.gov.au/xrecord=b2106871")</f>
        <v>https://www.catalog.slsa.sa.gov.au/xrecord=b2106871</v>
      </c>
      <c r="D2254" t="s">
        <v>66</v>
      </c>
      <c r="E2254" t="s">
        <v>8091</v>
      </c>
      <c r="F2254">
        <v>1958</v>
      </c>
      <c r="G2254" t="s">
        <v>74</v>
      </c>
      <c r="H2254" t="s">
        <v>8092</v>
      </c>
      <c r="I2254" t="s">
        <v>8093</v>
      </c>
      <c r="J2254" t="s">
        <v>71</v>
      </c>
      <c r="K2254" s="2" t="str">
        <f>HYPERLINK("http://collections.slsa.sa.gov.au/arthur/00250/BRG347_36.htm")</f>
        <v>http://collections.slsa.sa.gov.au/arthur/00250/BRG347_36.htm</v>
      </c>
    </row>
    <row r="2255" spans="1:11" x14ac:dyDescent="0.25">
      <c r="A2255" t="s">
        <v>8094</v>
      </c>
      <c r="B2255" s="1" t="str">
        <f>HYPERLINK("https://www.catalog.slsa.sa.gov.au/record=b2110075")</f>
        <v>https://www.catalog.slsa.sa.gov.au/record=b2110075</v>
      </c>
      <c r="C2255" s="1" t="str">
        <f>HYPERLINK("https://www.catalog.slsa.sa.gov.au/xrecord=b2110075")</f>
        <v>https://www.catalog.slsa.sa.gov.au/xrecord=b2110075</v>
      </c>
      <c r="D2255" t="s">
        <v>66</v>
      </c>
      <c r="E2255" t="s">
        <v>8095</v>
      </c>
      <c r="F2255">
        <v>1958</v>
      </c>
      <c r="G2255" t="s">
        <v>121</v>
      </c>
      <c r="H2255" t="s">
        <v>8096</v>
      </c>
      <c r="I2255" t="s">
        <v>7588</v>
      </c>
      <c r="J2255" t="s">
        <v>71</v>
      </c>
      <c r="K2255" s="2" t="str">
        <f>HYPERLINK("http://collections.slsa.sa.gov.au/arthur/01000/BRG347_878.htm")</f>
        <v>http://collections.slsa.sa.gov.au/arthur/01000/BRG347_878.htm</v>
      </c>
    </row>
    <row r="2256" spans="1:11" x14ac:dyDescent="0.25">
      <c r="A2256" t="s">
        <v>8097</v>
      </c>
      <c r="B2256" s="1" t="str">
        <f>HYPERLINK("https://www.catalog.slsa.sa.gov.au/record=b2110076")</f>
        <v>https://www.catalog.slsa.sa.gov.au/record=b2110076</v>
      </c>
      <c r="C2256" s="1" t="str">
        <f>HYPERLINK("https://www.catalog.slsa.sa.gov.au/xrecord=b2110076")</f>
        <v>https://www.catalog.slsa.sa.gov.au/xrecord=b2110076</v>
      </c>
      <c r="D2256" t="s">
        <v>66</v>
      </c>
      <c r="E2256" t="s">
        <v>8098</v>
      </c>
      <c r="F2256">
        <v>1958</v>
      </c>
      <c r="G2256" t="s">
        <v>121</v>
      </c>
      <c r="H2256" t="s">
        <v>8099</v>
      </c>
      <c r="I2256" t="s">
        <v>1728</v>
      </c>
      <c r="J2256" t="s">
        <v>71</v>
      </c>
      <c r="K2256" s="2" t="str">
        <f>HYPERLINK("http://collections.slsa.sa.gov.au/arthur/01000/BRG347_879.htm")</f>
        <v>http://collections.slsa.sa.gov.au/arthur/01000/BRG347_879.htm</v>
      </c>
    </row>
    <row r="2257" spans="1:11" x14ac:dyDescent="0.25">
      <c r="A2257" t="s">
        <v>8100</v>
      </c>
      <c r="B2257" s="1" t="str">
        <f>HYPERLINK("https://www.catalog.slsa.sa.gov.au/record=b2110084")</f>
        <v>https://www.catalog.slsa.sa.gov.au/record=b2110084</v>
      </c>
      <c r="C2257" s="1" t="str">
        <f>HYPERLINK("https://www.catalog.slsa.sa.gov.au/xrecord=b2110084")</f>
        <v>https://www.catalog.slsa.sa.gov.au/xrecord=b2110084</v>
      </c>
      <c r="D2257" t="s">
        <v>66</v>
      </c>
      <c r="E2257" t="s">
        <v>8098</v>
      </c>
      <c r="F2257">
        <v>1958</v>
      </c>
      <c r="G2257" t="s">
        <v>121</v>
      </c>
      <c r="H2257" t="s">
        <v>8101</v>
      </c>
      <c r="I2257" t="s">
        <v>1728</v>
      </c>
      <c r="J2257" t="s">
        <v>71</v>
      </c>
      <c r="K2257" s="2" t="str">
        <f>HYPERLINK("http://collections.slsa.sa.gov.au/arthur/01000/BRG347_888.htm")</f>
        <v>http://collections.slsa.sa.gov.au/arthur/01000/BRG347_888.htm</v>
      </c>
    </row>
    <row r="2258" spans="1:11" x14ac:dyDescent="0.25">
      <c r="A2258" t="s">
        <v>8102</v>
      </c>
      <c r="B2258" s="1" t="str">
        <f>HYPERLINK("https://www.catalog.slsa.sa.gov.au/record=b2110085")</f>
        <v>https://www.catalog.slsa.sa.gov.au/record=b2110085</v>
      </c>
      <c r="C2258" s="1" t="str">
        <f>HYPERLINK("https://www.catalog.slsa.sa.gov.au/xrecord=b2110085")</f>
        <v>https://www.catalog.slsa.sa.gov.au/xrecord=b2110085</v>
      </c>
      <c r="D2258" t="s">
        <v>66</v>
      </c>
      <c r="E2258" t="s">
        <v>8103</v>
      </c>
      <c r="F2258">
        <v>1958</v>
      </c>
      <c r="G2258" t="s">
        <v>121</v>
      </c>
      <c r="H2258" t="s">
        <v>8104</v>
      </c>
      <c r="I2258" t="s">
        <v>8105</v>
      </c>
      <c r="J2258" t="s">
        <v>71</v>
      </c>
      <c r="K2258" s="2" t="str">
        <f>HYPERLINK("http://collections.slsa.sa.gov.au/arthur/01000/BRG347_889.htm")</f>
        <v>http://collections.slsa.sa.gov.au/arthur/01000/BRG347_889.htm</v>
      </c>
    </row>
    <row r="2259" spans="1:11" x14ac:dyDescent="0.25">
      <c r="A2259" t="s">
        <v>8106</v>
      </c>
      <c r="B2259" s="1" t="str">
        <f>HYPERLINK("https://www.catalog.slsa.sa.gov.au/record=b2110109")</f>
        <v>https://www.catalog.slsa.sa.gov.au/record=b2110109</v>
      </c>
      <c r="C2259" s="1" t="str">
        <f>HYPERLINK("https://www.catalog.slsa.sa.gov.au/xrecord=b2110109")</f>
        <v>https://www.catalog.slsa.sa.gov.au/xrecord=b2110109</v>
      </c>
      <c r="D2259" t="s">
        <v>66</v>
      </c>
      <c r="E2259" t="s">
        <v>8107</v>
      </c>
      <c r="F2259">
        <v>1958</v>
      </c>
      <c r="G2259" t="s">
        <v>121</v>
      </c>
      <c r="H2259" t="s">
        <v>8108</v>
      </c>
      <c r="I2259" t="s">
        <v>8109</v>
      </c>
      <c r="J2259" t="s">
        <v>71</v>
      </c>
      <c r="K2259" s="2" t="str">
        <f>HYPERLINK("http://collections.slsa.sa.gov.au/arthur/01000/BRG347_913.htm")</f>
        <v>http://collections.slsa.sa.gov.au/arthur/01000/BRG347_913.htm</v>
      </c>
    </row>
    <row r="2260" spans="1:11" x14ac:dyDescent="0.25">
      <c r="A2260" t="s">
        <v>8110</v>
      </c>
      <c r="B2260" s="1" t="str">
        <f>HYPERLINK("https://www.catalog.slsa.sa.gov.au/record=b2110141")</f>
        <v>https://www.catalog.slsa.sa.gov.au/record=b2110141</v>
      </c>
      <c r="C2260" s="1" t="str">
        <f>HYPERLINK("https://www.catalog.slsa.sa.gov.au/xrecord=b2110141")</f>
        <v>https://www.catalog.slsa.sa.gov.au/xrecord=b2110141</v>
      </c>
      <c r="D2260" t="s">
        <v>66</v>
      </c>
      <c r="E2260" t="s">
        <v>8111</v>
      </c>
      <c r="F2260">
        <v>1958</v>
      </c>
      <c r="G2260" t="s">
        <v>121</v>
      </c>
      <c r="H2260" t="s">
        <v>8112</v>
      </c>
      <c r="I2260" t="s">
        <v>7577</v>
      </c>
      <c r="J2260" t="s">
        <v>71</v>
      </c>
      <c r="K2260" s="2" t="str">
        <f>HYPERLINK("http://collections.slsa.sa.gov.au/arthur/01000/BRG347_946.htm")</f>
        <v>http://collections.slsa.sa.gov.au/arthur/01000/BRG347_946.htm</v>
      </c>
    </row>
    <row r="2261" spans="1:11" x14ac:dyDescent="0.25">
      <c r="A2261" t="s">
        <v>8113</v>
      </c>
      <c r="B2261" s="1" t="str">
        <f>HYPERLINK("https://www.catalog.slsa.sa.gov.au/record=b2110143")</f>
        <v>https://www.catalog.slsa.sa.gov.au/record=b2110143</v>
      </c>
      <c r="C2261" s="1" t="str">
        <f>HYPERLINK("https://www.catalog.slsa.sa.gov.au/xrecord=b2110143")</f>
        <v>https://www.catalog.slsa.sa.gov.au/xrecord=b2110143</v>
      </c>
      <c r="D2261" t="s">
        <v>66</v>
      </c>
      <c r="E2261" t="s">
        <v>8114</v>
      </c>
      <c r="F2261">
        <v>1958</v>
      </c>
      <c r="G2261" t="s">
        <v>121</v>
      </c>
      <c r="H2261" t="s">
        <v>8115</v>
      </c>
      <c r="I2261" t="s">
        <v>1619</v>
      </c>
      <c r="J2261" t="s">
        <v>71</v>
      </c>
      <c r="K2261" s="2" t="str">
        <f>HYPERLINK("http://collections.slsa.sa.gov.au/arthur/01000/BRG347_948.htm")</f>
        <v>http://collections.slsa.sa.gov.au/arthur/01000/BRG347_948.htm</v>
      </c>
    </row>
    <row r="2262" spans="1:11" x14ac:dyDescent="0.25">
      <c r="A2262" t="s">
        <v>8116</v>
      </c>
      <c r="B2262" s="1" t="str">
        <f>HYPERLINK("https://www.catalog.slsa.sa.gov.au/record=b2110163")</f>
        <v>https://www.catalog.slsa.sa.gov.au/record=b2110163</v>
      </c>
      <c r="C2262" s="1" t="str">
        <f>HYPERLINK("https://www.catalog.slsa.sa.gov.au/xrecord=b2110163")</f>
        <v>https://www.catalog.slsa.sa.gov.au/xrecord=b2110163</v>
      </c>
      <c r="D2262" t="s">
        <v>66</v>
      </c>
      <c r="E2262" t="s">
        <v>8117</v>
      </c>
      <c r="F2262">
        <v>1958</v>
      </c>
      <c r="G2262" t="s">
        <v>121</v>
      </c>
      <c r="H2262" t="s">
        <v>8118</v>
      </c>
      <c r="I2262" t="s">
        <v>7178</v>
      </c>
      <c r="J2262" t="s">
        <v>71</v>
      </c>
      <c r="K2262" s="2" t="str">
        <f>HYPERLINK("http://collections.slsa.sa.gov.au/arthur/01000/BRG347_968.htm")</f>
        <v>http://collections.slsa.sa.gov.au/arthur/01000/BRG347_968.htm</v>
      </c>
    </row>
    <row r="2263" spans="1:11" x14ac:dyDescent="0.25">
      <c r="A2263" t="s">
        <v>8119</v>
      </c>
      <c r="B2263" s="1" t="str">
        <f>HYPERLINK("https://www.catalog.slsa.sa.gov.au/record=b2110166")</f>
        <v>https://www.catalog.slsa.sa.gov.au/record=b2110166</v>
      </c>
      <c r="C2263" s="1" t="str">
        <f>HYPERLINK("https://www.catalog.slsa.sa.gov.au/xrecord=b2110166")</f>
        <v>https://www.catalog.slsa.sa.gov.au/xrecord=b2110166</v>
      </c>
      <c r="D2263" t="s">
        <v>66</v>
      </c>
      <c r="E2263" t="s">
        <v>7028</v>
      </c>
      <c r="F2263">
        <v>1958</v>
      </c>
      <c r="G2263" t="s">
        <v>121</v>
      </c>
      <c r="H2263" t="s">
        <v>8120</v>
      </c>
      <c r="I2263" t="s">
        <v>8065</v>
      </c>
      <c r="J2263" t="s">
        <v>71</v>
      </c>
      <c r="K2263" s="2" t="str">
        <f>HYPERLINK("http://collections.slsa.sa.gov.au/arthur/01000/BRG347_971.htm")</f>
        <v>http://collections.slsa.sa.gov.au/arthur/01000/BRG347_971.htm</v>
      </c>
    </row>
    <row r="2264" spans="1:11" x14ac:dyDescent="0.25">
      <c r="A2264" t="s">
        <v>8121</v>
      </c>
      <c r="B2264" s="1" t="str">
        <f>HYPERLINK("https://www.catalog.slsa.sa.gov.au/record=b2110167")</f>
        <v>https://www.catalog.slsa.sa.gov.au/record=b2110167</v>
      </c>
      <c r="C2264" s="1" t="str">
        <f>HYPERLINK("https://www.catalog.slsa.sa.gov.au/xrecord=b2110167")</f>
        <v>https://www.catalog.slsa.sa.gov.au/xrecord=b2110167</v>
      </c>
      <c r="D2264" t="s">
        <v>66</v>
      </c>
      <c r="E2264" t="s">
        <v>8122</v>
      </c>
      <c r="F2264">
        <v>1958</v>
      </c>
      <c r="G2264" t="s">
        <v>121</v>
      </c>
      <c r="H2264" t="s">
        <v>8123</v>
      </c>
      <c r="I2264" t="s">
        <v>7174</v>
      </c>
      <c r="J2264" t="s">
        <v>71</v>
      </c>
      <c r="K2264" s="2" t="str">
        <f>HYPERLINK("http://collections.slsa.sa.gov.au/arthur/01000/BRG347_972.htm")</f>
        <v>http://collections.slsa.sa.gov.au/arthur/01000/BRG347_972.htm</v>
      </c>
    </row>
    <row r="2265" spans="1:11" x14ac:dyDescent="0.25">
      <c r="A2265" t="s">
        <v>8124</v>
      </c>
      <c r="B2265" s="1" t="str">
        <f>HYPERLINK("https://www.catalog.slsa.sa.gov.au/record=b2110168")</f>
        <v>https://www.catalog.slsa.sa.gov.au/record=b2110168</v>
      </c>
      <c r="C2265" s="1" t="str">
        <f>HYPERLINK("https://www.catalog.slsa.sa.gov.au/xrecord=b2110168")</f>
        <v>https://www.catalog.slsa.sa.gov.au/xrecord=b2110168</v>
      </c>
      <c r="D2265" t="s">
        <v>66</v>
      </c>
      <c r="E2265" t="s">
        <v>8125</v>
      </c>
      <c r="F2265">
        <v>1958</v>
      </c>
      <c r="G2265" t="s">
        <v>121</v>
      </c>
      <c r="H2265" t="s">
        <v>8126</v>
      </c>
      <c r="I2265" t="s">
        <v>1684</v>
      </c>
      <c r="J2265" t="s">
        <v>71</v>
      </c>
      <c r="K2265" s="2" t="str">
        <f>HYPERLINK("http://collections.slsa.sa.gov.au/arthur/01000/BRG347_973.htm")</f>
        <v>http://collections.slsa.sa.gov.au/arthur/01000/BRG347_973.htm</v>
      </c>
    </row>
    <row r="2266" spans="1:11" x14ac:dyDescent="0.25">
      <c r="A2266" t="s">
        <v>8127</v>
      </c>
      <c r="B2266" s="1" t="str">
        <f>HYPERLINK("https://www.catalog.slsa.sa.gov.au/record=b2110169")</f>
        <v>https://www.catalog.slsa.sa.gov.au/record=b2110169</v>
      </c>
      <c r="C2266" s="1" t="str">
        <f>HYPERLINK("https://www.catalog.slsa.sa.gov.au/xrecord=b2110169")</f>
        <v>https://www.catalog.slsa.sa.gov.au/xrecord=b2110169</v>
      </c>
      <c r="D2266" t="s">
        <v>66</v>
      </c>
      <c r="E2266" t="s">
        <v>8128</v>
      </c>
      <c r="F2266">
        <v>1958</v>
      </c>
      <c r="G2266" t="s">
        <v>121</v>
      </c>
      <c r="H2266" t="s">
        <v>8129</v>
      </c>
      <c r="I2266" t="s">
        <v>7588</v>
      </c>
      <c r="J2266" t="s">
        <v>71</v>
      </c>
      <c r="K2266" s="2" t="str">
        <f>HYPERLINK("http://collections.slsa.sa.gov.au/arthur/01000/BRG347_974.htm")</f>
        <v>http://collections.slsa.sa.gov.au/arthur/01000/BRG347_974.htm</v>
      </c>
    </row>
    <row r="2267" spans="1:11" x14ac:dyDescent="0.25">
      <c r="A2267" t="s">
        <v>8130</v>
      </c>
      <c r="B2267" s="1" t="str">
        <f>HYPERLINK("https://www.catalog.slsa.sa.gov.au/record=b2110171")</f>
        <v>https://www.catalog.slsa.sa.gov.au/record=b2110171</v>
      </c>
      <c r="C2267" s="1" t="str">
        <f>HYPERLINK("https://www.catalog.slsa.sa.gov.au/xrecord=b2110171")</f>
        <v>https://www.catalog.slsa.sa.gov.au/xrecord=b2110171</v>
      </c>
      <c r="D2267" t="s">
        <v>66</v>
      </c>
      <c r="E2267" t="s">
        <v>8131</v>
      </c>
      <c r="F2267">
        <v>1958</v>
      </c>
      <c r="G2267" t="s">
        <v>121</v>
      </c>
      <c r="H2267" t="s">
        <v>8132</v>
      </c>
      <c r="I2267" t="s">
        <v>8065</v>
      </c>
      <c r="J2267" t="s">
        <v>71</v>
      </c>
      <c r="K2267" s="2" t="str">
        <f>HYPERLINK("http://collections.slsa.sa.gov.au/arthur/01000/BRG347_975.htm")</f>
        <v>http://collections.slsa.sa.gov.au/arthur/01000/BRG347_975.htm</v>
      </c>
    </row>
    <row r="2268" spans="1:11" x14ac:dyDescent="0.25">
      <c r="A2268" t="s">
        <v>8133</v>
      </c>
      <c r="B2268" s="1" t="str">
        <f>HYPERLINK("https://www.catalog.slsa.sa.gov.au/record=b2110175")</f>
        <v>https://www.catalog.slsa.sa.gov.au/record=b2110175</v>
      </c>
      <c r="C2268" s="1" t="str">
        <f>HYPERLINK("https://www.catalog.slsa.sa.gov.au/xrecord=b2110175")</f>
        <v>https://www.catalog.slsa.sa.gov.au/xrecord=b2110175</v>
      </c>
      <c r="D2268" t="s">
        <v>66</v>
      </c>
      <c r="E2268" t="s">
        <v>8125</v>
      </c>
      <c r="F2268">
        <v>1958</v>
      </c>
      <c r="G2268" t="s">
        <v>121</v>
      </c>
      <c r="H2268" t="s">
        <v>8134</v>
      </c>
      <c r="I2268" t="s">
        <v>1684</v>
      </c>
      <c r="J2268" t="s">
        <v>71</v>
      </c>
      <c r="K2268" s="2" t="str">
        <f>HYPERLINK("http://collections.slsa.sa.gov.au/arthur/01000/BRG347_979.htm")</f>
        <v>http://collections.slsa.sa.gov.au/arthur/01000/BRG347_979.htm</v>
      </c>
    </row>
    <row r="2269" spans="1:11" x14ac:dyDescent="0.25">
      <c r="A2269" t="s">
        <v>8135</v>
      </c>
      <c r="B2269" s="1" t="str">
        <f>HYPERLINK("https://www.catalog.slsa.sa.gov.au/record=b2110176")</f>
        <v>https://www.catalog.slsa.sa.gov.au/record=b2110176</v>
      </c>
      <c r="C2269" s="1" t="str">
        <f>HYPERLINK("https://www.catalog.slsa.sa.gov.au/xrecord=b2110176")</f>
        <v>https://www.catalog.slsa.sa.gov.au/xrecord=b2110176</v>
      </c>
      <c r="D2269" t="s">
        <v>66</v>
      </c>
      <c r="E2269" t="s">
        <v>8136</v>
      </c>
      <c r="F2269">
        <v>1958</v>
      </c>
      <c r="G2269" t="s">
        <v>121</v>
      </c>
      <c r="H2269" t="s">
        <v>8137</v>
      </c>
      <c r="I2269" t="s">
        <v>7592</v>
      </c>
      <c r="J2269" t="s">
        <v>71</v>
      </c>
      <c r="K2269" s="2" t="str">
        <f>HYPERLINK("http://collections.slsa.sa.gov.au/arthur/01000/BRG347_980.htm")</f>
        <v>http://collections.slsa.sa.gov.au/arthur/01000/BRG347_980.htm</v>
      </c>
    </row>
    <row r="2270" spans="1:11" x14ac:dyDescent="0.25">
      <c r="A2270" t="s">
        <v>8138</v>
      </c>
      <c r="B2270" s="1" t="str">
        <f>HYPERLINK("https://www.catalog.slsa.sa.gov.au/record=b2110184")</f>
        <v>https://www.catalog.slsa.sa.gov.au/record=b2110184</v>
      </c>
      <c r="C2270" s="1" t="str">
        <f>HYPERLINK("https://www.catalog.slsa.sa.gov.au/xrecord=b2110184")</f>
        <v>https://www.catalog.slsa.sa.gov.au/xrecord=b2110184</v>
      </c>
      <c r="D2270" t="s">
        <v>66</v>
      </c>
      <c r="E2270" t="s">
        <v>8139</v>
      </c>
      <c r="F2270">
        <v>1958</v>
      </c>
      <c r="G2270" t="s">
        <v>121</v>
      </c>
      <c r="H2270" t="s">
        <v>8140</v>
      </c>
      <c r="I2270" t="s">
        <v>8141</v>
      </c>
      <c r="J2270" t="s">
        <v>71</v>
      </c>
      <c r="K2270" s="2" t="str">
        <f>HYPERLINK("http://collections.slsa.sa.gov.au/arthur/01000/BRG347_988.htm")</f>
        <v>http://collections.slsa.sa.gov.au/arthur/01000/BRG347_988.htm</v>
      </c>
    </row>
    <row r="2271" spans="1:11" x14ac:dyDescent="0.25">
      <c r="A2271" t="s">
        <v>8142</v>
      </c>
      <c r="B2271" s="1" t="str">
        <f>HYPERLINK("https://www.catalog.slsa.sa.gov.au/record=b2110185")</f>
        <v>https://www.catalog.slsa.sa.gov.au/record=b2110185</v>
      </c>
      <c r="C2271" s="1" t="str">
        <f>HYPERLINK("https://www.catalog.slsa.sa.gov.au/xrecord=b2110185")</f>
        <v>https://www.catalog.slsa.sa.gov.au/xrecord=b2110185</v>
      </c>
      <c r="D2271" t="s">
        <v>66</v>
      </c>
      <c r="E2271" t="s">
        <v>8143</v>
      </c>
      <c r="F2271">
        <v>1958</v>
      </c>
      <c r="G2271" t="s">
        <v>121</v>
      </c>
      <c r="H2271" t="s">
        <v>8144</v>
      </c>
      <c r="I2271" t="s">
        <v>8145</v>
      </c>
      <c r="J2271" t="s">
        <v>71</v>
      </c>
      <c r="K2271" s="2" t="str">
        <f>HYPERLINK("http://collections.slsa.sa.gov.au/arthur/01000/BRG347_989.htm")</f>
        <v>http://collections.slsa.sa.gov.au/arthur/01000/BRG347_989.htm</v>
      </c>
    </row>
    <row r="2272" spans="1:11" x14ac:dyDescent="0.25">
      <c r="A2272" t="s">
        <v>8146</v>
      </c>
      <c r="B2272" s="1" t="str">
        <f>HYPERLINK("https://www.catalog.slsa.sa.gov.au/record=b2110310")</f>
        <v>https://www.catalog.slsa.sa.gov.au/record=b2110310</v>
      </c>
      <c r="C2272" s="1" t="str">
        <f>HYPERLINK("https://www.catalog.slsa.sa.gov.au/xrecord=b2110310")</f>
        <v>https://www.catalog.slsa.sa.gov.au/xrecord=b2110310</v>
      </c>
      <c r="D2272" t="s">
        <v>66</v>
      </c>
      <c r="E2272" t="s">
        <v>8147</v>
      </c>
      <c r="F2272">
        <v>1958</v>
      </c>
      <c r="G2272" t="s">
        <v>121</v>
      </c>
      <c r="H2272" t="s">
        <v>8148</v>
      </c>
      <c r="I2272" t="s">
        <v>8149</v>
      </c>
      <c r="J2272" t="s">
        <v>71</v>
      </c>
      <c r="K2272" s="2" t="str">
        <f>HYPERLINK("http://collections.slsa.sa.gov.au/arthur/01250/BRG347_1082.htm")</f>
        <v>http://collections.slsa.sa.gov.au/arthur/01250/BRG347_1082.htm</v>
      </c>
    </row>
    <row r="2273" spans="1:11" x14ac:dyDescent="0.25">
      <c r="A2273" t="s">
        <v>8150</v>
      </c>
      <c r="B2273" s="1" t="str">
        <f>HYPERLINK("https://www.catalog.slsa.sa.gov.au/record=b2110311")</f>
        <v>https://www.catalog.slsa.sa.gov.au/record=b2110311</v>
      </c>
      <c r="C2273" s="1" t="str">
        <f>HYPERLINK("https://www.catalog.slsa.sa.gov.au/xrecord=b2110311")</f>
        <v>https://www.catalog.slsa.sa.gov.au/xrecord=b2110311</v>
      </c>
      <c r="D2273" t="s">
        <v>66</v>
      </c>
      <c r="E2273" t="s">
        <v>8147</v>
      </c>
      <c r="F2273">
        <v>1958</v>
      </c>
      <c r="G2273" t="s">
        <v>121</v>
      </c>
      <c r="H2273" t="s">
        <v>8151</v>
      </c>
      <c r="I2273" t="s">
        <v>8149</v>
      </c>
      <c r="J2273" t="s">
        <v>71</v>
      </c>
      <c r="K2273" s="2" t="str">
        <f>HYPERLINK("http://collections.slsa.sa.gov.au/arthur/01250/BRG347_1083.htm")</f>
        <v>http://collections.slsa.sa.gov.au/arthur/01250/BRG347_1083.htm</v>
      </c>
    </row>
    <row r="2274" spans="1:11" x14ac:dyDescent="0.25">
      <c r="A2274" t="s">
        <v>8152</v>
      </c>
      <c r="B2274" s="1" t="str">
        <f>HYPERLINK("https://www.catalog.slsa.sa.gov.au/record=b2110312")</f>
        <v>https://www.catalog.slsa.sa.gov.au/record=b2110312</v>
      </c>
      <c r="C2274" s="1" t="str">
        <f>HYPERLINK("https://www.catalog.slsa.sa.gov.au/xrecord=b2110312")</f>
        <v>https://www.catalog.slsa.sa.gov.au/xrecord=b2110312</v>
      </c>
      <c r="D2274" t="s">
        <v>66</v>
      </c>
      <c r="E2274" t="s">
        <v>8147</v>
      </c>
      <c r="F2274">
        <v>1958</v>
      </c>
      <c r="G2274" t="s">
        <v>121</v>
      </c>
      <c r="H2274" t="s">
        <v>8153</v>
      </c>
      <c r="I2274" t="s">
        <v>8154</v>
      </c>
      <c r="J2274" t="s">
        <v>71</v>
      </c>
      <c r="K2274" s="2" t="str">
        <f>HYPERLINK("http://collections.slsa.sa.gov.au/arthur/01250/BRG347_1084.htm")</f>
        <v>http://collections.slsa.sa.gov.au/arthur/01250/BRG347_1084.htm</v>
      </c>
    </row>
    <row r="2275" spans="1:11" x14ac:dyDescent="0.25">
      <c r="A2275" t="s">
        <v>8155</v>
      </c>
      <c r="B2275" s="1" t="str">
        <f>HYPERLINK("https://www.catalog.slsa.sa.gov.au/record=b2110313")</f>
        <v>https://www.catalog.slsa.sa.gov.au/record=b2110313</v>
      </c>
      <c r="C2275" s="1" t="str">
        <f>HYPERLINK("https://www.catalog.slsa.sa.gov.au/xrecord=b2110313")</f>
        <v>https://www.catalog.slsa.sa.gov.au/xrecord=b2110313</v>
      </c>
      <c r="D2275" t="s">
        <v>66</v>
      </c>
      <c r="E2275" t="s">
        <v>8147</v>
      </c>
      <c r="F2275">
        <v>1958</v>
      </c>
      <c r="G2275" t="s">
        <v>121</v>
      </c>
      <c r="H2275" t="s">
        <v>8156</v>
      </c>
      <c r="I2275" t="s">
        <v>8154</v>
      </c>
      <c r="J2275" t="s">
        <v>71</v>
      </c>
      <c r="K2275" s="2" t="str">
        <f>HYPERLINK("http://collections.slsa.sa.gov.au/arthur/01250/BRG347_1085.htm")</f>
        <v>http://collections.slsa.sa.gov.au/arthur/01250/BRG347_1085.htm</v>
      </c>
    </row>
    <row r="2276" spans="1:11" x14ac:dyDescent="0.25">
      <c r="A2276" t="s">
        <v>8157</v>
      </c>
      <c r="B2276" s="1" t="str">
        <f>HYPERLINK("https://www.catalog.slsa.sa.gov.au/record=b2110314")</f>
        <v>https://www.catalog.slsa.sa.gov.au/record=b2110314</v>
      </c>
      <c r="C2276" s="1" t="str">
        <f>HYPERLINK("https://www.catalog.slsa.sa.gov.au/xrecord=b2110314")</f>
        <v>https://www.catalog.slsa.sa.gov.au/xrecord=b2110314</v>
      </c>
      <c r="D2276" t="s">
        <v>66</v>
      </c>
      <c r="E2276" t="s">
        <v>8147</v>
      </c>
      <c r="F2276">
        <v>1958</v>
      </c>
      <c r="G2276" t="s">
        <v>121</v>
      </c>
      <c r="H2276" t="s">
        <v>8158</v>
      </c>
      <c r="I2276" t="s">
        <v>8159</v>
      </c>
      <c r="J2276" t="s">
        <v>71</v>
      </c>
      <c r="K2276" s="2" t="str">
        <f>HYPERLINK("http://collections.slsa.sa.gov.au/arthur/01250/BRG347_1086.htm")</f>
        <v>http://collections.slsa.sa.gov.au/arthur/01250/BRG347_1086.htm</v>
      </c>
    </row>
    <row r="2277" spans="1:11" x14ac:dyDescent="0.25">
      <c r="A2277" t="s">
        <v>8160</v>
      </c>
      <c r="B2277" s="1" t="str">
        <f>HYPERLINK("https://www.catalog.slsa.sa.gov.au/record=b2110315")</f>
        <v>https://www.catalog.slsa.sa.gov.au/record=b2110315</v>
      </c>
      <c r="C2277" s="1" t="str">
        <f>HYPERLINK("https://www.catalog.slsa.sa.gov.au/xrecord=b2110315")</f>
        <v>https://www.catalog.slsa.sa.gov.au/xrecord=b2110315</v>
      </c>
      <c r="D2277" t="s">
        <v>66</v>
      </c>
      <c r="E2277" t="s">
        <v>8147</v>
      </c>
      <c r="F2277">
        <v>1958</v>
      </c>
      <c r="G2277" t="s">
        <v>121</v>
      </c>
      <c r="H2277" t="s">
        <v>8161</v>
      </c>
      <c r="I2277" t="s">
        <v>8154</v>
      </c>
      <c r="J2277" t="s">
        <v>71</v>
      </c>
      <c r="K2277" s="2" t="str">
        <f>HYPERLINK("http://collections.slsa.sa.gov.au/arthur/01250/BRG347_1087.htm")</f>
        <v>http://collections.slsa.sa.gov.au/arthur/01250/BRG347_1087.htm</v>
      </c>
    </row>
    <row r="2278" spans="1:11" x14ac:dyDescent="0.25">
      <c r="A2278" t="s">
        <v>8162</v>
      </c>
      <c r="B2278" s="1" t="str">
        <f>HYPERLINK("https://www.catalog.slsa.sa.gov.au/record=b2110316")</f>
        <v>https://www.catalog.slsa.sa.gov.au/record=b2110316</v>
      </c>
      <c r="C2278" s="1" t="str">
        <f>HYPERLINK("https://www.catalog.slsa.sa.gov.au/xrecord=b2110316")</f>
        <v>https://www.catalog.slsa.sa.gov.au/xrecord=b2110316</v>
      </c>
      <c r="D2278" t="s">
        <v>66</v>
      </c>
      <c r="E2278" t="s">
        <v>8147</v>
      </c>
      <c r="F2278">
        <v>1958</v>
      </c>
      <c r="G2278" t="s">
        <v>121</v>
      </c>
      <c r="H2278" t="s">
        <v>8161</v>
      </c>
      <c r="I2278" t="s">
        <v>8154</v>
      </c>
      <c r="J2278" t="s">
        <v>71</v>
      </c>
      <c r="K2278" s="2" t="str">
        <f>HYPERLINK("http://collections.slsa.sa.gov.au/arthur/01250/BRG347_1088.htm")</f>
        <v>http://collections.slsa.sa.gov.au/arthur/01250/BRG347_1088.htm</v>
      </c>
    </row>
    <row r="2279" spans="1:11" x14ac:dyDescent="0.25">
      <c r="A2279" t="s">
        <v>8163</v>
      </c>
      <c r="B2279" s="1" t="str">
        <f>HYPERLINK("https://www.catalog.slsa.sa.gov.au/record=b2110370")</f>
        <v>https://www.catalog.slsa.sa.gov.au/record=b2110370</v>
      </c>
      <c r="C2279" s="1" t="str">
        <f>HYPERLINK("https://www.catalog.slsa.sa.gov.au/xrecord=b2110370")</f>
        <v>https://www.catalog.slsa.sa.gov.au/xrecord=b2110370</v>
      </c>
      <c r="D2279" t="s">
        <v>66</v>
      </c>
      <c r="E2279" t="s">
        <v>8164</v>
      </c>
      <c r="F2279">
        <v>1958</v>
      </c>
      <c r="G2279" t="s">
        <v>121</v>
      </c>
      <c r="H2279" t="s">
        <v>8165</v>
      </c>
      <c r="I2279" t="s">
        <v>8166</v>
      </c>
      <c r="J2279" t="s">
        <v>71</v>
      </c>
      <c r="K2279" s="2" t="str">
        <f>HYPERLINK("http://collections.slsa.sa.gov.au/arthur/01250/BRG347_1142.htm")</f>
        <v>http://collections.slsa.sa.gov.au/arthur/01250/BRG347_1142.htm</v>
      </c>
    </row>
    <row r="2280" spans="1:11" x14ac:dyDescent="0.25">
      <c r="A2280" t="s">
        <v>8167</v>
      </c>
      <c r="B2280" s="1" t="str">
        <f>HYPERLINK("https://www.catalog.slsa.sa.gov.au/record=b2110371")</f>
        <v>https://www.catalog.slsa.sa.gov.au/record=b2110371</v>
      </c>
      <c r="C2280" s="1" t="str">
        <f>HYPERLINK("https://www.catalog.slsa.sa.gov.au/xrecord=b2110371")</f>
        <v>https://www.catalog.slsa.sa.gov.au/xrecord=b2110371</v>
      </c>
      <c r="D2280" t="s">
        <v>66</v>
      </c>
      <c r="E2280" t="s">
        <v>8168</v>
      </c>
      <c r="F2280">
        <v>1958</v>
      </c>
      <c r="G2280" t="s">
        <v>121</v>
      </c>
      <c r="H2280" t="s">
        <v>8169</v>
      </c>
      <c r="I2280" t="s">
        <v>8170</v>
      </c>
      <c r="J2280" t="s">
        <v>71</v>
      </c>
      <c r="K2280" s="2" t="str">
        <f>HYPERLINK("http://collections.slsa.sa.gov.au/arthur/01250/BRG347_1143.htm")</f>
        <v>http://collections.slsa.sa.gov.au/arthur/01250/BRG347_1143.htm</v>
      </c>
    </row>
    <row r="2281" spans="1:11" x14ac:dyDescent="0.25">
      <c r="A2281" t="s">
        <v>8171</v>
      </c>
      <c r="B2281" s="1" t="str">
        <f>HYPERLINK("https://www.catalog.slsa.sa.gov.au/record=b2110372")</f>
        <v>https://www.catalog.slsa.sa.gov.au/record=b2110372</v>
      </c>
      <c r="C2281" s="1" t="str">
        <f>HYPERLINK("https://www.catalog.slsa.sa.gov.au/xrecord=b2110372")</f>
        <v>https://www.catalog.slsa.sa.gov.au/xrecord=b2110372</v>
      </c>
      <c r="D2281" t="s">
        <v>66</v>
      </c>
      <c r="E2281" t="s">
        <v>8168</v>
      </c>
      <c r="F2281">
        <v>1958</v>
      </c>
      <c r="G2281" t="s">
        <v>121</v>
      </c>
      <c r="H2281" t="s">
        <v>8172</v>
      </c>
      <c r="I2281" t="s">
        <v>8170</v>
      </c>
      <c r="J2281" t="s">
        <v>71</v>
      </c>
      <c r="K2281" s="2" t="str">
        <f>HYPERLINK("http://collections.slsa.sa.gov.au/arthur/01250/BRG347_1144.htm")</f>
        <v>http://collections.slsa.sa.gov.au/arthur/01250/BRG347_1144.htm</v>
      </c>
    </row>
    <row r="2282" spans="1:11" x14ac:dyDescent="0.25">
      <c r="A2282" t="s">
        <v>8173</v>
      </c>
      <c r="B2282" s="1" t="str">
        <f>HYPERLINK("https://www.catalog.slsa.sa.gov.au/record=b2110373")</f>
        <v>https://www.catalog.slsa.sa.gov.au/record=b2110373</v>
      </c>
      <c r="C2282" s="1" t="str">
        <f>HYPERLINK("https://www.catalog.slsa.sa.gov.au/xrecord=b2110373")</f>
        <v>https://www.catalog.slsa.sa.gov.au/xrecord=b2110373</v>
      </c>
      <c r="D2282" t="s">
        <v>66</v>
      </c>
      <c r="E2282" t="s">
        <v>8168</v>
      </c>
      <c r="F2282">
        <v>1958</v>
      </c>
      <c r="G2282" t="s">
        <v>121</v>
      </c>
      <c r="H2282" t="s">
        <v>8172</v>
      </c>
      <c r="I2282" t="s">
        <v>8170</v>
      </c>
      <c r="J2282" t="s">
        <v>71</v>
      </c>
      <c r="K2282" s="2" t="str">
        <f>HYPERLINK("http://collections.slsa.sa.gov.au/arthur/01250/BRG347_1145.htm")</f>
        <v>http://collections.slsa.sa.gov.au/arthur/01250/BRG347_1145.htm</v>
      </c>
    </row>
    <row r="2283" spans="1:11" x14ac:dyDescent="0.25">
      <c r="A2283" t="s">
        <v>8174</v>
      </c>
      <c r="B2283" s="1" t="str">
        <f>HYPERLINK("https://www.catalog.slsa.sa.gov.au/record=b2110374")</f>
        <v>https://www.catalog.slsa.sa.gov.au/record=b2110374</v>
      </c>
      <c r="C2283" s="1" t="str">
        <f>HYPERLINK("https://www.catalog.slsa.sa.gov.au/xrecord=b2110374")</f>
        <v>https://www.catalog.slsa.sa.gov.au/xrecord=b2110374</v>
      </c>
      <c r="D2283" t="s">
        <v>66</v>
      </c>
      <c r="E2283" t="s">
        <v>8168</v>
      </c>
      <c r="F2283">
        <v>1958</v>
      </c>
      <c r="G2283" t="s">
        <v>121</v>
      </c>
      <c r="H2283" t="s">
        <v>8175</v>
      </c>
      <c r="I2283" t="s">
        <v>8170</v>
      </c>
      <c r="J2283" t="s">
        <v>71</v>
      </c>
      <c r="K2283" s="2" t="str">
        <f>HYPERLINK("http://collections.slsa.sa.gov.au/arthur/01250/BRG347_1146.htm")</f>
        <v>http://collections.slsa.sa.gov.au/arthur/01250/BRG347_1146.htm</v>
      </c>
    </row>
    <row r="2284" spans="1:11" x14ac:dyDescent="0.25">
      <c r="A2284" t="s">
        <v>8176</v>
      </c>
      <c r="B2284" s="1" t="str">
        <f>HYPERLINK("https://www.catalog.slsa.sa.gov.au/record=b2110375")</f>
        <v>https://www.catalog.slsa.sa.gov.au/record=b2110375</v>
      </c>
      <c r="C2284" s="1" t="str">
        <f>HYPERLINK("https://www.catalog.slsa.sa.gov.au/xrecord=b2110375")</f>
        <v>https://www.catalog.slsa.sa.gov.au/xrecord=b2110375</v>
      </c>
      <c r="D2284" t="s">
        <v>66</v>
      </c>
      <c r="E2284" t="s">
        <v>8177</v>
      </c>
      <c r="F2284">
        <v>1958</v>
      </c>
      <c r="G2284" t="s">
        <v>121</v>
      </c>
      <c r="H2284" t="s">
        <v>8178</v>
      </c>
      <c r="I2284" t="s">
        <v>8179</v>
      </c>
      <c r="J2284" t="s">
        <v>71</v>
      </c>
      <c r="K2284" s="2" t="str">
        <f>HYPERLINK("http://collections.slsa.sa.gov.au/arthur/01250/BRG347_1147.htm")</f>
        <v>http://collections.slsa.sa.gov.au/arthur/01250/BRG347_1147.htm</v>
      </c>
    </row>
    <row r="2285" spans="1:11" x14ac:dyDescent="0.25">
      <c r="A2285" t="s">
        <v>8180</v>
      </c>
      <c r="B2285" s="1" t="str">
        <f>HYPERLINK("https://www.catalog.slsa.sa.gov.au/record=b2110376")</f>
        <v>https://www.catalog.slsa.sa.gov.au/record=b2110376</v>
      </c>
      <c r="C2285" s="1" t="str">
        <f>HYPERLINK("https://www.catalog.slsa.sa.gov.au/xrecord=b2110376")</f>
        <v>https://www.catalog.slsa.sa.gov.au/xrecord=b2110376</v>
      </c>
      <c r="D2285" t="s">
        <v>66</v>
      </c>
      <c r="E2285" t="s">
        <v>8181</v>
      </c>
      <c r="F2285">
        <v>1958</v>
      </c>
      <c r="G2285" t="s">
        <v>121</v>
      </c>
      <c r="H2285" t="s">
        <v>8182</v>
      </c>
      <c r="I2285" t="s">
        <v>8183</v>
      </c>
      <c r="J2285" t="s">
        <v>71</v>
      </c>
      <c r="K2285" s="2" t="str">
        <f>HYPERLINK("http://collections.slsa.sa.gov.au/arthur/01250/BRG347_1148.htm")</f>
        <v>http://collections.slsa.sa.gov.au/arthur/01250/BRG347_1148.htm</v>
      </c>
    </row>
    <row r="2286" spans="1:11" x14ac:dyDescent="0.25">
      <c r="A2286" t="s">
        <v>8184</v>
      </c>
      <c r="B2286" s="1" t="str">
        <f>HYPERLINK("https://www.catalog.slsa.sa.gov.au/record=b2110377")</f>
        <v>https://www.catalog.slsa.sa.gov.au/record=b2110377</v>
      </c>
      <c r="C2286" s="1" t="str">
        <f>HYPERLINK("https://www.catalog.slsa.sa.gov.au/xrecord=b2110377")</f>
        <v>https://www.catalog.slsa.sa.gov.au/xrecord=b2110377</v>
      </c>
      <c r="D2286" t="s">
        <v>66</v>
      </c>
      <c r="E2286" t="s">
        <v>8185</v>
      </c>
      <c r="F2286">
        <v>1958</v>
      </c>
      <c r="G2286" t="s">
        <v>121</v>
      </c>
      <c r="H2286" t="s">
        <v>8186</v>
      </c>
      <c r="I2286" t="s">
        <v>8187</v>
      </c>
      <c r="J2286" t="s">
        <v>71</v>
      </c>
      <c r="K2286" s="2" t="str">
        <f>HYPERLINK("http://collections.slsa.sa.gov.au/arthur/01250/BRG347_1149.htm")</f>
        <v>http://collections.slsa.sa.gov.au/arthur/01250/BRG347_1149.htm</v>
      </c>
    </row>
    <row r="2287" spans="1:11" x14ac:dyDescent="0.25">
      <c r="A2287" t="s">
        <v>8188</v>
      </c>
      <c r="B2287" s="1" t="str">
        <f>HYPERLINK("https://www.catalog.slsa.sa.gov.au/record=b2110378")</f>
        <v>https://www.catalog.slsa.sa.gov.au/record=b2110378</v>
      </c>
      <c r="C2287" s="1" t="str">
        <f>HYPERLINK("https://www.catalog.slsa.sa.gov.au/xrecord=b2110378")</f>
        <v>https://www.catalog.slsa.sa.gov.au/xrecord=b2110378</v>
      </c>
      <c r="D2287" t="s">
        <v>66</v>
      </c>
      <c r="E2287" t="s">
        <v>8189</v>
      </c>
      <c r="F2287">
        <v>1958</v>
      </c>
      <c r="G2287" t="s">
        <v>121</v>
      </c>
      <c r="H2287" t="s">
        <v>8190</v>
      </c>
      <c r="I2287" t="s">
        <v>8191</v>
      </c>
      <c r="J2287" t="s">
        <v>71</v>
      </c>
      <c r="K2287" s="2" t="str">
        <f>HYPERLINK("http://collections.slsa.sa.gov.au/arthur/01250/BRG347_1150.htm")</f>
        <v>http://collections.slsa.sa.gov.au/arthur/01250/BRG347_1150.htm</v>
      </c>
    </row>
    <row r="2288" spans="1:11" x14ac:dyDescent="0.25">
      <c r="A2288" t="s">
        <v>8192</v>
      </c>
      <c r="B2288" s="1" t="str">
        <f>HYPERLINK("https://www.catalog.slsa.sa.gov.au/record=b2110379")</f>
        <v>https://www.catalog.slsa.sa.gov.au/record=b2110379</v>
      </c>
      <c r="C2288" s="1" t="str">
        <f>HYPERLINK("https://www.catalog.slsa.sa.gov.au/xrecord=b2110379")</f>
        <v>https://www.catalog.slsa.sa.gov.au/xrecord=b2110379</v>
      </c>
      <c r="D2288" t="s">
        <v>66</v>
      </c>
      <c r="E2288" t="s">
        <v>8193</v>
      </c>
      <c r="F2288">
        <v>1958</v>
      </c>
      <c r="G2288" t="s">
        <v>121</v>
      </c>
      <c r="H2288" t="s">
        <v>8194</v>
      </c>
      <c r="I2288" t="s">
        <v>8195</v>
      </c>
      <c r="J2288" t="s">
        <v>71</v>
      </c>
      <c r="K2288" s="2" t="str">
        <f>HYPERLINK("http://collections.slsa.sa.gov.au/arthur/01250/BRG347_1151.htm")</f>
        <v>http://collections.slsa.sa.gov.au/arthur/01250/BRG347_1151.htm</v>
      </c>
    </row>
    <row r="2289" spans="1:11" x14ac:dyDescent="0.25">
      <c r="A2289" t="s">
        <v>8196</v>
      </c>
      <c r="B2289" s="1" t="str">
        <f>HYPERLINK("https://www.catalog.slsa.sa.gov.au/record=b2110380")</f>
        <v>https://www.catalog.slsa.sa.gov.au/record=b2110380</v>
      </c>
      <c r="C2289" s="1" t="str">
        <f>HYPERLINK("https://www.catalog.slsa.sa.gov.au/xrecord=b2110380")</f>
        <v>https://www.catalog.slsa.sa.gov.au/xrecord=b2110380</v>
      </c>
      <c r="D2289" t="s">
        <v>66</v>
      </c>
      <c r="E2289" t="s">
        <v>8197</v>
      </c>
      <c r="F2289">
        <v>1958</v>
      </c>
      <c r="G2289" t="s">
        <v>121</v>
      </c>
      <c r="H2289" t="s">
        <v>8198</v>
      </c>
      <c r="I2289" t="s">
        <v>8195</v>
      </c>
      <c r="J2289" t="s">
        <v>71</v>
      </c>
      <c r="K2289" s="2" t="str">
        <f>HYPERLINK("http://collections.slsa.sa.gov.au/arthur/01250/BRG347_1152.htm")</f>
        <v>http://collections.slsa.sa.gov.au/arthur/01250/BRG347_1152.htm</v>
      </c>
    </row>
    <row r="2290" spans="1:11" x14ac:dyDescent="0.25">
      <c r="A2290" t="s">
        <v>8199</v>
      </c>
      <c r="B2290" s="1" t="str">
        <f>HYPERLINK("https://www.catalog.slsa.sa.gov.au/record=b2110381")</f>
        <v>https://www.catalog.slsa.sa.gov.au/record=b2110381</v>
      </c>
      <c r="C2290" s="1" t="str">
        <f>HYPERLINK("https://www.catalog.slsa.sa.gov.au/xrecord=b2110381")</f>
        <v>https://www.catalog.slsa.sa.gov.au/xrecord=b2110381</v>
      </c>
      <c r="D2290" t="s">
        <v>66</v>
      </c>
      <c r="E2290" t="s">
        <v>8197</v>
      </c>
      <c r="F2290">
        <v>1958</v>
      </c>
      <c r="G2290" t="s">
        <v>121</v>
      </c>
      <c r="H2290" t="s">
        <v>8200</v>
      </c>
      <c r="I2290" t="s">
        <v>8195</v>
      </c>
      <c r="J2290" t="s">
        <v>71</v>
      </c>
      <c r="K2290" s="2" t="str">
        <f>HYPERLINK("http://collections.slsa.sa.gov.au/arthur/01250/BRG347_1153.htm")</f>
        <v>http://collections.slsa.sa.gov.au/arthur/01250/BRG347_1153.htm</v>
      </c>
    </row>
    <row r="2291" spans="1:11" x14ac:dyDescent="0.25">
      <c r="A2291" t="s">
        <v>8201</v>
      </c>
      <c r="B2291" s="1" t="str">
        <f>HYPERLINK("https://www.catalog.slsa.sa.gov.au/record=b2110382")</f>
        <v>https://www.catalog.slsa.sa.gov.au/record=b2110382</v>
      </c>
      <c r="C2291" s="1" t="str">
        <f>HYPERLINK("https://www.catalog.slsa.sa.gov.au/xrecord=b2110382")</f>
        <v>https://www.catalog.slsa.sa.gov.au/xrecord=b2110382</v>
      </c>
      <c r="D2291" t="s">
        <v>66</v>
      </c>
      <c r="E2291" t="s">
        <v>8202</v>
      </c>
      <c r="F2291">
        <v>1958</v>
      </c>
      <c r="G2291" t="s">
        <v>121</v>
      </c>
      <c r="H2291" t="s">
        <v>8203</v>
      </c>
      <c r="I2291" t="s">
        <v>8204</v>
      </c>
      <c r="J2291" t="s">
        <v>71</v>
      </c>
      <c r="K2291" s="2" t="str">
        <f>HYPERLINK("http://collections.slsa.sa.gov.au/arthur/01250/BRG347_1154.htm")</f>
        <v>http://collections.slsa.sa.gov.au/arthur/01250/BRG347_1154.htm</v>
      </c>
    </row>
    <row r="2292" spans="1:11" x14ac:dyDescent="0.25">
      <c r="A2292" t="s">
        <v>8205</v>
      </c>
      <c r="B2292" s="1" t="str">
        <f>HYPERLINK("https://www.catalog.slsa.sa.gov.au/record=b2110383")</f>
        <v>https://www.catalog.slsa.sa.gov.au/record=b2110383</v>
      </c>
      <c r="C2292" s="1" t="str">
        <f>HYPERLINK("https://www.catalog.slsa.sa.gov.au/xrecord=b2110383")</f>
        <v>https://www.catalog.slsa.sa.gov.au/xrecord=b2110383</v>
      </c>
      <c r="D2292" t="s">
        <v>66</v>
      </c>
      <c r="E2292" t="s">
        <v>8193</v>
      </c>
      <c r="F2292">
        <v>1958</v>
      </c>
      <c r="G2292" t="s">
        <v>121</v>
      </c>
      <c r="H2292" t="s">
        <v>8206</v>
      </c>
      <c r="I2292" t="s">
        <v>8195</v>
      </c>
      <c r="J2292" t="s">
        <v>71</v>
      </c>
      <c r="K2292" s="2" t="str">
        <f>HYPERLINK("http://collections.slsa.sa.gov.au/arthur/01250/BRG347_1155.htm")</f>
        <v>http://collections.slsa.sa.gov.au/arthur/01250/BRG347_1155.htm</v>
      </c>
    </row>
    <row r="2293" spans="1:11" x14ac:dyDescent="0.25">
      <c r="A2293" t="s">
        <v>8207</v>
      </c>
      <c r="B2293" s="1" t="str">
        <f>HYPERLINK("https://www.catalog.slsa.sa.gov.au/record=b2110384")</f>
        <v>https://www.catalog.slsa.sa.gov.au/record=b2110384</v>
      </c>
      <c r="C2293" s="1" t="str">
        <f>HYPERLINK("https://www.catalog.slsa.sa.gov.au/xrecord=b2110384")</f>
        <v>https://www.catalog.slsa.sa.gov.au/xrecord=b2110384</v>
      </c>
      <c r="D2293" t="s">
        <v>66</v>
      </c>
      <c r="E2293" t="s">
        <v>8208</v>
      </c>
      <c r="F2293">
        <v>1958</v>
      </c>
      <c r="G2293" t="s">
        <v>121</v>
      </c>
      <c r="H2293" t="s">
        <v>8209</v>
      </c>
      <c r="I2293" t="s">
        <v>8210</v>
      </c>
      <c r="J2293" t="s">
        <v>71</v>
      </c>
      <c r="K2293" s="2" t="str">
        <f>HYPERLINK("http://collections.slsa.sa.gov.au/arthur/01250/BRG347_1156.htm")</f>
        <v>http://collections.slsa.sa.gov.au/arthur/01250/BRG347_1156.htm</v>
      </c>
    </row>
    <row r="2294" spans="1:11" x14ac:dyDescent="0.25">
      <c r="A2294" t="s">
        <v>8211</v>
      </c>
      <c r="B2294" s="1" t="str">
        <f>HYPERLINK("https://www.catalog.slsa.sa.gov.au/record=b2110385")</f>
        <v>https://www.catalog.slsa.sa.gov.au/record=b2110385</v>
      </c>
      <c r="C2294" s="1" t="str">
        <f>HYPERLINK("https://www.catalog.slsa.sa.gov.au/xrecord=b2110385")</f>
        <v>https://www.catalog.slsa.sa.gov.au/xrecord=b2110385</v>
      </c>
      <c r="D2294" t="s">
        <v>66</v>
      </c>
      <c r="E2294" t="s">
        <v>8202</v>
      </c>
      <c r="F2294">
        <v>1958</v>
      </c>
      <c r="G2294" t="s">
        <v>121</v>
      </c>
      <c r="H2294" t="s">
        <v>8212</v>
      </c>
      <c r="I2294" t="s">
        <v>8213</v>
      </c>
      <c r="J2294" t="s">
        <v>71</v>
      </c>
      <c r="K2294" s="2" t="str">
        <f>HYPERLINK("http://collections.slsa.sa.gov.au/arthur/01250/BRG347_1157.htm")</f>
        <v>http://collections.slsa.sa.gov.au/arthur/01250/BRG347_1157.htm</v>
      </c>
    </row>
    <row r="2295" spans="1:11" x14ac:dyDescent="0.25">
      <c r="A2295" t="s">
        <v>8214</v>
      </c>
      <c r="B2295" s="1" t="str">
        <f>HYPERLINK("https://www.catalog.slsa.sa.gov.au/record=b2117537")</f>
        <v>https://www.catalog.slsa.sa.gov.au/record=b2117537</v>
      </c>
      <c r="C2295" s="1" t="str">
        <f>HYPERLINK("https://www.catalog.slsa.sa.gov.au/xrecord=b2117537")</f>
        <v>https://www.catalog.slsa.sa.gov.au/xrecord=b2117537</v>
      </c>
      <c r="D2295" t="s">
        <v>66</v>
      </c>
      <c r="E2295" t="s">
        <v>8215</v>
      </c>
      <c r="F2295">
        <v>1958</v>
      </c>
      <c r="G2295" t="s">
        <v>5597</v>
      </c>
      <c r="H2295" t="s">
        <v>8216</v>
      </c>
      <c r="I2295" t="s">
        <v>8217</v>
      </c>
      <c r="J2295" t="s">
        <v>71</v>
      </c>
      <c r="K2295" s="2" t="str">
        <f>HYPERLINK("http://collections.slsa.sa.gov.au/arthur/01250/BRG347_1158.htm")</f>
        <v>http://collections.slsa.sa.gov.au/arthur/01250/BRG347_1158.htm</v>
      </c>
    </row>
    <row r="2296" spans="1:11" x14ac:dyDescent="0.25">
      <c r="A2296" t="s">
        <v>8218</v>
      </c>
      <c r="B2296" s="1" t="str">
        <f>HYPERLINK("https://www.catalog.slsa.sa.gov.au/record=b2110386")</f>
        <v>https://www.catalog.slsa.sa.gov.au/record=b2110386</v>
      </c>
      <c r="C2296" s="1" t="str">
        <f>HYPERLINK("https://www.catalog.slsa.sa.gov.au/xrecord=b2110386")</f>
        <v>https://www.catalog.slsa.sa.gov.au/xrecord=b2110386</v>
      </c>
      <c r="D2296" t="s">
        <v>66</v>
      </c>
      <c r="E2296" t="s">
        <v>7695</v>
      </c>
      <c r="F2296">
        <v>1958</v>
      </c>
      <c r="G2296" t="s">
        <v>121</v>
      </c>
      <c r="H2296" t="s">
        <v>8219</v>
      </c>
      <c r="I2296" t="s">
        <v>8220</v>
      </c>
      <c r="J2296" t="s">
        <v>71</v>
      </c>
      <c r="K2296" s="2" t="str">
        <f>HYPERLINK("http://collections.slsa.sa.gov.au/arthur/01250/BRG347_1159.htm")</f>
        <v>http://collections.slsa.sa.gov.au/arthur/01250/BRG347_1159.htm</v>
      </c>
    </row>
    <row r="2297" spans="1:11" x14ac:dyDescent="0.25">
      <c r="A2297" t="s">
        <v>8221</v>
      </c>
      <c r="B2297" s="1" t="str">
        <f>HYPERLINK("https://www.catalog.slsa.sa.gov.au/record=b2110491")</f>
        <v>https://www.catalog.slsa.sa.gov.au/record=b2110491</v>
      </c>
      <c r="C2297" s="1" t="str">
        <f>HYPERLINK("https://www.catalog.slsa.sa.gov.au/xrecord=b2110491")</f>
        <v>https://www.catalog.slsa.sa.gov.au/xrecord=b2110491</v>
      </c>
      <c r="D2297" t="s">
        <v>66</v>
      </c>
      <c r="E2297" t="s">
        <v>8222</v>
      </c>
      <c r="F2297">
        <v>1958</v>
      </c>
      <c r="G2297" t="s">
        <v>121</v>
      </c>
      <c r="H2297" t="s">
        <v>8223</v>
      </c>
      <c r="I2297" t="s">
        <v>8224</v>
      </c>
      <c r="J2297" t="s">
        <v>71</v>
      </c>
      <c r="K2297" s="2" t="str">
        <f>HYPERLINK("http://collections.slsa.sa.gov.au/arthur/01500/BRG347_1266.htm")</f>
        <v>http://collections.slsa.sa.gov.au/arthur/01500/BRG347_1266.htm</v>
      </c>
    </row>
    <row r="2298" spans="1:11" x14ac:dyDescent="0.25">
      <c r="A2298" t="s">
        <v>8225</v>
      </c>
      <c r="B2298" s="1" t="str">
        <f>HYPERLINK("https://www.catalog.slsa.sa.gov.au/record=b2110494")</f>
        <v>https://www.catalog.slsa.sa.gov.au/record=b2110494</v>
      </c>
      <c r="C2298" s="1" t="str">
        <f>HYPERLINK("https://www.catalog.slsa.sa.gov.au/xrecord=b2110494")</f>
        <v>https://www.catalog.slsa.sa.gov.au/xrecord=b2110494</v>
      </c>
      <c r="D2298" t="s">
        <v>66</v>
      </c>
      <c r="E2298" t="s">
        <v>8226</v>
      </c>
      <c r="F2298">
        <v>1958</v>
      </c>
      <c r="G2298" t="s">
        <v>121</v>
      </c>
      <c r="H2298" t="s">
        <v>8227</v>
      </c>
      <c r="I2298" t="s">
        <v>6325</v>
      </c>
      <c r="J2298" t="s">
        <v>71</v>
      </c>
      <c r="K2298" s="2" t="str">
        <f>HYPERLINK("http://collections.slsa.sa.gov.au/arthur/01500/BRG347_1269.htm")</f>
        <v>http://collections.slsa.sa.gov.au/arthur/01500/BRG347_1269.htm</v>
      </c>
    </row>
    <row r="2299" spans="1:11" x14ac:dyDescent="0.25">
      <c r="A2299" t="s">
        <v>8228</v>
      </c>
      <c r="B2299" s="1" t="str">
        <f>HYPERLINK("https://www.catalog.slsa.sa.gov.au/record=b2110503")</f>
        <v>https://www.catalog.slsa.sa.gov.au/record=b2110503</v>
      </c>
      <c r="C2299" s="1" t="str">
        <f>HYPERLINK("https://www.catalog.slsa.sa.gov.au/xrecord=b2110503")</f>
        <v>https://www.catalog.slsa.sa.gov.au/xrecord=b2110503</v>
      </c>
      <c r="D2299" t="s">
        <v>66</v>
      </c>
      <c r="E2299" t="s">
        <v>8229</v>
      </c>
      <c r="F2299">
        <v>1958</v>
      </c>
      <c r="G2299" t="s">
        <v>121</v>
      </c>
      <c r="H2299" t="s">
        <v>8230</v>
      </c>
      <c r="I2299" t="s">
        <v>8231</v>
      </c>
      <c r="J2299" t="s">
        <v>71</v>
      </c>
      <c r="K2299" s="2" t="str">
        <f>HYPERLINK("http://collections.slsa.sa.gov.au/arthur/01500/BRG347_1278.htm")</f>
        <v>http://collections.slsa.sa.gov.au/arthur/01500/BRG347_1278.htm</v>
      </c>
    </row>
    <row r="2300" spans="1:11" x14ac:dyDescent="0.25">
      <c r="A2300" t="s">
        <v>8232</v>
      </c>
      <c r="B2300" s="1" t="str">
        <f>HYPERLINK("https://www.catalog.slsa.sa.gov.au/record=b2110505")</f>
        <v>https://www.catalog.slsa.sa.gov.au/record=b2110505</v>
      </c>
      <c r="C2300" s="1" t="str">
        <f>HYPERLINK("https://www.catalog.slsa.sa.gov.au/xrecord=b2110505")</f>
        <v>https://www.catalog.slsa.sa.gov.au/xrecord=b2110505</v>
      </c>
      <c r="D2300" t="s">
        <v>66</v>
      </c>
      <c r="E2300" t="s">
        <v>8233</v>
      </c>
      <c r="F2300">
        <v>1958</v>
      </c>
      <c r="G2300" t="s">
        <v>121</v>
      </c>
      <c r="H2300" t="s">
        <v>8234</v>
      </c>
      <c r="I2300" t="s">
        <v>8235</v>
      </c>
      <c r="J2300" t="s">
        <v>71</v>
      </c>
      <c r="K2300" s="2" t="str">
        <f>HYPERLINK("http://collections.slsa.sa.gov.au/arthur/01500/BRG347_1280.htm")</f>
        <v>http://collections.slsa.sa.gov.au/arthur/01500/BRG347_1280.htm</v>
      </c>
    </row>
    <row r="2301" spans="1:11" x14ac:dyDescent="0.25">
      <c r="A2301" t="s">
        <v>8236</v>
      </c>
      <c r="B2301" s="1" t="str">
        <f>HYPERLINK("https://www.catalog.slsa.sa.gov.au/record=b2110514")</f>
        <v>https://www.catalog.slsa.sa.gov.au/record=b2110514</v>
      </c>
      <c r="C2301" s="1" t="str">
        <f>HYPERLINK("https://www.catalog.slsa.sa.gov.au/xrecord=b2110514")</f>
        <v>https://www.catalog.slsa.sa.gov.au/xrecord=b2110514</v>
      </c>
      <c r="D2301" t="s">
        <v>66</v>
      </c>
      <c r="E2301" t="s">
        <v>8237</v>
      </c>
      <c r="F2301">
        <v>1958</v>
      </c>
      <c r="G2301" t="s">
        <v>121</v>
      </c>
      <c r="H2301" t="s">
        <v>8238</v>
      </c>
      <c r="I2301" t="s">
        <v>8239</v>
      </c>
      <c r="J2301" t="s">
        <v>71</v>
      </c>
      <c r="K2301" s="2" t="str">
        <f>HYPERLINK("http://collections.slsa.sa.gov.au/arthur/01500/BRG347_1289.htm")</f>
        <v>http://collections.slsa.sa.gov.au/arthur/01500/BRG347_1289.htm</v>
      </c>
    </row>
    <row r="2302" spans="1:11" x14ac:dyDescent="0.25">
      <c r="A2302" t="s">
        <v>8240</v>
      </c>
      <c r="B2302" s="1" t="str">
        <f>HYPERLINK("https://www.catalog.slsa.sa.gov.au/record=b2110515")</f>
        <v>https://www.catalog.slsa.sa.gov.au/record=b2110515</v>
      </c>
      <c r="C2302" s="1" t="str">
        <f>HYPERLINK("https://www.catalog.slsa.sa.gov.au/xrecord=b2110515")</f>
        <v>https://www.catalog.slsa.sa.gov.au/xrecord=b2110515</v>
      </c>
      <c r="D2302" t="s">
        <v>66</v>
      </c>
      <c r="E2302" t="s">
        <v>8241</v>
      </c>
      <c r="F2302">
        <v>1958</v>
      </c>
      <c r="G2302" t="s">
        <v>121</v>
      </c>
      <c r="H2302" t="s">
        <v>8242</v>
      </c>
      <c r="I2302" t="s">
        <v>8243</v>
      </c>
      <c r="J2302" t="s">
        <v>71</v>
      </c>
      <c r="K2302" s="2" t="str">
        <f>HYPERLINK("http://collections.slsa.sa.gov.au/arthur/01500/BRG347_1290.htm")</f>
        <v>http://collections.slsa.sa.gov.au/arthur/01500/BRG347_1290.htm</v>
      </c>
    </row>
    <row r="2303" spans="1:11" x14ac:dyDescent="0.25">
      <c r="A2303" t="s">
        <v>8244</v>
      </c>
      <c r="B2303" s="1" t="str">
        <f>HYPERLINK("https://www.catalog.slsa.sa.gov.au/record=b2110516")</f>
        <v>https://www.catalog.slsa.sa.gov.au/record=b2110516</v>
      </c>
      <c r="C2303" s="1" t="str">
        <f>HYPERLINK("https://www.catalog.slsa.sa.gov.au/xrecord=b2110516")</f>
        <v>https://www.catalog.slsa.sa.gov.au/xrecord=b2110516</v>
      </c>
      <c r="D2303" t="s">
        <v>66</v>
      </c>
      <c r="E2303" t="s">
        <v>8245</v>
      </c>
      <c r="F2303">
        <v>1958</v>
      </c>
      <c r="G2303" t="s">
        <v>121</v>
      </c>
      <c r="H2303" t="s">
        <v>8246</v>
      </c>
      <c r="I2303" t="s">
        <v>8247</v>
      </c>
      <c r="J2303" t="s">
        <v>71</v>
      </c>
      <c r="K2303" s="2" t="str">
        <f>HYPERLINK("http://collections.slsa.sa.gov.au/arthur/01500/BRG347_1291.htm")</f>
        <v>http://collections.slsa.sa.gov.au/arthur/01500/BRG347_1291.htm</v>
      </c>
    </row>
    <row r="2304" spans="1:11" x14ac:dyDescent="0.25">
      <c r="A2304" t="s">
        <v>8248</v>
      </c>
      <c r="B2304" s="1" t="str">
        <f>HYPERLINK("https://www.catalog.slsa.sa.gov.au/record=b2110657")</f>
        <v>https://www.catalog.slsa.sa.gov.au/record=b2110657</v>
      </c>
      <c r="C2304" s="1" t="str">
        <f>HYPERLINK("https://www.catalog.slsa.sa.gov.au/xrecord=b2110657")</f>
        <v>https://www.catalog.slsa.sa.gov.au/xrecord=b2110657</v>
      </c>
      <c r="D2304" t="s">
        <v>66</v>
      </c>
      <c r="E2304" t="s">
        <v>6523</v>
      </c>
      <c r="F2304">
        <v>1958</v>
      </c>
      <c r="G2304" t="s">
        <v>121</v>
      </c>
      <c r="H2304" t="s">
        <v>8249</v>
      </c>
      <c r="I2304" t="s">
        <v>7454</v>
      </c>
      <c r="J2304" t="s">
        <v>71</v>
      </c>
      <c r="K2304" s="2" t="str">
        <f>HYPERLINK("http://collections.slsa.sa.gov.au/arthur/01500/BRG347_1377.htm")</f>
        <v>http://collections.slsa.sa.gov.au/arthur/01500/BRG347_1377.htm</v>
      </c>
    </row>
    <row r="2305" spans="1:11" x14ac:dyDescent="0.25">
      <c r="A2305" t="s">
        <v>8250</v>
      </c>
      <c r="B2305" s="1" t="str">
        <f>HYPERLINK("https://www.catalog.slsa.sa.gov.au/record=b2110658")</f>
        <v>https://www.catalog.slsa.sa.gov.au/record=b2110658</v>
      </c>
      <c r="C2305" s="1" t="str">
        <f>HYPERLINK("https://www.catalog.slsa.sa.gov.au/xrecord=b2110658")</f>
        <v>https://www.catalog.slsa.sa.gov.au/xrecord=b2110658</v>
      </c>
      <c r="D2305" t="s">
        <v>66</v>
      </c>
      <c r="E2305" t="s">
        <v>8251</v>
      </c>
      <c r="F2305">
        <v>1958</v>
      </c>
      <c r="G2305" t="s">
        <v>121</v>
      </c>
      <c r="H2305" t="s">
        <v>8252</v>
      </c>
      <c r="I2305" t="s">
        <v>6591</v>
      </c>
      <c r="J2305" t="s">
        <v>71</v>
      </c>
      <c r="K2305" s="2" t="str">
        <f>HYPERLINK("http://collections.slsa.sa.gov.au/arthur/01500/BRG347_1378.htm")</f>
        <v>http://collections.slsa.sa.gov.au/arthur/01500/BRG347_1378.htm</v>
      </c>
    </row>
    <row r="2306" spans="1:11" x14ac:dyDescent="0.25">
      <c r="A2306" t="s">
        <v>8253</v>
      </c>
      <c r="B2306" s="1" t="str">
        <f>HYPERLINK("https://www.catalog.slsa.sa.gov.au/record=b2110659")</f>
        <v>https://www.catalog.slsa.sa.gov.au/record=b2110659</v>
      </c>
      <c r="C2306" s="1" t="str">
        <f>HYPERLINK("https://www.catalog.slsa.sa.gov.au/xrecord=b2110659")</f>
        <v>https://www.catalog.slsa.sa.gov.au/xrecord=b2110659</v>
      </c>
      <c r="D2306" t="s">
        <v>66</v>
      </c>
      <c r="E2306" t="s">
        <v>8254</v>
      </c>
      <c r="F2306">
        <v>1958</v>
      </c>
      <c r="G2306" t="s">
        <v>121</v>
      </c>
      <c r="H2306" t="s">
        <v>8255</v>
      </c>
      <c r="I2306" t="s">
        <v>8256</v>
      </c>
      <c r="J2306" t="s">
        <v>71</v>
      </c>
      <c r="K2306" s="2" t="str">
        <f>HYPERLINK("http://collections.slsa.sa.gov.au/arthur/01500/BRG347_1379.htm")</f>
        <v>http://collections.slsa.sa.gov.au/arthur/01500/BRG347_1379.htm</v>
      </c>
    </row>
    <row r="2307" spans="1:11" x14ac:dyDescent="0.25">
      <c r="A2307" t="s">
        <v>8257</v>
      </c>
      <c r="B2307" s="1" t="str">
        <f>HYPERLINK("https://www.catalog.slsa.sa.gov.au/record=b2110660")</f>
        <v>https://www.catalog.slsa.sa.gov.au/record=b2110660</v>
      </c>
      <c r="C2307" s="1" t="str">
        <f>HYPERLINK("https://www.catalog.slsa.sa.gov.au/xrecord=b2110660")</f>
        <v>https://www.catalog.slsa.sa.gov.au/xrecord=b2110660</v>
      </c>
      <c r="D2307" t="s">
        <v>66</v>
      </c>
      <c r="E2307" t="s">
        <v>8258</v>
      </c>
      <c r="F2307">
        <v>1958</v>
      </c>
      <c r="G2307" t="s">
        <v>121</v>
      </c>
      <c r="H2307" t="s">
        <v>8259</v>
      </c>
      <c r="I2307" t="s">
        <v>8256</v>
      </c>
      <c r="J2307" t="s">
        <v>71</v>
      </c>
      <c r="K2307" s="2" t="str">
        <f>HYPERLINK("http://collections.slsa.sa.gov.au/arthur/01500/BRG347_1380.htm")</f>
        <v>http://collections.slsa.sa.gov.au/arthur/01500/BRG347_1380.htm</v>
      </c>
    </row>
    <row r="2308" spans="1:11" x14ac:dyDescent="0.25">
      <c r="A2308" t="s">
        <v>8260</v>
      </c>
      <c r="B2308" s="1" t="str">
        <f>HYPERLINK("https://www.catalog.slsa.sa.gov.au/record=b2110661")</f>
        <v>https://www.catalog.slsa.sa.gov.au/record=b2110661</v>
      </c>
      <c r="C2308" s="1" t="str">
        <f>HYPERLINK("https://www.catalog.slsa.sa.gov.au/xrecord=b2110661")</f>
        <v>https://www.catalog.slsa.sa.gov.au/xrecord=b2110661</v>
      </c>
      <c r="D2308" t="s">
        <v>66</v>
      </c>
      <c r="E2308" t="s">
        <v>8261</v>
      </c>
      <c r="F2308">
        <v>1958</v>
      </c>
      <c r="G2308" t="s">
        <v>121</v>
      </c>
      <c r="H2308" t="s">
        <v>8262</v>
      </c>
      <c r="I2308" t="s">
        <v>8263</v>
      </c>
      <c r="J2308" t="s">
        <v>71</v>
      </c>
      <c r="K2308" s="2" t="str">
        <f>HYPERLINK("http://collections.slsa.sa.gov.au/arthur/01500/BRG347_1381.htm")</f>
        <v>http://collections.slsa.sa.gov.au/arthur/01500/BRG347_1381.htm</v>
      </c>
    </row>
    <row r="2309" spans="1:11" x14ac:dyDescent="0.25">
      <c r="A2309" t="s">
        <v>8264</v>
      </c>
      <c r="B2309" s="1" t="str">
        <f>HYPERLINK("https://www.catalog.slsa.sa.gov.au/record=b2110662")</f>
        <v>https://www.catalog.slsa.sa.gov.au/record=b2110662</v>
      </c>
      <c r="C2309" s="1" t="str">
        <f>HYPERLINK("https://www.catalog.slsa.sa.gov.au/xrecord=b2110662")</f>
        <v>https://www.catalog.slsa.sa.gov.au/xrecord=b2110662</v>
      </c>
      <c r="D2309" t="s">
        <v>66</v>
      </c>
      <c r="E2309" t="s">
        <v>8261</v>
      </c>
      <c r="F2309">
        <v>1958</v>
      </c>
      <c r="G2309" t="s">
        <v>121</v>
      </c>
      <c r="H2309" t="s">
        <v>8265</v>
      </c>
      <c r="I2309" t="s">
        <v>8263</v>
      </c>
      <c r="J2309" t="s">
        <v>71</v>
      </c>
      <c r="K2309" s="2" t="str">
        <f>HYPERLINK("http://collections.slsa.sa.gov.au/arthur/01500/BRG347_1382.htm")</f>
        <v>http://collections.slsa.sa.gov.au/arthur/01500/BRG347_1382.htm</v>
      </c>
    </row>
    <row r="2310" spans="1:11" x14ac:dyDescent="0.25">
      <c r="A2310" t="s">
        <v>8266</v>
      </c>
      <c r="B2310" s="1" t="str">
        <f>HYPERLINK("https://www.catalog.slsa.sa.gov.au/record=b2110663")</f>
        <v>https://www.catalog.slsa.sa.gov.au/record=b2110663</v>
      </c>
      <c r="C2310" s="1" t="str">
        <f>HYPERLINK("https://www.catalog.slsa.sa.gov.au/xrecord=b2110663")</f>
        <v>https://www.catalog.slsa.sa.gov.au/xrecord=b2110663</v>
      </c>
      <c r="D2310" t="s">
        <v>66</v>
      </c>
      <c r="E2310" t="s">
        <v>8267</v>
      </c>
      <c r="F2310">
        <v>1958</v>
      </c>
      <c r="G2310" t="s">
        <v>121</v>
      </c>
      <c r="H2310" t="s">
        <v>8268</v>
      </c>
      <c r="I2310" t="s">
        <v>8269</v>
      </c>
      <c r="J2310" t="s">
        <v>71</v>
      </c>
      <c r="K2310" s="2" t="str">
        <f>HYPERLINK("http://collections.slsa.sa.gov.au/arthur/01500/BRG347_1383.htm")</f>
        <v>http://collections.slsa.sa.gov.au/arthur/01500/BRG347_1383.htm</v>
      </c>
    </row>
    <row r="2311" spans="1:11" x14ac:dyDescent="0.25">
      <c r="A2311" t="s">
        <v>8270</v>
      </c>
      <c r="B2311" s="1" t="str">
        <f>HYPERLINK("https://www.catalog.slsa.sa.gov.au/record=b2110664")</f>
        <v>https://www.catalog.slsa.sa.gov.au/record=b2110664</v>
      </c>
      <c r="C2311" s="1" t="str">
        <f>HYPERLINK("https://www.catalog.slsa.sa.gov.au/xrecord=b2110664")</f>
        <v>https://www.catalog.slsa.sa.gov.au/xrecord=b2110664</v>
      </c>
      <c r="D2311" t="s">
        <v>66</v>
      </c>
      <c r="E2311" t="s">
        <v>8271</v>
      </c>
      <c r="F2311">
        <v>1958</v>
      </c>
      <c r="G2311" t="s">
        <v>121</v>
      </c>
      <c r="H2311" t="s">
        <v>8272</v>
      </c>
      <c r="I2311" t="s">
        <v>8273</v>
      </c>
      <c r="J2311" t="s">
        <v>71</v>
      </c>
      <c r="K2311" s="2" t="str">
        <f>HYPERLINK("http://collections.slsa.sa.gov.au/arthur/01500/BRG347_1384.htm")</f>
        <v>http://collections.slsa.sa.gov.au/arthur/01500/BRG347_1384.htm</v>
      </c>
    </row>
    <row r="2312" spans="1:11" x14ac:dyDescent="0.25">
      <c r="A2312" t="s">
        <v>8274</v>
      </c>
      <c r="B2312" s="1" t="str">
        <f>HYPERLINK("https://www.catalog.slsa.sa.gov.au/record=b2110665")</f>
        <v>https://www.catalog.slsa.sa.gov.au/record=b2110665</v>
      </c>
      <c r="C2312" s="1" t="str">
        <f>HYPERLINK("https://www.catalog.slsa.sa.gov.au/xrecord=b2110665")</f>
        <v>https://www.catalog.slsa.sa.gov.au/xrecord=b2110665</v>
      </c>
      <c r="D2312" t="s">
        <v>66</v>
      </c>
      <c r="E2312" t="s">
        <v>8261</v>
      </c>
      <c r="F2312">
        <v>1958</v>
      </c>
      <c r="G2312" t="s">
        <v>121</v>
      </c>
      <c r="H2312" t="s">
        <v>8275</v>
      </c>
      <c r="I2312" t="s">
        <v>8276</v>
      </c>
      <c r="J2312" t="s">
        <v>71</v>
      </c>
      <c r="K2312" s="2" t="str">
        <f>HYPERLINK("http://collections.slsa.sa.gov.au/arthur/01500/BRG347_1385.htm")</f>
        <v>http://collections.slsa.sa.gov.au/arthur/01500/BRG347_1385.htm</v>
      </c>
    </row>
    <row r="2313" spans="1:11" x14ac:dyDescent="0.25">
      <c r="A2313" t="s">
        <v>8277</v>
      </c>
      <c r="B2313" s="1" t="str">
        <f>HYPERLINK("https://www.catalog.slsa.sa.gov.au/record=b2110666")</f>
        <v>https://www.catalog.slsa.sa.gov.au/record=b2110666</v>
      </c>
      <c r="C2313" s="1" t="str">
        <f>HYPERLINK("https://www.catalog.slsa.sa.gov.au/xrecord=b2110666")</f>
        <v>https://www.catalog.slsa.sa.gov.au/xrecord=b2110666</v>
      </c>
      <c r="D2313" t="s">
        <v>66</v>
      </c>
      <c r="E2313" t="s">
        <v>8261</v>
      </c>
      <c r="F2313">
        <v>1958</v>
      </c>
      <c r="G2313" t="s">
        <v>121</v>
      </c>
      <c r="H2313" t="s">
        <v>8278</v>
      </c>
      <c r="I2313" t="s">
        <v>8276</v>
      </c>
      <c r="J2313" t="s">
        <v>71</v>
      </c>
      <c r="K2313" s="2" t="str">
        <f>HYPERLINK("http://collections.slsa.sa.gov.au/arthur/01500/BRG347_1386.htm")</f>
        <v>http://collections.slsa.sa.gov.au/arthur/01500/BRG347_1386.htm</v>
      </c>
    </row>
    <row r="2314" spans="1:11" x14ac:dyDescent="0.25">
      <c r="A2314" t="s">
        <v>8279</v>
      </c>
      <c r="B2314" s="1" t="str">
        <f>HYPERLINK("https://www.catalog.slsa.sa.gov.au/record=b2110667")</f>
        <v>https://www.catalog.slsa.sa.gov.au/record=b2110667</v>
      </c>
      <c r="C2314" s="1" t="str">
        <f>HYPERLINK("https://www.catalog.slsa.sa.gov.au/xrecord=b2110667")</f>
        <v>https://www.catalog.slsa.sa.gov.au/xrecord=b2110667</v>
      </c>
      <c r="D2314" t="s">
        <v>66</v>
      </c>
      <c r="E2314" t="s">
        <v>8261</v>
      </c>
      <c r="F2314">
        <v>1958</v>
      </c>
      <c r="G2314" t="s">
        <v>121</v>
      </c>
      <c r="H2314" t="s">
        <v>8280</v>
      </c>
      <c r="I2314" t="s">
        <v>8281</v>
      </c>
      <c r="J2314" t="s">
        <v>71</v>
      </c>
      <c r="K2314" s="2" t="str">
        <f>HYPERLINK("http://collections.slsa.sa.gov.au/arthur/01500/BRG347_1387.htm")</f>
        <v>http://collections.slsa.sa.gov.au/arthur/01500/BRG347_1387.htm</v>
      </c>
    </row>
    <row r="2315" spans="1:11" x14ac:dyDescent="0.25">
      <c r="A2315" t="s">
        <v>8282</v>
      </c>
      <c r="B2315" s="1" t="str">
        <f>HYPERLINK("https://www.catalog.slsa.sa.gov.au/record=b2110668")</f>
        <v>https://www.catalog.slsa.sa.gov.au/record=b2110668</v>
      </c>
      <c r="C2315" s="1" t="str">
        <f>HYPERLINK("https://www.catalog.slsa.sa.gov.au/xrecord=b2110668")</f>
        <v>https://www.catalog.slsa.sa.gov.au/xrecord=b2110668</v>
      </c>
      <c r="D2315" t="s">
        <v>66</v>
      </c>
      <c r="E2315" t="s">
        <v>8283</v>
      </c>
      <c r="F2315">
        <v>1958</v>
      </c>
      <c r="G2315" t="s">
        <v>121</v>
      </c>
      <c r="H2315" t="s">
        <v>8284</v>
      </c>
      <c r="I2315" t="s">
        <v>8285</v>
      </c>
      <c r="J2315" t="s">
        <v>71</v>
      </c>
      <c r="K2315" s="2" t="str">
        <f>HYPERLINK("http://collections.slsa.sa.gov.au/arthur/01500/BRG347_1388.htm")</f>
        <v>http://collections.slsa.sa.gov.au/arthur/01500/BRG347_1388.htm</v>
      </c>
    </row>
    <row r="2316" spans="1:11" x14ac:dyDescent="0.25">
      <c r="A2316" t="s">
        <v>8286</v>
      </c>
      <c r="B2316" s="1" t="str">
        <f>HYPERLINK("https://www.catalog.slsa.sa.gov.au/record=b2110669")</f>
        <v>https://www.catalog.slsa.sa.gov.au/record=b2110669</v>
      </c>
      <c r="C2316" s="1" t="str">
        <f>HYPERLINK("https://www.catalog.slsa.sa.gov.au/xrecord=b2110669")</f>
        <v>https://www.catalog.slsa.sa.gov.au/xrecord=b2110669</v>
      </c>
      <c r="D2316" t="s">
        <v>66</v>
      </c>
      <c r="E2316" t="s">
        <v>8287</v>
      </c>
      <c r="F2316">
        <v>1958</v>
      </c>
      <c r="G2316" t="s">
        <v>121</v>
      </c>
      <c r="H2316" t="s">
        <v>8288</v>
      </c>
      <c r="I2316" t="s">
        <v>8289</v>
      </c>
      <c r="J2316" t="s">
        <v>71</v>
      </c>
      <c r="K2316" s="2" t="str">
        <f>HYPERLINK("http://collections.slsa.sa.gov.au/arthur/01500/BRG347_1389.htm")</f>
        <v>http://collections.slsa.sa.gov.au/arthur/01500/BRG347_1389.htm</v>
      </c>
    </row>
    <row r="2317" spans="1:11" x14ac:dyDescent="0.25">
      <c r="A2317" t="s">
        <v>8290</v>
      </c>
      <c r="B2317" s="1" t="str">
        <f>HYPERLINK("https://www.catalog.slsa.sa.gov.au/record=b2110670")</f>
        <v>https://www.catalog.slsa.sa.gov.au/record=b2110670</v>
      </c>
      <c r="C2317" s="1" t="str">
        <f>HYPERLINK("https://www.catalog.slsa.sa.gov.au/xrecord=b2110670")</f>
        <v>https://www.catalog.slsa.sa.gov.au/xrecord=b2110670</v>
      </c>
      <c r="D2317" t="s">
        <v>66</v>
      </c>
      <c r="E2317" t="s">
        <v>8283</v>
      </c>
      <c r="F2317">
        <v>1958</v>
      </c>
      <c r="G2317" t="s">
        <v>121</v>
      </c>
      <c r="H2317" t="s">
        <v>8291</v>
      </c>
      <c r="I2317" t="s">
        <v>8285</v>
      </c>
      <c r="J2317" t="s">
        <v>71</v>
      </c>
      <c r="K2317" s="2" t="str">
        <f>HYPERLINK("http://collections.slsa.sa.gov.au/arthur/01500/BRG347_1390.htm")</f>
        <v>http://collections.slsa.sa.gov.au/arthur/01500/BRG347_1390.htm</v>
      </c>
    </row>
    <row r="2318" spans="1:11" x14ac:dyDescent="0.25">
      <c r="A2318" t="s">
        <v>8292</v>
      </c>
      <c r="B2318" s="1" t="str">
        <f>HYPERLINK("https://www.catalog.slsa.sa.gov.au/record=b2110671")</f>
        <v>https://www.catalog.slsa.sa.gov.au/record=b2110671</v>
      </c>
      <c r="C2318" s="1" t="str">
        <f>HYPERLINK("https://www.catalog.slsa.sa.gov.au/xrecord=b2110671")</f>
        <v>https://www.catalog.slsa.sa.gov.au/xrecord=b2110671</v>
      </c>
      <c r="D2318" t="s">
        <v>66</v>
      </c>
      <c r="E2318" t="s">
        <v>8251</v>
      </c>
      <c r="F2318">
        <v>1958</v>
      </c>
      <c r="G2318" t="s">
        <v>121</v>
      </c>
      <c r="H2318" t="s">
        <v>8293</v>
      </c>
      <c r="I2318" t="s">
        <v>6591</v>
      </c>
      <c r="J2318" t="s">
        <v>71</v>
      </c>
      <c r="K2318" s="2" t="str">
        <f>HYPERLINK("http://collections.slsa.sa.gov.au/arthur/01500/BRG347_1391.htm")</f>
        <v>http://collections.slsa.sa.gov.au/arthur/01500/BRG347_1391.htm</v>
      </c>
    </row>
    <row r="2319" spans="1:11" x14ac:dyDescent="0.25">
      <c r="A2319" t="s">
        <v>8294</v>
      </c>
      <c r="B2319" s="1" t="str">
        <f>HYPERLINK("https://www.catalog.slsa.sa.gov.au/record=b2110672")</f>
        <v>https://www.catalog.slsa.sa.gov.au/record=b2110672</v>
      </c>
      <c r="C2319" s="1" t="str">
        <f>HYPERLINK("https://www.catalog.slsa.sa.gov.au/xrecord=b2110672")</f>
        <v>https://www.catalog.slsa.sa.gov.au/xrecord=b2110672</v>
      </c>
      <c r="D2319" t="s">
        <v>66</v>
      </c>
      <c r="E2319" t="s">
        <v>8295</v>
      </c>
      <c r="F2319">
        <v>1958</v>
      </c>
      <c r="G2319" t="s">
        <v>121</v>
      </c>
      <c r="H2319" t="s">
        <v>8296</v>
      </c>
      <c r="I2319" t="s">
        <v>8297</v>
      </c>
      <c r="J2319" t="s">
        <v>71</v>
      </c>
      <c r="K2319" s="2" t="str">
        <f>HYPERLINK("http://collections.slsa.sa.gov.au/arthur/01500/BRG347_1392.htm")</f>
        <v>http://collections.slsa.sa.gov.au/arthur/01500/BRG347_1392.htm</v>
      </c>
    </row>
    <row r="2320" spans="1:11" x14ac:dyDescent="0.25">
      <c r="A2320" t="s">
        <v>8298</v>
      </c>
      <c r="B2320" s="1" t="str">
        <f>HYPERLINK("https://www.catalog.slsa.sa.gov.au/record=b2110673")</f>
        <v>https://www.catalog.slsa.sa.gov.au/record=b2110673</v>
      </c>
      <c r="C2320" s="1" t="str">
        <f>HYPERLINK("https://www.catalog.slsa.sa.gov.au/xrecord=b2110673")</f>
        <v>https://www.catalog.slsa.sa.gov.au/xrecord=b2110673</v>
      </c>
      <c r="D2320" t="s">
        <v>66</v>
      </c>
      <c r="E2320" t="s">
        <v>8299</v>
      </c>
      <c r="F2320">
        <v>1958</v>
      </c>
      <c r="G2320" t="s">
        <v>121</v>
      </c>
      <c r="H2320" t="s">
        <v>8300</v>
      </c>
      <c r="I2320" t="s">
        <v>8301</v>
      </c>
      <c r="J2320" t="s">
        <v>71</v>
      </c>
      <c r="K2320" s="2" t="str">
        <f>HYPERLINK("http://collections.slsa.sa.gov.au/arthur/01500/BRG347_1393.htm")</f>
        <v>http://collections.slsa.sa.gov.au/arthur/01500/BRG347_1393.htm</v>
      </c>
    </row>
    <row r="2321" spans="1:11" x14ac:dyDescent="0.25">
      <c r="A2321" t="s">
        <v>8302</v>
      </c>
      <c r="B2321" s="1" t="str">
        <f>HYPERLINK("https://www.catalog.slsa.sa.gov.au/record=b2110674")</f>
        <v>https://www.catalog.slsa.sa.gov.au/record=b2110674</v>
      </c>
      <c r="C2321" s="1" t="str">
        <f>HYPERLINK("https://www.catalog.slsa.sa.gov.au/xrecord=b2110674")</f>
        <v>https://www.catalog.slsa.sa.gov.au/xrecord=b2110674</v>
      </c>
      <c r="D2321" t="s">
        <v>66</v>
      </c>
      <c r="E2321" t="s">
        <v>8299</v>
      </c>
      <c r="F2321">
        <v>1958</v>
      </c>
      <c r="G2321" t="s">
        <v>121</v>
      </c>
      <c r="H2321" t="s">
        <v>8303</v>
      </c>
      <c r="I2321" t="s">
        <v>8304</v>
      </c>
      <c r="J2321" t="s">
        <v>71</v>
      </c>
      <c r="K2321" s="2" t="str">
        <f>HYPERLINK("http://collections.slsa.sa.gov.au/arthur/01500/BRG347_1394.htm")</f>
        <v>http://collections.slsa.sa.gov.au/arthur/01500/BRG347_1394.htm</v>
      </c>
    </row>
    <row r="2322" spans="1:11" x14ac:dyDescent="0.25">
      <c r="A2322" t="s">
        <v>8305</v>
      </c>
      <c r="B2322" s="1" t="str">
        <f>HYPERLINK("https://www.catalog.slsa.sa.gov.au/record=b2110675")</f>
        <v>https://www.catalog.slsa.sa.gov.au/record=b2110675</v>
      </c>
      <c r="C2322" s="1" t="str">
        <f>HYPERLINK("https://www.catalog.slsa.sa.gov.au/xrecord=b2110675")</f>
        <v>https://www.catalog.slsa.sa.gov.au/xrecord=b2110675</v>
      </c>
      <c r="D2322" t="s">
        <v>66</v>
      </c>
      <c r="E2322" t="s">
        <v>8287</v>
      </c>
      <c r="F2322">
        <v>1958</v>
      </c>
      <c r="G2322" t="s">
        <v>121</v>
      </c>
      <c r="H2322" t="s">
        <v>8306</v>
      </c>
      <c r="I2322" t="s">
        <v>8307</v>
      </c>
      <c r="J2322" t="s">
        <v>71</v>
      </c>
      <c r="K2322" s="2" t="str">
        <f>HYPERLINK("http://collections.slsa.sa.gov.au/arthur/01500/BRG347_1395.htm")</f>
        <v>http://collections.slsa.sa.gov.au/arthur/01500/BRG347_1395.htm</v>
      </c>
    </row>
    <row r="2323" spans="1:11" x14ac:dyDescent="0.25">
      <c r="A2323" t="s">
        <v>8308</v>
      </c>
      <c r="B2323" s="1" t="str">
        <f>HYPERLINK("https://www.catalog.slsa.sa.gov.au/record=b2110676")</f>
        <v>https://www.catalog.slsa.sa.gov.au/record=b2110676</v>
      </c>
      <c r="C2323" s="1" t="str">
        <f>HYPERLINK("https://www.catalog.slsa.sa.gov.au/xrecord=b2110676")</f>
        <v>https://www.catalog.slsa.sa.gov.au/xrecord=b2110676</v>
      </c>
      <c r="D2323" t="s">
        <v>66</v>
      </c>
      <c r="E2323" t="s">
        <v>8299</v>
      </c>
      <c r="F2323">
        <v>1958</v>
      </c>
      <c r="G2323" t="s">
        <v>121</v>
      </c>
      <c r="H2323" t="s">
        <v>8309</v>
      </c>
      <c r="I2323" t="s">
        <v>8304</v>
      </c>
      <c r="J2323" t="s">
        <v>71</v>
      </c>
      <c r="K2323" s="2" t="str">
        <f>HYPERLINK("http://collections.slsa.sa.gov.au/arthur/01500/BRG347_1396.htm")</f>
        <v>http://collections.slsa.sa.gov.au/arthur/01500/BRG347_1396.htm</v>
      </c>
    </row>
    <row r="2324" spans="1:11" x14ac:dyDescent="0.25">
      <c r="A2324" t="s">
        <v>8310</v>
      </c>
      <c r="B2324" s="1" t="str">
        <f>HYPERLINK("https://www.catalog.slsa.sa.gov.au/record=b2110678")</f>
        <v>https://www.catalog.slsa.sa.gov.au/record=b2110678</v>
      </c>
      <c r="C2324" s="1" t="str">
        <f>HYPERLINK("https://www.catalog.slsa.sa.gov.au/xrecord=b2110678")</f>
        <v>https://www.catalog.slsa.sa.gov.au/xrecord=b2110678</v>
      </c>
      <c r="D2324" t="s">
        <v>66</v>
      </c>
      <c r="E2324" t="s">
        <v>8311</v>
      </c>
      <c r="F2324">
        <v>1958</v>
      </c>
      <c r="G2324" t="s">
        <v>121</v>
      </c>
      <c r="H2324" t="s">
        <v>8312</v>
      </c>
      <c r="I2324" t="s">
        <v>8313</v>
      </c>
      <c r="J2324" t="s">
        <v>71</v>
      </c>
      <c r="K2324" s="2" t="str">
        <f>HYPERLINK("http://collections.slsa.sa.gov.au/arthur/01500/BRG347_1397.htm")</f>
        <v>http://collections.slsa.sa.gov.au/arthur/01500/BRG347_1397.htm</v>
      </c>
    </row>
    <row r="2325" spans="1:11" x14ac:dyDescent="0.25">
      <c r="A2325" t="s">
        <v>8314</v>
      </c>
      <c r="B2325" s="1" t="str">
        <f>HYPERLINK("https://www.catalog.slsa.sa.gov.au/record=b2110679")</f>
        <v>https://www.catalog.slsa.sa.gov.au/record=b2110679</v>
      </c>
      <c r="C2325" s="1" t="str">
        <f>HYPERLINK("https://www.catalog.slsa.sa.gov.au/xrecord=b2110679")</f>
        <v>https://www.catalog.slsa.sa.gov.au/xrecord=b2110679</v>
      </c>
      <c r="D2325" t="s">
        <v>66</v>
      </c>
      <c r="E2325" t="s">
        <v>8315</v>
      </c>
      <c r="F2325">
        <v>1958</v>
      </c>
      <c r="G2325" t="s">
        <v>121</v>
      </c>
      <c r="H2325" t="s">
        <v>8316</v>
      </c>
      <c r="I2325" t="s">
        <v>8304</v>
      </c>
      <c r="J2325" t="s">
        <v>71</v>
      </c>
      <c r="K2325" s="2" t="str">
        <f>HYPERLINK("http://collections.slsa.sa.gov.au/arthur/01500/BRG347_1398.htm")</f>
        <v>http://collections.slsa.sa.gov.au/arthur/01500/BRG347_1398.htm</v>
      </c>
    </row>
    <row r="2326" spans="1:11" x14ac:dyDescent="0.25">
      <c r="A2326" t="s">
        <v>8317</v>
      </c>
      <c r="B2326" s="1" t="str">
        <f>HYPERLINK("https://www.catalog.slsa.sa.gov.au/record=b2110680")</f>
        <v>https://www.catalog.slsa.sa.gov.au/record=b2110680</v>
      </c>
      <c r="C2326" s="1" t="str">
        <f>HYPERLINK("https://www.catalog.slsa.sa.gov.au/xrecord=b2110680")</f>
        <v>https://www.catalog.slsa.sa.gov.au/xrecord=b2110680</v>
      </c>
      <c r="D2326" t="s">
        <v>66</v>
      </c>
      <c r="E2326" t="s">
        <v>8318</v>
      </c>
      <c r="F2326">
        <v>1958</v>
      </c>
      <c r="G2326" t="s">
        <v>121</v>
      </c>
      <c r="H2326" t="s">
        <v>8319</v>
      </c>
      <c r="I2326" t="s">
        <v>8320</v>
      </c>
      <c r="J2326" t="s">
        <v>71</v>
      </c>
      <c r="K2326" s="2" t="str">
        <f>HYPERLINK("http://collections.slsa.sa.gov.au/arthur/01500/BRG347_1399.htm")</f>
        <v>http://collections.slsa.sa.gov.au/arthur/01500/BRG347_1399.htm</v>
      </c>
    </row>
    <row r="2327" spans="1:11" x14ac:dyDescent="0.25">
      <c r="A2327" t="s">
        <v>8321</v>
      </c>
      <c r="B2327" s="1" t="str">
        <f>HYPERLINK("https://www.catalog.slsa.sa.gov.au/record=b2110681")</f>
        <v>https://www.catalog.slsa.sa.gov.au/record=b2110681</v>
      </c>
      <c r="C2327" s="1" t="str">
        <f>HYPERLINK("https://www.catalog.slsa.sa.gov.au/xrecord=b2110681")</f>
        <v>https://www.catalog.slsa.sa.gov.au/xrecord=b2110681</v>
      </c>
      <c r="D2327" t="s">
        <v>66</v>
      </c>
      <c r="E2327" t="s">
        <v>8318</v>
      </c>
      <c r="F2327">
        <v>1958</v>
      </c>
      <c r="G2327" t="s">
        <v>121</v>
      </c>
      <c r="H2327" t="s">
        <v>8322</v>
      </c>
      <c r="I2327" t="s">
        <v>8323</v>
      </c>
      <c r="J2327" t="s">
        <v>71</v>
      </c>
      <c r="K2327" s="2" t="str">
        <f>HYPERLINK("http://collections.slsa.sa.gov.au/arthur/01500/BRG347_1400.htm")</f>
        <v>http://collections.slsa.sa.gov.au/arthur/01500/BRG347_1400.htm</v>
      </c>
    </row>
    <row r="2328" spans="1:11" x14ac:dyDescent="0.25">
      <c r="A2328" t="s">
        <v>8324</v>
      </c>
      <c r="B2328" s="1" t="str">
        <f>HYPERLINK("https://www.catalog.slsa.sa.gov.au/record=b2110682")</f>
        <v>https://www.catalog.slsa.sa.gov.au/record=b2110682</v>
      </c>
      <c r="C2328" s="1" t="str">
        <f>HYPERLINK("https://www.catalog.slsa.sa.gov.au/xrecord=b2110682")</f>
        <v>https://www.catalog.slsa.sa.gov.au/xrecord=b2110682</v>
      </c>
      <c r="D2328" t="s">
        <v>66</v>
      </c>
      <c r="E2328" t="s">
        <v>8325</v>
      </c>
      <c r="F2328">
        <v>1958</v>
      </c>
      <c r="G2328" t="s">
        <v>121</v>
      </c>
      <c r="H2328" t="s">
        <v>8326</v>
      </c>
      <c r="I2328" t="s">
        <v>8327</v>
      </c>
      <c r="J2328" t="s">
        <v>71</v>
      </c>
      <c r="K2328" s="2" t="str">
        <f>HYPERLINK("http://collections.slsa.sa.gov.au/arthur/01500/BRG347_1401.htm")</f>
        <v>http://collections.slsa.sa.gov.au/arthur/01500/BRG347_1401.htm</v>
      </c>
    </row>
    <row r="2329" spans="1:11" x14ac:dyDescent="0.25">
      <c r="A2329" t="s">
        <v>8328</v>
      </c>
      <c r="B2329" s="1" t="str">
        <f>HYPERLINK("https://www.catalog.slsa.sa.gov.au/record=b2110683")</f>
        <v>https://www.catalog.slsa.sa.gov.au/record=b2110683</v>
      </c>
      <c r="C2329" s="1" t="str">
        <f>HYPERLINK("https://www.catalog.slsa.sa.gov.au/xrecord=b2110683")</f>
        <v>https://www.catalog.slsa.sa.gov.au/xrecord=b2110683</v>
      </c>
      <c r="D2329" t="s">
        <v>66</v>
      </c>
      <c r="E2329" t="s">
        <v>8107</v>
      </c>
      <c r="F2329">
        <v>1958</v>
      </c>
      <c r="G2329" t="s">
        <v>121</v>
      </c>
      <c r="H2329" t="s">
        <v>8329</v>
      </c>
      <c r="I2329" t="s">
        <v>8330</v>
      </c>
      <c r="J2329" t="s">
        <v>71</v>
      </c>
      <c r="K2329" s="2" t="str">
        <f>HYPERLINK("http://collections.slsa.sa.gov.au/arthur/01500/BRG347_1402.htm")</f>
        <v>http://collections.slsa.sa.gov.au/arthur/01500/BRG347_1402.htm</v>
      </c>
    </row>
    <row r="2330" spans="1:11" x14ac:dyDescent="0.25">
      <c r="A2330" t="s">
        <v>8331</v>
      </c>
      <c r="B2330" s="1" t="str">
        <f>HYPERLINK("https://www.catalog.slsa.sa.gov.au/record=b2110684")</f>
        <v>https://www.catalog.slsa.sa.gov.au/record=b2110684</v>
      </c>
      <c r="C2330" s="1" t="str">
        <f>HYPERLINK("https://www.catalog.slsa.sa.gov.au/xrecord=b2110684")</f>
        <v>https://www.catalog.slsa.sa.gov.au/xrecord=b2110684</v>
      </c>
      <c r="D2330" t="s">
        <v>66</v>
      </c>
      <c r="E2330" t="s">
        <v>8283</v>
      </c>
      <c r="F2330">
        <v>1958</v>
      </c>
      <c r="G2330" t="s">
        <v>121</v>
      </c>
      <c r="H2330" t="s">
        <v>8332</v>
      </c>
      <c r="I2330" t="s">
        <v>8285</v>
      </c>
      <c r="J2330" t="s">
        <v>71</v>
      </c>
      <c r="K2330" s="2" t="str">
        <f>HYPERLINK("http://collections.slsa.sa.gov.au/arthur/01500/BRG347_1403.htm")</f>
        <v>http://collections.slsa.sa.gov.au/arthur/01500/BRG347_1403.htm</v>
      </c>
    </row>
    <row r="2331" spans="1:11" x14ac:dyDescent="0.25">
      <c r="A2331" t="s">
        <v>8333</v>
      </c>
      <c r="B2331" s="1" t="str">
        <f>HYPERLINK("https://www.catalog.slsa.sa.gov.au/record=b2110685")</f>
        <v>https://www.catalog.slsa.sa.gov.au/record=b2110685</v>
      </c>
      <c r="C2331" s="1" t="str">
        <f>HYPERLINK("https://www.catalog.slsa.sa.gov.au/xrecord=b2110685")</f>
        <v>https://www.catalog.slsa.sa.gov.au/xrecord=b2110685</v>
      </c>
      <c r="D2331" t="s">
        <v>66</v>
      </c>
      <c r="E2331" t="s">
        <v>8334</v>
      </c>
      <c r="F2331">
        <v>1958</v>
      </c>
      <c r="G2331" t="s">
        <v>121</v>
      </c>
      <c r="H2331" t="s">
        <v>8335</v>
      </c>
      <c r="I2331" t="s">
        <v>8336</v>
      </c>
      <c r="J2331" t="s">
        <v>71</v>
      </c>
      <c r="K2331" s="2" t="str">
        <f>HYPERLINK("http://collections.slsa.sa.gov.au/arthur/01500/BRG347_1404.htm")</f>
        <v>http://collections.slsa.sa.gov.au/arthur/01500/BRG347_1404.htm</v>
      </c>
    </row>
    <row r="2332" spans="1:11" x14ac:dyDescent="0.25">
      <c r="A2332" t="s">
        <v>8337</v>
      </c>
      <c r="B2332" s="1" t="str">
        <f>HYPERLINK("https://www.catalog.slsa.sa.gov.au/record=b2110686")</f>
        <v>https://www.catalog.slsa.sa.gov.au/record=b2110686</v>
      </c>
      <c r="C2332" s="1" t="str">
        <f>HYPERLINK("https://www.catalog.slsa.sa.gov.au/xrecord=b2110686")</f>
        <v>https://www.catalog.slsa.sa.gov.au/xrecord=b2110686</v>
      </c>
      <c r="D2332" t="s">
        <v>66</v>
      </c>
      <c r="E2332" t="s">
        <v>8338</v>
      </c>
      <c r="F2332">
        <v>1958</v>
      </c>
      <c r="G2332" t="s">
        <v>121</v>
      </c>
      <c r="H2332" t="s">
        <v>8339</v>
      </c>
      <c r="I2332" t="s">
        <v>8340</v>
      </c>
      <c r="J2332" t="s">
        <v>71</v>
      </c>
      <c r="K2332" s="2" t="str">
        <f>HYPERLINK("http://collections.slsa.sa.gov.au/arthur/01500/BRG347_1405.htm")</f>
        <v>http://collections.slsa.sa.gov.au/arthur/01500/BRG347_1405.htm</v>
      </c>
    </row>
    <row r="2333" spans="1:11" x14ac:dyDescent="0.25">
      <c r="A2333" t="s">
        <v>8341</v>
      </c>
      <c r="B2333" s="1" t="str">
        <f>HYPERLINK("https://www.catalog.slsa.sa.gov.au/record=b2110687")</f>
        <v>https://www.catalog.slsa.sa.gov.au/record=b2110687</v>
      </c>
      <c r="C2333" s="1" t="str">
        <f>HYPERLINK("https://www.catalog.slsa.sa.gov.au/xrecord=b2110687")</f>
        <v>https://www.catalog.slsa.sa.gov.au/xrecord=b2110687</v>
      </c>
      <c r="D2333" t="s">
        <v>66</v>
      </c>
      <c r="E2333" t="s">
        <v>8342</v>
      </c>
      <c r="F2333">
        <v>1958</v>
      </c>
      <c r="G2333" t="s">
        <v>121</v>
      </c>
      <c r="H2333" t="s">
        <v>8343</v>
      </c>
      <c r="I2333" t="s">
        <v>8344</v>
      </c>
      <c r="J2333" t="s">
        <v>71</v>
      </c>
      <c r="K2333" s="2" t="str">
        <f>HYPERLINK("http://collections.slsa.sa.gov.au/arthur/01500/BRG347_1406.htm")</f>
        <v>http://collections.slsa.sa.gov.au/arthur/01500/BRG347_1406.htm</v>
      </c>
    </row>
    <row r="2334" spans="1:11" x14ac:dyDescent="0.25">
      <c r="A2334" t="s">
        <v>8345</v>
      </c>
      <c r="B2334" s="1" t="str">
        <f>HYPERLINK("https://www.catalog.slsa.sa.gov.au/record=b2110688")</f>
        <v>https://www.catalog.slsa.sa.gov.au/record=b2110688</v>
      </c>
      <c r="C2334" s="1" t="str">
        <f>HYPERLINK("https://www.catalog.slsa.sa.gov.au/xrecord=b2110688")</f>
        <v>https://www.catalog.slsa.sa.gov.au/xrecord=b2110688</v>
      </c>
      <c r="D2334" t="s">
        <v>66</v>
      </c>
      <c r="E2334" t="s">
        <v>8346</v>
      </c>
      <c r="F2334">
        <v>1958</v>
      </c>
      <c r="G2334" t="s">
        <v>121</v>
      </c>
      <c r="H2334" t="s">
        <v>8347</v>
      </c>
      <c r="I2334" t="s">
        <v>8348</v>
      </c>
      <c r="J2334" t="s">
        <v>71</v>
      </c>
      <c r="K2334" s="2" t="str">
        <f>HYPERLINK("http://collections.slsa.sa.gov.au/arthur/01500/BRG347_1407.htm")</f>
        <v>http://collections.slsa.sa.gov.au/arthur/01500/BRG347_1407.htm</v>
      </c>
    </row>
    <row r="2335" spans="1:11" x14ac:dyDescent="0.25">
      <c r="A2335" t="s">
        <v>8349</v>
      </c>
      <c r="B2335" s="1" t="str">
        <f>HYPERLINK("https://www.catalog.slsa.sa.gov.au/record=b2110689")</f>
        <v>https://www.catalog.slsa.sa.gov.au/record=b2110689</v>
      </c>
      <c r="C2335" s="1" t="str">
        <f>HYPERLINK("https://www.catalog.slsa.sa.gov.au/xrecord=b2110689")</f>
        <v>https://www.catalog.slsa.sa.gov.au/xrecord=b2110689</v>
      </c>
      <c r="D2335" t="s">
        <v>66</v>
      </c>
      <c r="E2335" t="s">
        <v>8350</v>
      </c>
      <c r="F2335">
        <v>1958</v>
      </c>
      <c r="G2335" t="s">
        <v>121</v>
      </c>
      <c r="H2335" t="s">
        <v>8351</v>
      </c>
      <c r="I2335" t="s">
        <v>8352</v>
      </c>
      <c r="J2335" t="s">
        <v>71</v>
      </c>
      <c r="K2335" s="2" t="str">
        <f>HYPERLINK("http://collections.slsa.sa.gov.au/arthur/01500/BRG347_1408.htm")</f>
        <v>http://collections.slsa.sa.gov.au/arthur/01500/BRG347_1408.htm</v>
      </c>
    </row>
    <row r="2336" spans="1:11" x14ac:dyDescent="0.25">
      <c r="A2336" t="s">
        <v>8353</v>
      </c>
      <c r="B2336" s="1" t="str">
        <f>HYPERLINK("https://www.catalog.slsa.sa.gov.au/record=b2110690")</f>
        <v>https://www.catalog.slsa.sa.gov.au/record=b2110690</v>
      </c>
      <c r="C2336" s="1" t="str">
        <f>HYPERLINK("https://www.catalog.slsa.sa.gov.au/xrecord=b2110690")</f>
        <v>https://www.catalog.slsa.sa.gov.au/xrecord=b2110690</v>
      </c>
      <c r="D2336" t="s">
        <v>66</v>
      </c>
      <c r="E2336" t="s">
        <v>8350</v>
      </c>
      <c r="F2336">
        <v>1958</v>
      </c>
      <c r="G2336" t="s">
        <v>121</v>
      </c>
      <c r="H2336" t="s">
        <v>8351</v>
      </c>
      <c r="I2336" t="s">
        <v>8352</v>
      </c>
      <c r="J2336" t="s">
        <v>71</v>
      </c>
      <c r="K2336" s="2" t="str">
        <f>HYPERLINK("http://collections.slsa.sa.gov.au/arthur/01500/BRG347_1409.htm")</f>
        <v>http://collections.slsa.sa.gov.au/arthur/01500/BRG347_1409.htm</v>
      </c>
    </row>
    <row r="2337" spans="1:11" x14ac:dyDescent="0.25">
      <c r="A2337" t="s">
        <v>8354</v>
      </c>
      <c r="B2337" s="1" t="str">
        <f>HYPERLINK("https://www.catalog.slsa.sa.gov.au/record=b2110691")</f>
        <v>https://www.catalog.slsa.sa.gov.au/record=b2110691</v>
      </c>
      <c r="C2337" s="1" t="str">
        <f>HYPERLINK("https://www.catalog.slsa.sa.gov.au/xrecord=b2110691")</f>
        <v>https://www.catalog.slsa.sa.gov.au/xrecord=b2110691</v>
      </c>
      <c r="D2337" t="s">
        <v>66</v>
      </c>
      <c r="E2337" t="s">
        <v>8355</v>
      </c>
      <c r="F2337">
        <v>1958</v>
      </c>
      <c r="G2337" t="s">
        <v>121</v>
      </c>
      <c r="H2337" t="s">
        <v>8356</v>
      </c>
      <c r="I2337" t="s">
        <v>8357</v>
      </c>
      <c r="J2337" t="s">
        <v>71</v>
      </c>
      <c r="K2337" s="2" t="str">
        <f>HYPERLINK("http://collections.slsa.sa.gov.au/arthur/01500/BRG347_1410.htm")</f>
        <v>http://collections.slsa.sa.gov.au/arthur/01500/BRG347_1410.htm</v>
      </c>
    </row>
    <row r="2338" spans="1:11" x14ac:dyDescent="0.25">
      <c r="A2338" t="s">
        <v>8358</v>
      </c>
      <c r="B2338" s="1" t="str">
        <f>HYPERLINK("https://www.catalog.slsa.sa.gov.au/record=b2110692")</f>
        <v>https://www.catalog.slsa.sa.gov.au/record=b2110692</v>
      </c>
      <c r="C2338" s="1" t="str">
        <f>HYPERLINK("https://www.catalog.slsa.sa.gov.au/xrecord=b2110692")</f>
        <v>https://www.catalog.slsa.sa.gov.au/xrecord=b2110692</v>
      </c>
      <c r="D2338" t="s">
        <v>66</v>
      </c>
      <c r="E2338" t="s">
        <v>8359</v>
      </c>
      <c r="F2338">
        <v>1958</v>
      </c>
      <c r="G2338" t="s">
        <v>121</v>
      </c>
      <c r="H2338" t="s">
        <v>8360</v>
      </c>
      <c r="I2338" t="s">
        <v>8361</v>
      </c>
      <c r="J2338" t="s">
        <v>71</v>
      </c>
      <c r="K2338" s="2" t="str">
        <f>HYPERLINK("http://collections.slsa.sa.gov.au/arthur/01500/BRG347_1411.htm")</f>
        <v>http://collections.slsa.sa.gov.au/arthur/01500/BRG347_1411.htm</v>
      </c>
    </row>
    <row r="2339" spans="1:11" x14ac:dyDescent="0.25">
      <c r="A2339" t="s">
        <v>8362</v>
      </c>
      <c r="B2339" s="1" t="str">
        <f>HYPERLINK("https://www.catalog.slsa.sa.gov.au/record=b2110693")</f>
        <v>https://www.catalog.slsa.sa.gov.au/record=b2110693</v>
      </c>
      <c r="C2339" s="1" t="str">
        <f>HYPERLINK("https://www.catalog.slsa.sa.gov.au/xrecord=b2110693")</f>
        <v>https://www.catalog.slsa.sa.gov.au/xrecord=b2110693</v>
      </c>
      <c r="D2339" t="s">
        <v>66</v>
      </c>
      <c r="E2339" t="s">
        <v>7445</v>
      </c>
      <c r="F2339">
        <v>1958</v>
      </c>
      <c r="G2339" t="s">
        <v>121</v>
      </c>
      <c r="H2339" t="s">
        <v>8363</v>
      </c>
      <c r="I2339" t="s">
        <v>8364</v>
      </c>
      <c r="J2339" t="s">
        <v>71</v>
      </c>
      <c r="K2339" s="2" t="str">
        <f>HYPERLINK("http://collections.slsa.sa.gov.au/arthur/01500/BRG347_1412.htm")</f>
        <v>http://collections.slsa.sa.gov.au/arthur/01500/BRG347_1412.htm</v>
      </c>
    </row>
    <row r="2340" spans="1:11" x14ac:dyDescent="0.25">
      <c r="A2340" t="s">
        <v>8365</v>
      </c>
      <c r="B2340" s="1" t="str">
        <f>HYPERLINK("https://www.catalog.slsa.sa.gov.au/record=b2110701")</f>
        <v>https://www.catalog.slsa.sa.gov.au/record=b2110701</v>
      </c>
      <c r="C2340" s="1" t="str">
        <f>HYPERLINK("https://www.catalog.slsa.sa.gov.au/xrecord=b2110701")</f>
        <v>https://www.catalog.slsa.sa.gov.au/xrecord=b2110701</v>
      </c>
      <c r="D2340" t="s">
        <v>66</v>
      </c>
      <c r="E2340" t="s">
        <v>8366</v>
      </c>
      <c r="F2340">
        <v>1958</v>
      </c>
      <c r="G2340" t="s">
        <v>121</v>
      </c>
      <c r="H2340" t="s">
        <v>8367</v>
      </c>
      <c r="I2340" t="s">
        <v>8368</v>
      </c>
      <c r="J2340" t="s">
        <v>71</v>
      </c>
      <c r="K2340" s="2" t="str">
        <f>HYPERLINK("http://collections.slsa.sa.gov.au/arthur/01500/BRG347_1419.htm")</f>
        <v>http://collections.slsa.sa.gov.au/arthur/01500/BRG347_1419.htm</v>
      </c>
    </row>
    <row r="2341" spans="1:11" x14ac:dyDescent="0.25">
      <c r="A2341" t="s">
        <v>8369</v>
      </c>
      <c r="B2341" s="1" t="str">
        <f>HYPERLINK("https://www.catalog.slsa.sa.gov.au/record=b2110702")</f>
        <v>https://www.catalog.slsa.sa.gov.au/record=b2110702</v>
      </c>
      <c r="C2341" s="1" t="str">
        <f>HYPERLINK("https://www.catalog.slsa.sa.gov.au/xrecord=b2110702")</f>
        <v>https://www.catalog.slsa.sa.gov.au/xrecord=b2110702</v>
      </c>
      <c r="D2341" t="s">
        <v>66</v>
      </c>
      <c r="E2341" t="s">
        <v>8370</v>
      </c>
      <c r="F2341">
        <v>1958</v>
      </c>
      <c r="G2341" t="s">
        <v>121</v>
      </c>
      <c r="H2341" t="s">
        <v>8371</v>
      </c>
      <c r="I2341" t="s">
        <v>8372</v>
      </c>
      <c r="J2341" t="s">
        <v>71</v>
      </c>
      <c r="K2341" s="2" t="str">
        <f>HYPERLINK("http://collections.slsa.sa.gov.au/arthur/01500/BRG347_1420.htm")</f>
        <v>http://collections.slsa.sa.gov.au/arthur/01500/BRG347_1420.htm</v>
      </c>
    </row>
    <row r="2342" spans="1:11" x14ac:dyDescent="0.25">
      <c r="A2342" t="s">
        <v>8373</v>
      </c>
      <c r="B2342" s="1" t="str">
        <f>HYPERLINK("https://www.catalog.slsa.sa.gov.au/record=b2110705")</f>
        <v>https://www.catalog.slsa.sa.gov.au/record=b2110705</v>
      </c>
      <c r="C2342" s="1" t="str">
        <f>HYPERLINK("https://www.catalog.slsa.sa.gov.au/xrecord=b2110705")</f>
        <v>https://www.catalog.slsa.sa.gov.au/xrecord=b2110705</v>
      </c>
      <c r="D2342" t="s">
        <v>66</v>
      </c>
      <c r="E2342" t="s">
        <v>8287</v>
      </c>
      <c r="F2342">
        <v>1958</v>
      </c>
      <c r="G2342" t="s">
        <v>121</v>
      </c>
      <c r="H2342" t="s">
        <v>8374</v>
      </c>
      <c r="I2342" t="s">
        <v>8307</v>
      </c>
      <c r="J2342" t="s">
        <v>71</v>
      </c>
      <c r="K2342" s="2" t="str">
        <f>HYPERLINK("http://collections.slsa.sa.gov.au/arthur/01500/BRG347_1423.htm")</f>
        <v>http://collections.slsa.sa.gov.au/arthur/01500/BRG347_1423.htm</v>
      </c>
    </row>
    <row r="2343" spans="1:11" x14ac:dyDescent="0.25">
      <c r="A2343" t="s">
        <v>8375</v>
      </c>
      <c r="B2343" s="1" t="str">
        <f>HYPERLINK("https://www.catalog.slsa.sa.gov.au/record=b2110706")</f>
        <v>https://www.catalog.slsa.sa.gov.au/record=b2110706</v>
      </c>
      <c r="C2343" s="1" t="str">
        <f>HYPERLINK("https://www.catalog.slsa.sa.gov.au/xrecord=b2110706")</f>
        <v>https://www.catalog.slsa.sa.gov.au/xrecord=b2110706</v>
      </c>
      <c r="D2343" t="s">
        <v>66</v>
      </c>
      <c r="E2343" t="s">
        <v>8376</v>
      </c>
      <c r="F2343">
        <v>1958</v>
      </c>
      <c r="G2343" t="s">
        <v>121</v>
      </c>
      <c r="H2343" t="s">
        <v>8377</v>
      </c>
      <c r="I2343" t="s">
        <v>8378</v>
      </c>
      <c r="J2343" t="s">
        <v>71</v>
      </c>
      <c r="K2343" s="2" t="str">
        <f>HYPERLINK("http://collections.slsa.sa.gov.au/arthur/01500/BRG347_1424.htm")</f>
        <v>http://collections.slsa.sa.gov.au/arthur/01500/BRG347_1424.htm</v>
      </c>
    </row>
    <row r="2344" spans="1:11" x14ac:dyDescent="0.25">
      <c r="A2344" t="s">
        <v>8379</v>
      </c>
      <c r="B2344" s="1" t="str">
        <f>HYPERLINK("https://www.catalog.slsa.sa.gov.au/record=b2110709")</f>
        <v>https://www.catalog.slsa.sa.gov.au/record=b2110709</v>
      </c>
      <c r="C2344" s="1" t="str">
        <f>HYPERLINK("https://www.catalog.slsa.sa.gov.au/xrecord=b2110709")</f>
        <v>https://www.catalog.slsa.sa.gov.au/xrecord=b2110709</v>
      </c>
      <c r="D2344" t="s">
        <v>66</v>
      </c>
      <c r="E2344" t="s">
        <v>8287</v>
      </c>
      <c r="F2344">
        <v>1958</v>
      </c>
      <c r="G2344" t="s">
        <v>121</v>
      </c>
      <c r="H2344" t="s">
        <v>8380</v>
      </c>
      <c r="I2344" t="s">
        <v>8307</v>
      </c>
      <c r="J2344" t="s">
        <v>71</v>
      </c>
      <c r="K2344" s="2" t="str">
        <f>HYPERLINK("http://collections.slsa.sa.gov.au/arthur/01500/BRG347_1427.htm")</f>
        <v>http://collections.slsa.sa.gov.au/arthur/01500/BRG347_1427.htm</v>
      </c>
    </row>
    <row r="2345" spans="1:11" x14ac:dyDescent="0.25">
      <c r="A2345" t="s">
        <v>8381</v>
      </c>
      <c r="B2345" s="1" t="str">
        <f>HYPERLINK("https://www.catalog.slsa.sa.gov.au/record=b2110711")</f>
        <v>https://www.catalog.slsa.sa.gov.au/record=b2110711</v>
      </c>
      <c r="C2345" s="1" t="str">
        <f>HYPERLINK("https://www.catalog.slsa.sa.gov.au/xrecord=b2110711")</f>
        <v>https://www.catalog.slsa.sa.gov.au/xrecord=b2110711</v>
      </c>
      <c r="D2345" t="s">
        <v>66</v>
      </c>
      <c r="E2345" t="s">
        <v>8287</v>
      </c>
      <c r="F2345">
        <v>1958</v>
      </c>
      <c r="G2345" t="s">
        <v>121</v>
      </c>
      <c r="H2345" t="s">
        <v>8382</v>
      </c>
      <c r="I2345" t="s">
        <v>6583</v>
      </c>
      <c r="J2345" t="s">
        <v>71</v>
      </c>
      <c r="K2345" s="2" t="str">
        <f>HYPERLINK("http://collections.slsa.sa.gov.au/arthur/01500/BRG347_1429.htm")</f>
        <v>http://collections.slsa.sa.gov.au/arthur/01500/BRG347_1429.htm</v>
      </c>
    </row>
    <row r="2346" spans="1:11" x14ac:dyDescent="0.25">
      <c r="A2346" t="s">
        <v>8383</v>
      </c>
      <c r="B2346" s="1" t="str">
        <f>HYPERLINK("https://www.catalog.slsa.sa.gov.au/record=b2110712")</f>
        <v>https://www.catalog.slsa.sa.gov.au/record=b2110712</v>
      </c>
      <c r="C2346" s="1" t="str">
        <f>HYPERLINK("https://www.catalog.slsa.sa.gov.au/xrecord=b2110712")</f>
        <v>https://www.catalog.slsa.sa.gov.au/xrecord=b2110712</v>
      </c>
      <c r="D2346" t="s">
        <v>66</v>
      </c>
      <c r="E2346" t="s">
        <v>8287</v>
      </c>
      <c r="F2346">
        <v>1958</v>
      </c>
      <c r="G2346" t="s">
        <v>121</v>
      </c>
      <c r="H2346" t="s">
        <v>8384</v>
      </c>
      <c r="I2346" t="s">
        <v>8307</v>
      </c>
      <c r="J2346" t="s">
        <v>71</v>
      </c>
      <c r="K2346" s="2" t="str">
        <f>HYPERLINK("http://collections.slsa.sa.gov.au/arthur/01500/BRG347_1430.htm")</f>
        <v>http://collections.slsa.sa.gov.au/arthur/01500/BRG347_1430.htm</v>
      </c>
    </row>
    <row r="2347" spans="1:11" x14ac:dyDescent="0.25">
      <c r="A2347" t="s">
        <v>8385</v>
      </c>
      <c r="B2347" s="1" t="str">
        <f>HYPERLINK("https://www.catalog.slsa.sa.gov.au/record=b2110713")</f>
        <v>https://www.catalog.slsa.sa.gov.au/record=b2110713</v>
      </c>
      <c r="C2347" s="1" t="str">
        <f>HYPERLINK("https://www.catalog.slsa.sa.gov.au/xrecord=b2110713")</f>
        <v>https://www.catalog.slsa.sa.gov.au/xrecord=b2110713</v>
      </c>
      <c r="D2347" t="s">
        <v>66</v>
      </c>
      <c r="E2347" t="s">
        <v>8386</v>
      </c>
      <c r="F2347">
        <v>1958</v>
      </c>
      <c r="G2347" t="s">
        <v>121</v>
      </c>
      <c r="H2347" t="s">
        <v>8387</v>
      </c>
      <c r="I2347" t="s">
        <v>8388</v>
      </c>
      <c r="J2347" t="s">
        <v>71</v>
      </c>
      <c r="K2347" s="2" t="str">
        <f>HYPERLINK("http://collections.slsa.sa.gov.au/arthur/01500/BRG347_1431.htm")</f>
        <v>http://collections.slsa.sa.gov.au/arthur/01500/BRG347_1431.htm</v>
      </c>
    </row>
    <row r="2348" spans="1:11" x14ac:dyDescent="0.25">
      <c r="A2348" t="s">
        <v>8389</v>
      </c>
      <c r="B2348" s="1" t="str">
        <f>HYPERLINK("https://www.catalog.slsa.sa.gov.au/record=b2110714")</f>
        <v>https://www.catalog.slsa.sa.gov.au/record=b2110714</v>
      </c>
      <c r="C2348" s="1" t="str">
        <f>HYPERLINK("https://www.catalog.slsa.sa.gov.au/xrecord=b2110714")</f>
        <v>https://www.catalog.slsa.sa.gov.au/xrecord=b2110714</v>
      </c>
      <c r="D2348" t="s">
        <v>66</v>
      </c>
      <c r="E2348" t="s">
        <v>8386</v>
      </c>
      <c r="F2348">
        <v>1958</v>
      </c>
      <c r="G2348" t="s">
        <v>121</v>
      </c>
      <c r="H2348" t="s">
        <v>8390</v>
      </c>
      <c r="I2348" t="s">
        <v>8391</v>
      </c>
      <c r="J2348" t="s">
        <v>71</v>
      </c>
      <c r="K2348" s="2" t="str">
        <f>HYPERLINK("http://collections.slsa.sa.gov.au/arthur/01500/BRG347_1432.htm")</f>
        <v>http://collections.slsa.sa.gov.au/arthur/01500/BRG347_1432.htm</v>
      </c>
    </row>
    <row r="2349" spans="1:11" x14ac:dyDescent="0.25">
      <c r="A2349" t="s">
        <v>8392</v>
      </c>
      <c r="B2349" s="1" t="str">
        <f>HYPERLINK("https://www.catalog.slsa.sa.gov.au/record=b2110715")</f>
        <v>https://www.catalog.slsa.sa.gov.au/record=b2110715</v>
      </c>
      <c r="C2349" s="1" t="str">
        <f>HYPERLINK("https://www.catalog.slsa.sa.gov.au/xrecord=b2110715")</f>
        <v>https://www.catalog.slsa.sa.gov.au/xrecord=b2110715</v>
      </c>
      <c r="D2349" t="s">
        <v>66</v>
      </c>
      <c r="E2349" t="s">
        <v>8386</v>
      </c>
      <c r="F2349">
        <v>1958</v>
      </c>
      <c r="G2349" t="s">
        <v>121</v>
      </c>
      <c r="H2349" t="s">
        <v>8393</v>
      </c>
      <c r="I2349" t="s">
        <v>8391</v>
      </c>
      <c r="J2349" t="s">
        <v>71</v>
      </c>
      <c r="K2349" s="2" t="str">
        <f>HYPERLINK("http://collections.slsa.sa.gov.au/arthur/01500/BRG347_1433.htm")</f>
        <v>http://collections.slsa.sa.gov.au/arthur/01500/BRG347_1433.htm</v>
      </c>
    </row>
    <row r="2350" spans="1:11" x14ac:dyDescent="0.25">
      <c r="A2350" t="s">
        <v>8394</v>
      </c>
      <c r="B2350" s="1" t="str">
        <f>HYPERLINK("https://www.catalog.slsa.sa.gov.au/record=b2110716")</f>
        <v>https://www.catalog.slsa.sa.gov.au/record=b2110716</v>
      </c>
      <c r="C2350" s="1" t="str">
        <f>HYPERLINK("https://www.catalog.slsa.sa.gov.au/xrecord=b2110716")</f>
        <v>https://www.catalog.slsa.sa.gov.au/xrecord=b2110716</v>
      </c>
      <c r="D2350" t="s">
        <v>66</v>
      </c>
      <c r="E2350" t="s">
        <v>7396</v>
      </c>
      <c r="F2350">
        <v>1958</v>
      </c>
      <c r="G2350" t="s">
        <v>121</v>
      </c>
      <c r="H2350" t="s">
        <v>8395</v>
      </c>
      <c r="I2350" t="s">
        <v>8396</v>
      </c>
      <c r="J2350" t="s">
        <v>71</v>
      </c>
      <c r="K2350" s="2" t="str">
        <f>HYPERLINK("http://collections.slsa.sa.gov.au/arthur/01500/BRG347_1434.htm")</f>
        <v>http://collections.slsa.sa.gov.au/arthur/01500/BRG347_1434.htm</v>
      </c>
    </row>
    <row r="2351" spans="1:11" x14ac:dyDescent="0.25">
      <c r="A2351" t="s">
        <v>8397</v>
      </c>
      <c r="B2351" s="1" t="str">
        <f>HYPERLINK("https://www.catalog.slsa.sa.gov.au/record=b2110717")</f>
        <v>https://www.catalog.slsa.sa.gov.au/record=b2110717</v>
      </c>
      <c r="C2351" s="1" t="str">
        <f>HYPERLINK("https://www.catalog.slsa.sa.gov.au/xrecord=b2110717")</f>
        <v>https://www.catalog.slsa.sa.gov.au/xrecord=b2110717</v>
      </c>
      <c r="D2351" t="s">
        <v>66</v>
      </c>
      <c r="E2351" t="s">
        <v>8398</v>
      </c>
      <c r="F2351">
        <v>1958</v>
      </c>
      <c r="G2351" t="s">
        <v>121</v>
      </c>
      <c r="H2351" t="s">
        <v>8399</v>
      </c>
      <c r="I2351" t="s">
        <v>8368</v>
      </c>
      <c r="J2351" t="s">
        <v>71</v>
      </c>
      <c r="K2351" s="2" t="str">
        <f>HYPERLINK("http://collections.slsa.sa.gov.au/arthur/01500/BRG347_1435.htm")</f>
        <v>http://collections.slsa.sa.gov.au/arthur/01500/BRG347_1435.htm</v>
      </c>
    </row>
    <row r="2352" spans="1:11" x14ac:dyDescent="0.25">
      <c r="A2352" t="s">
        <v>8400</v>
      </c>
      <c r="B2352" s="1" t="str">
        <f>HYPERLINK("https://www.catalog.slsa.sa.gov.au/record=b2110800")</f>
        <v>https://www.catalog.slsa.sa.gov.au/record=b2110800</v>
      </c>
      <c r="C2352" s="1" t="str">
        <f>HYPERLINK("https://www.catalog.slsa.sa.gov.au/xrecord=b2110800")</f>
        <v>https://www.catalog.slsa.sa.gov.au/xrecord=b2110800</v>
      </c>
      <c r="D2352" t="s">
        <v>66</v>
      </c>
      <c r="E2352" t="s">
        <v>8401</v>
      </c>
      <c r="F2352">
        <v>1958</v>
      </c>
      <c r="G2352" t="s">
        <v>121</v>
      </c>
      <c r="H2352" t="s">
        <v>8402</v>
      </c>
      <c r="I2352" t="s">
        <v>8403</v>
      </c>
      <c r="J2352" t="s">
        <v>71</v>
      </c>
      <c r="K2352" s="2" t="str">
        <f>HYPERLINK("http://collections.slsa.sa.gov.au/arthur/01750/BRG347_1520.htm")</f>
        <v>http://collections.slsa.sa.gov.au/arthur/01750/BRG347_1520.htm</v>
      </c>
    </row>
    <row r="2353" spans="1:11" x14ac:dyDescent="0.25">
      <c r="A2353" t="s">
        <v>8404</v>
      </c>
      <c r="B2353" s="1" t="str">
        <f>HYPERLINK("https://www.catalog.slsa.sa.gov.au/record=b2110801")</f>
        <v>https://www.catalog.slsa.sa.gov.au/record=b2110801</v>
      </c>
      <c r="C2353" s="1" t="str">
        <f>HYPERLINK("https://www.catalog.slsa.sa.gov.au/xrecord=b2110801")</f>
        <v>https://www.catalog.slsa.sa.gov.au/xrecord=b2110801</v>
      </c>
      <c r="D2353" t="s">
        <v>66</v>
      </c>
      <c r="E2353" t="s">
        <v>8405</v>
      </c>
      <c r="F2353">
        <v>1958</v>
      </c>
      <c r="G2353" t="s">
        <v>121</v>
      </c>
      <c r="H2353" t="s">
        <v>8406</v>
      </c>
      <c r="I2353" t="s">
        <v>8407</v>
      </c>
      <c r="J2353" t="s">
        <v>71</v>
      </c>
      <c r="K2353" s="2" t="str">
        <f>HYPERLINK("http://collections.slsa.sa.gov.au/arthur/01750/BRG347_1521.htm")</f>
        <v>http://collections.slsa.sa.gov.au/arthur/01750/BRG347_1521.htm</v>
      </c>
    </row>
    <row r="2354" spans="1:11" x14ac:dyDescent="0.25">
      <c r="A2354" t="s">
        <v>8408</v>
      </c>
      <c r="B2354" s="1" t="str">
        <f>HYPERLINK("https://www.catalog.slsa.sa.gov.au/record=b2110802")</f>
        <v>https://www.catalog.slsa.sa.gov.au/record=b2110802</v>
      </c>
      <c r="C2354" s="1" t="str">
        <f>HYPERLINK("https://www.catalog.slsa.sa.gov.au/xrecord=b2110802")</f>
        <v>https://www.catalog.slsa.sa.gov.au/xrecord=b2110802</v>
      </c>
      <c r="D2354" t="s">
        <v>66</v>
      </c>
      <c r="E2354" t="s">
        <v>8405</v>
      </c>
      <c r="F2354">
        <v>1958</v>
      </c>
      <c r="G2354" t="s">
        <v>121</v>
      </c>
      <c r="H2354" t="s">
        <v>8409</v>
      </c>
      <c r="I2354" t="s">
        <v>8407</v>
      </c>
      <c r="J2354" t="s">
        <v>71</v>
      </c>
      <c r="K2354" s="2" t="str">
        <f>HYPERLINK("http://collections.slsa.sa.gov.au/arthur/01750/BRG347_1522.htm")</f>
        <v>http://collections.slsa.sa.gov.au/arthur/01750/BRG347_1522.htm</v>
      </c>
    </row>
    <row r="2355" spans="1:11" x14ac:dyDescent="0.25">
      <c r="A2355" t="s">
        <v>8410</v>
      </c>
      <c r="B2355" s="1" t="str">
        <f>HYPERLINK("https://www.catalog.slsa.sa.gov.au/record=b2110803")</f>
        <v>https://www.catalog.slsa.sa.gov.au/record=b2110803</v>
      </c>
      <c r="C2355" s="1" t="str">
        <f>HYPERLINK("https://www.catalog.slsa.sa.gov.au/xrecord=b2110803")</f>
        <v>https://www.catalog.slsa.sa.gov.au/xrecord=b2110803</v>
      </c>
      <c r="D2355" t="s">
        <v>66</v>
      </c>
      <c r="E2355" t="s">
        <v>8411</v>
      </c>
      <c r="F2355">
        <v>1958</v>
      </c>
      <c r="G2355" t="s">
        <v>121</v>
      </c>
      <c r="H2355" t="s">
        <v>8412</v>
      </c>
      <c r="I2355" t="s">
        <v>8413</v>
      </c>
      <c r="J2355" t="s">
        <v>71</v>
      </c>
      <c r="K2355" s="2" t="str">
        <f>HYPERLINK("http://collections.slsa.sa.gov.au/arthur/01750/BRG347_1523.htm")</f>
        <v>http://collections.slsa.sa.gov.au/arthur/01750/BRG347_1523.htm</v>
      </c>
    </row>
    <row r="2356" spans="1:11" x14ac:dyDescent="0.25">
      <c r="A2356" t="s">
        <v>8414</v>
      </c>
      <c r="B2356" s="1" t="str">
        <f>HYPERLINK("https://www.catalog.slsa.sa.gov.au/record=b2110809")</f>
        <v>https://www.catalog.slsa.sa.gov.au/record=b2110809</v>
      </c>
      <c r="C2356" s="1" t="str">
        <f>HYPERLINK("https://www.catalog.slsa.sa.gov.au/xrecord=b2110809")</f>
        <v>https://www.catalog.slsa.sa.gov.au/xrecord=b2110809</v>
      </c>
      <c r="D2356" t="s">
        <v>66</v>
      </c>
      <c r="E2356" t="s">
        <v>8415</v>
      </c>
      <c r="F2356">
        <v>1958</v>
      </c>
      <c r="G2356" t="s">
        <v>121</v>
      </c>
      <c r="H2356" t="s">
        <v>8416</v>
      </c>
      <c r="I2356" t="s">
        <v>8417</v>
      </c>
      <c r="J2356" t="s">
        <v>71</v>
      </c>
      <c r="K2356" s="2" t="str">
        <f>HYPERLINK("http://collections.slsa.sa.gov.au/arthur/01750/BRG347_1529.htm")</f>
        <v>http://collections.slsa.sa.gov.au/arthur/01750/BRG347_1529.htm</v>
      </c>
    </row>
    <row r="2357" spans="1:11" x14ac:dyDescent="0.25">
      <c r="A2357" t="s">
        <v>8418</v>
      </c>
      <c r="B2357" s="1" t="str">
        <f>HYPERLINK("https://www.catalog.slsa.sa.gov.au/record=b2110810")</f>
        <v>https://www.catalog.slsa.sa.gov.au/record=b2110810</v>
      </c>
      <c r="C2357" s="1" t="str">
        <f>HYPERLINK("https://www.catalog.slsa.sa.gov.au/xrecord=b2110810")</f>
        <v>https://www.catalog.slsa.sa.gov.au/xrecord=b2110810</v>
      </c>
      <c r="D2357" t="s">
        <v>66</v>
      </c>
      <c r="E2357" t="s">
        <v>8415</v>
      </c>
      <c r="F2357">
        <v>1958</v>
      </c>
      <c r="G2357" t="s">
        <v>121</v>
      </c>
      <c r="H2357" t="s">
        <v>8416</v>
      </c>
      <c r="I2357" t="s">
        <v>8417</v>
      </c>
      <c r="J2357" t="s">
        <v>71</v>
      </c>
      <c r="K2357" s="2" t="str">
        <f>HYPERLINK("http://collections.slsa.sa.gov.au/arthur/01750/BRG347_1530.htm")</f>
        <v>http://collections.slsa.sa.gov.au/arthur/01750/BRG347_1530.htm</v>
      </c>
    </row>
    <row r="2358" spans="1:11" x14ac:dyDescent="0.25">
      <c r="A2358" t="s">
        <v>8419</v>
      </c>
      <c r="B2358" s="1" t="str">
        <f>HYPERLINK("https://www.catalog.slsa.sa.gov.au/record=b2110811")</f>
        <v>https://www.catalog.slsa.sa.gov.au/record=b2110811</v>
      </c>
      <c r="C2358" s="1" t="str">
        <f>HYPERLINK("https://www.catalog.slsa.sa.gov.au/xrecord=b2110811")</f>
        <v>https://www.catalog.slsa.sa.gov.au/xrecord=b2110811</v>
      </c>
      <c r="D2358" t="s">
        <v>66</v>
      </c>
      <c r="E2358" t="s">
        <v>8420</v>
      </c>
      <c r="F2358">
        <v>1958</v>
      </c>
      <c r="G2358" t="s">
        <v>121</v>
      </c>
      <c r="H2358" t="s">
        <v>8421</v>
      </c>
      <c r="I2358" t="s">
        <v>8422</v>
      </c>
      <c r="J2358" t="s">
        <v>71</v>
      </c>
      <c r="K2358" s="2" t="str">
        <f>HYPERLINK("http://collections.slsa.sa.gov.au/arthur/01750/BRG347_1531.htm")</f>
        <v>http://collections.slsa.sa.gov.au/arthur/01750/BRG347_1531.htm</v>
      </c>
    </row>
    <row r="2359" spans="1:11" x14ac:dyDescent="0.25">
      <c r="A2359" t="s">
        <v>8423</v>
      </c>
      <c r="B2359" s="1" t="str">
        <f>HYPERLINK("https://www.catalog.slsa.sa.gov.au/record=b2110812")</f>
        <v>https://www.catalog.slsa.sa.gov.au/record=b2110812</v>
      </c>
      <c r="C2359" s="1" t="str">
        <f>HYPERLINK("https://www.catalog.slsa.sa.gov.au/xrecord=b2110812")</f>
        <v>https://www.catalog.slsa.sa.gov.au/xrecord=b2110812</v>
      </c>
      <c r="D2359" t="s">
        <v>66</v>
      </c>
      <c r="E2359" t="s">
        <v>8405</v>
      </c>
      <c r="F2359">
        <v>1958</v>
      </c>
      <c r="G2359" t="s">
        <v>121</v>
      </c>
      <c r="H2359" t="s">
        <v>8424</v>
      </c>
      <c r="I2359" t="s">
        <v>8425</v>
      </c>
      <c r="J2359" t="s">
        <v>71</v>
      </c>
      <c r="K2359" s="2" t="str">
        <f>HYPERLINK("http://collections.slsa.sa.gov.au/arthur/01750/BRG347_1532.htm")</f>
        <v>http://collections.slsa.sa.gov.au/arthur/01750/BRG347_1532.htm</v>
      </c>
    </row>
    <row r="2360" spans="1:11" x14ac:dyDescent="0.25">
      <c r="A2360" t="s">
        <v>8426</v>
      </c>
      <c r="B2360" s="1" t="str">
        <f>HYPERLINK("https://www.catalog.slsa.sa.gov.au/record=b2110813")</f>
        <v>https://www.catalog.slsa.sa.gov.au/record=b2110813</v>
      </c>
      <c r="C2360" s="1" t="str">
        <f>HYPERLINK("https://www.catalog.slsa.sa.gov.au/xrecord=b2110813")</f>
        <v>https://www.catalog.slsa.sa.gov.au/xrecord=b2110813</v>
      </c>
      <c r="D2360" t="s">
        <v>66</v>
      </c>
      <c r="E2360" t="s">
        <v>8427</v>
      </c>
      <c r="F2360">
        <v>1958</v>
      </c>
      <c r="G2360" t="s">
        <v>121</v>
      </c>
      <c r="H2360" t="s">
        <v>8428</v>
      </c>
      <c r="I2360" t="s">
        <v>8429</v>
      </c>
      <c r="J2360" t="s">
        <v>71</v>
      </c>
      <c r="K2360" s="2" t="str">
        <f>HYPERLINK("http://collections.slsa.sa.gov.au/arthur/01750/BRG347_1533.htm")</f>
        <v>http://collections.slsa.sa.gov.au/arthur/01750/BRG347_1533.htm</v>
      </c>
    </row>
    <row r="2361" spans="1:11" x14ac:dyDescent="0.25">
      <c r="A2361" t="s">
        <v>8430</v>
      </c>
      <c r="B2361" s="1" t="str">
        <f>HYPERLINK("https://www.catalog.slsa.sa.gov.au/record=b2110814")</f>
        <v>https://www.catalog.slsa.sa.gov.au/record=b2110814</v>
      </c>
      <c r="C2361" s="1" t="str">
        <f>HYPERLINK("https://www.catalog.slsa.sa.gov.au/xrecord=b2110814")</f>
        <v>https://www.catalog.slsa.sa.gov.au/xrecord=b2110814</v>
      </c>
      <c r="D2361" t="s">
        <v>66</v>
      </c>
      <c r="E2361" t="s">
        <v>8405</v>
      </c>
      <c r="F2361">
        <v>1958</v>
      </c>
      <c r="G2361" t="s">
        <v>121</v>
      </c>
      <c r="H2361" t="s">
        <v>8431</v>
      </c>
      <c r="I2361" t="s">
        <v>8407</v>
      </c>
      <c r="J2361" t="s">
        <v>71</v>
      </c>
      <c r="K2361" s="2" t="str">
        <f>HYPERLINK("http://collections.slsa.sa.gov.au/arthur/01750/BRG347_1534.htm")</f>
        <v>http://collections.slsa.sa.gov.au/arthur/01750/BRG347_1534.htm</v>
      </c>
    </row>
    <row r="2362" spans="1:11" x14ac:dyDescent="0.25">
      <c r="A2362" t="s">
        <v>8432</v>
      </c>
      <c r="B2362" s="1" t="str">
        <f>HYPERLINK("https://www.catalog.slsa.sa.gov.au/record=b2110815")</f>
        <v>https://www.catalog.slsa.sa.gov.au/record=b2110815</v>
      </c>
      <c r="C2362" s="1" t="str">
        <f>HYPERLINK("https://www.catalog.slsa.sa.gov.au/xrecord=b2110815")</f>
        <v>https://www.catalog.slsa.sa.gov.au/xrecord=b2110815</v>
      </c>
      <c r="D2362" t="s">
        <v>66</v>
      </c>
      <c r="E2362" t="s">
        <v>8433</v>
      </c>
      <c r="F2362">
        <v>1958</v>
      </c>
      <c r="G2362" t="s">
        <v>121</v>
      </c>
      <c r="H2362" t="s">
        <v>8434</v>
      </c>
      <c r="I2362" t="s">
        <v>8435</v>
      </c>
      <c r="J2362" t="s">
        <v>71</v>
      </c>
      <c r="K2362" s="2" t="str">
        <f>HYPERLINK("http://collections.slsa.sa.gov.au/arthur/01750/BRG347_1535.htm")</f>
        <v>http://collections.slsa.sa.gov.au/arthur/01750/BRG347_1535.htm</v>
      </c>
    </row>
    <row r="2363" spans="1:11" x14ac:dyDescent="0.25">
      <c r="A2363" t="s">
        <v>8436</v>
      </c>
      <c r="B2363" s="1" t="str">
        <f>HYPERLINK("https://www.catalog.slsa.sa.gov.au/record=b2110816")</f>
        <v>https://www.catalog.slsa.sa.gov.au/record=b2110816</v>
      </c>
      <c r="C2363" s="1" t="str">
        <f>HYPERLINK("https://www.catalog.slsa.sa.gov.au/xrecord=b2110816")</f>
        <v>https://www.catalog.slsa.sa.gov.au/xrecord=b2110816</v>
      </c>
      <c r="D2363" t="s">
        <v>66</v>
      </c>
      <c r="E2363" t="s">
        <v>8433</v>
      </c>
      <c r="F2363">
        <v>1958</v>
      </c>
      <c r="G2363" t="s">
        <v>121</v>
      </c>
      <c r="H2363" t="s">
        <v>8437</v>
      </c>
      <c r="I2363" t="s">
        <v>8438</v>
      </c>
      <c r="J2363" t="s">
        <v>71</v>
      </c>
      <c r="K2363" s="2" t="str">
        <f>HYPERLINK("http://collections.slsa.sa.gov.au/arthur/01750/BRG347_1536.htm")</f>
        <v>http://collections.slsa.sa.gov.au/arthur/01750/BRG347_1536.htm</v>
      </c>
    </row>
    <row r="2364" spans="1:11" x14ac:dyDescent="0.25">
      <c r="A2364" t="s">
        <v>8439</v>
      </c>
      <c r="B2364" s="1" t="str">
        <f>HYPERLINK("https://www.catalog.slsa.sa.gov.au/record=b2110817")</f>
        <v>https://www.catalog.slsa.sa.gov.au/record=b2110817</v>
      </c>
      <c r="C2364" s="1" t="str">
        <f>HYPERLINK("https://www.catalog.slsa.sa.gov.au/xrecord=b2110817")</f>
        <v>https://www.catalog.slsa.sa.gov.au/xrecord=b2110817</v>
      </c>
      <c r="D2364" t="s">
        <v>66</v>
      </c>
      <c r="E2364" t="s">
        <v>8440</v>
      </c>
      <c r="F2364">
        <v>1958</v>
      </c>
      <c r="G2364" t="s">
        <v>121</v>
      </c>
      <c r="H2364" t="s">
        <v>8441</v>
      </c>
      <c r="I2364" t="s">
        <v>8442</v>
      </c>
      <c r="J2364" t="s">
        <v>71</v>
      </c>
      <c r="K2364" s="2" t="str">
        <f>HYPERLINK("http://collections.slsa.sa.gov.au/arthur/01750/BRG347_1537.htm")</f>
        <v>http://collections.slsa.sa.gov.au/arthur/01750/BRG347_1537.htm</v>
      </c>
    </row>
    <row r="2365" spans="1:11" x14ac:dyDescent="0.25">
      <c r="A2365" t="s">
        <v>8443</v>
      </c>
      <c r="B2365" s="1" t="str">
        <f>HYPERLINK("https://www.catalog.slsa.sa.gov.au/record=b2110818")</f>
        <v>https://www.catalog.slsa.sa.gov.au/record=b2110818</v>
      </c>
      <c r="C2365" s="1" t="str">
        <f>HYPERLINK("https://www.catalog.slsa.sa.gov.au/xrecord=b2110818")</f>
        <v>https://www.catalog.slsa.sa.gov.au/xrecord=b2110818</v>
      </c>
      <c r="D2365" t="s">
        <v>66</v>
      </c>
      <c r="E2365" t="s">
        <v>8440</v>
      </c>
      <c r="F2365">
        <v>1958</v>
      </c>
      <c r="G2365" t="s">
        <v>121</v>
      </c>
      <c r="H2365" t="s">
        <v>8444</v>
      </c>
      <c r="I2365" t="s">
        <v>8445</v>
      </c>
      <c r="J2365" t="s">
        <v>71</v>
      </c>
      <c r="K2365" s="2" t="str">
        <f>HYPERLINK("http://collections.slsa.sa.gov.au/arthur/01750/BRG347_1538.htm")</f>
        <v>http://collections.slsa.sa.gov.au/arthur/01750/BRG347_1538.htm</v>
      </c>
    </row>
    <row r="2366" spans="1:11" x14ac:dyDescent="0.25">
      <c r="A2366" t="s">
        <v>8446</v>
      </c>
      <c r="B2366" s="1" t="str">
        <f>HYPERLINK("https://www.catalog.slsa.sa.gov.au/record=b2110819")</f>
        <v>https://www.catalog.slsa.sa.gov.au/record=b2110819</v>
      </c>
      <c r="C2366" s="1" t="str">
        <f>HYPERLINK("https://www.catalog.slsa.sa.gov.au/xrecord=b2110819")</f>
        <v>https://www.catalog.slsa.sa.gov.au/xrecord=b2110819</v>
      </c>
      <c r="D2366" t="s">
        <v>66</v>
      </c>
      <c r="E2366" t="s">
        <v>8433</v>
      </c>
      <c r="F2366">
        <v>1958</v>
      </c>
      <c r="G2366" t="s">
        <v>121</v>
      </c>
      <c r="H2366" t="s">
        <v>8447</v>
      </c>
      <c r="I2366" t="s">
        <v>8448</v>
      </c>
      <c r="J2366" t="s">
        <v>71</v>
      </c>
      <c r="K2366" s="2" t="str">
        <f>HYPERLINK("http://collections.slsa.sa.gov.au/arthur/01750/BRG347_1539.htm")</f>
        <v>http://collections.slsa.sa.gov.au/arthur/01750/BRG347_1539.htm</v>
      </c>
    </row>
    <row r="2367" spans="1:11" x14ac:dyDescent="0.25">
      <c r="A2367" t="s">
        <v>8449</v>
      </c>
      <c r="B2367" s="1" t="str">
        <f>HYPERLINK("https://www.catalog.slsa.sa.gov.au/record=b2110821")</f>
        <v>https://www.catalog.slsa.sa.gov.au/record=b2110821</v>
      </c>
      <c r="C2367" s="1" t="str">
        <f>HYPERLINK("https://www.catalog.slsa.sa.gov.au/xrecord=b2110821")</f>
        <v>https://www.catalog.slsa.sa.gov.au/xrecord=b2110821</v>
      </c>
      <c r="D2367" t="s">
        <v>66</v>
      </c>
      <c r="E2367" t="s">
        <v>8433</v>
      </c>
      <c r="F2367">
        <v>1958</v>
      </c>
      <c r="G2367" t="s">
        <v>121</v>
      </c>
      <c r="H2367" t="s">
        <v>8450</v>
      </c>
      <c r="I2367" t="s">
        <v>8451</v>
      </c>
      <c r="J2367" t="s">
        <v>71</v>
      </c>
      <c r="K2367" s="2" t="str">
        <f>HYPERLINK("http://collections.slsa.sa.gov.au/arthur/01750/BRG347_1540.htm")</f>
        <v>http://collections.slsa.sa.gov.au/arthur/01750/BRG347_1540.htm</v>
      </c>
    </row>
    <row r="2368" spans="1:11" x14ac:dyDescent="0.25">
      <c r="A2368" t="s">
        <v>8452</v>
      </c>
      <c r="B2368" s="1" t="str">
        <f>HYPERLINK("https://www.catalog.slsa.sa.gov.au/record=b2110822")</f>
        <v>https://www.catalog.slsa.sa.gov.au/record=b2110822</v>
      </c>
      <c r="C2368" s="1" t="str">
        <f>HYPERLINK("https://www.catalog.slsa.sa.gov.au/xrecord=b2110822")</f>
        <v>https://www.catalog.slsa.sa.gov.au/xrecord=b2110822</v>
      </c>
      <c r="D2368" t="s">
        <v>66</v>
      </c>
      <c r="E2368" t="s">
        <v>8440</v>
      </c>
      <c r="F2368">
        <v>1958</v>
      </c>
      <c r="G2368" t="s">
        <v>121</v>
      </c>
      <c r="H2368" t="s">
        <v>8453</v>
      </c>
      <c r="I2368" t="s">
        <v>8442</v>
      </c>
      <c r="J2368" t="s">
        <v>71</v>
      </c>
      <c r="K2368" s="2" t="str">
        <f>HYPERLINK("http://collections.slsa.sa.gov.au/arthur/01750/BRG347_1541.htm")</f>
        <v>http://collections.slsa.sa.gov.au/arthur/01750/BRG347_1541.htm</v>
      </c>
    </row>
    <row r="2369" spans="1:11" x14ac:dyDescent="0.25">
      <c r="A2369" t="s">
        <v>8454</v>
      </c>
      <c r="B2369" s="1" t="str">
        <f>HYPERLINK("https://www.catalog.slsa.sa.gov.au/record=b2110820")</f>
        <v>https://www.catalog.slsa.sa.gov.au/record=b2110820</v>
      </c>
      <c r="C2369" s="1" t="str">
        <f>HYPERLINK("https://www.catalog.slsa.sa.gov.au/xrecord=b2110820")</f>
        <v>https://www.catalog.slsa.sa.gov.au/xrecord=b2110820</v>
      </c>
      <c r="D2369" t="s">
        <v>66</v>
      </c>
      <c r="E2369" t="s">
        <v>8440</v>
      </c>
      <c r="F2369">
        <v>1958</v>
      </c>
      <c r="G2369" t="s">
        <v>121</v>
      </c>
      <c r="H2369" t="s">
        <v>8455</v>
      </c>
      <c r="I2369" t="s">
        <v>8442</v>
      </c>
      <c r="J2369" t="s">
        <v>71</v>
      </c>
      <c r="K2369" s="2" t="str">
        <f>HYPERLINK("http://collections.slsa.sa.gov.au/arthur/01750/BRG347_1542.htm")</f>
        <v>http://collections.slsa.sa.gov.au/arthur/01750/BRG347_1542.htm</v>
      </c>
    </row>
    <row r="2370" spans="1:11" x14ac:dyDescent="0.25">
      <c r="A2370" t="s">
        <v>8456</v>
      </c>
      <c r="B2370" s="1" t="str">
        <f>HYPERLINK("https://www.catalog.slsa.sa.gov.au/record=b2110823")</f>
        <v>https://www.catalog.slsa.sa.gov.au/record=b2110823</v>
      </c>
      <c r="C2370" s="1" t="str">
        <f>HYPERLINK("https://www.catalog.slsa.sa.gov.au/xrecord=b2110823")</f>
        <v>https://www.catalog.slsa.sa.gov.au/xrecord=b2110823</v>
      </c>
      <c r="D2370" t="s">
        <v>66</v>
      </c>
      <c r="E2370" t="s">
        <v>8440</v>
      </c>
      <c r="F2370">
        <v>1958</v>
      </c>
      <c r="G2370" t="s">
        <v>121</v>
      </c>
      <c r="H2370" t="s">
        <v>8457</v>
      </c>
      <c r="I2370" t="s">
        <v>8442</v>
      </c>
      <c r="J2370" t="s">
        <v>71</v>
      </c>
      <c r="K2370" s="2" t="str">
        <f>HYPERLINK("http://collections.slsa.sa.gov.au/arthur/01750/BRG347_1543.htm")</f>
        <v>http://collections.slsa.sa.gov.au/arthur/01750/BRG347_1543.htm</v>
      </c>
    </row>
    <row r="2371" spans="1:11" x14ac:dyDescent="0.25">
      <c r="A2371" t="s">
        <v>8458</v>
      </c>
      <c r="B2371" s="1" t="str">
        <f>HYPERLINK("https://www.catalog.slsa.sa.gov.au/record=b2110700")</f>
        <v>https://www.catalog.slsa.sa.gov.au/record=b2110700</v>
      </c>
      <c r="C2371" s="1" t="str">
        <f>HYPERLINK("https://www.catalog.slsa.sa.gov.au/xrecord=b2110700")</f>
        <v>https://www.catalog.slsa.sa.gov.au/xrecord=b2110700</v>
      </c>
      <c r="D2371" t="s">
        <v>66</v>
      </c>
      <c r="E2371" t="s">
        <v>8440</v>
      </c>
      <c r="F2371">
        <v>1958</v>
      </c>
      <c r="G2371" t="s">
        <v>121</v>
      </c>
      <c r="H2371" t="s">
        <v>8455</v>
      </c>
      <c r="I2371" t="s">
        <v>8442</v>
      </c>
      <c r="J2371" t="s">
        <v>71</v>
      </c>
      <c r="K2371" s="2" t="str">
        <f>HYPERLINK("http://collections.slsa.sa.gov.au/arthur/01750/BRG347_1544.htm")</f>
        <v>http://collections.slsa.sa.gov.au/arthur/01750/BRG347_1544.htm</v>
      </c>
    </row>
    <row r="2372" spans="1:11" x14ac:dyDescent="0.25">
      <c r="A2372" t="s">
        <v>8459</v>
      </c>
      <c r="B2372" s="1" t="str">
        <f>HYPERLINK("https://www.catalog.slsa.sa.gov.au/record=b2110831")</f>
        <v>https://www.catalog.slsa.sa.gov.au/record=b2110831</v>
      </c>
      <c r="C2372" s="1" t="str">
        <f>HYPERLINK("https://www.catalog.slsa.sa.gov.au/xrecord=b2110831")</f>
        <v>https://www.catalog.slsa.sa.gov.au/xrecord=b2110831</v>
      </c>
      <c r="D2372" t="s">
        <v>66</v>
      </c>
      <c r="E2372" t="s">
        <v>8460</v>
      </c>
      <c r="F2372">
        <v>1958</v>
      </c>
      <c r="G2372" t="s">
        <v>121</v>
      </c>
      <c r="H2372" t="s">
        <v>8461</v>
      </c>
      <c r="I2372" t="s">
        <v>8462</v>
      </c>
      <c r="J2372" t="s">
        <v>71</v>
      </c>
      <c r="K2372" s="2" t="str">
        <f>HYPERLINK("http://collections.slsa.sa.gov.au/arthur/01750/BRG347_1553.htm")</f>
        <v>http://collections.slsa.sa.gov.au/arthur/01750/BRG347_1553.htm</v>
      </c>
    </row>
    <row r="2373" spans="1:11" x14ac:dyDescent="0.25">
      <c r="A2373" t="s">
        <v>8463</v>
      </c>
      <c r="B2373" s="1" t="str">
        <f>HYPERLINK("https://www.catalog.slsa.sa.gov.au/record=b2110832")</f>
        <v>https://www.catalog.slsa.sa.gov.au/record=b2110832</v>
      </c>
      <c r="C2373" s="1" t="str">
        <f>HYPERLINK("https://www.catalog.slsa.sa.gov.au/xrecord=b2110832")</f>
        <v>https://www.catalog.slsa.sa.gov.au/xrecord=b2110832</v>
      </c>
      <c r="D2373" t="s">
        <v>66</v>
      </c>
      <c r="E2373" t="s">
        <v>8464</v>
      </c>
      <c r="F2373">
        <v>1958</v>
      </c>
      <c r="G2373" t="s">
        <v>121</v>
      </c>
      <c r="H2373" t="s">
        <v>8465</v>
      </c>
      <c r="I2373" t="s">
        <v>8466</v>
      </c>
      <c r="J2373" t="s">
        <v>71</v>
      </c>
      <c r="K2373" s="2" t="str">
        <f>HYPERLINK("http://collections.slsa.sa.gov.au/arthur/01750/BRG347_1554.htm")</f>
        <v>http://collections.slsa.sa.gov.au/arthur/01750/BRG347_1554.htm</v>
      </c>
    </row>
    <row r="2374" spans="1:11" x14ac:dyDescent="0.25">
      <c r="A2374" t="s">
        <v>8467</v>
      </c>
      <c r="B2374" s="1" t="str">
        <f>HYPERLINK("https://www.catalog.slsa.sa.gov.au/record=b2110833")</f>
        <v>https://www.catalog.slsa.sa.gov.au/record=b2110833</v>
      </c>
      <c r="C2374" s="1" t="str">
        <f>HYPERLINK("https://www.catalog.slsa.sa.gov.au/xrecord=b2110833")</f>
        <v>https://www.catalog.slsa.sa.gov.au/xrecord=b2110833</v>
      </c>
      <c r="D2374" t="s">
        <v>66</v>
      </c>
      <c r="E2374" t="s">
        <v>8468</v>
      </c>
      <c r="F2374">
        <v>1958</v>
      </c>
      <c r="G2374" t="s">
        <v>121</v>
      </c>
      <c r="H2374" t="s">
        <v>8469</v>
      </c>
      <c r="I2374" t="s">
        <v>8470</v>
      </c>
      <c r="J2374" t="s">
        <v>71</v>
      </c>
      <c r="K2374" s="2" t="str">
        <f>HYPERLINK("http://collections.slsa.sa.gov.au/arthur/01750/BRG347_1555.htm")</f>
        <v>http://collections.slsa.sa.gov.au/arthur/01750/BRG347_1555.htm</v>
      </c>
    </row>
    <row r="2375" spans="1:11" x14ac:dyDescent="0.25">
      <c r="A2375" t="s">
        <v>8471</v>
      </c>
      <c r="B2375" s="1" t="str">
        <f>HYPERLINK("https://www.catalog.slsa.sa.gov.au/record=b2110834")</f>
        <v>https://www.catalog.slsa.sa.gov.au/record=b2110834</v>
      </c>
      <c r="C2375" s="1" t="str">
        <f>HYPERLINK("https://www.catalog.slsa.sa.gov.au/xrecord=b2110834")</f>
        <v>https://www.catalog.slsa.sa.gov.au/xrecord=b2110834</v>
      </c>
      <c r="D2375" t="s">
        <v>66</v>
      </c>
      <c r="E2375" t="s">
        <v>8468</v>
      </c>
      <c r="F2375">
        <v>1958</v>
      </c>
      <c r="G2375" t="s">
        <v>121</v>
      </c>
      <c r="H2375" t="s">
        <v>8472</v>
      </c>
      <c r="I2375" t="s">
        <v>8473</v>
      </c>
      <c r="J2375" t="s">
        <v>71</v>
      </c>
      <c r="K2375" s="2" t="str">
        <f>HYPERLINK("http://collections.slsa.sa.gov.au/arthur/01750/BRG347_1556.htm")</f>
        <v>http://collections.slsa.sa.gov.au/arthur/01750/BRG347_1556.htm</v>
      </c>
    </row>
    <row r="2376" spans="1:11" x14ac:dyDescent="0.25">
      <c r="A2376" t="s">
        <v>8474</v>
      </c>
      <c r="B2376" s="1" t="str">
        <f>HYPERLINK("https://www.catalog.slsa.sa.gov.au/record=b2110835")</f>
        <v>https://www.catalog.slsa.sa.gov.au/record=b2110835</v>
      </c>
      <c r="C2376" s="1" t="str">
        <f>HYPERLINK("https://www.catalog.slsa.sa.gov.au/xrecord=b2110835")</f>
        <v>https://www.catalog.slsa.sa.gov.au/xrecord=b2110835</v>
      </c>
      <c r="D2376" t="s">
        <v>66</v>
      </c>
      <c r="E2376" t="s">
        <v>8475</v>
      </c>
      <c r="F2376">
        <v>1958</v>
      </c>
      <c r="G2376" t="s">
        <v>121</v>
      </c>
      <c r="H2376" t="s">
        <v>8476</v>
      </c>
      <c r="I2376" t="s">
        <v>8477</v>
      </c>
      <c r="J2376" t="s">
        <v>71</v>
      </c>
      <c r="K2376" s="2" t="str">
        <f>HYPERLINK("http://collections.slsa.sa.gov.au/arthur/01750/BRG347_1557.htm")</f>
        <v>http://collections.slsa.sa.gov.au/arthur/01750/BRG347_1557.htm</v>
      </c>
    </row>
    <row r="2377" spans="1:11" x14ac:dyDescent="0.25">
      <c r="A2377" t="s">
        <v>8478</v>
      </c>
      <c r="B2377" s="1" t="str">
        <f>HYPERLINK("https://www.catalog.slsa.sa.gov.au/record=b2110836")</f>
        <v>https://www.catalog.slsa.sa.gov.au/record=b2110836</v>
      </c>
      <c r="C2377" s="1" t="str">
        <f>HYPERLINK("https://www.catalog.slsa.sa.gov.au/xrecord=b2110836")</f>
        <v>https://www.catalog.slsa.sa.gov.au/xrecord=b2110836</v>
      </c>
      <c r="D2377" t="s">
        <v>66</v>
      </c>
      <c r="E2377" t="s">
        <v>8475</v>
      </c>
      <c r="F2377">
        <v>1958</v>
      </c>
      <c r="G2377" t="s">
        <v>121</v>
      </c>
      <c r="H2377" t="s">
        <v>8476</v>
      </c>
      <c r="I2377" t="s">
        <v>8477</v>
      </c>
      <c r="J2377" t="s">
        <v>71</v>
      </c>
      <c r="K2377" s="2" t="str">
        <f>HYPERLINK("http://collections.slsa.sa.gov.au/arthur/01750/BRG347_1558.htm")</f>
        <v>http://collections.slsa.sa.gov.au/arthur/01750/BRG347_1558.htm</v>
      </c>
    </row>
    <row r="2378" spans="1:11" x14ac:dyDescent="0.25">
      <c r="A2378" t="s">
        <v>8479</v>
      </c>
      <c r="B2378" s="1" t="str">
        <f>HYPERLINK("https://www.catalog.slsa.sa.gov.au/record=b2110837")</f>
        <v>https://www.catalog.slsa.sa.gov.au/record=b2110837</v>
      </c>
      <c r="C2378" s="1" t="str">
        <f>HYPERLINK("https://www.catalog.slsa.sa.gov.au/xrecord=b2110837")</f>
        <v>https://www.catalog.slsa.sa.gov.au/xrecord=b2110837</v>
      </c>
      <c r="D2378" t="s">
        <v>66</v>
      </c>
      <c r="E2378" t="s">
        <v>8480</v>
      </c>
      <c r="F2378">
        <v>1958</v>
      </c>
      <c r="G2378" t="s">
        <v>121</v>
      </c>
      <c r="H2378" t="s">
        <v>8481</v>
      </c>
      <c r="I2378" t="s">
        <v>8055</v>
      </c>
      <c r="J2378" t="s">
        <v>71</v>
      </c>
      <c r="K2378" s="2" t="str">
        <f>HYPERLINK("http://collections.slsa.sa.gov.au/arthur/01750/BRG347_1559.htm")</f>
        <v>http://collections.slsa.sa.gov.au/arthur/01750/BRG347_1559.htm</v>
      </c>
    </row>
    <row r="2379" spans="1:11" x14ac:dyDescent="0.25">
      <c r="A2379" t="s">
        <v>8482</v>
      </c>
      <c r="B2379" s="1" t="str">
        <f>HYPERLINK("https://www.catalog.slsa.sa.gov.au/record=b2110838")</f>
        <v>https://www.catalog.slsa.sa.gov.au/record=b2110838</v>
      </c>
      <c r="C2379" s="1" t="str">
        <f>HYPERLINK("https://www.catalog.slsa.sa.gov.au/xrecord=b2110838")</f>
        <v>https://www.catalog.slsa.sa.gov.au/xrecord=b2110838</v>
      </c>
      <c r="D2379" t="s">
        <v>66</v>
      </c>
      <c r="E2379" t="s">
        <v>8483</v>
      </c>
      <c r="F2379">
        <v>1958</v>
      </c>
      <c r="G2379" t="s">
        <v>121</v>
      </c>
      <c r="H2379" t="s">
        <v>8484</v>
      </c>
      <c r="I2379" t="s">
        <v>8485</v>
      </c>
      <c r="J2379" t="s">
        <v>71</v>
      </c>
      <c r="K2379" s="2" t="str">
        <f>HYPERLINK("http://collections.slsa.sa.gov.au/arthur/01750/BRG347_1560.htm")</f>
        <v>http://collections.slsa.sa.gov.au/arthur/01750/BRG347_1560.htm</v>
      </c>
    </row>
    <row r="2380" spans="1:11" x14ac:dyDescent="0.25">
      <c r="A2380" t="s">
        <v>8486</v>
      </c>
      <c r="B2380" s="1" t="str">
        <f>HYPERLINK("https://www.catalog.slsa.sa.gov.au/record=b2110839")</f>
        <v>https://www.catalog.slsa.sa.gov.au/record=b2110839</v>
      </c>
      <c r="C2380" s="1" t="str">
        <f>HYPERLINK("https://www.catalog.slsa.sa.gov.au/xrecord=b2110839")</f>
        <v>https://www.catalog.slsa.sa.gov.au/xrecord=b2110839</v>
      </c>
      <c r="D2380" t="s">
        <v>66</v>
      </c>
      <c r="E2380" t="s">
        <v>8487</v>
      </c>
      <c r="F2380">
        <v>1958</v>
      </c>
      <c r="G2380" t="s">
        <v>121</v>
      </c>
      <c r="H2380" t="s">
        <v>8488</v>
      </c>
      <c r="I2380" t="s">
        <v>8489</v>
      </c>
      <c r="J2380" t="s">
        <v>71</v>
      </c>
      <c r="K2380" s="2" t="str">
        <f>HYPERLINK("http://collections.slsa.sa.gov.au/arthur/01750/BRG347_1561.htm")</f>
        <v>http://collections.slsa.sa.gov.au/arthur/01750/BRG347_1561.htm</v>
      </c>
    </row>
    <row r="2381" spans="1:11" x14ac:dyDescent="0.25">
      <c r="A2381" t="s">
        <v>8490</v>
      </c>
      <c r="B2381" s="1" t="str">
        <f>HYPERLINK("https://www.catalog.slsa.sa.gov.au/record=b2110840")</f>
        <v>https://www.catalog.slsa.sa.gov.au/record=b2110840</v>
      </c>
      <c r="C2381" s="1" t="str">
        <f>HYPERLINK("https://www.catalog.slsa.sa.gov.au/xrecord=b2110840")</f>
        <v>https://www.catalog.slsa.sa.gov.au/xrecord=b2110840</v>
      </c>
      <c r="D2381" t="s">
        <v>66</v>
      </c>
      <c r="E2381" t="s">
        <v>8487</v>
      </c>
      <c r="F2381">
        <v>1958</v>
      </c>
      <c r="G2381" t="s">
        <v>121</v>
      </c>
      <c r="H2381" t="s">
        <v>8491</v>
      </c>
      <c r="I2381" t="s">
        <v>8489</v>
      </c>
      <c r="J2381" t="s">
        <v>71</v>
      </c>
      <c r="K2381" s="2" t="str">
        <f>HYPERLINK("http://collections.slsa.sa.gov.au/arthur/01750/BRG347_1562.htm")</f>
        <v>http://collections.slsa.sa.gov.au/arthur/01750/BRG347_1562.htm</v>
      </c>
    </row>
    <row r="2382" spans="1:11" x14ac:dyDescent="0.25">
      <c r="A2382" t="s">
        <v>8492</v>
      </c>
      <c r="B2382" s="1" t="str">
        <f>HYPERLINK("https://www.catalog.slsa.sa.gov.au/record=b2110841")</f>
        <v>https://www.catalog.slsa.sa.gov.au/record=b2110841</v>
      </c>
      <c r="C2382" s="1" t="str">
        <f>HYPERLINK("https://www.catalog.slsa.sa.gov.au/xrecord=b2110841")</f>
        <v>https://www.catalog.slsa.sa.gov.au/xrecord=b2110841</v>
      </c>
      <c r="D2382" t="s">
        <v>66</v>
      </c>
      <c r="E2382" t="s">
        <v>8460</v>
      </c>
      <c r="F2382">
        <v>1958</v>
      </c>
      <c r="G2382" t="s">
        <v>121</v>
      </c>
      <c r="H2382" t="s">
        <v>8493</v>
      </c>
      <c r="I2382" t="s">
        <v>8462</v>
      </c>
      <c r="J2382" t="s">
        <v>71</v>
      </c>
      <c r="K2382" s="2" t="str">
        <f>HYPERLINK("http://collections.slsa.sa.gov.au/arthur/01750/BRG347_1563.htm")</f>
        <v>http://collections.slsa.sa.gov.au/arthur/01750/BRG347_1563.htm</v>
      </c>
    </row>
    <row r="2383" spans="1:11" x14ac:dyDescent="0.25">
      <c r="A2383" t="s">
        <v>8494</v>
      </c>
      <c r="B2383" s="1" t="str">
        <f>HYPERLINK("https://www.catalog.slsa.sa.gov.au/record=b2110842")</f>
        <v>https://www.catalog.slsa.sa.gov.au/record=b2110842</v>
      </c>
      <c r="C2383" s="1" t="str">
        <f>HYPERLINK("https://www.catalog.slsa.sa.gov.au/xrecord=b2110842")</f>
        <v>https://www.catalog.slsa.sa.gov.au/xrecord=b2110842</v>
      </c>
      <c r="D2383" t="s">
        <v>66</v>
      </c>
      <c r="E2383" t="s">
        <v>8495</v>
      </c>
      <c r="F2383">
        <v>1958</v>
      </c>
      <c r="G2383" t="s">
        <v>121</v>
      </c>
      <c r="H2383" t="s">
        <v>8496</v>
      </c>
      <c r="I2383" t="s">
        <v>8497</v>
      </c>
      <c r="J2383" t="s">
        <v>71</v>
      </c>
      <c r="K2383" s="2" t="str">
        <f>HYPERLINK("http://collections.slsa.sa.gov.au/arthur/01750/BRG347_1564.htm")</f>
        <v>http://collections.slsa.sa.gov.au/arthur/01750/BRG347_1564.htm</v>
      </c>
    </row>
    <row r="2384" spans="1:11" x14ac:dyDescent="0.25">
      <c r="A2384" t="s">
        <v>8498</v>
      </c>
      <c r="B2384" s="1" t="str">
        <f>HYPERLINK("https://www.catalog.slsa.sa.gov.au/record=b2110843")</f>
        <v>https://www.catalog.slsa.sa.gov.au/record=b2110843</v>
      </c>
      <c r="C2384" s="1" t="str">
        <f>HYPERLINK("https://www.catalog.slsa.sa.gov.au/xrecord=b2110843")</f>
        <v>https://www.catalog.slsa.sa.gov.au/xrecord=b2110843</v>
      </c>
      <c r="D2384" t="s">
        <v>66</v>
      </c>
      <c r="E2384" t="s">
        <v>8499</v>
      </c>
      <c r="F2384">
        <v>1958</v>
      </c>
      <c r="G2384" t="s">
        <v>121</v>
      </c>
      <c r="H2384" t="s">
        <v>8500</v>
      </c>
      <c r="I2384" t="s">
        <v>7614</v>
      </c>
      <c r="J2384" t="s">
        <v>71</v>
      </c>
      <c r="K2384" s="2" t="str">
        <f>HYPERLINK("http://collections.slsa.sa.gov.au/arthur/01750/BRG347_1565.htm")</f>
        <v>http://collections.slsa.sa.gov.au/arthur/01750/BRG347_1565.htm</v>
      </c>
    </row>
    <row r="2385" spans="1:11" x14ac:dyDescent="0.25">
      <c r="A2385" t="s">
        <v>8501</v>
      </c>
      <c r="B2385" s="1" t="str">
        <f>HYPERLINK("https://www.catalog.slsa.sa.gov.au/record=b2110844")</f>
        <v>https://www.catalog.slsa.sa.gov.au/record=b2110844</v>
      </c>
      <c r="C2385" s="1" t="str">
        <f>HYPERLINK("https://www.catalog.slsa.sa.gov.au/xrecord=b2110844")</f>
        <v>https://www.catalog.slsa.sa.gov.au/xrecord=b2110844</v>
      </c>
      <c r="D2385" t="s">
        <v>66</v>
      </c>
      <c r="E2385" t="s">
        <v>8502</v>
      </c>
      <c r="F2385">
        <v>1958</v>
      </c>
      <c r="G2385" t="s">
        <v>121</v>
      </c>
      <c r="H2385" t="s">
        <v>8503</v>
      </c>
      <c r="I2385" t="s">
        <v>8504</v>
      </c>
      <c r="J2385" t="s">
        <v>71</v>
      </c>
      <c r="K2385" s="2" t="str">
        <f>HYPERLINK("http://collections.slsa.sa.gov.au/arthur/01750/BRG347_1566.htm")</f>
        <v>http://collections.slsa.sa.gov.au/arthur/01750/BRG347_1566.htm</v>
      </c>
    </row>
    <row r="2386" spans="1:11" x14ac:dyDescent="0.25">
      <c r="A2386" t="s">
        <v>8505</v>
      </c>
      <c r="B2386" s="1" t="str">
        <f>HYPERLINK("https://www.catalog.slsa.sa.gov.au/record=b2110845")</f>
        <v>https://www.catalog.slsa.sa.gov.au/record=b2110845</v>
      </c>
      <c r="C2386" s="1" t="str">
        <f>HYPERLINK("https://www.catalog.slsa.sa.gov.au/xrecord=b2110845")</f>
        <v>https://www.catalog.slsa.sa.gov.au/xrecord=b2110845</v>
      </c>
      <c r="D2386" t="s">
        <v>66</v>
      </c>
      <c r="E2386" t="s">
        <v>8506</v>
      </c>
      <c r="F2386">
        <v>1958</v>
      </c>
      <c r="G2386" t="s">
        <v>121</v>
      </c>
      <c r="H2386" t="s">
        <v>8507</v>
      </c>
      <c r="I2386" t="s">
        <v>8508</v>
      </c>
      <c r="J2386" t="s">
        <v>71</v>
      </c>
      <c r="K2386" s="2" t="str">
        <f>HYPERLINK("http://collections.slsa.sa.gov.au/arthur/01750/BRG347_1567.htm")</f>
        <v>http://collections.slsa.sa.gov.au/arthur/01750/BRG347_1567.htm</v>
      </c>
    </row>
    <row r="2387" spans="1:11" x14ac:dyDescent="0.25">
      <c r="A2387" t="s">
        <v>8509</v>
      </c>
      <c r="B2387" s="1" t="str">
        <f>HYPERLINK("https://www.catalog.slsa.sa.gov.au/record=b2110846")</f>
        <v>https://www.catalog.slsa.sa.gov.au/record=b2110846</v>
      </c>
      <c r="C2387" s="1" t="str">
        <f>HYPERLINK("https://www.catalog.slsa.sa.gov.au/xrecord=b2110846")</f>
        <v>https://www.catalog.slsa.sa.gov.au/xrecord=b2110846</v>
      </c>
      <c r="D2387" t="s">
        <v>66</v>
      </c>
      <c r="E2387" t="s">
        <v>8510</v>
      </c>
      <c r="F2387">
        <v>1958</v>
      </c>
      <c r="G2387" t="s">
        <v>121</v>
      </c>
      <c r="H2387" t="s">
        <v>8511</v>
      </c>
      <c r="I2387" t="s">
        <v>8512</v>
      </c>
      <c r="J2387" t="s">
        <v>71</v>
      </c>
      <c r="K2387" s="2" t="str">
        <f>HYPERLINK("http://collections.slsa.sa.gov.au/arthur/01750/BRG347_1568.htm")</f>
        <v>http://collections.slsa.sa.gov.au/arthur/01750/BRG347_1568.htm</v>
      </c>
    </row>
    <row r="2388" spans="1:11" x14ac:dyDescent="0.25">
      <c r="A2388" t="s">
        <v>8513</v>
      </c>
      <c r="B2388" s="1" t="str">
        <f>HYPERLINK("https://www.catalog.slsa.sa.gov.au/record=b2110847")</f>
        <v>https://www.catalog.slsa.sa.gov.au/record=b2110847</v>
      </c>
      <c r="C2388" s="1" t="str">
        <f>HYPERLINK("https://www.catalog.slsa.sa.gov.au/xrecord=b2110847")</f>
        <v>https://www.catalog.slsa.sa.gov.au/xrecord=b2110847</v>
      </c>
      <c r="D2388" t="s">
        <v>66</v>
      </c>
      <c r="E2388" t="s">
        <v>8514</v>
      </c>
      <c r="F2388">
        <v>1958</v>
      </c>
      <c r="G2388" t="s">
        <v>121</v>
      </c>
      <c r="H2388" t="s">
        <v>8515</v>
      </c>
      <c r="I2388" t="s">
        <v>8516</v>
      </c>
      <c r="J2388" t="s">
        <v>71</v>
      </c>
      <c r="K2388" s="2" t="str">
        <f>HYPERLINK("http://collections.slsa.sa.gov.au/arthur/01750/BRG347_1569.htm")</f>
        <v>http://collections.slsa.sa.gov.au/arthur/01750/BRG347_1569.htm</v>
      </c>
    </row>
    <row r="2389" spans="1:11" x14ac:dyDescent="0.25">
      <c r="A2389" t="s">
        <v>8517</v>
      </c>
      <c r="B2389" s="1" t="str">
        <f>HYPERLINK("https://www.catalog.slsa.sa.gov.au/record=b2110848")</f>
        <v>https://www.catalog.slsa.sa.gov.au/record=b2110848</v>
      </c>
      <c r="C2389" s="1" t="str">
        <f>HYPERLINK("https://www.catalog.slsa.sa.gov.au/xrecord=b2110848")</f>
        <v>https://www.catalog.slsa.sa.gov.au/xrecord=b2110848</v>
      </c>
      <c r="D2389" t="s">
        <v>66</v>
      </c>
      <c r="E2389" t="s">
        <v>8518</v>
      </c>
      <c r="F2389">
        <v>1958</v>
      </c>
      <c r="G2389" t="s">
        <v>121</v>
      </c>
      <c r="H2389" t="s">
        <v>8519</v>
      </c>
      <c r="I2389" t="s">
        <v>8520</v>
      </c>
      <c r="J2389" t="s">
        <v>71</v>
      </c>
      <c r="K2389" s="2" t="str">
        <f>HYPERLINK("http://collections.slsa.sa.gov.au/arthur/01750/BRG347_1570.htm")</f>
        <v>http://collections.slsa.sa.gov.au/arthur/01750/BRG347_1570.htm</v>
      </c>
    </row>
    <row r="2390" spans="1:11" x14ac:dyDescent="0.25">
      <c r="A2390" t="s">
        <v>8521</v>
      </c>
      <c r="B2390" s="1" t="str">
        <f>HYPERLINK("https://www.catalog.slsa.sa.gov.au/record=b2110849")</f>
        <v>https://www.catalog.slsa.sa.gov.au/record=b2110849</v>
      </c>
      <c r="C2390" s="1" t="str">
        <f>HYPERLINK("https://www.catalog.slsa.sa.gov.au/xrecord=b2110849")</f>
        <v>https://www.catalog.slsa.sa.gov.au/xrecord=b2110849</v>
      </c>
      <c r="D2390" t="s">
        <v>66</v>
      </c>
      <c r="E2390" t="s">
        <v>8522</v>
      </c>
      <c r="F2390">
        <v>1958</v>
      </c>
      <c r="G2390" t="s">
        <v>121</v>
      </c>
      <c r="H2390" t="s">
        <v>8523</v>
      </c>
      <c r="I2390" t="s">
        <v>8524</v>
      </c>
      <c r="J2390" t="s">
        <v>71</v>
      </c>
      <c r="K2390" s="2" t="str">
        <f>HYPERLINK("http://collections.slsa.sa.gov.au/arthur/01750/BRG347_1571.htm")</f>
        <v>http://collections.slsa.sa.gov.au/arthur/01750/BRG347_1571.htm</v>
      </c>
    </row>
    <row r="2391" spans="1:11" x14ac:dyDescent="0.25">
      <c r="A2391" t="s">
        <v>8525</v>
      </c>
      <c r="B2391" s="1" t="str">
        <f>HYPERLINK("https://www.catalog.slsa.sa.gov.au/record=b2110850")</f>
        <v>https://www.catalog.slsa.sa.gov.au/record=b2110850</v>
      </c>
      <c r="C2391" s="1" t="str">
        <f>HYPERLINK("https://www.catalog.slsa.sa.gov.au/xrecord=b2110850")</f>
        <v>https://www.catalog.slsa.sa.gov.au/xrecord=b2110850</v>
      </c>
      <c r="D2391" t="s">
        <v>66</v>
      </c>
      <c r="E2391" t="s">
        <v>8526</v>
      </c>
      <c r="F2391">
        <v>1958</v>
      </c>
      <c r="G2391" t="s">
        <v>121</v>
      </c>
      <c r="H2391" t="s">
        <v>8527</v>
      </c>
      <c r="I2391" t="s">
        <v>8528</v>
      </c>
      <c r="J2391" t="s">
        <v>71</v>
      </c>
      <c r="K2391" s="2" t="str">
        <f>HYPERLINK("http://collections.slsa.sa.gov.au/arthur/01750/BRG347_1572.htm")</f>
        <v>http://collections.slsa.sa.gov.au/arthur/01750/BRG347_1572.htm</v>
      </c>
    </row>
    <row r="2392" spans="1:11" x14ac:dyDescent="0.25">
      <c r="A2392" t="s">
        <v>8529</v>
      </c>
      <c r="B2392" s="1" t="str">
        <f>HYPERLINK("https://www.catalog.slsa.sa.gov.au/record=b2110852")</f>
        <v>https://www.catalog.slsa.sa.gov.au/record=b2110852</v>
      </c>
      <c r="C2392" s="1" t="str">
        <f>HYPERLINK("https://www.catalog.slsa.sa.gov.au/xrecord=b2110852")</f>
        <v>https://www.catalog.slsa.sa.gov.au/xrecord=b2110852</v>
      </c>
      <c r="D2392" t="s">
        <v>66</v>
      </c>
      <c r="E2392" t="s">
        <v>7695</v>
      </c>
      <c r="F2392">
        <v>1958</v>
      </c>
      <c r="G2392" t="s">
        <v>121</v>
      </c>
      <c r="H2392" t="s">
        <v>8530</v>
      </c>
      <c r="I2392" t="s">
        <v>8531</v>
      </c>
      <c r="J2392" t="s">
        <v>71</v>
      </c>
      <c r="K2392" s="2" t="str">
        <f>HYPERLINK("http://collections.slsa.sa.gov.au/arthur/01750/BRG347_1573.htm")</f>
        <v>http://collections.slsa.sa.gov.au/arthur/01750/BRG347_1573.htm</v>
      </c>
    </row>
    <row r="2393" spans="1:11" x14ac:dyDescent="0.25">
      <c r="A2393" t="s">
        <v>8532</v>
      </c>
      <c r="B2393" s="1" t="str">
        <f>HYPERLINK("https://www.catalog.slsa.sa.gov.au/record=b2110853")</f>
        <v>https://www.catalog.slsa.sa.gov.au/record=b2110853</v>
      </c>
      <c r="C2393" s="1" t="str">
        <f>HYPERLINK("https://www.catalog.slsa.sa.gov.au/xrecord=b2110853")</f>
        <v>https://www.catalog.slsa.sa.gov.au/xrecord=b2110853</v>
      </c>
      <c r="D2393" t="s">
        <v>66</v>
      </c>
      <c r="E2393" t="s">
        <v>8533</v>
      </c>
      <c r="F2393">
        <v>1958</v>
      </c>
      <c r="G2393" t="s">
        <v>121</v>
      </c>
      <c r="H2393" t="s">
        <v>8534</v>
      </c>
      <c r="I2393" t="s">
        <v>8535</v>
      </c>
      <c r="J2393" t="s">
        <v>71</v>
      </c>
      <c r="K2393" s="2" t="str">
        <f>HYPERLINK("http://collections.slsa.sa.gov.au/arthur/01750/BRG347_1574.htm")</f>
        <v>http://collections.slsa.sa.gov.au/arthur/01750/BRG347_1574.htm</v>
      </c>
    </row>
    <row r="2394" spans="1:11" x14ac:dyDescent="0.25">
      <c r="A2394" t="s">
        <v>8536</v>
      </c>
      <c r="B2394" s="1" t="str">
        <f>HYPERLINK("https://www.catalog.slsa.sa.gov.au/record=b2110854")</f>
        <v>https://www.catalog.slsa.sa.gov.au/record=b2110854</v>
      </c>
      <c r="C2394" s="1" t="str">
        <f>HYPERLINK("https://www.catalog.slsa.sa.gov.au/xrecord=b2110854")</f>
        <v>https://www.catalog.slsa.sa.gov.au/xrecord=b2110854</v>
      </c>
      <c r="D2394" t="s">
        <v>66</v>
      </c>
      <c r="E2394" t="s">
        <v>8537</v>
      </c>
      <c r="F2394">
        <v>1958</v>
      </c>
      <c r="G2394" t="s">
        <v>121</v>
      </c>
      <c r="H2394" t="s">
        <v>8538</v>
      </c>
      <c r="I2394" t="s">
        <v>8231</v>
      </c>
      <c r="J2394" t="s">
        <v>71</v>
      </c>
      <c r="K2394" s="2" t="str">
        <f>HYPERLINK("http://collections.slsa.sa.gov.au/arthur/01750/BRG347_1575.htm")</f>
        <v>http://collections.slsa.sa.gov.au/arthur/01750/BRG347_1575.htm</v>
      </c>
    </row>
    <row r="2395" spans="1:11" x14ac:dyDescent="0.25">
      <c r="A2395" t="s">
        <v>8539</v>
      </c>
      <c r="B2395" s="1" t="str">
        <f>HYPERLINK("https://www.catalog.slsa.sa.gov.au/record=b2110855")</f>
        <v>https://www.catalog.slsa.sa.gov.au/record=b2110855</v>
      </c>
      <c r="C2395" s="1" t="str">
        <f>HYPERLINK("https://www.catalog.slsa.sa.gov.au/xrecord=b2110855")</f>
        <v>https://www.catalog.slsa.sa.gov.au/xrecord=b2110855</v>
      </c>
      <c r="D2395" t="s">
        <v>66</v>
      </c>
      <c r="E2395" t="s">
        <v>8540</v>
      </c>
      <c r="F2395">
        <v>1958</v>
      </c>
      <c r="G2395" t="s">
        <v>121</v>
      </c>
      <c r="H2395" t="s">
        <v>8541</v>
      </c>
      <c r="I2395" t="s">
        <v>7614</v>
      </c>
      <c r="J2395" t="s">
        <v>71</v>
      </c>
      <c r="K2395" s="2" t="str">
        <f>HYPERLINK("http://collections.slsa.sa.gov.au/arthur/01750/BRG347_1576.htm")</f>
        <v>http://collections.slsa.sa.gov.au/arthur/01750/BRG347_1576.htm</v>
      </c>
    </row>
    <row r="2396" spans="1:11" x14ac:dyDescent="0.25">
      <c r="A2396" t="s">
        <v>8542</v>
      </c>
      <c r="B2396" s="1" t="str">
        <f>HYPERLINK("https://www.catalog.slsa.sa.gov.au/record=b2111061")</f>
        <v>https://www.catalog.slsa.sa.gov.au/record=b2111061</v>
      </c>
      <c r="C2396" s="1" t="str">
        <f>HYPERLINK("https://www.catalog.slsa.sa.gov.au/xrecord=b2111061")</f>
        <v>https://www.catalog.slsa.sa.gov.au/xrecord=b2111061</v>
      </c>
      <c r="D2396" t="s">
        <v>66</v>
      </c>
      <c r="E2396" t="s">
        <v>8543</v>
      </c>
      <c r="F2396">
        <v>1958</v>
      </c>
      <c r="G2396" t="s">
        <v>121</v>
      </c>
      <c r="H2396" t="s">
        <v>8544</v>
      </c>
      <c r="I2396" t="s">
        <v>8545</v>
      </c>
      <c r="J2396" t="s">
        <v>71</v>
      </c>
      <c r="K2396" s="2" t="str">
        <f>HYPERLINK("http://collections.slsa.sa.gov.au/arthur/02000/BRG347_1776.htm")</f>
        <v>http://collections.slsa.sa.gov.au/arthur/02000/BRG347_1776.htm</v>
      </c>
    </row>
    <row r="2397" spans="1:11" x14ac:dyDescent="0.25">
      <c r="A2397" t="s">
        <v>8546</v>
      </c>
      <c r="B2397" s="1" t="str">
        <f>HYPERLINK("https://www.catalog.slsa.sa.gov.au/record=b2111305")</f>
        <v>https://www.catalog.slsa.sa.gov.au/record=b2111305</v>
      </c>
      <c r="C2397" s="1" t="str">
        <f>HYPERLINK("https://www.catalog.slsa.sa.gov.au/xrecord=b2111305")</f>
        <v>https://www.catalog.slsa.sa.gov.au/xrecord=b2111305</v>
      </c>
      <c r="D2397" t="s">
        <v>66</v>
      </c>
      <c r="E2397" t="s">
        <v>8547</v>
      </c>
      <c r="F2397">
        <v>1958</v>
      </c>
      <c r="G2397" t="s">
        <v>121</v>
      </c>
      <c r="H2397" t="s">
        <v>8548</v>
      </c>
      <c r="I2397" t="s">
        <v>8549</v>
      </c>
      <c r="J2397" t="s">
        <v>71</v>
      </c>
      <c r="K2397" s="2" t="str">
        <f>HYPERLINK("http://collections.slsa.sa.gov.au/arthur/02000/BRG347_1976.htm")</f>
        <v>http://collections.slsa.sa.gov.au/arthur/02000/BRG347_1976.htm</v>
      </c>
    </row>
    <row r="2398" spans="1:11" x14ac:dyDescent="0.25">
      <c r="A2398" t="s">
        <v>8550</v>
      </c>
      <c r="B2398" s="1" t="str">
        <f>HYPERLINK("https://www.catalog.slsa.sa.gov.au/record=b2111306")</f>
        <v>https://www.catalog.slsa.sa.gov.au/record=b2111306</v>
      </c>
      <c r="C2398" s="1" t="str">
        <f>HYPERLINK("https://www.catalog.slsa.sa.gov.au/xrecord=b2111306")</f>
        <v>https://www.catalog.slsa.sa.gov.au/xrecord=b2111306</v>
      </c>
      <c r="D2398" t="s">
        <v>66</v>
      </c>
      <c r="E2398" t="s">
        <v>8551</v>
      </c>
      <c r="F2398">
        <v>1958</v>
      </c>
      <c r="G2398" t="s">
        <v>121</v>
      </c>
      <c r="H2398" t="s">
        <v>8552</v>
      </c>
      <c r="I2398" t="s">
        <v>8553</v>
      </c>
      <c r="J2398" t="s">
        <v>71</v>
      </c>
      <c r="K2398" s="2" t="str">
        <f>HYPERLINK("http://collections.slsa.sa.gov.au/arthur/02000/BRG347_1977.htm")</f>
        <v>http://collections.slsa.sa.gov.au/arthur/02000/BRG347_1977.htm</v>
      </c>
    </row>
    <row r="2399" spans="1:11" x14ac:dyDescent="0.25">
      <c r="A2399" t="s">
        <v>8554</v>
      </c>
      <c r="B2399" s="1" t="str">
        <f>HYPERLINK("https://www.catalog.slsa.sa.gov.au/record=b2111307")</f>
        <v>https://www.catalog.slsa.sa.gov.au/record=b2111307</v>
      </c>
      <c r="C2399" s="1" t="str">
        <f>HYPERLINK("https://www.catalog.slsa.sa.gov.au/xrecord=b2111307")</f>
        <v>https://www.catalog.slsa.sa.gov.au/xrecord=b2111307</v>
      </c>
      <c r="D2399" t="s">
        <v>66</v>
      </c>
      <c r="E2399" t="s">
        <v>8555</v>
      </c>
      <c r="F2399">
        <v>1958</v>
      </c>
      <c r="G2399" t="s">
        <v>121</v>
      </c>
      <c r="H2399" t="s">
        <v>8556</v>
      </c>
      <c r="I2399" t="s">
        <v>5695</v>
      </c>
      <c r="J2399" t="s">
        <v>71</v>
      </c>
      <c r="K2399" s="2" t="str">
        <f>HYPERLINK("http://collections.slsa.sa.gov.au/arthur/02000/BRG347_1978.htm")</f>
        <v>http://collections.slsa.sa.gov.au/arthur/02000/BRG347_1978.htm</v>
      </c>
    </row>
    <row r="2400" spans="1:11" x14ac:dyDescent="0.25">
      <c r="A2400" t="s">
        <v>8557</v>
      </c>
      <c r="B2400" s="1" t="str">
        <f>HYPERLINK("https://www.catalog.slsa.sa.gov.au/record=b2111308")</f>
        <v>https://www.catalog.slsa.sa.gov.au/record=b2111308</v>
      </c>
      <c r="C2400" s="1" t="str">
        <f>HYPERLINK("https://www.catalog.slsa.sa.gov.au/xrecord=b2111308")</f>
        <v>https://www.catalog.slsa.sa.gov.au/xrecord=b2111308</v>
      </c>
      <c r="D2400" t="s">
        <v>66</v>
      </c>
      <c r="E2400" t="s">
        <v>8558</v>
      </c>
      <c r="F2400">
        <v>1958</v>
      </c>
      <c r="G2400" t="s">
        <v>121</v>
      </c>
      <c r="H2400" t="s">
        <v>8559</v>
      </c>
      <c r="I2400" t="s">
        <v>8560</v>
      </c>
      <c r="J2400" t="s">
        <v>71</v>
      </c>
      <c r="K2400" s="2" t="str">
        <f>HYPERLINK("http://collections.slsa.sa.gov.au/arthur/02000/BRG347_1979.htm")</f>
        <v>http://collections.slsa.sa.gov.au/arthur/02000/BRG347_1979.htm</v>
      </c>
    </row>
    <row r="2401" spans="1:11" x14ac:dyDescent="0.25">
      <c r="A2401" t="s">
        <v>8561</v>
      </c>
      <c r="B2401" s="1" t="str">
        <f>HYPERLINK("https://www.catalog.slsa.sa.gov.au/record=b2111311")</f>
        <v>https://www.catalog.slsa.sa.gov.au/record=b2111311</v>
      </c>
      <c r="C2401" s="1" t="str">
        <f>HYPERLINK("https://www.catalog.slsa.sa.gov.au/xrecord=b2111311")</f>
        <v>https://www.catalog.slsa.sa.gov.au/xrecord=b2111311</v>
      </c>
      <c r="D2401" t="s">
        <v>66</v>
      </c>
      <c r="E2401" t="s">
        <v>8562</v>
      </c>
      <c r="F2401">
        <v>1958</v>
      </c>
      <c r="G2401" t="s">
        <v>121</v>
      </c>
      <c r="H2401" t="s">
        <v>8563</v>
      </c>
      <c r="I2401" t="s">
        <v>8564</v>
      </c>
      <c r="J2401" t="s">
        <v>71</v>
      </c>
      <c r="K2401" s="2" t="str">
        <f>HYPERLINK("http://collections.slsa.sa.gov.au/arthur/02000/BRG347_1982.htm")</f>
        <v>http://collections.slsa.sa.gov.au/arthur/02000/BRG347_1982.htm</v>
      </c>
    </row>
    <row r="2402" spans="1:11" x14ac:dyDescent="0.25">
      <c r="A2402" t="s">
        <v>8565</v>
      </c>
      <c r="B2402" s="1" t="str">
        <f>HYPERLINK("https://www.catalog.slsa.sa.gov.au/record=b2111314")</f>
        <v>https://www.catalog.slsa.sa.gov.au/record=b2111314</v>
      </c>
      <c r="C2402" s="1" t="str">
        <f>HYPERLINK("https://www.catalog.slsa.sa.gov.au/xrecord=b2111314")</f>
        <v>https://www.catalog.slsa.sa.gov.au/xrecord=b2111314</v>
      </c>
      <c r="D2402" t="s">
        <v>66</v>
      </c>
      <c r="E2402" t="s">
        <v>8566</v>
      </c>
      <c r="F2402">
        <v>1958</v>
      </c>
      <c r="G2402" t="s">
        <v>121</v>
      </c>
      <c r="H2402" t="s">
        <v>8567</v>
      </c>
      <c r="I2402" t="s">
        <v>8568</v>
      </c>
      <c r="J2402" t="s">
        <v>71</v>
      </c>
      <c r="K2402" s="2" t="str">
        <f>HYPERLINK("http://collections.slsa.sa.gov.au/arthur/02000/BRG347_1985.htm")</f>
        <v>http://collections.slsa.sa.gov.au/arthur/02000/BRG347_1985.htm</v>
      </c>
    </row>
    <row r="2403" spans="1:11" x14ac:dyDescent="0.25">
      <c r="A2403" t="s">
        <v>8569</v>
      </c>
      <c r="B2403" s="1" t="str">
        <f>HYPERLINK("https://www.catalog.slsa.sa.gov.au/record=b2111318")</f>
        <v>https://www.catalog.slsa.sa.gov.au/record=b2111318</v>
      </c>
      <c r="C2403" s="1" t="str">
        <f>HYPERLINK("https://www.catalog.slsa.sa.gov.au/xrecord=b2111318")</f>
        <v>https://www.catalog.slsa.sa.gov.au/xrecord=b2111318</v>
      </c>
      <c r="D2403" t="s">
        <v>66</v>
      </c>
      <c r="E2403" t="s">
        <v>8570</v>
      </c>
      <c r="F2403">
        <v>1958</v>
      </c>
      <c r="G2403" t="s">
        <v>121</v>
      </c>
      <c r="H2403" t="s">
        <v>8571</v>
      </c>
      <c r="I2403" t="s">
        <v>8572</v>
      </c>
      <c r="J2403" t="s">
        <v>71</v>
      </c>
      <c r="K2403" s="2" t="str">
        <f>HYPERLINK("http://collections.slsa.sa.gov.au/arthur/02000/BRG347_1989.htm")</f>
        <v>http://collections.slsa.sa.gov.au/arthur/02000/BRG347_1989.htm</v>
      </c>
    </row>
    <row r="2404" spans="1:11" x14ac:dyDescent="0.25">
      <c r="A2404" t="s">
        <v>8573</v>
      </c>
      <c r="B2404" s="1" t="str">
        <f>HYPERLINK("https://www.catalog.slsa.sa.gov.au/record=b2111319")</f>
        <v>https://www.catalog.slsa.sa.gov.au/record=b2111319</v>
      </c>
      <c r="C2404" s="1" t="str">
        <f>HYPERLINK("https://www.catalog.slsa.sa.gov.au/xrecord=b2111319")</f>
        <v>https://www.catalog.slsa.sa.gov.au/xrecord=b2111319</v>
      </c>
      <c r="D2404" t="s">
        <v>66</v>
      </c>
      <c r="E2404" t="s">
        <v>8574</v>
      </c>
      <c r="F2404">
        <v>1958</v>
      </c>
      <c r="G2404" t="s">
        <v>121</v>
      </c>
      <c r="H2404" t="s">
        <v>8575</v>
      </c>
      <c r="I2404" t="s">
        <v>8576</v>
      </c>
      <c r="J2404" t="s">
        <v>71</v>
      </c>
      <c r="K2404" s="2" t="str">
        <f>HYPERLINK("http://collections.slsa.sa.gov.au/arthur/02000/BRG347_1990.htm")</f>
        <v>http://collections.slsa.sa.gov.au/arthur/02000/BRG347_1990.htm</v>
      </c>
    </row>
    <row r="2405" spans="1:11" x14ac:dyDescent="0.25">
      <c r="A2405" t="s">
        <v>8577</v>
      </c>
      <c r="B2405" s="1" t="str">
        <f>HYPERLINK("https://www.catalog.slsa.sa.gov.au/record=b2111320")</f>
        <v>https://www.catalog.slsa.sa.gov.au/record=b2111320</v>
      </c>
      <c r="C2405" s="1" t="str">
        <f>HYPERLINK("https://www.catalog.slsa.sa.gov.au/xrecord=b2111320")</f>
        <v>https://www.catalog.slsa.sa.gov.au/xrecord=b2111320</v>
      </c>
      <c r="D2405" t="s">
        <v>66</v>
      </c>
      <c r="E2405" t="s">
        <v>8578</v>
      </c>
      <c r="F2405">
        <v>1958</v>
      </c>
      <c r="G2405" t="s">
        <v>121</v>
      </c>
      <c r="H2405" t="s">
        <v>8579</v>
      </c>
      <c r="I2405" t="s">
        <v>8580</v>
      </c>
      <c r="J2405" t="s">
        <v>71</v>
      </c>
      <c r="K2405" s="2" t="str">
        <f>HYPERLINK("http://collections.slsa.sa.gov.au/arthur/02000/BRG347_1991.htm")</f>
        <v>http://collections.slsa.sa.gov.au/arthur/02000/BRG347_1991.htm</v>
      </c>
    </row>
    <row r="2406" spans="1:11" x14ac:dyDescent="0.25">
      <c r="A2406" t="s">
        <v>8581</v>
      </c>
      <c r="B2406" s="1" t="str">
        <f>HYPERLINK("https://www.catalog.slsa.sa.gov.au/record=b2111321")</f>
        <v>https://www.catalog.slsa.sa.gov.au/record=b2111321</v>
      </c>
      <c r="C2406" s="1" t="str">
        <f>HYPERLINK("https://www.catalog.slsa.sa.gov.au/xrecord=b2111321")</f>
        <v>https://www.catalog.slsa.sa.gov.au/xrecord=b2111321</v>
      </c>
      <c r="D2406" t="s">
        <v>66</v>
      </c>
      <c r="E2406" t="s">
        <v>8582</v>
      </c>
      <c r="F2406">
        <v>1958</v>
      </c>
      <c r="G2406" t="s">
        <v>121</v>
      </c>
      <c r="H2406" t="s">
        <v>8583</v>
      </c>
      <c r="I2406" t="s">
        <v>8584</v>
      </c>
      <c r="J2406" t="s">
        <v>71</v>
      </c>
      <c r="K2406" s="2" t="str">
        <f>HYPERLINK("http://collections.slsa.sa.gov.au/arthur/02000/BRG347_1992.htm")</f>
        <v>http://collections.slsa.sa.gov.au/arthur/02000/BRG347_1992.htm</v>
      </c>
    </row>
    <row r="2407" spans="1:11" x14ac:dyDescent="0.25">
      <c r="A2407" t="s">
        <v>8585</v>
      </c>
      <c r="B2407" s="1" t="str">
        <f>HYPERLINK("https://www.catalog.slsa.sa.gov.au/record=b2111322")</f>
        <v>https://www.catalog.slsa.sa.gov.au/record=b2111322</v>
      </c>
      <c r="C2407" s="1" t="str">
        <f>HYPERLINK("https://www.catalog.slsa.sa.gov.au/xrecord=b2111322")</f>
        <v>https://www.catalog.slsa.sa.gov.au/xrecord=b2111322</v>
      </c>
      <c r="D2407" t="s">
        <v>66</v>
      </c>
      <c r="E2407" t="s">
        <v>7207</v>
      </c>
      <c r="F2407">
        <v>1958</v>
      </c>
      <c r="G2407" t="s">
        <v>121</v>
      </c>
      <c r="H2407" t="s">
        <v>8586</v>
      </c>
      <c r="I2407" t="s">
        <v>8587</v>
      </c>
      <c r="J2407" t="s">
        <v>71</v>
      </c>
      <c r="K2407" s="2" t="str">
        <f>HYPERLINK("http://collections.slsa.sa.gov.au/arthur/02000/BRG347_1993.htm")</f>
        <v>http://collections.slsa.sa.gov.au/arthur/02000/BRG347_1993.htm</v>
      </c>
    </row>
    <row r="2408" spans="1:11" x14ac:dyDescent="0.25">
      <c r="A2408" t="s">
        <v>8588</v>
      </c>
      <c r="B2408" s="1" t="str">
        <f>HYPERLINK("https://www.catalog.slsa.sa.gov.au/record=b2111324")</f>
        <v>https://www.catalog.slsa.sa.gov.au/record=b2111324</v>
      </c>
      <c r="C2408" s="1" t="str">
        <f>HYPERLINK("https://www.catalog.slsa.sa.gov.au/xrecord=b2111324")</f>
        <v>https://www.catalog.slsa.sa.gov.au/xrecord=b2111324</v>
      </c>
      <c r="D2408" t="s">
        <v>66</v>
      </c>
      <c r="E2408" t="s">
        <v>7996</v>
      </c>
      <c r="F2408">
        <v>1958</v>
      </c>
      <c r="G2408" t="s">
        <v>121</v>
      </c>
      <c r="H2408" t="s">
        <v>8589</v>
      </c>
      <c r="I2408" t="s">
        <v>8590</v>
      </c>
      <c r="J2408" t="s">
        <v>71</v>
      </c>
      <c r="K2408" s="2" t="str">
        <f>HYPERLINK("http://collections.slsa.sa.gov.au/arthur/02000/BRG347_1995.htm")</f>
        <v>http://collections.slsa.sa.gov.au/arthur/02000/BRG347_1995.htm</v>
      </c>
    </row>
    <row r="2409" spans="1:11" x14ac:dyDescent="0.25">
      <c r="A2409" t="s">
        <v>8591</v>
      </c>
      <c r="B2409" s="1" t="str">
        <f>HYPERLINK("https://www.catalog.slsa.sa.gov.au/record=b2111330")</f>
        <v>https://www.catalog.slsa.sa.gov.au/record=b2111330</v>
      </c>
      <c r="C2409" s="1" t="str">
        <f>HYPERLINK("https://www.catalog.slsa.sa.gov.au/xrecord=b2111330")</f>
        <v>https://www.catalog.slsa.sa.gov.au/xrecord=b2111330</v>
      </c>
      <c r="D2409" t="s">
        <v>66</v>
      </c>
      <c r="E2409" t="s">
        <v>8592</v>
      </c>
      <c r="F2409">
        <v>1958</v>
      </c>
      <c r="G2409" t="s">
        <v>121</v>
      </c>
      <c r="H2409" t="s">
        <v>8593</v>
      </c>
      <c r="I2409" t="s">
        <v>8594</v>
      </c>
      <c r="J2409" t="s">
        <v>71</v>
      </c>
      <c r="K2409" s="2" t="str">
        <f>HYPERLINK("http://collections.slsa.sa.gov.au/arthur/02250/BRG347_2001.htm")</f>
        <v>http://collections.slsa.sa.gov.au/arthur/02250/BRG347_2001.htm</v>
      </c>
    </row>
    <row r="2410" spans="1:11" x14ac:dyDescent="0.25">
      <c r="A2410" t="s">
        <v>8595</v>
      </c>
      <c r="B2410" s="1" t="str">
        <f>HYPERLINK("https://www.catalog.slsa.sa.gov.au/record=b2111335")</f>
        <v>https://www.catalog.slsa.sa.gov.au/record=b2111335</v>
      </c>
      <c r="C2410" s="1" t="str">
        <f>HYPERLINK("https://www.catalog.slsa.sa.gov.au/xrecord=b2111335")</f>
        <v>https://www.catalog.slsa.sa.gov.au/xrecord=b2111335</v>
      </c>
      <c r="D2410" t="s">
        <v>66</v>
      </c>
      <c r="E2410" t="s">
        <v>8596</v>
      </c>
      <c r="F2410">
        <v>1958</v>
      </c>
      <c r="G2410" t="s">
        <v>121</v>
      </c>
      <c r="H2410" t="s">
        <v>8597</v>
      </c>
      <c r="I2410" t="s">
        <v>5691</v>
      </c>
      <c r="J2410" t="s">
        <v>71</v>
      </c>
      <c r="K2410" s="2" t="str">
        <f>HYPERLINK("http://collections.slsa.sa.gov.au/arthur/02250/BRG347_2006.htm")</f>
        <v>http://collections.slsa.sa.gov.au/arthur/02250/BRG347_2006.htm</v>
      </c>
    </row>
    <row r="2411" spans="1:11" x14ac:dyDescent="0.25">
      <c r="A2411" t="s">
        <v>8598</v>
      </c>
      <c r="B2411" s="1" t="str">
        <f>HYPERLINK("https://www.catalog.slsa.sa.gov.au/record=b2111336")</f>
        <v>https://www.catalog.slsa.sa.gov.au/record=b2111336</v>
      </c>
      <c r="C2411" s="1" t="str">
        <f>HYPERLINK("https://www.catalog.slsa.sa.gov.au/xrecord=b2111336")</f>
        <v>https://www.catalog.slsa.sa.gov.au/xrecord=b2111336</v>
      </c>
      <c r="D2411" t="s">
        <v>66</v>
      </c>
      <c r="E2411" t="s">
        <v>8599</v>
      </c>
      <c r="F2411">
        <v>1958</v>
      </c>
      <c r="G2411" t="s">
        <v>121</v>
      </c>
      <c r="H2411" t="s">
        <v>8600</v>
      </c>
      <c r="I2411" t="s">
        <v>5559</v>
      </c>
      <c r="J2411" t="s">
        <v>71</v>
      </c>
      <c r="K2411" s="2" t="str">
        <f>HYPERLINK("http://collections.slsa.sa.gov.au/arthur/02250/BRG347_2007.htm")</f>
        <v>http://collections.slsa.sa.gov.au/arthur/02250/BRG347_2007.htm</v>
      </c>
    </row>
    <row r="2412" spans="1:11" x14ac:dyDescent="0.25">
      <c r="A2412" t="s">
        <v>8601</v>
      </c>
      <c r="B2412" s="1" t="str">
        <f>HYPERLINK("https://www.catalog.slsa.sa.gov.au/record=b2111337")</f>
        <v>https://www.catalog.slsa.sa.gov.au/record=b2111337</v>
      </c>
      <c r="C2412" s="1" t="str">
        <f>HYPERLINK("https://www.catalog.slsa.sa.gov.au/xrecord=b2111337")</f>
        <v>https://www.catalog.slsa.sa.gov.au/xrecord=b2111337</v>
      </c>
      <c r="D2412" t="s">
        <v>66</v>
      </c>
      <c r="E2412" t="s">
        <v>8599</v>
      </c>
      <c r="F2412">
        <v>1958</v>
      </c>
      <c r="G2412" t="s">
        <v>121</v>
      </c>
      <c r="H2412" t="s">
        <v>8602</v>
      </c>
      <c r="I2412" t="s">
        <v>5559</v>
      </c>
      <c r="J2412" t="s">
        <v>71</v>
      </c>
      <c r="K2412" s="2" t="str">
        <f>HYPERLINK("http://collections.slsa.sa.gov.au/arthur/02250/BRG347_2008.htm")</f>
        <v>http://collections.slsa.sa.gov.au/arthur/02250/BRG347_2008.htm</v>
      </c>
    </row>
    <row r="2413" spans="1:11" x14ac:dyDescent="0.25">
      <c r="A2413" t="s">
        <v>8603</v>
      </c>
      <c r="B2413" s="1" t="str">
        <f>HYPERLINK("https://www.catalog.slsa.sa.gov.au/record=b2111338")</f>
        <v>https://www.catalog.slsa.sa.gov.au/record=b2111338</v>
      </c>
      <c r="C2413" s="1" t="str">
        <f>HYPERLINK("https://www.catalog.slsa.sa.gov.au/xrecord=b2111338")</f>
        <v>https://www.catalog.slsa.sa.gov.au/xrecord=b2111338</v>
      </c>
      <c r="D2413" t="s">
        <v>66</v>
      </c>
      <c r="E2413" t="s">
        <v>8599</v>
      </c>
      <c r="F2413">
        <v>1958</v>
      </c>
      <c r="G2413" t="s">
        <v>121</v>
      </c>
      <c r="H2413" t="s">
        <v>8604</v>
      </c>
      <c r="I2413" t="s">
        <v>5559</v>
      </c>
      <c r="J2413" t="s">
        <v>71</v>
      </c>
      <c r="K2413" s="2" t="str">
        <f>HYPERLINK("http://collections.slsa.sa.gov.au/arthur/02250/BRG347_2009.htm")</f>
        <v>http://collections.slsa.sa.gov.au/arthur/02250/BRG347_2009.htm</v>
      </c>
    </row>
    <row r="2414" spans="1:11" x14ac:dyDescent="0.25">
      <c r="A2414" t="s">
        <v>8605</v>
      </c>
      <c r="B2414" s="1" t="str">
        <f>HYPERLINK("https://www.catalog.slsa.sa.gov.au/record=b2111340")</f>
        <v>https://www.catalog.slsa.sa.gov.au/record=b2111340</v>
      </c>
      <c r="C2414" s="1" t="str">
        <f>HYPERLINK("https://www.catalog.slsa.sa.gov.au/xrecord=b2111340")</f>
        <v>https://www.catalog.slsa.sa.gov.au/xrecord=b2111340</v>
      </c>
      <c r="D2414" t="s">
        <v>66</v>
      </c>
      <c r="E2414" t="s">
        <v>8599</v>
      </c>
      <c r="F2414">
        <v>1958</v>
      </c>
      <c r="G2414" t="s">
        <v>121</v>
      </c>
      <c r="H2414" t="s">
        <v>8606</v>
      </c>
      <c r="I2414" t="s">
        <v>5559</v>
      </c>
      <c r="J2414" t="s">
        <v>71</v>
      </c>
      <c r="K2414" s="2" t="str">
        <f>HYPERLINK("http://collections.slsa.sa.gov.au/arthur/02250/BRG347_2011.htm")</f>
        <v>http://collections.slsa.sa.gov.au/arthur/02250/BRG347_2011.htm</v>
      </c>
    </row>
    <row r="2415" spans="1:11" x14ac:dyDescent="0.25">
      <c r="A2415" t="s">
        <v>8607</v>
      </c>
      <c r="B2415" s="1" t="str">
        <f>HYPERLINK("https://www.catalog.slsa.sa.gov.au/record=b2111341")</f>
        <v>https://www.catalog.slsa.sa.gov.au/record=b2111341</v>
      </c>
      <c r="C2415" s="1" t="str">
        <f>HYPERLINK("https://www.catalog.slsa.sa.gov.au/xrecord=b2111341")</f>
        <v>https://www.catalog.slsa.sa.gov.au/xrecord=b2111341</v>
      </c>
      <c r="D2415" t="s">
        <v>66</v>
      </c>
      <c r="E2415" t="s">
        <v>7295</v>
      </c>
      <c r="F2415">
        <v>1958</v>
      </c>
      <c r="G2415" t="s">
        <v>121</v>
      </c>
      <c r="H2415" t="s">
        <v>8608</v>
      </c>
      <c r="I2415" t="s">
        <v>6430</v>
      </c>
      <c r="J2415" t="s">
        <v>71</v>
      </c>
      <c r="K2415" s="2" t="str">
        <f>HYPERLINK("http://collections.slsa.sa.gov.au/arthur/02250/BRG347_2013.htm")</f>
        <v>http://collections.slsa.sa.gov.au/arthur/02250/BRG347_2013.htm</v>
      </c>
    </row>
    <row r="2416" spans="1:11" x14ac:dyDescent="0.25">
      <c r="A2416" t="s">
        <v>8609</v>
      </c>
      <c r="B2416" s="1" t="str">
        <f>HYPERLINK("https://www.catalog.slsa.sa.gov.au/record=b2111342")</f>
        <v>https://www.catalog.slsa.sa.gov.au/record=b2111342</v>
      </c>
      <c r="C2416" s="1" t="str">
        <f>HYPERLINK("https://www.catalog.slsa.sa.gov.au/xrecord=b2111342")</f>
        <v>https://www.catalog.slsa.sa.gov.au/xrecord=b2111342</v>
      </c>
      <c r="D2416" t="s">
        <v>66</v>
      </c>
      <c r="E2416" t="s">
        <v>6467</v>
      </c>
      <c r="F2416">
        <v>1958</v>
      </c>
      <c r="G2416" t="s">
        <v>121</v>
      </c>
      <c r="H2416" t="s">
        <v>8610</v>
      </c>
      <c r="I2416" t="s">
        <v>8611</v>
      </c>
      <c r="J2416" t="s">
        <v>71</v>
      </c>
      <c r="K2416" s="2" t="str">
        <f>HYPERLINK("http://collections.slsa.sa.gov.au/arthur/02250/BRG347_2014.htm")</f>
        <v>http://collections.slsa.sa.gov.au/arthur/02250/BRG347_2014.htm</v>
      </c>
    </row>
    <row r="2417" spans="1:11" x14ac:dyDescent="0.25">
      <c r="A2417" t="s">
        <v>8612</v>
      </c>
      <c r="B2417" s="1" t="str">
        <f>HYPERLINK("https://www.catalog.slsa.sa.gov.au/record=b2111344")</f>
        <v>https://www.catalog.slsa.sa.gov.au/record=b2111344</v>
      </c>
      <c r="C2417" s="1" t="str">
        <f>HYPERLINK("https://www.catalog.slsa.sa.gov.au/xrecord=b2111344")</f>
        <v>https://www.catalog.slsa.sa.gov.au/xrecord=b2111344</v>
      </c>
      <c r="D2417" t="s">
        <v>66</v>
      </c>
      <c r="E2417" t="s">
        <v>6467</v>
      </c>
      <c r="F2417">
        <v>1958</v>
      </c>
      <c r="G2417" t="s">
        <v>121</v>
      </c>
      <c r="H2417" t="s">
        <v>8613</v>
      </c>
      <c r="I2417" t="s">
        <v>8614</v>
      </c>
      <c r="J2417" t="s">
        <v>71</v>
      </c>
      <c r="K2417" s="2" t="str">
        <f>HYPERLINK("http://collections.slsa.sa.gov.au/arthur/02250/BRG347_2016.htm")</f>
        <v>http://collections.slsa.sa.gov.au/arthur/02250/BRG347_2016.htm</v>
      </c>
    </row>
    <row r="2418" spans="1:11" x14ac:dyDescent="0.25">
      <c r="A2418" t="s">
        <v>8615</v>
      </c>
      <c r="B2418" s="1" t="str">
        <f>HYPERLINK("https://www.catalog.slsa.sa.gov.au/record=b2111345")</f>
        <v>https://www.catalog.slsa.sa.gov.au/record=b2111345</v>
      </c>
      <c r="C2418" s="1" t="str">
        <f>HYPERLINK("https://www.catalog.slsa.sa.gov.au/xrecord=b2111345")</f>
        <v>https://www.catalog.slsa.sa.gov.au/xrecord=b2111345</v>
      </c>
      <c r="D2418" t="s">
        <v>66</v>
      </c>
      <c r="E2418" t="s">
        <v>6467</v>
      </c>
      <c r="F2418">
        <v>1958</v>
      </c>
      <c r="G2418" t="s">
        <v>121</v>
      </c>
      <c r="H2418" t="s">
        <v>8616</v>
      </c>
      <c r="I2418" t="s">
        <v>7346</v>
      </c>
      <c r="J2418" t="s">
        <v>71</v>
      </c>
      <c r="K2418" s="2" t="str">
        <f>HYPERLINK("http://collections.slsa.sa.gov.au/arthur/02250/BRG347_2017.htm")</f>
        <v>http://collections.slsa.sa.gov.au/arthur/02250/BRG347_2017.htm</v>
      </c>
    </row>
    <row r="2419" spans="1:11" x14ac:dyDescent="0.25">
      <c r="A2419" t="s">
        <v>8617</v>
      </c>
      <c r="B2419" s="1" t="str">
        <f>HYPERLINK("https://www.catalog.slsa.sa.gov.au/record=b2111423")</f>
        <v>https://www.catalog.slsa.sa.gov.au/record=b2111423</v>
      </c>
      <c r="C2419" s="1" t="str">
        <f>HYPERLINK("https://www.catalog.slsa.sa.gov.au/xrecord=b2111423")</f>
        <v>https://www.catalog.slsa.sa.gov.au/xrecord=b2111423</v>
      </c>
      <c r="D2419" t="s">
        <v>66</v>
      </c>
      <c r="E2419" t="s">
        <v>6438</v>
      </c>
      <c r="F2419">
        <v>1958</v>
      </c>
      <c r="G2419" t="s">
        <v>121</v>
      </c>
      <c r="H2419" t="s">
        <v>8618</v>
      </c>
      <c r="I2419" t="s">
        <v>8619</v>
      </c>
      <c r="J2419" t="s">
        <v>71</v>
      </c>
      <c r="K2419" s="2" t="str">
        <f>HYPERLINK("http://collections.slsa.sa.gov.au/arthur/02250/BRG347_2057.htm")</f>
        <v>http://collections.slsa.sa.gov.au/arthur/02250/BRG347_2057.htm</v>
      </c>
    </row>
    <row r="2420" spans="1:11" x14ac:dyDescent="0.25">
      <c r="A2420" t="s">
        <v>8620</v>
      </c>
      <c r="B2420" s="1" t="str">
        <f>HYPERLINK("https://www.catalog.slsa.sa.gov.au/record=b2111448")</f>
        <v>https://www.catalog.slsa.sa.gov.au/record=b2111448</v>
      </c>
      <c r="C2420" s="1" t="str">
        <f>HYPERLINK("https://www.catalog.slsa.sa.gov.au/xrecord=b2111448")</f>
        <v>https://www.catalog.slsa.sa.gov.au/xrecord=b2111448</v>
      </c>
      <c r="D2420" t="s">
        <v>66</v>
      </c>
      <c r="E2420" t="s">
        <v>8621</v>
      </c>
      <c r="F2420">
        <v>1958</v>
      </c>
      <c r="G2420" t="s">
        <v>121</v>
      </c>
      <c r="H2420" t="s">
        <v>8622</v>
      </c>
      <c r="I2420" t="s">
        <v>8623</v>
      </c>
      <c r="J2420" t="s">
        <v>71</v>
      </c>
      <c r="K2420" s="2" t="str">
        <f>HYPERLINK("http://collections.slsa.sa.gov.au/arthur/02250/BRG347_2084.htm")</f>
        <v>http://collections.slsa.sa.gov.au/arthur/02250/BRG347_2084.htm</v>
      </c>
    </row>
    <row r="2421" spans="1:11" x14ac:dyDescent="0.25">
      <c r="A2421" t="s">
        <v>8624</v>
      </c>
      <c r="B2421" s="1" t="str">
        <f>HYPERLINK("https://www.catalog.slsa.sa.gov.au/record=b2111449")</f>
        <v>https://www.catalog.slsa.sa.gov.au/record=b2111449</v>
      </c>
      <c r="C2421" s="1" t="str">
        <f>HYPERLINK("https://www.catalog.slsa.sa.gov.au/xrecord=b2111449")</f>
        <v>https://www.catalog.slsa.sa.gov.au/xrecord=b2111449</v>
      </c>
      <c r="D2421" t="s">
        <v>66</v>
      </c>
      <c r="E2421" t="s">
        <v>8625</v>
      </c>
      <c r="F2421">
        <v>1958</v>
      </c>
      <c r="G2421" t="s">
        <v>121</v>
      </c>
      <c r="H2421" t="s">
        <v>8626</v>
      </c>
      <c r="I2421" t="s">
        <v>7769</v>
      </c>
      <c r="J2421" t="s">
        <v>71</v>
      </c>
      <c r="K2421" s="2" t="str">
        <f>HYPERLINK("http://collections.slsa.sa.gov.au/arthur/02250/BRG347_2085.htm")</f>
        <v>http://collections.slsa.sa.gov.au/arthur/02250/BRG347_2085.htm</v>
      </c>
    </row>
    <row r="2422" spans="1:11" x14ac:dyDescent="0.25">
      <c r="A2422" t="s">
        <v>8627</v>
      </c>
      <c r="B2422" s="1" t="str">
        <f>HYPERLINK("https://www.catalog.slsa.sa.gov.au/record=b2111450")</f>
        <v>https://www.catalog.slsa.sa.gov.au/record=b2111450</v>
      </c>
      <c r="C2422" s="1" t="str">
        <f>HYPERLINK("https://www.catalog.slsa.sa.gov.au/xrecord=b2111450")</f>
        <v>https://www.catalog.slsa.sa.gov.au/xrecord=b2111450</v>
      </c>
      <c r="D2422" t="s">
        <v>66</v>
      </c>
      <c r="E2422" t="s">
        <v>8628</v>
      </c>
      <c r="F2422">
        <v>1958</v>
      </c>
      <c r="G2422" t="s">
        <v>121</v>
      </c>
      <c r="H2422" t="s">
        <v>8629</v>
      </c>
      <c r="I2422" t="s">
        <v>1750</v>
      </c>
      <c r="J2422" t="s">
        <v>71</v>
      </c>
      <c r="K2422" s="2" t="str">
        <f>HYPERLINK("http://collections.slsa.sa.gov.au/arthur/02250/BRG347_2086.htm")</f>
        <v>http://collections.slsa.sa.gov.au/arthur/02250/BRG347_2086.htm</v>
      </c>
    </row>
    <row r="2423" spans="1:11" x14ac:dyDescent="0.25">
      <c r="A2423" t="s">
        <v>8630</v>
      </c>
      <c r="B2423" s="1" t="str">
        <f>HYPERLINK("https://www.catalog.slsa.sa.gov.au/record=b2111455")</f>
        <v>https://www.catalog.slsa.sa.gov.au/record=b2111455</v>
      </c>
      <c r="C2423" s="1" t="str">
        <f>HYPERLINK("https://www.catalog.slsa.sa.gov.au/xrecord=b2111455")</f>
        <v>https://www.catalog.slsa.sa.gov.au/xrecord=b2111455</v>
      </c>
      <c r="D2423" t="s">
        <v>66</v>
      </c>
      <c r="E2423" t="s">
        <v>6467</v>
      </c>
      <c r="F2423">
        <v>1958</v>
      </c>
      <c r="G2423" t="s">
        <v>121</v>
      </c>
      <c r="H2423" t="s">
        <v>8631</v>
      </c>
      <c r="I2423" t="s">
        <v>7346</v>
      </c>
      <c r="J2423" t="s">
        <v>71</v>
      </c>
      <c r="K2423" s="2" t="str">
        <f>HYPERLINK("http://collections.slsa.sa.gov.au/arthur/02250/BRG347_2091.htm")</f>
        <v>http://collections.slsa.sa.gov.au/arthur/02250/BRG347_2091.htm</v>
      </c>
    </row>
    <row r="2424" spans="1:11" x14ac:dyDescent="0.25">
      <c r="A2424" t="s">
        <v>8632</v>
      </c>
      <c r="B2424" s="1" t="str">
        <f>HYPERLINK("https://www.catalog.slsa.sa.gov.au/record=b2111458")</f>
        <v>https://www.catalog.slsa.sa.gov.au/record=b2111458</v>
      </c>
      <c r="C2424" s="1" t="str">
        <f>HYPERLINK("https://www.catalog.slsa.sa.gov.au/xrecord=b2111458")</f>
        <v>https://www.catalog.slsa.sa.gov.au/xrecord=b2111458</v>
      </c>
      <c r="D2424" t="s">
        <v>66</v>
      </c>
      <c r="E2424" t="s">
        <v>8633</v>
      </c>
      <c r="F2424">
        <v>1958</v>
      </c>
      <c r="G2424" t="s">
        <v>121</v>
      </c>
      <c r="H2424" t="s">
        <v>8634</v>
      </c>
      <c r="I2424" t="s">
        <v>8635</v>
      </c>
      <c r="J2424" t="s">
        <v>71</v>
      </c>
      <c r="K2424" s="2" t="str">
        <f>HYPERLINK("http://collections.slsa.sa.gov.au/arthur/02250/BRG347_2094.htm")</f>
        <v>http://collections.slsa.sa.gov.au/arthur/02250/BRG347_2094.htm</v>
      </c>
    </row>
    <row r="2425" spans="1:11" x14ac:dyDescent="0.25">
      <c r="A2425" t="s">
        <v>8636</v>
      </c>
      <c r="B2425" s="1" t="str">
        <f>HYPERLINK("https://www.catalog.slsa.sa.gov.au/record=b2111460")</f>
        <v>https://www.catalog.slsa.sa.gov.au/record=b2111460</v>
      </c>
      <c r="C2425" s="1" t="str">
        <f>HYPERLINK("https://www.catalog.slsa.sa.gov.au/xrecord=b2111460")</f>
        <v>https://www.catalog.slsa.sa.gov.au/xrecord=b2111460</v>
      </c>
      <c r="D2425" t="s">
        <v>66</v>
      </c>
      <c r="E2425" t="s">
        <v>8637</v>
      </c>
      <c r="F2425">
        <v>1958</v>
      </c>
      <c r="G2425" t="s">
        <v>121</v>
      </c>
      <c r="H2425" t="s">
        <v>8638</v>
      </c>
      <c r="I2425" t="s">
        <v>7346</v>
      </c>
      <c r="J2425" t="s">
        <v>71</v>
      </c>
      <c r="K2425" s="2" t="str">
        <f>HYPERLINK("http://collections.slsa.sa.gov.au/arthur/02250/BRG347_2096.htm")</f>
        <v>http://collections.slsa.sa.gov.au/arthur/02250/BRG347_2096.htm</v>
      </c>
    </row>
    <row r="2426" spans="1:11" x14ac:dyDescent="0.25">
      <c r="A2426" t="s">
        <v>8639</v>
      </c>
      <c r="B2426" s="1" t="str">
        <f>HYPERLINK("https://www.catalog.slsa.sa.gov.au/record=b2111461")</f>
        <v>https://www.catalog.slsa.sa.gov.au/record=b2111461</v>
      </c>
      <c r="C2426" s="1" t="str">
        <f>HYPERLINK("https://www.catalog.slsa.sa.gov.au/xrecord=b2111461")</f>
        <v>https://www.catalog.slsa.sa.gov.au/xrecord=b2111461</v>
      </c>
      <c r="D2426" t="s">
        <v>66</v>
      </c>
      <c r="E2426" t="s">
        <v>6467</v>
      </c>
      <c r="F2426">
        <v>1958</v>
      </c>
      <c r="G2426" t="s">
        <v>121</v>
      </c>
      <c r="H2426" t="s">
        <v>8640</v>
      </c>
      <c r="I2426" t="s">
        <v>8641</v>
      </c>
      <c r="J2426" t="s">
        <v>71</v>
      </c>
      <c r="K2426" s="2" t="str">
        <f>HYPERLINK("http://collections.slsa.sa.gov.au/arthur/02250/BRG347_2097.htm")</f>
        <v>http://collections.slsa.sa.gov.au/arthur/02250/BRG347_2097.htm</v>
      </c>
    </row>
    <row r="2427" spans="1:11" x14ac:dyDescent="0.25">
      <c r="A2427" t="s">
        <v>8642</v>
      </c>
      <c r="B2427" s="1" t="str">
        <f>HYPERLINK("https://www.catalog.slsa.sa.gov.au/record=b2111462")</f>
        <v>https://www.catalog.slsa.sa.gov.au/record=b2111462</v>
      </c>
      <c r="C2427" s="1" t="str">
        <f>HYPERLINK("https://www.catalog.slsa.sa.gov.au/xrecord=b2111462")</f>
        <v>https://www.catalog.slsa.sa.gov.au/xrecord=b2111462</v>
      </c>
      <c r="D2427" t="s">
        <v>66</v>
      </c>
      <c r="E2427" t="s">
        <v>6467</v>
      </c>
      <c r="F2427">
        <v>1958</v>
      </c>
      <c r="G2427" t="s">
        <v>121</v>
      </c>
      <c r="H2427" t="s">
        <v>8643</v>
      </c>
      <c r="I2427" t="s">
        <v>7346</v>
      </c>
      <c r="J2427" t="s">
        <v>71</v>
      </c>
      <c r="K2427" s="2" t="str">
        <f>HYPERLINK("http://collections.slsa.sa.gov.au/arthur/02250/BRG347_2098.htm")</f>
        <v>http://collections.slsa.sa.gov.au/arthur/02250/BRG347_2098.htm</v>
      </c>
    </row>
    <row r="2428" spans="1:11" x14ac:dyDescent="0.25">
      <c r="A2428" t="s">
        <v>8644</v>
      </c>
      <c r="B2428" s="1" t="str">
        <f>HYPERLINK("https://www.catalog.slsa.sa.gov.au/record=b2117804")</f>
        <v>https://www.catalog.slsa.sa.gov.au/record=b2117804</v>
      </c>
      <c r="C2428" s="1" t="str">
        <f>HYPERLINK("https://www.catalog.slsa.sa.gov.au/xrecord=b2117804")</f>
        <v>https://www.catalog.slsa.sa.gov.au/xrecord=b2117804</v>
      </c>
      <c r="D2428" t="s">
        <v>66</v>
      </c>
      <c r="E2428" t="s">
        <v>8637</v>
      </c>
      <c r="F2428">
        <v>1958</v>
      </c>
      <c r="G2428" t="s">
        <v>121</v>
      </c>
      <c r="H2428" t="s">
        <v>8645</v>
      </c>
      <c r="I2428" t="s">
        <v>7346</v>
      </c>
      <c r="J2428" t="s">
        <v>71</v>
      </c>
      <c r="K2428" s="2" t="str">
        <f>HYPERLINK("http://collections.slsa.sa.gov.au/arthur/02250/BRG347_2101.htm")</f>
        <v>http://collections.slsa.sa.gov.au/arthur/02250/BRG347_2101.htm</v>
      </c>
    </row>
    <row r="2429" spans="1:11" x14ac:dyDescent="0.25">
      <c r="A2429" t="s">
        <v>8646</v>
      </c>
      <c r="B2429" s="1" t="str">
        <f>HYPERLINK("https://www.catalog.slsa.sa.gov.au/record=b2111465")</f>
        <v>https://www.catalog.slsa.sa.gov.au/record=b2111465</v>
      </c>
      <c r="C2429" s="1" t="str">
        <f>HYPERLINK("https://www.catalog.slsa.sa.gov.au/xrecord=b2111465")</f>
        <v>https://www.catalog.slsa.sa.gov.au/xrecord=b2111465</v>
      </c>
      <c r="D2429" t="s">
        <v>66</v>
      </c>
      <c r="E2429" t="s">
        <v>8637</v>
      </c>
      <c r="F2429">
        <v>1958</v>
      </c>
      <c r="G2429" t="s">
        <v>121</v>
      </c>
      <c r="H2429" t="s">
        <v>8645</v>
      </c>
      <c r="I2429" t="s">
        <v>7346</v>
      </c>
      <c r="J2429" t="s">
        <v>71</v>
      </c>
      <c r="K2429" s="2" t="str">
        <f>HYPERLINK("http://collections.slsa.sa.gov.au/arthur/02250/BRG347_2102.htm")</f>
        <v>http://collections.slsa.sa.gov.au/arthur/02250/BRG347_2102.htm</v>
      </c>
    </row>
    <row r="2430" spans="1:11" x14ac:dyDescent="0.25">
      <c r="A2430" t="s">
        <v>8647</v>
      </c>
      <c r="B2430" s="1" t="str">
        <f>HYPERLINK("https://www.catalog.slsa.sa.gov.au/record=b2112101")</f>
        <v>https://www.catalog.slsa.sa.gov.au/record=b2112101</v>
      </c>
      <c r="C2430" s="1" t="str">
        <f>HYPERLINK("https://www.catalog.slsa.sa.gov.au/xrecord=b2112101")</f>
        <v>https://www.catalog.slsa.sa.gov.au/xrecord=b2112101</v>
      </c>
      <c r="D2430" t="s">
        <v>66</v>
      </c>
      <c r="E2430" t="s">
        <v>6467</v>
      </c>
      <c r="F2430">
        <v>1958</v>
      </c>
      <c r="G2430" t="s">
        <v>121</v>
      </c>
      <c r="H2430" t="s">
        <v>8648</v>
      </c>
      <c r="I2430" t="s">
        <v>7346</v>
      </c>
      <c r="J2430" t="s">
        <v>71</v>
      </c>
      <c r="K2430" s="2" t="str">
        <f>HYPERLINK("http://collections.slsa.sa.gov.au/arthur/02750/BRG347_2531.htm")</f>
        <v>http://collections.slsa.sa.gov.au/arthur/02750/BRG347_2531.htm</v>
      </c>
    </row>
    <row r="2431" spans="1:11" x14ac:dyDescent="0.25">
      <c r="A2431" t="s">
        <v>8649</v>
      </c>
      <c r="B2431" s="1" t="str">
        <f>HYPERLINK("https://www.catalog.slsa.sa.gov.au/record=b2112106")</f>
        <v>https://www.catalog.slsa.sa.gov.au/record=b2112106</v>
      </c>
      <c r="C2431" s="1" t="str">
        <f>HYPERLINK("https://www.catalog.slsa.sa.gov.au/xrecord=b2112106")</f>
        <v>https://www.catalog.slsa.sa.gov.au/xrecord=b2112106</v>
      </c>
      <c r="D2431" t="s">
        <v>66</v>
      </c>
      <c r="E2431" t="s">
        <v>7825</v>
      </c>
      <c r="F2431">
        <v>1958</v>
      </c>
      <c r="G2431" t="s">
        <v>121</v>
      </c>
      <c r="H2431" t="s">
        <v>8650</v>
      </c>
      <c r="I2431" t="s">
        <v>7346</v>
      </c>
      <c r="J2431" t="s">
        <v>71</v>
      </c>
      <c r="K2431" s="2" t="str">
        <f>HYPERLINK("http://collections.slsa.sa.gov.au/arthur/02750/BRG347_2536.htm")</f>
        <v>http://collections.slsa.sa.gov.au/arthur/02750/BRG347_2536.htm</v>
      </c>
    </row>
    <row r="2432" spans="1:11" x14ac:dyDescent="0.25">
      <c r="A2432" t="s">
        <v>8651</v>
      </c>
      <c r="B2432" s="1" t="str">
        <f>HYPERLINK("https://www.catalog.slsa.sa.gov.au/record=b2112124")</f>
        <v>https://www.catalog.slsa.sa.gov.au/record=b2112124</v>
      </c>
      <c r="C2432" s="1" t="str">
        <f>HYPERLINK("https://www.catalog.slsa.sa.gov.au/xrecord=b2112124")</f>
        <v>https://www.catalog.slsa.sa.gov.au/xrecord=b2112124</v>
      </c>
      <c r="D2432" t="s">
        <v>66</v>
      </c>
      <c r="E2432" t="s">
        <v>7825</v>
      </c>
      <c r="F2432">
        <v>1958</v>
      </c>
      <c r="G2432" t="s">
        <v>121</v>
      </c>
      <c r="H2432" t="s">
        <v>8652</v>
      </c>
      <c r="I2432" t="s">
        <v>7346</v>
      </c>
      <c r="J2432" t="s">
        <v>71</v>
      </c>
      <c r="K2432" s="2" t="str">
        <f>HYPERLINK("http://collections.slsa.sa.gov.au/arthur/02750/BRG347_2554.htm")</f>
        <v>http://collections.slsa.sa.gov.au/arthur/02750/BRG347_2554.htm</v>
      </c>
    </row>
    <row r="2433" spans="1:11" x14ac:dyDescent="0.25">
      <c r="A2433" t="s">
        <v>8653</v>
      </c>
      <c r="B2433" s="1" t="str">
        <f>HYPERLINK("https://www.catalog.slsa.sa.gov.au/record=b2112125")</f>
        <v>https://www.catalog.slsa.sa.gov.au/record=b2112125</v>
      </c>
      <c r="C2433" s="1" t="str">
        <f>HYPERLINK("https://www.catalog.slsa.sa.gov.au/xrecord=b2112125")</f>
        <v>https://www.catalog.slsa.sa.gov.au/xrecord=b2112125</v>
      </c>
      <c r="D2433" t="s">
        <v>66</v>
      </c>
      <c r="E2433" t="s">
        <v>6463</v>
      </c>
      <c r="F2433">
        <v>1958</v>
      </c>
      <c r="G2433" t="s">
        <v>121</v>
      </c>
      <c r="H2433" t="s">
        <v>8654</v>
      </c>
      <c r="I2433" t="s">
        <v>8655</v>
      </c>
      <c r="J2433" t="s">
        <v>71</v>
      </c>
      <c r="K2433" s="2" t="str">
        <f>HYPERLINK("http://collections.slsa.sa.gov.au/arthur/02750/BRG347_2555.htm")</f>
        <v>http://collections.slsa.sa.gov.au/arthur/02750/BRG347_2555.htm</v>
      </c>
    </row>
    <row r="2434" spans="1:11" x14ac:dyDescent="0.25">
      <c r="A2434" t="s">
        <v>8656</v>
      </c>
      <c r="B2434" s="1" t="str">
        <f>HYPERLINK("https://www.catalog.slsa.sa.gov.au/record=b2112130")</f>
        <v>https://www.catalog.slsa.sa.gov.au/record=b2112130</v>
      </c>
      <c r="C2434" s="1" t="str">
        <f>HYPERLINK("https://www.catalog.slsa.sa.gov.au/xrecord=b2112130")</f>
        <v>https://www.catalog.slsa.sa.gov.au/xrecord=b2112130</v>
      </c>
      <c r="D2434" t="s">
        <v>66</v>
      </c>
      <c r="E2434" t="s">
        <v>6467</v>
      </c>
      <c r="F2434">
        <v>1958</v>
      </c>
      <c r="G2434" t="s">
        <v>121</v>
      </c>
      <c r="H2434" t="s">
        <v>8657</v>
      </c>
      <c r="I2434" t="s">
        <v>6476</v>
      </c>
      <c r="J2434" t="s">
        <v>71</v>
      </c>
      <c r="K2434" s="2" t="str">
        <f>HYPERLINK("http://collections.slsa.sa.gov.au/arthur/02750/BRG347_2560.htm")</f>
        <v>http://collections.slsa.sa.gov.au/arthur/02750/BRG347_2560.htm</v>
      </c>
    </row>
    <row r="2435" spans="1:11" x14ac:dyDescent="0.25">
      <c r="A2435" t="s">
        <v>8658</v>
      </c>
      <c r="B2435" s="1" t="str">
        <f>HYPERLINK("https://www.catalog.slsa.sa.gov.au/record=b2112141")</f>
        <v>https://www.catalog.slsa.sa.gov.au/record=b2112141</v>
      </c>
      <c r="C2435" s="1" t="str">
        <f>HYPERLINK("https://www.catalog.slsa.sa.gov.au/xrecord=b2112141")</f>
        <v>https://www.catalog.slsa.sa.gov.au/xrecord=b2112141</v>
      </c>
      <c r="D2435" t="s">
        <v>66</v>
      </c>
      <c r="E2435" t="s">
        <v>8659</v>
      </c>
      <c r="F2435">
        <v>1958</v>
      </c>
      <c r="G2435" t="s">
        <v>121</v>
      </c>
      <c r="H2435" t="s">
        <v>8660</v>
      </c>
      <c r="I2435" t="s">
        <v>8661</v>
      </c>
      <c r="J2435" t="s">
        <v>71</v>
      </c>
      <c r="K2435" s="2" t="str">
        <f>HYPERLINK("http://collections.slsa.sa.gov.au/arthur/02750/BRG347_2571.htm")</f>
        <v>http://collections.slsa.sa.gov.au/arthur/02750/BRG347_2571.htm</v>
      </c>
    </row>
    <row r="2436" spans="1:11" x14ac:dyDescent="0.25">
      <c r="A2436" t="s">
        <v>8662</v>
      </c>
      <c r="B2436" s="1" t="str">
        <f>HYPERLINK("https://www.catalog.slsa.sa.gov.au/record=b2112142")</f>
        <v>https://www.catalog.slsa.sa.gov.au/record=b2112142</v>
      </c>
      <c r="C2436" s="1" t="str">
        <f>HYPERLINK("https://www.catalog.slsa.sa.gov.au/xrecord=b2112142")</f>
        <v>https://www.catalog.slsa.sa.gov.au/xrecord=b2112142</v>
      </c>
      <c r="D2436" t="s">
        <v>66</v>
      </c>
      <c r="E2436" t="s">
        <v>7841</v>
      </c>
      <c r="F2436">
        <v>1958</v>
      </c>
      <c r="G2436" t="s">
        <v>121</v>
      </c>
      <c r="H2436" t="s">
        <v>8663</v>
      </c>
      <c r="I2436" t="s">
        <v>4562</v>
      </c>
      <c r="J2436" t="s">
        <v>71</v>
      </c>
      <c r="K2436" s="2" t="str">
        <f>HYPERLINK("http://collections.slsa.sa.gov.au/arthur/02750/BRG347_2572.htm")</f>
        <v>http://collections.slsa.sa.gov.au/arthur/02750/BRG347_2572.htm</v>
      </c>
    </row>
    <row r="2437" spans="1:11" x14ac:dyDescent="0.25">
      <c r="A2437" t="s">
        <v>8664</v>
      </c>
      <c r="B2437" s="1" t="str">
        <f>HYPERLINK("https://www.catalog.slsa.sa.gov.au/record=b2112144")</f>
        <v>https://www.catalog.slsa.sa.gov.au/record=b2112144</v>
      </c>
      <c r="C2437" s="1" t="str">
        <f>HYPERLINK("https://www.catalog.slsa.sa.gov.au/xrecord=b2112144")</f>
        <v>https://www.catalog.slsa.sa.gov.au/xrecord=b2112144</v>
      </c>
      <c r="D2437" t="s">
        <v>66</v>
      </c>
      <c r="E2437" t="s">
        <v>8665</v>
      </c>
      <c r="F2437">
        <v>1958</v>
      </c>
      <c r="G2437" t="s">
        <v>121</v>
      </c>
      <c r="H2437" t="s">
        <v>8666</v>
      </c>
      <c r="I2437" t="s">
        <v>8667</v>
      </c>
      <c r="J2437" t="s">
        <v>71</v>
      </c>
      <c r="K2437" s="2" t="str">
        <f>HYPERLINK("http://collections.slsa.sa.gov.au/arthur/02750/BRG347_2574.htm")</f>
        <v>http://collections.slsa.sa.gov.au/arthur/02750/BRG347_2574.htm</v>
      </c>
    </row>
    <row r="2438" spans="1:11" x14ac:dyDescent="0.25">
      <c r="A2438" t="s">
        <v>8668</v>
      </c>
      <c r="B2438" s="1" t="str">
        <f>HYPERLINK("https://www.catalog.slsa.sa.gov.au/record=b2112145")</f>
        <v>https://www.catalog.slsa.sa.gov.au/record=b2112145</v>
      </c>
      <c r="C2438" s="1" t="str">
        <f>HYPERLINK("https://www.catalog.slsa.sa.gov.au/xrecord=b2112145")</f>
        <v>https://www.catalog.slsa.sa.gov.au/xrecord=b2112145</v>
      </c>
      <c r="D2438" t="s">
        <v>66</v>
      </c>
      <c r="E2438" t="s">
        <v>8669</v>
      </c>
      <c r="F2438">
        <v>1958</v>
      </c>
      <c r="G2438" t="s">
        <v>121</v>
      </c>
      <c r="H2438" t="s">
        <v>8670</v>
      </c>
      <c r="I2438" t="s">
        <v>8671</v>
      </c>
      <c r="J2438" t="s">
        <v>71</v>
      </c>
      <c r="K2438" s="2" t="str">
        <f>HYPERLINK("http://collections.slsa.sa.gov.au/arthur/02750/BRG347_2575.htm")</f>
        <v>http://collections.slsa.sa.gov.au/arthur/02750/BRG347_2575.htm</v>
      </c>
    </row>
    <row r="2439" spans="1:11" x14ac:dyDescent="0.25">
      <c r="A2439" t="s">
        <v>8672</v>
      </c>
      <c r="B2439" s="1" t="str">
        <f>HYPERLINK("https://www.catalog.slsa.sa.gov.au/record=b2112146")</f>
        <v>https://www.catalog.slsa.sa.gov.au/record=b2112146</v>
      </c>
      <c r="C2439" s="1" t="str">
        <f>HYPERLINK("https://www.catalog.slsa.sa.gov.au/xrecord=b2112146")</f>
        <v>https://www.catalog.slsa.sa.gov.au/xrecord=b2112146</v>
      </c>
      <c r="D2439" t="s">
        <v>66</v>
      </c>
      <c r="E2439" t="s">
        <v>8665</v>
      </c>
      <c r="F2439">
        <v>1958</v>
      </c>
      <c r="G2439" t="s">
        <v>121</v>
      </c>
      <c r="H2439" t="s">
        <v>8673</v>
      </c>
      <c r="I2439" t="s">
        <v>8667</v>
      </c>
      <c r="J2439" t="s">
        <v>71</v>
      </c>
      <c r="K2439" s="2" t="str">
        <f>HYPERLINK("http://collections.slsa.sa.gov.au/arthur/02750/BRG347_2576.htm")</f>
        <v>http://collections.slsa.sa.gov.au/arthur/02750/BRG347_2576.htm</v>
      </c>
    </row>
    <row r="2440" spans="1:11" x14ac:dyDescent="0.25">
      <c r="A2440" t="s">
        <v>8674</v>
      </c>
      <c r="B2440" s="1" t="str">
        <f>HYPERLINK("https://www.catalog.slsa.sa.gov.au/record=b2112147")</f>
        <v>https://www.catalog.slsa.sa.gov.au/record=b2112147</v>
      </c>
      <c r="C2440" s="1" t="str">
        <f>HYPERLINK("https://www.catalog.slsa.sa.gov.au/xrecord=b2112147")</f>
        <v>https://www.catalog.slsa.sa.gov.au/xrecord=b2112147</v>
      </c>
      <c r="D2440" t="s">
        <v>66</v>
      </c>
      <c r="E2440" t="s">
        <v>8665</v>
      </c>
      <c r="F2440">
        <v>1958</v>
      </c>
      <c r="G2440" t="s">
        <v>121</v>
      </c>
      <c r="H2440" t="s">
        <v>8675</v>
      </c>
      <c r="I2440" t="s">
        <v>8667</v>
      </c>
      <c r="J2440" t="s">
        <v>71</v>
      </c>
      <c r="K2440" s="2" t="str">
        <f>HYPERLINK("http://collections.slsa.sa.gov.au/arthur/02750/BRG347_2577.htm")</f>
        <v>http://collections.slsa.sa.gov.au/arthur/02750/BRG347_2577.htm</v>
      </c>
    </row>
    <row r="2441" spans="1:11" x14ac:dyDescent="0.25">
      <c r="A2441" t="s">
        <v>8676</v>
      </c>
      <c r="B2441" s="1" t="str">
        <f>HYPERLINK("https://www.catalog.slsa.sa.gov.au/record=b2112148")</f>
        <v>https://www.catalog.slsa.sa.gov.au/record=b2112148</v>
      </c>
      <c r="C2441" s="1" t="str">
        <f>HYPERLINK("https://www.catalog.slsa.sa.gov.au/xrecord=b2112148")</f>
        <v>https://www.catalog.slsa.sa.gov.au/xrecord=b2112148</v>
      </c>
      <c r="D2441" t="s">
        <v>66</v>
      </c>
      <c r="E2441" t="s">
        <v>7841</v>
      </c>
      <c r="F2441">
        <v>1958</v>
      </c>
      <c r="G2441" t="s">
        <v>121</v>
      </c>
      <c r="H2441" t="s">
        <v>8677</v>
      </c>
      <c r="I2441" t="s">
        <v>4562</v>
      </c>
      <c r="J2441" t="s">
        <v>71</v>
      </c>
      <c r="K2441" s="2" t="str">
        <f>HYPERLINK("http://collections.slsa.sa.gov.au/arthur/02750/BRG347_2578.htm")</f>
        <v>http://collections.slsa.sa.gov.au/arthur/02750/BRG347_2578.htm</v>
      </c>
    </row>
    <row r="2442" spans="1:11" x14ac:dyDescent="0.25">
      <c r="A2442" t="s">
        <v>8678</v>
      </c>
      <c r="B2442" s="1" t="str">
        <f>HYPERLINK("https://www.catalog.slsa.sa.gov.au/record=b2112149")</f>
        <v>https://www.catalog.slsa.sa.gov.au/record=b2112149</v>
      </c>
      <c r="C2442" s="1" t="str">
        <f>HYPERLINK("https://www.catalog.slsa.sa.gov.au/xrecord=b2112149")</f>
        <v>https://www.catalog.slsa.sa.gov.au/xrecord=b2112149</v>
      </c>
      <c r="D2442" t="s">
        <v>66</v>
      </c>
      <c r="E2442" t="s">
        <v>8669</v>
      </c>
      <c r="F2442">
        <v>1958</v>
      </c>
      <c r="G2442" t="s">
        <v>121</v>
      </c>
      <c r="H2442" t="s">
        <v>8679</v>
      </c>
      <c r="I2442" t="s">
        <v>8671</v>
      </c>
      <c r="J2442" t="s">
        <v>71</v>
      </c>
      <c r="K2442" s="2" t="str">
        <f>HYPERLINK("http://collections.slsa.sa.gov.au/arthur/02750/BRG347_2579.htm")</f>
        <v>http://collections.slsa.sa.gov.au/arthur/02750/BRG347_2579.htm</v>
      </c>
    </row>
    <row r="2443" spans="1:11" x14ac:dyDescent="0.25">
      <c r="A2443" t="s">
        <v>8680</v>
      </c>
      <c r="B2443" s="1" t="str">
        <f>HYPERLINK("https://www.catalog.slsa.sa.gov.au/record=b2112150")</f>
        <v>https://www.catalog.slsa.sa.gov.au/record=b2112150</v>
      </c>
      <c r="C2443" s="1" t="str">
        <f>HYPERLINK("https://www.catalog.slsa.sa.gov.au/xrecord=b2112150")</f>
        <v>https://www.catalog.slsa.sa.gov.au/xrecord=b2112150</v>
      </c>
      <c r="D2443" t="s">
        <v>66</v>
      </c>
      <c r="E2443" t="s">
        <v>8681</v>
      </c>
      <c r="F2443">
        <v>1958</v>
      </c>
      <c r="G2443" t="s">
        <v>121</v>
      </c>
      <c r="H2443" t="s">
        <v>8682</v>
      </c>
      <c r="I2443" t="s">
        <v>8683</v>
      </c>
      <c r="J2443" t="s">
        <v>71</v>
      </c>
      <c r="K2443" s="2" t="str">
        <f>HYPERLINK("http://collections.slsa.sa.gov.au/arthur/02750/BRG347_2580.htm")</f>
        <v>http://collections.slsa.sa.gov.au/arthur/02750/BRG347_2580.htm</v>
      </c>
    </row>
    <row r="2444" spans="1:11" x14ac:dyDescent="0.25">
      <c r="A2444" t="s">
        <v>8684</v>
      </c>
      <c r="B2444" s="1" t="str">
        <f>HYPERLINK("https://www.catalog.slsa.sa.gov.au/record=b2112151")</f>
        <v>https://www.catalog.slsa.sa.gov.au/record=b2112151</v>
      </c>
      <c r="C2444" s="1" t="str">
        <f>HYPERLINK("https://www.catalog.slsa.sa.gov.au/xrecord=b2112151")</f>
        <v>https://www.catalog.slsa.sa.gov.au/xrecord=b2112151</v>
      </c>
      <c r="D2444" t="s">
        <v>66</v>
      </c>
      <c r="E2444" t="s">
        <v>8681</v>
      </c>
      <c r="F2444">
        <v>1958</v>
      </c>
      <c r="G2444" t="s">
        <v>121</v>
      </c>
      <c r="H2444" t="s">
        <v>8685</v>
      </c>
      <c r="I2444" t="s">
        <v>8686</v>
      </c>
      <c r="J2444" t="s">
        <v>71</v>
      </c>
      <c r="K2444" s="2" t="str">
        <f>HYPERLINK("http://collections.slsa.sa.gov.au/arthur/02750/BRG347_2581.htm")</f>
        <v>http://collections.slsa.sa.gov.au/arthur/02750/BRG347_2581.htm</v>
      </c>
    </row>
    <row r="2445" spans="1:11" x14ac:dyDescent="0.25">
      <c r="A2445" t="s">
        <v>8687</v>
      </c>
      <c r="B2445" s="1" t="str">
        <f>HYPERLINK("https://www.catalog.slsa.sa.gov.au/record=b2112152")</f>
        <v>https://www.catalog.slsa.sa.gov.au/record=b2112152</v>
      </c>
      <c r="C2445" s="1" t="str">
        <f>HYPERLINK("https://www.catalog.slsa.sa.gov.au/xrecord=b2112152")</f>
        <v>https://www.catalog.slsa.sa.gov.au/xrecord=b2112152</v>
      </c>
      <c r="D2445" t="s">
        <v>66</v>
      </c>
      <c r="E2445" t="s">
        <v>8688</v>
      </c>
      <c r="F2445">
        <v>1958</v>
      </c>
      <c r="G2445" t="s">
        <v>121</v>
      </c>
      <c r="H2445" t="s">
        <v>8689</v>
      </c>
      <c r="I2445" t="s">
        <v>8690</v>
      </c>
      <c r="J2445" t="s">
        <v>71</v>
      </c>
      <c r="K2445" s="2" t="str">
        <f>HYPERLINK("http://collections.slsa.sa.gov.au/arthur/02750/BRG347_2582.htm")</f>
        <v>http://collections.slsa.sa.gov.au/arthur/02750/BRG347_2582.htm</v>
      </c>
    </row>
    <row r="2446" spans="1:11" x14ac:dyDescent="0.25">
      <c r="A2446" t="s">
        <v>8691</v>
      </c>
      <c r="B2446" s="1" t="str">
        <f>HYPERLINK("https://www.catalog.slsa.sa.gov.au/record=b2112153")</f>
        <v>https://www.catalog.slsa.sa.gov.au/record=b2112153</v>
      </c>
      <c r="C2446" s="1" t="str">
        <f>HYPERLINK("https://www.catalog.slsa.sa.gov.au/xrecord=b2112153")</f>
        <v>https://www.catalog.slsa.sa.gov.au/xrecord=b2112153</v>
      </c>
      <c r="D2446" t="s">
        <v>66</v>
      </c>
      <c r="E2446" t="s">
        <v>8692</v>
      </c>
      <c r="F2446">
        <v>1958</v>
      </c>
      <c r="G2446" t="s">
        <v>121</v>
      </c>
      <c r="H2446" t="s">
        <v>8693</v>
      </c>
      <c r="I2446" t="s">
        <v>8690</v>
      </c>
      <c r="J2446" t="s">
        <v>71</v>
      </c>
      <c r="K2446" s="2" t="str">
        <f>HYPERLINK("http://collections.slsa.sa.gov.au/arthur/02750/BRG347_2583.htm")</f>
        <v>http://collections.slsa.sa.gov.au/arthur/02750/BRG347_2583.htm</v>
      </c>
    </row>
    <row r="2447" spans="1:11" x14ac:dyDescent="0.25">
      <c r="A2447" t="s">
        <v>8694</v>
      </c>
      <c r="B2447" s="1" t="str">
        <f>HYPERLINK("https://www.catalog.slsa.sa.gov.au/record=b2112155")</f>
        <v>https://www.catalog.slsa.sa.gov.au/record=b2112155</v>
      </c>
      <c r="C2447" s="1" t="str">
        <f>HYPERLINK("https://www.catalog.slsa.sa.gov.au/xrecord=b2112155")</f>
        <v>https://www.catalog.slsa.sa.gov.au/xrecord=b2112155</v>
      </c>
      <c r="D2447" t="s">
        <v>66</v>
      </c>
      <c r="E2447" t="s">
        <v>8681</v>
      </c>
      <c r="F2447">
        <v>1958</v>
      </c>
      <c r="G2447" t="s">
        <v>121</v>
      </c>
      <c r="H2447" t="s">
        <v>8695</v>
      </c>
      <c r="I2447" t="s">
        <v>8686</v>
      </c>
      <c r="J2447" t="s">
        <v>71</v>
      </c>
      <c r="K2447" s="2" t="str">
        <f>HYPERLINK("http://collections.slsa.sa.gov.au/arthur/02750/BRG347_2586.htm")</f>
        <v>http://collections.slsa.sa.gov.au/arthur/02750/BRG347_2586.htm</v>
      </c>
    </row>
    <row r="2448" spans="1:11" x14ac:dyDescent="0.25">
      <c r="A2448" t="s">
        <v>8696</v>
      </c>
      <c r="B2448" s="1" t="str">
        <f>HYPERLINK("https://www.catalog.slsa.sa.gov.au/record=b2112164")</f>
        <v>https://www.catalog.slsa.sa.gov.au/record=b2112164</v>
      </c>
      <c r="C2448" s="1" t="str">
        <f>HYPERLINK("https://www.catalog.slsa.sa.gov.au/xrecord=b2112164")</f>
        <v>https://www.catalog.slsa.sa.gov.au/xrecord=b2112164</v>
      </c>
      <c r="D2448" t="s">
        <v>66</v>
      </c>
      <c r="E2448" t="s">
        <v>8669</v>
      </c>
      <c r="F2448">
        <v>1958</v>
      </c>
      <c r="G2448" t="s">
        <v>121</v>
      </c>
      <c r="H2448" t="s">
        <v>8697</v>
      </c>
      <c r="I2448" t="s">
        <v>8671</v>
      </c>
      <c r="J2448" t="s">
        <v>71</v>
      </c>
      <c r="K2448" s="2" t="str">
        <f>HYPERLINK("http://collections.slsa.sa.gov.au/arthur/02750/BRG347_2595.htm")</f>
        <v>http://collections.slsa.sa.gov.au/arthur/02750/BRG347_2595.htm</v>
      </c>
    </row>
    <row r="2449" spans="1:11" x14ac:dyDescent="0.25">
      <c r="A2449" t="s">
        <v>8698</v>
      </c>
      <c r="B2449" s="1" t="str">
        <f>HYPERLINK("https://www.catalog.slsa.sa.gov.au/record=b2112166")</f>
        <v>https://www.catalog.slsa.sa.gov.au/record=b2112166</v>
      </c>
      <c r="C2449" s="1" t="str">
        <f>HYPERLINK("https://www.catalog.slsa.sa.gov.au/xrecord=b2112166")</f>
        <v>https://www.catalog.slsa.sa.gov.au/xrecord=b2112166</v>
      </c>
      <c r="D2449" t="s">
        <v>66</v>
      </c>
      <c r="E2449" t="s">
        <v>8669</v>
      </c>
      <c r="F2449">
        <v>1958</v>
      </c>
      <c r="G2449" t="s">
        <v>121</v>
      </c>
      <c r="H2449" t="s">
        <v>8699</v>
      </c>
      <c r="I2449" t="s">
        <v>8671</v>
      </c>
      <c r="J2449" t="s">
        <v>71</v>
      </c>
      <c r="K2449" s="2" t="str">
        <f>HYPERLINK("http://collections.slsa.sa.gov.au/arthur/02750/BRG347_2598.htm")</f>
        <v>http://collections.slsa.sa.gov.au/arthur/02750/BRG347_2598.htm</v>
      </c>
    </row>
    <row r="2450" spans="1:11" x14ac:dyDescent="0.25">
      <c r="A2450" t="s">
        <v>8700</v>
      </c>
      <c r="B2450" s="1" t="str">
        <f>HYPERLINK("https://www.catalog.slsa.sa.gov.au/record=b2112201")</f>
        <v>https://www.catalog.slsa.sa.gov.au/record=b2112201</v>
      </c>
      <c r="C2450" s="1" t="str">
        <f>HYPERLINK("https://www.catalog.slsa.sa.gov.au/xrecord=b2112201")</f>
        <v>https://www.catalog.slsa.sa.gov.au/xrecord=b2112201</v>
      </c>
      <c r="D2450" t="s">
        <v>66</v>
      </c>
      <c r="E2450" t="s">
        <v>6408</v>
      </c>
      <c r="F2450">
        <v>1958</v>
      </c>
      <c r="G2450" t="s">
        <v>121</v>
      </c>
      <c r="H2450" t="s">
        <v>8701</v>
      </c>
      <c r="I2450" t="s">
        <v>6410</v>
      </c>
      <c r="J2450" t="s">
        <v>71</v>
      </c>
      <c r="K2450" s="2" t="str">
        <f>HYPERLINK("http://collections.slsa.sa.gov.au/arthur/02750/BRG347_2633.htm")</f>
        <v>http://collections.slsa.sa.gov.au/arthur/02750/BRG347_2633.htm</v>
      </c>
    </row>
    <row r="2451" spans="1:11" x14ac:dyDescent="0.25">
      <c r="A2451" t="s">
        <v>8702</v>
      </c>
      <c r="B2451" s="1" t="str">
        <f>HYPERLINK("https://www.catalog.slsa.sa.gov.au/record=b2112202")</f>
        <v>https://www.catalog.slsa.sa.gov.au/record=b2112202</v>
      </c>
      <c r="C2451" s="1" t="str">
        <f>HYPERLINK("https://www.catalog.slsa.sa.gov.au/xrecord=b2112202")</f>
        <v>https://www.catalog.slsa.sa.gov.au/xrecord=b2112202</v>
      </c>
      <c r="D2451" t="s">
        <v>66</v>
      </c>
      <c r="E2451" t="s">
        <v>8703</v>
      </c>
      <c r="F2451">
        <v>1958</v>
      </c>
      <c r="G2451" t="s">
        <v>121</v>
      </c>
      <c r="H2451" t="s">
        <v>8704</v>
      </c>
      <c r="I2451" t="s">
        <v>8705</v>
      </c>
      <c r="J2451" t="s">
        <v>71</v>
      </c>
      <c r="K2451" s="2" t="str">
        <f>HYPERLINK("http://collections.slsa.sa.gov.au/arthur/02750/BRG347_2634.htm")</f>
        <v>http://collections.slsa.sa.gov.au/arthur/02750/BRG347_2634.htm</v>
      </c>
    </row>
    <row r="2452" spans="1:11" x14ac:dyDescent="0.25">
      <c r="A2452" t="s">
        <v>8706</v>
      </c>
      <c r="B2452" s="1" t="str">
        <f>HYPERLINK("https://www.catalog.slsa.sa.gov.au/record=b2112203")</f>
        <v>https://www.catalog.slsa.sa.gov.au/record=b2112203</v>
      </c>
      <c r="C2452" s="1" t="str">
        <f>HYPERLINK("https://www.catalog.slsa.sa.gov.au/xrecord=b2112203")</f>
        <v>https://www.catalog.slsa.sa.gov.au/xrecord=b2112203</v>
      </c>
      <c r="D2452" t="s">
        <v>66</v>
      </c>
      <c r="E2452" t="s">
        <v>8707</v>
      </c>
      <c r="F2452">
        <v>1958</v>
      </c>
      <c r="G2452" t="s">
        <v>121</v>
      </c>
      <c r="H2452" t="s">
        <v>8708</v>
      </c>
      <c r="I2452" t="s">
        <v>6410</v>
      </c>
      <c r="J2452" t="s">
        <v>71</v>
      </c>
      <c r="K2452" s="2" t="str">
        <f>HYPERLINK("http://collections.slsa.sa.gov.au/arthur/02750/BRG347_2635.htm")</f>
        <v>http://collections.slsa.sa.gov.au/arthur/02750/BRG347_2635.htm</v>
      </c>
    </row>
    <row r="2453" spans="1:11" x14ac:dyDescent="0.25">
      <c r="A2453" t="s">
        <v>8709</v>
      </c>
      <c r="B2453" s="1" t="str">
        <f>HYPERLINK("https://www.catalog.slsa.sa.gov.au/record=b2112245")</f>
        <v>https://www.catalog.slsa.sa.gov.au/record=b2112245</v>
      </c>
      <c r="C2453" s="1" t="str">
        <f>HYPERLINK("https://www.catalog.slsa.sa.gov.au/xrecord=b2112245")</f>
        <v>https://www.catalog.slsa.sa.gov.au/xrecord=b2112245</v>
      </c>
      <c r="D2453" t="s">
        <v>66</v>
      </c>
      <c r="E2453" t="s">
        <v>8710</v>
      </c>
      <c r="F2453">
        <v>1958</v>
      </c>
      <c r="G2453" t="s">
        <v>121</v>
      </c>
      <c r="H2453" t="s">
        <v>8711</v>
      </c>
      <c r="I2453" t="s">
        <v>8712</v>
      </c>
      <c r="J2453" t="s">
        <v>71</v>
      </c>
      <c r="K2453" s="2" t="str">
        <f>HYPERLINK("http://collections.slsa.sa.gov.au/arthur/02750/BRG347_2679.htm")</f>
        <v>http://collections.slsa.sa.gov.au/arthur/02750/BRG347_2679.htm</v>
      </c>
    </row>
    <row r="2454" spans="1:11" x14ac:dyDescent="0.25">
      <c r="A2454" t="s">
        <v>8713</v>
      </c>
      <c r="B2454" s="1" t="str">
        <f>HYPERLINK("https://www.catalog.slsa.sa.gov.au/record=b2112247")</f>
        <v>https://www.catalog.slsa.sa.gov.au/record=b2112247</v>
      </c>
      <c r="C2454" s="1" t="str">
        <f>HYPERLINK("https://www.catalog.slsa.sa.gov.au/xrecord=b2112247")</f>
        <v>https://www.catalog.slsa.sa.gov.au/xrecord=b2112247</v>
      </c>
      <c r="D2454" t="s">
        <v>66</v>
      </c>
      <c r="E2454" t="s">
        <v>8714</v>
      </c>
      <c r="F2454">
        <v>1958</v>
      </c>
      <c r="G2454" t="s">
        <v>121</v>
      </c>
      <c r="H2454" t="s">
        <v>8715</v>
      </c>
      <c r="I2454" t="s">
        <v>8712</v>
      </c>
      <c r="J2454" t="s">
        <v>71</v>
      </c>
      <c r="K2454" s="2" t="str">
        <f>HYPERLINK("http://collections.slsa.sa.gov.au/arthur/02750/BRG347_2681.htm")</f>
        <v>http://collections.slsa.sa.gov.au/arthur/02750/BRG347_2681.htm</v>
      </c>
    </row>
    <row r="2455" spans="1:11" x14ac:dyDescent="0.25">
      <c r="A2455" t="s">
        <v>8716</v>
      </c>
      <c r="B2455" s="1" t="str">
        <f>HYPERLINK("https://www.catalog.slsa.sa.gov.au/record=b2112248")</f>
        <v>https://www.catalog.slsa.sa.gov.au/record=b2112248</v>
      </c>
      <c r="C2455" s="1" t="str">
        <f>HYPERLINK("https://www.catalog.slsa.sa.gov.au/xrecord=b2112248")</f>
        <v>https://www.catalog.slsa.sa.gov.au/xrecord=b2112248</v>
      </c>
      <c r="D2455" t="s">
        <v>66</v>
      </c>
      <c r="E2455" t="s">
        <v>8717</v>
      </c>
      <c r="F2455">
        <v>1958</v>
      </c>
      <c r="G2455" t="s">
        <v>121</v>
      </c>
      <c r="H2455" t="s">
        <v>8718</v>
      </c>
      <c r="I2455" t="s">
        <v>7846</v>
      </c>
      <c r="J2455" t="s">
        <v>71</v>
      </c>
      <c r="K2455" s="2" t="str">
        <f>HYPERLINK("http://collections.slsa.sa.gov.au/arthur/02750/BRG347_2682.htm")</f>
        <v>http://collections.slsa.sa.gov.au/arthur/02750/BRG347_2682.htm</v>
      </c>
    </row>
    <row r="2456" spans="1:11" x14ac:dyDescent="0.25">
      <c r="A2456" t="s">
        <v>8719</v>
      </c>
      <c r="B2456" s="1" t="str">
        <f>HYPERLINK("https://www.catalog.slsa.sa.gov.au/record=b2112253")</f>
        <v>https://www.catalog.slsa.sa.gov.au/record=b2112253</v>
      </c>
      <c r="C2456" s="1" t="str">
        <f>HYPERLINK("https://www.catalog.slsa.sa.gov.au/xrecord=b2112253")</f>
        <v>https://www.catalog.slsa.sa.gov.au/xrecord=b2112253</v>
      </c>
      <c r="D2456" t="s">
        <v>66</v>
      </c>
      <c r="E2456" t="s">
        <v>8720</v>
      </c>
      <c r="F2456">
        <v>1958</v>
      </c>
      <c r="G2456" t="s">
        <v>121</v>
      </c>
      <c r="H2456" t="s">
        <v>8721</v>
      </c>
      <c r="I2456" t="s">
        <v>8722</v>
      </c>
      <c r="J2456" t="s">
        <v>71</v>
      </c>
      <c r="K2456" s="2" t="str">
        <f>HYPERLINK("http://collections.slsa.sa.gov.au/arthur/02750/BRG347_2687.htm")</f>
        <v>http://collections.slsa.sa.gov.au/arthur/02750/BRG347_2687.htm</v>
      </c>
    </row>
    <row r="2457" spans="1:11" x14ac:dyDescent="0.25">
      <c r="A2457" t="s">
        <v>8723</v>
      </c>
      <c r="B2457" s="1" t="str">
        <f>HYPERLINK("https://www.catalog.slsa.sa.gov.au/record=b2112817")</f>
        <v>https://www.catalog.slsa.sa.gov.au/record=b2112817</v>
      </c>
      <c r="C2457" s="1" t="str">
        <f>HYPERLINK("https://www.catalog.slsa.sa.gov.au/xrecord=b2112817")</f>
        <v>https://www.catalog.slsa.sa.gov.au/xrecord=b2112817</v>
      </c>
      <c r="D2457" t="s">
        <v>66</v>
      </c>
      <c r="E2457" t="s">
        <v>8724</v>
      </c>
      <c r="F2457">
        <v>1958</v>
      </c>
      <c r="G2457" t="s">
        <v>121</v>
      </c>
      <c r="H2457" t="s">
        <v>8725</v>
      </c>
      <c r="I2457" t="s">
        <v>8726</v>
      </c>
      <c r="J2457" t="s">
        <v>71</v>
      </c>
      <c r="K2457" s="2" t="str">
        <f>HYPERLINK("http://collections.slsa.sa.gov.au/arthur/03250/BRG347_3053.htm")</f>
        <v>http://collections.slsa.sa.gov.au/arthur/03250/BRG347_3053.htm</v>
      </c>
    </row>
    <row r="2458" spans="1:11" x14ac:dyDescent="0.25">
      <c r="A2458" t="s">
        <v>8727</v>
      </c>
      <c r="B2458" s="1" t="str">
        <f>HYPERLINK("https://www.catalog.slsa.sa.gov.au/record=b2112824")</f>
        <v>https://www.catalog.slsa.sa.gov.au/record=b2112824</v>
      </c>
      <c r="C2458" s="1" t="str">
        <f>HYPERLINK("https://www.catalog.slsa.sa.gov.au/xrecord=b2112824")</f>
        <v>https://www.catalog.slsa.sa.gov.au/xrecord=b2112824</v>
      </c>
      <c r="D2458" t="s">
        <v>66</v>
      </c>
      <c r="E2458" t="s">
        <v>8728</v>
      </c>
      <c r="F2458">
        <v>1958</v>
      </c>
      <c r="G2458" t="s">
        <v>121</v>
      </c>
      <c r="H2458" t="s">
        <v>8729</v>
      </c>
      <c r="I2458" t="s">
        <v>8730</v>
      </c>
      <c r="J2458" t="s">
        <v>71</v>
      </c>
      <c r="K2458" s="2" t="str">
        <f>HYPERLINK("http://collections.slsa.sa.gov.au/arthur/03250/BRG347_3060.htm")</f>
        <v>http://collections.slsa.sa.gov.au/arthur/03250/BRG347_3060.htm</v>
      </c>
    </row>
    <row r="2459" spans="1:11" x14ac:dyDescent="0.25">
      <c r="A2459" t="s">
        <v>8731</v>
      </c>
      <c r="B2459" s="1" t="str">
        <f>HYPERLINK("https://www.catalog.slsa.sa.gov.au/record=b2112826")</f>
        <v>https://www.catalog.slsa.sa.gov.au/record=b2112826</v>
      </c>
      <c r="C2459" s="1" t="str">
        <f>HYPERLINK("https://www.catalog.slsa.sa.gov.au/xrecord=b2112826")</f>
        <v>https://www.catalog.slsa.sa.gov.au/xrecord=b2112826</v>
      </c>
      <c r="D2459" t="s">
        <v>66</v>
      </c>
      <c r="E2459" t="s">
        <v>8732</v>
      </c>
      <c r="F2459">
        <v>1958</v>
      </c>
      <c r="G2459" t="s">
        <v>121</v>
      </c>
      <c r="H2459" t="s">
        <v>8733</v>
      </c>
      <c r="I2459" t="s">
        <v>8734</v>
      </c>
      <c r="J2459" t="s">
        <v>71</v>
      </c>
      <c r="K2459" s="2" t="str">
        <f>HYPERLINK("http://collections.slsa.sa.gov.au/arthur/03250/BRG347_3062.htm")</f>
        <v>http://collections.slsa.sa.gov.au/arthur/03250/BRG347_3062.htm</v>
      </c>
    </row>
    <row r="2460" spans="1:11" x14ac:dyDescent="0.25">
      <c r="A2460" t="s">
        <v>8735</v>
      </c>
      <c r="B2460" s="1" t="str">
        <f>HYPERLINK("https://www.catalog.slsa.sa.gov.au/record=b2112862")</f>
        <v>https://www.catalog.slsa.sa.gov.au/record=b2112862</v>
      </c>
      <c r="C2460" s="1" t="str">
        <f>HYPERLINK("https://www.catalog.slsa.sa.gov.au/xrecord=b2112862")</f>
        <v>https://www.catalog.slsa.sa.gov.au/xrecord=b2112862</v>
      </c>
      <c r="D2460" t="s">
        <v>66</v>
      </c>
      <c r="E2460" t="s">
        <v>8736</v>
      </c>
      <c r="F2460">
        <v>1958</v>
      </c>
      <c r="G2460" t="s">
        <v>121</v>
      </c>
      <c r="H2460" t="s">
        <v>8737</v>
      </c>
      <c r="I2460" t="s">
        <v>8738</v>
      </c>
      <c r="J2460" t="s">
        <v>71</v>
      </c>
      <c r="K2460" s="2" t="str">
        <f>HYPERLINK("http://collections.slsa.sa.gov.au/arthur/03250/BRG347_3099.htm")</f>
        <v>http://collections.slsa.sa.gov.au/arthur/03250/BRG347_3099.htm</v>
      </c>
    </row>
    <row r="2461" spans="1:11" x14ac:dyDescent="0.25">
      <c r="A2461" t="s">
        <v>8739</v>
      </c>
      <c r="B2461" s="1" t="str">
        <f>HYPERLINK("https://www.catalog.slsa.sa.gov.au/record=b2112863")</f>
        <v>https://www.catalog.slsa.sa.gov.au/record=b2112863</v>
      </c>
      <c r="C2461" s="1" t="str">
        <f>HYPERLINK("https://www.catalog.slsa.sa.gov.au/xrecord=b2112863")</f>
        <v>https://www.catalog.slsa.sa.gov.au/xrecord=b2112863</v>
      </c>
      <c r="D2461" t="s">
        <v>66</v>
      </c>
      <c r="E2461" t="s">
        <v>8740</v>
      </c>
      <c r="F2461">
        <v>1958</v>
      </c>
      <c r="G2461" t="s">
        <v>121</v>
      </c>
      <c r="H2461" t="s">
        <v>8741</v>
      </c>
      <c r="I2461" t="s">
        <v>8742</v>
      </c>
      <c r="J2461" t="s">
        <v>71</v>
      </c>
      <c r="K2461" s="2" t="str">
        <f>HYPERLINK("http://collections.slsa.sa.gov.au/arthur/03250/BRG347_3100.htm")</f>
        <v>http://collections.slsa.sa.gov.au/arthur/03250/BRG347_3100.htm</v>
      </c>
    </row>
    <row r="2462" spans="1:11" x14ac:dyDescent="0.25">
      <c r="A2462" t="s">
        <v>8743</v>
      </c>
      <c r="B2462" s="1" t="str">
        <f>HYPERLINK("https://www.catalog.slsa.sa.gov.au/record=b2114074")</f>
        <v>https://www.catalog.slsa.sa.gov.au/record=b2114074</v>
      </c>
      <c r="C2462" s="1" t="str">
        <f>HYPERLINK("https://www.catalog.slsa.sa.gov.au/xrecord=b2114074")</f>
        <v>https://www.catalog.slsa.sa.gov.au/xrecord=b2114074</v>
      </c>
      <c r="D2462" t="s">
        <v>66</v>
      </c>
      <c r="E2462" t="s">
        <v>8744</v>
      </c>
      <c r="F2462">
        <v>1958</v>
      </c>
      <c r="G2462" t="s">
        <v>121</v>
      </c>
      <c r="H2462" t="s">
        <v>8745</v>
      </c>
      <c r="I2462" t="s">
        <v>8746</v>
      </c>
      <c r="J2462" t="s">
        <v>71</v>
      </c>
      <c r="K2462" s="2" t="str">
        <f>HYPERLINK("http://collections.slsa.sa.gov.au/arthur/04000/BRG347_3908.htm")</f>
        <v>http://collections.slsa.sa.gov.au/arthur/04000/BRG347_3908.htm</v>
      </c>
    </row>
    <row r="2463" spans="1:11" x14ac:dyDescent="0.25">
      <c r="A2463" t="s">
        <v>8747</v>
      </c>
      <c r="B2463" s="1" t="str">
        <f>HYPERLINK("https://www.catalog.slsa.sa.gov.au/record=b2114079")</f>
        <v>https://www.catalog.slsa.sa.gov.au/record=b2114079</v>
      </c>
      <c r="C2463" s="1" t="str">
        <f>HYPERLINK("https://www.catalog.slsa.sa.gov.au/xrecord=b2114079")</f>
        <v>https://www.catalog.slsa.sa.gov.au/xrecord=b2114079</v>
      </c>
      <c r="D2463" t="s">
        <v>66</v>
      </c>
      <c r="E2463" t="s">
        <v>8748</v>
      </c>
      <c r="F2463">
        <v>1958</v>
      </c>
      <c r="G2463" t="s">
        <v>121</v>
      </c>
      <c r="H2463" t="s">
        <v>8749</v>
      </c>
      <c r="I2463" t="s">
        <v>8750</v>
      </c>
      <c r="J2463" t="s">
        <v>71</v>
      </c>
      <c r="K2463" s="2" t="str">
        <f>HYPERLINK("http://collections.slsa.sa.gov.au/arthur/04000/BRG347_3913.htm")</f>
        <v>http://collections.slsa.sa.gov.au/arthur/04000/BRG347_3913.htm</v>
      </c>
    </row>
    <row r="2464" spans="1:11" x14ac:dyDescent="0.25">
      <c r="A2464" t="s">
        <v>8751</v>
      </c>
      <c r="B2464" s="1" t="str">
        <f>HYPERLINK("https://www.catalog.slsa.sa.gov.au/record=b2114080")</f>
        <v>https://www.catalog.slsa.sa.gov.au/record=b2114080</v>
      </c>
      <c r="C2464" s="1" t="str">
        <f>HYPERLINK("https://www.catalog.slsa.sa.gov.au/xrecord=b2114080")</f>
        <v>https://www.catalog.slsa.sa.gov.au/xrecord=b2114080</v>
      </c>
      <c r="D2464" t="s">
        <v>66</v>
      </c>
      <c r="E2464" t="s">
        <v>8752</v>
      </c>
      <c r="F2464">
        <v>1958</v>
      </c>
      <c r="G2464" t="s">
        <v>121</v>
      </c>
      <c r="H2464" t="s">
        <v>8753</v>
      </c>
      <c r="I2464" t="s">
        <v>8754</v>
      </c>
      <c r="J2464" t="s">
        <v>71</v>
      </c>
      <c r="K2464" s="2" t="str">
        <f>HYPERLINK("http://collections.slsa.sa.gov.au/arthur/04000/BRG347_3914.htm")</f>
        <v>http://collections.slsa.sa.gov.au/arthur/04000/BRG347_3914.htm</v>
      </c>
    </row>
    <row r="2465" spans="1:11" x14ac:dyDescent="0.25">
      <c r="A2465" t="s">
        <v>8755</v>
      </c>
      <c r="B2465" s="1" t="str">
        <f>HYPERLINK("https://www.catalog.slsa.sa.gov.au/record=b2117818")</f>
        <v>https://www.catalog.slsa.sa.gov.au/record=b2117818</v>
      </c>
      <c r="C2465" s="1" t="str">
        <f>HYPERLINK("https://www.catalog.slsa.sa.gov.au/xrecord=b2117818")</f>
        <v>https://www.catalog.slsa.sa.gov.au/xrecord=b2117818</v>
      </c>
      <c r="D2465" t="s">
        <v>66</v>
      </c>
      <c r="E2465" t="s">
        <v>8756</v>
      </c>
      <c r="F2465">
        <v>1958</v>
      </c>
      <c r="G2465" t="s">
        <v>121</v>
      </c>
      <c r="H2465" t="s">
        <v>8757</v>
      </c>
      <c r="I2465" t="s">
        <v>8758</v>
      </c>
      <c r="J2465" t="s">
        <v>71</v>
      </c>
      <c r="K2465" s="2" t="str">
        <f>HYPERLINK("http://collections.slsa.sa.gov.au/arthur/04000/BRG347_3915.htm")</f>
        <v>http://collections.slsa.sa.gov.au/arthur/04000/BRG347_3915.htm</v>
      </c>
    </row>
    <row r="2466" spans="1:11" x14ac:dyDescent="0.25">
      <c r="A2466" t="s">
        <v>8759</v>
      </c>
      <c r="B2466" s="1" t="str">
        <f>HYPERLINK("https://www.catalog.slsa.sa.gov.au/record=b2114081")</f>
        <v>https://www.catalog.slsa.sa.gov.au/record=b2114081</v>
      </c>
      <c r="C2466" s="1" t="str">
        <f>HYPERLINK("https://www.catalog.slsa.sa.gov.au/xrecord=b2114081")</f>
        <v>https://www.catalog.slsa.sa.gov.au/xrecord=b2114081</v>
      </c>
      <c r="D2466" t="s">
        <v>66</v>
      </c>
      <c r="E2466" t="s">
        <v>8760</v>
      </c>
      <c r="F2466">
        <v>1958</v>
      </c>
      <c r="G2466" t="s">
        <v>121</v>
      </c>
      <c r="H2466" t="s">
        <v>8761</v>
      </c>
      <c r="I2466" t="s">
        <v>8762</v>
      </c>
      <c r="J2466" t="s">
        <v>71</v>
      </c>
      <c r="K2466" s="2" t="str">
        <f>HYPERLINK("http://collections.slsa.sa.gov.au/arthur/04000/BRG347_3916.htm")</f>
        <v>http://collections.slsa.sa.gov.au/arthur/04000/BRG347_3916.htm</v>
      </c>
    </row>
    <row r="2467" spans="1:11" x14ac:dyDescent="0.25">
      <c r="A2467" t="s">
        <v>8763</v>
      </c>
      <c r="B2467" s="1" t="str">
        <f>HYPERLINK("https://www.catalog.slsa.sa.gov.au/record=b2114087")</f>
        <v>https://www.catalog.slsa.sa.gov.au/record=b2114087</v>
      </c>
      <c r="C2467" s="1" t="str">
        <f>HYPERLINK("https://www.catalog.slsa.sa.gov.au/xrecord=b2114087")</f>
        <v>https://www.catalog.slsa.sa.gov.au/xrecord=b2114087</v>
      </c>
      <c r="D2467" t="s">
        <v>66</v>
      </c>
      <c r="E2467" t="s">
        <v>8764</v>
      </c>
      <c r="F2467">
        <v>1958</v>
      </c>
      <c r="G2467" t="s">
        <v>121</v>
      </c>
      <c r="H2467" t="s">
        <v>8765</v>
      </c>
      <c r="I2467" t="s">
        <v>8766</v>
      </c>
      <c r="J2467" t="s">
        <v>71</v>
      </c>
      <c r="K2467" s="2" t="str">
        <f>HYPERLINK("http://collections.slsa.sa.gov.au/arthur/04000/BRG347_3922.htm")</f>
        <v>http://collections.slsa.sa.gov.au/arthur/04000/BRG347_3922.htm</v>
      </c>
    </row>
    <row r="2468" spans="1:11" x14ac:dyDescent="0.25">
      <c r="A2468" t="s">
        <v>8767</v>
      </c>
      <c r="B2468" s="1" t="str">
        <f>HYPERLINK("https://www.catalog.slsa.sa.gov.au/record=b2114118")</f>
        <v>https://www.catalog.slsa.sa.gov.au/record=b2114118</v>
      </c>
      <c r="C2468" s="1" t="str">
        <f>HYPERLINK("https://www.catalog.slsa.sa.gov.au/xrecord=b2114118")</f>
        <v>https://www.catalog.slsa.sa.gov.au/xrecord=b2114118</v>
      </c>
      <c r="D2468" t="s">
        <v>66</v>
      </c>
      <c r="E2468" t="s">
        <v>8768</v>
      </c>
      <c r="F2468">
        <v>1958</v>
      </c>
      <c r="G2468" t="s">
        <v>121</v>
      </c>
      <c r="H2468" t="s">
        <v>8769</v>
      </c>
      <c r="I2468" t="s">
        <v>8770</v>
      </c>
      <c r="J2468" t="s">
        <v>71</v>
      </c>
      <c r="K2468" s="2" t="str">
        <f>HYPERLINK("http://collections.slsa.sa.gov.au/arthur/04000/BRG347_3945.htm")</f>
        <v>http://collections.slsa.sa.gov.au/arthur/04000/BRG347_3945.htm</v>
      </c>
    </row>
    <row r="2469" spans="1:11" x14ac:dyDescent="0.25">
      <c r="A2469" t="s">
        <v>8771</v>
      </c>
      <c r="B2469" s="1" t="str">
        <f>HYPERLINK("https://www.catalog.slsa.sa.gov.au/record=b2114119")</f>
        <v>https://www.catalog.slsa.sa.gov.au/record=b2114119</v>
      </c>
      <c r="C2469" s="1" t="str">
        <f>HYPERLINK("https://www.catalog.slsa.sa.gov.au/xrecord=b2114119")</f>
        <v>https://www.catalog.slsa.sa.gov.au/xrecord=b2114119</v>
      </c>
      <c r="D2469" t="s">
        <v>66</v>
      </c>
      <c r="E2469" t="s">
        <v>8772</v>
      </c>
      <c r="F2469">
        <v>1958</v>
      </c>
      <c r="G2469" t="s">
        <v>121</v>
      </c>
      <c r="H2469" t="s">
        <v>8773</v>
      </c>
      <c r="I2469" t="s">
        <v>8774</v>
      </c>
      <c r="J2469" t="s">
        <v>71</v>
      </c>
      <c r="K2469" s="2" t="str">
        <f>HYPERLINK("http://collections.slsa.sa.gov.au/arthur/04000/BRG347_3946.htm")</f>
        <v>http://collections.slsa.sa.gov.au/arthur/04000/BRG347_3946.htm</v>
      </c>
    </row>
    <row r="2470" spans="1:11" x14ac:dyDescent="0.25">
      <c r="A2470" t="s">
        <v>8775</v>
      </c>
      <c r="B2470" s="1" t="str">
        <f>HYPERLINK("https://www.catalog.slsa.sa.gov.au/record=b2117823")</f>
        <v>https://www.catalog.slsa.sa.gov.au/record=b2117823</v>
      </c>
      <c r="C2470" s="1" t="str">
        <f>HYPERLINK("https://www.catalog.slsa.sa.gov.au/xrecord=b2117823")</f>
        <v>https://www.catalog.slsa.sa.gov.au/xrecord=b2117823</v>
      </c>
      <c r="D2470" t="s">
        <v>66</v>
      </c>
      <c r="E2470" t="s">
        <v>8776</v>
      </c>
      <c r="F2470">
        <v>1958</v>
      </c>
      <c r="G2470" t="s">
        <v>121</v>
      </c>
      <c r="H2470" t="s">
        <v>8777</v>
      </c>
      <c r="I2470" t="s">
        <v>8778</v>
      </c>
      <c r="J2470" t="s">
        <v>71</v>
      </c>
      <c r="K2470" s="2" t="str">
        <f>HYPERLINK("http://collections.slsa.sa.gov.au/arthur/04000/BRG347_3947.htm")</f>
        <v>http://collections.slsa.sa.gov.au/arthur/04000/BRG347_3947.htm</v>
      </c>
    </row>
    <row r="2471" spans="1:11" x14ac:dyDescent="0.25">
      <c r="A2471" t="s">
        <v>8779</v>
      </c>
      <c r="B2471" s="1" t="str">
        <f>HYPERLINK("https://www.catalog.slsa.sa.gov.au/record=b2114120")</f>
        <v>https://www.catalog.slsa.sa.gov.au/record=b2114120</v>
      </c>
      <c r="C2471" s="1" t="str">
        <f>HYPERLINK("https://www.catalog.slsa.sa.gov.au/xrecord=b2114120")</f>
        <v>https://www.catalog.slsa.sa.gov.au/xrecord=b2114120</v>
      </c>
      <c r="D2471" t="s">
        <v>66</v>
      </c>
      <c r="E2471" t="s">
        <v>8780</v>
      </c>
      <c r="F2471">
        <v>1958</v>
      </c>
      <c r="G2471" t="s">
        <v>121</v>
      </c>
      <c r="H2471" t="s">
        <v>8781</v>
      </c>
      <c r="I2471" t="s">
        <v>8782</v>
      </c>
      <c r="J2471" t="s">
        <v>71</v>
      </c>
      <c r="K2471" s="2" t="str">
        <f>HYPERLINK("http://collections.slsa.sa.gov.au/arthur/04000/BRG347_3948.htm")</f>
        <v>http://collections.slsa.sa.gov.au/arthur/04000/BRG347_3948.htm</v>
      </c>
    </row>
    <row r="2472" spans="1:11" x14ac:dyDescent="0.25">
      <c r="A2472" t="s">
        <v>8783</v>
      </c>
      <c r="B2472" s="1" t="str">
        <f>HYPERLINK("https://www.catalog.slsa.sa.gov.au/record=b2114121")</f>
        <v>https://www.catalog.slsa.sa.gov.au/record=b2114121</v>
      </c>
      <c r="C2472" s="1" t="str">
        <f>HYPERLINK("https://www.catalog.slsa.sa.gov.au/xrecord=b2114121")</f>
        <v>https://www.catalog.slsa.sa.gov.au/xrecord=b2114121</v>
      </c>
      <c r="D2472" t="s">
        <v>66</v>
      </c>
      <c r="E2472" t="s">
        <v>8784</v>
      </c>
      <c r="F2472">
        <v>1958</v>
      </c>
      <c r="G2472" t="s">
        <v>121</v>
      </c>
      <c r="H2472" t="s">
        <v>8785</v>
      </c>
      <c r="I2472" t="s">
        <v>8786</v>
      </c>
      <c r="J2472" t="s">
        <v>71</v>
      </c>
      <c r="K2472" s="2" t="str">
        <f>HYPERLINK("http://collections.slsa.sa.gov.au/arthur/04000/BRG347_3949.htm")</f>
        <v>http://collections.slsa.sa.gov.au/arthur/04000/BRG347_3949.htm</v>
      </c>
    </row>
    <row r="2473" spans="1:11" x14ac:dyDescent="0.25">
      <c r="A2473" t="s">
        <v>8787</v>
      </c>
      <c r="B2473" s="1" t="str">
        <f>HYPERLINK("https://www.catalog.slsa.sa.gov.au/record=b2114123")</f>
        <v>https://www.catalog.slsa.sa.gov.au/record=b2114123</v>
      </c>
      <c r="C2473" s="1" t="str">
        <f>HYPERLINK("https://www.catalog.slsa.sa.gov.au/xrecord=b2114123")</f>
        <v>https://www.catalog.slsa.sa.gov.au/xrecord=b2114123</v>
      </c>
      <c r="D2473" t="s">
        <v>66</v>
      </c>
      <c r="E2473" t="s">
        <v>8788</v>
      </c>
      <c r="F2473">
        <v>1958</v>
      </c>
      <c r="G2473" t="s">
        <v>121</v>
      </c>
      <c r="H2473" t="s">
        <v>8789</v>
      </c>
      <c r="I2473" t="s">
        <v>8790</v>
      </c>
      <c r="J2473" t="s">
        <v>71</v>
      </c>
      <c r="K2473" s="2" t="str">
        <f>HYPERLINK("http://collections.slsa.sa.gov.au/arthur/04000/BRG347_3950.htm")</f>
        <v>http://collections.slsa.sa.gov.au/arthur/04000/BRG347_3950.htm</v>
      </c>
    </row>
    <row r="2474" spans="1:11" x14ac:dyDescent="0.25">
      <c r="A2474" t="s">
        <v>8791</v>
      </c>
      <c r="B2474" s="1" t="str">
        <f>HYPERLINK("https://www.catalog.slsa.sa.gov.au/record=b2114124")</f>
        <v>https://www.catalog.slsa.sa.gov.au/record=b2114124</v>
      </c>
      <c r="C2474" s="1" t="str">
        <f>HYPERLINK("https://www.catalog.slsa.sa.gov.au/xrecord=b2114124")</f>
        <v>https://www.catalog.slsa.sa.gov.au/xrecord=b2114124</v>
      </c>
      <c r="D2474" t="s">
        <v>66</v>
      </c>
      <c r="E2474" t="s">
        <v>8792</v>
      </c>
      <c r="F2474">
        <v>1958</v>
      </c>
      <c r="G2474" t="s">
        <v>121</v>
      </c>
      <c r="H2474" t="s">
        <v>8793</v>
      </c>
      <c r="I2474" t="s">
        <v>8794</v>
      </c>
      <c r="J2474" t="s">
        <v>71</v>
      </c>
      <c r="K2474" s="2" t="str">
        <f>HYPERLINK("http://collections.slsa.sa.gov.au/arthur/04000/BRG347_3951.htm")</f>
        <v>http://collections.slsa.sa.gov.au/arthur/04000/BRG347_3951.htm</v>
      </c>
    </row>
    <row r="2475" spans="1:11" x14ac:dyDescent="0.25">
      <c r="A2475" t="s">
        <v>8795</v>
      </c>
      <c r="B2475" s="1" t="str">
        <f>HYPERLINK("https://www.catalog.slsa.sa.gov.au/record=b2114125")</f>
        <v>https://www.catalog.slsa.sa.gov.au/record=b2114125</v>
      </c>
      <c r="C2475" s="1" t="str">
        <f>HYPERLINK("https://www.catalog.slsa.sa.gov.au/xrecord=b2114125")</f>
        <v>https://www.catalog.slsa.sa.gov.au/xrecord=b2114125</v>
      </c>
      <c r="D2475" t="s">
        <v>66</v>
      </c>
      <c r="E2475" t="s">
        <v>8796</v>
      </c>
      <c r="F2475">
        <v>1958</v>
      </c>
      <c r="G2475" t="s">
        <v>121</v>
      </c>
      <c r="H2475" t="s">
        <v>8797</v>
      </c>
      <c r="I2475" t="s">
        <v>8798</v>
      </c>
      <c r="J2475" t="s">
        <v>71</v>
      </c>
      <c r="K2475" s="2" t="str">
        <f>HYPERLINK("http://collections.slsa.sa.gov.au/arthur/04000/BRG347_3952.htm")</f>
        <v>http://collections.slsa.sa.gov.au/arthur/04000/BRG347_3952.htm</v>
      </c>
    </row>
    <row r="2476" spans="1:11" x14ac:dyDescent="0.25">
      <c r="A2476" t="s">
        <v>8799</v>
      </c>
      <c r="B2476" s="1" t="str">
        <f>HYPERLINK("https://www.catalog.slsa.sa.gov.au/record=b2114126")</f>
        <v>https://www.catalog.slsa.sa.gov.au/record=b2114126</v>
      </c>
      <c r="C2476" s="1" t="str">
        <f>HYPERLINK("https://www.catalog.slsa.sa.gov.au/xrecord=b2114126")</f>
        <v>https://www.catalog.slsa.sa.gov.au/xrecord=b2114126</v>
      </c>
      <c r="D2476" t="s">
        <v>66</v>
      </c>
      <c r="E2476" t="s">
        <v>8800</v>
      </c>
      <c r="F2476">
        <v>1958</v>
      </c>
      <c r="G2476" t="s">
        <v>121</v>
      </c>
      <c r="H2476" t="s">
        <v>8801</v>
      </c>
      <c r="I2476" t="s">
        <v>8802</v>
      </c>
      <c r="J2476" t="s">
        <v>71</v>
      </c>
      <c r="K2476" s="2" t="str">
        <f>HYPERLINK("http://collections.slsa.sa.gov.au/arthur/04000/BRG347_3953.htm")</f>
        <v>http://collections.slsa.sa.gov.au/arthur/04000/BRG347_3953.htm</v>
      </c>
    </row>
    <row r="2477" spans="1:11" x14ac:dyDescent="0.25">
      <c r="A2477" t="s">
        <v>8803</v>
      </c>
      <c r="B2477" s="1" t="str">
        <f>HYPERLINK("https://www.catalog.slsa.sa.gov.au/record=b2114127")</f>
        <v>https://www.catalog.slsa.sa.gov.au/record=b2114127</v>
      </c>
      <c r="C2477" s="1" t="str">
        <f>HYPERLINK("https://www.catalog.slsa.sa.gov.au/xrecord=b2114127")</f>
        <v>https://www.catalog.slsa.sa.gov.au/xrecord=b2114127</v>
      </c>
      <c r="D2477" t="s">
        <v>66</v>
      </c>
      <c r="E2477" t="s">
        <v>8804</v>
      </c>
      <c r="F2477">
        <v>1958</v>
      </c>
      <c r="G2477" t="s">
        <v>121</v>
      </c>
      <c r="H2477" t="s">
        <v>8805</v>
      </c>
      <c r="I2477" t="s">
        <v>8806</v>
      </c>
      <c r="J2477" t="s">
        <v>71</v>
      </c>
      <c r="K2477" s="2" t="str">
        <f>HYPERLINK("http://collections.slsa.sa.gov.au/arthur/04000/BRG347_3954.htm")</f>
        <v>http://collections.slsa.sa.gov.au/arthur/04000/BRG347_3954.htm</v>
      </c>
    </row>
    <row r="2478" spans="1:11" x14ac:dyDescent="0.25">
      <c r="A2478" t="s">
        <v>8807</v>
      </c>
      <c r="B2478" s="1" t="str">
        <f>HYPERLINK("https://www.catalog.slsa.sa.gov.au/record=b2114128")</f>
        <v>https://www.catalog.slsa.sa.gov.au/record=b2114128</v>
      </c>
      <c r="C2478" s="1" t="str">
        <f>HYPERLINK("https://www.catalog.slsa.sa.gov.au/xrecord=b2114128")</f>
        <v>https://www.catalog.slsa.sa.gov.au/xrecord=b2114128</v>
      </c>
      <c r="D2478" t="s">
        <v>66</v>
      </c>
      <c r="E2478" t="s">
        <v>8808</v>
      </c>
      <c r="F2478">
        <v>1958</v>
      </c>
      <c r="G2478" t="s">
        <v>121</v>
      </c>
      <c r="H2478" t="s">
        <v>8809</v>
      </c>
      <c r="I2478" t="s">
        <v>8810</v>
      </c>
      <c r="J2478" t="s">
        <v>71</v>
      </c>
      <c r="K2478" s="2" t="str">
        <f>HYPERLINK("http://collections.slsa.sa.gov.au/arthur/04000/BRG347_3955.htm")</f>
        <v>http://collections.slsa.sa.gov.au/arthur/04000/BRG347_3955.htm</v>
      </c>
    </row>
    <row r="2479" spans="1:11" x14ac:dyDescent="0.25">
      <c r="A2479" t="s">
        <v>8811</v>
      </c>
      <c r="B2479" s="1" t="str">
        <f>HYPERLINK("https://www.catalog.slsa.sa.gov.au/record=b2114129")</f>
        <v>https://www.catalog.slsa.sa.gov.au/record=b2114129</v>
      </c>
      <c r="C2479" s="1" t="str">
        <f>HYPERLINK("https://www.catalog.slsa.sa.gov.au/xrecord=b2114129")</f>
        <v>https://www.catalog.slsa.sa.gov.au/xrecord=b2114129</v>
      </c>
      <c r="D2479" t="s">
        <v>66</v>
      </c>
      <c r="E2479" t="s">
        <v>8812</v>
      </c>
      <c r="F2479">
        <v>1958</v>
      </c>
      <c r="G2479" t="s">
        <v>121</v>
      </c>
      <c r="H2479" t="s">
        <v>8813</v>
      </c>
      <c r="I2479" t="s">
        <v>8814</v>
      </c>
      <c r="J2479" t="s">
        <v>71</v>
      </c>
      <c r="K2479" s="2" t="str">
        <f>HYPERLINK("http://collections.slsa.sa.gov.au/arthur/04000/BRG347_3956.htm")</f>
        <v>http://collections.slsa.sa.gov.au/arthur/04000/BRG347_3956.htm</v>
      </c>
    </row>
    <row r="2480" spans="1:11" x14ac:dyDescent="0.25">
      <c r="A2480" t="s">
        <v>8815</v>
      </c>
      <c r="B2480" s="1" t="str">
        <f>HYPERLINK("https://www.catalog.slsa.sa.gov.au/record=b2114130")</f>
        <v>https://www.catalog.slsa.sa.gov.au/record=b2114130</v>
      </c>
      <c r="C2480" s="1" t="str">
        <f>HYPERLINK("https://www.catalog.slsa.sa.gov.au/xrecord=b2114130")</f>
        <v>https://www.catalog.slsa.sa.gov.au/xrecord=b2114130</v>
      </c>
      <c r="D2480" t="s">
        <v>66</v>
      </c>
      <c r="E2480" t="s">
        <v>8816</v>
      </c>
      <c r="F2480">
        <v>1958</v>
      </c>
      <c r="G2480" t="s">
        <v>121</v>
      </c>
      <c r="H2480" t="s">
        <v>8817</v>
      </c>
      <c r="I2480" t="s">
        <v>8818</v>
      </c>
      <c r="J2480" t="s">
        <v>71</v>
      </c>
      <c r="K2480" s="2" t="str">
        <f>HYPERLINK("http://collections.slsa.sa.gov.au/arthur/04000/BRG347_3957.htm")</f>
        <v>http://collections.slsa.sa.gov.au/arthur/04000/BRG347_3957.htm</v>
      </c>
    </row>
    <row r="2481" spans="1:11" x14ac:dyDescent="0.25">
      <c r="A2481" t="s">
        <v>8819</v>
      </c>
      <c r="B2481" s="1" t="str">
        <f>HYPERLINK("https://www.catalog.slsa.sa.gov.au/record=b2114131")</f>
        <v>https://www.catalog.slsa.sa.gov.au/record=b2114131</v>
      </c>
      <c r="C2481" s="1" t="str">
        <f>HYPERLINK("https://www.catalog.slsa.sa.gov.au/xrecord=b2114131")</f>
        <v>https://www.catalog.slsa.sa.gov.au/xrecord=b2114131</v>
      </c>
      <c r="D2481" t="s">
        <v>66</v>
      </c>
      <c r="E2481" t="s">
        <v>8820</v>
      </c>
      <c r="F2481">
        <v>1958</v>
      </c>
      <c r="G2481" t="s">
        <v>121</v>
      </c>
      <c r="H2481" t="s">
        <v>8821</v>
      </c>
      <c r="I2481" t="s">
        <v>8822</v>
      </c>
      <c r="J2481" t="s">
        <v>71</v>
      </c>
      <c r="K2481" s="2" t="str">
        <f>HYPERLINK("http://collections.slsa.sa.gov.au/arthur/04000/BRG347_3958.htm")</f>
        <v>http://collections.slsa.sa.gov.au/arthur/04000/BRG347_3958.htm</v>
      </c>
    </row>
    <row r="2482" spans="1:11" x14ac:dyDescent="0.25">
      <c r="A2482" t="s">
        <v>8823</v>
      </c>
      <c r="B2482" s="1" t="str">
        <f>HYPERLINK("https://www.catalog.slsa.sa.gov.au/record=b2114132")</f>
        <v>https://www.catalog.slsa.sa.gov.au/record=b2114132</v>
      </c>
      <c r="C2482" s="1" t="str">
        <f>HYPERLINK("https://www.catalog.slsa.sa.gov.au/xrecord=b2114132")</f>
        <v>https://www.catalog.slsa.sa.gov.au/xrecord=b2114132</v>
      </c>
      <c r="D2482" t="s">
        <v>66</v>
      </c>
      <c r="E2482" t="s">
        <v>8824</v>
      </c>
      <c r="F2482">
        <v>1958</v>
      </c>
      <c r="G2482" t="s">
        <v>121</v>
      </c>
      <c r="H2482" t="s">
        <v>8825</v>
      </c>
      <c r="I2482" t="s">
        <v>8826</v>
      </c>
      <c r="J2482" t="s">
        <v>71</v>
      </c>
      <c r="K2482" s="2" t="str">
        <f>HYPERLINK("http://collections.slsa.sa.gov.au/arthur/04000/BRG347_3959.htm")</f>
        <v>http://collections.slsa.sa.gov.au/arthur/04000/BRG347_3959.htm</v>
      </c>
    </row>
    <row r="2483" spans="1:11" x14ac:dyDescent="0.25">
      <c r="A2483" t="s">
        <v>8827</v>
      </c>
      <c r="B2483" s="1" t="str">
        <f>HYPERLINK("https://www.catalog.slsa.sa.gov.au/record=b2114133")</f>
        <v>https://www.catalog.slsa.sa.gov.au/record=b2114133</v>
      </c>
      <c r="C2483" s="1" t="str">
        <f>HYPERLINK("https://www.catalog.slsa.sa.gov.au/xrecord=b2114133")</f>
        <v>https://www.catalog.slsa.sa.gov.au/xrecord=b2114133</v>
      </c>
      <c r="D2483" t="s">
        <v>66</v>
      </c>
      <c r="E2483" t="s">
        <v>8828</v>
      </c>
      <c r="F2483">
        <v>1958</v>
      </c>
      <c r="G2483" t="s">
        <v>121</v>
      </c>
      <c r="H2483" t="s">
        <v>8829</v>
      </c>
      <c r="I2483" t="s">
        <v>8830</v>
      </c>
      <c r="J2483" t="s">
        <v>71</v>
      </c>
      <c r="K2483" s="2" t="str">
        <f>HYPERLINK("http://collections.slsa.sa.gov.au/arthur/04000/BRG347_3960.htm")</f>
        <v>http://collections.slsa.sa.gov.au/arthur/04000/BRG347_3960.htm</v>
      </c>
    </row>
    <row r="2484" spans="1:11" x14ac:dyDescent="0.25">
      <c r="A2484" t="s">
        <v>8831</v>
      </c>
      <c r="B2484" s="1" t="str">
        <f>HYPERLINK("https://www.catalog.slsa.sa.gov.au/record=b2114134")</f>
        <v>https://www.catalog.slsa.sa.gov.au/record=b2114134</v>
      </c>
      <c r="C2484" s="1" t="str">
        <f>HYPERLINK("https://www.catalog.slsa.sa.gov.au/xrecord=b2114134")</f>
        <v>https://www.catalog.slsa.sa.gov.au/xrecord=b2114134</v>
      </c>
      <c r="D2484" t="s">
        <v>66</v>
      </c>
      <c r="E2484" t="s">
        <v>8832</v>
      </c>
      <c r="F2484">
        <v>1958</v>
      </c>
      <c r="G2484" t="s">
        <v>121</v>
      </c>
      <c r="H2484" t="s">
        <v>8833</v>
      </c>
      <c r="I2484" t="s">
        <v>8834</v>
      </c>
      <c r="J2484" t="s">
        <v>71</v>
      </c>
      <c r="K2484" s="2" t="str">
        <f>HYPERLINK("http://collections.slsa.sa.gov.au/arthur/04000/BRG347_3961.htm")</f>
        <v>http://collections.slsa.sa.gov.au/arthur/04000/BRG347_3961.htm</v>
      </c>
    </row>
    <row r="2485" spans="1:11" x14ac:dyDescent="0.25">
      <c r="A2485" t="s">
        <v>8835</v>
      </c>
      <c r="B2485" s="1" t="str">
        <f>HYPERLINK("https://www.catalog.slsa.sa.gov.au/record=b2114135")</f>
        <v>https://www.catalog.slsa.sa.gov.au/record=b2114135</v>
      </c>
      <c r="C2485" s="1" t="str">
        <f>HYPERLINK("https://www.catalog.slsa.sa.gov.au/xrecord=b2114135")</f>
        <v>https://www.catalog.slsa.sa.gov.au/xrecord=b2114135</v>
      </c>
      <c r="D2485" t="s">
        <v>66</v>
      </c>
      <c r="E2485" t="s">
        <v>8836</v>
      </c>
      <c r="F2485">
        <v>1958</v>
      </c>
      <c r="G2485" t="s">
        <v>121</v>
      </c>
      <c r="H2485" t="s">
        <v>8837</v>
      </c>
      <c r="I2485" t="s">
        <v>8838</v>
      </c>
      <c r="J2485" t="s">
        <v>71</v>
      </c>
      <c r="K2485" s="2" t="str">
        <f>HYPERLINK("http://collections.slsa.sa.gov.au/arthur/04000/BRG347_3962.htm")</f>
        <v>http://collections.slsa.sa.gov.au/arthur/04000/BRG347_3962.htm</v>
      </c>
    </row>
    <row r="2486" spans="1:11" x14ac:dyDescent="0.25">
      <c r="A2486" t="s">
        <v>8839</v>
      </c>
      <c r="B2486" s="1" t="str">
        <f>HYPERLINK("https://www.catalog.slsa.sa.gov.au/record=b2114136")</f>
        <v>https://www.catalog.slsa.sa.gov.au/record=b2114136</v>
      </c>
      <c r="C2486" s="1" t="str">
        <f>HYPERLINK("https://www.catalog.slsa.sa.gov.au/xrecord=b2114136")</f>
        <v>https://www.catalog.slsa.sa.gov.au/xrecord=b2114136</v>
      </c>
      <c r="D2486" t="s">
        <v>66</v>
      </c>
      <c r="E2486" t="s">
        <v>8840</v>
      </c>
      <c r="F2486">
        <v>1958</v>
      </c>
      <c r="G2486" t="s">
        <v>121</v>
      </c>
      <c r="H2486" t="s">
        <v>8841</v>
      </c>
      <c r="I2486" t="s">
        <v>8842</v>
      </c>
      <c r="J2486" t="s">
        <v>71</v>
      </c>
      <c r="K2486" s="2" t="str">
        <f>HYPERLINK("http://collections.slsa.sa.gov.au/arthur/04000/BRG347_3963.htm")</f>
        <v>http://collections.slsa.sa.gov.au/arthur/04000/BRG347_3963.htm</v>
      </c>
    </row>
    <row r="2487" spans="1:11" x14ac:dyDescent="0.25">
      <c r="A2487" t="s">
        <v>8843</v>
      </c>
      <c r="B2487" s="1" t="str">
        <f>HYPERLINK("https://www.catalog.slsa.sa.gov.au/record=b2114137")</f>
        <v>https://www.catalog.slsa.sa.gov.au/record=b2114137</v>
      </c>
      <c r="C2487" s="1" t="str">
        <f>HYPERLINK("https://www.catalog.slsa.sa.gov.au/xrecord=b2114137")</f>
        <v>https://www.catalog.slsa.sa.gov.au/xrecord=b2114137</v>
      </c>
      <c r="D2487" t="s">
        <v>66</v>
      </c>
      <c r="E2487" t="s">
        <v>8844</v>
      </c>
      <c r="F2487">
        <v>1958</v>
      </c>
      <c r="G2487" t="s">
        <v>121</v>
      </c>
      <c r="H2487" t="s">
        <v>8845</v>
      </c>
      <c r="I2487" t="s">
        <v>8846</v>
      </c>
      <c r="J2487" t="s">
        <v>71</v>
      </c>
      <c r="K2487" s="2" t="str">
        <f>HYPERLINK("http://collections.slsa.sa.gov.au/arthur/04000/BRG347_3964.htm")</f>
        <v>http://collections.slsa.sa.gov.au/arthur/04000/BRG347_3964.htm</v>
      </c>
    </row>
    <row r="2488" spans="1:11" x14ac:dyDescent="0.25">
      <c r="A2488" t="s">
        <v>8847</v>
      </c>
      <c r="B2488" s="1" t="str">
        <f>HYPERLINK("https://www.catalog.slsa.sa.gov.au/record=b2114138")</f>
        <v>https://www.catalog.slsa.sa.gov.au/record=b2114138</v>
      </c>
      <c r="C2488" s="1" t="str">
        <f>HYPERLINK("https://www.catalog.slsa.sa.gov.au/xrecord=b2114138")</f>
        <v>https://www.catalog.slsa.sa.gov.au/xrecord=b2114138</v>
      </c>
      <c r="D2488" t="s">
        <v>66</v>
      </c>
      <c r="E2488" t="s">
        <v>8848</v>
      </c>
      <c r="F2488">
        <v>1958</v>
      </c>
      <c r="G2488" t="s">
        <v>121</v>
      </c>
      <c r="H2488" t="s">
        <v>8849</v>
      </c>
      <c r="I2488" t="s">
        <v>8850</v>
      </c>
      <c r="J2488" t="s">
        <v>71</v>
      </c>
      <c r="K2488" s="2" t="str">
        <f>HYPERLINK("http://collections.slsa.sa.gov.au/arthur/04000/BRG347_3965.htm")</f>
        <v>http://collections.slsa.sa.gov.au/arthur/04000/BRG347_3965.htm</v>
      </c>
    </row>
    <row r="2489" spans="1:11" x14ac:dyDescent="0.25">
      <c r="A2489" t="s">
        <v>8851</v>
      </c>
      <c r="B2489" s="1" t="str">
        <f>HYPERLINK("https://www.catalog.slsa.sa.gov.au/record=b2114139")</f>
        <v>https://www.catalog.slsa.sa.gov.au/record=b2114139</v>
      </c>
      <c r="C2489" s="1" t="str">
        <f>HYPERLINK("https://www.catalog.slsa.sa.gov.au/xrecord=b2114139")</f>
        <v>https://www.catalog.slsa.sa.gov.au/xrecord=b2114139</v>
      </c>
      <c r="D2489" t="s">
        <v>66</v>
      </c>
      <c r="E2489" t="s">
        <v>8852</v>
      </c>
      <c r="F2489">
        <v>1958</v>
      </c>
      <c r="G2489" t="s">
        <v>121</v>
      </c>
      <c r="H2489" t="s">
        <v>8853</v>
      </c>
      <c r="I2489" t="s">
        <v>8854</v>
      </c>
      <c r="J2489" t="s">
        <v>71</v>
      </c>
      <c r="K2489" s="2" t="str">
        <f>HYPERLINK("http://collections.slsa.sa.gov.au/arthur/04000/BRG347_3966.htm")</f>
        <v>http://collections.slsa.sa.gov.au/arthur/04000/BRG347_3966.htm</v>
      </c>
    </row>
    <row r="2490" spans="1:11" x14ac:dyDescent="0.25">
      <c r="A2490" t="s">
        <v>8855</v>
      </c>
      <c r="B2490" s="1" t="str">
        <f>HYPERLINK("https://www.catalog.slsa.sa.gov.au/record=b2114140")</f>
        <v>https://www.catalog.slsa.sa.gov.au/record=b2114140</v>
      </c>
      <c r="C2490" s="1" t="str">
        <f>HYPERLINK("https://www.catalog.slsa.sa.gov.au/xrecord=b2114140")</f>
        <v>https://www.catalog.slsa.sa.gov.au/xrecord=b2114140</v>
      </c>
      <c r="D2490" t="s">
        <v>66</v>
      </c>
      <c r="E2490" t="s">
        <v>8856</v>
      </c>
      <c r="F2490">
        <v>1958</v>
      </c>
      <c r="G2490" t="s">
        <v>121</v>
      </c>
      <c r="H2490" t="s">
        <v>8857</v>
      </c>
      <c r="I2490" t="s">
        <v>8858</v>
      </c>
      <c r="J2490" t="s">
        <v>71</v>
      </c>
      <c r="K2490" s="2" t="str">
        <f>HYPERLINK("http://collections.slsa.sa.gov.au/arthur/04000/BRG347_3967.htm")</f>
        <v>http://collections.slsa.sa.gov.au/arthur/04000/BRG347_3967.htm</v>
      </c>
    </row>
    <row r="2491" spans="1:11" x14ac:dyDescent="0.25">
      <c r="A2491" t="s">
        <v>8859</v>
      </c>
      <c r="B2491" s="1" t="str">
        <f>HYPERLINK("https://www.catalog.slsa.sa.gov.au/record=b2114141")</f>
        <v>https://www.catalog.slsa.sa.gov.au/record=b2114141</v>
      </c>
      <c r="C2491" s="1" t="str">
        <f>HYPERLINK("https://www.catalog.slsa.sa.gov.au/xrecord=b2114141")</f>
        <v>https://www.catalog.slsa.sa.gov.au/xrecord=b2114141</v>
      </c>
      <c r="D2491" t="s">
        <v>66</v>
      </c>
      <c r="E2491" t="s">
        <v>8860</v>
      </c>
      <c r="F2491">
        <v>1958</v>
      </c>
      <c r="G2491" t="s">
        <v>121</v>
      </c>
      <c r="H2491" t="s">
        <v>8861</v>
      </c>
      <c r="I2491" t="s">
        <v>8862</v>
      </c>
      <c r="J2491" t="s">
        <v>71</v>
      </c>
      <c r="K2491" s="2" t="str">
        <f>HYPERLINK("http://collections.slsa.sa.gov.au/arthur/04000/BRG347_3968.htm")</f>
        <v>http://collections.slsa.sa.gov.au/arthur/04000/BRG347_3968.htm</v>
      </c>
    </row>
    <row r="2492" spans="1:11" x14ac:dyDescent="0.25">
      <c r="A2492" t="s">
        <v>8863</v>
      </c>
      <c r="B2492" s="1" t="str">
        <f>HYPERLINK("https://www.catalog.slsa.sa.gov.au/record=b2114142")</f>
        <v>https://www.catalog.slsa.sa.gov.au/record=b2114142</v>
      </c>
      <c r="C2492" s="1" t="str">
        <f>HYPERLINK("https://www.catalog.slsa.sa.gov.au/xrecord=b2114142")</f>
        <v>https://www.catalog.slsa.sa.gov.au/xrecord=b2114142</v>
      </c>
      <c r="D2492" t="s">
        <v>66</v>
      </c>
      <c r="E2492" t="s">
        <v>8864</v>
      </c>
      <c r="F2492">
        <v>1958</v>
      </c>
      <c r="G2492" t="s">
        <v>121</v>
      </c>
      <c r="H2492" t="s">
        <v>8865</v>
      </c>
      <c r="I2492" t="s">
        <v>8866</v>
      </c>
      <c r="J2492" t="s">
        <v>71</v>
      </c>
      <c r="K2492" s="2" t="str">
        <f>HYPERLINK("http://collections.slsa.sa.gov.au/arthur/04000/BRG347_3969.htm")</f>
        <v>http://collections.slsa.sa.gov.au/arthur/04000/BRG347_3969.htm</v>
      </c>
    </row>
    <row r="2493" spans="1:11" x14ac:dyDescent="0.25">
      <c r="A2493" t="s">
        <v>8867</v>
      </c>
      <c r="B2493" s="1" t="str">
        <f>HYPERLINK("https://www.catalog.slsa.sa.gov.au/record=b2114143")</f>
        <v>https://www.catalog.slsa.sa.gov.au/record=b2114143</v>
      </c>
      <c r="C2493" s="1" t="str">
        <f>HYPERLINK("https://www.catalog.slsa.sa.gov.au/xrecord=b2114143")</f>
        <v>https://www.catalog.slsa.sa.gov.au/xrecord=b2114143</v>
      </c>
      <c r="D2493" t="s">
        <v>66</v>
      </c>
      <c r="E2493" t="s">
        <v>8868</v>
      </c>
      <c r="F2493">
        <v>1958</v>
      </c>
      <c r="G2493" t="s">
        <v>121</v>
      </c>
      <c r="H2493" t="s">
        <v>8869</v>
      </c>
      <c r="I2493" t="s">
        <v>8870</v>
      </c>
      <c r="J2493" t="s">
        <v>71</v>
      </c>
      <c r="K2493" s="2" t="str">
        <f>HYPERLINK("http://collections.slsa.sa.gov.au/arthur/04000/BRG347_3970.htm")</f>
        <v>http://collections.slsa.sa.gov.au/arthur/04000/BRG347_3970.htm</v>
      </c>
    </row>
    <row r="2494" spans="1:11" x14ac:dyDescent="0.25">
      <c r="A2494" t="s">
        <v>8871</v>
      </c>
      <c r="B2494" s="1" t="str">
        <f>HYPERLINK("https://www.catalog.slsa.sa.gov.au/record=b2114144")</f>
        <v>https://www.catalog.slsa.sa.gov.au/record=b2114144</v>
      </c>
      <c r="C2494" s="1" t="str">
        <f>HYPERLINK("https://www.catalog.slsa.sa.gov.au/xrecord=b2114144")</f>
        <v>https://www.catalog.slsa.sa.gov.au/xrecord=b2114144</v>
      </c>
      <c r="D2494" t="s">
        <v>66</v>
      </c>
      <c r="E2494" t="s">
        <v>8872</v>
      </c>
      <c r="F2494">
        <v>1958</v>
      </c>
      <c r="G2494" t="s">
        <v>121</v>
      </c>
      <c r="H2494" t="s">
        <v>8873</v>
      </c>
      <c r="I2494" t="s">
        <v>8874</v>
      </c>
      <c r="J2494" t="s">
        <v>71</v>
      </c>
      <c r="K2494" s="2" t="str">
        <f>HYPERLINK("http://collections.slsa.sa.gov.au/arthur/04000/BRG347_3971.htm")</f>
        <v>http://collections.slsa.sa.gov.au/arthur/04000/BRG347_3971.htm</v>
      </c>
    </row>
    <row r="2495" spans="1:11" x14ac:dyDescent="0.25">
      <c r="A2495" t="s">
        <v>8875</v>
      </c>
      <c r="B2495" s="1" t="str">
        <f>HYPERLINK("https://www.catalog.slsa.sa.gov.au/record=b2117845")</f>
        <v>https://www.catalog.slsa.sa.gov.au/record=b2117845</v>
      </c>
      <c r="C2495" s="1" t="str">
        <f>HYPERLINK("https://www.catalog.slsa.sa.gov.au/xrecord=b2117845")</f>
        <v>https://www.catalog.slsa.sa.gov.au/xrecord=b2117845</v>
      </c>
      <c r="D2495" t="s">
        <v>66</v>
      </c>
      <c r="E2495" t="s">
        <v>8876</v>
      </c>
      <c r="F2495">
        <v>1958</v>
      </c>
      <c r="G2495" t="s">
        <v>121</v>
      </c>
      <c r="H2495" t="s">
        <v>8877</v>
      </c>
      <c r="I2495" t="s">
        <v>8878</v>
      </c>
      <c r="J2495" t="s">
        <v>71</v>
      </c>
      <c r="K2495" s="2" t="str">
        <f>HYPERLINK("http://collections.slsa.sa.gov.au/arthur/04000/BRG347_3972.htm")</f>
        <v>http://collections.slsa.sa.gov.au/arthur/04000/BRG347_3972.htm</v>
      </c>
    </row>
    <row r="2496" spans="1:11" x14ac:dyDescent="0.25">
      <c r="A2496" t="s">
        <v>8879</v>
      </c>
      <c r="B2496" s="1" t="str">
        <f>HYPERLINK("https://www.catalog.slsa.sa.gov.au/record=b2114145")</f>
        <v>https://www.catalog.slsa.sa.gov.au/record=b2114145</v>
      </c>
      <c r="C2496" s="1" t="str">
        <f>HYPERLINK("https://www.catalog.slsa.sa.gov.au/xrecord=b2114145")</f>
        <v>https://www.catalog.slsa.sa.gov.au/xrecord=b2114145</v>
      </c>
      <c r="D2496" t="s">
        <v>66</v>
      </c>
      <c r="E2496" t="s">
        <v>8880</v>
      </c>
      <c r="F2496">
        <v>1958</v>
      </c>
      <c r="G2496" t="s">
        <v>121</v>
      </c>
      <c r="H2496" t="s">
        <v>8881</v>
      </c>
      <c r="I2496" t="s">
        <v>8882</v>
      </c>
      <c r="J2496" t="s">
        <v>71</v>
      </c>
      <c r="K2496" s="2" t="str">
        <f>HYPERLINK("http://collections.slsa.sa.gov.au/arthur/04000/BRG347_3973.htm")</f>
        <v>http://collections.slsa.sa.gov.au/arthur/04000/BRG347_3973.htm</v>
      </c>
    </row>
    <row r="2497" spans="1:11" x14ac:dyDescent="0.25">
      <c r="A2497" t="s">
        <v>8883</v>
      </c>
      <c r="B2497" s="1" t="str">
        <f>HYPERLINK("https://www.catalog.slsa.sa.gov.au/record=b2117841")</f>
        <v>https://www.catalog.slsa.sa.gov.au/record=b2117841</v>
      </c>
      <c r="C2497" s="1" t="str">
        <f>HYPERLINK("https://www.catalog.slsa.sa.gov.au/xrecord=b2117841")</f>
        <v>https://www.catalog.slsa.sa.gov.au/xrecord=b2117841</v>
      </c>
      <c r="D2497" t="s">
        <v>66</v>
      </c>
      <c r="E2497" t="s">
        <v>8884</v>
      </c>
      <c r="F2497">
        <v>1958</v>
      </c>
      <c r="G2497" t="s">
        <v>121</v>
      </c>
      <c r="H2497" t="s">
        <v>8885</v>
      </c>
      <c r="I2497" t="s">
        <v>8886</v>
      </c>
      <c r="J2497" t="s">
        <v>71</v>
      </c>
      <c r="K2497" s="2" t="str">
        <f>HYPERLINK("http://collections.slsa.sa.gov.au/arthur/04000/BRG347_3974.htm")</f>
        <v>http://collections.slsa.sa.gov.au/arthur/04000/BRG347_3974.htm</v>
      </c>
    </row>
    <row r="2498" spans="1:11" x14ac:dyDescent="0.25">
      <c r="A2498" t="s">
        <v>8887</v>
      </c>
      <c r="B2498" s="1" t="str">
        <f>HYPERLINK("https://www.catalog.slsa.sa.gov.au/record=b2114146")</f>
        <v>https://www.catalog.slsa.sa.gov.au/record=b2114146</v>
      </c>
      <c r="C2498" s="1" t="str">
        <f>HYPERLINK("https://www.catalog.slsa.sa.gov.au/xrecord=b2114146")</f>
        <v>https://www.catalog.slsa.sa.gov.au/xrecord=b2114146</v>
      </c>
      <c r="D2498" t="s">
        <v>66</v>
      </c>
      <c r="E2498" t="s">
        <v>8888</v>
      </c>
      <c r="F2498">
        <v>1958</v>
      </c>
      <c r="G2498" t="s">
        <v>121</v>
      </c>
      <c r="H2498" t="s">
        <v>8889</v>
      </c>
      <c r="I2498" t="s">
        <v>8890</v>
      </c>
      <c r="J2498" t="s">
        <v>71</v>
      </c>
      <c r="K2498" s="2" t="str">
        <f>HYPERLINK("http://collections.slsa.sa.gov.au/arthur/04000/BRG347_3975.htm")</f>
        <v>http://collections.slsa.sa.gov.au/arthur/04000/BRG347_3975.htm</v>
      </c>
    </row>
    <row r="2499" spans="1:11" x14ac:dyDescent="0.25">
      <c r="A2499" t="s">
        <v>8891</v>
      </c>
      <c r="B2499" s="1" t="str">
        <f>HYPERLINK("https://www.catalog.slsa.sa.gov.au/record=b2117840")</f>
        <v>https://www.catalog.slsa.sa.gov.au/record=b2117840</v>
      </c>
      <c r="C2499" s="1" t="str">
        <f>HYPERLINK("https://www.catalog.slsa.sa.gov.au/xrecord=b2117840")</f>
        <v>https://www.catalog.slsa.sa.gov.au/xrecord=b2117840</v>
      </c>
      <c r="D2499" t="s">
        <v>66</v>
      </c>
      <c r="E2499" t="s">
        <v>8892</v>
      </c>
      <c r="F2499">
        <v>1958</v>
      </c>
      <c r="G2499" t="s">
        <v>121</v>
      </c>
      <c r="H2499" t="s">
        <v>8893</v>
      </c>
      <c r="I2499" t="s">
        <v>8894</v>
      </c>
      <c r="J2499" t="s">
        <v>71</v>
      </c>
      <c r="K2499" s="2" t="str">
        <f>HYPERLINK("http://collections.slsa.sa.gov.au/arthur/04000/BRG347_3976.htm")</f>
        <v>http://collections.slsa.sa.gov.au/arthur/04000/BRG347_3976.htm</v>
      </c>
    </row>
    <row r="2500" spans="1:11" x14ac:dyDescent="0.25">
      <c r="A2500" t="s">
        <v>8895</v>
      </c>
      <c r="B2500" s="1" t="str">
        <f>HYPERLINK("https://www.catalog.slsa.sa.gov.au/record=b2114147")</f>
        <v>https://www.catalog.slsa.sa.gov.au/record=b2114147</v>
      </c>
      <c r="C2500" s="1" t="str">
        <f>HYPERLINK("https://www.catalog.slsa.sa.gov.au/xrecord=b2114147")</f>
        <v>https://www.catalog.slsa.sa.gov.au/xrecord=b2114147</v>
      </c>
      <c r="D2500" t="s">
        <v>66</v>
      </c>
      <c r="E2500" t="s">
        <v>8896</v>
      </c>
      <c r="F2500">
        <v>1958</v>
      </c>
      <c r="G2500" t="s">
        <v>121</v>
      </c>
      <c r="H2500" t="s">
        <v>8897</v>
      </c>
      <c r="I2500" t="s">
        <v>8898</v>
      </c>
      <c r="J2500" t="s">
        <v>71</v>
      </c>
      <c r="K2500" s="2" t="str">
        <f>HYPERLINK("http://collections.slsa.sa.gov.au/arthur/04000/BRG347_3977.htm")</f>
        <v>http://collections.slsa.sa.gov.au/arthur/04000/BRG347_3977.htm</v>
      </c>
    </row>
    <row r="2501" spans="1:11" x14ac:dyDescent="0.25">
      <c r="A2501" t="s">
        <v>8899</v>
      </c>
      <c r="B2501" s="1" t="str">
        <f>HYPERLINK("https://www.catalog.slsa.sa.gov.au/record=b2114148")</f>
        <v>https://www.catalog.slsa.sa.gov.au/record=b2114148</v>
      </c>
      <c r="C2501" s="1" t="str">
        <f>HYPERLINK("https://www.catalog.slsa.sa.gov.au/xrecord=b2114148")</f>
        <v>https://www.catalog.slsa.sa.gov.au/xrecord=b2114148</v>
      </c>
      <c r="D2501" t="s">
        <v>66</v>
      </c>
      <c r="E2501" t="s">
        <v>8900</v>
      </c>
      <c r="F2501">
        <v>1958</v>
      </c>
      <c r="G2501" t="s">
        <v>121</v>
      </c>
      <c r="H2501" t="s">
        <v>8901</v>
      </c>
      <c r="I2501" t="s">
        <v>8902</v>
      </c>
      <c r="J2501" t="s">
        <v>71</v>
      </c>
      <c r="K2501" s="2" t="str">
        <f>HYPERLINK("http://collections.slsa.sa.gov.au/arthur/04000/BRG347_3978.htm")</f>
        <v>http://collections.slsa.sa.gov.au/arthur/04000/BRG347_3978.htm</v>
      </c>
    </row>
    <row r="2502" spans="1:11" x14ac:dyDescent="0.25">
      <c r="A2502" t="s">
        <v>8903</v>
      </c>
      <c r="B2502" s="1" t="str">
        <f>HYPERLINK("https://www.catalog.slsa.sa.gov.au/record=b2114149")</f>
        <v>https://www.catalog.slsa.sa.gov.au/record=b2114149</v>
      </c>
      <c r="C2502" s="1" t="str">
        <f>HYPERLINK("https://www.catalog.slsa.sa.gov.au/xrecord=b2114149")</f>
        <v>https://www.catalog.slsa.sa.gov.au/xrecord=b2114149</v>
      </c>
      <c r="D2502" t="s">
        <v>66</v>
      </c>
      <c r="E2502" t="s">
        <v>8904</v>
      </c>
      <c r="F2502">
        <v>1958</v>
      </c>
      <c r="G2502" t="s">
        <v>121</v>
      </c>
      <c r="H2502" t="s">
        <v>8905</v>
      </c>
      <c r="I2502" t="s">
        <v>8906</v>
      </c>
      <c r="J2502" t="s">
        <v>71</v>
      </c>
      <c r="K2502" s="2" t="str">
        <f>HYPERLINK("http://collections.slsa.sa.gov.au/arthur/04000/BRG347_3979.htm")</f>
        <v>http://collections.slsa.sa.gov.au/arthur/04000/BRG347_3979.htm</v>
      </c>
    </row>
    <row r="2503" spans="1:11" x14ac:dyDescent="0.25">
      <c r="A2503" t="s">
        <v>8907</v>
      </c>
      <c r="B2503" s="1" t="str">
        <f>HYPERLINK("https://www.catalog.slsa.sa.gov.au/record=b2114150")</f>
        <v>https://www.catalog.slsa.sa.gov.au/record=b2114150</v>
      </c>
      <c r="C2503" s="1" t="str">
        <f>HYPERLINK("https://www.catalog.slsa.sa.gov.au/xrecord=b2114150")</f>
        <v>https://www.catalog.slsa.sa.gov.au/xrecord=b2114150</v>
      </c>
      <c r="D2503" t="s">
        <v>66</v>
      </c>
      <c r="E2503" t="s">
        <v>8908</v>
      </c>
      <c r="F2503">
        <v>1958</v>
      </c>
      <c r="G2503" t="s">
        <v>121</v>
      </c>
      <c r="H2503" t="s">
        <v>8909</v>
      </c>
      <c r="I2503" t="s">
        <v>8910</v>
      </c>
      <c r="J2503" t="s">
        <v>71</v>
      </c>
      <c r="K2503" s="2" t="str">
        <f>HYPERLINK("http://collections.slsa.sa.gov.au/arthur/04000/BRG347_3980.htm")</f>
        <v>http://collections.slsa.sa.gov.au/arthur/04000/BRG347_3980.htm</v>
      </c>
    </row>
    <row r="2504" spans="1:11" x14ac:dyDescent="0.25">
      <c r="A2504" t="s">
        <v>8911</v>
      </c>
      <c r="B2504" s="1" t="str">
        <f>HYPERLINK("https://www.catalog.slsa.sa.gov.au/record=b2114151")</f>
        <v>https://www.catalog.slsa.sa.gov.au/record=b2114151</v>
      </c>
      <c r="C2504" s="1" t="str">
        <f>HYPERLINK("https://www.catalog.slsa.sa.gov.au/xrecord=b2114151")</f>
        <v>https://www.catalog.slsa.sa.gov.au/xrecord=b2114151</v>
      </c>
      <c r="D2504" t="s">
        <v>66</v>
      </c>
      <c r="E2504" t="s">
        <v>8912</v>
      </c>
      <c r="F2504">
        <v>1958</v>
      </c>
      <c r="G2504" t="s">
        <v>121</v>
      </c>
      <c r="H2504" t="s">
        <v>8913</v>
      </c>
      <c r="I2504" t="s">
        <v>8914</v>
      </c>
      <c r="J2504" t="s">
        <v>71</v>
      </c>
      <c r="K2504" s="2" t="str">
        <f>HYPERLINK("http://collections.slsa.sa.gov.au/arthur/04000/BRG347_3981.htm")</f>
        <v>http://collections.slsa.sa.gov.au/arthur/04000/BRG347_3981.htm</v>
      </c>
    </row>
    <row r="2505" spans="1:11" x14ac:dyDescent="0.25">
      <c r="A2505" t="s">
        <v>8915</v>
      </c>
      <c r="B2505" s="1" t="str">
        <f>HYPERLINK("https://www.catalog.slsa.sa.gov.au/record=b2114152")</f>
        <v>https://www.catalog.slsa.sa.gov.au/record=b2114152</v>
      </c>
      <c r="C2505" s="1" t="str">
        <f>HYPERLINK("https://www.catalog.slsa.sa.gov.au/xrecord=b2114152")</f>
        <v>https://www.catalog.slsa.sa.gov.au/xrecord=b2114152</v>
      </c>
      <c r="D2505" t="s">
        <v>66</v>
      </c>
      <c r="E2505" t="s">
        <v>8916</v>
      </c>
      <c r="F2505">
        <v>1958</v>
      </c>
      <c r="G2505" t="s">
        <v>121</v>
      </c>
      <c r="H2505" t="s">
        <v>8917</v>
      </c>
      <c r="I2505" t="s">
        <v>8918</v>
      </c>
      <c r="J2505" t="s">
        <v>71</v>
      </c>
      <c r="K2505" s="2" t="str">
        <f>HYPERLINK("http://collections.slsa.sa.gov.au/arthur/04000/BRG347_3982.htm")</f>
        <v>http://collections.slsa.sa.gov.au/arthur/04000/BRG347_3982.htm</v>
      </c>
    </row>
    <row r="2506" spans="1:11" x14ac:dyDescent="0.25">
      <c r="A2506" t="s">
        <v>8919</v>
      </c>
      <c r="B2506" s="1" t="str">
        <f>HYPERLINK("https://www.catalog.slsa.sa.gov.au/record=b2114153")</f>
        <v>https://www.catalog.slsa.sa.gov.au/record=b2114153</v>
      </c>
      <c r="C2506" s="1" t="str">
        <f>HYPERLINK("https://www.catalog.slsa.sa.gov.au/xrecord=b2114153")</f>
        <v>https://www.catalog.slsa.sa.gov.au/xrecord=b2114153</v>
      </c>
      <c r="D2506" t="s">
        <v>66</v>
      </c>
      <c r="E2506" t="s">
        <v>7992</v>
      </c>
      <c r="F2506">
        <v>1958</v>
      </c>
      <c r="G2506" t="s">
        <v>121</v>
      </c>
      <c r="H2506" t="s">
        <v>8920</v>
      </c>
      <c r="I2506" t="s">
        <v>8921</v>
      </c>
      <c r="J2506" t="s">
        <v>71</v>
      </c>
      <c r="K2506" s="2" t="str">
        <f>HYPERLINK("http://collections.slsa.sa.gov.au/arthur/04000/BRG347_3983.htm")</f>
        <v>http://collections.slsa.sa.gov.au/arthur/04000/BRG347_3983.htm</v>
      </c>
    </row>
    <row r="2507" spans="1:11" x14ac:dyDescent="0.25">
      <c r="A2507" t="s">
        <v>8922</v>
      </c>
      <c r="B2507" s="1" t="str">
        <f>HYPERLINK("https://www.catalog.slsa.sa.gov.au/record=b2114154")</f>
        <v>https://www.catalog.slsa.sa.gov.au/record=b2114154</v>
      </c>
      <c r="C2507" s="1" t="str">
        <f>HYPERLINK("https://www.catalog.slsa.sa.gov.au/xrecord=b2114154")</f>
        <v>https://www.catalog.slsa.sa.gov.au/xrecord=b2114154</v>
      </c>
      <c r="D2507" t="s">
        <v>66</v>
      </c>
      <c r="E2507" t="s">
        <v>8923</v>
      </c>
      <c r="F2507">
        <v>1958</v>
      </c>
      <c r="G2507" t="s">
        <v>121</v>
      </c>
      <c r="H2507" t="s">
        <v>8924</v>
      </c>
      <c r="I2507" t="s">
        <v>8925</v>
      </c>
      <c r="J2507" t="s">
        <v>71</v>
      </c>
      <c r="K2507" s="2" t="str">
        <f>HYPERLINK("http://collections.slsa.sa.gov.au/arthur/04000/BRG347_3984.htm")</f>
        <v>http://collections.slsa.sa.gov.au/arthur/04000/BRG347_3984.htm</v>
      </c>
    </row>
    <row r="2508" spans="1:11" x14ac:dyDescent="0.25">
      <c r="A2508" t="s">
        <v>8926</v>
      </c>
      <c r="B2508" s="1" t="str">
        <f>HYPERLINK("https://www.catalog.slsa.sa.gov.au/record=b2114155")</f>
        <v>https://www.catalog.slsa.sa.gov.au/record=b2114155</v>
      </c>
      <c r="C2508" s="1" t="str">
        <f>HYPERLINK("https://www.catalog.slsa.sa.gov.au/xrecord=b2114155")</f>
        <v>https://www.catalog.slsa.sa.gov.au/xrecord=b2114155</v>
      </c>
      <c r="D2508" t="s">
        <v>66</v>
      </c>
      <c r="E2508" t="s">
        <v>8927</v>
      </c>
      <c r="F2508">
        <v>1958</v>
      </c>
      <c r="G2508" t="s">
        <v>121</v>
      </c>
      <c r="H2508" t="s">
        <v>8928</v>
      </c>
      <c r="I2508" t="s">
        <v>8929</v>
      </c>
      <c r="J2508" t="s">
        <v>71</v>
      </c>
      <c r="K2508" s="2" t="str">
        <f>HYPERLINK("http://collections.slsa.sa.gov.au/arthur/04000/BRG347_3985.htm")</f>
        <v>http://collections.slsa.sa.gov.au/arthur/04000/BRG347_3985.htm</v>
      </c>
    </row>
    <row r="2509" spans="1:11" x14ac:dyDescent="0.25">
      <c r="A2509" t="s">
        <v>8930</v>
      </c>
      <c r="B2509" s="1" t="str">
        <f>HYPERLINK("https://www.catalog.slsa.sa.gov.au/record=b2114156")</f>
        <v>https://www.catalog.slsa.sa.gov.au/record=b2114156</v>
      </c>
      <c r="C2509" s="1" t="str">
        <f>HYPERLINK("https://www.catalog.slsa.sa.gov.au/xrecord=b2114156")</f>
        <v>https://www.catalog.slsa.sa.gov.au/xrecord=b2114156</v>
      </c>
      <c r="D2509" t="s">
        <v>66</v>
      </c>
      <c r="E2509" t="s">
        <v>8931</v>
      </c>
      <c r="F2509">
        <v>1958</v>
      </c>
      <c r="G2509" t="s">
        <v>121</v>
      </c>
      <c r="H2509" t="s">
        <v>8932</v>
      </c>
      <c r="I2509" t="s">
        <v>8933</v>
      </c>
      <c r="J2509" t="s">
        <v>71</v>
      </c>
      <c r="K2509" s="2" t="str">
        <f>HYPERLINK("http://collections.slsa.sa.gov.au/arthur/04000/BRG347_3986.htm")</f>
        <v>http://collections.slsa.sa.gov.au/arthur/04000/BRG347_3986.htm</v>
      </c>
    </row>
    <row r="2510" spans="1:11" x14ac:dyDescent="0.25">
      <c r="A2510" t="s">
        <v>8934</v>
      </c>
      <c r="B2510" s="1" t="str">
        <f>HYPERLINK("https://www.catalog.slsa.sa.gov.au/record=b2117842")</f>
        <v>https://www.catalog.slsa.sa.gov.au/record=b2117842</v>
      </c>
      <c r="C2510" s="1" t="str">
        <f>HYPERLINK("https://www.catalog.slsa.sa.gov.au/xrecord=b2117842")</f>
        <v>https://www.catalog.slsa.sa.gov.au/xrecord=b2117842</v>
      </c>
      <c r="D2510" t="s">
        <v>66</v>
      </c>
      <c r="E2510" t="s">
        <v>8935</v>
      </c>
      <c r="F2510">
        <v>1958</v>
      </c>
      <c r="G2510" t="s">
        <v>121</v>
      </c>
      <c r="H2510" t="s">
        <v>8936</v>
      </c>
      <c r="I2510" t="s">
        <v>4460</v>
      </c>
      <c r="J2510" t="s">
        <v>71</v>
      </c>
      <c r="K2510" s="2" t="str">
        <f>HYPERLINK("http://collections.slsa.sa.gov.au/arthur/04000/BRG347_3987.htm")</f>
        <v>http://collections.slsa.sa.gov.au/arthur/04000/BRG347_3987.htm</v>
      </c>
    </row>
    <row r="2511" spans="1:11" x14ac:dyDescent="0.25">
      <c r="A2511" t="s">
        <v>8937</v>
      </c>
      <c r="B2511" s="1" t="str">
        <f>HYPERLINK("https://www.catalog.slsa.sa.gov.au/record=b2116531")</f>
        <v>https://www.catalog.slsa.sa.gov.au/record=b2116531</v>
      </c>
      <c r="C2511" s="1" t="str">
        <f>HYPERLINK("https://www.catalog.slsa.sa.gov.au/xrecord=b2116531")</f>
        <v>https://www.catalog.slsa.sa.gov.au/xrecord=b2116531</v>
      </c>
      <c r="D2511" t="s">
        <v>66</v>
      </c>
      <c r="E2511" t="s">
        <v>7913</v>
      </c>
      <c r="F2511">
        <v>1958</v>
      </c>
      <c r="G2511" t="s">
        <v>121</v>
      </c>
      <c r="H2511" t="s">
        <v>8938</v>
      </c>
      <c r="I2511" t="s">
        <v>6774</v>
      </c>
      <c r="J2511" t="s">
        <v>71</v>
      </c>
      <c r="K2511" s="2" t="str">
        <f>HYPERLINK("http://collections.slsa.sa.gov.au/arthur/05750/BRG347_5546.htm")</f>
        <v>http://collections.slsa.sa.gov.au/arthur/05750/BRG347_5546.htm</v>
      </c>
    </row>
    <row r="2512" spans="1:11" x14ac:dyDescent="0.25">
      <c r="A2512" t="s">
        <v>8939</v>
      </c>
      <c r="B2512" s="1" t="str">
        <f>HYPERLINK("https://www.catalog.slsa.sa.gov.au/record=b2116623")</f>
        <v>https://www.catalog.slsa.sa.gov.au/record=b2116623</v>
      </c>
      <c r="C2512" s="1" t="str">
        <f>HYPERLINK("https://www.catalog.slsa.sa.gov.au/xrecord=b2116623")</f>
        <v>https://www.catalog.slsa.sa.gov.au/xrecord=b2116623</v>
      </c>
      <c r="D2512" t="s">
        <v>66</v>
      </c>
      <c r="E2512" t="s">
        <v>8940</v>
      </c>
      <c r="F2512">
        <v>1958</v>
      </c>
      <c r="G2512" t="s">
        <v>121</v>
      </c>
      <c r="H2512" t="s">
        <v>8941</v>
      </c>
      <c r="I2512" t="s">
        <v>8942</v>
      </c>
      <c r="J2512" t="s">
        <v>71</v>
      </c>
      <c r="K2512" s="2" t="str">
        <f>HYPERLINK("http://collections.slsa.sa.gov.au/arthur/05750/BRG347_5550.htm")</f>
        <v>http://collections.slsa.sa.gov.au/arthur/05750/BRG347_5550.htm</v>
      </c>
    </row>
    <row r="2513" spans="1:11" x14ac:dyDescent="0.25">
      <c r="A2513" t="s">
        <v>8943</v>
      </c>
      <c r="B2513" s="1" t="str">
        <f>HYPERLINK("https://www.catalog.slsa.sa.gov.au/record=b2116624")</f>
        <v>https://www.catalog.slsa.sa.gov.au/record=b2116624</v>
      </c>
      <c r="C2513" s="1" t="str">
        <f>HYPERLINK("https://www.catalog.slsa.sa.gov.au/xrecord=b2116624")</f>
        <v>https://www.catalog.slsa.sa.gov.au/xrecord=b2116624</v>
      </c>
      <c r="D2513" t="s">
        <v>66</v>
      </c>
      <c r="E2513" t="s">
        <v>8944</v>
      </c>
      <c r="F2513">
        <v>1958</v>
      </c>
      <c r="G2513" t="s">
        <v>121</v>
      </c>
      <c r="H2513" t="s">
        <v>8945</v>
      </c>
      <c r="I2513" t="s">
        <v>8946</v>
      </c>
      <c r="J2513" t="s">
        <v>71</v>
      </c>
      <c r="K2513" s="2" t="str">
        <f>HYPERLINK("http://collections.slsa.sa.gov.au/arthur/05750/BRG347_5551.htm")</f>
        <v>http://collections.slsa.sa.gov.au/arthur/05750/BRG347_5551.htm</v>
      </c>
    </row>
    <row r="2514" spans="1:11" x14ac:dyDescent="0.25">
      <c r="A2514" t="s">
        <v>8947</v>
      </c>
      <c r="B2514" s="1" t="str">
        <f>HYPERLINK("https://www.catalog.slsa.sa.gov.au/record=b2116625")</f>
        <v>https://www.catalog.slsa.sa.gov.au/record=b2116625</v>
      </c>
      <c r="C2514" s="1" t="str">
        <f>HYPERLINK("https://www.catalog.slsa.sa.gov.au/xrecord=b2116625")</f>
        <v>https://www.catalog.slsa.sa.gov.au/xrecord=b2116625</v>
      </c>
      <c r="D2514" t="s">
        <v>66</v>
      </c>
      <c r="E2514" t="s">
        <v>8948</v>
      </c>
      <c r="F2514">
        <v>1958</v>
      </c>
      <c r="G2514" t="s">
        <v>121</v>
      </c>
      <c r="H2514" t="s">
        <v>8949</v>
      </c>
      <c r="I2514" t="s">
        <v>8950</v>
      </c>
      <c r="J2514" t="s">
        <v>71</v>
      </c>
      <c r="K2514" s="2" t="str">
        <f>HYPERLINK("http://collections.slsa.sa.gov.au/arthur/05750/BRG347_5552.htm")</f>
        <v>http://collections.slsa.sa.gov.au/arthur/05750/BRG347_5552.htm</v>
      </c>
    </row>
    <row r="2515" spans="1:11" x14ac:dyDescent="0.25">
      <c r="A2515" t="s">
        <v>8951</v>
      </c>
      <c r="B2515" s="1" t="str">
        <f>HYPERLINK("https://www.catalog.slsa.sa.gov.au/record=b2116626")</f>
        <v>https://www.catalog.slsa.sa.gov.au/record=b2116626</v>
      </c>
      <c r="C2515" s="1" t="str">
        <f>HYPERLINK("https://www.catalog.slsa.sa.gov.au/xrecord=b2116626")</f>
        <v>https://www.catalog.slsa.sa.gov.au/xrecord=b2116626</v>
      </c>
      <c r="D2515" t="s">
        <v>66</v>
      </c>
      <c r="E2515" t="s">
        <v>8952</v>
      </c>
      <c r="F2515">
        <v>1958</v>
      </c>
      <c r="G2515" t="s">
        <v>121</v>
      </c>
      <c r="H2515" t="s">
        <v>8953</v>
      </c>
      <c r="I2515" t="s">
        <v>8954</v>
      </c>
      <c r="J2515" t="s">
        <v>71</v>
      </c>
      <c r="K2515" s="2" t="str">
        <f>HYPERLINK("http://collections.slsa.sa.gov.au/arthur/05750/BRG347_5553.htm")</f>
        <v>http://collections.slsa.sa.gov.au/arthur/05750/BRG347_5553.htm</v>
      </c>
    </row>
    <row r="2516" spans="1:11" x14ac:dyDescent="0.25">
      <c r="A2516" t="s">
        <v>8955</v>
      </c>
      <c r="B2516" s="1" t="str">
        <f>HYPERLINK("https://www.catalog.slsa.sa.gov.au/record=b2116627")</f>
        <v>https://www.catalog.slsa.sa.gov.au/record=b2116627</v>
      </c>
      <c r="C2516" s="1" t="str">
        <f>HYPERLINK("https://www.catalog.slsa.sa.gov.au/xrecord=b2116627")</f>
        <v>https://www.catalog.slsa.sa.gov.au/xrecord=b2116627</v>
      </c>
      <c r="D2516" t="s">
        <v>66</v>
      </c>
      <c r="E2516" t="s">
        <v>8956</v>
      </c>
      <c r="F2516">
        <v>1958</v>
      </c>
      <c r="G2516" t="s">
        <v>121</v>
      </c>
      <c r="H2516" t="s">
        <v>8957</v>
      </c>
      <c r="I2516" t="s">
        <v>8958</v>
      </c>
      <c r="J2516" t="s">
        <v>71</v>
      </c>
      <c r="K2516" s="2" t="str">
        <f>HYPERLINK("http://collections.slsa.sa.gov.au/arthur/05750/BRG347_5554.htm")</f>
        <v>http://collections.slsa.sa.gov.au/arthur/05750/BRG347_5554.htm</v>
      </c>
    </row>
    <row r="2517" spans="1:11" x14ac:dyDescent="0.25">
      <c r="A2517" t="s">
        <v>8959</v>
      </c>
      <c r="B2517" s="1" t="str">
        <f>HYPERLINK("https://www.catalog.slsa.sa.gov.au/record=b2116628")</f>
        <v>https://www.catalog.slsa.sa.gov.au/record=b2116628</v>
      </c>
      <c r="C2517" s="1" t="str">
        <f>HYPERLINK("https://www.catalog.slsa.sa.gov.au/xrecord=b2116628")</f>
        <v>https://www.catalog.slsa.sa.gov.au/xrecord=b2116628</v>
      </c>
      <c r="D2517" t="s">
        <v>66</v>
      </c>
      <c r="E2517" t="s">
        <v>8960</v>
      </c>
      <c r="F2517">
        <v>1958</v>
      </c>
      <c r="G2517" t="s">
        <v>121</v>
      </c>
      <c r="H2517" t="s">
        <v>8961</v>
      </c>
      <c r="I2517" t="s">
        <v>8962</v>
      </c>
      <c r="J2517" t="s">
        <v>71</v>
      </c>
      <c r="K2517" s="2" t="str">
        <f>HYPERLINK("http://collections.slsa.sa.gov.au/arthur/05750/BRG347_5555.htm")</f>
        <v>http://collections.slsa.sa.gov.au/arthur/05750/BRG347_5555.htm</v>
      </c>
    </row>
    <row r="2518" spans="1:11" x14ac:dyDescent="0.25">
      <c r="A2518" t="s">
        <v>8963</v>
      </c>
      <c r="B2518" s="1" t="str">
        <f>HYPERLINK("https://www.catalog.slsa.sa.gov.au/record=b2116629")</f>
        <v>https://www.catalog.slsa.sa.gov.au/record=b2116629</v>
      </c>
      <c r="C2518" s="1" t="str">
        <f>HYPERLINK("https://www.catalog.slsa.sa.gov.au/xrecord=b2116629")</f>
        <v>https://www.catalog.slsa.sa.gov.au/xrecord=b2116629</v>
      </c>
      <c r="D2518" t="s">
        <v>66</v>
      </c>
      <c r="E2518" t="s">
        <v>8964</v>
      </c>
      <c r="F2518">
        <v>1958</v>
      </c>
      <c r="G2518" t="s">
        <v>121</v>
      </c>
      <c r="H2518" t="s">
        <v>8965</v>
      </c>
      <c r="I2518" t="s">
        <v>8966</v>
      </c>
      <c r="J2518" t="s">
        <v>71</v>
      </c>
      <c r="K2518" s="2" t="str">
        <f>HYPERLINK("http://collections.slsa.sa.gov.au/arthur/05750/BRG347_5556.htm")</f>
        <v>http://collections.slsa.sa.gov.au/arthur/05750/BRG347_5556.htm</v>
      </c>
    </row>
    <row r="2519" spans="1:11" x14ac:dyDescent="0.25">
      <c r="A2519" t="s">
        <v>8967</v>
      </c>
      <c r="B2519" s="1" t="str">
        <f>HYPERLINK("https://www.catalog.slsa.sa.gov.au/record=b2116630")</f>
        <v>https://www.catalog.slsa.sa.gov.au/record=b2116630</v>
      </c>
      <c r="C2519" s="1" t="str">
        <f>HYPERLINK("https://www.catalog.slsa.sa.gov.au/xrecord=b2116630")</f>
        <v>https://www.catalog.slsa.sa.gov.au/xrecord=b2116630</v>
      </c>
      <c r="D2519" t="s">
        <v>66</v>
      </c>
      <c r="E2519" t="s">
        <v>8968</v>
      </c>
      <c r="F2519">
        <v>1958</v>
      </c>
      <c r="G2519" t="s">
        <v>121</v>
      </c>
      <c r="H2519" t="s">
        <v>8969</v>
      </c>
      <c r="I2519" t="s">
        <v>8970</v>
      </c>
      <c r="J2519" t="s">
        <v>71</v>
      </c>
      <c r="K2519" s="2" t="str">
        <f>HYPERLINK("http://collections.slsa.sa.gov.au/arthur/05750/BRG347_5557.htm")</f>
        <v>http://collections.slsa.sa.gov.au/arthur/05750/BRG347_5557.htm</v>
      </c>
    </row>
    <row r="2520" spans="1:11" x14ac:dyDescent="0.25">
      <c r="A2520" t="s">
        <v>8971</v>
      </c>
      <c r="B2520" s="1" t="str">
        <f>HYPERLINK("https://www.catalog.slsa.sa.gov.au/record=b2116632")</f>
        <v>https://www.catalog.slsa.sa.gov.au/record=b2116632</v>
      </c>
      <c r="C2520" s="1" t="str">
        <f>HYPERLINK("https://www.catalog.slsa.sa.gov.au/xrecord=b2116632")</f>
        <v>https://www.catalog.slsa.sa.gov.au/xrecord=b2116632</v>
      </c>
      <c r="D2520" t="s">
        <v>66</v>
      </c>
      <c r="E2520" t="s">
        <v>8972</v>
      </c>
      <c r="F2520">
        <v>1958</v>
      </c>
      <c r="G2520" t="s">
        <v>121</v>
      </c>
      <c r="H2520" t="s">
        <v>8973</v>
      </c>
      <c r="I2520" t="s">
        <v>8974</v>
      </c>
      <c r="J2520" t="s">
        <v>71</v>
      </c>
      <c r="K2520" s="2" t="str">
        <f>HYPERLINK("http://collections.slsa.sa.gov.au/arthur/05750/BRG347_5559.htm")</f>
        <v>http://collections.slsa.sa.gov.au/arthur/05750/BRG347_5559.htm</v>
      </c>
    </row>
    <row r="2521" spans="1:11" x14ac:dyDescent="0.25">
      <c r="A2521" t="s">
        <v>8975</v>
      </c>
      <c r="B2521" s="1" t="str">
        <f>HYPERLINK("https://www.catalog.slsa.sa.gov.au/record=b2116633")</f>
        <v>https://www.catalog.slsa.sa.gov.au/record=b2116633</v>
      </c>
      <c r="C2521" s="1" t="str">
        <f>HYPERLINK("https://www.catalog.slsa.sa.gov.au/xrecord=b2116633")</f>
        <v>https://www.catalog.slsa.sa.gov.au/xrecord=b2116633</v>
      </c>
      <c r="D2521" t="s">
        <v>66</v>
      </c>
      <c r="E2521" t="s">
        <v>8976</v>
      </c>
      <c r="F2521">
        <v>1958</v>
      </c>
      <c r="G2521" t="s">
        <v>121</v>
      </c>
      <c r="H2521" t="s">
        <v>8977</v>
      </c>
      <c r="I2521" t="s">
        <v>8978</v>
      </c>
      <c r="J2521" t="s">
        <v>71</v>
      </c>
      <c r="K2521" s="2" t="str">
        <f>HYPERLINK("http://collections.slsa.sa.gov.au/arthur/05750/BRG347_5560.htm")</f>
        <v>http://collections.slsa.sa.gov.au/arthur/05750/BRG347_5560.htm</v>
      </c>
    </row>
    <row r="2522" spans="1:11" x14ac:dyDescent="0.25">
      <c r="A2522" t="s">
        <v>8979</v>
      </c>
      <c r="B2522" s="1" t="str">
        <f>HYPERLINK("https://www.catalog.slsa.sa.gov.au/record=b2116634")</f>
        <v>https://www.catalog.slsa.sa.gov.au/record=b2116634</v>
      </c>
      <c r="C2522" s="1" t="str">
        <f>HYPERLINK("https://www.catalog.slsa.sa.gov.au/xrecord=b2116634")</f>
        <v>https://www.catalog.slsa.sa.gov.au/xrecord=b2116634</v>
      </c>
      <c r="D2522" t="s">
        <v>66</v>
      </c>
      <c r="E2522" t="s">
        <v>8980</v>
      </c>
      <c r="F2522">
        <v>1958</v>
      </c>
      <c r="G2522" t="s">
        <v>121</v>
      </c>
      <c r="H2522" t="s">
        <v>8981</v>
      </c>
      <c r="I2522" t="s">
        <v>8982</v>
      </c>
      <c r="J2522" t="s">
        <v>71</v>
      </c>
      <c r="K2522" s="2" t="str">
        <f>HYPERLINK("http://collections.slsa.sa.gov.au/arthur/05750/BRG347_5561.htm")</f>
        <v>http://collections.slsa.sa.gov.au/arthur/05750/BRG347_5561.htm</v>
      </c>
    </row>
    <row r="2523" spans="1:11" x14ac:dyDescent="0.25">
      <c r="A2523" t="s">
        <v>8983</v>
      </c>
      <c r="B2523" s="1" t="str">
        <f>HYPERLINK("https://www.catalog.slsa.sa.gov.au/record=b2116635")</f>
        <v>https://www.catalog.slsa.sa.gov.au/record=b2116635</v>
      </c>
      <c r="C2523" s="1" t="str">
        <f>HYPERLINK("https://www.catalog.slsa.sa.gov.au/xrecord=b2116635")</f>
        <v>https://www.catalog.slsa.sa.gov.au/xrecord=b2116635</v>
      </c>
      <c r="D2523" t="s">
        <v>66</v>
      </c>
      <c r="E2523" t="s">
        <v>8984</v>
      </c>
      <c r="F2523">
        <v>1958</v>
      </c>
      <c r="G2523" t="s">
        <v>121</v>
      </c>
      <c r="H2523" t="s">
        <v>8985</v>
      </c>
      <c r="I2523" t="s">
        <v>8986</v>
      </c>
      <c r="J2523" t="s">
        <v>71</v>
      </c>
      <c r="K2523" s="2" t="str">
        <f>HYPERLINK("http://collections.slsa.sa.gov.au/arthur/05750/BRG347_5562.htm")</f>
        <v>http://collections.slsa.sa.gov.au/arthur/05750/BRG347_5562.htm</v>
      </c>
    </row>
    <row r="2524" spans="1:11" x14ac:dyDescent="0.25">
      <c r="A2524" t="s">
        <v>8987</v>
      </c>
      <c r="B2524" s="1" t="str">
        <f>HYPERLINK("https://www.catalog.slsa.sa.gov.au/record=b2116637")</f>
        <v>https://www.catalog.slsa.sa.gov.au/record=b2116637</v>
      </c>
      <c r="C2524" s="1" t="str">
        <f>HYPERLINK("https://www.catalog.slsa.sa.gov.au/xrecord=b2116637")</f>
        <v>https://www.catalog.slsa.sa.gov.au/xrecord=b2116637</v>
      </c>
      <c r="D2524" t="s">
        <v>66</v>
      </c>
      <c r="E2524" t="s">
        <v>8988</v>
      </c>
      <c r="F2524">
        <v>1958</v>
      </c>
      <c r="G2524" t="s">
        <v>121</v>
      </c>
      <c r="H2524" t="s">
        <v>8989</v>
      </c>
      <c r="I2524" t="s">
        <v>8990</v>
      </c>
      <c r="J2524" t="s">
        <v>71</v>
      </c>
      <c r="K2524" s="2" t="str">
        <f>HYPERLINK("http://collections.slsa.sa.gov.au/arthur/05750/BRG347_5564.htm")</f>
        <v>http://collections.slsa.sa.gov.au/arthur/05750/BRG347_5564.htm</v>
      </c>
    </row>
    <row r="2525" spans="1:11" x14ac:dyDescent="0.25">
      <c r="A2525" t="s">
        <v>8991</v>
      </c>
      <c r="B2525" s="1" t="str">
        <f>HYPERLINK("https://www.catalog.slsa.sa.gov.au/record=b2116638")</f>
        <v>https://www.catalog.slsa.sa.gov.au/record=b2116638</v>
      </c>
      <c r="C2525" s="1" t="str">
        <f>HYPERLINK("https://www.catalog.slsa.sa.gov.au/xrecord=b2116638")</f>
        <v>https://www.catalog.slsa.sa.gov.au/xrecord=b2116638</v>
      </c>
      <c r="D2525" t="s">
        <v>66</v>
      </c>
      <c r="E2525" t="s">
        <v>8992</v>
      </c>
      <c r="F2525">
        <v>1958</v>
      </c>
      <c r="G2525" t="s">
        <v>121</v>
      </c>
      <c r="H2525" t="s">
        <v>8993</v>
      </c>
      <c r="I2525" t="s">
        <v>8994</v>
      </c>
      <c r="J2525" t="s">
        <v>71</v>
      </c>
      <c r="K2525" s="2" t="str">
        <f>HYPERLINK("http://collections.slsa.sa.gov.au/arthur/05750/BRG347_5565.htm")</f>
        <v>http://collections.slsa.sa.gov.au/arthur/05750/BRG347_5565.htm</v>
      </c>
    </row>
    <row r="2526" spans="1:11" x14ac:dyDescent="0.25">
      <c r="A2526" t="s">
        <v>8995</v>
      </c>
      <c r="B2526" s="1" t="str">
        <f>HYPERLINK("https://www.catalog.slsa.sa.gov.au/record=b2116674")</f>
        <v>https://www.catalog.slsa.sa.gov.au/record=b2116674</v>
      </c>
      <c r="C2526" s="1" t="str">
        <f>HYPERLINK("https://www.catalog.slsa.sa.gov.au/xrecord=b2116674")</f>
        <v>https://www.catalog.slsa.sa.gov.au/xrecord=b2116674</v>
      </c>
      <c r="D2526" t="s">
        <v>66</v>
      </c>
      <c r="E2526" t="s">
        <v>8996</v>
      </c>
      <c r="F2526">
        <v>1958</v>
      </c>
      <c r="G2526" t="s">
        <v>121</v>
      </c>
      <c r="H2526" t="s">
        <v>8997</v>
      </c>
      <c r="I2526" t="s">
        <v>8998</v>
      </c>
      <c r="J2526" t="s">
        <v>71</v>
      </c>
      <c r="K2526" s="2" t="str">
        <f>HYPERLINK("http://collections.slsa.sa.gov.au/arthur/05750/BRG347_5601.htm")</f>
        <v>http://collections.slsa.sa.gov.au/arthur/05750/BRG347_5601.htm</v>
      </c>
    </row>
    <row r="2527" spans="1:11" x14ac:dyDescent="0.25">
      <c r="A2527" t="s">
        <v>8999</v>
      </c>
      <c r="B2527" s="1" t="str">
        <f>HYPERLINK("https://www.catalog.slsa.sa.gov.au/record=b2116675")</f>
        <v>https://www.catalog.slsa.sa.gov.au/record=b2116675</v>
      </c>
      <c r="C2527" s="1" t="str">
        <f>HYPERLINK("https://www.catalog.slsa.sa.gov.au/xrecord=b2116675")</f>
        <v>https://www.catalog.slsa.sa.gov.au/xrecord=b2116675</v>
      </c>
      <c r="D2527" t="s">
        <v>66</v>
      </c>
      <c r="E2527" t="s">
        <v>9000</v>
      </c>
      <c r="F2527">
        <v>1958</v>
      </c>
      <c r="G2527" t="s">
        <v>121</v>
      </c>
      <c r="H2527" t="s">
        <v>9001</v>
      </c>
      <c r="I2527" t="s">
        <v>9002</v>
      </c>
      <c r="J2527" t="s">
        <v>71</v>
      </c>
      <c r="K2527" s="2" t="str">
        <f>HYPERLINK("http://collections.slsa.sa.gov.au/arthur/05750/BRG347_5602.htm")</f>
        <v>http://collections.slsa.sa.gov.au/arthur/05750/BRG347_5602.htm</v>
      </c>
    </row>
    <row r="2528" spans="1:11" x14ac:dyDescent="0.25">
      <c r="A2528" t="s">
        <v>9003</v>
      </c>
      <c r="B2528" s="1" t="str">
        <f>HYPERLINK("https://www.catalog.slsa.sa.gov.au/record=b2116676")</f>
        <v>https://www.catalog.slsa.sa.gov.au/record=b2116676</v>
      </c>
      <c r="C2528" s="1" t="str">
        <f>HYPERLINK("https://www.catalog.slsa.sa.gov.au/xrecord=b2116676")</f>
        <v>https://www.catalog.slsa.sa.gov.au/xrecord=b2116676</v>
      </c>
      <c r="D2528" t="s">
        <v>66</v>
      </c>
      <c r="E2528" t="s">
        <v>9004</v>
      </c>
      <c r="F2528">
        <v>1958</v>
      </c>
      <c r="G2528" t="s">
        <v>121</v>
      </c>
      <c r="H2528" t="s">
        <v>9005</v>
      </c>
      <c r="I2528" t="s">
        <v>9006</v>
      </c>
      <c r="J2528" t="s">
        <v>71</v>
      </c>
      <c r="K2528" s="2" t="str">
        <f>HYPERLINK("http://collections.slsa.sa.gov.au/arthur/05750/BRG347_5603.htm")</f>
        <v>http://collections.slsa.sa.gov.au/arthur/05750/BRG347_5603.htm</v>
      </c>
    </row>
    <row r="2529" spans="1:11" x14ac:dyDescent="0.25">
      <c r="A2529" t="s">
        <v>9007</v>
      </c>
      <c r="B2529" s="1" t="str">
        <f>HYPERLINK("https://www.catalog.slsa.sa.gov.au/record=b2116677")</f>
        <v>https://www.catalog.slsa.sa.gov.au/record=b2116677</v>
      </c>
      <c r="C2529" s="1" t="str">
        <f>HYPERLINK("https://www.catalog.slsa.sa.gov.au/xrecord=b2116677")</f>
        <v>https://www.catalog.slsa.sa.gov.au/xrecord=b2116677</v>
      </c>
      <c r="D2529" t="s">
        <v>66</v>
      </c>
      <c r="E2529" t="s">
        <v>9008</v>
      </c>
      <c r="F2529">
        <v>1958</v>
      </c>
      <c r="G2529" t="s">
        <v>121</v>
      </c>
      <c r="H2529" t="s">
        <v>9009</v>
      </c>
      <c r="I2529" t="s">
        <v>9010</v>
      </c>
      <c r="J2529" t="s">
        <v>71</v>
      </c>
      <c r="K2529" s="2" t="str">
        <f>HYPERLINK("http://collections.slsa.sa.gov.au/arthur/05750/BRG347_5604.htm")</f>
        <v>http://collections.slsa.sa.gov.au/arthur/05750/BRG347_5604.htm</v>
      </c>
    </row>
    <row r="2530" spans="1:11" x14ac:dyDescent="0.25">
      <c r="A2530" t="s">
        <v>9011</v>
      </c>
      <c r="B2530" s="1" t="str">
        <f>HYPERLINK("https://www.catalog.slsa.sa.gov.au/record=b2116678")</f>
        <v>https://www.catalog.slsa.sa.gov.au/record=b2116678</v>
      </c>
      <c r="C2530" s="1" t="str">
        <f>HYPERLINK("https://www.catalog.slsa.sa.gov.au/xrecord=b2116678")</f>
        <v>https://www.catalog.slsa.sa.gov.au/xrecord=b2116678</v>
      </c>
      <c r="D2530" t="s">
        <v>66</v>
      </c>
      <c r="E2530" t="s">
        <v>9012</v>
      </c>
      <c r="F2530">
        <v>1958</v>
      </c>
      <c r="G2530" t="s">
        <v>121</v>
      </c>
      <c r="H2530" t="s">
        <v>9013</v>
      </c>
      <c r="I2530" t="s">
        <v>9014</v>
      </c>
      <c r="J2530" t="s">
        <v>71</v>
      </c>
      <c r="K2530" s="2" t="str">
        <f>HYPERLINK("http://collections.slsa.sa.gov.au/arthur/05750/BRG347_5605.htm")</f>
        <v>http://collections.slsa.sa.gov.au/arthur/05750/BRG347_5605.htm</v>
      </c>
    </row>
    <row r="2531" spans="1:11" x14ac:dyDescent="0.25">
      <c r="A2531" t="s">
        <v>9015</v>
      </c>
      <c r="B2531" s="1" t="str">
        <f>HYPERLINK("https://www.catalog.slsa.sa.gov.au/record=b2116679")</f>
        <v>https://www.catalog.slsa.sa.gov.au/record=b2116679</v>
      </c>
      <c r="C2531" s="1" t="str">
        <f>HYPERLINK("https://www.catalog.slsa.sa.gov.au/xrecord=b2116679")</f>
        <v>https://www.catalog.slsa.sa.gov.au/xrecord=b2116679</v>
      </c>
      <c r="D2531" t="s">
        <v>66</v>
      </c>
      <c r="E2531" t="s">
        <v>9016</v>
      </c>
      <c r="F2531">
        <v>1958</v>
      </c>
      <c r="G2531" t="s">
        <v>121</v>
      </c>
      <c r="H2531" t="s">
        <v>9017</v>
      </c>
      <c r="I2531" t="s">
        <v>9018</v>
      </c>
      <c r="J2531" t="s">
        <v>71</v>
      </c>
      <c r="K2531" s="2" t="str">
        <f>HYPERLINK("http://collections.slsa.sa.gov.au/arthur/05750/BRG347_5606.htm")</f>
        <v>http://collections.slsa.sa.gov.au/arthur/05750/BRG347_5606.htm</v>
      </c>
    </row>
    <row r="2532" spans="1:11" x14ac:dyDescent="0.25">
      <c r="A2532" t="s">
        <v>9019</v>
      </c>
      <c r="B2532" s="1" t="str">
        <f>HYPERLINK("https://www.catalog.slsa.sa.gov.au/record=b2116680")</f>
        <v>https://www.catalog.slsa.sa.gov.au/record=b2116680</v>
      </c>
      <c r="C2532" s="1" t="str">
        <f>HYPERLINK("https://www.catalog.slsa.sa.gov.au/xrecord=b2116680")</f>
        <v>https://www.catalog.slsa.sa.gov.au/xrecord=b2116680</v>
      </c>
      <c r="D2532" t="s">
        <v>66</v>
      </c>
      <c r="E2532" t="s">
        <v>9020</v>
      </c>
      <c r="F2532">
        <v>1958</v>
      </c>
      <c r="G2532" t="s">
        <v>121</v>
      </c>
      <c r="H2532" t="s">
        <v>9021</v>
      </c>
      <c r="J2532" t="s">
        <v>71</v>
      </c>
      <c r="K2532" s="2" t="str">
        <f>HYPERLINK("http://collections.slsa.sa.gov.au/arthur/05750/BRG347_5607.htm")</f>
        <v>http://collections.slsa.sa.gov.au/arthur/05750/BRG347_5607.htm</v>
      </c>
    </row>
    <row r="2533" spans="1:11" x14ac:dyDescent="0.25">
      <c r="A2533" t="s">
        <v>9022</v>
      </c>
      <c r="B2533" s="1" t="str">
        <f>HYPERLINK("https://www.catalog.slsa.sa.gov.au/record=b2121856")</f>
        <v>https://www.catalog.slsa.sa.gov.au/record=b2121856</v>
      </c>
      <c r="C2533" s="1" t="str">
        <f>HYPERLINK("https://www.catalog.slsa.sa.gov.au/xrecord=b2121856")</f>
        <v>https://www.catalog.slsa.sa.gov.au/xrecord=b2121856</v>
      </c>
      <c r="D2533" t="s">
        <v>66</v>
      </c>
      <c r="E2533" t="s">
        <v>9020</v>
      </c>
      <c r="F2533">
        <v>1958</v>
      </c>
      <c r="G2533" t="s">
        <v>121</v>
      </c>
      <c r="H2533" t="s">
        <v>9023</v>
      </c>
      <c r="I2533" t="s">
        <v>9024</v>
      </c>
      <c r="J2533" t="s">
        <v>71</v>
      </c>
      <c r="K2533" s="2" t="str">
        <f>HYPERLINK("http://collections.slsa.sa.gov.au/arthur/05750/BRG347_5608.htm")</f>
        <v>http://collections.slsa.sa.gov.au/arthur/05750/BRG347_5608.htm</v>
      </c>
    </row>
    <row r="2534" spans="1:11" x14ac:dyDescent="0.25">
      <c r="A2534" t="s">
        <v>9025</v>
      </c>
      <c r="B2534" s="1" t="str">
        <f>HYPERLINK("https://www.catalog.slsa.sa.gov.au/record=b2116682")</f>
        <v>https://www.catalog.slsa.sa.gov.au/record=b2116682</v>
      </c>
      <c r="C2534" s="1" t="str">
        <f>HYPERLINK("https://www.catalog.slsa.sa.gov.au/xrecord=b2116682")</f>
        <v>https://www.catalog.slsa.sa.gov.au/xrecord=b2116682</v>
      </c>
      <c r="D2534" t="s">
        <v>66</v>
      </c>
      <c r="E2534" t="s">
        <v>9026</v>
      </c>
      <c r="F2534">
        <v>1958</v>
      </c>
      <c r="G2534" t="s">
        <v>121</v>
      </c>
      <c r="H2534" t="s">
        <v>9027</v>
      </c>
      <c r="I2534" t="s">
        <v>9028</v>
      </c>
      <c r="J2534" t="s">
        <v>71</v>
      </c>
      <c r="K2534" s="2" t="str">
        <f>HYPERLINK("http://collections.slsa.sa.gov.au/arthur/05750/BRG347_5610.htm")</f>
        <v>http://collections.slsa.sa.gov.au/arthur/05750/BRG347_5610.htm</v>
      </c>
    </row>
    <row r="2535" spans="1:11" x14ac:dyDescent="0.25">
      <c r="A2535" t="s">
        <v>9029</v>
      </c>
      <c r="B2535" s="1" t="str">
        <f>HYPERLINK("https://www.catalog.slsa.sa.gov.au/record=b2116683")</f>
        <v>https://www.catalog.slsa.sa.gov.au/record=b2116683</v>
      </c>
      <c r="C2535" s="1" t="str">
        <f>HYPERLINK("https://www.catalog.slsa.sa.gov.au/xrecord=b2116683")</f>
        <v>https://www.catalog.slsa.sa.gov.au/xrecord=b2116683</v>
      </c>
      <c r="D2535" t="s">
        <v>66</v>
      </c>
      <c r="E2535" t="s">
        <v>9030</v>
      </c>
      <c r="F2535">
        <v>1958</v>
      </c>
      <c r="G2535" t="s">
        <v>121</v>
      </c>
      <c r="H2535" t="s">
        <v>9031</v>
      </c>
      <c r="I2535" t="s">
        <v>9032</v>
      </c>
      <c r="J2535" t="s">
        <v>71</v>
      </c>
      <c r="K2535" s="2" t="str">
        <f>HYPERLINK("http://collections.slsa.sa.gov.au/arthur/05750/BRG347_5611.htm")</f>
        <v>http://collections.slsa.sa.gov.au/arthur/05750/BRG347_5611.htm</v>
      </c>
    </row>
    <row r="2536" spans="1:11" x14ac:dyDescent="0.25">
      <c r="A2536" t="s">
        <v>9033</v>
      </c>
      <c r="B2536" s="1" t="str">
        <f>HYPERLINK("https://www.catalog.slsa.sa.gov.au/record=b2116684")</f>
        <v>https://www.catalog.slsa.sa.gov.au/record=b2116684</v>
      </c>
      <c r="C2536" s="1" t="str">
        <f>HYPERLINK("https://www.catalog.slsa.sa.gov.au/xrecord=b2116684")</f>
        <v>https://www.catalog.slsa.sa.gov.au/xrecord=b2116684</v>
      </c>
      <c r="D2536" t="s">
        <v>66</v>
      </c>
      <c r="E2536" t="s">
        <v>9034</v>
      </c>
      <c r="F2536">
        <v>1958</v>
      </c>
      <c r="G2536" t="s">
        <v>121</v>
      </c>
      <c r="H2536" t="s">
        <v>9035</v>
      </c>
      <c r="I2536" t="s">
        <v>9036</v>
      </c>
      <c r="J2536" t="s">
        <v>71</v>
      </c>
      <c r="K2536" s="2" t="str">
        <f>HYPERLINK("http://collections.slsa.sa.gov.au/arthur/05750/BRG347_5612.htm")</f>
        <v>http://collections.slsa.sa.gov.au/arthur/05750/BRG347_5612.htm</v>
      </c>
    </row>
    <row r="2537" spans="1:11" x14ac:dyDescent="0.25">
      <c r="A2537" t="s">
        <v>9037</v>
      </c>
      <c r="B2537" s="1" t="str">
        <f>HYPERLINK("https://www.catalog.slsa.sa.gov.au/record=b2116685")</f>
        <v>https://www.catalog.slsa.sa.gov.au/record=b2116685</v>
      </c>
      <c r="C2537" s="1" t="str">
        <f>HYPERLINK("https://www.catalog.slsa.sa.gov.au/xrecord=b2116685")</f>
        <v>https://www.catalog.slsa.sa.gov.au/xrecord=b2116685</v>
      </c>
      <c r="D2537" t="s">
        <v>66</v>
      </c>
      <c r="E2537" t="s">
        <v>9038</v>
      </c>
      <c r="F2537">
        <v>1958</v>
      </c>
      <c r="G2537" t="s">
        <v>121</v>
      </c>
      <c r="H2537" t="s">
        <v>9039</v>
      </c>
      <c r="I2537" t="s">
        <v>9040</v>
      </c>
      <c r="J2537" t="s">
        <v>71</v>
      </c>
      <c r="K2537" s="2" t="str">
        <f>HYPERLINK("http://collections.slsa.sa.gov.au/arthur/05750/BRG347_5613.htm")</f>
        <v>http://collections.slsa.sa.gov.au/arthur/05750/BRG347_5613.htm</v>
      </c>
    </row>
    <row r="2538" spans="1:11" x14ac:dyDescent="0.25">
      <c r="A2538" t="s">
        <v>9041</v>
      </c>
      <c r="B2538" s="1" t="str">
        <f>HYPERLINK("https://www.catalog.slsa.sa.gov.au/record=b2116686")</f>
        <v>https://www.catalog.slsa.sa.gov.au/record=b2116686</v>
      </c>
      <c r="C2538" s="1" t="str">
        <f>HYPERLINK("https://www.catalog.slsa.sa.gov.au/xrecord=b2116686")</f>
        <v>https://www.catalog.slsa.sa.gov.au/xrecord=b2116686</v>
      </c>
      <c r="D2538" t="s">
        <v>66</v>
      </c>
      <c r="E2538" t="s">
        <v>9042</v>
      </c>
      <c r="F2538">
        <v>1958</v>
      </c>
      <c r="G2538" t="s">
        <v>121</v>
      </c>
      <c r="H2538" t="s">
        <v>9043</v>
      </c>
      <c r="I2538" t="s">
        <v>9044</v>
      </c>
      <c r="J2538" t="s">
        <v>71</v>
      </c>
      <c r="K2538" s="2" t="str">
        <f>HYPERLINK("http://collections.slsa.sa.gov.au/arthur/05750/BRG347_5614.htm")</f>
        <v>http://collections.slsa.sa.gov.au/arthur/05750/BRG347_5614.htm</v>
      </c>
    </row>
    <row r="2539" spans="1:11" x14ac:dyDescent="0.25">
      <c r="A2539" t="s">
        <v>9045</v>
      </c>
      <c r="B2539" s="1" t="str">
        <f>HYPERLINK("https://www.catalog.slsa.sa.gov.au/record=b2116687")</f>
        <v>https://www.catalog.slsa.sa.gov.au/record=b2116687</v>
      </c>
      <c r="C2539" s="1" t="str">
        <f>HYPERLINK("https://www.catalog.slsa.sa.gov.au/xrecord=b2116687")</f>
        <v>https://www.catalog.slsa.sa.gov.au/xrecord=b2116687</v>
      </c>
      <c r="D2539" t="s">
        <v>66</v>
      </c>
      <c r="E2539" t="s">
        <v>9046</v>
      </c>
      <c r="F2539">
        <v>1958</v>
      </c>
      <c r="G2539" t="s">
        <v>121</v>
      </c>
      <c r="H2539" t="s">
        <v>9047</v>
      </c>
      <c r="I2539" t="s">
        <v>9048</v>
      </c>
      <c r="J2539" t="s">
        <v>71</v>
      </c>
      <c r="K2539" s="2" t="str">
        <f>HYPERLINK("http://collections.slsa.sa.gov.au/arthur/05750/BRG347_5615.htm")</f>
        <v>http://collections.slsa.sa.gov.au/arthur/05750/BRG347_5615.htm</v>
      </c>
    </row>
    <row r="2540" spans="1:11" x14ac:dyDescent="0.25">
      <c r="A2540" t="s">
        <v>9049</v>
      </c>
      <c r="B2540" s="1" t="str">
        <f>HYPERLINK("https://www.catalog.slsa.sa.gov.au/record=b2116688")</f>
        <v>https://www.catalog.slsa.sa.gov.au/record=b2116688</v>
      </c>
      <c r="C2540" s="1" t="str">
        <f>HYPERLINK("https://www.catalog.slsa.sa.gov.au/xrecord=b2116688")</f>
        <v>https://www.catalog.slsa.sa.gov.au/xrecord=b2116688</v>
      </c>
      <c r="D2540" t="s">
        <v>66</v>
      </c>
      <c r="E2540" t="s">
        <v>9050</v>
      </c>
      <c r="F2540">
        <v>1958</v>
      </c>
      <c r="G2540" t="s">
        <v>121</v>
      </c>
      <c r="H2540" t="s">
        <v>9051</v>
      </c>
      <c r="I2540" t="s">
        <v>9052</v>
      </c>
      <c r="J2540" t="s">
        <v>71</v>
      </c>
      <c r="K2540" s="2" t="str">
        <f>HYPERLINK("http://collections.slsa.sa.gov.au/arthur/05750/BRG347_5616.htm")</f>
        <v>http://collections.slsa.sa.gov.au/arthur/05750/BRG347_5616.htm</v>
      </c>
    </row>
    <row r="2541" spans="1:11" x14ac:dyDescent="0.25">
      <c r="A2541" t="s">
        <v>9053</v>
      </c>
      <c r="B2541" s="1" t="str">
        <f>HYPERLINK("https://www.catalog.slsa.sa.gov.au/record=b2116689")</f>
        <v>https://www.catalog.slsa.sa.gov.au/record=b2116689</v>
      </c>
      <c r="C2541" s="1" t="str">
        <f>HYPERLINK("https://www.catalog.slsa.sa.gov.au/xrecord=b2116689")</f>
        <v>https://www.catalog.slsa.sa.gov.au/xrecord=b2116689</v>
      </c>
      <c r="D2541" t="s">
        <v>66</v>
      </c>
      <c r="E2541" t="s">
        <v>9054</v>
      </c>
      <c r="F2541">
        <v>1958</v>
      </c>
      <c r="G2541" t="s">
        <v>121</v>
      </c>
      <c r="H2541" t="s">
        <v>9055</v>
      </c>
      <c r="I2541" t="s">
        <v>9056</v>
      </c>
      <c r="J2541" t="s">
        <v>71</v>
      </c>
      <c r="K2541" s="2" t="str">
        <f>HYPERLINK("http://collections.slsa.sa.gov.au/arthur/05750/BRG347_5617.htm")</f>
        <v>http://collections.slsa.sa.gov.au/arthur/05750/BRG347_5617.htm</v>
      </c>
    </row>
    <row r="2542" spans="1:11" x14ac:dyDescent="0.25">
      <c r="A2542" t="s">
        <v>9057</v>
      </c>
      <c r="B2542" s="1" t="str">
        <f>HYPERLINK("https://www.catalog.slsa.sa.gov.au/record=b2116690")</f>
        <v>https://www.catalog.slsa.sa.gov.au/record=b2116690</v>
      </c>
      <c r="C2542" s="1" t="str">
        <f>HYPERLINK("https://www.catalog.slsa.sa.gov.au/xrecord=b2116690")</f>
        <v>https://www.catalog.slsa.sa.gov.au/xrecord=b2116690</v>
      </c>
      <c r="D2542" t="s">
        <v>66</v>
      </c>
      <c r="E2542" t="s">
        <v>9058</v>
      </c>
      <c r="F2542">
        <v>1958</v>
      </c>
      <c r="G2542" t="s">
        <v>121</v>
      </c>
      <c r="H2542" t="s">
        <v>9059</v>
      </c>
      <c r="I2542" t="s">
        <v>9060</v>
      </c>
      <c r="J2542" t="s">
        <v>71</v>
      </c>
      <c r="K2542" s="2" t="str">
        <f>HYPERLINK("http://collections.slsa.sa.gov.au/arthur/05750/BRG347_5618.htm")</f>
        <v>http://collections.slsa.sa.gov.au/arthur/05750/BRG347_5618.htm</v>
      </c>
    </row>
    <row r="2543" spans="1:11" x14ac:dyDescent="0.25">
      <c r="A2543" t="s">
        <v>9061</v>
      </c>
      <c r="B2543" s="1" t="str">
        <f>HYPERLINK("https://www.catalog.slsa.sa.gov.au/record=b2116691")</f>
        <v>https://www.catalog.slsa.sa.gov.au/record=b2116691</v>
      </c>
      <c r="C2543" s="1" t="str">
        <f>HYPERLINK("https://www.catalog.slsa.sa.gov.au/xrecord=b2116691")</f>
        <v>https://www.catalog.slsa.sa.gov.au/xrecord=b2116691</v>
      </c>
      <c r="D2543" t="s">
        <v>66</v>
      </c>
      <c r="E2543" t="s">
        <v>9062</v>
      </c>
      <c r="F2543">
        <v>1958</v>
      </c>
      <c r="G2543" t="s">
        <v>121</v>
      </c>
      <c r="H2543" t="s">
        <v>9063</v>
      </c>
      <c r="I2543" t="s">
        <v>9064</v>
      </c>
      <c r="J2543" t="s">
        <v>71</v>
      </c>
      <c r="K2543" s="2" t="str">
        <f>HYPERLINK("http://collections.slsa.sa.gov.au/arthur/05750/BRG347_5619.htm")</f>
        <v>http://collections.slsa.sa.gov.au/arthur/05750/BRG347_5619.htm</v>
      </c>
    </row>
    <row r="2544" spans="1:11" x14ac:dyDescent="0.25">
      <c r="A2544" t="s">
        <v>9065</v>
      </c>
      <c r="B2544" s="1" t="str">
        <f>HYPERLINK("https://www.catalog.slsa.sa.gov.au/record=b2116692")</f>
        <v>https://www.catalog.slsa.sa.gov.au/record=b2116692</v>
      </c>
      <c r="C2544" s="1" t="str">
        <f>HYPERLINK("https://www.catalog.slsa.sa.gov.au/xrecord=b2116692")</f>
        <v>https://www.catalog.slsa.sa.gov.au/xrecord=b2116692</v>
      </c>
      <c r="D2544" t="s">
        <v>66</v>
      </c>
      <c r="E2544" t="s">
        <v>9066</v>
      </c>
      <c r="F2544">
        <v>1958</v>
      </c>
      <c r="G2544" t="s">
        <v>121</v>
      </c>
      <c r="H2544" t="s">
        <v>9067</v>
      </c>
      <c r="I2544" t="s">
        <v>9068</v>
      </c>
      <c r="J2544" t="s">
        <v>71</v>
      </c>
      <c r="K2544" s="2" t="str">
        <f>HYPERLINK("http://collections.slsa.sa.gov.au/arthur/05750/BRG347_5620.htm")</f>
        <v>http://collections.slsa.sa.gov.au/arthur/05750/BRG347_5620.htm</v>
      </c>
    </row>
    <row r="2545" spans="1:11" x14ac:dyDescent="0.25">
      <c r="A2545" t="s">
        <v>9069</v>
      </c>
      <c r="B2545" s="1" t="str">
        <f>HYPERLINK("https://www.catalog.slsa.sa.gov.au/record=b2116699")</f>
        <v>https://www.catalog.slsa.sa.gov.au/record=b2116699</v>
      </c>
      <c r="C2545" s="1" t="str">
        <f>HYPERLINK("https://www.catalog.slsa.sa.gov.au/xrecord=b2116699")</f>
        <v>https://www.catalog.slsa.sa.gov.au/xrecord=b2116699</v>
      </c>
      <c r="D2545" t="s">
        <v>66</v>
      </c>
      <c r="E2545" t="s">
        <v>9070</v>
      </c>
      <c r="F2545">
        <v>1958</v>
      </c>
      <c r="G2545" t="s">
        <v>121</v>
      </c>
      <c r="H2545" t="s">
        <v>9071</v>
      </c>
      <c r="I2545" t="s">
        <v>9072</v>
      </c>
      <c r="J2545" t="s">
        <v>71</v>
      </c>
      <c r="K2545" s="2" t="str">
        <f>HYPERLINK("http://collections.slsa.sa.gov.au/arthur/05750/BRG347_5627.htm")</f>
        <v>http://collections.slsa.sa.gov.au/arthur/05750/BRG347_5627.htm</v>
      </c>
    </row>
    <row r="2546" spans="1:11" x14ac:dyDescent="0.25">
      <c r="A2546" t="s">
        <v>9073</v>
      </c>
      <c r="B2546" s="1" t="str">
        <f>HYPERLINK("https://www.catalog.slsa.sa.gov.au/record=b2117144")</f>
        <v>https://www.catalog.slsa.sa.gov.au/record=b2117144</v>
      </c>
      <c r="C2546" s="1" t="str">
        <f>HYPERLINK("https://www.catalog.slsa.sa.gov.au/xrecord=b2117144")</f>
        <v>https://www.catalog.slsa.sa.gov.au/xrecord=b2117144</v>
      </c>
      <c r="D2546" t="s">
        <v>66</v>
      </c>
      <c r="E2546" t="s">
        <v>9074</v>
      </c>
      <c r="F2546">
        <v>1958</v>
      </c>
      <c r="G2546" t="s">
        <v>121</v>
      </c>
      <c r="H2546" t="s">
        <v>9075</v>
      </c>
      <c r="I2546" t="s">
        <v>9076</v>
      </c>
      <c r="J2546" t="s">
        <v>71</v>
      </c>
      <c r="K2546" s="2" t="str">
        <f>HYPERLINK("http://collections.slsa.sa.gov.au/arthur/06000/BRG347_5924.htm")</f>
        <v>http://collections.slsa.sa.gov.au/arthur/06000/BRG347_5924.htm</v>
      </c>
    </row>
    <row r="2547" spans="1:11" x14ac:dyDescent="0.25">
      <c r="A2547" t="s">
        <v>9077</v>
      </c>
      <c r="B2547" s="1" t="str">
        <f>HYPERLINK("https://www.catalog.slsa.sa.gov.au/record=b2117145")</f>
        <v>https://www.catalog.slsa.sa.gov.au/record=b2117145</v>
      </c>
      <c r="C2547" s="1" t="str">
        <f>HYPERLINK("https://www.catalog.slsa.sa.gov.au/xrecord=b2117145")</f>
        <v>https://www.catalog.slsa.sa.gov.au/xrecord=b2117145</v>
      </c>
      <c r="D2547" t="s">
        <v>66</v>
      </c>
      <c r="E2547" t="s">
        <v>9078</v>
      </c>
      <c r="F2547">
        <v>1958</v>
      </c>
      <c r="G2547" t="s">
        <v>121</v>
      </c>
      <c r="H2547" t="s">
        <v>9079</v>
      </c>
      <c r="I2547" t="s">
        <v>9080</v>
      </c>
      <c r="J2547" t="s">
        <v>71</v>
      </c>
      <c r="K2547" s="2" t="str">
        <f>HYPERLINK("http://collections.slsa.sa.gov.au/arthur/06000/BRG347_5925.htm")</f>
        <v>http://collections.slsa.sa.gov.au/arthur/06000/BRG347_5925.htm</v>
      </c>
    </row>
    <row r="2548" spans="1:11" x14ac:dyDescent="0.25">
      <c r="A2548" t="s">
        <v>9081</v>
      </c>
      <c r="B2548" s="1" t="str">
        <f>HYPERLINK("https://www.catalog.slsa.sa.gov.au/record=b2117148")</f>
        <v>https://www.catalog.slsa.sa.gov.au/record=b2117148</v>
      </c>
      <c r="C2548" s="1" t="str">
        <f>HYPERLINK("https://www.catalog.slsa.sa.gov.au/xrecord=b2117148")</f>
        <v>https://www.catalog.slsa.sa.gov.au/xrecord=b2117148</v>
      </c>
      <c r="D2548" t="s">
        <v>66</v>
      </c>
      <c r="E2548" t="s">
        <v>9082</v>
      </c>
      <c r="F2548">
        <v>1958</v>
      </c>
      <c r="G2548" t="s">
        <v>121</v>
      </c>
      <c r="H2548" t="s">
        <v>9083</v>
      </c>
      <c r="I2548" t="s">
        <v>9084</v>
      </c>
      <c r="J2548" t="s">
        <v>71</v>
      </c>
      <c r="K2548" s="2" t="str">
        <f>HYPERLINK("http://collections.slsa.sa.gov.au/arthur/06000/BRG347_5927.htm")</f>
        <v>http://collections.slsa.sa.gov.au/arthur/06000/BRG347_5927.htm</v>
      </c>
    </row>
    <row r="2549" spans="1:11" x14ac:dyDescent="0.25">
      <c r="A2549" t="s">
        <v>9085</v>
      </c>
      <c r="B2549" s="1" t="str">
        <f>HYPERLINK("https://www.catalog.slsa.sa.gov.au/record=b2117149")</f>
        <v>https://www.catalog.slsa.sa.gov.au/record=b2117149</v>
      </c>
      <c r="C2549" s="1" t="str">
        <f>HYPERLINK("https://www.catalog.slsa.sa.gov.au/xrecord=b2117149")</f>
        <v>https://www.catalog.slsa.sa.gov.au/xrecord=b2117149</v>
      </c>
      <c r="D2549" t="s">
        <v>66</v>
      </c>
      <c r="E2549" t="s">
        <v>9086</v>
      </c>
      <c r="F2549">
        <v>1958</v>
      </c>
      <c r="G2549" t="s">
        <v>121</v>
      </c>
      <c r="H2549" t="s">
        <v>9087</v>
      </c>
      <c r="I2549" t="s">
        <v>9088</v>
      </c>
      <c r="J2549" t="s">
        <v>71</v>
      </c>
      <c r="K2549" s="2" t="str">
        <f>HYPERLINK("http://collections.slsa.sa.gov.au/arthur/06000/BRG347_5928.htm")</f>
        <v>http://collections.slsa.sa.gov.au/arthur/06000/BRG347_5928.htm</v>
      </c>
    </row>
    <row r="2550" spans="1:11" x14ac:dyDescent="0.25">
      <c r="A2550" t="s">
        <v>9089</v>
      </c>
      <c r="B2550" s="1" t="str">
        <f>HYPERLINK("https://www.catalog.slsa.sa.gov.au/record=b2117151")</f>
        <v>https://www.catalog.slsa.sa.gov.au/record=b2117151</v>
      </c>
      <c r="C2550" s="1" t="str">
        <f>HYPERLINK("https://www.catalog.slsa.sa.gov.au/xrecord=b2117151")</f>
        <v>https://www.catalog.slsa.sa.gov.au/xrecord=b2117151</v>
      </c>
      <c r="D2550" t="s">
        <v>66</v>
      </c>
      <c r="E2550" t="s">
        <v>9090</v>
      </c>
      <c r="F2550">
        <v>1958</v>
      </c>
      <c r="G2550" t="s">
        <v>121</v>
      </c>
      <c r="H2550" t="s">
        <v>9091</v>
      </c>
      <c r="I2550" t="s">
        <v>9092</v>
      </c>
      <c r="J2550" t="s">
        <v>71</v>
      </c>
      <c r="K2550" s="2" t="str">
        <f>HYPERLINK("http://collections.slsa.sa.gov.au/arthur/06000/BRG347_5930.htm")</f>
        <v>http://collections.slsa.sa.gov.au/arthur/06000/BRG347_5930.htm</v>
      </c>
    </row>
    <row r="2551" spans="1:11" x14ac:dyDescent="0.25">
      <c r="A2551" t="s">
        <v>9093</v>
      </c>
      <c r="B2551" s="1" t="str">
        <f>HYPERLINK("https://www.catalog.slsa.sa.gov.au/record=b2117982")</f>
        <v>https://www.catalog.slsa.sa.gov.au/record=b2117982</v>
      </c>
      <c r="C2551" s="1" t="str">
        <f>HYPERLINK("https://www.catalog.slsa.sa.gov.au/xrecord=b2117982")</f>
        <v>https://www.catalog.slsa.sa.gov.au/xrecord=b2117982</v>
      </c>
      <c r="D2551" t="s">
        <v>66</v>
      </c>
      <c r="E2551" t="s">
        <v>9094</v>
      </c>
      <c r="F2551">
        <v>1958</v>
      </c>
      <c r="G2551" t="s">
        <v>121</v>
      </c>
      <c r="H2551" t="s">
        <v>9095</v>
      </c>
      <c r="I2551" t="s">
        <v>9096</v>
      </c>
      <c r="J2551" t="s">
        <v>71</v>
      </c>
      <c r="K2551" s="2" t="str">
        <f>HYPERLINK("http://collections.slsa.sa.gov.au/arthur/06500/BRG347_6380.htm")</f>
        <v>http://collections.slsa.sa.gov.au/arthur/06500/BRG347_6380.htm</v>
      </c>
    </row>
    <row r="2552" spans="1:11" x14ac:dyDescent="0.25">
      <c r="A2552" t="s">
        <v>9097</v>
      </c>
      <c r="B2552" s="1" t="str">
        <f>HYPERLINK("https://www.catalog.slsa.sa.gov.au/record=b2118287")</f>
        <v>https://www.catalog.slsa.sa.gov.au/record=b2118287</v>
      </c>
      <c r="C2552" s="1" t="str">
        <f>HYPERLINK("https://www.catalog.slsa.sa.gov.au/xrecord=b2118287")</f>
        <v>https://www.catalog.slsa.sa.gov.au/xrecord=b2118287</v>
      </c>
      <c r="D2552" t="s">
        <v>66</v>
      </c>
      <c r="E2552" t="s">
        <v>9098</v>
      </c>
      <c r="F2552">
        <v>1958</v>
      </c>
      <c r="G2552" t="s">
        <v>121</v>
      </c>
      <c r="H2552" t="s">
        <v>9099</v>
      </c>
      <c r="I2552" t="s">
        <v>9100</v>
      </c>
      <c r="J2552" t="s">
        <v>71</v>
      </c>
      <c r="K2552" s="2" t="str">
        <f>HYPERLINK("http://collections.slsa.sa.gov.au/arthur/06500/BRG347_6381.htm")</f>
        <v>http://collections.slsa.sa.gov.au/arthur/06500/BRG347_6381.htm</v>
      </c>
    </row>
    <row r="2553" spans="1:11" x14ac:dyDescent="0.25">
      <c r="A2553" t="s">
        <v>9101</v>
      </c>
      <c r="B2553" s="1" t="str">
        <f>HYPERLINK("https://www.catalog.slsa.sa.gov.au/record=b2118288")</f>
        <v>https://www.catalog.slsa.sa.gov.au/record=b2118288</v>
      </c>
      <c r="C2553" s="1" t="str">
        <f>HYPERLINK("https://www.catalog.slsa.sa.gov.au/xrecord=b2118288")</f>
        <v>https://www.catalog.slsa.sa.gov.au/xrecord=b2118288</v>
      </c>
      <c r="D2553" t="s">
        <v>66</v>
      </c>
      <c r="E2553" t="s">
        <v>9102</v>
      </c>
      <c r="F2553">
        <v>1958</v>
      </c>
      <c r="G2553" t="s">
        <v>121</v>
      </c>
      <c r="H2553" t="s">
        <v>9103</v>
      </c>
      <c r="I2553" t="s">
        <v>9104</v>
      </c>
      <c r="J2553" t="s">
        <v>71</v>
      </c>
      <c r="K2553" s="2" t="str">
        <f>HYPERLINK("http://collections.slsa.sa.gov.au/arthur/06500/BRG347_6382.htm")</f>
        <v>http://collections.slsa.sa.gov.au/arthur/06500/BRG347_6382.htm</v>
      </c>
    </row>
    <row r="2554" spans="1:11" x14ac:dyDescent="0.25">
      <c r="A2554" t="s">
        <v>9105</v>
      </c>
      <c r="B2554" s="1" t="str">
        <f>HYPERLINK("https://www.catalog.slsa.sa.gov.au/record=b2118320")</f>
        <v>https://www.catalog.slsa.sa.gov.au/record=b2118320</v>
      </c>
      <c r="C2554" s="1" t="str">
        <f>HYPERLINK("https://www.catalog.slsa.sa.gov.au/xrecord=b2118320")</f>
        <v>https://www.catalog.slsa.sa.gov.au/xrecord=b2118320</v>
      </c>
      <c r="D2554" t="s">
        <v>66</v>
      </c>
      <c r="E2554" t="s">
        <v>9106</v>
      </c>
      <c r="F2554">
        <v>1958</v>
      </c>
      <c r="G2554" t="s">
        <v>121</v>
      </c>
      <c r="H2554" t="s">
        <v>9107</v>
      </c>
      <c r="I2554" t="s">
        <v>9108</v>
      </c>
      <c r="J2554" t="s">
        <v>71</v>
      </c>
      <c r="K2554" s="2" t="str">
        <f>HYPERLINK("http://collections.slsa.sa.gov.au/arthur/06500/BRG347_6415.htm")</f>
        <v>http://collections.slsa.sa.gov.au/arthur/06500/BRG347_6415.htm</v>
      </c>
    </row>
    <row r="2555" spans="1:11" x14ac:dyDescent="0.25">
      <c r="A2555" t="s">
        <v>9109</v>
      </c>
      <c r="B2555" s="1" t="str">
        <f>HYPERLINK("https://www.catalog.slsa.sa.gov.au/record=b2118322")</f>
        <v>https://www.catalog.slsa.sa.gov.au/record=b2118322</v>
      </c>
      <c r="C2555" s="1" t="str">
        <f>HYPERLINK("https://www.catalog.slsa.sa.gov.au/xrecord=b2118322")</f>
        <v>https://www.catalog.slsa.sa.gov.au/xrecord=b2118322</v>
      </c>
      <c r="D2555" t="s">
        <v>66</v>
      </c>
      <c r="E2555" t="s">
        <v>9110</v>
      </c>
      <c r="F2555">
        <v>1958</v>
      </c>
      <c r="G2555" t="s">
        <v>121</v>
      </c>
      <c r="H2555" t="s">
        <v>9111</v>
      </c>
      <c r="I2555" t="s">
        <v>9112</v>
      </c>
      <c r="J2555" t="s">
        <v>71</v>
      </c>
      <c r="K2555" s="2" t="str">
        <f>HYPERLINK("http://collections.slsa.sa.gov.au/arthur/06500/BRG347_6417.htm")</f>
        <v>http://collections.slsa.sa.gov.au/arthur/06500/BRG347_6417.htm</v>
      </c>
    </row>
    <row r="2556" spans="1:11" x14ac:dyDescent="0.25">
      <c r="A2556" t="s">
        <v>9113</v>
      </c>
      <c r="B2556" s="1" t="str">
        <f>HYPERLINK("https://www.catalog.slsa.sa.gov.au/record=b2118332")</f>
        <v>https://www.catalog.slsa.sa.gov.au/record=b2118332</v>
      </c>
      <c r="C2556" s="1" t="str">
        <f>HYPERLINK("https://www.catalog.slsa.sa.gov.au/xrecord=b2118332")</f>
        <v>https://www.catalog.slsa.sa.gov.au/xrecord=b2118332</v>
      </c>
      <c r="D2556" t="s">
        <v>66</v>
      </c>
      <c r="E2556" t="s">
        <v>9114</v>
      </c>
      <c r="F2556">
        <v>1958</v>
      </c>
      <c r="G2556" t="s">
        <v>121</v>
      </c>
      <c r="H2556" t="s">
        <v>9115</v>
      </c>
      <c r="I2556" t="s">
        <v>9116</v>
      </c>
      <c r="J2556" t="s">
        <v>71</v>
      </c>
      <c r="K2556" s="2" t="str">
        <f>HYPERLINK("http://collections.slsa.sa.gov.au/arthur/06500/BRG347_6428.htm")</f>
        <v>http://collections.slsa.sa.gov.au/arthur/06500/BRG347_6428.htm</v>
      </c>
    </row>
    <row r="2557" spans="1:11" x14ac:dyDescent="0.25">
      <c r="A2557" t="s">
        <v>9117</v>
      </c>
      <c r="B2557" s="1" t="str">
        <f>HYPERLINK("https://www.catalog.slsa.sa.gov.au/record=b2118344")</f>
        <v>https://www.catalog.slsa.sa.gov.au/record=b2118344</v>
      </c>
      <c r="C2557" s="1" t="str">
        <f>HYPERLINK("https://www.catalog.slsa.sa.gov.au/xrecord=b2118344")</f>
        <v>https://www.catalog.slsa.sa.gov.au/xrecord=b2118344</v>
      </c>
      <c r="D2557" t="s">
        <v>66</v>
      </c>
      <c r="E2557" t="s">
        <v>797</v>
      </c>
      <c r="F2557">
        <v>1958</v>
      </c>
      <c r="G2557" t="s">
        <v>121</v>
      </c>
      <c r="H2557" t="s">
        <v>9118</v>
      </c>
      <c r="I2557" t="s">
        <v>9119</v>
      </c>
      <c r="J2557" t="s">
        <v>71</v>
      </c>
      <c r="K2557" s="2" t="str">
        <f>HYPERLINK("http://collections.slsa.sa.gov.au/arthur/06500/BRG347_6440.htm")</f>
        <v>http://collections.slsa.sa.gov.au/arthur/06500/BRG347_6440.htm</v>
      </c>
    </row>
    <row r="2558" spans="1:11" x14ac:dyDescent="0.25">
      <c r="A2558" t="s">
        <v>9120</v>
      </c>
      <c r="B2558" s="1" t="str">
        <f>HYPERLINK("https://www.catalog.slsa.sa.gov.au/record=b2118356")</f>
        <v>https://www.catalog.slsa.sa.gov.au/record=b2118356</v>
      </c>
      <c r="C2558" s="1" t="str">
        <f>HYPERLINK("https://www.catalog.slsa.sa.gov.au/xrecord=b2118356")</f>
        <v>https://www.catalog.slsa.sa.gov.au/xrecord=b2118356</v>
      </c>
      <c r="D2558" t="s">
        <v>66</v>
      </c>
      <c r="E2558" t="s">
        <v>9121</v>
      </c>
      <c r="F2558">
        <v>1958</v>
      </c>
      <c r="G2558" t="s">
        <v>121</v>
      </c>
      <c r="H2558" t="s">
        <v>9122</v>
      </c>
      <c r="I2558" t="s">
        <v>9123</v>
      </c>
      <c r="J2558" t="s">
        <v>71</v>
      </c>
      <c r="K2558" s="2" t="str">
        <f>HYPERLINK("http://collections.slsa.sa.gov.au/arthur/06500/BRG347_6452.htm")</f>
        <v>http://collections.slsa.sa.gov.au/arthur/06500/BRG347_6452.htm</v>
      </c>
    </row>
    <row r="2559" spans="1:11" x14ac:dyDescent="0.25">
      <c r="A2559" t="s">
        <v>9124</v>
      </c>
      <c r="B2559" s="1" t="str">
        <f>HYPERLINK("https://www.catalog.slsa.sa.gov.au/record=b2118359")</f>
        <v>https://www.catalog.slsa.sa.gov.au/record=b2118359</v>
      </c>
      <c r="C2559" s="1" t="str">
        <f>HYPERLINK("https://www.catalog.slsa.sa.gov.au/xrecord=b2118359")</f>
        <v>https://www.catalog.slsa.sa.gov.au/xrecord=b2118359</v>
      </c>
      <c r="D2559" t="s">
        <v>66</v>
      </c>
      <c r="E2559" t="s">
        <v>9125</v>
      </c>
      <c r="F2559">
        <v>1958</v>
      </c>
      <c r="G2559" t="s">
        <v>121</v>
      </c>
      <c r="H2559" t="s">
        <v>9126</v>
      </c>
      <c r="I2559" t="s">
        <v>9127</v>
      </c>
      <c r="J2559" t="s">
        <v>71</v>
      </c>
      <c r="K2559" s="2" t="str">
        <f>HYPERLINK("http://collections.slsa.sa.gov.au/arthur/06500/BRG347_6455.htm")</f>
        <v>http://collections.slsa.sa.gov.au/arthur/06500/BRG347_6455.htm</v>
      </c>
    </row>
    <row r="2560" spans="1:11" x14ac:dyDescent="0.25">
      <c r="A2560" t="s">
        <v>9128</v>
      </c>
      <c r="B2560" s="1" t="str">
        <f>HYPERLINK("https://www.catalog.slsa.sa.gov.au/record=b2118361")</f>
        <v>https://www.catalog.slsa.sa.gov.au/record=b2118361</v>
      </c>
      <c r="C2560" s="1" t="str">
        <f>HYPERLINK("https://www.catalog.slsa.sa.gov.au/xrecord=b2118361")</f>
        <v>https://www.catalog.slsa.sa.gov.au/xrecord=b2118361</v>
      </c>
      <c r="D2560" t="s">
        <v>66</v>
      </c>
      <c r="E2560" t="s">
        <v>9129</v>
      </c>
      <c r="F2560">
        <v>1958</v>
      </c>
      <c r="G2560" t="s">
        <v>121</v>
      </c>
      <c r="H2560" t="s">
        <v>9130</v>
      </c>
      <c r="I2560" t="s">
        <v>9131</v>
      </c>
      <c r="J2560" t="s">
        <v>71</v>
      </c>
      <c r="K2560" s="2" t="str">
        <f>HYPERLINK("http://collections.slsa.sa.gov.au/arthur/06500/BRG347_6457.htm")</f>
        <v>http://collections.slsa.sa.gov.au/arthur/06500/BRG347_6457.htm</v>
      </c>
    </row>
    <row r="2561" spans="1:11" x14ac:dyDescent="0.25">
      <c r="A2561" t="s">
        <v>9132</v>
      </c>
      <c r="B2561" s="1" t="str">
        <f>HYPERLINK("https://www.catalog.slsa.sa.gov.au/record=b2118371")</f>
        <v>https://www.catalog.slsa.sa.gov.au/record=b2118371</v>
      </c>
      <c r="C2561" s="1" t="str">
        <f>HYPERLINK("https://www.catalog.slsa.sa.gov.au/xrecord=b2118371")</f>
        <v>https://www.catalog.slsa.sa.gov.au/xrecord=b2118371</v>
      </c>
      <c r="D2561" t="s">
        <v>66</v>
      </c>
      <c r="E2561" t="s">
        <v>9133</v>
      </c>
      <c r="F2561">
        <v>1958</v>
      </c>
      <c r="G2561" t="s">
        <v>121</v>
      </c>
      <c r="H2561" t="s">
        <v>9134</v>
      </c>
      <c r="I2561" t="s">
        <v>9135</v>
      </c>
      <c r="J2561" t="s">
        <v>71</v>
      </c>
      <c r="K2561" s="2" t="str">
        <f>HYPERLINK("http://collections.slsa.sa.gov.au/arthur/06500/BRG347_6459.htm")</f>
        <v>http://collections.slsa.sa.gov.au/arthur/06500/BRG347_6459.htm</v>
      </c>
    </row>
    <row r="2562" spans="1:11" x14ac:dyDescent="0.25">
      <c r="A2562" t="s">
        <v>9136</v>
      </c>
      <c r="B2562" s="1" t="str">
        <f>HYPERLINK("https://www.catalog.slsa.sa.gov.au/record=b2118372")</f>
        <v>https://www.catalog.slsa.sa.gov.au/record=b2118372</v>
      </c>
      <c r="C2562" s="1" t="str">
        <f>HYPERLINK("https://www.catalog.slsa.sa.gov.au/xrecord=b2118372")</f>
        <v>https://www.catalog.slsa.sa.gov.au/xrecord=b2118372</v>
      </c>
      <c r="D2562" t="s">
        <v>66</v>
      </c>
      <c r="E2562" t="s">
        <v>9137</v>
      </c>
      <c r="F2562">
        <v>1958</v>
      </c>
      <c r="G2562" t="s">
        <v>121</v>
      </c>
      <c r="H2562" t="s">
        <v>9138</v>
      </c>
      <c r="I2562" t="s">
        <v>9139</v>
      </c>
      <c r="J2562" t="s">
        <v>71</v>
      </c>
      <c r="K2562" s="2" t="str">
        <f>HYPERLINK("http://collections.slsa.sa.gov.au/arthur/06500/BRG347_6460.htm")</f>
        <v>http://collections.slsa.sa.gov.au/arthur/06500/BRG347_6460.htm</v>
      </c>
    </row>
    <row r="2563" spans="1:11" x14ac:dyDescent="0.25">
      <c r="A2563" t="s">
        <v>9140</v>
      </c>
      <c r="B2563" s="1" t="str">
        <f>HYPERLINK("https://www.catalog.slsa.sa.gov.au/record=b2118373")</f>
        <v>https://www.catalog.slsa.sa.gov.au/record=b2118373</v>
      </c>
      <c r="C2563" s="1" t="str">
        <f>HYPERLINK("https://www.catalog.slsa.sa.gov.au/xrecord=b2118373")</f>
        <v>https://www.catalog.slsa.sa.gov.au/xrecord=b2118373</v>
      </c>
      <c r="D2563" t="s">
        <v>66</v>
      </c>
      <c r="E2563" t="s">
        <v>9141</v>
      </c>
      <c r="F2563">
        <v>1958</v>
      </c>
      <c r="G2563" t="s">
        <v>121</v>
      </c>
      <c r="H2563" t="s">
        <v>9142</v>
      </c>
      <c r="I2563" t="s">
        <v>9143</v>
      </c>
      <c r="J2563" t="s">
        <v>71</v>
      </c>
      <c r="K2563" s="2" t="str">
        <f>HYPERLINK("http://collections.slsa.sa.gov.au/arthur/06500/BRG347_6461.htm")</f>
        <v>http://collections.slsa.sa.gov.au/arthur/06500/BRG347_6461.htm</v>
      </c>
    </row>
    <row r="2564" spans="1:11" x14ac:dyDescent="0.25">
      <c r="A2564" t="s">
        <v>9144</v>
      </c>
      <c r="B2564" s="1" t="str">
        <f>HYPERLINK("https://www.catalog.slsa.sa.gov.au/record=b2118374")</f>
        <v>https://www.catalog.slsa.sa.gov.au/record=b2118374</v>
      </c>
      <c r="C2564" s="1" t="str">
        <f>HYPERLINK("https://www.catalog.slsa.sa.gov.au/xrecord=b2118374")</f>
        <v>https://www.catalog.slsa.sa.gov.au/xrecord=b2118374</v>
      </c>
      <c r="D2564" t="s">
        <v>66</v>
      </c>
      <c r="E2564" t="s">
        <v>9145</v>
      </c>
      <c r="F2564">
        <v>1958</v>
      </c>
      <c r="G2564" t="s">
        <v>121</v>
      </c>
      <c r="H2564" t="s">
        <v>9146</v>
      </c>
      <c r="I2564" t="s">
        <v>9147</v>
      </c>
      <c r="J2564" t="s">
        <v>71</v>
      </c>
      <c r="K2564" s="2" t="str">
        <f>HYPERLINK("http://collections.slsa.sa.gov.au/arthur/06500/BRG347_6462.htm")</f>
        <v>http://collections.slsa.sa.gov.au/arthur/06500/BRG347_6462.htm</v>
      </c>
    </row>
    <row r="2565" spans="1:11" x14ac:dyDescent="0.25">
      <c r="A2565" t="s">
        <v>9148</v>
      </c>
      <c r="B2565" s="1" t="str">
        <f>HYPERLINK("https://www.catalog.slsa.sa.gov.au/record=b2118375")</f>
        <v>https://www.catalog.slsa.sa.gov.au/record=b2118375</v>
      </c>
      <c r="C2565" s="1" t="str">
        <f>HYPERLINK("https://www.catalog.slsa.sa.gov.au/xrecord=b2118375")</f>
        <v>https://www.catalog.slsa.sa.gov.au/xrecord=b2118375</v>
      </c>
      <c r="D2565" t="s">
        <v>66</v>
      </c>
      <c r="E2565" t="s">
        <v>9149</v>
      </c>
      <c r="F2565">
        <v>1958</v>
      </c>
      <c r="G2565" t="s">
        <v>121</v>
      </c>
      <c r="H2565" t="s">
        <v>9150</v>
      </c>
      <c r="I2565" t="s">
        <v>9151</v>
      </c>
      <c r="J2565" t="s">
        <v>71</v>
      </c>
      <c r="K2565" s="2" t="str">
        <f>HYPERLINK("http://collections.slsa.sa.gov.au/arthur/06500/BRG347_6463.htm")</f>
        <v>http://collections.slsa.sa.gov.au/arthur/06500/BRG347_6463.htm</v>
      </c>
    </row>
    <row r="2566" spans="1:11" x14ac:dyDescent="0.25">
      <c r="A2566" t="s">
        <v>9152</v>
      </c>
      <c r="B2566" s="1" t="str">
        <f>HYPERLINK("https://www.catalog.slsa.sa.gov.au/record=b2118376")</f>
        <v>https://www.catalog.slsa.sa.gov.au/record=b2118376</v>
      </c>
      <c r="C2566" s="1" t="str">
        <f>HYPERLINK("https://www.catalog.slsa.sa.gov.au/xrecord=b2118376")</f>
        <v>https://www.catalog.slsa.sa.gov.au/xrecord=b2118376</v>
      </c>
      <c r="D2566" t="s">
        <v>66</v>
      </c>
      <c r="E2566" t="s">
        <v>9153</v>
      </c>
      <c r="F2566">
        <v>1958</v>
      </c>
      <c r="G2566" t="s">
        <v>121</v>
      </c>
      <c r="H2566" t="s">
        <v>9154</v>
      </c>
      <c r="I2566" t="s">
        <v>9155</v>
      </c>
      <c r="J2566" t="s">
        <v>71</v>
      </c>
      <c r="K2566" s="2" t="str">
        <f>HYPERLINK("http://collections.slsa.sa.gov.au/arthur/06500/BRG347_6464.htm")</f>
        <v>http://collections.slsa.sa.gov.au/arthur/06500/BRG347_6464.htm</v>
      </c>
    </row>
    <row r="2567" spans="1:11" x14ac:dyDescent="0.25">
      <c r="A2567" t="s">
        <v>9156</v>
      </c>
      <c r="B2567" s="1" t="str">
        <f>HYPERLINK("https://www.catalog.slsa.sa.gov.au/record=b2118377")</f>
        <v>https://www.catalog.slsa.sa.gov.au/record=b2118377</v>
      </c>
      <c r="C2567" s="1" t="str">
        <f>HYPERLINK("https://www.catalog.slsa.sa.gov.au/xrecord=b2118377")</f>
        <v>https://www.catalog.slsa.sa.gov.au/xrecord=b2118377</v>
      </c>
      <c r="D2567" t="s">
        <v>66</v>
      </c>
      <c r="E2567" t="s">
        <v>9157</v>
      </c>
      <c r="F2567">
        <v>1958</v>
      </c>
      <c r="G2567" t="s">
        <v>121</v>
      </c>
      <c r="H2567" t="s">
        <v>9158</v>
      </c>
      <c r="I2567" t="s">
        <v>9159</v>
      </c>
      <c r="J2567" t="s">
        <v>71</v>
      </c>
      <c r="K2567" s="2" t="str">
        <f>HYPERLINK("http://collections.slsa.sa.gov.au/arthur/06500/BRG347_6465.htm")</f>
        <v>http://collections.slsa.sa.gov.au/arthur/06500/BRG347_6465.htm</v>
      </c>
    </row>
    <row r="2568" spans="1:11" x14ac:dyDescent="0.25">
      <c r="A2568" t="s">
        <v>9160</v>
      </c>
      <c r="B2568" s="1" t="str">
        <f>HYPERLINK("https://www.catalog.slsa.sa.gov.au/record=b2118378")</f>
        <v>https://www.catalog.slsa.sa.gov.au/record=b2118378</v>
      </c>
      <c r="C2568" s="1" t="str">
        <f>HYPERLINK("https://www.catalog.slsa.sa.gov.au/xrecord=b2118378")</f>
        <v>https://www.catalog.slsa.sa.gov.au/xrecord=b2118378</v>
      </c>
      <c r="D2568" t="s">
        <v>66</v>
      </c>
      <c r="E2568" t="s">
        <v>9161</v>
      </c>
      <c r="F2568">
        <v>1958</v>
      </c>
      <c r="G2568" t="s">
        <v>121</v>
      </c>
      <c r="H2568" t="s">
        <v>9162</v>
      </c>
      <c r="I2568" t="s">
        <v>9163</v>
      </c>
      <c r="J2568" t="s">
        <v>71</v>
      </c>
      <c r="K2568" s="2" t="str">
        <f>HYPERLINK("http://collections.slsa.sa.gov.au/arthur/06500/BRG347_6466.htm")</f>
        <v>http://collections.slsa.sa.gov.au/arthur/06500/BRG347_6466.htm</v>
      </c>
    </row>
    <row r="2569" spans="1:11" x14ac:dyDescent="0.25">
      <c r="A2569" t="s">
        <v>9164</v>
      </c>
      <c r="B2569" s="1" t="str">
        <f>HYPERLINK("https://www.catalog.slsa.sa.gov.au/record=b2118793")</f>
        <v>https://www.catalog.slsa.sa.gov.au/record=b2118793</v>
      </c>
      <c r="C2569" s="1" t="str">
        <f>HYPERLINK("https://www.catalog.slsa.sa.gov.au/xrecord=b2118793")</f>
        <v>https://www.catalog.slsa.sa.gov.au/xrecord=b2118793</v>
      </c>
      <c r="D2569" t="s">
        <v>66</v>
      </c>
      <c r="E2569" t="s">
        <v>9165</v>
      </c>
      <c r="F2569">
        <v>1958</v>
      </c>
      <c r="G2569" t="s">
        <v>121</v>
      </c>
      <c r="H2569" t="s">
        <v>9166</v>
      </c>
      <c r="I2569" t="s">
        <v>9167</v>
      </c>
      <c r="J2569" t="s">
        <v>71</v>
      </c>
      <c r="K2569" s="2" t="str">
        <f>HYPERLINK("http://collections.slsa.sa.gov.au/arthur/07000/BRG347_6751.htm")</f>
        <v>http://collections.slsa.sa.gov.au/arthur/07000/BRG347_6751.htm</v>
      </c>
    </row>
    <row r="2570" spans="1:11" x14ac:dyDescent="0.25">
      <c r="A2570" t="s">
        <v>9168</v>
      </c>
      <c r="B2570" s="1" t="str">
        <f>HYPERLINK("https://www.catalog.slsa.sa.gov.au/record=b2118844")</f>
        <v>https://www.catalog.slsa.sa.gov.au/record=b2118844</v>
      </c>
      <c r="C2570" s="1" t="str">
        <f>HYPERLINK("https://www.catalog.slsa.sa.gov.au/xrecord=b2118844")</f>
        <v>https://www.catalog.slsa.sa.gov.au/xrecord=b2118844</v>
      </c>
      <c r="D2570" t="s">
        <v>66</v>
      </c>
      <c r="E2570" t="s">
        <v>9169</v>
      </c>
      <c r="F2570">
        <v>1958</v>
      </c>
      <c r="G2570" t="s">
        <v>121</v>
      </c>
      <c r="H2570" t="s">
        <v>9170</v>
      </c>
      <c r="I2570" t="s">
        <v>9167</v>
      </c>
      <c r="J2570" t="s">
        <v>71</v>
      </c>
      <c r="K2570" s="2" t="str">
        <f>HYPERLINK("http://collections.slsa.sa.gov.au/arthur/07000/BRG347_6756.htm")</f>
        <v>http://collections.slsa.sa.gov.au/arthur/07000/BRG347_6756.htm</v>
      </c>
    </row>
    <row r="2571" spans="1:11" x14ac:dyDescent="0.25">
      <c r="A2571" t="s">
        <v>9171</v>
      </c>
      <c r="B2571" s="1" t="str">
        <f>HYPERLINK("https://www.catalog.slsa.sa.gov.au/record=b2118845")</f>
        <v>https://www.catalog.slsa.sa.gov.au/record=b2118845</v>
      </c>
      <c r="C2571" s="1" t="str">
        <f>HYPERLINK("https://www.catalog.slsa.sa.gov.au/xrecord=b2118845")</f>
        <v>https://www.catalog.slsa.sa.gov.au/xrecord=b2118845</v>
      </c>
      <c r="D2571" t="s">
        <v>66</v>
      </c>
      <c r="E2571" t="s">
        <v>9172</v>
      </c>
      <c r="F2571">
        <v>1958</v>
      </c>
      <c r="G2571" t="s">
        <v>121</v>
      </c>
      <c r="H2571" t="s">
        <v>9173</v>
      </c>
      <c r="I2571" t="s">
        <v>9167</v>
      </c>
      <c r="J2571" t="s">
        <v>71</v>
      </c>
      <c r="K2571" s="2" t="str">
        <f>HYPERLINK("http://collections.slsa.sa.gov.au/arthur/07000/BRG347_6757.htm")</f>
        <v>http://collections.slsa.sa.gov.au/arthur/07000/BRG347_6757.htm</v>
      </c>
    </row>
    <row r="2572" spans="1:11" x14ac:dyDescent="0.25">
      <c r="A2572" t="s">
        <v>9174</v>
      </c>
      <c r="B2572" s="1" t="str">
        <f>HYPERLINK("https://www.catalog.slsa.sa.gov.au/record=b2119251")</f>
        <v>https://www.catalog.slsa.sa.gov.au/record=b2119251</v>
      </c>
      <c r="C2572" s="1" t="str">
        <f>HYPERLINK("https://www.catalog.slsa.sa.gov.au/xrecord=b2119251")</f>
        <v>https://www.catalog.slsa.sa.gov.au/xrecord=b2119251</v>
      </c>
      <c r="D2572" t="s">
        <v>66</v>
      </c>
      <c r="E2572" t="s">
        <v>7188</v>
      </c>
      <c r="F2572">
        <v>1958</v>
      </c>
      <c r="G2572" t="s">
        <v>121</v>
      </c>
      <c r="H2572" t="s">
        <v>9175</v>
      </c>
      <c r="I2572" t="s">
        <v>4581</v>
      </c>
      <c r="J2572" t="s">
        <v>71</v>
      </c>
      <c r="K2572" s="2" t="str">
        <f>HYPERLINK("http://collections.slsa.sa.gov.au/arthur/07000/BRG347_6804.htm")</f>
        <v>http://collections.slsa.sa.gov.au/arthur/07000/BRG347_6804.htm</v>
      </c>
    </row>
    <row r="2573" spans="1:11" x14ac:dyDescent="0.25">
      <c r="A2573" t="s">
        <v>9176</v>
      </c>
      <c r="B2573" s="1" t="str">
        <f>HYPERLINK("https://www.catalog.slsa.sa.gov.au/record=b2119252")</f>
        <v>https://www.catalog.slsa.sa.gov.au/record=b2119252</v>
      </c>
      <c r="C2573" s="1" t="str">
        <f>HYPERLINK("https://www.catalog.slsa.sa.gov.au/xrecord=b2119252")</f>
        <v>https://www.catalog.slsa.sa.gov.au/xrecord=b2119252</v>
      </c>
      <c r="D2573" t="s">
        <v>66</v>
      </c>
      <c r="E2573" t="s">
        <v>9177</v>
      </c>
      <c r="F2573">
        <v>1958</v>
      </c>
      <c r="G2573" t="s">
        <v>121</v>
      </c>
      <c r="H2573" t="s">
        <v>9178</v>
      </c>
      <c r="I2573" t="s">
        <v>9179</v>
      </c>
      <c r="J2573" t="s">
        <v>71</v>
      </c>
      <c r="K2573" s="2" t="str">
        <f>HYPERLINK("http://collections.slsa.sa.gov.au/arthur/07000/BRG347_6805.htm")</f>
        <v>http://collections.slsa.sa.gov.au/arthur/07000/BRG347_6805.htm</v>
      </c>
    </row>
    <row r="2574" spans="1:11" x14ac:dyDescent="0.25">
      <c r="A2574" t="s">
        <v>9180</v>
      </c>
      <c r="B2574" s="1" t="str">
        <f>HYPERLINK("https://www.catalog.slsa.sa.gov.au/record=b2119253")</f>
        <v>https://www.catalog.slsa.sa.gov.au/record=b2119253</v>
      </c>
      <c r="C2574" s="1" t="str">
        <f>HYPERLINK("https://www.catalog.slsa.sa.gov.au/xrecord=b2119253")</f>
        <v>https://www.catalog.slsa.sa.gov.au/xrecord=b2119253</v>
      </c>
      <c r="D2574" t="s">
        <v>66</v>
      </c>
      <c r="E2574" t="s">
        <v>7188</v>
      </c>
      <c r="F2574">
        <v>1958</v>
      </c>
      <c r="G2574" t="s">
        <v>121</v>
      </c>
      <c r="H2574" t="s">
        <v>9181</v>
      </c>
      <c r="I2574" t="s">
        <v>4581</v>
      </c>
      <c r="J2574" t="s">
        <v>71</v>
      </c>
      <c r="K2574" s="2" t="str">
        <f>HYPERLINK("http://collections.slsa.sa.gov.au/arthur/07000/BRG347_6806.htm")</f>
        <v>http://collections.slsa.sa.gov.au/arthur/07000/BRG347_6806.htm</v>
      </c>
    </row>
    <row r="2575" spans="1:11" x14ac:dyDescent="0.25">
      <c r="A2575" t="s">
        <v>9182</v>
      </c>
      <c r="B2575" s="1" t="str">
        <f>HYPERLINK("https://www.catalog.slsa.sa.gov.au/record=b2119254")</f>
        <v>https://www.catalog.slsa.sa.gov.au/record=b2119254</v>
      </c>
      <c r="C2575" s="1" t="str">
        <f>HYPERLINK("https://www.catalog.slsa.sa.gov.au/xrecord=b2119254")</f>
        <v>https://www.catalog.slsa.sa.gov.au/xrecord=b2119254</v>
      </c>
      <c r="D2575" t="s">
        <v>66</v>
      </c>
      <c r="E2575" t="s">
        <v>7188</v>
      </c>
      <c r="F2575">
        <v>1958</v>
      </c>
      <c r="G2575" t="s">
        <v>121</v>
      </c>
      <c r="H2575" t="s">
        <v>9183</v>
      </c>
      <c r="I2575" t="s">
        <v>4581</v>
      </c>
      <c r="J2575" t="s">
        <v>71</v>
      </c>
      <c r="K2575" s="2" t="str">
        <f>HYPERLINK("http://collections.slsa.sa.gov.au/arthur/07000/BRG347_6807.htm")</f>
        <v>http://collections.slsa.sa.gov.au/arthur/07000/BRG347_6807.htm</v>
      </c>
    </row>
    <row r="2576" spans="1:11" x14ac:dyDescent="0.25">
      <c r="A2576" t="s">
        <v>9184</v>
      </c>
      <c r="B2576" s="1" t="str">
        <f>HYPERLINK("https://www.catalog.slsa.sa.gov.au/record=b2119255")</f>
        <v>https://www.catalog.slsa.sa.gov.au/record=b2119255</v>
      </c>
      <c r="C2576" s="1" t="str">
        <f>HYPERLINK("https://www.catalog.slsa.sa.gov.au/xrecord=b2119255")</f>
        <v>https://www.catalog.slsa.sa.gov.au/xrecord=b2119255</v>
      </c>
      <c r="D2576" t="s">
        <v>66</v>
      </c>
      <c r="E2576" t="s">
        <v>7188</v>
      </c>
      <c r="F2576">
        <v>1958</v>
      </c>
      <c r="G2576" t="s">
        <v>121</v>
      </c>
      <c r="H2576" t="s">
        <v>9185</v>
      </c>
      <c r="I2576" t="s">
        <v>4581</v>
      </c>
      <c r="J2576" t="s">
        <v>71</v>
      </c>
      <c r="K2576" s="2" t="str">
        <f>HYPERLINK("http://collections.slsa.sa.gov.au/arthur/07000/BRG347_6808.htm")</f>
        <v>http://collections.slsa.sa.gov.au/arthur/07000/BRG347_6808.htm</v>
      </c>
    </row>
    <row r="2577" spans="1:11" x14ac:dyDescent="0.25">
      <c r="A2577" t="s">
        <v>9186</v>
      </c>
      <c r="B2577" s="1" t="str">
        <f>HYPERLINK("https://www.catalog.slsa.sa.gov.au/record=b2119315")</f>
        <v>https://www.catalog.slsa.sa.gov.au/record=b2119315</v>
      </c>
      <c r="C2577" s="1" t="str">
        <f>HYPERLINK("https://www.catalog.slsa.sa.gov.au/xrecord=b2119315")</f>
        <v>https://www.catalog.slsa.sa.gov.au/xrecord=b2119315</v>
      </c>
      <c r="D2577" t="s">
        <v>66</v>
      </c>
      <c r="E2577" t="s">
        <v>9187</v>
      </c>
      <c r="F2577">
        <v>1958</v>
      </c>
      <c r="G2577" t="s">
        <v>121</v>
      </c>
      <c r="H2577" t="s">
        <v>9188</v>
      </c>
      <c r="I2577" t="s">
        <v>9189</v>
      </c>
      <c r="J2577" t="s">
        <v>71</v>
      </c>
      <c r="K2577" s="2" t="str">
        <f>HYPERLINK("http://collections.slsa.sa.gov.au/arthur/07000/BRG347_6854.htm")</f>
        <v>http://collections.slsa.sa.gov.au/arthur/07000/BRG347_6854.htm</v>
      </c>
    </row>
    <row r="2578" spans="1:11" x14ac:dyDescent="0.25">
      <c r="A2578" t="s">
        <v>9190</v>
      </c>
      <c r="B2578" s="1" t="str">
        <f>HYPERLINK("https://www.catalog.slsa.sa.gov.au/record=b2119318")</f>
        <v>https://www.catalog.slsa.sa.gov.au/record=b2119318</v>
      </c>
      <c r="C2578" s="1" t="str">
        <f>HYPERLINK("https://www.catalog.slsa.sa.gov.au/xrecord=b2119318")</f>
        <v>https://www.catalog.slsa.sa.gov.au/xrecord=b2119318</v>
      </c>
      <c r="D2578" t="s">
        <v>66</v>
      </c>
      <c r="E2578" t="s">
        <v>9191</v>
      </c>
      <c r="F2578">
        <v>1958</v>
      </c>
      <c r="G2578" t="s">
        <v>121</v>
      </c>
      <c r="H2578" t="s">
        <v>9192</v>
      </c>
      <c r="I2578" t="s">
        <v>9193</v>
      </c>
      <c r="J2578" t="s">
        <v>71</v>
      </c>
      <c r="K2578" s="2" t="str">
        <f>HYPERLINK("http://collections.slsa.sa.gov.au/arthur/07000/BRG347_6857.htm")</f>
        <v>http://collections.slsa.sa.gov.au/arthur/07000/BRG347_6857.htm</v>
      </c>
    </row>
    <row r="2579" spans="1:11" x14ac:dyDescent="0.25">
      <c r="A2579" t="s">
        <v>9194</v>
      </c>
      <c r="B2579" s="1" t="str">
        <f>HYPERLINK("https://www.catalog.slsa.sa.gov.au/record=b2119325")</f>
        <v>https://www.catalog.slsa.sa.gov.au/record=b2119325</v>
      </c>
      <c r="C2579" s="1" t="str">
        <f>HYPERLINK("https://www.catalog.slsa.sa.gov.au/xrecord=b2119325")</f>
        <v>https://www.catalog.slsa.sa.gov.au/xrecord=b2119325</v>
      </c>
      <c r="D2579" t="s">
        <v>66</v>
      </c>
      <c r="E2579" t="s">
        <v>9195</v>
      </c>
      <c r="F2579">
        <v>1958</v>
      </c>
      <c r="G2579" t="s">
        <v>121</v>
      </c>
      <c r="H2579" t="s">
        <v>9196</v>
      </c>
      <c r="I2579" t="s">
        <v>9197</v>
      </c>
      <c r="J2579" t="s">
        <v>71</v>
      </c>
      <c r="K2579" s="2" t="str">
        <f>HYPERLINK("http://collections.slsa.sa.gov.au/arthur/07000/BRG347_6861.htm")</f>
        <v>http://collections.slsa.sa.gov.au/arthur/07000/BRG347_6861.htm</v>
      </c>
    </row>
    <row r="2580" spans="1:11" x14ac:dyDescent="0.25">
      <c r="A2580" t="s">
        <v>9198</v>
      </c>
      <c r="B2580" s="1" t="str">
        <f>HYPERLINK("https://www.catalog.slsa.sa.gov.au/record=b2119625")</f>
        <v>https://www.catalog.slsa.sa.gov.au/record=b2119625</v>
      </c>
      <c r="C2580" s="1" t="str">
        <f>HYPERLINK("https://www.catalog.slsa.sa.gov.au/xrecord=b2119625")</f>
        <v>https://www.catalog.slsa.sa.gov.au/xrecord=b2119625</v>
      </c>
      <c r="D2580" t="s">
        <v>66</v>
      </c>
      <c r="E2580" t="s">
        <v>4974</v>
      </c>
      <c r="F2580">
        <v>1958</v>
      </c>
      <c r="G2580" t="s">
        <v>121</v>
      </c>
      <c r="H2580" t="s">
        <v>9199</v>
      </c>
      <c r="I2580" t="s">
        <v>1750</v>
      </c>
      <c r="J2580" t="s">
        <v>71</v>
      </c>
      <c r="K2580" s="2" t="str">
        <f>HYPERLINK("http://collections.slsa.sa.gov.au/arthur/07000/BRG347_6938.htm")</f>
        <v>http://collections.slsa.sa.gov.au/arthur/07000/BRG347_6938.htm</v>
      </c>
    </row>
    <row r="2581" spans="1:11" x14ac:dyDescent="0.25">
      <c r="A2581" t="s">
        <v>9200</v>
      </c>
      <c r="B2581" s="1" t="str">
        <f>HYPERLINK("https://www.catalog.slsa.sa.gov.au/record=b2119626")</f>
        <v>https://www.catalog.slsa.sa.gov.au/record=b2119626</v>
      </c>
      <c r="C2581" s="1" t="str">
        <f>HYPERLINK("https://www.catalog.slsa.sa.gov.au/xrecord=b2119626")</f>
        <v>https://www.catalog.slsa.sa.gov.au/xrecord=b2119626</v>
      </c>
      <c r="D2581" t="s">
        <v>66</v>
      </c>
      <c r="E2581" t="s">
        <v>4974</v>
      </c>
      <c r="F2581">
        <v>1958</v>
      </c>
      <c r="G2581" t="s">
        <v>121</v>
      </c>
      <c r="H2581" t="s">
        <v>9201</v>
      </c>
      <c r="I2581" t="s">
        <v>1750</v>
      </c>
      <c r="J2581" t="s">
        <v>71</v>
      </c>
      <c r="K2581" s="2" t="str">
        <f>HYPERLINK("http://collections.slsa.sa.gov.au/arthur/07000/BRG347_6939.htm")</f>
        <v>http://collections.slsa.sa.gov.au/arthur/07000/BRG347_6939.htm</v>
      </c>
    </row>
    <row r="2582" spans="1:11" x14ac:dyDescent="0.25">
      <c r="A2582" t="s">
        <v>9202</v>
      </c>
      <c r="B2582" s="1" t="str">
        <f>HYPERLINK("https://www.catalog.slsa.sa.gov.au/record=b2119627")</f>
        <v>https://www.catalog.slsa.sa.gov.au/record=b2119627</v>
      </c>
      <c r="C2582" s="1" t="str">
        <f>HYPERLINK("https://www.catalog.slsa.sa.gov.au/xrecord=b2119627")</f>
        <v>https://www.catalog.slsa.sa.gov.au/xrecord=b2119627</v>
      </c>
      <c r="D2582" t="s">
        <v>66</v>
      </c>
      <c r="E2582" t="s">
        <v>4974</v>
      </c>
      <c r="F2582">
        <v>1958</v>
      </c>
      <c r="G2582" t="s">
        <v>121</v>
      </c>
      <c r="H2582" t="s">
        <v>9203</v>
      </c>
      <c r="I2582" t="s">
        <v>1750</v>
      </c>
      <c r="J2582" t="s">
        <v>71</v>
      </c>
      <c r="K2582" s="2" t="str">
        <f>HYPERLINK("http://collections.slsa.sa.gov.au/arthur/07000/BRG347_6940.htm")</f>
        <v>http://collections.slsa.sa.gov.au/arthur/07000/BRG347_6940.htm</v>
      </c>
    </row>
    <row r="2583" spans="1:11" x14ac:dyDescent="0.25">
      <c r="A2583" t="s">
        <v>9204</v>
      </c>
      <c r="B2583" s="1" t="str">
        <f>HYPERLINK("https://www.catalog.slsa.sa.gov.au/record=b2119628")</f>
        <v>https://www.catalog.slsa.sa.gov.au/record=b2119628</v>
      </c>
      <c r="C2583" s="1" t="str">
        <f>HYPERLINK("https://www.catalog.slsa.sa.gov.au/xrecord=b2119628")</f>
        <v>https://www.catalog.slsa.sa.gov.au/xrecord=b2119628</v>
      </c>
      <c r="D2583" t="s">
        <v>66</v>
      </c>
      <c r="E2583" t="s">
        <v>4606</v>
      </c>
      <c r="F2583">
        <v>1958</v>
      </c>
      <c r="G2583" t="s">
        <v>121</v>
      </c>
      <c r="H2583" t="s">
        <v>9205</v>
      </c>
      <c r="I2583" t="s">
        <v>1750</v>
      </c>
      <c r="J2583" t="s">
        <v>71</v>
      </c>
      <c r="K2583" s="2" t="str">
        <f>HYPERLINK("http://collections.slsa.sa.gov.au/arthur/07000/BRG347_6941.htm")</f>
        <v>http://collections.slsa.sa.gov.au/arthur/07000/BRG347_6941.htm</v>
      </c>
    </row>
    <row r="2584" spans="1:11" x14ac:dyDescent="0.25">
      <c r="A2584" t="s">
        <v>9206</v>
      </c>
      <c r="B2584" s="1" t="str">
        <f>HYPERLINK("https://www.catalog.slsa.sa.gov.au/record=b2119629")</f>
        <v>https://www.catalog.slsa.sa.gov.au/record=b2119629</v>
      </c>
      <c r="C2584" s="1" t="str">
        <f>HYPERLINK("https://www.catalog.slsa.sa.gov.au/xrecord=b2119629")</f>
        <v>https://www.catalog.slsa.sa.gov.au/xrecord=b2119629</v>
      </c>
      <c r="D2584" t="s">
        <v>66</v>
      </c>
      <c r="E2584" t="s">
        <v>5766</v>
      </c>
      <c r="F2584">
        <v>1958</v>
      </c>
      <c r="G2584" t="s">
        <v>121</v>
      </c>
      <c r="H2584" t="s">
        <v>9207</v>
      </c>
      <c r="I2584" t="s">
        <v>1750</v>
      </c>
      <c r="J2584" t="s">
        <v>71</v>
      </c>
      <c r="K2584" s="2" t="str">
        <f>HYPERLINK("http://collections.slsa.sa.gov.au/arthur/07000/BRG347_6942.htm")</f>
        <v>http://collections.slsa.sa.gov.au/arthur/07000/BRG347_6942.htm</v>
      </c>
    </row>
    <row r="2585" spans="1:11" x14ac:dyDescent="0.25">
      <c r="A2585" t="s">
        <v>9208</v>
      </c>
      <c r="B2585" s="1" t="str">
        <f>HYPERLINK("https://www.catalog.slsa.sa.gov.au/record=b2119630")</f>
        <v>https://www.catalog.slsa.sa.gov.au/record=b2119630</v>
      </c>
      <c r="C2585" s="1" t="str">
        <f>HYPERLINK("https://www.catalog.slsa.sa.gov.au/xrecord=b2119630")</f>
        <v>https://www.catalog.slsa.sa.gov.au/xrecord=b2119630</v>
      </c>
      <c r="D2585" t="s">
        <v>66</v>
      </c>
      <c r="E2585" t="s">
        <v>5766</v>
      </c>
      <c r="F2585">
        <v>1958</v>
      </c>
      <c r="G2585" t="s">
        <v>121</v>
      </c>
      <c r="H2585" t="s">
        <v>9207</v>
      </c>
      <c r="I2585" t="s">
        <v>1750</v>
      </c>
      <c r="J2585" t="s">
        <v>71</v>
      </c>
      <c r="K2585" s="2" t="str">
        <f>HYPERLINK("http://collections.slsa.sa.gov.au/arthur/07000/BRG347_6943.htm")</f>
        <v>http://collections.slsa.sa.gov.au/arthur/07000/BRG347_6943.htm</v>
      </c>
    </row>
    <row r="2586" spans="1:11" x14ac:dyDescent="0.25">
      <c r="A2586" t="s">
        <v>9209</v>
      </c>
      <c r="B2586" s="1" t="str">
        <f>HYPERLINK("https://www.catalog.slsa.sa.gov.au/record=b3122797")</f>
        <v>https://www.catalog.slsa.sa.gov.au/record=b3122797</v>
      </c>
      <c r="C2586" s="1" t="str">
        <f>HYPERLINK("https://www.catalog.slsa.sa.gov.au/xrecord=b3122797")</f>
        <v>https://www.catalog.slsa.sa.gov.au/xrecord=b3122797</v>
      </c>
      <c r="D2586" t="s">
        <v>5364</v>
      </c>
      <c r="E2586" t="s">
        <v>9210</v>
      </c>
      <c r="F2586">
        <v>1958</v>
      </c>
      <c r="G2586" t="s">
        <v>9211</v>
      </c>
      <c r="H2586" t="s">
        <v>9212</v>
      </c>
      <c r="I2586" t="s">
        <v>9213</v>
      </c>
      <c r="J2586" t="s">
        <v>9214</v>
      </c>
      <c r="K2586" s="2" t="str">
        <f>HYPERLINK("http://collections.slsa.sa.gov.au/resource/PRG+1697/16")</f>
        <v>http://collections.slsa.sa.gov.au/resource/PRG+1697/16</v>
      </c>
    </row>
    <row r="2587" spans="1:11" x14ac:dyDescent="0.25">
      <c r="A2587" t="s">
        <v>9215</v>
      </c>
      <c r="B2587" s="1" t="str">
        <f>HYPERLINK("https://www.catalog.slsa.sa.gov.au/record=b2117515")</f>
        <v>https://www.catalog.slsa.sa.gov.au/record=b2117515</v>
      </c>
      <c r="C2587" s="1" t="str">
        <f>HYPERLINK("https://www.catalog.slsa.sa.gov.au/xrecord=b2117515")</f>
        <v>https://www.catalog.slsa.sa.gov.au/xrecord=b2117515</v>
      </c>
      <c r="D2587" t="s">
        <v>66</v>
      </c>
      <c r="E2587" t="s">
        <v>9216</v>
      </c>
      <c r="F2587" t="s">
        <v>9217</v>
      </c>
      <c r="G2587" t="s">
        <v>121</v>
      </c>
      <c r="H2587" t="s">
        <v>9218</v>
      </c>
      <c r="I2587" t="s">
        <v>9219</v>
      </c>
      <c r="J2587" t="s">
        <v>71</v>
      </c>
      <c r="K2587" s="2" t="str">
        <f>HYPERLINK("http://collections.slsa.sa.gov.au/arthur/02250/BRG347_2012.htm")</f>
        <v>http://collections.slsa.sa.gov.au/arthur/02250/BRG347_2012.htm</v>
      </c>
    </row>
    <row r="2588" spans="1:11" x14ac:dyDescent="0.25">
      <c r="A2588" t="s">
        <v>9220</v>
      </c>
      <c r="B2588" s="1" t="str">
        <f>HYPERLINK("https://www.catalog.slsa.sa.gov.au/record=b2111343")</f>
        <v>https://www.catalog.slsa.sa.gov.au/record=b2111343</v>
      </c>
      <c r="C2588" s="1" t="str">
        <f>HYPERLINK("https://www.catalog.slsa.sa.gov.au/xrecord=b2111343")</f>
        <v>https://www.catalog.slsa.sa.gov.au/xrecord=b2111343</v>
      </c>
      <c r="D2588" t="s">
        <v>66</v>
      </c>
      <c r="E2588" t="s">
        <v>9221</v>
      </c>
      <c r="F2588" t="s">
        <v>9217</v>
      </c>
      <c r="G2588" t="s">
        <v>121</v>
      </c>
      <c r="H2588" t="s">
        <v>9222</v>
      </c>
      <c r="I2588" t="s">
        <v>9223</v>
      </c>
      <c r="J2588" t="s">
        <v>71</v>
      </c>
      <c r="K2588" s="2" t="str">
        <f>HYPERLINK("http://collections.slsa.sa.gov.au/arthur/02250/BRG347_2015.htm")</f>
        <v>http://collections.slsa.sa.gov.au/arthur/02250/BRG347_2015.htm</v>
      </c>
    </row>
    <row r="2589" spans="1:11" x14ac:dyDescent="0.25">
      <c r="A2589" t="s">
        <v>9224</v>
      </c>
      <c r="B2589" s="1" t="str">
        <f>HYPERLINK("https://www.catalog.slsa.sa.gov.au/record=b2110367")</f>
        <v>https://www.catalog.slsa.sa.gov.au/record=b2110367</v>
      </c>
      <c r="C2589" s="1" t="str">
        <f>HYPERLINK("https://www.catalog.slsa.sa.gov.au/xrecord=b2110367")</f>
        <v>https://www.catalog.slsa.sa.gov.au/xrecord=b2110367</v>
      </c>
      <c r="D2589" t="s">
        <v>66</v>
      </c>
      <c r="E2589" t="s">
        <v>9225</v>
      </c>
      <c r="F2589">
        <v>1959</v>
      </c>
      <c r="G2589" t="s">
        <v>121</v>
      </c>
      <c r="H2589" t="s">
        <v>9226</v>
      </c>
      <c r="I2589" t="s">
        <v>9227</v>
      </c>
      <c r="J2589" t="s">
        <v>71</v>
      </c>
      <c r="K2589" s="2" t="str">
        <f>HYPERLINK("http://collections.slsa.sa.gov.au/arthur/01250/BRG347_1139.htm")</f>
        <v>http://collections.slsa.sa.gov.au/arthur/01250/BRG347_1139.htm</v>
      </c>
    </row>
    <row r="2590" spans="1:11" x14ac:dyDescent="0.25">
      <c r="A2590" t="s">
        <v>9228</v>
      </c>
      <c r="B2590" s="1" t="str">
        <f>HYPERLINK("https://www.catalog.slsa.sa.gov.au/record=b2925397")</f>
        <v>https://www.catalog.slsa.sa.gov.au/record=b2925397</v>
      </c>
      <c r="C2590" s="1" t="str">
        <f>HYPERLINK("https://www.catalog.slsa.sa.gov.au/xrecord=b2925397")</f>
        <v>https://www.catalog.slsa.sa.gov.au/xrecord=b2925397</v>
      </c>
      <c r="D2590" t="s">
        <v>2939</v>
      </c>
      <c r="E2590" t="s">
        <v>9229</v>
      </c>
      <c r="F2590">
        <v>1959</v>
      </c>
      <c r="G2590" t="s">
        <v>9230</v>
      </c>
      <c r="H2590" t="s">
        <v>9231</v>
      </c>
      <c r="I2590" t="s">
        <v>9232</v>
      </c>
      <c r="K2590" s="2" t="str">
        <f>HYPERLINK("http://collections.slsa.sa.gov.au/prg/1614/PRG1614_5.htm")</f>
        <v>http://collections.slsa.sa.gov.au/prg/1614/PRG1614_5.htm</v>
      </c>
    </row>
    <row r="2591" spans="1:11" x14ac:dyDescent="0.25">
      <c r="A2591" t="s">
        <v>9233</v>
      </c>
      <c r="B2591" s="1" t="str">
        <f>HYPERLINK("https://www.catalog.slsa.sa.gov.au/record=b2106872")</f>
        <v>https://www.catalog.slsa.sa.gov.au/record=b2106872</v>
      </c>
      <c r="C2591" s="1" t="str">
        <f>HYPERLINK("https://www.catalog.slsa.sa.gov.au/xrecord=b2106872")</f>
        <v>https://www.catalog.slsa.sa.gov.au/xrecord=b2106872</v>
      </c>
      <c r="D2591" t="s">
        <v>66</v>
      </c>
      <c r="E2591" t="s">
        <v>9234</v>
      </c>
      <c r="F2591">
        <v>1959</v>
      </c>
      <c r="G2591" t="s">
        <v>74</v>
      </c>
      <c r="H2591" t="s">
        <v>9235</v>
      </c>
      <c r="I2591" t="s">
        <v>9236</v>
      </c>
      <c r="J2591" t="s">
        <v>71</v>
      </c>
      <c r="K2591" s="2" t="str">
        <f>HYPERLINK("http://collections.slsa.sa.gov.au/arthur/00250/BRG347_37.htm")</f>
        <v>http://collections.slsa.sa.gov.au/arthur/00250/BRG347_37.htm</v>
      </c>
    </row>
    <row r="2592" spans="1:11" x14ac:dyDescent="0.25">
      <c r="A2592" t="s">
        <v>9237</v>
      </c>
      <c r="B2592" s="1" t="str">
        <f>HYPERLINK("https://www.catalog.slsa.sa.gov.au/record=b2110077")</f>
        <v>https://www.catalog.slsa.sa.gov.au/record=b2110077</v>
      </c>
      <c r="C2592" s="1" t="str">
        <f>HYPERLINK("https://www.catalog.slsa.sa.gov.au/xrecord=b2110077")</f>
        <v>https://www.catalog.slsa.sa.gov.au/xrecord=b2110077</v>
      </c>
      <c r="D2592" t="s">
        <v>66</v>
      </c>
      <c r="E2592" t="s">
        <v>5515</v>
      </c>
      <c r="F2592">
        <v>1959</v>
      </c>
      <c r="G2592" t="s">
        <v>121</v>
      </c>
      <c r="H2592" t="s">
        <v>9238</v>
      </c>
      <c r="I2592" t="s">
        <v>9239</v>
      </c>
      <c r="J2592" t="s">
        <v>71</v>
      </c>
      <c r="K2592" s="2" t="str">
        <f>HYPERLINK("http://collections.slsa.sa.gov.au/arthur/01000/BRG347_880.htm")</f>
        <v>http://collections.slsa.sa.gov.au/arthur/01000/BRG347_880.htm</v>
      </c>
    </row>
    <row r="2593" spans="1:11" x14ac:dyDescent="0.25">
      <c r="A2593" t="s">
        <v>9240</v>
      </c>
      <c r="B2593" s="1" t="str">
        <f>HYPERLINK("https://www.catalog.slsa.sa.gov.au/record=b2110078")</f>
        <v>https://www.catalog.slsa.sa.gov.au/record=b2110078</v>
      </c>
      <c r="C2593" s="1" t="str">
        <f>HYPERLINK("https://www.catalog.slsa.sa.gov.au/xrecord=b2110078")</f>
        <v>https://www.catalog.slsa.sa.gov.au/xrecord=b2110078</v>
      </c>
      <c r="D2593" t="s">
        <v>66</v>
      </c>
      <c r="E2593" t="s">
        <v>9241</v>
      </c>
      <c r="F2593">
        <v>1959</v>
      </c>
      <c r="G2593" t="s">
        <v>121</v>
      </c>
      <c r="H2593" t="s">
        <v>9242</v>
      </c>
      <c r="I2593" t="s">
        <v>9243</v>
      </c>
      <c r="J2593" t="s">
        <v>71</v>
      </c>
      <c r="K2593" s="2" t="str">
        <f>HYPERLINK("http://collections.slsa.sa.gov.au/arthur/01000/BRG347_881.htm")</f>
        <v>http://collections.slsa.sa.gov.au/arthur/01000/BRG347_881.htm</v>
      </c>
    </row>
    <row r="2594" spans="1:11" x14ac:dyDescent="0.25">
      <c r="A2594" t="s">
        <v>9244</v>
      </c>
      <c r="B2594" s="1" t="str">
        <f>HYPERLINK("https://www.catalog.slsa.sa.gov.au/record=b2110083")</f>
        <v>https://www.catalog.slsa.sa.gov.au/record=b2110083</v>
      </c>
      <c r="C2594" s="1" t="str">
        <f>HYPERLINK("https://www.catalog.slsa.sa.gov.au/xrecord=b2110083")</f>
        <v>https://www.catalog.slsa.sa.gov.au/xrecord=b2110083</v>
      </c>
      <c r="D2594" t="s">
        <v>66</v>
      </c>
      <c r="E2594" t="s">
        <v>9245</v>
      </c>
      <c r="F2594">
        <v>1959</v>
      </c>
      <c r="G2594" t="s">
        <v>121</v>
      </c>
      <c r="H2594" t="s">
        <v>9246</v>
      </c>
      <c r="I2594" t="s">
        <v>9247</v>
      </c>
      <c r="J2594" t="s">
        <v>71</v>
      </c>
      <c r="K2594" s="2" t="str">
        <f>HYPERLINK("http://collections.slsa.sa.gov.au/arthur/01000/BRG347_887.htm")</f>
        <v>http://collections.slsa.sa.gov.au/arthur/01000/BRG347_887.htm</v>
      </c>
    </row>
    <row r="2595" spans="1:11" x14ac:dyDescent="0.25">
      <c r="A2595" t="s">
        <v>9248</v>
      </c>
      <c r="B2595" s="1" t="str">
        <f>HYPERLINK("https://www.catalog.slsa.sa.gov.au/record=b2110156")</f>
        <v>https://www.catalog.slsa.sa.gov.au/record=b2110156</v>
      </c>
      <c r="C2595" s="1" t="str">
        <f>HYPERLINK("https://www.catalog.slsa.sa.gov.au/xrecord=b2110156")</f>
        <v>https://www.catalog.slsa.sa.gov.au/xrecord=b2110156</v>
      </c>
      <c r="D2595" t="s">
        <v>66</v>
      </c>
      <c r="E2595" t="s">
        <v>9249</v>
      </c>
      <c r="F2595">
        <v>1959</v>
      </c>
      <c r="G2595" t="s">
        <v>121</v>
      </c>
      <c r="H2595" t="s">
        <v>9250</v>
      </c>
      <c r="I2595" t="s">
        <v>7343</v>
      </c>
      <c r="J2595" t="s">
        <v>71</v>
      </c>
      <c r="K2595" s="2" t="str">
        <f>HYPERLINK("http://collections.slsa.sa.gov.au/arthur/01000/BRG347_961.htm")</f>
        <v>http://collections.slsa.sa.gov.au/arthur/01000/BRG347_961.htm</v>
      </c>
    </row>
    <row r="2596" spans="1:11" x14ac:dyDescent="0.25">
      <c r="A2596" t="s">
        <v>9251</v>
      </c>
      <c r="B2596" s="1" t="str">
        <f>HYPERLINK("https://www.catalog.slsa.sa.gov.au/record=b2110157")</f>
        <v>https://www.catalog.slsa.sa.gov.au/record=b2110157</v>
      </c>
      <c r="C2596" s="1" t="str">
        <f>HYPERLINK("https://www.catalog.slsa.sa.gov.au/xrecord=b2110157")</f>
        <v>https://www.catalog.slsa.sa.gov.au/xrecord=b2110157</v>
      </c>
      <c r="D2596" t="s">
        <v>66</v>
      </c>
      <c r="E2596" t="s">
        <v>9252</v>
      </c>
      <c r="F2596">
        <v>1959</v>
      </c>
      <c r="G2596" t="s">
        <v>121</v>
      </c>
      <c r="H2596" t="s">
        <v>9253</v>
      </c>
      <c r="I2596" t="s">
        <v>9254</v>
      </c>
      <c r="J2596" t="s">
        <v>71</v>
      </c>
      <c r="K2596" s="2" t="str">
        <f>HYPERLINK("http://collections.slsa.sa.gov.au/arthur/01000/BRG347_962.htm")</f>
        <v>http://collections.slsa.sa.gov.au/arthur/01000/BRG347_962.htm</v>
      </c>
    </row>
    <row r="2597" spans="1:11" x14ac:dyDescent="0.25">
      <c r="A2597" t="s">
        <v>9255</v>
      </c>
      <c r="B2597" s="1" t="str">
        <f>HYPERLINK("https://www.catalog.slsa.sa.gov.au/record=b2110158")</f>
        <v>https://www.catalog.slsa.sa.gov.au/record=b2110158</v>
      </c>
      <c r="C2597" s="1" t="str">
        <f>HYPERLINK("https://www.catalog.slsa.sa.gov.au/xrecord=b2110158")</f>
        <v>https://www.catalog.slsa.sa.gov.au/xrecord=b2110158</v>
      </c>
      <c r="D2597" t="s">
        <v>66</v>
      </c>
      <c r="E2597" t="s">
        <v>9256</v>
      </c>
      <c r="F2597">
        <v>1959</v>
      </c>
      <c r="G2597" t="s">
        <v>121</v>
      </c>
      <c r="H2597" t="s">
        <v>9257</v>
      </c>
      <c r="I2597" t="s">
        <v>9258</v>
      </c>
      <c r="J2597" t="s">
        <v>71</v>
      </c>
      <c r="K2597" s="2" t="str">
        <f>HYPERLINK("http://collections.slsa.sa.gov.au/arthur/01000/BRG347_963.htm")</f>
        <v>http://collections.slsa.sa.gov.au/arthur/01000/BRG347_963.htm</v>
      </c>
    </row>
    <row r="2598" spans="1:11" x14ac:dyDescent="0.25">
      <c r="A2598" t="s">
        <v>9259</v>
      </c>
      <c r="B2598" s="1" t="str">
        <f>HYPERLINK("https://www.catalog.slsa.sa.gov.au/record=b2110159")</f>
        <v>https://www.catalog.slsa.sa.gov.au/record=b2110159</v>
      </c>
      <c r="C2598" s="1" t="str">
        <f>HYPERLINK("https://www.catalog.slsa.sa.gov.au/xrecord=b2110159")</f>
        <v>https://www.catalog.slsa.sa.gov.au/xrecord=b2110159</v>
      </c>
      <c r="D2598" t="s">
        <v>66</v>
      </c>
      <c r="E2598" t="s">
        <v>6184</v>
      </c>
      <c r="F2598">
        <v>1959</v>
      </c>
      <c r="G2598" t="s">
        <v>121</v>
      </c>
      <c r="H2598" t="s">
        <v>9260</v>
      </c>
      <c r="I2598" t="s">
        <v>9261</v>
      </c>
      <c r="J2598" t="s">
        <v>71</v>
      </c>
      <c r="K2598" s="2" t="str">
        <f>HYPERLINK("http://collections.slsa.sa.gov.au/arthur/01000/BRG347_964.htm")</f>
        <v>http://collections.slsa.sa.gov.au/arthur/01000/BRG347_964.htm</v>
      </c>
    </row>
    <row r="2599" spans="1:11" x14ac:dyDescent="0.25">
      <c r="A2599" t="s">
        <v>9262</v>
      </c>
      <c r="B2599" s="1" t="str">
        <f>HYPERLINK("https://www.catalog.slsa.sa.gov.au/record=b2110160")</f>
        <v>https://www.catalog.slsa.sa.gov.au/record=b2110160</v>
      </c>
      <c r="C2599" s="1" t="str">
        <f>HYPERLINK("https://www.catalog.slsa.sa.gov.au/xrecord=b2110160")</f>
        <v>https://www.catalog.slsa.sa.gov.au/xrecord=b2110160</v>
      </c>
      <c r="D2599" t="s">
        <v>66</v>
      </c>
      <c r="E2599" t="s">
        <v>9263</v>
      </c>
      <c r="F2599">
        <v>1959</v>
      </c>
      <c r="G2599" t="s">
        <v>121</v>
      </c>
      <c r="H2599" t="s">
        <v>9264</v>
      </c>
      <c r="I2599" t="s">
        <v>9239</v>
      </c>
      <c r="J2599" t="s">
        <v>71</v>
      </c>
      <c r="K2599" s="2" t="str">
        <f>HYPERLINK("http://collections.slsa.sa.gov.au/arthur/01000/BRG347_965.htm")</f>
        <v>http://collections.slsa.sa.gov.au/arthur/01000/BRG347_965.htm</v>
      </c>
    </row>
    <row r="2600" spans="1:11" x14ac:dyDescent="0.25">
      <c r="A2600" t="s">
        <v>9265</v>
      </c>
      <c r="B2600" s="1" t="str">
        <f>HYPERLINK("https://www.catalog.slsa.sa.gov.au/record=b2110161")</f>
        <v>https://www.catalog.slsa.sa.gov.au/record=b2110161</v>
      </c>
      <c r="C2600" s="1" t="str">
        <f>HYPERLINK("https://www.catalog.slsa.sa.gov.au/xrecord=b2110161")</f>
        <v>https://www.catalog.slsa.sa.gov.au/xrecord=b2110161</v>
      </c>
      <c r="D2600" t="s">
        <v>66</v>
      </c>
      <c r="E2600" t="s">
        <v>9266</v>
      </c>
      <c r="F2600">
        <v>1959</v>
      </c>
      <c r="G2600" t="s">
        <v>121</v>
      </c>
      <c r="H2600" t="s">
        <v>9267</v>
      </c>
      <c r="I2600" t="s">
        <v>7573</v>
      </c>
      <c r="J2600" t="s">
        <v>71</v>
      </c>
      <c r="K2600" s="2" t="str">
        <f>HYPERLINK("http://collections.slsa.sa.gov.au/arthur/01000/BRG347_966.htm")</f>
        <v>http://collections.slsa.sa.gov.au/arthur/01000/BRG347_966.htm</v>
      </c>
    </row>
    <row r="2601" spans="1:11" x14ac:dyDescent="0.25">
      <c r="A2601" t="s">
        <v>9268</v>
      </c>
      <c r="B2601" s="1" t="str">
        <f>HYPERLINK("https://www.catalog.slsa.sa.gov.au/record=b2110162")</f>
        <v>https://www.catalog.slsa.sa.gov.au/record=b2110162</v>
      </c>
      <c r="C2601" s="1" t="str">
        <f>HYPERLINK("https://www.catalog.slsa.sa.gov.au/xrecord=b2110162")</f>
        <v>https://www.catalog.slsa.sa.gov.au/xrecord=b2110162</v>
      </c>
      <c r="D2601" t="s">
        <v>66</v>
      </c>
      <c r="E2601" t="s">
        <v>9269</v>
      </c>
      <c r="F2601">
        <v>1959</v>
      </c>
      <c r="G2601" t="s">
        <v>121</v>
      </c>
      <c r="H2601" t="s">
        <v>9270</v>
      </c>
      <c r="I2601" t="s">
        <v>7174</v>
      </c>
      <c r="J2601" t="s">
        <v>71</v>
      </c>
      <c r="K2601" s="2" t="str">
        <f>HYPERLINK("http://collections.slsa.sa.gov.au/arthur/01000/BRG347_967.htm")</f>
        <v>http://collections.slsa.sa.gov.au/arthur/01000/BRG347_967.htm</v>
      </c>
    </row>
    <row r="2602" spans="1:11" x14ac:dyDescent="0.25">
      <c r="A2602" t="s">
        <v>9271</v>
      </c>
      <c r="B2602" s="1" t="str">
        <f>HYPERLINK("https://www.catalog.slsa.sa.gov.au/record=b2110164")</f>
        <v>https://www.catalog.slsa.sa.gov.au/record=b2110164</v>
      </c>
      <c r="C2602" s="1" t="str">
        <f>HYPERLINK("https://www.catalog.slsa.sa.gov.au/xrecord=b2110164")</f>
        <v>https://www.catalog.slsa.sa.gov.au/xrecord=b2110164</v>
      </c>
      <c r="D2602" t="s">
        <v>66</v>
      </c>
      <c r="E2602" t="s">
        <v>7341</v>
      </c>
      <c r="F2602">
        <v>1959</v>
      </c>
      <c r="G2602" t="s">
        <v>121</v>
      </c>
      <c r="H2602" t="s">
        <v>9272</v>
      </c>
      <c r="I2602" t="s">
        <v>9273</v>
      </c>
      <c r="J2602" t="s">
        <v>71</v>
      </c>
      <c r="K2602" s="2" t="str">
        <f>HYPERLINK("http://collections.slsa.sa.gov.au/arthur/01000/BRG347_969.htm")</f>
        <v>http://collections.slsa.sa.gov.au/arthur/01000/BRG347_969.htm</v>
      </c>
    </row>
    <row r="2603" spans="1:11" x14ac:dyDescent="0.25">
      <c r="A2603" t="s">
        <v>9274</v>
      </c>
      <c r="B2603" s="1" t="str">
        <f>HYPERLINK("https://www.catalog.slsa.sa.gov.au/record=b2110165")</f>
        <v>https://www.catalog.slsa.sa.gov.au/record=b2110165</v>
      </c>
      <c r="C2603" s="1" t="str">
        <f>HYPERLINK("https://www.catalog.slsa.sa.gov.au/xrecord=b2110165")</f>
        <v>https://www.catalog.slsa.sa.gov.au/xrecord=b2110165</v>
      </c>
      <c r="D2603" t="s">
        <v>66</v>
      </c>
      <c r="E2603" t="s">
        <v>9275</v>
      </c>
      <c r="F2603">
        <v>1959</v>
      </c>
      <c r="G2603" t="s">
        <v>121</v>
      </c>
      <c r="H2603" t="s">
        <v>9276</v>
      </c>
      <c r="I2603" t="s">
        <v>9277</v>
      </c>
      <c r="J2603" t="s">
        <v>71</v>
      </c>
      <c r="K2603" s="2" t="str">
        <f>HYPERLINK("http://collections.slsa.sa.gov.au/arthur/01000/BRG347_970.htm")</f>
        <v>http://collections.slsa.sa.gov.au/arthur/01000/BRG347_970.htm</v>
      </c>
    </row>
    <row r="2604" spans="1:11" x14ac:dyDescent="0.25">
      <c r="A2604" t="s">
        <v>9278</v>
      </c>
      <c r="B2604" s="1" t="str">
        <f>HYPERLINK("https://www.catalog.slsa.sa.gov.au/record=b2110361")</f>
        <v>https://www.catalog.slsa.sa.gov.au/record=b2110361</v>
      </c>
      <c r="C2604" s="1" t="str">
        <f>HYPERLINK("https://www.catalog.slsa.sa.gov.au/xrecord=b2110361")</f>
        <v>https://www.catalog.slsa.sa.gov.au/xrecord=b2110361</v>
      </c>
      <c r="D2604" t="s">
        <v>66</v>
      </c>
      <c r="E2604" t="s">
        <v>9279</v>
      </c>
      <c r="F2604">
        <v>1959</v>
      </c>
      <c r="G2604" t="s">
        <v>121</v>
      </c>
      <c r="H2604" t="s">
        <v>9280</v>
      </c>
      <c r="I2604" t="s">
        <v>9281</v>
      </c>
      <c r="J2604" t="s">
        <v>71</v>
      </c>
      <c r="K2604" s="2" t="str">
        <f>HYPERLINK("http://collections.slsa.sa.gov.au/arthur/01250/BRG347_1133.htm")</f>
        <v>http://collections.slsa.sa.gov.au/arthur/01250/BRG347_1133.htm</v>
      </c>
    </row>
    <row r="2605" spans="1:11" x14ac:dyDescent="0.25">
      <c r="A2605" t="s">
        <v>9282</v>
      </c>
      <c r="B2605" s="1" t="str">
        <f>HYPERLINK("https://www.catalog.slsa.sa.gov.au/record=b2110362")</f>
        <v>https://www.catalog.slsa.sa.gov.au/record=b2110362</v>
      </c>
      <c r="C2605" s="1" t="str">
        <f>HYPERLINK("https://www.catalog.slsa.sa.gov.au/xrecord=b2110362")</f>
        <v>https://www.catalog.slsa.sa.gov.au/xrecord=b2110362</v>
      </c>
      <c r="D2605" t="s">
        <v>66</v>
      </c>
      <c r="E2605" t="s">
        <v>9283</v>
      </c>
      <c r="F2605">
        <v>1959</v>
      </c>
      <c r="G2605" t="s">
        <v>121</v>
      </c>
      <c r="H2605" t="s">
        <v>9284</v>
      </c>
      <c r="I2605" t="s">
        <v>9285</v>
      </c>
      <c r="J2605" t="s">
        <v>71</v>
      </c>
      <c r="K2605" s="2" t="str">
        <f>HYPERLINK("http://collections.slsa.sa.gov.au/arthur/01250/BRG347_1134.htm")</f>
        <v>http://collections.slsa.sa.gov.au/arthur/01250/BRG347_1134.htm</v>
      </c>
    </row>
    <row r="2606" spans="1:11" x14ac:dyDescent="0.25">
      <c r="A2606" t="s">
        <v>9286</v>
      </c>
      <c r="B2606" s="1" t="str">
        <f>HYPERLINK("https://www.catalog.slsa.sa.gov.au/record=b2110363")</f>
        <v>https://www.catalog.slsa.sa.gov.au/record=b2110363</v>
      </c>
      <c r="C2606" s="1" t="str">
        <f>HYPERLINK("https://www.catalog.slsa.sa.gov.au/xrecord=b2110363")</f>
        <v>https://www.catalog.slsa.sa.gov.au/xrecord=b2110363</v>
      </c>
      <c r="D2606" t="s">
        <v>66</v>
      </c>
      <c r="E2606" t="s">
        <v>9287</v>
      </c>
      <c r="F2606">
        <v>1959</v>
      </c>
      <c r="G2606" t="s">
        <v>121</v>
      </c>
      <c r="H2606" t="s">
        <v>9288</v>
      </c>
      <c r="I2606" t="s">
        <v>9289</v>
      </c>
      <c r="J2606" t="s">
        <v>71</v>
      </c>
      <c r="K2606" s="2" t="str">
        <f>HYPERLINK("http://collections.slsa.sa.gov.au/arthur/01250/BRG347_1135.htm")</f>
        <v>http://collections.slsa.sa.gov.au/arthur/01250/BRG347_1135.htm</v>
      </c>
    </row>
    <row r="2607" spans="1:11" x14ac:dyDescent="0.25">
      <c r="A2607" t="s">
        <v>9290</v>
      </c>
      <c r="B2607" s="1" t="str">
        <f>HYPERLINK("https://www.catalog.slsa.sa.gov.au/record=b2110364")</f>
        <v>https://www.catalog.slsa.sa.gov.au/record=b2110364</v>
      </c>
      <c r="C2607" s="1" t="str">
        <f>HYPERLINK("https://www.catalog.slsa.sa.gov.au/xrecord=b2110364")</f>
        <v>https://www.catalog.slsa.sa.gov.au/xrecord=b2110364</v>
      </c>
      <c r="D2607" t="s">
        <v>66</v>
      </c>
      <c r="E2607" t="s">
        <v>9291</v>
      </c>
      <c r="F2607">
        <v>1959</v>
      </c>
      <c r="G2607" t="s">
        <v>121</v>
      </c>
      <c r="H2607" t="s">
        <v>9292</v>
      </c>
      <c r="I2607" t="s">
        <v>9293</v>
      </c>
      <c r="J2607" t="s">
        <v>71</v>
      </c>
      <c r="K2607" s="2" t="str">
        <f>HYPERLINK("http://collections.slsa.sa.gov.au/arthur/01250/BRG347_1136.htm")</f>
        <v>http://collections.slsa.sa.gov.au/arthur/01250/BRG347_1136.htm</v>
      </c>
    </row>
    <row r="2608" spans="1:11" x14ac:dyDescent="0.25">
      <c r="A2608" t="s">
        <v>9294</v>
      </c>
      <c r="B2608" s="1" t="str">
        <f>HYPERLINK("https://www.catalog.slsa.sa.gov.au/record=b2110365")</f>
        <v>https://www.catalog.slsa.sa.gov.au/record=b2110365</v>
      </c>
      <c r="C2608" s="1" t="str">
        <f>HYPERLINK("https://www.catalog.slsa.sa.gov.au/xrecord=b2110365")</f>
        <v>https://www.catalog.slsa.sa.gov.au/xrecord=b2110365</v>
      </c>
      <c r="D2608" t="s">
        <v>66</v>
      </c>
      <c r="E2608" t="s">
        <v>9291</v>
      </c>
      <c r="F2608">
        <v>1959</v>
      </c>
      <c r="G2608" t="s">
        <v>121</v>
      </c>
      <c r="H2608" t="s">
        <v>9295</v>
      </c>
      <c r="I2608" t="s">
        <v>9293</v>
      </c>
      <c r="J2608" t="s">
        <v>71</v>
      </c>
      <c r="K2608" s="2" t="str">
        <f>HYPERLINK("http://collections.slsa.sa.gov.au/arthur/01250/BRG347_1137.htm")</f>
        <v>http://collections.slsa.sa.gov.au/arthur/01250/BRG347_1137.htm</v>
      </c>
    </row>
    <row r="2609" spans="1:11" x14ac:dyDescent="0.25">
      <c r="A2609" t="s">
        <v>9296</v>
      </c>
      <c r="B2609" s="1" t="str">
        <f>HYPERLINK("https://www.catalog.slsa.sa.gov.au/record=b2110366")</f>
        <v>https://www.catalog.slsa.sa.gov.au/record=b2110366</v>
      </c>
      <c r="C2609" s="1" t="str">
        <f>HYPERLINK("https://www.catalog.slsa.sa.gov.au/xrecord=b2110366")</f>
        <v>https://www.catalog.slsa.sa.gov.au/xrecord=b2110366</v>
      </c>
      <c r="D2609" t="s">
        <v>66</v>
      </c>
      <c r="E2609" t="s">
        <v>9283</v>
      </c>
      <c r="F2609">
        <v>1959</v>
      </c>
      <c r="G2609" t="s">
        <v>121</v>
      </c>
      <c r="H2609" t="s">
        <v>9297</v>
      </c>
      <c r="I2609" t="s">
        <v>9285</v>
      </c>
      <c r="J2609" t="s">
        <v>71</v>
      </c>
      <c r="K2609" s="2" t="str">
        <f>HYPERLINK("http://collections.slsa.sa.gov.au/arthur/01250/BRG347_1138.htm")</f>
        <v>http://collections.slsa.sa.gov.au/arthur/01250/BRG347_1138.htm</v>
      </c>
    </row>
    <row r="2610" spans="1:11" x14ac:dyDescent="0.25">
      <c r="A2610" t="s">
        <v>9298</v>
      </c>
      <c r="B2610" s="1" t="str">
        <f>HYPERLINK("https://www.catalog.slsa.sa.gov.au/record=b2110368")</f>
        <v>https://www.catalog.slsa.sa.gov.au/record=b2110368</v>
      </c>
      <c r="C2610" s="1" t="str">
        <f>HYPERLINK("https://www.catalog.slsa.sa.gov.au/xrecord=b2110368")</f>
        <v>https://www.catalog.slsa.sa.gov.au/xrecord=b2110368</v>
      </c>
      <c r="D2610" t="s">
        <v>66</v>
      </c>
      <c r="E2610" t="s">
        <v>9299</v>
      </c>
      <c r="F2610">
        <v>1959</v>
      </c>
      <c r="G2610" t="s">
        <v>121</v>
      </c>
      <c r="H2610" t="s">
        <v>9300</v>
      </c>
      <c r="I2610" t="s">
        <v>9301</v>
      </c>
      <c r="J2610" t="s">
        <v>71</v>
      </c>
      <c r="K2610" s="2" t="str">
        <f>HYPERLINK("http://collections.slsa.sa.gov.au/arthur/01250/BRG347_1140.htm")</f>
        <v>http://collections.slsa.sa.gov.au/arthur/01250/BRG347_1140.htm</v>
      </c>
    </row>
    <row r="2611" spans="1:11" x14ac:dyDescent="0.25">
      <c r="A2611" t="s">
        <v>9302</v>
      </c>
      <c r="B2611" s="1" t="str">
        <f>HYPERLINK("https://www.catalog.slsa.sa.gov.au/record=b2110369")</f>
        <v>https://www.catalog.slsa.sa.gov.au/record=b2110369</v>
      </c>
      <c r="C2611" s="1" t="str">
        <f>HYPERLINK("https://www.catalog.slsa.sa.gov.au/xrecord=b2110369")</f>
        <v>https://www.catalog.slsa.sa.gov.au/xrecord=b2110369</v>
      </c>
      <c r="D2611" t="s">
        <v>66</v>
      </c>
      <c r="E2611" t="s">
        <v>9303</v>
      </c>
      <c r="F2611">
        <v>1959</v>
      </c>
      <c r="G2611" t="s">
        <v>121</v>
      </c>
      <c r="H2611" t="s">
        <v>9304</v>
      </c>
      <c r="I2611" t="s">
        <v>9305</v>
      </c>
      <c r="J2611" t="s">
        <v>71</v>
      </c>
      <c r="K2611" s="2" t="str">
        <f>HYPERLINK("http://collections.slsa.sa.gov.au/arthur/01250/BRG347_1141.htm")</f>
        <v>http://collections.slsa.sa.gov.au/arthur/01250/BRG347_1141.htm</v>
      </c>
    </row>
    <row r="2612" spans="1:11" x14ac:dyDescent="0.25">
      <c r="A2612" t="s">
        <v>9306</v>
      </c>
      <c r="B2612" s="1" t="str">
        <f>HYPERLINK("https://www.catalog.slsa.sa.gov.au/record=b2110424")</f>
        <v>https://www.catalog.slsa.sa.gov.au/record=b2110424</v>
      </c>
      <c r="C2612" s="1" t="str">
        <f>HYPERLINK("https://www.catalog.slsa.sa.gov.au/xrecord=b2110424")</f>
        <v>https://www.catalog.slsa.sa.gov.au/xrecord=b2110424</v>
      </c>
      <c r="D2612" t="s">
        <v>66</v>
      </c>
      <c r="E2612" t="s">
        <v>9307</v>
      </c>
      <c r="F2612">
        <v>1959</v>
      </c>
      <c r="G2612" t="s">
        <v>121</v>
      </c>
      <c r="H2612" t="s">
        <v>9308</v>
      </c>
      <c r="I2612" t="s">
        <v>9309</v>
      </c>
      <c r="J2612" t="s">
        <v>71</v>
      </c>
      <c r="K2612" s="2" t="str">
        <f>HYPERLINK("http://collections.slsa.sa.gov.au/arthur/01250/BRG347_1201.htm")</f>
        <v>http://collections.slsa.sa.gov.au/arthur/01250/BRG347_1201.htm</v>
      </c>
    </row>
    <row r="2613" spans="1:11" x14ac:dyDescent="0.25">
      <c r="A2613" t="s">
        <v>9310</v>
      </c>
      <c r="B2613" s="1" t="str">
        <f>HYPERLINK("https://www.catalog.slsa.sa.gov.au/record=b2110425")</f>
        <v>https://www.catalog.slsa.sa.gov.au/record=b2110425</v>
      </c>
      <c r="C2613" s="1" t="str">
        <f>HYPERLINK("https://www.catalog.slsa.sa.gov.au/xrecord=b2110425")</f>
        <v>https://www.catalog.slsa.sa.gov.au/xrecord=b2110425</v>
      </c>
      <c r="D2613" t="s">
        <v>66</v>
      </c>
      <c r="E2613" t="s">
        <v>9311</v>
      </c>
      <c r="F2613">
        <v>1959</v>
      </c>
      <c r="G2613" t="s">
        <v>121</v>
      </c>
      <c r="H2613" t="s">
        <v>9312</v>
      </c>
      <c r="I2613" t="s">
        <v>9313</v>
      </c>
      <c r="J2613" t="s">
        <v>71</v>
      </c>
      <c r="K2613" s="2" t="str">
        <f>HYPERLINK("http://collections.slsa.sa.gov.au/arthur/01250/BRG347_1202.htm")</f>
        <v>http://collections.slsa.sa.gov.au/arthur/01250/BRG347_1202.htm</v>
      </c>
    </row>
    <row r="2614" spans="1:11" x14ac:dyDescent="0.25">
      <c r="A2614" t="s">
        <v>9314</v>
      </c>
      <c r="B2614" s="1" t="str">
        <f>HYPERLINK("https://www.catalog.slsa.sa.gov.au/record=b2110426")</f>
        <v>https://www.catalog.slsa.sa.gov.au/record=b2110426</v>
      </c>
      <c r="C2614" s="1" t="str">
        <f>HYPERLINK("https://www.catalog.slsa.sa.gov.au/xrecord=b2110426")</f>
        <v>https://www.catalog.slsa.sa.gov.au/xrecord=b2110426</v>
      </c>
      <c r="D2614" t="s">
        <v>66</v>
      </c>
      <c r="E2614" t="s">
        <v>9315</v>
      </c>
      <c r="F2614">
        <v>1959</v>
      </c>
      <c r="G2614" t="s">
        <v>121</v>
      </c>
      <c r="H2614" t="s">
        <v>9316</v>
      </c>
      <c r="I2614" t="s">
        <v>9317</v>
      </c>
      <c r="J2614" t="s">
        <v>71</v>
      </c>
      <c r="K2614" s="2" t="str">
        <f>HYPERLINK("http://collections.slsa.sa.gov.au/arthur/01250/BRG347_1203.htm")</f>
        <v>http://collections.slsa.sa.gov.au/arthur/01250/BRG347_1203.htm</v>
      </c>
    </row>
    <row r="2615" spans="1:11" x14ac:dyDescent="0.25">
      <c r="A2615" t="s">
        <v>9318</v>
      </c>
      <c r="B2615" s="1" t="str">
        <f>HYPERLINK("https://www.catalog.slsa.sa.gov.au/record=b2110427")</f>
        <v>https://www.catalog.slsa.sa.gov.au/record=b2110427</v>
      </c>
      <c r="C2615" s="1" t="str">
        <f>HYPERLINK("https://www.catalog.slsa.sa.gov.au/xrecord=b2110427")</f>
        <v>https://www.catalog.slsa.sa.gov.au/xrecord=b2110427</v>
      </c>
      <c r="D2615" t="s">
        <v>66</v>
      </c>
      <c r="E2615" t="s">
        <v>9319</v>
      </c>
      <c r="F2615">
        <v>1959</v>
      </c>
      <c r="G2615" t="s">
        <v>121</v>
      </c>
      <c r="H2615" t="s">
        <v>9320</v>
      </c>
      <c r="I2615" t="s">
        <v>9321</v>
      </c>
      <c r="J2615" t="s">
        <v>71</v>
      </c>
      <c r="K2615" s="2" t="str">
        <f>HYPERLINK("http://collections.slsa.sa.gov.au/arthur/01250/BRG347_1204.htm")</f>
        <v>http://collections.slsa.sa.gov.au/arthur/01250/BRG347_1204.htm</v>
      </c>
    </row>
    <row r="2616" spans="1:11" x14ac:dyDescent="0.25">
      <c r="A2616" t="s">
        <v>9322</v>
      </c>
      <c r="B2616" s="1" t="str">
        <f>HYPERLINK("https://www.catalog.slsa.sa.gov.au/record=b2110428")</f>
        <v>https://www.catalog.slsa.sa.gov.au/record=b2110428</v>
      </c>
      <c r="C2616" s="1" t="str">
        <f>HYPERLINK("https://www.catalog.slsa.sa.gov.au/xrecord=b2110428")</f>
        <v>https://www.catalog.slsa.sa.gov.au/xrecord=b2110428</v>
      </c>
      <c r="D2616" t="s">
        <v>66</v>
      </c>
      <c r="E2616" t="s">
        <v>9323</v>
      </c>
      <c r="F2616">
        <v>1959</v>
      </c>
      <c r="G2616" t="s">
        <v>121</v>
      </c>
      <c r="H2616" t="s">
        <v>9324</v>
      </c>
      <c r="I2616" t="s">
        <v>9325</v>
      </c>
      <c r="J2616" t="s">
        <v>71</v>
      </c>
      <c r="K2616" s="2" t="str">
        <f>HYPERLINK("http://collections.slsa.sa.gov.au/arthur/01250/BRG347_1205.htm")</f>
        <v>http://collections.slsa.sa.gov.au/arthur/01250/BRG347_1205.htm</v>
      </c>
    </row>
    <row r="2617" spans="1:11" x14ac:dyDescent="0.25">
      <c r="A2617" t="s">
        <v>9326</v>
      </c>
      <c r="B2617" s="1" t="str">
        <f>HYPERLINK("https://www.catalog.slsa.sa.gov.au/record=b2110429")</f>
        <v>https://www.catalog.slsa.sa.gov.au/record=b2110429</v>
      </c>
      <c r="C2617" s="1" t="str">
        <f>HYPERLINK("https://www.catalog.slsa.sa.gov.au/xrecord=b2110429")</f>
        <v>https://www.catalog.slsa.sa.gov.au/xrecord=b2110429</v>
      </c>
      <c r="D2617" t="s">
        <v>66</v>
      </c>
      <c r="E2617" t="s">
        <v>9327</v>
      </c>
      <c r="F2617">
        <v>1959</v>
      </c>
      <c r="G2617" t="s">
        <v>121</v>
      </c>
      <c r="H2617" t="s">
        <v>9328</v>
      </c>
      <c r="I2617" t="s">
        <v>9329</v>
      </c>
      <c r="J2617" t="s">
        <v>71</v>
      </c>
      <c r="K2617" s="2" t="str">
        <f>HYPERLINK("http://collections.slsa.sa.gov.au/arthur/01250/BRG347_1206.htm")</f>
        <v>http://collections.slsa.sa.gov.au/arthur/01250/BRG347_1206.htm</v>
      </c>
    </row>
    <row r="2618" spans="1:11" x14ac:dyDescent="0.25">
      <c r="A2618" t="s">
        <v>9330</v>
      </c>
      <c r="B2618" s="1" t="str">
        <f>HYPERLINK("https://www.catalog.slsa.sa.gov.au/record=b2110430")</f>
        <v>https://www.catalog.slsa.sa.gov.au/record=b2110430</v>
      </c>
      <c r="C2618" s="1" t="str">
        <f>HYPERLINK("https://www.catalog.slsa.sa.gov.au/xrecord=b2110430")</f>
        <v>https://www.catalog.slsa.sa.gov.au/xrecord=b2110430</v>
      </c>
      <c r="D2618" t="s">
        <v>66</v>
      </c>
      <c r="E2618" t="s">
        <v>9331</v>
      </c>
      <c r="F2618">
        <v>1959</v>
      </c>
      <c r="G2618" t="s">
        <v>121</v>
      </c>
      <c r="H2618" t="s">
        <v>9332</v>
      </c>
      <c r="I2618" t="s">
        <v>9333</v>
      </c>
      <c r="J2618" t="s">
        <v>71</v>
      </c>
      <c r="K2618" s="2" t="str">
        <f>HYPERLINK("http://collections.slsa.sa.gov.au/arthur/01250/BRG347_1207.htm")</f>
        <v>http://collections.slsa.sa.gov.au/arthur/01250/BRG347_1207.htm</v>
      </c>
    </row>
    <row r="2619" spans="1:11" x14ac:dyDescent="0.25">
      <c r="A2619" t="s">
        <v>9334</v>
      </c>
      <c r="B2619" s="1" t="str">
        <f>HYPERLINK("https://www.catalog.slsa.sa.gov.au/record=b2110431")</f>
        <v>https://www.catalog.slsa.sa.gov.au/record=b2110431</v>
      </c>
      <c r="C2619" s="1" t="str">
        <f>HYPERLINK("https://www.catalog.slsa.sa.gov.au/xrecord=b2110431")</f>
        <v>https://www.catalog.slsa.sa.gov.au/xrecord=b2110431</v>
      </c>
      <c r="D2619" t="s">
        <v>66</v>
      </c>
      <c r="E2619" t="s">
        <v>9335</v>
      </c>
      <c r="F2619">
        <v>1959</v>
      </c>
      <c r="G2619" t="s">
        <v>121</v>
      </c>
      <c r="H2619" t="s">
        <v>9336</v>
      </c>
      <c r="I2619" t="s">
        <v>9337</v>
      </c>
      <c r="J2619" t="s">
        <v>71</v>
      </c>
      <c r="K2619" s="2" t="str">
        <f>HYPERLINK("http://collections.slsa.sa.gov.au/arthur/01250/BRG347_1208.htm")</f>
        <v>http://collections.slsa.sa.gov.au/arthur/01250/BRG347_1208.htm</v>
      </c>
    </row>
    <row r="2620" spans="1:11" x14ac:dyDescent="0.25">
      <c r="A2620" t="s">
        <v>9338</v>
      </c>
      <c r="B2620" s="1" t="str">
        <f>HYPERLINK("https://www.catalog.slsa.sa.gov.au/record=b2110489")</f>
        <v>https://www.catalog.slsa.sa.gov.au/record=b2110489</v>
      </c>
      <c r="C2620" s="1" t="str">
        <f>HYPERLINK("https://www.catalog.slsa.sa.gov.au/xrecord=b2110489")</f>
        <v>https://www.catalog.slsa.sa.gov.au/xrecord=b2110489</v>
      </c>
      <c r="D2620" t="s">
        <v>66</v>
      </c>
      <c r="E2620" t="s">
        <v>9339</v>
      </c>
      <c r="F2620">
        <v>1959</v>
      </c>
      <c r="G2620" t="s">
        <v>121</v>
      </c>
      <c r="H2620" t="s">
        <v>9340</v>
      </c>
      <c r="I2620" t="s">
        <v>9341</v>
      </c>
      <c r="J2620" t="s">
        <v>71</v>
      </c>
      <c r="K2620" s="2" t="str">
        <f>HYPERLINK("http://collections.slsa.sa.gov.au/arthur/01500/BRG347_1264.htm")</f>
        <v>http://collections.slsa.sa.gov.au/arthur/01500/BRG347_1264.htm</v>
      </c>
    </row>
    <row r="2621" spans="1:11" x14ac:dyDescent="0.25">
      <c r="A2621" t="s">
        <v>9342</v>
      </c>
      <c r="B2621" s="1" t="str">
        <f>HYPERLINK("https://www.catalog.slsa.sa.gov.au/record=b2110490")</f>
        <v>https://www.catalog.slsa.sa.gov.au/record=b2110490</v>
      </c>
      <c r="C2621" s="1" t="str">
        <f>HYPERLINK("https://www.catalog.slsa.sa.gov.au/xrecord=b2110490")</f>
        <v>https://www.catalog.slsa.sa.gov.au/xrecord=b2110490</v>
      </c>
      <c r="D2621" t="s">
        <v>66</v>
      </c>
      <c r="E2621" t="s">
        <v>9339</v>
      </c>
      <c r="F2621">
        <v>1959</v>
      </c>
      <c r="G2621" t="s">
        <v>121</v>
      </c>
      <c r="H2621" t="s">
        <v>9343</v>
      </c>
      <c r="I2621" t="s">
        <v>9344</v>
      </c>
      <c r="J2621" t="s">
        <v>71</v>
      </c>
      <c r="K2621" s="2" t="str">
        <f>HYPERLINK("http://collections.slsa.sa.gov.au/arthur/01500/BRG347_1265.htm")</f>
        <v>http://collections.slsa.sa.gov.au/arthur/01500/BRG347_1265.htm</v>
      </c>
    </row>
    <row r="2622" spans="1:11" x14ac:dyDescent="0.25">
      <c r="A2622" t="s">
        <v>9345</v>
      </c>
      <c r="B2622" s="1" t="str">
        <f>HYPERLINK("https://www.catalog.slsa.sa.gov.au/record=b2110492")</f>
        <v>https://www.catalog.slsa.sa.gov.au/record=b2110492</v>
      </c>
      <c r="C2622" s="1" t="str">
        <f>HYPERLINK("https://www.catalog.slsa.sa.gov.au/xrecord=b2110492")</f>
        <v>https://www.catalog.slsa.sa.gov.au/xrecord=b2110492</v>
      </c>
      <c r="D2622" t="s">
        <v>66</v>
      </c>
      <c r="E2622" t="s">
        <v>9346</v>
      </c>
      <c r="F2622">
        <v>1959</v>
      </c>
      <c r="G2622" t="s">
        <v>121</v>
      </c>
      <c r="H2622" t="s">
        <v>9347</v>
      </c>
      <c r="I2622" t="s">
        <v>9348</v>
      </c>
      <c r="J2622" t="s">
        <v>71</v>
      </c>
      <c r="K2622" s="2" t="str">
        <f>HYPERLINK("http://collections.slsa.sa.gov.au/arthur/01500/BRG347_1267.htm")</f>
        <v>http://collections.slsa.sa.gov.au/arthur/01500/BRG347_1267.htm</v>
      </c>
    </row>
    <row r="2623" spans="1:11" x14ac:dyDescent="0.25">
      <c r="A2623" t="s">
        <v>9349</v>
      </c>
      <c r="B2623" s="1" t="str">
        <f>HYPERLINK("https://www.catalog.slsa.sa.gov.au/record=b2110499")</f>
        <v>https://www.catalog.slsa.sa.gov.au/record=b2110499</v>
      </c>
      <c r="C2623" s="1" t="str">
        <f>HYPERLINK("https://www.catalog.slsa.sa.gov.au/xrecord=b2110499")</f>
        <v>https://www.catalog.slsa.sa.gov.au/xrecord=b2110499</v>
      </c>
      <c r="D2623" t="s">
        <v>66</v>
      </c>
      <c r="E2623" t="s">
        <v>9350</v>
      </c>
      <c r="F2623">
        <v>1959</v>
      </c>
      <c r="G2623" t="s">
        <v>121</v>
      </c>
      <c r="H2623" t="s">
        <v>9351</v>
      </c>
      <c r="I2623" t="s">
        <v>9352</v>
      </c>
      <c r="J2623" t="s">
        <v>71</v>
      </c>
      <c r="K2623" s="2" t="str">
        <f>HYPERLINK("http://collections.slsa.sa.gov.au/arthur/01500/BRG347_1274.htm")</f>
        <v>http://collections.slsa.sa.gov.au/arthur/01500/BRG347_1274.htm</v>
      </c>
    </row>
    <row r="2624" spans="1:11" x14ac:dyDescent="0.25">
      <c r="A2624" t="s">
        <v>9353</v>
      </c>
      <c r="B2624" s="1" t="str">
        <f>HYPERLINK("https://www.catalog.slsa.sa.gov.au/record=b2110500")</f>
        <v>https://www.catalog.slsa.sa.gov.au/record=b2110500</v>
      </c>
      <c r="C2624" s="1" t="str">
        <f>HYPERLINK("https://www.catalog.slsa.sa.gov.au/xrecord=b2110500")</f>
        <v>https://www.catalog.slsa.sa.gov.au/xrecord=b2110500</v>
      </c>
      <c r="D2624" t="s">
        <v>66</v>
      </c>
      <c r="E2624" t="s">
        <v>9350</v>
      </c>
      <c r="F2624">
        <v>1959</v>
      </c>
      <c r="G2624" t="s">
        <v>121</v>
      </c>
      <c r="H2624" t="s">
        <v>9351</v>
      </c>
      <c r="I2624" t="s">
        <v>9352</v>
      </c>
      <c r="J2624" t="s">
        <v>71</v>
      </c>
      <c r="K2624" s="2" t="str">
        <f>HYPERLINK("http://collections.slsa.sa.gov.au/arthur/01500/BRG347_1275.htm")</f>
        <v>http://collections.slsa.sa.gov.au/arthur/01500/BRG347_1275.htm</v>
      </c>
    </row>
    <row r="2625" spans="1:11" x14ac:dyDescent="0.25">
      <c r="A2625" t="s">
        <v>9354</v>
      </c>
      <c r="B2625" s="1" t="str">
        <f>HYPERLINK("https://www.catalog.slsa.sa.gov.au/record=b2110501")</f>
        <v>https://www.catalog.slsa.sa.gov.au/record=b2110501</v>
      </c>
      <c r="C2625" s="1" t="str">
        <f>HYPERLINK("https://www.catalog.slsa.sa.gov.au/xrecord=b2110501")</f>
        <v>https://www.catalog.slsa.sa.gov.au/xrecord=b2110501</v>
      </c>
      <c r="D2625" t="s">
        <v>66</v>
      </c>
      <c r="E2625" t="s">
        <v>9355</v>
      </c>
      <c r="F2625">
        <v>1959</v>
      </c>
      <c r="G2625" t="s">
        <v>121</v>
      </c>
      <c r="H2625" t="s">
        <v>9356</v>
      </c>
      <c r="I2625" t="s">
        <v>9357</v>
      </c>
      <c r="J2625" t="s">
        <v>71</v>
      </c>
      <c r="K2625" s="2" t="str">
        <f>HYPERLINK("http://collections.slsa.sa.gov.au/arthur/01500/BRG347_1276.htm")</f>
        <v>http://collections.slsa.sa.gov.au/arthur/01500/BRG347_1276.htm</v>
      </c>
    </row>
    <row r="2626" spans="1:11" x14ac:dyDescent="0.25">
      <c r="A2626" t="s">
        <v>9358</v>
      </c>
      <c r="B2626" s="1" t="str">
        <f>HYPERLINK("https://www.catalog.slsa.sa.gov.au/record=b2110512")</f>
        <v>https://www.catalog.slsa.sa.gov.au/record=b2110512</v>
      </c>
      <c r="C2626" s="1" t="str">
        <f>HYPERLINK("https://www.catalog.slsa.sa.gov.au/xrecord=b2110512")</f>
        <v>https://www.catalog.slsa.sa.gov.au/xrecord=b2110512</v>
      </c>
      <c r="D2626" t="s">
        <v>66</v>
      </c>
      <c r="E2626" t="s">
        <v>9355</v>
      </c>
      <c r="F2626">
        <v>1959</v>
      </c>
      <c r="G2626" t="s">
        <v>121</v>
      </c>
      <c r="H2626" t="s">
        <v>9359</v>
      </c>
      <c r="I2626" t="s">
        <v>9360</v>
      </c>
      <c r="J2626" t="s">
        <v>71</v>
      </c>
      <c r="K2626" s="2" t="str">
        <f>HYPERLINK("http://collections.slsa.sa.gov.au/arthur/01500/BRG347_1287.htm")</f>
        <v>http://collections.slsa.sa.gov.au/arthur/01500/BRG347_1287.htm</v>
      </c>
    </row>
    <row r="2627" spans="1:11" x14ac:dyDescent="0.25">
      <c r="A2627" t="s">
        <v>9361</v>
      </c>
      <c r="B2627" s="1" t="str">
        <f>HYPERLINK("https://www.catalog.slsa.sa.gov.au/record=b2110694")</f>
        <v>https://www.catalog.slsa.sa.gov.au/record=b2110694</v>
      </c>
      <c r="C2627" s="1" t="str">
        <f>HYPERLINK("https://www.catalog.slsa.sa.gov.au/xrecord=b2110694")</f>
        <v>https://www.catalog.slsa.sa.gov.au/xrecord=b2110694</v>
      </c>
      <c r="D2627" t="s">
        <v>66</v>
      </c>
      <c r="E2627" t="s">
        <v>6585</v>
      </c>
      <c r="F2627">
        <v>1959</v>
      </c>
      <c r="G2627" t="s">
        <v>121</v>
      </c>
      <c r="H2627" t="s">
        <v>9362</v>
      </c>
      <c r="I2627" t="s">
        <v>9363</v>
      </c>
      <c r="J2627" t="s">
        <v>71</v>
      </c>
      <c r="K2627" s="2" t="str">
        <f>HYPERLINK("http://collections.slsa.sa.gov.au/arthur/01500/BRG347_1413.htm")</f>
        <v>http://collections.slsa.sa.gov.au/arthur/01500/BRG347_1413.htm</v>
      </c>
    </row>
    <row r="2628" spans="1:11" x14ac:dyDescent="0.25">
      <c r="A2628" t="s">
        <v>9364</v>
      </c>
      <c r="B2628" s="1" t="str">
        <f>HYPERLINK("https://www.catalog.slsa.sa.gov.au/record=b2110695")</f>
        <v>https://www.catalog.slsa.sa.gov.au/record=b2110695</v>
      </c>
      <c r="C2628" s="1" t="str">
        <f>HYPERLINK("https://www.catalog.slsa.sa.gov.au/xrecord=b2110695")</f>
        <v>https://www.catalog.slsa.sa.gov.au/xrecord=b2110695</v>
      </c>
      <c r="D2628" t="s">
        <v>66</v>
      </c>
      <c r="E2628" t="s">
        <v>9365</v>
      </c>
      <c r="F2628">
        <v>1959</v>
      </c>
      <c r="G2628" t="s">
        <v>121</v>
      </c>
      <c r="H2628" t="s">
        <v>9366</v>
      </c>
      <c r="I2628" t="s">
        <v>8289</v>
      </c>
      <c r="J2628" t="s">
        <v>71</v>
      </c>
      <c r="K2628" s="2" t="str">
        <f>HYPERLINK("http://collections.slsa.sa.gov.au/arthur/01500/BRG347_1414.htm")</f>
        <v>http://collections.slsa.sa.gov.au/arthur/01500/BRG347_1414.htm</v>
      </c>
    </row>
    <row r="2629" spans="1:11" x14ac:dyDescent="0.25">
      <c r="A2629" t="s">
        <v>9367</v>
      </c>
      <c r="B2629" s="1" t="str">
        <f>HYPERLINK("https://www.catalog.slsa.sa.gov.au/record=b2110696")</f>
        <v>https://www.catalog.slsa.sa.gov.au/record=b2110696</v>
      </c>
      <c r="C2629" s="1" t="str">
        <f>HYPERLINK("https://www.catalog.slsa.sa.gov.au/xrecord=b2110696")</f>
        <v>https://www.catalog.slsa.sa.gov.au/xrecord=b2110696</v>
      </c>
      <c r="D2629" t="s">
        <v>66</v>
      </c>
      <c r="E2629" t="s">
        <v>9368</v>
      </c>
      <c r="F2629">
        <v>1959</v>
      </c>
      <c r="G2629" t="s">
        <v>121</v>
      </c>
      <c r="H2629" t="s">
        <v>9369</v>
      </c>
      <c r="I2629" t="s">
        <v>9370</v>
      </c>
      <c r="J2629" t="s">
        <v>71</v>
      </c>
      <c r="K2629" s="2" t="str">
        <f>HYPERLINK("http://collections.slsa.sa.gov.au/arthur/01500/BRG347_1415.htm")</f>
        <v>http://collections.slsa.sa.gov.au/arthur/01500/BRG347_1415.htm</v>
      </c>
    </row>
    <row r="2630" spans="1:11" x14ac:dyDescent="0.25">
      <c r="A2630" t="s">
        <v>9371</v>
      </c>
      <c r="B2630" s="1" t="str">
        <f>HYPERLINK("https://www.catalog.slsa.sa.gov.au/record=b2110697")</f>
        <v>https://www.catalog.slsa.sa.gov.au/record=b2110697</v>
      </c>
      <c r="C2630" s="1" t="str">
        <f>HYPERLINK("https://www.catalog.slsa.sa.gov.au/xrecord=b2110697")</f>
        <v>https://www.catalog.slsa.sa.gov.au/xrecord=b2110697</v>
      </c>
      <c r="D2630" t="s">
        <v>66</v>
      </c>
      <c r="E2630" t="s">
        <v>6585</v>
      </c>
      <c r="F2630">
        <v>1959</v>
      </c>
      <c r="G2630" t="s">
        <v>121</v>
      </c>
      <c r="H2630" t="s">
        <v>9372</v>
      </c>
      <c r="I2630" t="s">
        <v>6629</v>
      </c>
      <c r="J2630" t="s">
        <v>71</v>
      </c>
      <c r="K2630" s="2" t="str">
        <f>HYPERLINK("http://collections.slsa.sa.gov.au/arthur/01500/BRG347_1416.htm")</f>
        <v>http://collections.slsa.sa.gov.au/arthur/01500/BRG347_1416.htm</v>
      </c>
    </row>
    <row r="2631" spans="1:11" x14ac:dyDescent="0.25">
      <c r="A2631" t="s">
        <v>9373</v>
      </c>
      <c r="B2631" s="1" t="str">
        <f>HYPERLINK("https://www.catalog.slsa.sa.gov.au/record=b2110698")</f>
        <v>https://www.catalog.slsa.sa.gov.au/record=b2110698</v>
      </c>
      <c r="C2631" s="1" t="str">
        <f>HYPERLINK("https://www.catalog.slsa.sa.gov.au/xrecord=b2110698")</f>
        <v>https://www.catalog.slsa.sa.gov.au/xrecord=b2110698</v>
      </c>
      <c r="D2631" t="s">
        <v>66</v>
      </c>
      <c r="E2631" t="s">
        <v>9374</v>
      </c>
      <c r="F2631">
        <v>1959</v>
      </c>
      <c r="G2631" t="s">
        <v>121</v>
      </c>
      <c r="H2631" t="s">
        <v>9375</v>
      </c>
      <c r="I2631" t="s">
        <v>9376</v>
      </c>
      <c r="J2631" t="s">
        <v>71</v>
      </c>
      <c r="K2631" s="2" t="str">
        <f>HYPERLINK("http://collections.slsa.sa.gov.au/arthur/01500/BRG347_1417.htm")</f>
        <v>http://collections.slsa.sa.gov.au/arthur/01500/BRG347_1417.htm</v>
      </c>
    </row>
    <row r="2632" spans="1:11" x14ac:dyDescent="0.25">
      <c r="A2632" t="s">
        <v>9377</v>
      </c>
      <c r="B2632" s="1" t="str">
        <f>HYPERLINK("https://www.catalog.slsa.sa.gov.au/record=b2110699")</f>
        <v>https://www.catalog.slsa.sa.gov.au/record=b2110699</v>
      </c>
      <c r="C2632" s="1" t="str">
        <f>HYPERLINK("https://www.catalog.slsa.sa.gov.au/xrecord=b2110699")</f>
        <v>https://www.catalog.slsa.sa.gov.au/xrecord=b2110699</v>
      </c>
      <c r="D2632" t="s">
        <v>66</v>
      </c>
      <c r="E2632" t="s">
        <v>9378</v>
      </c>
      <c r="F2632">
        <v>1959</v>
      </c>
      <c r="G2632" t="s">
        <v>121</v>
      </c>
      <c r="H2632" t="s">
        <v>9379</v>
      </c>
      <c r="I2632" t="s">
        <v>9380</v>
      </c>
      <c r="J2632" t="s">
        <v>71</v>
      </c>
      <c r="K2632" s="2" t="str">
        <f>HYPERLINK("http://collections.slsa.sa.gov.au/arthur/01500/BRG347_1418.htm")</f>
        <v>http://collections.slsa.sa.gov.au/arthur/01500/BRG347_1418.htm</v>
      </c>
    </row>
    <row r="2633" spans="1:11" x14ac:dyDescent="0.25">
      <c r="A2633" t="s">
        <v>9381</v>
      </c>
      <c r="B2633" s="1" t="str">
        <f>HYPERLINK("https://www.catalog.slsa.sa.gov.au/record=b2110703")</f>
        <v>https://www.catalog.slsa.sa.gov.au/record=b2110703</v>
      </c>
      <c r="C2633" s="1" t="str">
        <f>HYPERLINK("https://www.catalog.slsa.sa.gov.au/xrecord=b2110703")</f>
        <v>https://www.catalog.slsa.sa.gov.au/xrecord=b2110703</v>
      </c>
      <c r="D2633" t="s">
        <v>66</v>
      </c>
      <c r="E2633" t="s">
        <v>9382</v>
      </c>
      <c r="F2633">
        <v>1959</v>
      </c>
      <c r="G2633" t="s">
        <v>121</v>
      </c>
      <c r="H2633" t="s">
        <v>9383</v>
      </c>
      <c r="I2633" t="s">
        <v>8327</v>
      </c>
      <c r="J2633" t="s">
        <v>71</v>
      </c>
      <c r="K2633" s="2" t="str">
        <f>HYPERLINK("http://collections.slsa.sa.gov.au/arthur/01500/BRG347_1421.htm")</f>
        <v>http://collections.slsa.sa.gov.au/arthur/01500/BRG347_1421.htm</v>
      </c>
    </row>
    <row r="2634" spans="1:11" x14ac:dyDescent="0.25">
      <c r="A2634" t="s">
        <v>9384</v>
      </c>
      <c r="B2634" s="1" t="str">
        <f>HYPERLINK("https://www.catalog.slsa.sa.gov.au/record=b2110704")</f>
        <v>https://www.catalog.slsa.sa.gov.au/record=b2110704</v>
      </c>
      <c r="C2634" s="1" t="str">
        <f>HYPERLINK("https://www.catalog.slsa.sa.gov.au/xrecord=b2110704")</f>
        <v>https://www.catalog.slsa.sa.gov.au/xrecord=b2110704</v>
      </c>
      <c r="D2634" t="s">
        <v>66</v>
      </c>
      <c r="E2634" t="s">
        <v>9385</v>
      </c>
      <c r="F2634">
        <v>1959</v>
      </c>
      <c r="G2634" t="s">
        <v>121</v>
      </c>
      <c r="H2634" t="s">
        <v>9386</v>
      </c>
      <c r="I2634" t="s">
        <v>9387</v>
      </c>
      <c r="J2634" t="s">
        <v>71</v>
      </c>
      <c r="K2634" s="2" t="str">
        <f>HYPERLINK("http://collections.slsa.sa.gov.au/arthur/01500/BRG347_1422.htm")</f>
        <v>http://collections.slsa.sa.gov.au/arthur/01500/BRG347_1422.htm</v>
      </c>
    </row>
    <row r="2635" spans="1:11" x14ac:dyDescent="0.25">
      <c r="A2635" t="s">
        <v>9388</v>
      </c>
      <c r="B2635" s="1" t="str">
        <f>HYPERLINK("https://www.catalog.slsa.sa.gov.au/record=b2110707")</f>
        <v>https://www.catalog.slsa.sa.gov.au/record=b2110707</v>
      </c>
      <c r="C2635" s="1" t="str">
        <f>HYPERLINK("https://www.catalog.slsa.sa.gov.au/xrecord=b2110707")</f>
        <v>https://www.catalog.slsa.sa.gov.au/xrecord=b2110707</v>
      </c>
      <c r="D2635" t="s">
        <v>66</v>
      </c>
      <c r="E2635" t="s">
        <v>7396</v>
      </c>
      <c r="F2635">
        <v>1959</v>
      </c>
      <c r="G2635" t="s">
        <v>121</v>
      </c>
      <c r="H2635" t="s">
        <v>9389</v>
      </c>
      <c r="I2635" t="s">
        <v>9390</v>
      </c>
      <c r="J2635" t="s">
        <v>71</v>
      </c>
      <c r="K2635" s="2" t="str">
        <f>HYPERLINK("http://collections.slsa.sa.gov.au/arthur/01500/BRG347_1425.htm")</f>
        <v>http://collections.slsa.sa.gov.au/arthur/01500/BRG347_1425.htm</v>
      </c>
    </row>
    <row r="2636" spans="1:11" x14ac:dyDescent="0.25">
      <c r="A2636" t="s">
        <v>9391</v>
      </c>
      <c r="B2636" s="1" t="str">
        <f>HYPERLINK("https://www.catalog.slsa.sa.gov.au/record=b2110708")</f>
        <v>https://www.catalog.slsa.sa.gov.au/record=b2110708</v>
      </c>
      <c r="C2636" s="1" t="str">
        <f>HYPERLINK("https://www.catalog.slsa.sa.gov.au/xrecord=b2110708")</f>
        <v>https://www.catalog.slsa.sa.gov.au/xrecord=b2110708</v>
      </c>
      <c r="D2636" t="s">
        <v>66</v>
      </c>
      <c r="E2636" t="s">
        <v>9382</v>
      </c>
      <c r="F2636">
        <v>1959</v>
      </c>
      <c r="G2636" t="s">
        <v>121</v>
      </c>
      <c r="H2636" t="s">
        <v>9392</v>
      </c>
      <c r="I2636" t="s">
        <v>8327</v>
      </c>
      <c r="J2636" t="s">
        <v>71</v>
      </c>
      <c r="K2636" s="2" t="str">
        <f>HYPERLINK("http://collections.slsa.sa.gov.au/arthur/01500/BRG347_1426.htm")</f>
        <v>http://collections.slsa.sa.gov.au/arthur/01500/BRG347_1426.htm</v>
      </c>
    </row>
    <row r="2637" spans="1:11" x14ac:dyDescent="0.25">
      <c r="A2637" t="s">
        <v>9393</v>
      </c>
      <c r="B2637" s="1" t="str">
        <f>HYPERLINK("https://www.catalog.slsa.sa.gov.au/record=b2110710")</f>
        <v>https://www.catalog.slsa.sa.gov.au/record=b2110710</v>
      </c>
      <c r="C2637" s="1" t="str">
        <f>HYPERLINK("https://www.catalog.slsa.sa.gov.au/xrecord=b2110710")</f>
        <v>https://www.catalog.slsa.sa.gov.au/xrecord=b2110710</v>
      </c>
      <c r="D2637" t="s">
        <v>66</v>
      </c>
      <c r="E2637" t="s">
        <v>7396</v>
      </c>
      <c r="F2637">
        <v>1959</v>
      </c>
      <c r="G2637" t="s">
        <v>121</v>
      </c>
      <c r="H2637" t="s">
        <v>9394</v>
      </c>
      <c r="I2637" t="s">
        <v>9395</v>
      </c>
      <c r="J2637" t="s">
        <v>71</v>
      </c>
      <c r="K2637" s="2" t="str">
        <f>HYPERLINK("http://collections.slsa.sa.gov.au/arthur/01500/BRG347_1428.htm")</f>
        <v>http://collections.slsa.sa.gov.au/arthur/01500/BRG347_1428.htm</v>
      </c>
    </row>
    <row r="2638" spans="1:11" x14ac:dyDescent="0.25">
      <c r="A2638" t="s">
        <v>9396</v>
      </c>
      <c r="B2638" s="1" t="str">
        <f>HYPERLINK("https://www.catalog.slsa.sa.gov.au/record=b2110718")</f>
        <v>https://www.catalog.slsa.sa.gov.au/record=b2110718</v>
      </c>
      <c r="C2638" s="1" t="str">
        <f>HYPERLINK("https://www.catalog.slsa.sa.gov.au/xrecord=b2110718")</f>
        <v>https://www.catalog.slsa.sa.gov.au/xrecord=b2110718</v>
      </c>
      <c r="D2638" t="s">
        <v>66</v>
      </c>
      <c r="E2638" t="s">
        <v>9397</v>
      </c>
      <c r="F2638">
        <v>1959</v>
      </c>
      <c r="G2638" t="s">
        <v>121</v>
      </c>
      <c r="H2638" t="s">
        <v>9398</v>
      </c>
      <c r="I2638" t="s">
        <v>6497</v>
      </c>
      <c r="J2638" t="s">
        <v>71</v>
      </c>
      <c r="K2638" s="2" t="str">
        <f>HYPERLINK("http://collections.slsa.sa.gov.au/arthur/01500/BRG347_1436.htm")</f>
        <v>http://collections.slsa.sa.gov.au/arthur/01500/BRG347_1436.htm</v>
      </c>
    </row>
    <row r="2639" spans="1:11" x14ac:dyDescent="0.25">
      <c r="A2639" t="s">
        <v>9399</v>
      </c>
      <c r="B2639" s="1" t="str">
        <f>HYPERLINK("https://www.catalog.slsa.sa.gov.au/record=b2110719")</f>
        <v>https://www.catalog.slsa.sa.gov.au/record=b2110719</v>
      </c>
      <c r="C2639" s="1" t="str">
        <f>HYPERLINK("https://www.catalog.slsa.sa.gov.au/xrecord=b2110719")</f>
        <v>https://www.catalog.slsa.sa.gov.au/xrecord=b2110719</v>
      </c>
      <c r="D2639" t="s">
        <v>66</v>
      </c>
      <c r="E2639" t="s">
        <v>7396</v>
      </c>
      <c r="F2639">
        <v>1959</v>
      </c>
      <c r="G2639" t="s">
        <v>121</v>
      </c>
      <c r="H2639" t="s">
        <v>9400</v>
      </c>
      <c r="I2639" t="s">
        <v>9401</v>
      </c>
      <c r="J2639" t="s">
        <v>71</v>
      </c>
      <c r="K2639" s="2" t="str">
        <f>HYPERLINK("http://collections.slsa.sa.gov.au/arthur/01500/BRG347_1437.htm")</f>
        <v>http://collections.slsa.sa.gov.au/arthur/01500/BRG347_1437.htm</v>
      </c>
    </row>
    <row r="2640" spans="1:11" x14ac:dyDescent="0.25">
      <c r="A2640" t="s">
        <v>9402</v>
      </c>
      <c r="B2640" s="1" t="str">
        <f>HYPERLINK("https://www.catalog.slsa.sa.gov.au/record=b2110720")</f>
        <v>https://www.catalog.slsa.sa.gov.au/record=b2110720</v>
      </c>
      <c r="C2640" s="1" t="str">
        <f>HYPERLINK("https://www.catalog.slsa.sa.gov.au/xrecord=b2110720")</f>
        <v>https://www.catalog.slsa.sa.gov.au/xrecord=b2110720</v>
      </c>
      <c r="D2640" t="s">
        <v>66</v>
      </c>
      <c r="E2640" t="s">
        <v>7396</v>
      </c>
      <c r="F2640">
        <v>1959</v>
      </c>
      <c r="G2640" t="s">
        <v>121</v>
      </c>
      <c r="H2640" t="s">
        <v>9403</v>
      </c>
      <c r="I2640" t="s">
        <v>9404</v>
      </c>
      <c r="J2640" t="s">
        <v>71</v>
      </c>
      <c r="K2640" s="2" t="str">
        <f>HYPERLINK("http://collections.slsa.sa.gov.au/arthur/01500/BRG347_1438.htm")</f>
        <v>http://collections.slsa.sa.gov.au/arthur/01500/BRG347_1438.htm</v>
      </c>
    </row>
    <row r="2641" spans="1:11" x14ac:dyDescent="0.25">
      <c r="A2641" t="s">
        <v>9405</v>
      </c>
      <c r="B2641" s="1" t="str">
        <f>HYPERLINK("https://www.catalog.slsa.sa.gov.au/record=b2110721")</f>
        <v>https://www.catalog.slsa.sa.gov.au/record=b2110721</v>
      </c>
      <c r="C2641" s="1" t="str">
        <f>HYPERLINK("https://www.catalog.slsa.sa.gov.au/xrecord=b2110721")</f>
        <v>https://www.catalog.slsa.sa.gov.au/xrecord=b2110721</v>
      </c>
      <c r="D2641" t="s">
        <v>66</v>
      </c>
      <c r="E2641" t="s">
        <v>7396</v>
      </c>
      <c r="F2641">
        <v>1959</v>
      </c>
      <c r="G2641" t="s">
        <v>121</v>
      </c>
      <c r="H2641" t="s">
        <v>9406</v>
      </c>
      <c r="I2641" t="s">
        <v>9407</v>
      </c>
      <c r="J2641" t="s">
        <v>71</v>
      </c>
      <c r="K2641" s="2" t="str">
        <f>HYPERLINK("http://collections.slsa.sa.gov.au/arthur/01500/BRG347_1439.htm")</f>
        <v>http://collections.slsa.sa.gov.au/arthur/01500/BRG347_1439.htm</v>
      </c>
    </row>
    <row r="2642" spans="1:11" x14ac:dyDescent="0.25">
      <c r="A2642" t="s">
        <v>9408</v>
      </c>
      <c r="B2642" s="1" t="str">
        <f>HYPERLINK("https://www.catalog.slsa.sa.gov.au/record=b2110722")</f>
        <v>https://www.catalog.slsa.sa.gov.au/record=b2110722</v>
      </c>
      <c r="C2642" s="1" t="str">
        <f>HYPERLINK("https://www.catalog.slsa.sa.gov.au/xrecord=b2110722")</f>
        <v>https://www.catalog.slsa.sa.gov.au/xrecord=b2110722</v>
      </c>
      <c r="D2642" t="s">
        <v>66</v>
      </c>
      <c r="E2642" t="s">
        <v>7396</v>
      </c>
      <c r="F2642">
        <v>1959</v>
      </c>
      <c r="G2642" t="s">
        <v>121</v>
      </c>
      <c r="H2642" t="s">
        <v>9409</v>
      </c>
      <c r="I2642" t="s">
        <v>9407</v>
      </c>
      <c r="J2642" t="s">
        <v>71</v>
      </c>
      <c r="K2642" s="2" t="str">
        <f>HYPERLINK("http://collections.slsa.sa.gov.au/arthur/01500/BRG347_1440.htm")</f>
        <v>http://collections.slsa.sa.gov.au/arthur/01500/BRG347_1440.htm</v>
      </c>
    </row>
    <row r="2643" spans="1:11" x14ac:dyDescent="0.25">
      <c r="A2643" t="s">
        <v>9410</v>
      </c>
      <c r="B2643" s="1" t="str">
        <f>HYPERLINK("https://www.catalog.slsa.sa.gov.au/record=b2110723")</f>
        <v>https://www.catalog.slsa.sa.gov.au/record=b2110723</v>
      </c>
      <c r="C2643" s="1" t="str">
        <f>HYPERLINK("https://www.catalog.slsa.sa.gov.au/xrecord=b2110723")</f>
        <v>https://www.catalog.slsa.sa.gov.au/xrecord=b2110723</v>
      </c>
      <c r="D2643" t="s">
        <v>66</v>
      </c>
      <c r="E2643" t="s">
        <v>7396</v>
      </c>
      <c r="F2643">
        <v>1959</v>
      </c>
      <c r="G2643" t="s">
        <v>121</v>
      </c>
      <c r="H2643" t="s">
        <v>9411</v>
      </c>
      <c r="I2643" t="s">
        <v>9412</v>
      </c>
      <c r="J2643" t="s">
        <v>71</v>
      </c>
      <c r="K2643" s="2" t="str">
        <f>HYPERLINK("http://collections.slsa.sa.gov.au/arthur/01500/BRG347_1441.htm")</f>
        <v>http://collections.slsa.sa.gov.au/arthur/01500/BRG347_1441.htm</v>
      </c>
    </row>
    <row r="2644" spans="1:11" x14ac:dyDescent="0.25">
      <c r="A2644" t="s">
        <v>9413</v>
      </c>
      <c r="B2644" s="1" t="str">
        <f>HYPERLINK("https://www.catalog.slsa.sa.gov.au/record=b2110724")</f>
        <v>https://www.catalog.slsa.sa.gov.au/record=b2110724</v>
      </c>
      <c r="C2644" s="1" t="str">
        <f>HYPERLINK("https://www.catalog.slsa.sa.gov.au/xrecord=b2110724")</f>
        <v>https://www.catalog.slsa.sa.gov.au/xrecord=b2110724</v>
      </c>
      <c r="D2644" t="s">
        <v>66</v>
      </c>
      <c r="E2644" t="s">
        <v>7396</v>
      </c>
      <c r="F2644">
        <v>1959</v>
      </c>
      <c r="G2644" t="s">
        <v>121</v>
      </c>
      <c r="H2644" t="s">
        <v>9414</v>
      </c>
      <c r="I2644" t="s">
        <v>9407</v>
      </c>
      <c r="J2644" t="s">
        <v>71</v>
      </c>
      <c r="K2644" s="2" t="str">
        <f>HYPERLINK("http://collections.slsa.sa.gov.au/arthur/01500/BRG347_1442.htm")</f>
        <v>http://collections.slsa.sa.gov.au/arthur/01500/BRG347_1442.htm</v>
      </c>
    </row>
    <row r="2645" spans="1:11" x14ac:dyDescent="0.25">
      <c r="A2645" t="s">
        <v>9415</v>
      </c>
      <c r="B2645" s="1" t="str">
        <f>HYPERLINK("https://www.catalog.slsa.sa.gov.au/record=b2110725")</f>
        <v>https://www.catalog.slsa.sa.gov.au/record=b2110725</v>
      </c>
      <c r="C2645" s="1" t="str">
        <f>HYPERLINK("https://www.catalog.slsa.sa.gov.au/xrecord=b2110725")</f>
        <v>https://www.catalog.slsa.sa.gov.au/xrecord=b2110725</v>
      </c>
      <c r="D2645" t="s">
        <v>66</v>
      </c>
      <c r="E2645" t="s">
        <v>9416</v>
      </c>
      <c r="F2645">
        <v>1959</v>
      </c>
      <c r="G2645" t="s">
        <v>121</v>
      </c>
      <c r="H2645" t="s">
        <v>9417</v>
      </c>
      <c r="I2645" t="s">
        <v>9418</v>
      </c>
      <c r="J2645" t="s">
        <v>71</v>
      </c>
      <c r="K2645" s="2" t="str">
        <f>HYPERLINK("http://collections.slsa.sa.gov.au/arthur/01500/BRG347_1443.htm")</f>
        <v>http://collections.slsa.sa.gov.au/arthur/01500/BRG347_1443.htm</v>
      </c>
    </row>
    <row r="2646" spans="1:11" x14ac:dyDescent="0.25">
      <c r="A2646" t="s">
        <v>9419</v>
      </c>
      <c r="B2646" s="1" t="str">
        <f>HYPERLINK("https://www.catalog.slsa.sa.gov.au/record=b2110726")</f>
        <v>https://www.catalog.slsa.sa.gov.au/record=b2110726</v>
      </c>
      <c r="C2646" s="1" t="str">
        <f>HYPERLINK("https://www.catalog.slsa.sa.gov.au/xrecord=b2110726")</f>
        <v>https://www.catalog.slsa.sa.gov.au/xrecord=b2110726</v>
      </c>
      <c r="D2646" t="s">
        <v>66</v>
      </c>
      <c r="E2646" t="s">
        <v>7396</v>
      </c>
      <c r="F2646">
        <v>1959</v>
      </c>
      <c r="G2646" t="s">
        <v>121</v>
      </c>
      <c r="H2646" t="s">
        <v>9420</v>
      </c>
      <c r="I2646" t="s">
        <v>9421</v>
      </c>
      <c r="J2646" t="s">
        <v>71</v>
      </c>
      <c r="K2646" s="2" t="str">
        <f>HYPERLINK("http://collections.slsa.sa.gov.au/arthur/01500/BRG347_1444.htm")</f>
        <v>http://collections.slsa.sa.gov.au/arthur/01500/BRG347_1444.htm</v>
      </c>
    </row>
    <row r="2647" spans="1:11" x14ac:dyDescent="0.25">
      <c r="A2647" t="s">
        <v>9422</v>
      </c>
      <c r="B2647" s="1" t="str">
        <f>HYPERLINK("https://www.catalog.slsa.sa.gov.au/record=b2110727")</f>
        <v>https://www.catalog.slsa.sa.gov.au/record=b2110727</v>
      </c>
      <c r="C2647" s="1" t="str">
        <f>HYPERLINK("https://www.catalog.slsa.sa.gov.au/xrecord=b2110727")</f>
        <v>https://www.catalog.slsa.sa.gov.au/xrecord=b2110727</v>
      </c>
      <c r="D2647" t="s">
        <v>66</v>
      </c>
      <c r="E2647" t="s">
        <v>7396</v>
      </c>
      <c r="F2647">
        <v>1959</v>
      </c>
      <c r="G2647" t="s">
        <v>121</v>
      </c>
      <c r="H2647" t="s">
        <v>9423</v>
      </c>
      <c r="I2647" t="s">
        <v>9424</v>
      </c>
      <c r="J2647" t="s">
        <v>71</v>
      </c>
      <c r="K2647" s="2" t="str">
        <f>HYPERLINK("http://collections.slsa.sa.gov.au/arthur/01500/BRG347_1445.htm")</f>
        <v>http://collections.slsa.sa.gov.au/arthur/01500/BRG347_1445.htm</v>
      </c>
    </row>
    <row r="2648" spans="1:11" x14ac:dyDescent="0.25">
      <c r="A2648" t="s">
        <v>9425</v>
      </c>
      <c r="B2648" s="1" t="str">
        <f>HYPERLINK("https://www.catalog.slsa.sa.gov.au/record=b2110728")</f>
        <v>https://www.catalog.slsa.sa.gov.au/record=b2110728</v>
      </c>
      <c r="C2648" s="1" t="str">
        <f>HYPERLINK("https://www.catalog.slsa.sa.gov.au/xrecord=b2110728")</f>
        <v>https://www.catalog.slsa.sa.gov.au/xrecord=b2110728</v>
      </c>
      <c r="D2648" t="s">
        <v>66</v>
      </c>
      <c r="E2648" t="s">
        <v>7396</v>
      </c>
      <c r="F2648">
        <v>1959</v>
      </c>
      <c r="G2648" t="s">
        <v>121</v>
      </c>
      <c r="H2648" t="s">
        <v>9426</v>
      </c>
      <c r="I2648" t="s">
        <v>9427</v>
      </c>
      <c r="J2648" t="s">
        <v>71</v>
      </c>
      <c r="K2648" s="2" t="str">
        <f>HYPERLINK("http://collections.slsa.sa.gov.au/arthur/01500/BRG347_1446.htm")</f>
        <v>http://collections.slsa.sa.gov.au/arthur/01500/BRG347_1446.htm</v>
      </c>
    </row>
    <row r="2649" spans="1:11" x14ac:dyDescent="0.25">
      <c r="A2649" t="s">
        <v>9428</v>
      </c>
      <c r="B2649" s="1" t="str">
        <f>HYPERLINK("https://www.catalog.slsa.sa.gov.au/record=b2110729")</f>
        <v>https://www.catalog.slsa.sa.gov.au/record=b2110729</v>
      </c>
      <c r="C2649" s="1" t="str">
        <f>HYPERLINK("https://www.catalog.slsa.sa.gov.au/xrecord=b2110729")</f>
        <v>https://www.catalog.slsa.sa.gov.au/xrecord=b2110729</v>
      </c>
      <c r="D2649" t="s">
        <v>66</v>
      </c>
      <c r="E2649" t="s">
        <v>7396</v>
      </c>
      <c r="F2649">
        <v>1959</v>
      </c>
      <c r="G2649" t="s">
        <v>121</v>
      </c>
      <c r="H2649" t="s">
        <v>9429</v>
      </c>
      <c r="I2649" t="s">
        <v>9430</v>
      </c>
      <c r="J2649" t="s">
        <v>71</v>
      </c>
      <c r="K2649" s="2" t="str">
        <f>HYPERLINK("http://collections.slsa.sa.gov.au/arthur/01500/BRG347_1447.htm")</f>
        <v>http://collections.slsa.sa.gov.au/arthur/01500/BRG347_1447.htm</v>
      </c>
    </row>
    <row r="2650" spans="1:11" x14ac:dyDescent="0.25">
      <c r="A2650" t="s">
        <v>9431</v>
      </c>
      <c r="B2650" s="1" t="str">
        <f>HYPERLINK("https://www.catalog.slsa.sa.gov.au/record=b2110730")</f>
        <v>https://www.catalog.slsa.sa.gov.au/record=b2110730</v>
      </c>
      <c r="C2650" s="1" t="str">
        <f>HYPERLINK("https://www.catalog.slsa.sa.gov.au/xrecord=b2110730")</f>
        <v>https://www.catalog.slsa.sa.gov.au/xrecord=b2110730</v>
      </c>
      <c r="D2650" t="s">
        <v>66</v>
      </c>
      <c r="E2650" t="s">
        <v>9432</v>
      </c>
      <c r="F2650">
        <v>1959</v>
      </c>
      <c r="G2650" t="s">
        <v>121</v>
      </c>
      <c r="H2650" t="s">
        <v>9433</v>
      </c>
      <c r="I2650" t="s">
        <v>9434</v>
      </c>
      <c r="J2650" t="s">
        <v>71</v>
      </c>
      <c r="K2650" s="2" t="str">
        <f>HYPERLINK("http://collections.slsa.sa.gov.au/arthur/01500/BRG347_1448.htm")</f>
        <v>http://collections.slsa.sa.gov.au/arthur/01500/BRG347_1448.htm</v>
      </c>
    </row>
    <row r="2651" spans="1:11" x14ac:dyDescent="0.25">
      <c r="A2651" t="s">
        <v>9435</v>
      </c>
      <c r="B2651" s="1" t="str">
        <f>HYPERLINK("https://www.catalog.slsa.sa.gov.au/record=b2117789")</f>
        <v>https://www.catalog.slsa.sa.gov.au/record=b2117789</v>
      </c>
      <c r="C2651" s="1" t="str">
        <f>HYPERLINK("https://www.catalog.slsa.sa.gov.au/xrecord=b2117789")</f>
        <v>https://www.catalog.slsa.sa.gov.au/xrecord=b2117789</v>
      </c>
      <c r="D2651" t="s">
        <v>66</v>
      </c>
      <c r="E2651" t="s">
        <v>8350</v>
      </c>
      <c r="F2651">
        <v>1959</v>
      </c>
      <c r="G2651" t="s">
        <v>5597</v>
      </c>
      <c r="H2651" t="s">
        <v>9436</v>
      </c>
      <c r="I2651" t="s">
        <v>9437</v>
      </c>
      <c r="J2651" t="s">
        <v>71</v>
      </c>
      <c r="K2651" s="2" t="str">
        <f>HYPERLINK("http://collections.slsa.sa.gov.au/arthur/01500/BRG347_1449.htm")</f>
        <v>http://collections.slsa.sa.gov.au/arthur/01500/BRG347_1449.htm</v>
      </c>
    </row>
    <row r="2652" spans="1:11" x14ac:dyDescent="0.25">
      <c r="A2652" t="s">
        <v>9438</v>
      </c>
      <c r="B2652" s="1" t="str">
        <f>HYPERLINK("https://www.catalog.slsa.sa.gov.au/record=b2110731")</f>
        <v>https://www.catalog.slsa.sa.gov.au/record=b2110731</v>
      </c>
      <c r="C2652" s="1" t="str">
        <f>HYPERLINK("https://www.catalog.slsa.sa.gov.au/xrecord=b2110731")</f>
        <v>https://www.catalog.slsa.sa.gov.au/xrecord=b2110731</v>
      </c>
      <c r="D2652" t="s">
        <v>66</v>
      </c>
      <c r="E2652" t="s">
        <v>9439</v>
      </c>
      <c r="F2652">
        <v>1959</v>
      </c>
      <c r="G2652" t="s">
        <v>121</v>
      </c>
      <c r="H2652" t="s">
        <v>9440</v>
      </c>
      <c r="I2652" t="s">
        <v>7415</v>
      </c>
      <c r="J2652" t="s">
        <v>71</v>
      </c>
      <c r="K2652" s="2" t="str">
        <f>HYPERLINK("http://collections.slsa.sa.gov.au/arthur/01500/BRG347_1450.htm")</f>
        <v>http://collections.slsa.sa.gov.au/arthur/01500/BRG347_1450.htm</v>
      </c>
    </row>
    <row r="2653" spans="1:11" x14ac:dyDescent="0.25">
      <c r="A2653" t="s">
        <v>9441</v>
      </c>
      <c r="B2653" s="1" t="str">
        <f>HYPERLINK("https://www.catalog.slsa.sa.gov.au/record=b2110732")</f>
        <v>https://www.catalog.slsa.sa.gov.au/record=b2110732</v>
      </c>
      <c r="C2653" s="1" t="str">
        <f>HYPERLINK("https://www.catalog.slsa.sa.gov.au/xrecord=b2110732")</f>
        <v>https://www.catalog.slsa.sa.gov.au/xrecord=b2110732</v>
      </c>
      <c r="D2653" t="s">
        <v>66</v>
      </c>
      <c r="E2653" t="s">
        <v>9439</v>
      </c>
      <c r="F2653">
        <v>1959</v>
      </c>
      <c r="G2653" t="s">
        <v>121</v>
      </c>
      <c r="H2653" t="s">
        <v>9442</v>
      </c>
      <c r="I2653" t="s">
        <v>9443</v>
      </c>
      <c r="J2653" t="s">
        <v>71</v>
      </c>
      <c r="K2653" s="2" t="str">
        <f>HYPERLINK("http://collections.slsa.sa.gov.au/arthur/01500/BRG347_1451.htm")</f>
        <v>http://collections.slsa.sa.gov.au/arthur/01500/BRG347_1451.htm</v>
      </c>
    </row>
    <row r="2654" spans="1:11" x14ac:dyDescent="0.25">
      <c r="A2654" t="s">
        <v>9444</v>
      </c>
      <c r="B2654" s="1" t="str">
        <f>HYPERLINK("https://www.catalog.slsa.sa.gov.au/record=b2110733")</f>
        <v>https://www.catalog.slsa.sa.gov.au/record=b2110733</v>
      </c>
      <c r="C2654" s="1" t="str">
        <f>HYPERLINK("https://www.catalog.slsa.sa.gov.au/xrecord=b2110733")</f>
        <v>https://www.catalog.slsa.sa.gov.au/xrecord=b2110733</v>
      </c>
      <c r="D2654" t="s">
        <v>66</v>
      </c>
      <c r="E2654" t="s">
        <v>9445</v>
      </c>
      <c r="F2654">
        <v>1959</v>
      </c>
      <c r="G2654" t="s">
        <v>121</v>
      </c>
      <c r="H2654" t="s">
        <v>9446</v>
      </c>
      <c r="I2654" t="s">
        <v>9447</v>
      </c>
      <c r="J2654" t="s">
        <v>71</v>
      </c>
      <c r="K2654" s="2" t="str">
        <f>HYPERLINK("http://collections.slsa.sa.gov.au/arthur/01500/BRG347_1452.htm")</f>
        <v>http://collections.slsa.sa.gov.au/arthur/01500/BRG347_1452.htm</v>
      </c>
    </row>
    <row r="2655" spans="1:11" x14ac:dyDescent="0.25">
      <c r="A2655" t="s">
        <v>9448</v>
      </c>
      <c r="B2655" s="1" t="str">
        <f>HYPERLINK("https://www.catalog.slsa.sa.gov.au/record=b2110734")</f>
        <v>https://www.catalog.slsa.sa.gov.au/record=b2110734</v>
      </c>
      <c r="C2655" s="1" t="str">
        <f>HYPERLINK("https://www.catalog.slsa.sa.gov.au/xrecord=b2110734")</f>
        <v>https://www.catalog.slsa.sa.gov.au/xrecord=b2110734</v>
      </c>
      <c r="D2655" t="s">
        <v>66</v>
      </c>
      <c r="E2655" t="s">
        <v>9449</v>
      </c>
      <c r="F2655">
        <v>1959</v>
      </c>
      <c r="G2655" t="s">
        <v>121</v>
      </c>
      <c r="H2655" t="s">
        <v>9450</v>
      </c>
      <c r="I2655" t="s">
        <v>6629</v>
      </c>
      <c r="J2655" t="s">
        <v>71</v>
      </c>
      <c r="K2655" s="2" t="str">
        <f>HYPERLINK("http://collections.slsa.sa.gov.au/arthur/01500/BRG347_1453.htm")</f>
        <v>http://collections.slsa.sa.gov.au/arthur/01500/BRG347_1453.htm</v>
      </c>
    </row>
    <row r="2656" spans="1:11" x14ac:dyDescent="0.25">
      <c r="A2656" t="s">
        <v>9451</v>
      </c>
      <c r="B2656" s="1" t="str">
        <f>HYPERLINK("https://www.catalog.slsa.sa.gov.au/record=b2110735")</f>
        <v>https://www.catalog.slsa.sa.gov.au/record=b2110735</v>
      </c>
      <c r="C2656" s="1" t="str">
        <f>HYPERLINK("https://www.catalog.slsa.sa.gov.au/xrecord=b2110735")</f>
        <v>https://www.catalog.slsa.sa.gov.au/xrecord=b2110735</v>
      </c>
      <c r="D2656" t="s">
        <v>66</v>
      </c>
      <c r="E2656" t="s">
        <v>9452</v>
      </c>
      <c r="F2656">
        <v>1959</v>
      </c>
      <c r="G2656" t="s">
        <v>121</v>
      </c>
      <c r="H2656" t="s">
        <v>9453</v>
      </c>
      <c r="I2656" t="s">
        <v>9454</v>
      </c>
      <c r="J2656" t="s">
        <v>71</v>
      </c>
      <c r="K2656" s="2" t="str">
        <f>HYPERLINK("http://collections.slsa.sa.gov.au/arthur/01500/BRG347_1454.htm")</f>
        <v>http://collections.slsa.sa.gov.au/arthur/01500/BRG347_1454.htm</v>
      </c>
    </row>
    <row r="2657" spans="1:11" x14ac:dyDescent="0.25">
      <c r="A2657" t="s">
        <v>9455</v>
      </c>
      <c r="B2657" s="1" t="str">
        <f>HYPERLINK("https://www.catalog.slsa.sa.gov.au/record=b2110736")</f>
        <v>https://www.catalog.slsa.sa.gov.au/record=b2110736</v>
      </c>
      <c r="C2657" s="1" t="str">
        <f>HYPERLINK("https://www.catalog.slsa.sa.gov.au/xrecord=b2110736")</f>
        <v>https://www.catalog.slsa.sa.gov.au/xrecord=b2110736</v>
      </c>
      <c r="D2657" t="s">
        <v>66</v>
      </c>
      <c r="E2657" t="s">
        <v>9456</v>
      </c>
      <c r="F2657">
        <v>1959</v>
      </c>
      <c r="G2657" t="s">
        <v>121</v>
      </c>
      <c r="H2657" t="s">
        <v>9457</v>
      </c>
      <c r="I2657" t="s">
        <v>1615</v>
      </c>
      <c r="J2657" t="s">
        <v>71</v>
      </c>
      <c r="K2657" s="2" t="str">
        <f>HYPERLINK("http://collections.slsa.sa.gov.au/arthur/01500/BRG347_1455.htm")</f>
        <v>http://collections.slsa.sa.gov.au/arthur/01500/BRG347_1455.htm</v>
      </c>
    </row>
    <row r="2658" spans="1:11" x14ac:dyDescent="0.25">
      <c r="A2658" t="s">
        <v>9458</v>
      </c>
      <c r="B2658" s="1" t="str">
        <f>HYPERLINK("https://www.catalog.slsa.sa.gov.au/record=b2117790")</f>
        <v>https://www.catalog.slsa.sa.gov.au/record=b2117790</v>
      </c>
      <c r="C2658" s="1" t="str">
        <f>HYPERLINK("https://www.catalog.slsa.sa.gov.au/xrecord=b2117790")</f>
        <v>https://www.catalog.slsa.sa.gov.au/xrecord=b2117790</v>
      </c>
      <c r="D2658" t="s">
        <v>66</v>
      </c>
      <c r="E2658" t="s">
        <v>9459</v>
      </c>
      <c r="F2658">
        <v>1959</v>
      </c>
      <c r="G2658" t="s">
        <v>5597</v>
      </c>
      <c r="H2658" t="s">
        <v>9460</v>
      </c>
      <c r="I2658" t="s">
        <v>9461</v>
      </c>
      <c r="J2658" t="s">
        <v>71</v>
      </c>
      <c r="K2658" s="2" t="str">
        <f>HYPERLINK("http://collections.slsa.sa.gov.au/arthur/01500/BRG347_1456.htm")</f>
        <v>http://collections.slsa.sa.gov.au/arthur/01500/BRG347_1456.htm</v>
      </c>
    </row>
    <row r="2659" spans="1:11" x14ac:dyDescent="0.25">
      <c r="A2659" t="s">
        <v>9462</v>
      </c>
      <c r="B2659" s="1" t="str">
        <f>HYPERLINK("https://www.catalog.slsa.sa.gov.au/record=b2110737")</f>
        <v>https://www.catalog.slsa.sa.gov.au/record=b2110737</v>
      </c>
      <c r="C2659" s="1" t="str">
        <f>HYPERLINK("https://www.catalog.slsa.sa.gov.au/xrecord=b2110737")</f>
        <v>https://www.catalog.slsa.sa.gov.au/xrecord=b2110737</v>
      </c>
      <c r="D2659" t="s">
        <v>66</v>
      </c>
      <c r="E2659" t="s">
        <v>9463</v>
      </c>
      <c r="F2659">
        <v>1959</v>
      </c>
      <c r="G2659" t="s">
        <v>121</v>
      </c>
      <c r="H2659" t="s">
        <v>9464</v>
      </c>
      <c r="I2659" t="s">
        <v>9443</v>
      </c>
      <c r="J2659" t="s">
        <v>71</v>
      </c>
      <c r="K2659" s="2" t="str">
        <f>HYPERLINK("http://collections.slsa.sa.gov.au/arthur/01500/BRG347_1457.htm")</f>
        <v>http://collections.slsa.sa.gov.au/arthur/01500/BRG347_1457.htm</v>
      </c>
    </row>
    <row r="2660" spans="1:11" x14ac:dyDescent="0.25">
      <c r="A2660" t="s">
        <v>9465</v>
      </c>
      <c r="B2660" s="1" t="str">
        <f>HYPERLINK("https://www.catalog.slsa.sa.gov.au/record=b2110738")</f>
        <v>https://www.catalog.slsa.sa.gov.au/record=b2110738</v>
      </c>
      <c r="C2660" s="1" t="str">
        <f>HYPERLINK("https://www.catalog.slsa.sa.gov.au/xrecord=b2110738")</f>
        <v>https://www.catalog.slsa.sa.gov.au/xrecord=b2110738</v>
      </c>
      <c r="D2660" t="s">
        <v>66</v>
      </c>
      <c r="E2660" t="s">
        <v>9466</v>
      </c>
      <c r="F2660">
        <v>1959</v>
      </c>
      <c r="G2660" t="s">
        <v>121</v>
      </c>
      <c r="H2660" t="s">
        <v>9467</v>
      </c>
      <c r="I2660" t="s">
        <v>9468</v>
      </c>
      <c r="J2660" t="s">
        <v>71</v>
      </c>
      <c r="K2660" s="2" t="str">
        <f>HYPERLINK("http://collections.slsa.sa.gov.au/arthur/01500/BRG347_1458.htm")</f>
        <v>http://collections.slsa.sa.gov.au/arthur/01500/BRG347_1458.htm</v>
      </c>
    </row>
    <row r="2661" spans="1:11" x14ac:dyDescent="0.25">
      <c r="A2661" t="s">
        <v>9469</v>
      </c>
      <c r="B2661" s="1" t="str">
        <f>HYPERLINK("https://www.catalog.slsa.sa.gov.au/record=b2110739")</f>
        <v>https://www.catalog.slsa.sa.gov.au/record=b2110739</v>
      </c>
      <c r="C2661" s="1" t="str">
        <f>HYPERLINK("https://www.catalog.slsa.sa.gov.au/xrecord=b2110739")</f>
        <v>https://www.catalog.slsa.sa.gov.au/xrecord=b2110739</v>
      </c>
      <c r="D2661" t="s">
        <v>66</v>
      </c>
      <c r="E2661" t="s">
        <v>9470</v>
      </c>
      <c r="F2661">
        <v>1959</v>
      </c>
      <c r="G2661" t="s">
        <v>121</v>
      </c>
      <c r="H2661" t="s">
        <v>9471</v>
      </c>
      <c r="I2661" t="s">
        <v>7522</v>
      </c>
      <c r="J2661" t="s">
        <v>71</v>
      </c>
      <c r="K2661" s="2" t="str">
        <f>HYPERLINK("http://collections.slsa.sa.gov.au/arthur/01500/BRG347_1459.htm")</f>
        <v>http://collections.slsa.sa.gov.au/arthur/01500/BRG347_1459.htm</v>
      </c>
    </row>
    <row r="2662" spans="1:11" x14ac:dyDescent="0.25">
      <c r="A2662" t="s">
        <v>9472</v>
      </c>
      <c r="B2662" s="1" t="str">
        <f>HYPERLINK("https://www.catalog.slsa.sa.gov.au/record=b2110740")</f>
        <v>https://www.catalog.slsa.sa.gov.au/record=b2110740</v>
      </c>
      <c r="C2662" s="1" t="str">
        <f>HYPERLINK("https://www.catalog.slsa.sa.gov.au/xrecord=b2110740")</f>
        <v>https://www.catalog.slsa.sa.gov.au/xrecord=b2110740</v>
      </c>
      <c r="D2662" t="s">
        <v>66</v>
      </c>
      <c r="E2662" t="s">
        <v>6585</v>
      </c>
      <c r="F2662">
        <v>1959</v>
      </c>
      <c r="G2662" t="s">
        <v>121</v>
      </c>
      <c r="H2662" t="s">
        <v>9473</v>
      </c>
      <c r="I2662" t="s">
        <v>6629</v>
      </c>
      <c r="J2662" t="s">
        <v>71</v>
      </c>
      <c r="K2662" s="2" t="str">
        <f>HYPERLINK("http://collections.slsa.sa.gov.au/arthur/01500/BRG347_1460.htm")</f>
        <v>http://collections.slsa.sa.gov.au/arthur/01500/BRG347_1460.htm</v>
      </c>
    </row>
    <row r="2663" spans="1:11" x14ac:dyDescent="0.25">
      <c r="A2663" t="s">
        <v>9474</v>
      </c>
      <c r="B2663" s="1" t="str">
        <f>HYPERLINK("https://www.catalog.slsa.sa.gov.au/record=b2110742")</f>
        <v>https://www.catalog.slsa.sa.gov.au/record=b2110742</v>
      </c>
      <c r="C2663" s="1" t="str">
        <f>HYPERLINK("https://www.catalog.slsa.sa.gov.au/xrecord=b2110742")</f>
        <v>https://www.catalog.slsa.sa.gov.au/xrecord=b2110742</v>
      </c>
      <c r="D2663" t="s">
        <v>66</v>
      </c>
      <c r="E2663" t="s">
        <v>3707</v>
      </c>
      <c r="F2663">
        <v>1959</v>
      </c>
      <c r="G2663" t="s">
        <v>121</v>
      </c>
      <c r="H2663" t="s">
        <v>9475</v>
      </c>
      <c r="I2663" t="s">
        <v>9476</v>
      </c>
      <c r="J2663" t="s">
        <v>71</v>
      </c>
      <c r="K2663" s="2" t="str">
        <f>HYPERLINK("http://collections.slsa.sa.gov.au/arthur/01500/BRG347_1461.htm")</f>
        <v>http://collections.slsa.sa.gov.au/arthur/01500/BRG347_1461.htm</v>
      </c>
    </row>
    <row r="2664" spans="1:11" x14ac:dyDescent="0.25">
      <c r="A2664" t="s">
        <v>9477</v>
      </c>
      <c r="B2664" s="1" t="str">
        <f>HYPERLINK("https://www.catalog.slsa.sa.gov.au/record=b2110743")</f>
        <v>https://www.catalog.slsa.sa.gov.au/record=b2110743</v>
      </c>
      <c r="C2664" s="1" t="str">
        <f>HYPERLINK("https://www.catalog.slsa.sa.gov.au/xrecord=b2110743")</f>
        <v>https://www.catalog.slsa.sa.gov.au/xrecord=b2110743</v>
      </c>
      <c r="D2664" t="s">
        <v>66</v>
      </c>
      <c r="E2664" t="s">
        <v>6585</v>
      </c>
      <c r="F2664">
        <v>1959</v>
      </c>
      <c r="G2664" t="s">
        <v>121</v>
      </c>
      <c r="H2664" t="s">
        <v>9478</v>
      </c>
      <c r="I2664" t="s">
        <v>6629</v>
      </c>
      <c r="J2664" t="s">
        <v>71</v>
      </c>
      <c r="K2664" s="2" t="str">
        <f>HYPERLINK("http://collections.slsa.sa.gov.au/arthur/01500/BRG347_1462.htm")</f>
        <v>http://collections.slsa.sa.gov.au/arthur/01500/BRG347_1462.htm</v>
      </c>
    </row>
    <row r="2665" spans="1:11" x14ac:dyDescent="0.25">
      <c r="A2665" t="s">
        <v>9479</v>
      </c>
      <c r="B2665" s="1" t="str">
        <f>HYPERLINK("https://www.catalog.slsa.sa.gov.au/record=b2110744")</f>
        <v>https://www.catalog.slsa.sa.gov.au/record=b2110744</v>
      </c>
      <c r="C2665" s="1" t="str">
        <f>HYPERLINK("https://www.catalog.slsa.sa.gov.au/xrecord=b2110744")</f>
        <v>https://www.catalog.slsa.sa.gov.au/xrecord=b2110744</v>
      </c>
      <c r="D2665" t="s">
        <v>66</v>
      </c>
      <c r="E2665" t="s">
        <v>6585</v>
      </c>
      <c r="F2665">
        <v>1959</v>
      </c>
      <c r="G2665" t="s">
        <v>121</v>
      </c>
      <c r="H2665" t="s">
        <v>9480</v>
      </c>
      <c r="I2665" t="s">
        <v>6629</v>
      </c>
      <c r="J2665" t="s">
        <v>71</v>
      </c>
      <c r="K2665" s="2" t="str">
        <f>HYPERLINK("http://collections.slsa.sa.gov.au/arthur/01500/BRG347_1463.htm")</f>
        <v>http://collections.slsa.sa.gov.au/arthur/01500/BRG347_1463.htm</v>
      </c>
    </row>
    <row r="2666" spans="1:11" x14ac:dyDescent="0.25">
      <c r="A2666" t="s">
        <v>9481</v>
      </c>
      <c r="B2666" s="1" t="str">
        <f>HYPERLINK("https://www.catalog.slsa.sa.gov.au/record=b2110741")</f>
        <v>https://www.catalog.slsa.sa.gov.au/record=b2110741</v>
      </c>
      <c r="C2666" s="1" t="str">
        <f>HYPERLINK("https://www.catalog.slsa.sa.gov.au/xrecord=b2110741")</f>
        <v>https://www.catalog.slsa.sa.gov.au/xrecord=b2110741</v>
      </c>
      <c r="D2666" t="s">
        <v>66</v>
      </c>
      <c r="E2666" t="s">
        <v>6585</v>
      </c>
      <c r="F2666">
        <v>1959</v>
      </c>
      <c r="G2666" t="s">
        <v>121</v>
      </c>
      <c r="H2666" t="s">
        <v>9482</v>
      </c>
      <c r="I2666" t="s">
        <v>8276</v>
      </c>
      <c r="J2666" t="s">
        <v>71</v>
      </c>
      <c r="K2666" s="2" t="str">
        <f>HYPERLINK("http://collections.slsa.sa.gov.au/arthur/01500/BRG347_1464.htm")</f>
        <v>http://collections.slsa.sa.gov.au/arthur/01500/BRG347_1464.htm</v>
      </c>
    </row>
    <row r="2667" spans="1:11" x14ac:dyDescent="0.25">
      <c r="A2667" t="s">
        <v>9483</v>
      </c>
      <c r="B2667" s="1" t="str">
        <f>HYPERLINK("https://www.catalog.slsa.sa.gov.au/record=b2110745")</f>
        <v>https://www.catalog.slsa.sa.gov.au/record=b2110745</v>
      </c>
      <c r="C2667" s="1" t="str">
        <f>HYPERLINK("https://www.catalog.slsa.sa.gov.au/xrecord=b2110745")</f>
        <v>https://www.catalog.slsa.sa.gov.au/xrecord=b2110745</v>
      </c>
      <c r="D2667" t="s">
        <v>66</v>
      </c>
      <c r="E2667" t="s">
        <v>6585</v>
      </c>
      <c r="F2667">
        <v>1959</v>
      </c>
      <c r="G2667" t="s">
        <v>121</v>
      </c>
      <c r="H2667" t="s">
        <v>9484</v>
      </c>
      <c r="I2667" t="s">
        <v>8276</v>
      </c>
      <c r="J2667" t="s">
        <v>71</v>
      </c>
      <c r="K2667" s="2" t="str">
        <f>HYPERLINK("http://collections.slsa.sa.gov.au/arthur/01500/BRG347_1465.htm")</f>
        <v>http://collections.slsa.sa.gov.au/arthur/01500/BRG347_1465.htm</v>
      </c>
    </row>
    <row r="2668" spans="1:11" x14ac:dyDescent="0.25">
      <c r="A2668" t="s">
        <v>9485</v>
      </c>
      <c r="B2668" s="1" t="str">
        <f>HYPERLINK("https://www.catalog.slsa.sa.gov.au/record=b2110746")</f>
        <v>https://www.catalog.slsa.sa.gov.au/record=b2110746</v>
      </c>
      <c r="C2668" s="1" t="str">
        <f>HYPERLINK("https://www.catalog.slsa.sa.gov.au/xrecord=b2110746")</f>
        <v>https://www.catalog.slsa.sa.gov.au/xrecord=b2110746</v>
      </c>
      <c r="D2668" t="s">
        <v>66</v>
      </c>
      <c r="E2668" t="s">
        <v>6585</v>
      </c>
      <c r="F2668">
        <v>1959</v>
      </c>
      <c r="G2668" t="s">
        <v>121</v>
      </c>
      <c r="H2668" t="s">
        <v>9486</v>
      </c>
      <c r="I2668" t="s">
        <v>8276</v>
      </c>
      <c r="J2668" t="s">
        <v>71</v>
      </c>
      <c r="K2668" s="2" t="str">
        <f>HYPERLINK("http://collections.slsa.sa.gov.au/arthur/01500/BRG347_1466.htm")</f>
        <v>http://collections.slsa.sa.gov.au/arthur/01500/BRG347_1466.htm</v>
      </c>
    </row>
    <row r="2669" spans="1:11" x14ac:dyDescent="0.25">
      <c r="A2669" t="s">
        <v>9487</v>
      </c>
      <c r="B2669" s="1" t="str">
        <f>HYPERLINK("https://www.catalog.slsa.sa.gov.au/record=b2110747")</f>
        <v>https://www.catalog.slsa.sa.gov.au/record=b2110747</v>
      </c>
      <c r="C2669" s="1" t="str">
        <f>HYPERLINK("https://www.catalog.slsa.sa.gov.au/xrecord=b2110747")</f>
        <v>https://www.catalog.slsa.sa.gov.au/xrecord=b2110747</v>
      </c>
      <c r="D2669" t="s">
        <v>66</v>
      </c>
      <c r="E2669" t="s">
        <v>9488</v>
      </c>
      <c r="F2669">
        <v>1959</v>
      </c>
      <c r="G2669" t="s">
        <v>121</v>
      </c>
      <c r="H2669" t="s">
        <v>9489</v>
      </c>
      <c r="I2669" t="s">
        <v>9476</v>
      </c>
      <c r="J2669" t="s">
        <v>71</v>
      </c>
      <c r="K2669" s="2" t="str">
        <f>HYPERLINK("http://collections.slsa.sa.gov.au/arthur/01500/BRG347_1467.htm")</f>
        <v>http://collections.slsa.sa.gov.au/arthur/01500/BRG347_1467.htm</v>
      </c>
    </row>
    <row r="2670" spans="1:11" x14ac:dyDescent="0.25">
      <c r="A2670" t="s">
        <v>9490</v>
      </c>
      <c r="B2670" s="1" t="str">
        <f>HYPERLINK("https://www.catalog.slsa.sa.gov.au/record=b2110748")</f>
        <v>https://www.catalog.slsa.sa.gov.au/record=b2110748</v>
      </c>
      <c r="C2670" s="1" t="str">
        <f>HYPERLINK("https://www.catalog.slsa.sa.gov.au/xrecord=b2110748")</f>
        <v>https://www.catalog.slsa.sa.gov.au/xrecord=b2110748</v>
      </c>
      <c r="D2670" t="s">
        <v>66</v>
      </c>
      <c r="E2670" t="s">
        <v>9491</v>
      </c>
      <c r="F2670">
        <v>1959</v>
      </c>
      <c r="G2670" t="s">
        <v>121</v>
      </c>
      <c r="H2670" t="s">
        <v>9492</v>
      </c>
      <c r="I2670" t="s">
        <v>9493</v>
      </c>
      <c r="J2670" t="s">
        <v>71</v>
      </c>
      <c r="K2670" s="2" t="str">
        <f>HYPERLINK("http://collections.slsa.sa.gov.au/arthur/01500/BRG347_1468.htm")</f>
        <v>http://collections.slsa.sa.gov.au/arthur/01500/BRG347_1468.htm</v>
      </c>
    </row>
    <row r="2671" spans="1:11" x14ac:dyDescent="0.25">
      <c r="A2671" t="s">
        <v>9494</v>
      </c>
      <c r="B2671" s="1" t="str">
        <f>HYPERLINK("https://www.catalog.slsa.sa.gov.au/record=b2110749")</f>
        <v>https://www.catalog.slsa.sa.gov.au/record=b2110749</v>
      </c>
      <c r="C2671" s="1" t="str">
        <f>HYPERLINK("https://www.catalog.slsa.sa.gov.au/xrecord=b2110749")</f>
        <v>https://www.catalog.slsa.sa.gov.au/xrecord=b2110749</v>
      </c>
      <c r="D2671" t="s">
        <v>66</v>
      </c>
      <c r="E2671" t="s">
        <v>9495</v>
      </c>
      <c r="F2671">
        <v>1959</v>
      </c>
      <c r="G2671" t="s">
        <v>121</v>
      </c>
      <c r="H2671" t="s">
        <v>9496</v>
      </c>
      <c r="I2671" t="s">
        <v>9497</v>
      </c>
      <c r="J2671" t="s">
        <v>71</v>
      </c>
      <c r="K2671" s="2" t="str">
        <f>HYPERLINK("http://collections.slsa.sa.gov.au/arthur/01500/BRG347_1469.htm")</f>
        <v>http://collections.slsa.sa.gov.au/arthur/01500/BRG347_1469.htm</v>
      </c>
    </row>
    <row r="2672" spans="1:11" x14ac:dyDescent="0.25">
      <c r="A2672" t="s">
        <v>9498</v>
      </c>
      <c r="B2672" s="1" t="str">
        <f>HYPERLINK("https://www.catalog.slsa.sa.gov.au/record=b2110750")</f>
        <v>https://www.catalog.slsa.sa.gov.au/record=b2110750</v>
      </c>
      <c r="C2672" s="1" t="str">
        <f>HYPERLINK("https://www.catalog.slsa.sa.gov.au/xrecord=b2110750")</f>
        <v>https://www.catalog.slsa.sa.gov.au/xrecord=b2110750</v>
      </c>
      <c r="D2672" t="s">
        <v>66</v>
      </c>
      <c r="E2672" t="s">
        <v>9499</v>
      </c>
      <c r="F2672">
        <v>1959</v>
      </c>
      <c r="G2672" t="s">
        <v>121</v>
      </c>
      <c r="H2672" t="s">
        <v>9500</v>
      </c>
      <c r="I2672" t="s">
        <v>6629</v>
      </c>
      <c r="J2672" t="s">
        <v>71</v>
      </c>
      <c r="K2672" s="2" t="str">
        <f>HYPERLINK("http://collections.slsa.sa.gov.au/arthur/01500/BRG347_1470.htm")</f>
        <v>http://collections.slsa.sa.gov.au/arthur/01500/BRG347_1470.htm</v>
      </c>
    </row>
    <row r="2673" spans="1:11" x14ac:dyDescent="0.25">
      <c r="A2673" t="s">
        <v>9501</v>
      </c>
      <c r="B2673" s="1" t="str">
        <f>HYPERLINK("https://www.catalog.slsa.sa.gov.au/record=b2110751")</f>
        <v>https://www.catalog.slsa.sa.gov.au/record=b2110751</v>
      </c>
      <c r="C2673" s="1" t="str">
        <f>HYPERLINK("https://www.catalog.slsa.sa.gov.au/xrecord=b2110751")</f>
        <v>https://www.catalog.slsa.sa.gov.au/xrecord=b2110751</v>
      </c>
      <c r="D2673" t="s">
        <v>66</v>
      </c>
      <c r="E2673" t="s">
        <v>8599</v>
      </c>
      <c r="F2673">
        <v>1959</v>
      </c>
      <c r="G2673" t="s">
        <v>121</v>
      </c>
      <c r="H2673" t="s">
        <v>9502</v>
      </c>
      <c r="I2673" t="s">
        <v>9497</v>
      </c>
      <c r="J2673" t="s">
        <v>71</v>
      </c>
      <c r="K2673" s="2" t="str">
        <f>HYPERLINK("http://collections.slsa.sa.gov.au/arthur/01500/BRG347_1471.htm")</f>
        <v>http://collections.slsa.sa.gov.au/arthur/01500/BRG347_1471.htm</v>
      </c>
    </row>
    <row r="2674" spans="1:11" x14ac:dyDescent="0.25">
      <c r="A2674" t="s">
        <v>9503</v>
      </c>
      <c r="B2674" s="1" t="str">
        <f>HYPERLINK("https://www.catalog.slsa.sa.gov.au/record=b2110752")</f>
        <v>https://www.catalog.slsa.sa.gov.au/record=b2110752</v>
      </c>
      <c r="C2674" s="1" t="str">
        <f>HYPERLINK("https://www.catalog.slsa.sa.gov.au/xrecord=b2110752")</f>
        <v>https://www.catalog.slsa.sa.gov.au/xrecord=b2110752</v>
      </c>
      <c r="D2674" t="s">
        <v>66</v>
      </c>
      <c r="E2674" t="s">
        <v>9504</v>
      </c>
      <c r="F2674">
        <v>1959</v>
      </c>
      <c r="G2674" t="s">
        <v>121</v>
      </c>
      <c r="H2674" t="s">
        <v>9505</v>
      </c>
      <c r="I2674" t="s">
        <v>9506</v>
      </c>
      <c r="J2674" t="s">
        <v>71</v>
      </c>
      <c r="K2674" s="2" t="str">
        <f>HYPERLINK("http://collections.slsa.sa.gov.au/arthur/01500/BRG347_1472.htm")</f>
        <v>http://collections.slsa.sa.gov.au/arthur/01500/BRG347_1472.htm</v>
      </c>
    </row>
    <row r="2675" spans="1:11" x14ac:dyDescent="0.25">
      <c r="A2675" t="s">
        <v>9507</v>
      </c>
      <c r="B2675" s="1" t="str">
        <f>HYPERLINK("https://www.catalog.slsa.sa.gov.au/record=b2110753")</f>
        <v>https://www.catalog.slsa.sa.gov.au/record=b2110753</v>
      </c>
      <c r="C2675" s="1" t="str">
        <f>HYPERLINK("https://www.catalog.slsa.sa.gov.au/xrecord=b2110753")</f>
        <v>https://www.catalog.slsa.sa.gov.au/xrecord=b2110753</v>
      </c>
      <c r="D2675" t="s">
        <v>66</v>
      </c>
      <c r="E2675" t="s">
        <v>6585</v>
      </c>
      <c r="F2675">
        <v>1959</v>
      </c>
      <c r="G2675" t="s">
        <v>121</v>
      </c>
      <c r="H2675" t="s">
        <v>9508</v>
      </c>
      <c r="I2675" t="s">
        <v>6587</v>
      </c>
      <c r="J2675" t="s">
        <v>71</v>
      </c>
      <c r="K2675" s="2" t="str">
        <f>HYPERLINK("http://collections.slsa.sa.gov.au/arthur/01500/BRG347_1473.htm")</f>
        <v>http://collections.slsa.sa.gov.au/arthur/01500/BRG347_1473.htm</v>
      </c>
    </row>
    <row r="2676" spans="1:11" x14ac:dyDescent="0.25">
      <c r="A2676" t="s">
        <v>9509</v>
      </c>
      <c r="B2676" s="1" t="str">
        <f>HYPERLINK("https://www.catalog.slsa.sa.gov.au/record=b2110754")</f>
        <v>https://www.catalog.slsa.sa.gov.au/record=b2110754</v>
      </c>
      <c r="C2676" s="1" t="str">
        <f>HYPERLINK("https://www.catalog.slsa.sa.gov.au/xrecord=b2110754")</f>
        <v>https://www.catalog.slsa.sa.gov.au/xrecord=b2110754</v>
      </c>
      <c r="D2676" t="s">
        <v>66</v>
      </c>
      <c r="E2676" t="s">
        <v>8254</v>
      </c>
      <c r="F2676">
        <v>1959</v>
      </c>
      <c r="G2676" t="s">
        <v>121</v>
      </c>
      <c r="H2676" t="s">
        <v>9510</v>
      </c>
      <c r="I2676" t="s">
        <v>8256</v>
      </c>
      <c r="J2676" t="s">
        <v>71</v>
      </c>
      <c r="K2676" s="2" t="str">
        <f>HYPERLINK("http://collections.slsa.sa.gov.au/arthur/01500/BRG347_1474.htm")</f>
        <v>http://collections.slsa.sa.gov.au/arthur/01500/BRG347_1474.htm</v>
      </c>
    </row>
    <row r="2677" spans="1:11" x14ac:dyDescent="0.25">
      <c r="A2677" t="s">
        <v>9511</v>
      </c>
      <c r="B2677" s="1" t="str">
        <f>HYPERLINK("https://www.catalog.slsa.sa.gov.au/record=b2110756")</f>
        <v>https://www.catalog.slsa.sa.gov.au/record=b2110756</v>
      </c>
      <c r="C2677" s="1" t="str">
        <f>HYPERLINK("https://www.catalog.slsa.sa.gov.au/xrecord=b2110756")</f>
        <v>https://www.catalog.slsa.sa.gov.au/xrecord=b2110756</v>
      </c>
      <c r="D2677" t="s">
        <v>66</v>
      </c>
      <c r="E2677" t="s">
        <v>6523</v>
      </c>
      <c r="F2677">
        <v>1959</v>
      </c>
      <c r="G2677" t="s">
        <v>121</v>
      </c>
      <c r="H2677" t="s">
        <v>9512</v>
      </c>
      <c r="I2677" t="s">
        <v>123</v>
      </c>
      <c r="J2677" t="s">
        <v>71</v>
      </c>
      <c r="K2677" s="2" t="str">
        <f>HYPERLINK("http://collections.slsa.sa.gov.au/arthur/01500/BRG347_1476.htm")</f>
        <v>http://collections.slsa.sa.gov.au/arthur/01500/BRG347_1476.htm</v>
      </c>
    </row>
    <row r="2678" spans="1:11" x14ac:dyDescent="0.25">
      <c r="A2678" t="s">
        <v>9513</v>
      </c>
      <c r="B2678" s="1" t="str">
        <f>HYPERLINK("https://www.catalog.slsa.sa.gov.au/record=b2110757")</f>
        <v>https://www.catalog.slsa.sa.gov.au/record=b2110757</v>
      </c>
      <c r="C2678" s="1" t="str">
        <f>HYPERLINK("https://www.catalog.slsa.sa.gov.au/xrecord=b2110757")</f>
        <v>https://www.catalog.slsa.sa.gov.au/xrecord=b2110757</v>
      </c>
      <c r="D2678" t="s">
        <v>66</v>
      </c>
      <c r="E2678" t="s">
        <v>9514</v>
      </c>
      <c r="F2678">
        <v>1959</v>
      </c>
      <c r="G2678" t="s">
        <v>121</v>
      </c>
      <c r="H2678" t="s">
        <v>9515</v>
      </c>
      <c r="I2678" t="s">
        <v>6629</v>
      </c>
      <c r="J2678" t="s">
        <v>71</v>
      </c>
      <c r="K2678" s="2" t="str">
        <f>HYPERLINK("http://collections.slsa.sa.gov.au/arthur/01500/BRG347_1477.htm")</f>
        <v>http://collections.slsa.sa.gov.au/arthur/01500/BRG347_1477.htm</v>
      </c>
    </row>
    <row r="2679" spans="1:11" x14ac:dyDescent="0.25">
      <c r="A2679" t="s">
        <v>9516</v>
      </c>
      <c r="B2679" s="1" t="str">
        <f>HYPERLINK("https://www.catalog.slsa.sa.gov.au/record=b2110758")</f>
        <v>https://www.catalog.slsa.sa.gov.au/record=b2110758</v>
      </c>
      <c r="C2679" s="1" t="str">
        <f>HYPERLINK("https://www.catalog.slsa.sa.gov.au/xrecord=b2110758")</f>
        <v>https://www.catalog.slsa.sa.gov.au/xrecord=b2110758</v>
      </c>
      <c r="D2679" t="s">
        <v>66</v>
      </c>
      <c r="E2679" t="s">
        <v>6523</v>
      </c>
      <c r="F2679">
        <v>1959</v>
      </c>
      <c r="G2679" t="s">
        <v>121</v>
      </c>
      <c r="H2679" t="s">
        <v>9517</v>
      </c>
      <c r="I2679" t="s">
        <v>7454</v>
      </c>
      <c r="J2679" t="s">
        <v>71</v>
      </c>
      <c r="K2679" s="2" t="str">
        <f>HYPERLINK("http://collections.slsa.sa.gov.au/arthur/01500/BRG347_1478.htm")</f>
        <v>http://collections.slsa.sa.gov.au/arthur/01500/BRG347_1478.htm</v>
      </c>
    </row>
    <row r="2680" spans="1:11" x14ac:dyDescent="0.25">
      <c r="A2680" t="s">
        <v>9518</v>
      </c>
      <c r="B2680" s="1" t="str">
        <f>HYPERLINK("https://www.catalog.slsa.sa.gov.au/record=b2110759")</f>
        <v>https://www.catalog.slsa.sa.gov.au/record=b2110759</v>
      </c>
      <c r="C2680" s="1" t="str">
        <f>HYPERLINK("https://www.catalog.slsa.sa.gov.au/xrecord=b2110759")</f>
        <v>https://www.catalog.slsa.sa.gov.au/xrecord=b2110759</v>
      </c>
      <c r="D2680" t="s">
        <v>66</v>
      </c>
      <c r="E2680" t="s">
        <v>9519</v>
      </c>
      <c r="F2680">
        <v>1959</v>
      </c>
      <c r="G2680" t="s">
        <v>121</v>
      </c>
      <c r="H2680" t="s">
        <v>9520</v>
      </c>
      <c r="I2680" t="s">
        <v>9521</v>
      </c>
      <c r="J2680" t="s">
        <v>71</v>
      </c>
      <c r="K2680" s="2" t="str">
        <f>HYPERLINK("http://collections.slsa.sa.gov.au/arthur/01500/BRG347_1479.htm")</f>
        <v>http://collections.slsa.sa.gov.au/arthur/01500/BRG347_1479.htm</v>
      </c>
    </row>
    <row r="2681" spans="1:11" x14ac:dyDescent="0.25">
      <c r="A2681" t="s">
        <v>9522</v>
      </c>
      <c r="B2681" s="1" t="str">
        <f>HYPERLINK("https://www.catalog.slsa.sa.gov.au/record=b2110760")</f>
        <v>https://www.catalog.slsa.sa.gov.au/record=b2110760</v>
      </c>
      <c r="C2681" s="1" t="str">
        <f>HYPERLINK("https://www.catalog.slsa.sa.gov.au/xrecord=b2110760")</f>
        <v>https://www.catalog.slsa.sa.gov.au/xrecord=b2110760</v>
      </c>
      <c r="D2681" t="s">
        <v>66</v>
      </c>
      <c r="E2681" t="s">
        <v>9432</v>
      </c>
      <c r="F2681">
        <v>1959</v>
      </c>
      <c r="G2681" t="s">
        <v>121</v>
      </c>
      <c r="H2681" t="s">
        <v>9523</v>
      </c>
      <c r="I2681" t="s">
        <v>9524</v>
      </c>
      <c r="J2681" t="s">
        <v>71</v>
      </c>
      <c r="K2681" s="2" t="str">
        <f>HYPERLINK("http://collections.slsa.sa.gov.au/arthur/01500/BRG347_1480.htm")</f>
        <v>http://collections.slsa.sa.gov.au/arthur/01500/BRG347_1480.htm</v>
      </c>
    </row>
    <row r="2682" spans="1:11" x14ac:dyDescent="0.25">
      <c r="A2682" t="s">
        <v>9525</v>
      </c>
      <c r="B2682" s="1" t="str">
        <f>HYPERLINK("https://www.catalog.slsa.sa.gov.au/record=b2110761")</f>
        <v>https://www.catalog.slsa.sa.gov.au/record=b2110761</v>
      </c>
      <c r="C2682" s="1" t="str">
        <f>HYPERLINK("https://www.catalog.slsa.sa.gov.au/xrecord=b2110761")</f>
        <v>https://www.catalog.slsa.sa.gov.au/xrecord=b2110761</v>
      </c>
      <c r="D2682" t="s">
        <v>66</v>
      </c>
      <c r="E2682" t="s">
        <v>9526</v>
      </c>
      <c r="F2682">
        <v>1959</v>
      </c>
      <c r="G2682" t="s">
        <v>121</v>
      </c>
      <c r="H2682" t="s">
        <v>9527</v>
      </c>
      <c r="I2682" t="s">
        <v>9528</v>
      </c>
      <c r="J2682" t="s">
        <v>71</v>
      </c>
      <c r="K2682" s="2" t="str">
        <f>HYPERLINK("http://collections.slsa.sa.gov.au/arthur/01500/BRG347_1481.htm")</f>
        <v>http://collections.slsa.sa.gov.au/arthur/01500/BRG347_1481.htm</v>
      </c>
    </row>
    <row r="2683" spans="1:11" x14ac:dyDescent="0.25">
      <c r="A2683" t="s">
        <v>9529</v>
      </c>
      <c r="B2683" s="1" t="str">
        <f>HYPERLINK("https://www.catalog.slsa.sa.gov.au/record=b2110762")</f>
        <v>https://www.catalog.slsa.sa.gov.au/record=b2110762</v>
      </c>
      <c r="C2683" s="1" t="str">
        <f>HYPERLINK("https://www.catalog.slsa.sa.gov.au/xrecord=b2110762")</f>
        <v>https://www.catalog.slsa.sa.gov.au/xrecord=b2110762</v>
      </c>
      <c r="D2683" t="s">
        <v>66</v>
      </c>
      <c r="E2683" t="s">
        <v>9530</v>
      </c>
      <c r="F2683">
        <v>1959</v>
      </c>
      <c r="G2683" t="s">
        <v>121</v>
      </c>
      <c r="H2683" t="s">
        <v>9531</v>
      </c>
      <c r="I2683" t="s">
        <v>9532</v>
      </c>
      <c r="J2683" t="s">
        <v>71</v>
      </c>
      <c r="K2683" s="2" t="str">
        <f>HYPERLINK("http://collections.slsa.sa.gov.au/arthur/01500/BRG347_1482.htm")</f>
        <v>http://collections.slsa.sa.gov.au/arthur/01500/BRG347_1482.htm</v>
      </c>
    </row>
    <row r="2684" spans="1:11" x14ac:dyDescent="0.25">
      <c r="A2684" t="s">
        <v>9533</v>
      </c>
      <c r="B2684" s="1" t="str">
        <f>HYPERLINK("https://www.catalog.slsa.sa.gov.au/record=b2110763")</f>
        <v>https://www.catalog.slsa.sa.gov.au/record=b2110763</v>
      </c>
      <c r="C2684" s="1" t="str">
        <f>HYPERLINK("https://www.catalog.slsa.sa.gov.au/xrecord=b2110763")</f>
        <v>https://www.catalog.slsa.sa.gov.au/xrecord=b2110763</v>
      </c>
      <c r="D2684" t="s">
        <v>66</v>
      </c>
      <c r="E2684" t="s">
        <v>9432</v>
      </c>
      <c r="F2684">
        <v>1959</v>
      </c>
      <c r="G2684" t="s">
        <v>121</v>
      </c>
      <c r="H2684" t="s">
        <v>9534</v>
      </c>
      <c r="I2684" t="s">
        <v>9535</v>
      </c>
      <c r="J2684" t="s">
        <v>71</v>
      </c>
      <c r="K2684" s="2" t="str">
        <f>HYPERLINK("http://collections.slsa.sa.gov.au/arthur/01500/BRG347_1483.htm")</f>
        <v>http://collections.slsa.sa.gov.au/arthur/01500/BRG347_1483.htm</v>
      </c>
    </row>
    <row r="2685" spans="1:11" x14ac:dyDescent="0.25">
      <c r="A2685" t="s">
        <v>9536</v>
      </c>
      <c r="B2685" s="1" t="str">
        <f>HYPERLINK("https://www.catalog.slsa.sa.gov.au/record=b2110764")</f>
        <v>https://www.catalog.slsa.sa.gov.au/record=b2110764</v>
      </c>
      <c r="C2685" s="1" t="str">
        <f>HYPERLINK("https://www.catalog.slsa.sa.gov.au/xrecord=b2110764")</f>
        <v>https://www.catalog.slsa.sa.gov.au/xrecord=b2110764</v>
      </c>
      <c r="D2685" t="s">
        <v>66</v>
      </c>
      <c r="E2685" t="s">
        <v>9432</v>
      </c>
      <c r="F2685">
        <v>1959</v>
      </c>
      <c r="G2685" t="s">
        <v>121</v>
      </c>
      <c r="H2685" t="s">
        <v>9537</v>
      </c>
      <c r="I2685" t="s">
        <v>9535</v>
      </c>
      <c r="J2685" t="s">
        <v>71</v>
      </c>
      <c r="K2685" s="2" t="str">
        <f>HYPERLINK("http://collections.slsa.sa.gov.au/arthur/01500/BRG347_1484.htm")</f>
        <v>http://collections.slsa.sa.gov.au/arthur/01500/BRG347_1484.htm</v>
      </c>
    </row>
    <row r="2686" spans="1:11" x14ac:dyDescent="0.25">
      <c r="A2686" t="s">
        <v>9538</v>
      </c>
      <c r="B2686" s="1" t="str">
        <f>HYPERLINK("https://www.catalog.slsa.sa.gov.au/record=b2110765")</f>
        <v>https://www.catalog.slsa.sa.gov.au/record=b2110765</v>
      </c>
      <c r="C2686" s="1" t="str">
        <f>HYPERLINK("https://www.catalog.slsa.sa.gov.au/xrecord=b2110765")</f>
        <v>https://www.catalog.slsa.sa.gov.au/xrecord=b2110765</v>
      </c>
      <c r="D2686" t="s">
        <v>66</v>
      </c>
      <c r="E2686" t="s">
        <v>9432</v>
      </c>
      <c r="F2686">
        <v>1959</v>
      </c>
      <c r="G2686" t="s">
        <v>121</v>
      </c>
      <c r="H2686" t="s">
        <v>9539</v>
      </c>
      <c r="I2686" t="s">
        <v>9540</v>
      </c>
      <c r="J2686" t="s">
        <v>71</v>
      </c>
      <c r="K2686" s="2" t="str">
        <f>HYPERLINK("http://collections.slsa.sa.gov.au/arthur/01500/BRG347_1485.htm")</f>
        <v>http://collections.slsa.sa.gov.au/arthur/01500/BRG347_1485.htm</v>
      </c>
    </row>
    <row r="2687" spans="1:11" x14ac:dyDescent="0.25">
      <c r="A2687" t="s">
        <v>9541</v>
      </c>
      <c r="B2687" s="1" t="str">
        <f>HYPERLINK("https://www.catalog.slsa.sa.gov.au/record=b2110766")</f>
        <v>https://www.catalog.slsa.sa.gov.au/record=b2110766</v>
      </c>
      <c r="C2687" s="1" t="str">
        <f>HYPERLINK("https://www.catalog.slsa.sa.gov.au/xrecord=b2110766")</f>
        <v>https://www.catalog.slsa.sa.gov.au/xrecord=b2110766</v>
      </c>
      <c r="D2687" t="s">
        <v>66</v>
      </c>
      <c r="E2687" t="s">
        <v>125</v>
      </c>
      <c r="F2687">
        <v>1959</v>
      </c>
      <c r="G2687" t="s">
        <v>121</v>
      </c>
      <c r="H2687" t="s">
        <v>9542</v>
      </c>
      <c r="I2687" t="s">
        <v>9543</v>
      </c>
      <c r="J2687" t="s">
        <v>71</v>
      </c>
      <c r="K2687" s="2" t="str">
        <f>HYPERLINK("http://collections.slsa.sa.gov.au/arthur/01500/BRG347_1486.htm")</f>
        <v>http://collections.slsa.sa.gov.au/arthur/01500/BRG347_1486.htm</v>
      </c>
    </row>
    <row r="2688" spans="1:11" x14ac:dyDescent="0.25">
      <c r="A2688" t="s">
        <v>9544</v>
      </c>
      <c r="B2688" s="1" t="str">
        <f>HYPERLINK("https://www.catalog.slsa.sa.gov.au/record=b2110767")</f>
        <v>https://www.catalog.slsa.sa.gov.au/record=b2110767</v>
      </c>
      <c r="C2688" s="1" t="str">
        <f>HYPERLINK("https://www.catalog.slsa.sa.gov.au/xrecord=b2110767")</f>
        <v>https://www.catalog.slsa.sa.gov.au/xrecord=b2110767</v>
      </c>
      <c r="D2688" t="s">
        <v>66</v>
      </c>
      <c r="E2688" t="s">
        <v>9519</v>
      </c>
      <c r="F2688">
        <v>1959</v>
      </c>
      <c r="G2688" t="s">
        <v>121</v>
      </c>
      <c r="H2688" t="s">
        <v>9545</v>
      </c>
      <c r="I2688" t="s">
        <v>9521</v>
      </c>
      <c r="J2688" t="s">
        <v>71</v>
      </c>
      <c r="K2688" s="2" t="str">
        <f>HYPERLINK("http://collections.slsa.sa.gov.au/arthur/01500/BRG347_1487.htm")</f>
        <v>http://collections.slsa.sa.gov.au/arthur/01500/BRG347_1487.htm</v>
      </c>
    </row>
    <row r="2689" spans="1:11" x14ac:dyDescent="0.25">
      <c r="A2689" t="s">
        <v>9546</v>
      </c>
      <c r="B2689" s="1" t="str">
        <f>HYPERLINK("https://www.catalog.slsa.sa.gov.au/record=b2110776")</f>
        <v>https://www.catalog.slsa.sa.gov.au/record=b2110776</v>
      </c>
      <c r="C2689" s="1" t="str">
        <f>HYPERLINK("https://www.catalog.slsa.sa.gov.au/xrecord=b2110776")</f>
        <v>https://www.catalog.slsa.sa.gov.au/xrecord=b2110776</v>
      </c>
      <c r="D2689" t="s">
        <v>66</v>
      </c>
      <c r="E2689" t="s">
        <v>9547</v>
      </c>
      <c r="F2689">
        <v>1959</v>
      </c>
      <c r="G2689" t="s">
        <v>121</v>
      </c>
      <c r="H2689" t="s">
        <v>9548</v>
      </c>
      <c r="I2689" t="s">
        <v>7614</v>
      </c>
      <c r="J2689" t="s">
        <v>71</v>
      </c>
      <c r="K2689" s="2" t="str">
        <f>HYPERLINK("http://collections.slsa.sa.gov.au/arthur/01500/BRG347_1496.htm")</f>
        <v>http://collections.slsa.sa.gov.au/arthur/01500/BRG347_1496.htm</v>
      </c>
    </row>
    <row r="2690" spans="1:11" x14ac:dyDescent="0.25">
      <c r="A2690" t="s">
        <v>9549</v>
      </c>
      <c r="B2690" s="1" t="str">
        <f>HYPERLINK("https://www.catalog.slsa.sa.gov.au/record=b2110777")</f>
        <v>https://www.catalog.slsa.sa.gov.au/record=b2110777</v>
      </c>
      <c r="C2690" s="1" t="str">
        <f>HYPERLINK("https://www.catalog.slsa.sa.gov.au/xrecord=b2110777")</f>
        <v>https://www.catalog.slsa.sa.gov.au/xrecord=b2110777</v>
      </c>
      <c r="D2690" t="s">
        <v>66</v>
      </c>
      <c r="E2690" t="s">
        <v>9550</v>
      </c>
      <c r="F2690">
        <v>1959</v>
      </c>
      <c r="G2690" t="s">
        <v>121</v>
      </c>
      <c r="H2690" t="s">
        <v>9551</v>
      </c>
      <c r="I2690" t="s">
        <v>9552</v>
      </c>
      <c r="J2690" t="s">
        <v>71</v>
      </c>
      <c r="K2690" s="2" t="str">
        <f>HYPERLINK("http://collections.slsa.sa.gov.au/arthur/01500/BRG347_1497.htm")</f>
        <v>http://collections.slsa.sa.gov.au/arthur/01500/BRG347_1497.htm</v>
      </c>
    </row>
    <row r="2691" spans="1:11" x14ac:dyDescent="0.25">
      <c r="A2691" t="s">
        <v>9553</v>
      </c>
      <c r="B2691" s="1" t="str">
        <f>HYPERLINK("https://www.catalog.slsa.sa.gov.au/record=b2110778")</f>
        <v>https://www.catalog.slsa.sa.gov.au/record=b2110778</v>
      </c>
      <c r="C2691" s="1" t="str">
        <f>HYPERLINK("https://www.catalog.slsa.sa.gov.au/xrecord=b2110778")</f>
        <v>https://www.catalog.slsa.sa.gov.au/xrecord=b2110778</v>
      </c>
      <c r="D2691" t="s">
        <v>66</v>
      </c>
      <c r="E2691" t="s">
        <v>9554</v>
      </c>
      <c r="F2691">
        <v>1959</v>
      </c>
      <c r="G2691" t="s">
        <v>121</v>
      </c>
      <c r="H2691" t="s">
        <v>9555</v>
      </c>
      <c r="I2691" t="s">
        <v>9556</v>
      </c>
      <c r="J2691" t="s">
        <v>71</v>
      </c>
      <c r="K2691" s="2" t="str">
        <f>HYPERLINK("http://collections.slsa.sa.gov.au/arthur/01500/BRG347_1498.htm")</f>
        <v>http://collections.slsa.sa.gov.au/arthur/01500/BRG347_1498.htm</v>
      </c>
    </row>
    <row r="2692" spans="1:11" x14ac:dyDescent="0.25">
      <c r="A2692" t="s">
        <v>9557</v>
      </c>
      <c r="B2692" s="1" t="str">
        <f>HYPERLINK("https://www.catalog.slsa.sa.gov.au/record=b2110779")</f>
        <v>https://www.catalog.slsa.sa.gov.au/record=b2110779</v>
      </c>
      <c r="C2692" s="1" t="str">
        <f>HYPERLINK("https://www.catalog.slsa.sa.gov.au/xrecord=b2110779")</f>
        <v>https://www.catalog.slsa.sa.gov.au/xrecord=b2110779</v>
      </c>
      <c r="D2692" t="s">
        <v>66</v>
      </c>
      <c r="E2692" t="s">
        <v>9554</v>
      </c>
      <c r="F2692">
        <v>1959</v>
      </c>
      <c r="G2692" t="s">
        <v>121</v>
      </c>
      <c r="H2692" t="s">
        <v>9558</v>
      </c>
      <c r="I2692" t="s">
        <v>9559</v>
      </c>
      <c r="J2692" t="s">
        <v>71</v>
      </c>
      <c r="K2692" s="2" t="str">
        <f>HYPERLINK("http://collections.slsa.sa.gov.au/arthur/01500/BRG347_1499.htm")</f>
        <v>http://collections.slsa.sa.gov.au/arthur/01500/BRG347_1499.htm</v>
      </c>
    </row>
    <row r="2693" spans="1:11" x14ac:dyDescent="0.25">
      <c r="A2693" t="s">
        <v>9560</v>
      </c>
      <c r="B2693" s="1" t="str">
        <f>HYPERLINK("https://www.catalog.slsa.sa.gov.au/record=b2110780")</f>
        <v>https://www.catalog.slsa.sa.gov.au/record=b2110780</v>
      </c>
      <c r="C2693" s="1" t="str">
        <f>HYPERLINK("https://www.catalog.slsa.sa.gov.au/xrecord=b2110780")</f>
        <v>https://www.catalog.slsa.sa.gov.au/xrecord=b2110780</v>
      </c>
      <c r="D2693" t="s">
        <v>66</v>
      </c>
      <c r="E2693" t="s">
        <v>9554</v>
      </c>
      <c r="F2693">
        <v>1959</v>
      </c>
      <c r="G2693" t="s">
        <v>121</v>
      </c>
      <c r="H2693" t="s">
        <v>9558</v>
      </c>
      <c r="I2693" t="s">
        <v>9559</v>
      </c>
      <c r="J2693" t="s">
        <v>71</v>
      </c>
      <c r="K2693" s="2" t="str">
        <f>HYPERLINK("http://collections.slsa.sa.gov.au/arthur/01500/BRG347_1500.htm")</f>
        <v>http://collections.slsa.sa.gov.au/arthur/01500/BRG347_1500.htm</v>
      </c>
    </row>
    <row r="2694" spans="1:11" x14ac:dyDescent="0.25">
      <c r="A2694" t="s">
        <v>9561</v>
      </c>
      <c r="B2694" s="1" t="str">
        <f>HYPERLINK("https://www.catalog.slsa.sa.gov.au/record=b2110781")</f>
        <v>https://www.catalog.slsa.sa.gov.au/record=b2110781</v>
      </c>
      <c r="C2694" s="1" t="str">
        <f>HYPERLINK("https://www.catalog.slsa.sa.gov.au/xrecord=b2110781")</f>
        <v>https://www.catalog.slsa.sa.gov.au/xrecord=b2110781</v>
      </c>
      <c r="D2694" t="s">
        <v>66</v>
      </c>
      <c r="E2694" t="s">
        <v>9562</v>
      </c>
      <c r="F2694">
        <v>1959</v>
      </c>
      <c r="G2694" t="s">
        <v>121</v>
      </c>
      <c r="H2694" t="s">
        <v>9563</v>
      </c>
      <c r="I2694" t="s">
        <v>9564</v>
      </c>
      <c r="J2694" t="s">
        <v>71</v>
      </c>
      <c r="K2694" s="2" t="str">
        <f>HYPERLINK("http://collections.slsa.sa.gov.au/arthur/01750/BRG347_1501.htm")</f>
        <v>http://collections.slsa.sa.gov.au/arthur/01750/BRG347_1501.htm</v>
      </c>
    </row>
    <row r="2695" spans="1:11" x14ac:dyDescent="0.25">
      <c r="A2695" t="s">
        <v>9565</v>
      </c>
      <c r="B2695" s="1" t="str">
        <f>HYPERLINK("https://www.catalog.slsa.sa.gov.au/record=b2110782")</f>
        <v>https://www.catalog.slsa.sa.gov.au/record=b2110782</v>
      </c>
      <c r="C2695" s="1" t="str">
        <f>HYPERLINK("https://www.catalog.slsa.sa.gov.au/xrecord=b2110782")</f>
        <v>https://www.catalog.slsa.sa.gov.au/xrecord=b2110782</v>
      </c>
      <c r="D2695" t="s">
        <v>66</v>
      </c>
      <c r="E2695" t="s">
        <v>9566</v>
      </c>
      <c r="F2695">
        <v>1959</v>
      </c>
      <c r="G2695" t="s">
        <v>121</v>
      </c>
      <c r="H2695" t="s">
        <v>9567</v>
      </c>
      <c r="I2695" t="s">
        <v>9559</v>
      </c>
      <c r="J2695" t="s">
        <v>71</v>
      </c>
      <c r="K2695" s="2" t="str">
        <f>HYPERLINK("http://collections.slsa.sa.gov.au/arthur/01750/BRG347_1502.htm")</f>
        <v>http://collections.slsa.sa.gov.au/arthur/01750/BRG347_1502.htm</v>
      </c>
    </row>
    <row r="2696" spans="1:11" x14ac:dyDescent="0.25">
      <c r="A2696" t="s">
        <v>9568</v>
      </c>
      <c r="B2696" s="1" t="str">
        <f>HYPERLINK("https://www.catalog.slsa.sa.gov.au/record=b2110783")</f>
        <v>https://www.catalog.slsa.sa.gov.au/record=b2110783</v>
      </c>
      <c r="C2696" s="1" t="str">
        <f>HYPERLINK("https://www.catalog.slsa.sa.gov.au/xrecord=b2110783")</f>
        <v>https://www.catalog.slsa.sa.gov.au/xrecord=b2110783</v>
      </c>
      <c r="D2696" t="s">
        <v>66</v>
      </c>
      <c r="E2696" t="s">
        <v>9566</v>
      </c>
      <c r="F2696">
        <v>1959</v>
      </c>
      <c r="G2696" t="s">
        <v>121</v>
      </c>
      <c r="H2696" t="s">
        <v>9567</v>
      </c>
      <c r="I2696" t="s">
        <v>9559</v>
      </c>
      <c r="J2696" t="s">
        <v>71</v>
      </c>
      <c r="K2696" s="2" t="str">
        <f>HYPERLINK("http://collections.slsa.sa.gov.au/arthur/01750/BRG347_1503.htm")</f>
        <v>http://collections.slsa.sa.gov.au/arthur/01750/BRG347_1503.htm</v>
      </c>
    </row>
    <row r="2697" spans="1:11" x14ac:dyDescent="0.25">
      <c r="A2697" t="s">
        <v>9569</v>
      </c>
      <c r="B2697" s="1" t="str">
        <f>HYPERLINK("https://www.catalog.slsa.sa.gov.au/record=b2110784")</f>
        <v>https://www.catalog.slsa.sa.gov.au/record=b2110784</v>
      </c>
      <c r="C2697" s="1" t="str">
        <f>HYPERLINK("https://www.catalog.slsa.sa.gov.au/xrecord=b2110784")</f>
        <v>https://www.catalog.slsa.sa.gov.au/xrecord=b2110784</v>
      </c>
      <c r="D2697" t="s">
        <v>66</v>
      </c>
      <c r="E2697" t="s">
        <v>9570</v>
      </c>
      <c r="F2697">
        <v>1959</v>
      </c>
      <c r="G2697" t="s">
        <v>121</v>
      </c>
      <c r="H2697" t="s">
        <v>9571</v>
      </c>
      <c r="I2697" t="s">
        <v>9572</v>
      </c>
      <c r="J2697" t="s">
        <v>71</v>
      </c>
      <c r="K2697" s="2" t="str">
        <f>HYPERLINK("http://collections.slsa.sa.gov.au/arthur/01750/BRG347_1504.htm")</f>
        <v>http://collections.slsa.sa.gov.au/arthur/01750/BRG347_1504.htm</v>
      </c>
    </row>
    <row r="2698" spans="1:11" x14ac:dyDescent="0.25">
      <c r="A2698" t="s">
        <v>9573</v>
      </c>
      <c r="B2698" s="1" t="str">
        <f>HYPERLINK("https://www.catalog.slsa.sa.gov.au/record=b2110785")</f>
        <v>https://www.catalog.slsa.sa.gov.au/record=b2110785</v>
      </c>
      <c r="C2698" s="1" t="str">
        <f>HYPERLINK("https://www.catalog.slsa.sa.gov.au/xrecord=b2110785")</f>
        <v>https://www.catalog.slsa.sa.gov.au/xrecord=b2110785</v>
      </c>
      <c r="D2698" t="s">
        <v>66</v>
      </c>
      <c r="E2698" t="s">
        <v>9574</v>
      </c>
      <c r="F2698">
        <v>1959</v>
      </c>
      <c r="G2698" t="s">
        <v>121</v>
      </c>
      <c r="H2698" t="s">
        <v>9575</v>
      </c>
      <c r="I2698" t="s">
        <v>9576</v>
      </c>
      <c r="J2698" t="s">
        <v>71</v>
      </c>
      <c r="K2698" s="2" t="str">
        <f>HYPERLINK("http://collections.slsa.sa.gov.au/arthur/01750/BRG347_1505.htm")</f>
        <v>http://collections.slsa.sa.gov.au/arthur/01750/BRG347_1505.htm</v>
      </c>
    </row>
    <row r="2699" spans="1:11" x14ac:dyDescent="0.25">
      <c r="A2699" t="s">
        <v>9577</v>
      </c>
      <c r="B2699" s="1" t="str">
        <f>HYPERLINK("https://www.catalog.slsa.sa.gov.au/record=b2110786")</f>
        <v>https://www.catalog.slsa.sa.gov.au/record=b2110786</v>
      </c>
      <c r="C2699" s="1" t="str">
        <f>HYPERLINK("https://www.catalog.slsa.sa.gov.au/xrecord=b2110786")</f>
        <v>https://www.catalog.slsa.sa.gov.au/xrecord=b2110786</v>
      </c>
      <c r="D2699" t="s">
        <v>66</v>
      </c>
      <c r="E2699" t="s">
        <v>9570</v>
      </c>
      <c r="F2699">
        <v>1959</v>
      </c>
      <c r="G2699" t="s">
        <v>121</v>
      </c>
      <c r="H2699" t="s">
        <v>9578</v>
      </c>
      <c r="I2699" t="s">
        <v>9572</v>
      </c>
      <c r="J2699" t="s">
        <v>71</v>
      </c>
      <c r="K2699" s="2" t="str">
        <f>HYPERLINK("http://collections.slsa.sa.gov.au/arthur/01750/BRG347_1506.htm")</f>
        <v>http://collections.slsa.sa.gov.au/arthur/01750/BRG347_1506.htm</v>
      </c>
    </row>
    <row r="2700" spans="1:11" x14ac:dyDescent="0.25">
      <c r="A2700" t="s">
        <v>9579</v>
      </c>
      <c r="B2700" s="1" t="str">
        <f>HYPERLINK("https://www.catalog.slsa.sa.gov.au/record=b2110787")</f>
        <v>https://www.catalog.slsa.sa.gov.au/record=b2110787</v>
      </c>
      <c r="C2700" s="1" t="str">
        <f>HYPERLINK("https://www.catalog.slsa.sa.gov.au/xrecord=b2110787")</f>
        <v>https://www.catalog.slsa.sa.gov.au/xrecord=b2110787</v>
      </c>
      <c r="D2700" t="s">
        <v>66</v>
      </c>
      <c r="E2700" t="s">
        <v>9570</v>
      </c>
      <c r="F2700">
        <v>1959</v>
      </c>
      <c r="G2700" t="s">
        <v>121</v>
      </c>
      <c r="H2700" t="s">
        <v>9580</v>
      </c>
      <c r="I2700" t="s">
        <v>9572</v>
      </c>
      <c r="J2700" t="s">
        <v>71</v>
      </c>
      <c r="K2700" s="2" t="str">
        <f>HYPERLINK("http://collections.slsa.sa.gov.au/arthur/01750/BRG347_1507.htm")</f>
        <v>http://collections.slsa.sa.gov.au/arthur/01750/BRG347_1507.htm</v>
      </c>
    </row>
    <row r="2701" spans="1:11" x14ac:dyDescent="0.25">
      <c r="A2701" t="s">
        <v>9581</v>
      </c>
      <c r="B2701" s="1" t="str">
        <f>HYPERLINK("https://www.catalog.slsa.sa.gov.au/record=b2110788")</f>
        <v>https://www.catalog.slsa.sa.gov.au/record=b2110788</v>
      </c>
      <c r="C2701" s="1" t="str">
        <f>HYPERLINK("https://www.catalog.slsa.sa.gov.au/xrecord=b2110788")</f>
        <v>https://www.catalog.slsa.sa.gov.au/xrecord=b2110788</v>
      </c>
      <c r="D2701" t="s">
        <v>66</v>
      </c>
      <c r="E2701" t="s">
        <v>9582</v>
      </c>
      <c r="F2701">
        <v>1959</v>
      </c>
      <c r="G2701" t="s">
        <v>121</v>
      </c>
      <c r="H2701" t="s">
        <v>9583</v>
      </c>
      <c r="I2701" t="s">
        <v>1705</v>
      </c>
      <c r="J2701" t="s">
        <v>71</v>
      </c>
      <c r="K2701" s="2" t="str">
        <f>HYPERLINK("http://collections.slsa.sa.gov.au/arthur/01750/BRG347_1508.htm")</f>
        <v>http://collections.slsa.sa.gov.au/arthur/01750/BRG347_1508.htm</v>
      </c>
    </row>
    <row r="2702" spans="1:11" x14ac:dyDescent="0.25">
      <c r="A2702" t="s">
        <v>9584</v>
      </c>
      <c r="B2702" s="1" t="str">
        <f>HYPERLINK("https://www.catalog.slsa.sa.gov.au/record=b2110789")</f>
        <v>https://www.catalog.slsa.sa.gov.au/record=b2110789</v>
      </c>
      <c r="C2702" s="1" t="str">
        <f>HYPERLINK("https://www.catalog.slsa.sa.gov.au/xrecord=b2110789")</f>
        <v>https://www.catalog.slsa.sa.gov.au/xrecord=b2110789</v>
      </c>
      <c r="D2702" t="s">
        <v>66</v>
      </c>
      <c r="E2702" t="s">
        <v>9570</v>
      </c>
      <c r="F2702">
        <v>1959</v>
      </c>
      <c r="G2702" t="s">
        <v>121</v>
      </c>
      <c r="H2702" t="s">
        <v>9585</v>
      </c>
      <c r="I2702" t="s">
        <v>9572</v>
      </c>
      <c r="J2702" t="s">
        <v>71</v>
      </c>
      <c r="K2702" s="2" t="str">
        <f>HYPERLINK("http://collections.slsa.sa.gov.au/arthur/01750/BRG347_1509.htm")</f>
        <v>http://collections.slsa.sa.gov.au/arthur/01750/BRG347_1509.htm</v>
      </c>
    </row>
    <row r="2703" spans="1:11" x14ac:dyDescent="0.25">
      <c r="A2703" t="s">
        <v>9586</v>
      </c>
      <c r="B2703" s="1" t="str">
        <f>HYPERLINK("https://www.catalog.slsa.sa.gov.au/record=b2110790")</f>
        <v>https://www.catalog.slsa.sa.gov.au/record=b2110790</v>
      </c>
      <c r="C2703" s="1" t="str">
        <f>HYPERLINK("https://www.catalog.slsa.sa.gov.au/xrecord=b2110790")</f>
        <v>https://www.catalog.slsa.sa.gov.au/xrecord=b2110790</v>
      </c>
      <c r="D2703" t="s">
        <v>66</v>
      </c>
      <c r="E2703" t="s">
        <v>9570</v>
      </c>
      <c r="F2703">
        <v>1959</v>
      </c>
      <c r="G2703" t="s">
        <v>121</v>
      </c>
      <c r="H2703" t="s">
        <v>9587</v>
      </c>
      <c r="I2703" t="s">
        <v>9572</v>
      </c>
      <c r="J2703" t="s">
        <v>71</v>
      </c>
      <c r="K2703" s="2" t="str">
        <f>HYPERLINK("http://collections.slsa.sa.gov.au/arthur/01750/BRG347_1510.htm")</f>
        <v>http://collections.slsa.sa.gov.au/arthur/01750/BRG347_1510.htm</v>
      </c>
    </row>
    <row r="2704" spans="1:11" x14ac:dyDescent="0.25">
      <c r="A2704" t="s">
        <v>9588</v>
      </c>
      <c r="B2704" s="1" t="str">
        <f>HYPERLINK("https://www.catalog.slsa.sa.gov.au/record=b2110791")</f>
        <v>https://www.catalog.slsa.sa.gov.au/record=b2110791</v>
      </c>
      <c r="C2704" s="1" t="str">
        <f>HYPERLINK("https://www.catalog.slsa.sa.gov.au/xrecord=b2110791")</f>
        <v>https://www.catalog.slsa.sa.gov.au/xrecord=b2110791</v>
      </c>
      <c r="D2704" t="s">
        <v>66</v>
      </c>
      <c r="E2704" t="s">
        <v>9570</v>
      </c>
      <c r="F2704">
        <v>1959</v>
      </c>
      <c r="G2704" t="s">
        <v>121</v>
      </c>
      <c r="H2704" t="s">
        <v>9589</v>
      </c>
      <c r="I2704" t="s">
        <v>9572</v>
      </c>
      <c r="J2704" t="s">
        <v>71</v>
      </c>
      <c r="K2704" s="2" t="str">
        <f>HYPERLINK("http://collections.slsa.sa.gov.au/arthur/01750/BRG347_1511.htm")</f>
        <v>http://collections.slsa.sa.gov.au/arthur/01750/BRG347_1511.htm</v>
      </c>
    </row>
    <row r="2705" spans="1:11" x14ac:dyDescent="0.25">
      <c r="A2705" t="s">
        <v>9590</v>
      </c>
      <c r="B2705" s="1" t="str">
        <f>HYPERLINK("https://www.catalog.slsa.sa.gov.au/record=b2110792")</f>
        <v>https://www.catalog.slsa.sa.gov.au/record=b2110792</v>
      </c>
      <c r="C2705" s="1" t="str">
        <f>HYPERLINK("https://www.catalog.slsa.sa.gov.au/xrecord=b2110792")</f>
        <v>https://www.catalog.slsa.sa.gov.au/xrecord=b2110792</v>
      </c>
      <c r="D2705" t="s">
        <v>66</v>
      </c>
      <c r="E2705" t="s">
        <v>9570</v>
      </c>
      <c r="F2705">
        <v>1959</v>
      </c>
      <c r="G2705" t="s">
        <v>121</v>
      </c>
      <c r="H2705" t="s">
        <v>9591</v>
      </c>
      <c r="I2705" t="s">
        <v>9572</v>
      </c>
      <c r="J2705" t="s">
        <v>71</v>
      </c>
      <c r="K2705" s="2" t="str">
        <f>HYPERLINK("http://collections.slsa.sa.gov.au/arthur/01750/BRG347_1512.htm")</f>
        <v>http://collections.slsa.sa.gov.au/arthur/01750/BRG347_1512.htm</v>
      </c>
    </row>
    <row r="2706" spans="1:11" x14ac:dyDescent="0.25">
      <c r="A2706" t="s">
        <v>9592</v>
      </c>
      <c r="B2706" s="1" t="str">
        <f>HYPERLINK("https://www.catalog.slsa.sa.gov.au/record=b2110793")</f>
        <v>https://www.catalog.slsa.sa.gov.au/record=b2110793</v>
      </c>
      <c r="C2706" s="1" t="str">
        <f>HYPERLINK("https://www.catalog.slsa.sa.gov.au/xrecord=b2110793")</f>
        <v>https://www.catalog.slsa.sa.gov.au/xrecord=b2110793</v>
      </c>
      <c r="D2706" t="s">
        <v>66</v>
      </c>
      <c r="E2706" t="s">
        <v>9570</v>
      </c>
      <c r="F2706">
        <v>1959</v>
      </c>
      <c r="G2706" t="s">
        <v>121</v>
      </c>
      <c r="H2706" t="s">
        <v>9593</v>
      </c>
      <c r="I2706" t="s">
        <v>9572</v>
      </c>
      <c r="J2706" t="s">
        <v>71</v>
      </c>
      <c r="K2706" s="2" t="str">
        <f>HYPERLINK("http://collections.slsa.sa.gov.au/arthur/01750/BRG347_1513.htm")</f>
        <v>http://collections.slsa.sa.gov.au/arthur/01750/BRG347_1513.htm</v>
      </c>
    </row>
    <row r="2707" spans="1:11" x14ac:dyDescent="0.25">
      <c r="A2707" t="s">
        <v>9594</v>
      </c>
      <c r="B2707" s="1" t="str">
        <f>HYPERLINK("https://www.catalog.slsa.sa.gov.au/record=b2110794")</f>
        <v>https://www.catalog.slsa.sa.gov.au/record=b2110794</v>
      </c>
      <c r="C2707" s="1" t="str">
        <f>HYPERLINK("https://www.catalog.slsa.sa.gov.au/xrecord=b2110794")</f>
        <v>https://www.catalog.slsa.sa.gov.au/xrecord=b2110794</v>
      </c>
      <c r="D2707" t="s">
        <v>66</v>
      </c>
      <c r="E2707" t="s">
        <v>9570</v>
      </c>
      <c r="F2707">
        <v>1959</v>
      </c>
      <c r="G2707" t="s">
        <v>121</v>
      </c>
      <c r="H2707" t="s">
        <v>9595</v>
      </c>
      <c r="I2707" t="s">
        <v>9572</v>
      </c>
      <c r="J2707" t="s">
        <v>71</v>
      </c>
      <c r="K2707" s="2" t="str">
        <f>HYPERLINK("http://collections.slsa.sa.gov.au/arthur/01750/BRG347_1514.htm")</f>
        <v>http://collections.slsa.sa.gov.au/arthur/01750/BRG347_1514.htm</v>
      </c>
    </row>
    <row r="2708" spans="1:11" x14ac:dyDescent="0.25">
      <c r="A2708" t="s">
        <v>9596</v>
      </c>
      <c r="B2708" s="1" t="str">
        <f>HYPERLINK("https://www.catalog.slsa.sa.gov.au/record=b2110795")</f>
        <v>https://www.catalog.slsa.sa.gov.au/record=b2110795</v>
      </c>
      <c r="C2708" s="1" t="str">
        <f>HYPERLINK("https://www.catalog.slsa.sa.gov.au/xrecord=b2110795")</f>
        <v>https://www.catalog.slsa.sa.gov.au/xrecord=b2110795</v>
      </c>
      <c r="D2708" t="s">
        <v>66</v>
      </c>
      <c r="E2708" t="s">
        <v>9582</v>
      </c>
      <c r="F2708">
        <v>1959</v>
      </c>
      <c r="G2708" t="s">
        <v>121</v>
      </c>
      <c r="H2708" t="s">
        <v>9597</v>
      </c>
      <c r="I2708" t="s">
        <v>1705</v>
      </c>
      <c r="J2708" t="s">
        <v>71</v>
      </c>
      <c r="K2708" s="2" t="str">
        <f>HYPERLINK("http://collections.slsa.sa.gov.au/arthur/01750/BRG347_1515.htm")</f>
        <v>http://collections.slsa.sa.gov.au/arthur/01750/BRG347_1515.htm</v>
      </c>
    </row>
    <row r="2709" spans="1:11" x14ac:dyDescent="0.25">
      <c r="A2709" t="s">
        <v>9598</v>
      </c>
      <c r="B2709" s="1" t="str">
        <f>HYPERLINK("https://www.catalog.slsa.sa.gov.au/record=b2110796")</f>
        <v>https://www.catalog.slsa.sa.gov.au/record=b2110796</v>
      </c>
      <c r="C2709" s="1" t="str">
        <f>HYPERLINK("https://www.catalog.slsa.sa.gov.au/xrecord=b2110796")</f>
        <v>https://www.catalog.slsa.sa.gov.au/xrecord=b2110796</v>
      </c>
      <c r="D2709" t="s">
        <v>66</v>
      </c>
      <c r="E2709" t="s">
        <v>9582</v>
      </c>
      <c r="F2709">
        <v>1959</v>
      </c>
      <c r="G2709" t="s">
        <v>121</v>
      </c>
      <c r="H2709" t="s">
        <v>9597</v>
      </c>
      <c r="I2709" t="s">
        <v>1705</v>
      </c>
      <c r="J2709" t="s">
        <v>71</v>
      </c>
      <c r="K2709" s="2" t="str">
        <f>HYPERLINK("http://collections.slsa.sa.gov.au/arthur/01750/BRG347_1516.htm")</f>
        <v>http://collections.slsa.sa.gov.au/arthur/01750/BRG347_1516.htm</v>
      </c>
    </row>
    <row r="2710" spans="1:11" x14ac:dyDescent="0.25">
      <c r="A2710" t="s">
        <v>9599</v>
      </c>
      <c r="B2710" s="1" t="str">
        <f>HYPERLINK("https://www.catalog.slsa.sa.gov.au/record=b2110797")</f>
        <v>https://www.catalog.slsa.sa.gov.au/record=b2110797</v>
      </c>
      <c r="C2710" s="1" t="str">
        <f>HYPERLINK("https://www.catalog.slsa.sa.gov.au/xrecord=b2110797")</f>
        <v>https://www.catalog.slsa.sa.gov.au/xrecord=b2110797</v>
      </c>
      <c r="D2710" t="s">
        <v>66</v>
      </c>
      <c r="E2710" t="s">
        <v>9600</v>
      </c>
      <c r="F2710">
        <v>1959</v>
      </c>
      <c r="G2710" t="s">
        <v>121</v>
      </c>
      <c r="H2710" t="s">
        <v>9601</v>
      </c>
      <c r="I2710" t="s">
        <v>1705</v>
      </c>
      <c r="J2710" t="s">
        <v>71</v>
      </c>
      <c r="K2710" s="2" t="str">
        <f>HYPERLINK("http://collections.slsa.sa.gov.au/arthur/01750/BRG347_1517.htm")</f>
        <v>http://collections.slsa.sa.gov.au/arthur/01750/BRG347_1517.htm</v>
      </c>
    </row>
    <row r="2711" spans="1:11" x14ac:dyDescent="0.25">
      <c r="A2711" t="s">
        <v>9602</v>
      </c>
      <c r="B2711" s="1" t="str">
        <f>HYPERLINK("https://www.catalog.slsa.sa.gov.au/record=b2110798")</f>
        <v>https://www.catalog.slsa.sa.gov.au/record=b2110798</v>
      </c>
      <c r="C2711" s="1" t="str">
        <f>HYPERLINK("https://www.catalog.slsa.sa.gov.au/xrecord=b2110798")</f>
        <v>https://www.catalog.slsa.sa.gov.au/xrecord=b2110798</v>
      </c>
      <c r="D2711" t="s">
        <v>66</v>
      </c>
      <c r="E2711" t="s">
        <v>9603</v>
      </c>
      <c r="F2711">
        <v>1959</v>
      </c>
      <c r="G2711" t="s">
        <v>121</v>
      </c>
      <c r="H2711" t="s">
        <v>9604</v>
      </c>
      <c r="I2711" t="s">
        <v>1705</v>
      </c>
      <c r="J2711" t="s">
        <v>71</v>
      </c>
      <c r="K2711" s="2" t="str">
        <f>HYPERLINK("http://collections.slsa.sa.gov.au/arthur/01750/BRG347_1518.htm")</f>
        <v>http://collections.slsa.sa.gov.au/arthur/01750/BRG347_1518.htm</v>
      </c>
    </row>
    <row r="2712" spans="1:11" x14ac:dyDescent="0.25">
      <c r="A2712" t="s">
        <v>9605</v>
      </c>
      <c r="B2712" s="1" t="str">
        <f>HYPERLINK("https://www.catalog.slsa.sa.gov.au/record=b2110799")</f>
        <v>https://www.catalog.slsa.sa.gov.au/record=b2110799</v>
      </c>
      <c r="C2712" s="1" t="str">
        <f>HYPERLINK("https://www.catalog.slsa.sa.gov.au/xrecord=b2110799")</f>
        <v>https://www.catalog.slsa.sa.gov.au/xrecord=b2110799</v>
      </c>
      <c r="D2712" t="s">
        <v>66</v>
      </c>
      <c r="E2712" t="s">
        <v>9606</v>
      </c>
      <c r="F2712">
        <v>1959</v>
      </c>
      <c r="G2712" t="s">
        <v>121</v>
      </c>
      <c r="H2712" t="s">
        <v>9607</v>
      </c>
      <c r="I2712" t="s">
        <v>9608</v>
      </c>
      <c r="J2712" t="s">
        <v>71</v>
      </c>
      <c r="K2712" s="2" t="str">
        <f>HYPERLINK("http://collections.slsa.sa.gov.au/arthur/01750/BRG347_1519.htm")</f>
        <v>http://collections.slsa.sa.gov.au/arthur/01750/BRG347_1519.htm</v>
      </c>
    </row>
    <row r="2713" spans="1:11" x14ac:dyDescent="0.25">
      <c r="A2713" t="s">
        <v>9609</v>
      </c>
      <c r="B2713" s="1" t="str">
        <f>HYPERLINK("https://www.catalog.slsa.sa.gov.au/record=b2110804")</f>
        <v>https://www.catalog.slsa.sa.gov.au/record=b2110804</v>
      </c>
      <c r="C2713" s="1" t="str">
        <f>HYPERLINK("https://www.catalog.slsa.sa.gov.au/xrecord=b2110804")</f>
        <v>https://www.catalog.slsa.sa.gov.au/xrecord=b2110804</v>
      </c>
      <c r="D2713" t="s">
        <v>66</v>
      </c>
      <c r="E2713" t="s">
        <v>9603</v>
      </c>
      <c r="F2713">
        <v>1959</v>
      </c>
      <c r="G2713" t="s">
        <v>121</v>
      </c>
      <c r="H2713" t="s">
        <v>9610</v>
      </c>
      <c r="I2713" t="s">
        <v>1705</v>
      </c>
      <c r="J2713" t="s">
        <v>71</v>
      </c>
      <c r="K2713" s="2" t="str">
        <f>HYPERLINK("http://collections.slsa.sa.gov.au/arthur/01750/BRG347_1524.htm")</f>
        <v>http://collections.slsa.sa.gov.au/arthur/01750/BRG347_1524.htm</v>
      </c>
    </row>
    <row r="2714" spans="1:11" x14ac:dyDescent="0.25">
      <c r="A2714" t="s">
        <v>9611</v>
      </c>
      <c r="B2714" s="1" t="str">
        <f>HYPERLINK("https://www.catalog.slsa.sa.gov.au/record=b2110805")</f>
        <v>https://www.catalog.slsa.sa.gov.au/record=b2110805</v>
      </c>
      <c r="C2714" s="1" t="str">
        <f>HYPERLINK("https://www.catalog.slsa.sa.gov.au/xrecord=b2110805")</f>
        <v>https://www.catalog.slsa.sa.gov.au/xrecord=b2110805</v>
      </c>
      <c r="D2714" t="s">
        <v>66</v>
      </c>
      <c r="E2714" t="s">
        <v>7445</v>
      </c>
      <c r="F2714">
        <v>1959</v>
      </c>
      <c r="G2714" t="s">
        <v>121</v>
      </c>
      <c r="H2714" t="s">
        <v>9612</v>
      </c>
      <c r="I2714" t="s">
        <v>9613</v>
      </c>
      <c r="J2714" t="s">
        <v>71</v>
      </c>
      <c r="K2714" s="2" t="str">
        <f>HYPERLINK("http://collections.slsa.sa.gov.au/arthur/01750/BRG347_1525.htm")</f>
        <v>http://collections.slsa.sa.gov.au/arthur/01750/BRG347_1525.htm</v>
      </c>
    </row>
    <row r="2715" spans="1:11" x14ac:dyDescent="0.25">
      <c r="A2715" t="s">
        <v>9614</v>
      </c>
      <c r="B2715" s="1" t="str">
        <f>HYPERLINK("https://www.catalog.slsa.sa.gov.au/record=b2110806")</f>
        <v>https://www.catalog.slsa.sa.gov.au/record=b2110806</v>
      </c>
      <c r="C2715" s="1" t="str">
        <f>HYPERLINK("https://www.catalog.slsa.sa.gov.au/xrecord=b2110806")</f>
        <v>https://www.catalog.slsa.sa.gov.au/xrecord=b2110806</v>
      </c>
      <c r="D2715" t="s">
        <v>66</v>
      </c>
      <c r="E2715" t="s">
        <v>9615</v>
      </c>
      <c r="F2715">
        <v>1959</v>
      </c>
      <c r="G2715" t="s">
        <v>121</v>
      </c>
      <c r="H2715" t="s">
        <v>9616</v>
      </c>
      <c r="I2715" t="s">
        <v>9617</v>
      </c>
      <c r="J2715" t="s">
        <v>71</v>
      </c>
      <c r="K2715" s="2" t="str">
        <f>HYPERLINK("http://collections.slsa.sa.gov.au/arthur/01750/BRG347_1526.htm")</f>
        <v>http://collections.slsa.sa.gov.au/arthur/01750/BRG347_1526.htm</v>
      </c>
    </row>
    <row r="2716" spans="1:11" x14ac:dyDescent="0.25">
      <c r="A2716" t="s">
        <v>9618</v>
      </c>
      <c r="B2716" s="1" t="str">
        <f>HYPERLINK("https://www.catalog.slsa.sa.gov.au/record=b2110807")</f>
        <v>https://www.catalog.slsa.sa.gov.au/record=b2110807</v>
      </c>
      <c r="C2716" s="1" t="str">
        <f>HYPERLINK("https://www.catalog.slsa.sa.gov.au/xrecord=b2110807")</f>
        <v>https://www.catalog.slsa.sa.gov.au/xrecord=b2110807</v>
      </c>
      <c r="D2716" t="s">
        <v>66</v>
      </c>
      <c r="E2716" t="s">
        <v>9619</v>
      </c>
      <c r="F2716">
        <v>1959</v>
      </c>
      <c r="G2716" t="s">
        <v>121</v>
      </c>
      <c r="H2716" t="s">
        <v>9620</v>
      </c>
      <c r="I2716" t="s">
        <v>9621</v>
      </c>
      <c r="J2716" t="s">
        <v>71</v>
      </c>
      <c r="K2716" s="2" t="str">
        <f>HYPERLINK("http://collections.slsa.sa.gov.au/arthur/01750/BRG347_1527.htm")</f>
        <v>http://collections.slsa.sa.gov.au/arthur/01750/BRG347_1527.htm</v>
      </c>
    </row>
    <row r="2717" spans="1:11" x14ac:dyDescent="0.25">
      <c r="A2717" t="s">
        <v>9622</v>
      </c>
      <c r="B2717" s="1" t="str">
        <f>HYPERLINK("https://www.catalog.slsa.sa.gov.au/record=b2110808")</f>
        <v>https://www.catalog.slsa.sa.gov.au/record=b2110808</v>
      </c>
      <c r="C2717" s="1" t="str">
        <f>HYPERLINK("https://www.catalog.slsa.sa.gov.au/xrecord=b2110808")</f>
        <v>https://www.catalog.slsa.sa.gov.au/xrecord=b2110808</v>
      </c>
      <c r="D2717" t="s">
        <v>66</v>
      </c>
      <c r="E2717" t="s">
        <v>9623</v>
      </c>
      <c r="F2717">
        <v>1959</v>
      </c>
      <c r="G2717" t="s">
        <v>121</v>
      </c>
      <c r="H2717" t="s">
        <v>9624</v>
      </c>
      <c r="I2717" t="s">
        <v>9625</v>
      </c>
      <c r="J2717" t="s">
        <v>71</v>
      </c>
      <c r="K2717" s="2" t="str">
        <f>HYPERLINK("http://collections.slsa.sa.gov.au/arthur/01750/BRG347_1528.htm")</f>
        <v>http://collections.slsa.sa.gov.au/arthur/01750/BRG347_1528.htm</v>
      </c>
    </row>
    <row r="2718" spans="1:11" x14ac:dyDescent="0.25">
      <c r="A2718" t="s">
        <v>9626</v>
      </c>
      <c r="B2718" s="1" t="str">
        <f>HYPERLINK("https://www.catalog.slsa.sa.gov.au/record=b2110856")</f>
        <v>https://www.catalog.slsa.sa.gov.au/record=b2110856</v>
      </c>
      <c r="C2718" s="1" t="str">
        <f>HYPERLINK("https://www.catalog.slsa.sa.gov.au/xrecord=b2110856")</f>
        <v>https://www.catalog.slsa.sa.gov.au/xrecord=b2110856</v>
      </c>
      <c r="D2718" t="s">
        <v>66</v>
      </c>
      <c r="E2718" t="s">
        <v>9627</v>
      </c>
      <c r="F2718">
        <v>1959</v>
      </c>
      <c r="G2718" t="s">
        <v>121</v>
      </c>
      <c r="H2718" t="s">
        <v>9628</v>
      </c>
      <c r="I2718" t="s">
        <v>9629</v>
      </c>
      <c r="J2718" t="s">
        <v>71</v>
      </c>
      <c r="K2718" s="2" t="str">
        <f>HYPERLINK("http://collections.slsa.sa.gov.au/arthur/01750/BRG347_1577.htm")</f>
        <v>http://collections.slsa.sa.gov.au/arthur/01750/BRG347_1577.htm</v>
      </c>
    </row>
    <row r="2719" spans="1:11" x14ac:dyDescent="0.25">
      <c r="A2719" t="s">
        <v>9630</v>
      </c>
      <c r="B2719" s="1" t="str">
        <f>HYPERLINK("https://www.catalog.slsa.sa.gov.au/record=b2111010")</f>
        <v>https://www.catalog.slsa.sa.gov.au/record=b2111010</v>
      </c>
      <c r="C2719" s="1" t="str">
        <f>HYPERLINK("https://www.catalog.slsa.sa.gov.au/xrecord=b2111010")</f>
        <v>https://www.catalog.slsa.sa.gov.au/xrecord=b2111010</v>
      </c>
      <c r="D2719" t="s">
        <v>66</v>
      </c>
      <c r="E2719" t="s">
        <v>9631</v>
      </c>
      <c r="F2719">
        <v>1959</v>
      </c>
      <c r="G2719" t="s">
        <v>121</v>
      </c>
      <c r="H2719" t="s">
        <v>9632</v>
      </c>
      <c r="I2719" t="s">
        <v>9633</v>
      </c>
      <c r="J2719" t="s">
        <v>71</v>
      </c>
      <c r="K2719" s="2" t="str">
        <f>HYPERLINK("http://collections.slsa.sa.gov.au/arthur/01750/BRG347_1690.htm")</f>
        <v>http://collections.slsa.sa.gov.au/arthur/01750/BRG347_1690.htm</v>
      </c>
    </row>
    <row r="2720" spans="1:11" x14ac:dyDescent="0.25">
      <c r="A2720" t="s">
        <v>9634</v>
      </c>
      <c r="B2720" s="1" t="str">
        <f>HYPERLINK("https://www.catalog.slsa.sa.gov.au/record=b2111079")</f>
        <v>https://www.catalog.slsa.sa.gov.au/record=b2111079</v>
      </c>
      <c r="C2720" s="1" t="str">
        <f>HYPERLINK("https://www.catalog.slsa.sa.gov.au/xrecord=b2111079")</f>
        <v>https://www.catalog.slsa.sa.gov.au/xrecord=b2111079</v>
      </c>
      <c r="D2720" t="s">
        <v>66</v>
      </c>
      <c r="E2720" t="s">
        <v>9635</v>
      </c>
      <c r="F2720">
        <v>1959</v>
      </c>
      <c r="G2720" t="s">
        <v>121</v>
      </c>
      <c r="H2720" t="s">
        <v>9636</v>
      </c>
      <c r="I2720" t="s">
        <v>6335</v>
      </c>
      <c r="J2720" t="s">
        <v>71</v>
      </c>
      <c r="K2720" s="2" t="str">
        <f>HYPERLINK("http://collections.slsa.sa.gov.au/arthur/02000/BRG347_1760.htm")</f>
        <v>http://collections.slsa.sa.gov.au/arthur/02000/BRG347_1760.htm</v>
      </c>
    </row>
    <row r="2721" spans="1:11" x14ac:dyDescent="0.25">
      <c r="A2721" t="s">
        <v>9637</v>
      </c>
      <c r="B2721" s="1" t="str">
        <f>HYPERLINK("https://www.catalog.slsa.sa.gov.au/record=b2111080")</f>
        <v>https://www.catalog.slsa.sa.gov.au/record=b2111080</v>
      </c>
      <c r="C2721" s="1" t="str">
        <f>HYPERLINK("https://www.catalog.slsa.sa.gov.au/xrecord=b2111080")</f>
        <v>https://www.catalog.slsa.sa.gov.au/xrecord=b2111080</v>
      </c>
      <c r="D2721" t="s">
        <v>66</v>
      </c>
      <c r="E2721" t="s">
        <v>9635</v>
      </c>
      <c r="F2721">
        <v>1959</v>
      </c>
      <c r="G2721" t="s">
        <v>121</v>
      </c>
      <c r="H2721" t="s">
        <v>9638</v>
      </c>
      <c r="I2721" t="s">
        <v>6335</v>
      </c>
      <c r="J2721" t="s">
        <v>71</v>
      </c>
      <c r="K2721" s="2" t="str">
        <f>HYPERLINK("http://collections.slsa.sa.gov.au/arthur/02000/BRG347_1761.htm")</f>
        <v>http://collections.slsa.sa.gov.au/arthur/02000/BRG347_1761.htm</v>
      </c>
    </row>
    <row r="2722" spans="1:11" x14ac:dyDescent="0.25">
      <c r="A2722" t="s">
        <v>9639</v>
      </c>
      <c r="B2722" s="1" t="str">
        <f>HYPERLINK("https://www.catalog.slsa.sa.gov.au/record=b2111081")</f>
        <v>https://www.catalog.slsa.sa.gov.au/record=b2111081</v>
      </c>
      <c r="C2722" s="1" t="str">
        <f>HYPERLINK("https://www.catalog.slsa.sa.gov.au/xrecord=b2111081")</f>
        <v>https://www.catalog.slsa.sa.gov.au/xrecord=b2111081</v>
      </c>
      <c r="D2722" t="s">
        <v>66</v>
      </c>
      <c r="E2722" t="s">
        <v>9635</v>
      </c>
      <c r="F2722">
        <v>1959</v>
      </c>
      <c r="G2722" t="s">
        <v>121</v>
      </c>
      <c r="H2722" t="s">
        <v>9636</v>
      </c>
      <c r="I2722" t="s">
        <v>6335</v>
      </c>
      <c r="J2722" t="s">
        <v>71</v>
      </c>
      <c r="K2722" s="2" t="str">
        <f>HYPERLINK("http://collections.slsa.sa.gov.au/arthur/02000/BRG347_1762.htm")</f>
        <v>http://collections.slsa.sa.gov.au/arthur/02000/BRG347_1762.htm</v>
      </c>
    </row>
    <row r="2723" spans="1:11" x14ac:dyDescent="0.25">
      <c r="A2723" t="s">
        <v>9640</v>
      </c>
      <c r="B2723" s="1" t="str">
        <f>HYPERLINK("https://www.catalog.slsa.sa.gov.au/record=b2111082")</f>
        <v>https://www.catalog.slsa.sa.gov.au/record=b2111082</v>
      </c>
      <c r="C2723" s="1" t="str">
        <f>HYPERLINK("https://www.catalog.slsa.sa.gov.au/xrecord=b2111082")</f>
        <v>https://www.catalog.slsa.sa.gov.au/xrecord=b2111082</v>
      </c>
      <c r="D2723" t="s">
        <v>66</v>
      </c>
      <c r="E2723" t="s">
        <v>9635</v>
      </c>
      <c r="F2723">
        <v>1959</v>
      </c>
      <c r="G2723" t="s">
        <v>121</v>
      </c>
      <c r="H2723" t="s">
        <v>9636</v>
      </c>
      <c r="I2723" t="s">
        <v>6335</v>
      </c>
      <c r="J2723" t="s">
        <v>71</v>
      </c>
      <c r="K2723" s="2" t="str">
        <f>HYPERLINK("http://collections.slsa.sa.gov.au/arthur/02000/BRG347_1763.htm")</f>
        <v>http://collections.slsa.sa.gov.au/arthur/02000/BRG347_1763.htm</v>
      </c>
    </row>
    <row r="2724" spans="1:11" x14ac:dyDescent="0.25">
      <c r="A2724" t="s">
        <v>9641</v>
      </c>
      <c r="B2724" s="1" t="str">
        <f>HYPERLINK("https://www.catalog.slsa.sa.gov.au/record=b2111284")</f>
        <v>https://www.catalog.slsa.sa.gov.au/record=b2111284</v>
      </c>
      <c r="C2724" s="1" t="str">
        <f>HYPERLINK("https://www.catalog.slsa.sa.gov.au/xrecord=b2111284")</f>
        <v>https://www.catalog.slsa.sa.gov.au/xrecord=b2111284</v>
      </c>
      <c r="D2724" t="s">
        <v>66</v>
      </c>
      <c r="E2724" t="s">
        <v>9642</v>
      </c>
      <c r="F2724">
        <v>1959</v>
      </c>
      <c r="G2724" t="s">
        <v>121</v>
      </c>
      <c r="H2724" t="s">
        <v>9643</v>
      </c>
      <c r="I2724" t="s">
        <v>9644</v>
      </c>
      <c r="J2724" t="s">
        <v>71</v>
      </c>
      <c r="K2724" s="2" t="str">
        <f>HYPERLINK("http://collections.slsa.sa.gov.au/arthur/02000/BRG347_1955.htm")</f>
        <v>http://collections.slsa.sa.gov.au/arthur/02000/BRG347_1955.htm</v>
      </c>
    </row>
    <row r="2725" spans="1:11" x14ac:dyDescent="0.25">
      <c r="A2725" t="s">
        <v>9645</v>
      </c>
      <c r="B2725" s="1" t="str">
        <f>HYPERLINK("https://www.catalog.slsa.sa.gov.au/record=b2111285")</f>
        <v>https://www.catalog.slsa.sa.gov.au/record=b2111285</v>
      </c>
      <c r="C2725" s="1" t="str">
        <f>HYPERLINK("https://www.catalog.slsa.sa.gov.au/xrecord=b2111285")</f>
        <v>https://www.catalog.slsa.sa.gov.au/xrecord=b2111285</v>
      </c>
      <c r="D2725" t="s">
        <v>66</v>
      </c>
      <c r="E2725" t="s">
        <v>9574</v>
      </c>
      <c r="F2725">
        <v>1959</v>
      </c>
      <c r="G2725" t="s">
        <v>121</v>
      </c>
      <c r="H2725" t="s">
        <v>9646</v>
      </c>
      <c r="I2725" t="s">
        <v>9576</v>
      </c>
      <c r="J2725" t="s">
        <v>71</v>
      </c>
      <c r="K2725" s="2" t="str">
        <f>HYPERLINK("http://collections.slsa.sa.gov.au/arthur/02000/BRG347_1956.htm")</f>
        <v>http://collections.slsa.sa.gov.au/arthur/02000/BRG347_1956.htm</v>
      </c>
    </row>
    <row r="2726" spans="1:11" x14ac:dyDescent="0.25">
      <c r="A2726" t="s">
        <v>9647</v>
      </c>
      <c r="B2726" s="1" t="str">
        <f>HYPERLINK("https://www.catalog.slsa.sa.gov.au/record=b2111286")</f>
        <v>https://www.catalog.slsa.sa.gov.au/record=b2111286</v>
      </c>
      <c r="C2726" s="1" t="str">
        <f>HYPERLINK("https://www.catalog.slsa.sa.gov.au/xrecord=b2111286")</f>
        <v>https://www.catalog.slsa.sa.gov.au/xrecord=b2111286</v>
      </c>
      <c r="D2726" t="s">
        <v>66</v>
      </c>
      <c r="E2726" t="s">
        <v>8681</v>
      </c>
      <c r="F2726">
        <v>1959</v>
      </c>
      <c r="G2726" t="s">
        <v>121</v>
      </c>
      <c r="H2726" t="s">
        <v>9648</v>
      </c>
      <c r="I2726" t="s">
        <v>9649</v>
      </c>
      <c r="J2726" t="s">
        <v>71</v>
      </c>
      <c r="K2726" s="2" t="str">
        <f>HYPERLINK("http://collections.slsa.sa.gov.au/arthur/02000/BRG347_1957.htm")</f>
        <v>http://collections.slsa.sa.gov.au/arthur/02000/BRG347_1957.htm</v>
      </c>
    </row>
    <row r="2727" spans="1:11" x14ac:dyDescent="0.25">
      <c r="A2727" t="s">
        <v>9650</v>
      </c>
      <c r="B2727" s="1" t="str">
        <f>HYPERLINK("https://www.catalog.slsa.sa.gov.au/record=b2111287")</f>
        <v>https://www.catalog.slsa.sa.gov.au/record=b2111287</v>
      </c>
      <c r="C2727" s="1" t="str">
        <f>HYPERLINK("https://www.catalog.slsa.sa.gov.au/xrecord=b2111287")</f>
        <v>https://www.catalog.slsa.sa.gov.au/xrecord=b2111287</v>
      </c>
      <c r="D2727" t="s">
        <v>66</v>
      </c>
      <c r="E2727" t="s">
        <v>9651</v>
      </c>
      <c r="F2727">
        <v>1959</v>
      </c>
      <c r="G2727" t="s">
        <v>121</v>
      </c>
      <c r="H2727" t="s">
        <v>9652</v>
      </c>
      <c r="I2727" t="s">
        <v>9653</v>
      </c>
      <c r="J2727" t="s">
        <v>71</v>
      </c>
      <c r="K2727" s="2" t="str">
        <f>HYPERLINK("http://collections.slsa.sa.gov.au/arthur/02000/BRG347_1958.htm")</f>
        <v>http://collections.slsa.sa.gov.au/arthur/02000/BRG347_1958.htm</v>
      </c>
    </row>
    <row r="2728" spans="1:11" x14ac:dyDescent="0.25">
      <c r="A2728" t="s">
        <v>9654</v>
      </c>
      <c r="B2728" s="1" t="str">
        <f>HYPERLINK("https://www.catalog.slsa.sa.gov.au/record=b2111288")</f>
        <v>https://www.catalog.slsa.sa.gov.au/record=b2111288</v>
      </c>
      <c r="C2728" s="1" t="str">
        <f>HYPERLINK("https://www.catalog.slsa.sa.gov.au/xrecord=b2111288")</f>
        <v>https://www.catalog.slsa.sa.gov.au/xrecord=b2111288</v>
      </c>
      <c r="D2728" t="s">
        <v>66</v>
      </c>
      <c r="E2728" t="s">
        <v>9655</v>
      </c>
      <c r="F2728">
        <v>1959</v>
      </c>
      <c r="G2728" t="s">
        <v>121</v>
      </c>
      <c r="H2728" t="s">
        <v>9656</v>
      </c>
      <c r="I2728" t="s">
        <v>9657</v>
      </c>
      <c r="J2728" t="s">
        <v>71</v>
      </c>
      <c r="K2728" s="2" t="str">
        <f>HYPERLINK("http://collections.slsa.sa.gov.au/arthur/02000/BRG347_1959.htm")</f>
        <v>http://collections.slsa.sa.gov.au/arthur/02000/BRG347_1959.htm</v>
      </c>
    </row>
    <row r="2729" spans="1:11" x14ac:dyDescent="0.25">
      <c r="A2729" t="s">
        <v>9658</v>
      </c>
      <c r="B2729" s="1" t="str">
        <f>HYPERLINK("https://www.catalog.slsa.sa.gov.au/record=b2111290")</f>
        <v>https://www.catalog.slsa.sa.gov.au/record=b2111290</v>
      </c>
      <c r="C2729" s="1" t="str">
        <f>HYPERLINK("https://www.catalog.slsa.sa.gov.au/xrecord=b2111290")</f>
        <v>https://www.catalog.slsa.sa.gov.au/xrecord=b2111290</v>
      </c>
      <c r="D2729" t="s">
        <v>66</v>
      </c>
      <c r="E2729" t="s">
        <v>9659</v>
      </c>
      <c r="F2729">
        <v>1959</v>
      </c>
      <c r="G2729" t="s">
        <v>121</v>
      </c>
      <c r="H2729" t="s">
        <v>9660</v>
      </c>
      <c r="I2729" t="s">
        <v>9661</v>
      </c>
      <c r="J2729" t="s">
        <v>71</v>
      </c>
      <c r="K2729" s="2" t="str">
        <f>HYPERLINK("http://collections.slsa.sa.gov.au/arthur/02000/BRG347_1961.htm")</f>
        <v>http://collections.slsa.sa.gov.au/arthur/02000/BRG347_1961.htm</v>
      </c>
    </row>
    <row r="2730" spans="1:11" x14ac:dyDescent="0.25">
      <c r="A2730" t="s">
        <v>9662</v>
      </c>
      <c r="B2730" s="1" t="str">
        <f>HYPERLINK("https://www.catalog.slsa.sa.gov.au/record=b2111291")</f>
        <v>https://www.catalog.slsa.sa.gov.au/record=b2111291</v>
      </c>
      <c r="C2730" s="1" t="str">
        <f>HYPERLINK("https://www.catalog.slsa.sa.gov.au/xrecord=b2111291")</f>
        <v>https://www.catalog.slsa.sa.gov.au/xrecord=b2111291</v>
      </c>
      <c r="D2730" t="s">
        <v>66</v>
      </c>
      <c r="E2730" t="s">
        <v>9663</v>
      </c>
      <c r="F2730">
        <v>1959</v>
      </c>
      <c r="G2730" t="s">
        <v>121</v>
      </c>
      <c r="H2730" t="s">
        <v>9664</v>
      </c>
      <c r="I2730" t="s">
        <v>9665</v>
      </c>
      <c r="J2730" t="s">
        <v>71</v>
      </c>
      <c r="K2730" s="2" t="str">
        <f>HYPERLINK("http://collections.slsa.sa.gov.au/arthur/02000/BRG347_1962.htm")</f>
        <v>http://collections.slsa.sa.gov.au/arthur/02000/BRG347_1962.htm</v>
      </c>
    </row>
    <row r="2731" spans="1:11" x14ac:dyDescent="0.25">
      <c r="A2731" t="s">
        <v>9666</v>
      </c>
      <c r="B2731" s="1" t="str">
        <f>HYPERLINK("https://www.catalog.slsa.sa.gov.au/record=b2111292")</f>
        <v>https://www.catalog.slsa.sa.gov.au/record=b2111292</v>
      </c>
      <c r="C2731" s="1" t="str">
        <f>HYPERLINK("https://www.catalog.slsa.sa.gov.au/xrecord=b2111292")</f>
        <v>https://www.catalog.slsa.sa.gov.au/xrecord=b2111292</v>
      </c>
      <c r="D2731" t="s">
        <v>66</v>
      </c>
      <c r="E2731" t="s">
        <v>9667</v>
      </c>
      <c r="F2731">
        <v>1959</v>
      </c>
      <c r="G2731" t="s">
        <v>121</v>
      </c>
      <c r="H2731" t="s">
        <v>9668</v>
      </c>
      <c r="I2731" t="s">
        <v>9669</v>
      </c>
      <c r="J2731" t="s">
        <v>71</v>
      </c>
      <c r="K2731" s="2" t="str">
        <f>HYPERLINK("http://collections.slsa.sa.gov.au/arthur/02000/BRG347_1963.htm")</f>
        <v>http://collections.slsa.sa.gov.au/arthur/02000/BRG347_1963.htm</v>
      </c>
    </row>
    <row r="2732" spans="1:11" x14ac:dyDescent="0.25">
      <c r="A2732" t="s">
        <v>9670</v>
      </c>
      <c r="B2732" s="1" t="str">
        <f>HYPERLINK("https://www.catalog.slsa.sa.gov.au/record=b2111293")</f>
        <v>https://www.catalog.slsa.sa.gov.au/record=b2111293</v>
      </c>
      <c r="C2732" s="1" t="str">
        <f>HYPERLINK("https://www.catalog.slsa.sa.gov.au/xrecord=b2111293")</f>
        <v>https://www.catalog.slsa.sa.gov.au/xrecord=b2111293</v>
      </c>
      <c r="D2732" t="s">
        <v>66</v>
      </c>
      <c r="E2732" t="s">
        <v>9671</v>
      </c>
      <c r="F2732">
        <v>1959</v>
      </c>
      <c r="G2732" t="s">
        <v>121</v>
      </c>
      <c r="H2732" t="s">
        <v>9672</v>
      </c>
      <c r="I2732" t="s">
        <v>9673</v>
      </c>
      <c r="J2732" t="s">
        <v>71</v>
      </c>
      <c r="K2732" s="2" t="str">
        <f>HYPERLINK("http://collections.slsa.sa.gov.au/arthur/02000/BRG347_1964.htm")</f>
        <v>http://collections.slsa.sa.gov.au/arthur/02000/BRG347_1964.htm</v>
      </c>
    </row>
    <row r="2733" spans="1:11" x14ac:dyDescent="0.25">
      <c r="A2733" t="s">
        <v>9674</v>
      </c>
      <c r="B2733" s="1" t="str">
        <f>HYPERLINK("https://www.catalog.slsa.sa.gov.au/record=b2111294")</f>
        <v>https://www.catalog.slsa.sa.gov.au/record=b2111294</v>
      </c>
      <c r="C2733" s="1" t="str">
        <f>HYPERLINK("https://www.catalog.slsa.sa.gov.au/xrecord=b2111294")</f>
        <v>https://www.catalog.slsa.sa.gov.au/xrecord=b2111294</v>
      </c>
      <c r="D2733" t="s">
        <v>66</v>
      </c>
      <c r="E2733" t="s">
        <v>9671</v>
      </c>
      <c r="F2733">
        <v>1959</v>
      </c>
      <c r="G2733" t="s">
        <v>121</v>
      </c>
      <c r="H2733" t="s">
        <v>9675</v>
      </c>
      <c r="I2733" t="s">
        <v>9676</v>
      </c>
      <c r="J2733" t="s">
        <v>71</v>
      </c>
      <c r="K2733" s="2" t="str">
        <f>HYPERLINK("http://collections.slsa.sa.gov.au/arthur/02000/BRG347_1965.htm")</f>
        <v>http://collections.slsa.sa.gov.au/arthur/02000/BRG347_1965.htm</v>
      </c>
    </row>
    <row r="2734" spans="1:11" x14ac:dyDescent="0.25">
      <c r="A2734" t="s">
        <v>9677</v>
      </c>
      <c r="B2734" s="1" t="str">
        <f>HYPERLINK("https://www.catalog.slsa.sa.gov.au/record=b2111295")</f>
        <v>https://www.catalog.slsa.sa.gov.au/record=b2111295</v>
      </c>
      <c r="C2734" s="1" t="str">
        <f>HYPERLINK("https://www.catalog.slsa.sa.gov.au/xrecord=b2111295")</f>
        <v>https://www.catalog.slsa.sa.gov.au/xrecord=b2111295</v>
      </c>
      <c r="D2734" t="s">
        <v>66</v>
      </c>
      <c r="E2734" t="s">
        <v>9678</v>
      </c>
      <c r="F2734">
        <v>1959</v>
      </c>
      <c r="G2734" t="s">
        <v>121</v>
      </c>
      <c r="H2734" t="s">
        <v>9679</v>
      </c>
      <c r="I2734" t="s">
        <v>9680</v>
      </c>
      <c r="J2734" t="s">
        <v>71</v>
      </c>
      <c r="K2734" s="2" t="str">
        <f>HYPERLINK("http://collections.slsa.sa.gov.au/arthur/02000/BRG347_1966.htm")</f>
        <v>http://collections.slsa.sa.gov.au/arthur/02000/BRG347_1966.htm</v>
      </c>
    </row>
    <row r="2735" spans="1:11" x14ac:dyDescent="0.25">
      <c r="A2735" t="s">
        <v>9681</v>
      </c>
      <c r="B2735" s="1" t="str">
        <f>HYPERLINK("https://www.catalog.slsa.sa.gov.au/record=b2111298")</f>
        <v>https://www.catalog.slsa.sa.gov.au/record=b2111298</v>
      </c>
      <c r="C2735" s="1" t="str">
        <f>HYPERLINK("https://www.catalog.slsa.sa.gov.au/xrecord=b2111298")</f>
        <v>https://www.catalog.slsa.sa.gov.au/xrecord=b2111298</v>
      </c>
      <c r="D2735" t="s">
        <v>66</v>
      </c>
      <c r="E2735" t="s">
        <v>9682</v>
      </c>
      <c r="F2735">
        <v>1959</v>
      </c>
      <c r="G2735" t="s">
        <v>121</v>
      </c>
      <c r="H2735" t="s">
        <v>9683</v>
      </c>
      <c r="I2735" t="s">
        <v>9684</v>
      </c>
      <c r="J2735" t="s">
        <v>71</v>
      </c>
      <c r="K2735" s="2" t="str">
        <f>HYPERLINK("http://collections.slsa.sa.gov.au/arthur/02000/BRG347_1969.htm")</f>
        <v>http://collections.slsa.sa.gov.au/arthur/02000/BRG347_1969.htm</v>
      </c>
    </row>
    <row r="2736" spans="1:11" x14ac:dyDescent="0.25">
      <c r="A2736" t="s">
        <v>9685</v>
      </c>
      <c r="B2736" s="1" t="str">
        <f>HYPERLINK("https://www.catalog.slsa.sa.gov.au/record=b2111299")</f>
        <v>https://www.catalog.slsa.sa.gov.au/record=b2111299</v>
      </c>
      <c r="C2736" s="1" t="str">
        <f>HYPERLINK("https://www.catalog.slsa.sa.gov.au/xrecord=b2111299")</f>
        <v>https://www.catalog.slsa.sa.gov.au/xrecord=b2111299</v>
      </c>
      <c r="D2736" t="s">
        <v>66</v>
      </c>
      <c r="E2736" t="s">
        <v>9686</v>
      </c>
      <c r="F2736">
        <v>1959</v>
      </c>
      <c r="G2736" t="s">
        <v>121</v>
      </c>
      <c r="H2736" t="s">
        <v>9687</v>
      </c>
      <c r="I2736" t="s">
        <v>9688</v>
      </c>
      <c r="J2736" t="s">
        <v>71</v>
      </c>
      <c r="K2736" s="2" t="str">
        <f>HYPERLINK("http://collections.slsa.sa.gov.au/arthur/02000/BRG347_1970.htm")</f>
        <v>http://collections.slsa.sa.gov.au/arthur/02000/BRG347_1970.htm</v>
      </c>
    </row>
    <row r="2737" spans="1:11" x14ac:dyDescent="0.25">
      <c r="A2737" t="s">
        <v>9689</v>
      </c>
      <c r="B2737" s="1" t="str">
        <f>HYPERLINK("https://www.catalog.slsa.sa.gov.au/record=b2111300")</f>
        <v>https://www.catalog.slsa.sa.gov.au/record=b2111300</v>
      </c>
      <c r="C2737" s="1" t="str">
        <f>HYPERLINK("https://www.catalog.slsa.sa.gov.au/xrecord=b2111300")</f>
        <v>https://www.catalog.slsa.sa.gov.au/xrecord=b2111300</v>
      </c>
      <c r="D2737" t="s">
        <v>66</v>
      </c>
      <c r="E2737" t="s">
        <v>9690</v>
      </c>
      <c r="F2737">
        <v>1959</v>
      </c>
      <c r="G2737" t="s">
        <v>121</v>
      </c>
      <c r="H2737" t="s">
        <v>9691</v>
      </c>
      <c r="I2737" t="s">
        <v>9692</v>
      </c>
      <c r="J2737" t="s">
        <v>71</v>
      </c>
      <c r="K2737" s="2" t="str">
        <f>HYPERLINK("http://collections.slsa.sa.gov.au/arthur/02000/BRG347_1971.htm")</f>
        <v>http://collections.slsa.sa.gov.au/arthur/02000/BRG347_1971.htm</v>
      </c>
    </row>
    <row r="2738" spans="1:11" x14ac:dyDescent="0.25">
      <c r="A2738" t="s">
        <v>9693</v>
      </c>
      <c r="B2738" s="1" t="str">
        <f>HYPERLINK("https://www.catalog.slsa.sa.gov.au/record=b2111301")</f>
        <v>https://www.catalog.slsa.sa.gov.au/record=b2111301</v>
      </c>
      <c r="C2738" s="1" t="str">
        <f>HYPERLINK("https://www.catalog.slsa.sa.gov.au/xrecord=b2111301")</f>
        <v>https://www.catalog.slsa.sa.gov.au/xrecord=b2111301</v>
      </c>
      <c r="D2738" t="s">
        <v>66</v>
      </c>
      <c r="E2738" t="s">
        <v>9694</v>
      </c>
      <c r="F2738">
        <v>1959</v>
      </c>
      <c r="G2738" t="s">
        <v>121</v>
      </c>
      <c r="H2738" t="s">
        <v>9695</v>
      </c>
      <c r="I2738" t="s">
        <v>9696</v>
      </c>
      <c r="J2738" t="s">
        <v>71</v>
      </c>
      <c r="K2738" s="2" t="str">
        <f>HYPERLINK("http://collections.slsa.sa.gov.au/arthur/02000/BRG347_1972.htm")</f>
        <v>http://collections.slsa.sa.gov.au/arthur/02000/BRG347_1972.htm</v>
      </c>
    </row>
    <row r="2739" spans="1:11" x14ac:dyDescent="0.25">
      <c r="A2739" t="s">
        <v>9697</v>
      </c>
      <c r="B2739" s="1" t="str">
        <f>HYPERLINK("https://www.catalog.slsa.sa.gov.au/record=b2111302")</f>
        <v>https://www.catalog.slsa.sa.gov.au/record=b2111302</v>
      </c>
      <c r="C2739" s="1" t="str">
        <f>HYPERLINK("https://www.catalog.slsa.sa.gov.au/xrecord=b2111302")</f>
        <v>https://www.catalog.slsa.sa.gov.au/xrecord=b2111302</v>
      </c>
      <c r="D2739" t="s">
        <v>66</v>
      </c>
      <c r="E2739" t="s">
        <v>9698</v>
      </c>
      <c r="F2739">
        <v>1959</v>
      </c>
      <c r="G2739" t="s">
        <v>121</v>
      </c>
      <c r="H2739" t="s">
        <v>9699</v>
      </c>
      <c r="I2739" t="s">
        <v>9700</v>
      </c>
      <c r="J2739" t="s">
        <v>71</v>
      </c>
      <c r="K2739" s="2" t="str">
        <f>HYPERLINK("http://collections.slsa.sa.gov.au/arthur/02000/BRG347_1973.htm")</f>
        <v>http://collections.slsa.sa.gov.au/arthur/02000/BRG347_1973.htm</v>
      </c>
    </row>
    <row r="2740" spans="1:11" x14ac:dyDescent="0.25">
      <c r="A2740" t="s">
        <v>9701</v>
      </c>
      <c r="B2740" s="1" t="str">
        <f>HYPERLINK("https://www.catalog.slsa.sa.gov.au/record=b2111303")</f>
        <v>https://www.catalog.slsa.sa.gov.au/record=b2111303</v>
      </c>
      <c r="C2740" s="1" t="str">
        <f>HYPERLINK("https://www.catalog.slsa.sa.gov.au/xrecord=b2111303")</f>
        <v>https://www.catalog.slsa.sa.gov.au/xrecord=b2111303</v>
      </c>
      <c r="D2740" t="s">
        <v>66</v>
      </c>
      <c r="E2740" t="s">
        <v>9682</v>
      </c>
      <c r="F2740">
        <v>1959</v>
      </c>
      <c r="G2740" t="s">
        <v>121</v>
      </c>
      <c r="H2740" t="s">
        <v>9702</v>
      </c>
      <c r="I2740" t="s">
        <v>9684</v>
      </c>
      <c r="J2740" t="s">
        <v>71</v>
      </c>
      <c r="K2740" s="2" t="str">
        <f>HYPERLINK("http://collections.slsa.sa.gov.au/arthur/02000/BRG347_1974.htm")</f>
        <v>http://collections.slsa.sa.gov.au/arthur/02000/BRG347_1974.htm</v>
      </c>
    </row>
    <row r="2741" spans="1:11" x14ac:dyDescent="0.25">
      <c r="A2741" t="s">
        <v>9703</v>
      </c>
      <c r="B2741" s="1" t="str">
        <f>HYPERLINK("https://www.catalog.slsa.sa.gov.au/record=b2111310")</f>
        <v>https://www.catalog.slsa.sa.gov.au/record=b2111310</v>
      </c>
      <c r="C2741" s="1" t="str">
        <f>HYPERLINK("https://www.catalog.slsa.sa.gov.au/xrecord=b2111310")</f>
        <v>https://www.catalog.slsa.sa.gov.au/xrecord=b2111310</v>
      </c>
      <c r="D2741" t="s">
        <v>66</v>
      </c>
      <c r="E2741" t="s">
        <v>9291</v>
      </c>
      <c r="F2741">
        <v>1959</v>
      </c>
      <c r="G2741" t="s">
        <v>121</v>
      </c>
      <c r="H2741" t="s">
        <v>9704</v>
      </c>
      <c r="I2741" t="s">
        <v>9293</v>
      </c>
      <c r="J2741" t="s">
        <v>71</v>
      </c>
      <c r="K2741" s="2" t="str">
        <f>HYPERLINK("http://collections.slsa.sa.gov.au/arthur/02000/BRG347_1981.htm")</f>
        <v>http://collections.slsa.sa.gov.au/arthur/02000/BRG347_1981.htm</v>
      </c>
    </row>
    <row r="2742" spans="1:11" x14ac:dyDescent="0.25">
      <c r="A2742" t="s">
        <v>9705</v>
      </c>
      <c r="B2742" s="1" t="str">
        <f>HYPERLINK("https://www.catalog.slsa.sa.gov.au/record=b2111312")</f>
        <v>https://www.catalog.slsa.sa.gov.au/record=b2111312</v>
      </c>
      <c r="C2742" s="1" t="str">
        <f>HYPERLINK("https://www.catalog.slsa.sa.gov.au/xrecord=b2111312")</f>
        <v>https://www.catalog.slsa.sa.gov.au/xrecord=b2111312</v>
      </c>
      <c r="D2742" t="s">
        <v>66</v>
      </c>
      <c r="E2742" t="s">
        <v>9706</v>
      </c>
      <c r="F2742">
        <v>1959</v>
      </c>
      <c r="G2742" t="s">
        <v>121</v>
      </c>
      <c r="H2742" t="s">
        <v>9707</v>
      </c>
      <c r="I2742" t="s">
        <v>9708</v>
      </c>
      <c r="J2742" t="s">
        <v>71</v>
      </c>
      <c r="K2742" s="2" t="str">
        <f>HYPERLINK("http://collections.slsa.sa.gov.au/arthur/02000/BRG347_1983.htm")</f>
        <v>http://collections.slsa.sa.gov.au/arthur/02000/BRG347_1983.htm</v>
      </c>
    </row>
    <row r="2743" spans="1:11" x14ac:dyDescent="0.25">
      <c r="A2743" t="s">
        <v>9709</v>
      </c>
      <c r="B2743" s="1" t="str">
        <f>HYPERLINK("https://www.catalog.slsa.sa.gov.au/record=b2111313")</f>
        <v>https://www.catalog.slsa.sa.gov.au/record=b2111313</v>
      </c>
      <c r="C2743" s="1" t="str">
        <f>HYPERLINK("https://www.catalog.slsa.sa.gov.au/xrecord=b2111313")</f>
        <v>https://www.catalog.slsa.sa.gov.au/xrecord=b2111313</v>
      </c>
      <c r="D2743" t="s">
        <v>66</v>
      </c>
      <c r="E2743" t="s">
        <v>8621</v>
      </c>
      <c r="F2743">
        <v>1959</v>
      </c>
      <c r="G2743" t="s">
        <v>121</v>
      </c>
      <c r="H2743" t="s">
        <v>9710</v>
      </c>
      <c r="I2743" t="s">
        <v>9293</v>
      </c>
      <c r="J2743" t="s">
        <v>71</v>
      </c>
      <c r="K2743" s="2" t="str">
        <f>HYPERLINK("http://collections.slsa.sa.gov.au/arthur/02000/BRG347_1984.htm")</f>
        <v>http://collections.slsa.sa.gov.au/arthur/02000/BRG347_1984.htm</v>
      </c>
    </row>
    <row r="2744" spans="1:11" x14ac:dyDescent="0.25">
      <c r="A2744" t="s">
        <v>9711</v>
      </c>
      <c r="B2744" s="1" t="str">
        <f>HYPERLINK("https://www.catalog.slsa.sa.gov.au/record=b2111446")</f>
        <v>https://www.catalog.slsa.sa.gov.au/record=b2111446</v>
      </c>
      <c r="C2744" s="1" t="str">
        <f>HYPERLINK("https://www.catalog.slsa.sa.gov.au/xrecord=b2111446")</f>
        <v>https://www.catalog.slsa.sa.gov.au/xrecord=b2111446</v>
      </c>
      <c r="D2744" t="s">
        <v>66</v>
      </c>
      <c r="E2744" t="s">
        <v>8621</v>
      </c>
      <c r="F2744">
        <v>1959</v>
      </c>
      <c r="G2744" t="s">
        <v>121</v>
      </c>
      <c r="H2744" t="s">
        <v>9712</v>
      </c>
      <c r="I2744" t="s">
        <v>7769</v>
      </c>
      <c r="J2744" t="s">
        <v>71</v>
      </c>
      <c r="K2744" s="2" t="str">
        <f>HYPERLINK("http://collections.slsa.sa.gov.au/arthur/02250/BRG347_2081.htm")</f>
        <v>http://collections.slsa.sa.gov.au/arthur/02250/BRG347_2081.htm</v>
      </c>
    </row>
    <row r="2745" spans="1:11" x14ac:dyDescent="0.25">
      <c r="A2745" t="s">
        <v>9713</v>
      </c>
      <c r="B2745" s="1" t="str">
        <f>HYPERLINK("https://www.catalog.slsa.sa.gov.au/record=b2111447")</f>
        <v>https://www.catalog.slsa.sa.gov.au/record=b2111447</v>
      </c>
      <c r="C2745" s="1" t="str">
        <f>HYPERLINK("https://www.catalog.slsa.sa.gov.au/xrecord=b2111447")</f>
        <v>https://www.catalog.slsa.sa.gov.au/xrecord=b2111447</v>
      </c>
      <c r="D2745" t="s">
        <v>66</v>
      </c>
      <c r="E2745" t="s">
        <v>7396</v>
      </c>
      <c r="F2745">
        <v>1959</v>
      </c>
      <c r="G2745" t="s">
        <v>121</v>
      </c>
      <c r="H2745" t="s">
        <v>9714</v>
      </c>
      <c r="I2745" t="s">
        <v>9715</v>
      </c>
      <c r="J2745" t="s">
        <v>71</v>
      </c>
      <c r="K2745" s="2" t="str">
        <f>HYPERLINK("http://collections.slsa.sa.gov.au/arthur/02250/BRG347_2082.htm")</f>
        <v>http://collections.slsa.sa.gov.au/arthur/02250/BRG347_2082.htm</v>
      </c>
    </row>
    <row r="2746" spans="1:11" x14ac:dyDescent="0.25">
      <c r="A2746" t="s">
        <v>9716</v>
      </c>
      <c r="B2746" s="1" t="str">
        <f>HYPERLINK("https://www.catalog.slsa.sa.gov.au/record=b2117803")</f>
        <v>https://www.catalog.slsa.sa.gov.au/record=b2117803</v>
      </c>
      <c r="C2746" s="1" t="str">
        <f>HYPERLINK("https://www.catalog.slsa.sa.gov.au/xrecord=b2117803")</f>
        <v>https://www.catalog.slsa.sa.gov.au/xrecord=b2117803</v>
      </c>
      <c r="D2746" t="s">
        <v>66</v>
      </c>
      <c r="E2746" t="s">
        <v>9291</v>
      </c>
      <c r="F2746">
        <v>1959</v>
      </c>
      <c r="G2746" t="s">
        <v>121</v>
      </c>
      <c r="H2746" t="s">
        <v>9717</v>
      </c>
      <c r="I2746" t="s">
        <v>7769</v>
      </c>
      <c r="J2746" t="s">
        <v>71</v>
      </c>
      <c r="K2746" s="2" t="str">
        <f>HYPERLINK("http://collections.slsa.sa.gov.au/arthur/02250/BRG347_2083.htm")</f>
        <v>http://collections.slsa.sa.gov.au/arthur/02250/BRG347_2083.htm</v>
      </c>
    </row>
    <row r="2747" spans="1:11" x14ac:dyDescent="0.25">
      <c r="A2747" t="s">
        <v>9718</v>
      </c>
      <c r="B2747" s="1" t="str">
        <f>HYPERLINK("https://www.catalog.slsa.sa.gov.au/record=b2111451")</f>
        <v>https://www.catalog.slsa.sa.gov.au/record=b2111451</v>
      </c>
      <c r="C2747" s="1" t="str">
        <f>HYPERLINK("https://www.catalog.slsa.sa.gov.au/xrecord=b2111451")</f>
        <v>https://www.catalog.slsa.sa.gov.au/xrecord=b2111451</v>
      </c>
      <c r="D2747" t="s">
        <v>66</v>
      </c>
      <c r="E2747" t="s">
        <v>9719</v>
      </c>
      <c r="F2747">
        <v>1959</v>
      </c>
      <c r="G2747" t="s">
        <v>121</v>
      </c>
      <c r="H2747" t="s">
        <v>9720</v>
      </c>
      <c r="I2747" t="s">
        <v>8535</v>
      </c>
      <c r="J2747" t="s">
        <v>71</v>
      </c>
      <c r="K2747" s="2" t="str">
        <f>HYPERLINK("http://collections.slsa.sa.gov.au/arthur/02250/BRG347_2087.htm")</f>
        <v>http://collections.slsa.sa.gov.au/arthur/02250/BRG347_2087.htm</v>
      </c>
    </row>
    <row r="2748" spans="1:11" x14ac:dyDescent="0.25">
      <c r="A2748" t="s">
        <v>9721</v>
      </c>
      <c r="B2748" s="1" t="str">
        <f>HYPERLINK("https://www.catalog.slsa.sa.gov.au/record=b2111452")</f>
        <v>https://www.catalog.slsa.sa.gov.au/record=b2111452</v>
      </c>
      <c r="C2748" s="1" t="str">
        <f>HYPERLINK("https://www.catalog.slsa.sa.gov.au/xrecord=b2111452")</f>
        <v>https://www.catalog.slsa.sa.gov.au/xrecord=b2111452</v>
      </c>
      <c r="D2748" t="s">
        <v>66</v>
      </c>
      <c r="E2748" t="s">
        <v>9291</v>
      </c>
      <c r="F2748">
        <v>1959</v>
      </c>
      <c r="G2748" t="s">
        <v>121</v>
      </c>
      <c r="H2748" t="s">
        <v>9722</v>
      </c>
      <c r="I2748" t="s">
        <v>7769</v>
      </c>
      <c r="J2748" t="s">
        <v>71</v>
      </c>
      <c r="K2748" s="2" t="str">
        <f>HYPERLINK("http://collections.slsa.sa.gov.au/arthur/02250/BRG347_2088.htm")</f>
        <v>http://collections.slsa.sa.gov.au/arthur/02250/BRG347_2088.htm</v>
      </c>
    </row>
    <row r="2749" spans="1:11" x14ac:dyDescent="0.25">
      <c r="A2749" t="s">
        <v>9723</v>
      </c>
      <c r="B2749" s="1" t="str">
        <f>HYPERLINK("https://www.catalog.slsa.sa.gov.au/record=b2111453")</f>
        <v>https://www.catalog.slsa.sa.gov.au/record=b2111453</v>
      </c>
      <c r="C2749" s="1" t="str">
        <f>HYPERLINK("https://www.catalog.slsa.sa.gov.au/xrecord=b2111453")</f>
        <v>https://www.catalog.slsa.sa.gov.au/xrecord=b2111453</v>
      </c>
      <c r="D2749" t="s">
        <v>66</v>
      </c>
      <c r="E2749" t="s">
        <v>9724</v>
      </c>
      <c r="F2749">
        <v>1959</v>
      </c>
      <c r="G2749" t="s">
        <v>121</v>
      </c>
      <c r="H2749" t="s">
        <v>9725</v>
      </c>
      <c r="I2749" t="s">
        <v>9726</v>
      </c>
      <c r="J2749" t="s">
        <v>71</v>
      </c>
      <c r="K2749" s="2" t="str">
        <f>HYPERLINK("http://collections.slsa.sa.gov.au/arthur/02250/BRG347_2089.htm")</f>
        <v>http://collections.slsa.sa.gov.au/arthur/02250/BRG347_2089.htm</v>
      </c>
    </row>
    <row r="2750" spans="1:11" x14ac:dyDescent="0.25">
      <c r="A2750" t="s">
        <v>9727</v>
      </c>
      <c r="B2750" s="1" t="str">
        <f>HYPERLINK("https://www.catalog.slsa.sa.gov.au/record=b2111454")</f>
        <v>https://www.catalog.slsa.sa.gov.au/record=b2111454</v>
      </c>
      <c r="C2750" s="1" t="str">
        <f>HYPERLINK("https://www.catalog.slsa.sa.gov.au/xrecord=b2111454")</f>
        <v>https://www.catalog.slsa.sa.gov.au/xrecord=b2111454</v>
      </c>
      <c r="D2750" t="s">
        <v>66</v>
      </c>
      <c r="E2750" t="s">
        <v>7396</v>
      </c>
      <c r="F2750">
        <v>1959</v>
      </c>
      <c r="G2750" t="s">
        <v>121</v>
      </c>
      <c r="H2750" t="s">
        <v>9728</v>
      </c>
      <c r="I2750" t="s">
        <v>9726</v>
      </c>
      <c r="J2750" t="s">
        <v>71</v>
      </c>
      <c r="K2750" s="2" t="str">
        <f>HYPERLINK("http://collections.slsa.sa.gov.au/arthur/02250/BRG347_2090.htm")</f>
        <v>http://collections.slsa.sa.gov.au/arthur/02250/BRG347_2090.htm</v>
      </c>
    </row>
    <row r="2751" spans="1:11" x14ac:dyDescent="0.25">
      <c r="A2751" t="s">
        <v>9729</v>
      </c>
      <c r="B2751" s="1" t="str">
        <f>HYPERLINK("https://www.catalog.slsa.sa.gov.au/record=b2111457")</f>
        <v>https://www.catalog.slsa.sa.gov.au/record=b2111457</v>
      </c>
      <c r="C2751" s="1" t="str">
        <f>HYPERLINK("https://www.catalog.slsa.sa.gov.au/xrecord=b2111457")</f>
        <v>https://www.catalog.slsa.sa.gov.au/xrecord=b2111457</v>
      </c>
      <c r="D2751" t="s">
        <v>66</v>
      </c>
      <c r="E2751" t="s">
        <v>7396</v>
      </c>
      <c r="F2751">
        <v>1959</v>
      </c>
      <c r="G2751" t="s">
        <v>121</v>
      </c>
      <c r="H2751" t="s">
        <v>9730</v>
      </c>
      <c r="I2751" t="s">
        <v>9726</v>
      </c>
      <c r="J2751" t="s">
        <v>71</v>
      </c>
      <c r="K2751" s="2" t="str">
        <f>HYPERLINK("http://collections.slsa.sa.gov.au/arthur/02250/BRG347_2093.htm")</f>
        <v>http://collections.slsa.sa.gov.au/arthur/02250/BRG347_2093.htm</v>
      </c>
    </row>
    <row r="2752" spans="1:11" x14ac:dyDescent="0.25">
      <c r="A2752" t="s">
        <v>9731</v>
      </c>
      <c r="B2752" s="1" t="str">
        <f>HYPERLINK("https://www.catalog.slsa.sa.gov.au/record=b2111479")</f>
        <v>https://www.catalog.slsa.sa.gov.au/record=b2111479</v>
      </c>
      <c r="C2752" s="1" t="str">
        <f>HYPERLINK("https://www.catalog.slsa.sa.gov.au/xrecord=b2111479")</f>
        <v>https://www.catalog.slsa.sa.gov.au/xrecord=b2111479</v>
      </c>
      <c r="D2752" t="s">
        <v>66</v>
      </c>
      <c r="E2752" t="s">
        <v>9732</v>
      </c>
      <c r="F2752">
        <v>1959</v>
      </c>
      <c r="G2752" t="s">
        <v>121</v>
      </c>
      <c r="H2752" t="s">
        <v>9733</v>
      </c>
      <c r="I2752" t="s">
        <v>9734</v>
      </c>
      <c r="J2752" t="s">
        <v>71</v>
      </c>
      <c r="K2752" s="2" t="str">
        <f>HYPERLINK("http://collections.slsa.sa.gov.au/arthur/02250/BRG347_2115.htm")</f>
        <v>http://collections.slsa.sa.gov.au/arthur/02250/BRG347_2115.htm</v>
      </c>
    </row>
    <row r="2753" spans="1:11" x14ac:dyDescent="0.25">
      <c r="A2753" t="s">
        <v>9735</v>
      </c>
      <c r="B2753" s="1" t="str">
        <f>HYPERLINK("https://www.catalog.slsa.sa.gov.au/record=b2112102")</f>
        <v>https://www.catalog.slsa.sa.gov.au/record=b2112102</v>
      </c>
      <c r="C2753" s="1" t="str">
        <f>HYPERLINK("https://www.catalog.slsa.sa.gov.au/xrecord=b2112102")</f>
        <v>https://www.catalog.slsa.sa.gov.au/xrecord=b2112102</v>
      </c>
      <c r="D2753" t="s">
        <v>66</v>
      </c>
      <c r="E2753" t="s">
        <v>9736</v>
      </c>
      <c r="F2753">
        <v>1959</v>
      </c>
      <c r="G2753" t="s">
        <v>121</v>
      </c>
      <c r="H2753" t="s">
        <v>9737</v>
      </c>
      <c r="I2753" t="s">
        <v>9738</v>
      </c>
      <c r="J2753" t="s">
        <v>71</v>
      </c>
      <c r="K2753" s="2" t="str">
        <f>HYPERLINK("http://collections.slsa.sa.gov.au/arthur/02750/BRG347_2532.htm")</f>
        <v>http://collections.slsa.sa.gov.au/arthur/02750/BRG347_2532.htm</v>
      </c>
    </row>
    <row r="2754" spans="1:11" x14ac:dyDescent="0.25">
      <c r="A2754" t="s">
        <v>9739</v>
      </c>
      <c r="B2754" s="1" t="str">
        <f>HYPERLINK("https://www.catalog.slsa.sa.gov.au/record=b2112104")</f>
        <v>https://www.catalog.slsa.sa.gov.au/record=b2112104</v>
      </c>
      <c r="C2754" s="1" t="str">
        <f>HYPERLINK("https://www.catalog.slsa.sa.gov.au/xrecord=b2112104")</f>
        <v>https://www.catalog.slsa.sa.gov.au/xrecord=b2112104</v>
      </c>
      <c r="D2754" t="s">
        <v>66</v>
      </c>
      <c r="E2754" t="s">
        <v>6467</v>
      </c>
      <c r="F2754">
        <v>1959</v>
      </c>
      <c r="G2754" t="s">
        <v>121</v>
      </c>
      <c r="H2754" t="s">
        <v>9740</v>
      </c>
      <c r="I2754" t="s">
        <v>7346</v>
      </c>
      <c r="J2754" t="s">
        <v>71</v>
      </c>
      <c r="K2754" s="2" t="str">
        <f>HYPERLINK("http://collections.slsa.sa.gov.au/arthur/02750/BRG347_2534.htm")</f>
        <v>http://collections.slsa.sa.gov.au/arthur/02750/BRG347_2534.htm</v>
      </c>
    </row>
    <row r="2755" spans="1:11" x14ac:dyDescent="0.25">
      <c r="A2755" t="s">
        <v>9741</v>
      </c>
      <c r="B2755" s="1" t="str">
        <f>HYPERLINK("https://www.catalog.slsa.sa.gov.au/record=b2112158")</f>
        <v>https://www.catalog.slsa.sa.gov.au/record=b2112158</v>
      </c>
      <c r="C2755" s="1" t="str">
        <f>HYPERLINK("https://www.catalog.slsa.sa.gov.au/xrecord=b2112158")</f>
        <v>https://www.catalog.slsa.sa.gov.au/xrecord=b2112158</v>
      </c>
      <c r="D2755" t="s">
        <v>66</v>
      </c>
      <c r="E2755" t="s">
        <v>9742</v>
      </c>
      <c r="F2755">
        <v>1959</v>
      </c>
      <c r="G2755" t="s">
        <v>121</v>
      </c>
      <c r="H2755" t="s">
        <v>9743</v>
      </c>
      <c r="I2755" t="s">
        <v>9744</v>
      </c>
      <c r="J2755" t="s">
        <v>71</v>
      </c>
      <c r="K2755" s="2" t="str">
        <f>HYPERLINK("http://collections.slsa.sa.gov.au/arthur/02750/BRG347_2589.htm")</f>
        <v>http://collections.slsa.sa.gov.au/arthur/02750/BRG347_2589.htm</v>
      </c>
    </row>
    <row r="2756" spans="1:11" x14ac:dyDescent="0.25">
      <c r="A2756" t="s">
        <v>9745</v>
      </c>
      <c r="B2756" s="1" t="str">
        <f>HYPERLINK("https://www.catalog.slsa.sa.gov.au/record=b2112159")</f>
        <v>https://www.catalog.slsa.sa.gov.au/record=b2112159</v>
      </c>
      <c r="C2756" s="1" t="str">
        <f>HYPERLINK("https://www.catalog.slsa.sa.gov.au/xrecord=b2112159")</f>
        <v>https://www.catalog.slsa.sa.gov.au/xrecord=b2112159</v>
      </c>
      <c r="D2756" t="s">
        <v>66</v>
      </c>
      <c r="E2756" t="s">
        <v>9746</v>
      </c>
      <c r="F2756">
        <v>1959</v>
      </c>
      <c r="G2756" t="s">
        <v>121</v>
      </c>
      <c r="H2756" t="s">
        <v>9747</v>
      </c>
      <c r="I2756" t="s">
        <v>9748</v>
      </c>
      <c r="J2756" t="s">
        <v>71</v>
      </c>
      <c r="K2756" s="2" t="str">
        <f>HYPERLINK("http://collections.slsa.sa.gov.au/arthur/02750/BRG347_2590.htm")</f>
        <v>http://collections.slsa.sa.gov.au/arthur/02750/BRG347_2590.htm</v>
      </c>
    </row>
    <row r="2757" spans="1:11" x14ac:dyDescent="0.25">
      <c r="A2757" t="s">
        <v>9749</v>
      </c>
      <c r="B2757" s="1" t="str">
        <f>HYPERLINK("https://www.catalog.slsa.sa.gov.au/record=b2112160")</f>
        <v>https://www.catalog.slsa.sa.gov.au/record=b2112160</v>
      </c>
      <c r="C2757" s="1" t="str">
        <f>HYPERLINK("https://www.catalog.slsa.sa.gov.au/xrecord=b2112160")</f>
        <v>https://www.catalog.slsa.sa.gov.au/xrecord=b2112160</v>
      </c>
      <c r="D2757" t="s">
        <v>66</v>
      </c>
      <c r="E2757" t="s">
        <v>9750</v>
      </c>
      <c r="F2757">
        <v>1959</v>
      </c>
      <c r="G2757" t="s">
        <v>121</v>
      </c>
      <c r="H2757" t="s">
        <v>9751</v>
      </c>
      <c r="I2757" t="s">
        <v>9752</v>
      </c>
      <c r="J2757" t="s">
        <v>71</v>
      </c>
      <c r="K2757" s="2" t="str">
        <f>HYPERLINK("http://collections.slsa.sa.gov.au/arthur/02750/BRG347_2591.htm")</f>
        <v>http://collections.slsa.sa.gov.au/arthur/02750/BRG347_2591.htm</v>
      </c>
    </row>
    <row r="2758" spans="1:11" x14ac:dyDescent="0.25">
      <c r="A2758" t="s">
        <v>9753</v>
      </c>
      <c r="B2758" s="1" t="str">
        <f>HYPERLINK("https://www.catalog.slsa.sa.gov.au/record=b2112161")</f>
        <v>https://www.catalog.slsa.sa.gov.au/record=b2112161</v>
      </c>
      <c r="C2758" s="1" t="str">
        <f>HYPERLINK("https://www.catalog.slsa.sa.gov.au/xrecord=b2112161")</f>
        <v>https://www.catalog.slsa.sa.gov.au/xrecord=b2112161</v>
      </c>
      <c r="D2758" t="s">
        <v>66</v>
      </c>
      <c r="E2758" t="s">
        <v>8681</v>
      </c>
      <c r="F2758">
        <v>1959</v>
      </c>
      <c r="G2758" t="s">
        <v>121</v>
      </c>
      <c r="H2758" t="s">
        <v>9754</v>
      </c>
      <c r="I2758" t="s">
        <v>8686</v>
      </c>
      <c r="J2758" t="s">
        <v>71</v>
      </c>
      <c r="K2758" s="2" t="str">
        <f>HYPERLINK("http://collections.slsa.sa.gov.au/arthur/02750/BRG347_2592.htm")</f>
        <v>http://collections.slsa.sa.gov.au/arthur/02750/BRG347_2592.htm</v>
      </c>
    </row>
    <row r="2759" spans="1:11" x14ac:dyDescent="0.25">
      <c r="A2759" t="s">
        <v>9755</v>
      </c>
      <c r="B2759" s="1" t="str">
        <f>HYPERLINK("https://www.catalog.slsa.sa.gov.au/record=b2112162")</f>
        <v>https://www.catalog.slsa.sa.gov.au/record=b2112162</v>
      </c>
      <c r="C2759" s="1" t="str">
        <f>HYPERLINK("https://www.catalog.slsa.sa.gov.au/xrecord=b2112162")</f>
        <v>https://www.catalog.slsa.sa.gov.au/xrecord=b2112162</v>
      </c>
      <c r="D2759" t="s">
        <v>66</v>
      </c>
      <c r="E2759" t="s">
        <v>8681</v>
      </c>
      <c r="F2759">
        <v>1959</v>
      </c>
      <c r="G2759" t="s">
        <v>121</v>
      </c>
      <c r="H2759" t="s">
        <v>9756</v>
      </c>
      <c r="I2759" t="s">
        <v>8686</v>
      </c>
      <c r="J2759" t="s">
        <v>71</v>
      </c>
      <c r="K2759" s="2" t="str">
        <f>HYPERLINK("http://collections.slsa.sa.gov.au/arthur/02750/BRG347_2593.htm")</f>
        <v>http://collections.slsa.sa.gov.au/arthur/02750/BRG347_2593.htm</v>
      </c>
    </row>
    <row r="2760" spans="1:11" x14ac:dyDescent="0.25">
      <c r="A2760" t="s">
        <v>9757</v>
      </c>
      <c r="B2760" s="1" t="str">
        <f>HYPERLINK("https://www.catalog.slsa.sa.gov.au/record=b2112163")</f>
        <v>https://www.catalog.slsa.sa.gov.au/record=b2112163</v>
      </c>
      <c r="C2760" s="1" t="str">
        <f>HYPERLINK("https://www.catalog.slsa.sa.gov.au/xrecord=b2112163")</f>
        <v>https://www.catalog.slsa.sa.gov.au/xrecord=b2112163</v>
      </c>
      <c r="D2760" t="s">
        <v>66</v>
      </c>
      <c r="E2760" t="s">
        <v>8681</v>
      </c>
      <c r="F2760">
        <v>1959</v>
      </c>
      <c r="G2760" t="s">
        <v>121</v>
      </c>
      <c r="H2760" t="s">
        <v>9758</v>
      </c>
      <c r="I2760" t="s">
        <v>8686</v>
      </c>
      <c r="J2760" t="s">
        <v>71</v>
      </c>
      <c r="K2760" s="2" t="str">
        <f>HYPERLINK("http://collections.slsa.sa.gov.au/arthur/02750/BRG347_2594.htm")</f>
        <v>http://collections.slsa.sa.gov.au/arthur/02750/BRG347_2594.htm</v>
      </c>
    </row>
    <row r="2761" spans="1:11" x14ac:dyDescent="0.25">
      <c r="A2761" t="s">
        <v>9759</v>
      </c>
      <c r="B2761" s="1" t="str">
        <f>HYPERLINK("https://www.catalog.slsa.sa.gov.au/record=b2112165")</f>
        <v>https://www.catalog.slsa.sa.gov.au/record=b2112165</v>
      </c>
      <c r="C2761" s="1" t="str">
        <f>HYPERLINK("https://www.catalog.slsa.sa.gov.au/xrecord=b2112165")</f>
        <v>https://www.catalog.slsa.sa.gov.au/xrecord=b2112165</v>
      </c>
      <c r="D2761" t="s">
        <v>66</v>
      </c>
      <c r="E2761" t="s">
        <v>7360</v>
      </c>
      <c r="F2761">
        <v>1959</v>
      </c>
      <c r="G2761" t="s">
        <v>121</v>
      </c>
      <c r="H2761" t="s">
        <v>9760</v>
      </c>
      <c r="I2761" t="s">
        <v>9761</v>
      </c>
      <c r="J2761" t="s">
        <v>71</v>
      </c>
      <c r="K2761" s="2" t="str">
        <f>HYPERLINK("http://collections.slsa.sa.gov.au/arthur/02750/BRG347_2596.htm")</f>
        <v>http://collections.slsa.sa.gov.au/arthur/02750/BRG347_2596.htm</v>
      </c>
    </row>
    <row r="2762" spans="1:11" x14ac:dyDescent="0.25">
      <c r="A2762" t="s">
        <v>9762</v>
      </c>
      <c r="B2762" s="1" t="str">
        <f>HYPERLINK("https://www.catalog.slsa.sa.gov.au/record=b2118014")</f>
        <v>https://www.catalog.slsa.sa.gov.au/record=b2118014</v>
      </c>
      <c r="C2762" s="1" t="str">
        <f>HYPERLINK("https://www.catalog.slsa.sa.gov.au/xrecord=b2118014")</f>
        <v>https://www.catalog.slsa.sa.gov.au/xrecord=b2118014</v>
      </c>
      <c r="D2762" t="s">
        <v>66</v>
      </c>
      <c r="E2762" t="s">
        <v>9763</v>
      </c>
      <c r="F2762">
        <v>1959</v>
      </c>
      <c r="G2762" t="s">
        <v>121</v>
      </c>
      <c r="H2762" t="s">
        <v>9764</v>
      </c>
      <c r="I2762" t="s">
        <v>9765</v>
      </c>
      <c r="J2762" t="s">
        <v>71</v>
      </c>
      <c r="K2762" s="2" t="str">
        <f>HYPERLINK("http://collections.slsa.sa.gov.au/arthur/02750/BRG347_2597.htm")</f>
        <v>http://collections.slsa.sa.gov.au/arthur/02750/BRG347_2597.htm</v>
      </c>
    </row>
    <row r="2763" spans="1:11" x14ac:dyDescent="0.25">
      <c r="A2763" t="s">
        <v>9766</v>
      </c>
      <c r="B2763" s="1" t="str">
        <f>HYPERLINK("https://www.catalog.slsa.sa.gov.au/record=b2112167")</f>
        <v>https://www.catalog.slsa.sa.gov.au/record=b2112167</v>
      </c>
      <c r="C2763" s="1" t="str">
        <f>HYPERLINK("https://www.catalog.slsa.sa.gov.au/xrecord=b2112167")</f>
        <v>https://www.catalog.slsa.sa.gov.au/xrecord=b2112167</v>
      </c>
      <c r="D2763" t="s">
        <v>66</v>
      </c>
      <c r="E2763" t="s">
        <v>9767</v>
      </c>
      <c r="F2763">
        <v>1959</v>
      </c>
      <c r="G2763" t="s">
        <v>121</v>
      </c>
      <c r="H2763" t="s">
        <v>9768</v>
      </c>
      <c r="I2763" t="s">
        <v>9769</v>
      </c>
      <c r="J2763" t="s">
        <v>71</v>
      </c>
      <c r="K2763" s="2" t="str">
        <f>HYPERLINK("http://collections.slsa.sa.gov.au/arthur/02750/BRG347_2599.htm")</f>
        <v>http://collections.slsa.sa.gov.au/arthur/02750/BRG347_2599.htm</v>
      </c>
    </row>
    <row r="2764" spans="1:11" x14ac:dyDescent="0.25">
      <c r="A2764" t="s">
        <v>9770</v>
      </c>
      <c r="B2764" s="1" t="str">
        <f>HYPERLINK("https://www.catalog.slsa.sa.gov.au/record=b2112168")</f>
        <v>https://www.catalog.slsa.sa.gov.au/record=b2112168</v>
      </c>
      <c r="C2764" s="1" t="str">
        <f>HYPERLINK("https://www.catalog.slsa.sa.gov.au/xrecord=b2112168")</f>
        <v>https://www.catalog.slsa.sa.gov.au/xrecord=b2112168</v>
      </c>
      <c r="D2764" t="s">
        <v>66</v>
      </c>
      <c r="E2764" t="s">
        <v>9771</v>
      </c>
      <c r="F2764">
        <v>1959</v>
      </c>
      <c r="G2764" t="s">
        <v>121</v>
      </c>
      <c r="H2764" t="s">
        <v>9772</v>
      </c>
      <c r="I2764" t="s">
        <v>9773</v>
      </c>
      <c r="J2764" t="s">
        <v>71</v>
      </c>
      <c r="K2764" s="2" t="str">
        <f>HYPERLINK("http://collections.slsa.sa.gov.au/arthur/02750/BRG347_2600.htm")</f>
        <v>http://collections.slsa.sa.gov.au/arthur/02750/BRG347_2600.htm</v>
      </c>
    </row>
    <row r="2765" spans="1:11" x14ac:dyDescent="0.25">
      <c r="A2765" t="s">
        <v>9774</v>
      </c>
      <c r="B2765" s="1" t="str">
        <f>HYPERLINK("https://www.catalog.slsa.sa.gov.au/record=b2112169")</f>
        <v>https://www.catalog.slsa.sa.gov.au/record=b2112169</v>
      </c>
      <c r="C2765" s="1" t="str">
        <f>HYPERLINK("https://www.catalog.slsa.sa.gov.au/xrecord=b2112169")</f>
        <v>https://www.catalog.slsa.sa.gov.au/xrecord=b2112169</v>
      </c>
      <c r="D2765" t="s">
        <v>66</v>
      </c>
      <c r="E2765" t="s">
        <v>9775</v>
      </c>
      <c r="F2765">
        <v>1959</v>
      </c>
      <c r="G2765" t="s">
        <v>121</v>
      </c>
      <c r="H2765" t="s">
        <v>9776</v>
      </c>
      <c r="I2765" t="s">
        <v>9777</v>
      </c>
      <c r="J2765" t="s">
        <v>71</v>
      </c>
      <c r="K2765" s="2" t="str">
        <f>HYPERLINK("http://collections.slsa.sa.gov.au/arthur/02750/BRG347_2601.htm")</f>
        <v>http://collections.slsa.sa.gov.au/arthur/02750/BRG347_2601.htm</v>
      </c>
    </row>
    <row r="2766" spans="1:11" x14ac:dyDescent="0.25">
      <c r="A2766" t="s">
        <v>9778</v>
      </c>
      <c r="B2766" s="1" t="str">
        <f>HYPERLINK("https://www.catalog.slsa.sa.gov.au/record=b2112170")</f>
        <v>https://www.catalog.slsa.sa.gov.au/record=b2112170</v>
      </c>
      <c r="C2766" s="1" t="str">
        <f>HYPERLINK("https://www.catalog.slsa.sa.gov.au/xrecord=b2112170")</f>
        <v>https://www.catalog.slsa.sa.gov.au/xrecord=b2112170</v>
      </c>
      <c r="D2766" t="s">
        <v>66</v>
      </c>
      <c r="E2766" t="s">
        <v>9779</v>
      </c>
      <c r="F2766">
        <v>1959</v>
      </c>
      <c r="G2766" t="s">
        <v>121</v>
      </c>
      <c r="H2766" t="s">
        <v>9780</v>
      </c>
      <c r="I2766" t="s">
        <v>9781</v>
      </c>
      <c r="J2766" t="s">
        <v>71</v>
      </c>
      <c r="K2766" s="2" t="str">
        <f>HYPERLINK("http://collections.slsa.sa.gov.au/arthur/02750/BRG347_2602.htm")</f>
        <v>http://collections.slsa.sa.gov.au/arthur/02750/BRG347_2602.htm</v>
      </c>
    </row>
    <row r="2767" spans="1:11" x14ac:dyDescent="0.25">
      <c r="A2767" t="s">
        <v>9782</v>
      </c>
      <c r="B2767" s="1" t="str">
        <f>HYPERLINK("https://www.catalog.slsa.sa.gov.au/record=b2112171")</f>
        <v>https://www.catalog.slsa.sa.gov.au/record=b2112171</v>
      </c>
      <c r="C2767" s="1" t="str">
        <f>HYPERLINK("https://www.catalog.slsa.sa.gov.au/xrecord=b2112171")</f>
        <v>https://www.catalog.slsa.sa.gov.au/xrecord=b2112171</v>
      </c>
      <c r="D2767" t="s">
        <v>66</v>
      </c>
      <c r="E2767" t="s">
        <v>9783</v>
      </c>
      <c r="F2767">
        <v>1959</v>
      </c>
      <c r="G2767" t="s">
        <v>121</v>
      </c>
      <c r="H2767" t="s">
        <v>9784</v>
      </c>
      <c r="I2767" t="s">
        <v>9785</v>
      </c>
      <c r="J2767" t="s">
        <v>71</v>
      </c>
      <c r="K2767" s="2" t="str">
        <f>HYPERLINK("http://collections.slsa.sa.gov.au/arthur/02750/BRG347_2603.htm")</f>
        <v>http://collections.slsa.sa.gov.au/arthur/02750/BRG347_2603.htm</v>
      </c>
    </row>
    <row r="2768" spans="1:11" x14ac:dyDescent="0.25">
      <c r="A2768" t="s">
        <v>9786</v>
      </c>
      <c r="B2768" s="1" t="str">
        <f>HYPERLINK("https://www.catalog.slsa.sa.gov.au/record=b2118018")</f>
        <v>https://www.catalog.slsa.sa.gov.au/record=b2118018</v>
      </c>
      <c r="C2768" s="1" t="str">
        <f>HYPERLINK("https://www.catalog.slsa.sa.gov.au/xrecord=b2118018")</f>
        <v>https://www.catalog.slsa.sa.gov.au/xrecord=b2118018</v>
      </c>
      <c r="D2768" t="s">
        <v>66</v>
      </c>
      <c r="E2768" t="s">
        <v>9787</v>
      </c>
      <c r="F2768">
        <v>1959</v>
      </c>
      <c r="G2768" t="s">
        <v>121</v>
      </c>
      <c r="H2768" t="s">
        <v>9788</v>
      </c>
      <c r="I2768" t="s">
        <v>9761</v>
      </c>
      <c r="J2768" t="s">
        <v>71</v>
      </c>
      <c r="K2768" s="2" t="str">
        <f>HYPERLINK("http://collections.slsa.sa.gov.au/arthur/02750/BRG347_2604.htm")</f>
        <v>http://collections.slsa.sa.gov.au/arthur/02750/BRG347_2604.htm</v>
      </c>
    </row>
    <row r="2769" spans="1:11" x14ac:dyDescent="0.25">
      <c r="A2769" t="s">
        <v>9789</v>
      </c>
      <c r="B2769" s="1" t="str">
        <f>HYPERLINK("https://www.catalog.slsa.sa.gov.au/record=b2112172")</f>
        <v>https://www.catalog.slsa.sa.gov.au/record=b2112172</v>
      </c>
      <c r="C2769" s="1" t="str">
        <f>HYPERLINK("https://www.catalog.slsa.sa.gov.au/xrecord=b2112172")</f>
        <v>https://www.catalog.slsa.sa.gov.au/xrecord=b2112172</v>
      </c>
      <c r="D2769" t="s">
        <v>66</v>
      </c>
      <c r="E2769" t="s">
        <v>8681</v>
      </c>
      <c r="F2769">
        <v>1959</v>
      </c>
      <c r="G2769" t="s">
        <v>121</v>
      </c>
      <c r="H2769" t="s">
        <v>9790</v>
      </c>
      <c r="I2769" t="s">
        <v>8686</v>
      </c>
      <c r="J2769" t="s">
        <v>71</v>
      </c>
      <c r="K2769" s="2" t="str">
        <f>HYPERLINK("http://collections.slsa.sa.gov.au/arthur/02750/BRG347_2605.htm")</f>
        <v>http://collections.slsa.sa.gov.au/arthur/02750/BRG347_2605.htm</v>
      </c>
    </row>
    <row r="2770" spans="1:11" x14ac:dyDescent="0.25">
      <c r="A2770" t="s">
        <v>9791</v>
      </c>
      <c r="B2770" s="1" t="str">
        <f>HYPERLINK("https://www.catalog.slsa.sa.gov.au/record=b2112173")</f>
        <v>https://www.catalog.slsa.sa.gov.au/record=b2112173</v>
      </c>
      <c r="C2770" s="1" t="str">
        <f>HYPERLINK("https://www.catalog.slsa.sa.gov.au/xrecord=b2112173")</f>
        <v>https://www.catalog.slsa.sa.gov.au/xrecord=b2112173</v>
      </c>
      <c r="D2770" t="s">
        <v>66</v>
      </c>
      <c r="E2770" t="s">
        <v>9792</v>
      </c>
      <c r="F2770">
        <v>1959</v>
      </c>
      <c r="G2770" t="s">
        <v>121</v>
      </c>
      <c r="H2770" t="s">
        <v>9793</v>
      </c>
      <c r="I2770" t="s">
        <v>7407</v>
      </c>
      <c r="J2770" t="s">
        <v>71</v>
      </c>
      <c r="K2770" s="2" t="str">
        <f>HYPERLINK("http://collections.slsa.sa.gov.au/arthur/02750/BRG347_2606.htm")</f>
        <v>http://collections.slsa.sa.gov.au/arthur/02750/BRG347_2606.htm</v>
      </c>
    </row>
    <row r="2771" spans="1:11" x14ac:dyDescent="0.25">
      <c r="A2771" t="s">
        <v>9794</v>
      </c>
      <c r="B2771" s="1" t="str">
        <f>HYPERLINK("https://www.catalog.slsa.sa.gov.au/record=b2112174")</f>
        <v>https://www.catalog.slsa.sa.gov.au/record=b2112174</v>
      </c>
      <c r="C2771" s="1" t="str">
        <f>HYPERLINK("https://www.catalog.slsa.sa.gov.au/xrecord=b2112174")</f>
        <v>https://www.catalog.slsa.sa.gov.au/xrecord=b2112174</v>
      </c>
      <c r="D2771" t="s">
        <v>66</v>
      </c>
      <c r="E2771" t="s">
        <v>9795</v>
      </c>
      <c r="F2771">
        <v>1959</v>
      </c>
      <c r="G2771" t="s">
        <v>121</v>
      </c>
      <c r="H2771" t="s">
        <v>9796</v>
      </c>
      <c r="I2771" t="s">
        <v>9797</v>
      </c>
      <c r="J2771" t="s">
        <v>71</v>
      </c>
      <c r="K2771" s="2" t="str">
        <f>HYPERLINK("http://collections.slsa.sa.gov.au/arthur/02750/BRG347_2607.htm")</f>
        <v>http://collections.slsa.sa.gov.au/arthur/02750/BRG347_2607.htm</v>
      </c>
    </row>
    <row r="2772" spans="1:11" x14ac:dyDescent="0.25">
      <c r="A2772" t="s">
        <v>9798</v>
      </c>
      <c r="B2772" s="1" t="str">
        <f>HYPERLINK("https://www.catalog.slsa.sa.gov.au/record=b2112175")</f>
        <v>https://www.catalog.slsa.sa.gov.au/record=b2112175</v>
      </c>
      <c r="C2772" s="1" t="str">
        <f>HYPERLINK("https://www.catalog.slsa.sa.gov.au/xrecord=b2112175")</f>
        <v>https://www.catalog.slsa.sa.gov.au/xrecord=b2112175</v>
      </c>
      <c r="D2772" t="s">
        <v>66</v>
      </c>
      <c r="E2772" t="s">
        <v>9799</v>
      </c>
      <c r="F2772">
        <v>1959</v>
      </c>
      <c r="G2772" t="s">
        <v>121</v>
      </c>
      <c r="H2772" t="s">
        <v>9800</v>
      </c>
      <c r="I2772" t="s">
        <v>9797</v>
      </c>
      <c r="J2772" t="s">
        <v>71</v>
      </c>
      <c r="K2772" s="2" t="str">
        <f>HYPERLINK("http://collections.slsa.sa.gov.au/arthur/02750/BRG347_2608.htm")</f>
        <v>http://collections.slsa.sa.gov.au/arthur/02750/BRG347_2608.htm</v>
      </c>
    </row>
    <row r="2773" spans="1:11" x14ac:dyDescent="0.25">
      <c r="A2773" t="s">
        <v>9801</v>
      </c>
      <c r="B2773" s="1" t="str">
        <f>HYPERLINK("https://www.catalog.slsa.sa.gov.au/record=b2112176")</f>
        <v>https://www.catalog.slsa.sa.gov.au/record=b2112176</v>
      </c>
      <c r="C2773" s="1" t="str">
        <f>HYPERLINK("https://www.catalog.slsa.sa.gov.au/xrecord=b2112176")</f>
        <v>https://www.catalog.slsa.sa.gov.au/xrecord=b2112176</v>
      </c>
      <c r="D2773" t="s">
        <v>66</v>
      </c>
      <c r="E2773" t="s">
        <v>9802</v>
      </c>
      <c r="F2773">
        <v>1959</v>
      </c>
      <c r="G2773" t="s">
        <v>121</v>
      </c>
      <c r="H2773" t="s">
        <v>9803</v>
      </c>
      <c r="I2773" t="s">
        <v>9804</v>
      </c>
      <c r="J2773" t="s">
        <v>71</v>
      </c>
      <c r="K2773" s="2" t="str">
        <f>HYPERLINK("http://collections.slsa.sa.gov.au/arthur/02750/BRG347_2609.htm")</f>
        <v>http://collections.slsa.sa.gov.au/arthur/02750/BRG347_2609.htm</v>
      </c>
    </row>
    <row r="2774" spans="1:11" x14ac:dyDescent="0.25">
      <c r="A2774" t="s">
        <v>9805</v>
      </c>
      <c r="B2774" s="1" t="str">
        <f>HYPERLINK("https://www.catalog.slsa.sa.gov.au/record=b2112177")</f>
        <v>https://www.catalog.slsa.sa.gov.au/record=b2112177</v>
      </c>
      <c r="C2774" s="1" t="str">
        <f>HYPERLINK("https://www.catalog.slsa.sa.gov.au/xrecord=b2112177")</f>
        <v>https://www.catalog.slsa.sa.gov.au/xrecord=b2112177</v>
      </c>
      <c r="D2774" t="s">
        <v>66</v>
      </c>
      <c r="E2774" t="s">
        <v>8681</v>
      </c>
      <c r="F2774">
        <v>1959</v>
      </c>
      <c r="G2774" t="s">
        <v>121</v>
      </c>
      <c r="H2774" t="s">
        <v>9806</v>
      </c>
      <c r="I2774" t="s">
        <v>8686</v>
      </c>
      <c r="J2774" t="s">
        <v>71</v>
      </c>
      <c r="K2774" s="2" t="str">
        <f>HYPERLINK("http://collections.slsa.sa.gov.au/arthur/02750/BRG347_2610.htm")</f>
        <v>http://collections.slsa.sa.gov.au/arthur/02750/BRG347_2610.htm</v>
      </c>
    </row>
    <row r="2775" spans="1:11" x14ac:dyDescent="0.25">
      <c r="A2775" t="s">
        <v>9807</v>
      </c>
      <c r="B2775" s="1" t="str">
        <f>HYPERLINK("https://www.catalog.slsa.sa.gov.au/record=b2112178")</f>
        <v>https://www.catalog.slsa.sa.gov.au/record=b2112178</v>
      </c>
      <c r="C2775" s="1" t="str">
        <f>HYPERLINK("https://www.catalog.slsa.sa.gov.au/xrecord=b2112178")</f>
        <v>https://www.catalog.slsa.sa.gov.au/xrecord=b2112178</v>
      </c>
      <c r="D2775" t="s">
        <v>66</v>
      </c>
      <c r="E2775" t="s">
        <v>8681</v>
      </c>
      <c r="F2775">
        <v>1959</v>
      </c>
      <c r="G2775" t="s">
        <v>121</v>
      </c>
      <c r="H2775" t="s">
        <v>9808</v>
      </c>
      <c r="I2775" t="s">
        <v>8686</v>
      </c>
      <c r="J2775" t="s">
        <v>71</v>
      </c>
      <c r="K2775" s="2" t="str">
        <f>HYPERLINK("http://collections.slsa.sa.gov.au/arthur/02750/BRG347_2611.htm")</f>
        <v>http://collections.slsa.sa.gov.au/arthur/02750/BRG347_2611.htm</v>
      </c>
    </row>
    <row r="2776" spans="1:11" x14ac:dyDescent="0.25">
      <c r="A2776" t="s">
        <v>9809</v>
      </c>
      <c r="B2776" s="1" t="str">
        <f>HYPERLINK("https://www.catalog.slsa.sa.gov.au/record=b2112179")</f>
        <v>https://www.catalog.slsa.sa.gov.au/record=b2112179</v>
      </c>
      <c r="C2776" s="1" t="str">
        <f>HYPERLINK("https://www.catalog.slsa.sa.gov.au/xrecord=b2112179")</f>
        <v>https://www.catalog.slsa.sa.gov.au/xrecord=b2112179</v>
      </c>
      <c r="D2776" t="s">
        <v>66</v>
      </c>
      <c r="E2776" t="s">
        <v>9810</v>
      </c>
      <c r="F2776">
        <v>1959</v>
      </c>
      <c r="G2776" t="s">
        <v>121</v>
      </c>
      <c r="H2776" t="s">
        <v>9811</v>
      </c>
      <c r="I2776" t="s">
        <v>9812</v>
      </c>
      <c r="J2776" t="s">
        <v>71</v>
      </c>
      <c r="K2776" s="2" t="str">
        <f>HYPERLINK("http://collections.slsa.sa.gov.au/arthur/02750/BRG347_2612.htm")</f>
        <v>http://collections.slsa.sa.gov.au/arthur/02750/BRG347_2612.htm</v>
      </c>
    </row>
    <row r="2777" spans="1:11" x14ac:dyDescent="0.25">
      <c r="A2777" t="s">
        <v>9813</v>
      </c>
      <c r="B2777" s="1" t="str">
        <f>HYPERLINK("https://www.catalog.slsa.sa.gov.au/record=b2112217")</f>
        <v>https://www.catalog.slsa.sa.gov.au/record=b2112217</v>
      </c>
      <c r="C2777" s="1" t="str">
        <f>HYPERLINK("https://www.catalog.slsa.sa.gov.au/xrecord=b2112217")</f>
        <v>https://www.catalog.slsa.sa.gov.au/xrecord=b2112217</v>
      </c>
      <c r="D2777" t="s">
        <v>66</v>
      </c>
      <c r="E2777" t="s">
        <v>9814</v>
      </c>
      <c r="F2777">
        <v>1959</v>
      </c>
      <c r="G2777" t="s">
        <v>121</v>
      </c>
      <c r="H2777" t="s">
        <v>9815</v>
      </c>
      <c r="I2777" t="s">
        <v>9816</v>
      </c>
      <c r="J2777" t="s">
        <v>71</v>
      </c>
      <c r="K2777" s="2" t="str">
        <f>HYPERLINK("http://collections.slsa.sa.gov.au/arthur/02750/BRG347_2649.htm")</f>
        <v>http://collections.slsa.sa.gov.au/arthur/02750/BRG347_2649.htm</v>
      </c>
    </row>
    <row r="2778" spans="1:11" x14ac:dyDescent="0.25">
      <c r="A2778" t="s">
        <v>9817</v>
      </c>
      <c r="B2778" s="1" t="str">
        <f>HYPERLINK("https://www.catalog.slsa.sa.gov.au/record=b2112221")</f>
        <v>https://www.catalog.slsa.sa.gov.au/record=b2112221</v>
      </c>
      <c r="C2778" s="1" t="str">
        <f>HYPERLINK("https://www.catalog.slsa.sa.gov.au/xrecord=b2112221")</f>
        <v>https://www.catalog.slsa.sa.gov.au/xrecord=b2112221</v>
      </c>
      <c r="D2778" t="s">
        <v>66</v>
      </c>
      <c r="E2778" t="s">
        <v>9814</v>
      </c>
      <c r="F2778">
        <v>1959</v>
      </c>
      <c r="G2778" t="s">
        <v>121</v>
      </c>
      <c r="H2778" t="s">
        <v>9818</v>
      </c>
      <c r="I2778" t="s">
        <v>9819</v>
      </c>
      <c r="J2778" t="s">
        <v>71</v>
      </c>
      <c r="K2778" s="2" t="str">
        <f>HYPERLINK("http://collections.slsa.sa.gov.au/arthur/02750/BRG347_2653.htm")</f>
        <v>http://collections.slsa.sa.gov.au/arthur/02750/BRG347_2653.htm</v>
      </c>
    </row>
    <row r="2779" spans="1:11" x14ac:dyDescent="0.25">
      <c r="A2779" t="s">
        <v>9820</v>
      </c>
      <c r="B2779" s="1" t="str">
        <f>HYPERLINK("https://www.catalog.slsa.sa.gov.au/record=b2112255")</f>
        <v>https://www.catalog.slsa.sa.gov.au/record=b2112255</v>
      </c>
      <c r="C2779" s="1" t="str">
        <f>HYPERLINK("https://www.catalog.slsa.sa.gov.au/xrecord=b2112255")</f>
        <v>https://www.catalog.slsa.sa.gov.au/xrecord=b2112255</v>
      </c>
      <c r="D2779" t="s">
        <v>66</v>
      </c>
      <c r="E2779" t="s">
        <v>9821</v>
      </c>
      <c r="F2779">
        <v>1959</v>
      </c>
      <c r="G2779" t="s">
        <v>121</v>
      </c>
      <c r="H2779" t="s">
        <v>9822</v>
      </c>
      <c r="I2779" t="s">
        <v>9823</v>
      </c>
      <c r="J2779" t="s">
        <v>71</v>
      </c>
      <c r="K2779" s="2" t="str">
        <f>HYPERLINK("http://collections.slsa.sa.gov.au/arthur/02750/BRG347_2689.htm")</f>
        <v>http://collections.slsa.sa.gov.au/arthur/02750/BRG347_2689.htm</v>
      </c>
    </row>
    <row r="2780" spans="1:11" x14ac:dyDescent="0.25">
      <c r="A2780" t="s">
        <v>9824</v>
      </c>
      <c r="B2780" s="1" t="str">
        <f>HYPERLINK("https://www.catalog.slsa.sa.gov.au/record=b2112256")</f>
        <v>https://www.catalog.slsa.sa.gov.au/record=b2112256</v>
      </c>
      <c r="C2780" s="1" t="str">
        <f>HYPERLINK("https://www.catalog.slsa.sa.gov.au/xrecord=b2112256")</f>
        <v>https://www.catalog.slsa.sa.gov.au/xrecord=b2112256</v>
      </c>
      <c r="D2780" t="s">
        <v>66</v>
      </c>
      <c r="E2780" t="s">
        <v>9821</v>
      </c>
      <c r="F2780">
        <v>1959</v>
      </c>
      <c r="G2780" t="s">
        <v>121</v>
      </c>
      <c r="H2780" t="s">
        <v>9822</v>
      </c>
      <c r="I2780" t="s">
        <v>9823</v>
      </c>
      <c r="J2780" t="s">
        <v>71</v>
      </c>
      <c r="K2780" s="2" t="str">
        <f>HYPERLINK("http://collections.slsa.sa.gov.au/arthur/02750/BRG347_2690.htm")</f>
        <v>http://collections.slsa.sa.gov.au/arthur/02750/BRG347_2690.htm</v>
      </c>
    </row>
    <row r="2781" spans="1:11" x14ac:dyDescent="0.25">
      <c r="A2781" t="s">
        <v>9825</v>
      </c>
      <c r="B2781" s="1" t="str">
        <f>HYPERLINK("https://www.catalog.slsa.sa.gov.au/record=b2112257")</f>
        <v>https://www.catalog.slsa.sa.gov.au/record=b2112257</v>
      </c>
      <c r="C2781" s="1" t="str">
        <f>HYPERLINK("https://www.catalog.slsa.sa.gov.au/xrecord=b2112257")</f>
        <v>https://www.catalog.slsa.sa.gov.au/xrecord=b2112257</v>
      </c>
      <c r="D2781" t="s">
        <v>66</v>
      </c>
      <c r="E2781" t="s">
        <v>9826</v>
      </c>
      <c r="F2781">
        <v>1959</v>
      </c>
      <c r="G2781" t="s">
        <v>121</v>
      </c>
      <c r="H2781" t="s">
        <v>9827</v>
      </c>
      <c r="I2781" t="s">
        <v>9828</v>
      </c>
      <c r="J2781" t="s">
        <v>71</v>
      </c>
      <c r="K2781" s="2" t="str">
        <f>HYPERLINK("http://collections.slsa.sa.gov.au/arthur/02750/BRG347_2691.htm")</f>
        <v>http://collections.slsa.sa.gov.au/arthur/02750/BRG347_2691.htm</v>
      </c>
    </row>
    <row r="2782" spans="1:11" x14ac:dyDescent="0.25">
      <c r="A2782" t="s">
        <v>9829</v>
      </c>
      <c r="B2782" s="1" t="str">
        <f>HYPERLINK("https://www.catalog.slsa.sa.gov.au/record=b2112258")</f>
        <v>https://www.catalog.slsa.sa.gov.au/record=b2112258</v>
      </c>
      <c r="C2782" s="1" t="str">
        <f>HYPERLINK("https://www.catalog.slsa.sa.gov.au/xrecord=b2112258")</f>
        <v>https://www.catalog.slsa.sa.gov.au/xrecord=b2112258</v>
      </c>
      <c r="D2782" t="s">
        <v>66</v>
      </c>
      <c r="E2782" t="s">
        <v>9826</v>
      </c>
      <c r="F2782">
        <v>1959</v>
      </c>
      <c r="G2782" t="s">
        <v>121</v>
      </c>
      <c r="H2782" t="s">
        <v>9827</v>
      </c>
      <c r="I2782" t="s">
        <v>9828</v>
      </c>
      <c r="J2782" t="s">
        <v>71</v>
      </c>
      <c r="K2782" s="2" t="str">
        <f>HYPERLINK("http://collections.slsa.sa.gov.au/arthur/02750/BRG347_2692.htm")</f>
        <v>http://collections.slsa.sa.gov.au/arthur/02750/BRG347_2692.htm</v>
      </c>
    </row>
    <row r="2783" spans="1:11" x14ac:dyDescent="0.25">
      <c r="A2783" t="s">
        <v>9830</v>
      </c>
      <c r="B2783" s="1" t="str">
        <f>HYPERLINK("https://www.catalog.slsa.sa.gov.au/record=b2118032")</f>
        <v>https://www.catalog.slsa.sa.gov.au/record=b2118032</v>
      </c>
      <c r="C2783" s="1" t="str">
        <f>HYPERLINK("https://www.catalog.slsa.sa.gov.au/xrecord=b2118032")</f>
        <v>https://www.catalog.slsa.sa.gov.au/xrecord=b2118032</v>
      </c>
      <c r="D2783" t="s">
        <v>66</v>
      </c>
      <c r="E2783" t="s">
        <v>9826</v>
      </c>
      <c r="F2783">
        <v>1959</v>
      </c>
      <c r="G2783" t="s">
        <v>121</v>
      </c>
      <c r="H2783" t="s">
        <v>9827</v>
      </c>
      <c r="I2783" t="s">
        <v>9828</v>
      </c>
      <c r="J2783" t="s">
        <v>71</v>
      </c>
      <c r="K2783" s="2" t="str">
        <f>HYPERLINK("http://collections.slsa.sa.gov.au/arthur/02750/BRG347_2693.htm")</f>
        <v>http://collections.slsa.sa.gov.au/arthur/02750/BRG347_2693.htm</v>
      </c>
    </row>
    <row r="2784" spans="1:11" x14ac:dyDescent="0.25">
      <c r="A2784" t="s">
        <v>9831</v>
      </c>
      <c r="B2784" s="1" t="str">
        <f>HYPERLINK("https://www.catalog.slsa.sa.gov.au/record=b2112789")</f>
        <v>https://www.catalog.slsa.sa.gov.au/record=b2112789</v>
      </c>
      <c r="C2784" s="1" t="str">
        <f>HYPERLINK("https://www.catalog.slsa.sa.gov.au/xrecord=b2112789")</f>
        <v>https://www.catalog.slsa.sa.gov.au/xrecord=b2112789</v>
      </c>
      <c r="D2784" t="s">
        <v>66</v>
      </c>
      <c r="E2784" t="s">
        <v>9832</v>
      </c>
      <c r="F2784">
        <v>1959</v>
      </c>
      <c r="G2784" t="s">
        <v>121</v>
      </c>
      <c r="H2784" t="s">
        <v>9833</v>
      </c>
      <c r="I2784" t="s">
        <v>9834</v>
      </c>
      <c r="J2784" t="s">
        <v>71</v>
      </c>
      <c r="K2784" s="2" t="str">
        <f>HYPERLINK("http://collections.slsa.sa.gov.au/arthur/03250/BRG347_3024.htm")</f>
        <v>http://collections.slsa.sa.gov.au/arthur/03250/BRG347_3024.htm</v>
      </c>
    </row>
    <row r="2785" spans="1:11" x14ac:dyDescent="0.25">
      <c r="A2785" t="s">
        <v>9835</v>
      </c>
      <c r="B2785" s="1" t="str">
        <f>HYPERLINK("https://www.catalog.slsa.sa.gov.au/record=b2112839")</f>
        <v>https://www.catalog.slsa.sa.gov.au/record=b2112839</v>
      </c>
      <c r="C2785" s="1" t="str">
        <f>HYPERLINK("https://www.catalog.slsa.sa.gov.au/xrecord=b2112839")</f>
        <v>https://www.catalog.slsa.sa.gov.au/xrecord=b2112839</v>
      </c>
      <c r="D2785" t="s">
        <v>66</v>
      </c>
      <c r="E2785" t="s">
        <v>9836</v>
      </c>
      <c r="F2785">
        <v>1959</v>
      </c>
      <c r="G2785" t="s">
        <v>121</v>
      </c>
      <c r="H2785" t="s">
        <v>9837</v>
      </c>
      <c r="I2785" t="s">
        <v>9838</v>
      </c>
      <c r="J2785" t="s">
        <v>71</v>
      </c>
      <c r="K2785" s="2" t="str">
        <f>HYPERLINK("http://collections.slsa.sa.gov.au/arthur/03250/BRG347_3075.htm")</f>
        <v>http://collections.slsa.sa.gov.au/arthur/03250/BRG347_3075.htm</v>
      </c>
    </row>
    <row r="2786" spans="1:11" x14ac:dyDescent="0.25">
      <c r="A2786" t="s">
        <v>9839</v>
      </c>
      <c r="B2786" s="1" t="str">
        <f>HYPERLINK("https://www.catalog.slsa.sa.gov.au/record=b2112840")</f>
        <v>https://www.catalog.slsa.sa.gov.au/record=b2112840</v>
      </c>
      <c r="C2786" s="1" t="str">
        <f>HYPERLINK("https://www.catalog.slsa.sa.gov.au/xrecord=b2112840")</f>
        <v>https://www.catalog.slsa.sa.gov.au/xrecord=b2112840</v>
      </c>
      <c r="D2786" t="s">
        <v>66</v>
      </c>
      <c r="E2786" t="s">
        <v>9840</v>
      </c>
      <c r="F2786">
        <v>1959</v>
      </c>
      <c r="G2786" t="s">
        <v>121</v>
      </c>
      <c r="H2786" t="s">
        <v>9841</v>
      </c>
      <c r="I2786" t="s">
        <v>9842</v>
      </c>
      <c r="J2786" t="s">
        <v>71</v>
      </c>
      <c r="K2786" s="2" t="str">
        <f>HYPERLINK("http://collections.slsa.sa.gov.au/arthur/03250/BRG347_3076.htm")</f>
        <v>http://collections.slsa.sa.gov.au/arthur/03250/BRG347_3076.htm</v>
      </c>
    </row>
    <row r="2787" spans="1:11" x14ac:dyDescent="0.25">
      <c r="A2787" t="s">
        <v>9843</v>
      </c>
      <c r="B2787" s="1" t="str">
        <f>HYPERLINK("https://www.catalog.slsa.sa.gov.au/record=b2112841")</f>
        <v>https://www.catalog.slsa.sa.gov.au/record=b2112841</v>
      </c>
      <c r="C2787" s="1" t="str">
        <f>HYPERLINK("https://www.catalog.slsa.sa.gov.au/xrecord=b2112841")</f>
        <v>https://www.catalog.slsa.sa.gov.au/xrecord=b2112841</v>
      </c>
      <c r="D2787" t="s">
        <v>66</v>
      </c>
      <c r="E2787" t="s">
        <v>9844</v>
      </c>
      <c r="F2787">
        <v>1959</v>
      </c>
      <c r="G2787" t="s">
        <v>121</v>
      </c>
      <c r="H2787" t="s">
        <v>9845</v>
      </c>
      <c r="I2787" t="s">
        <v>7489</v>
      </c>
      <c r="J2787" t="s">
        <v>71</v>
      </c>
      <c r="K2787" s="2" t="str">
        <f>HYPERLINK("http://collections.slsa.sa.gov.au/arthur/03250/BRG347_3077.htm")</f>
        <v>http://collections.slsa.sa.gov.au/arthur/03250/BRG347_3077.htm</v>
      </c>
    </row>
    <row r="2788" spans="1:11" x14ac:dyDescent="0.25">
      <c r="A2788" t="s">
        <v>9846</v>
      </c>
      <c r="B2788" s="1" t="str">
        <f>HYPERLINK("https://www.catalog.slsa.sa.gov.au/record=b2112842")</f>
        <v>https://www.catalog.slsa.sa.gov.au/record=b2112842</v>
      </c>
      <c r="C2788" s="1" t="str">
        <f>HYPERLINK("https://www.catalog.slsa.sa.gov.au/xrecord=b2112842")</f>
        <v>https://www.catalog.slsa.sa.gov.au/xrecord=b2112842</v>
      </c>
      <c r="D2788" t="s">
        <v>66</v>
      </c>
      <c r="E2788" t="s">
        <v>9847</v>
      </c>
      <c r="F2788">
        <v>1959</v>
      </c>
      <c r="G2788" t="s">
        <v>121</v>
      </c>
      <c r="H2788" t="s">
        <v>9848</v>
      </c>
      <c r="I2788" t="s">
        <v>9849</v>
      </c>
      <c r="J2788" t="s">
        <v>71</v>
      </c>
      <c r="K2788" s="2" t="str">
        <f>HYPERLINK("http://collections.slsa.sa.gov.au/arthur/03250/BRG347_3078.htm")</f>
        <v>http://collections.slsa.sa.gov.au/arthur/03250/BRG347_3078.htm</v>
      </c>
    </row>
    <row r="2789" spans="1:11" x14ac:dyDescent="0.25">
      <c r="A2789" t="s">
        <v>9850</v>
      </c>
      <c r="B2789" s="1" t="str">
        <f>HYPERLINK("https://www.catalog.slsa.sa.gov.au/record=b2112843")</f>
        <v>https://www.catalog.slsa.sa.gov.au/record=b2112843</v>
      </c>
      <c r="C2789" s="1" t="str">
        <f>HYPERLINK("https://www.catalog.slsa.sa.gov.au/xrecord=b2112843")</f>
        <v>https://www.catalog.slsa.sa.gov.au/xrecord=b2112843</v>
      </c>
      <c r="D2789" t="s">
        <v>66</v>
      </c>
      <c r="E2789" t="s">
        <v>9851</v>
      </c>
      <c r="F2789">
        <v>1959</v>
      </c>
      <c r="G2789" t="s">
        <v>121</v>
      </c>
      <c r="H2789" t="s">
        <v>9852</v>
      </c>
      <c r="I2789" t="s">
        <v>9853</v>
      </c>
      <c r="J2789" t="s">
        <v>71</v>
      </c>
      <c r="K2789" s="2" t="str">
        <f>HYPERLINK("http://collections.slsa.sa.gov.au/arthur/03250/BRG347_3079.htm")</f>
        <v>http://collections.slsa.sa.gov.au/arthur/03250/BRG347_3079.htm</v>
      </c>
    </row>
    <row r="2790" spans="1:11" x14ac:dyDescent="0.25">
      <c r="A2790" t="s">
        <v>9854</v>
      </c>
      <c r="B2790" s="1" t="str">
        <f>HYPERLINK("https://www.catalog.slsa.sa.gov.au/record=b2112844")</f>
        <v>https://www.catalog.slsa.sa.gov.au/record=b2112844</v>
      </c>
      <c r="C2790" s="1" t="str">
        <f>HYPERLINK("https://www.catalog.slsa.sa.gov.au/xrecord=b2112844")</f>
        <v>https://www.catalog.slsa.sa.gov.au/xrecord=b2112844</v>
      </c>
      <c r="D2790" t="s">
        <v>66</v>
      </c>
      <c r="E2790" t="s">
        <v>8574</v>
      </c>
      <c r="F2790">
        <v>1959</v>
      </c>
      <c r="G2790" t="s">
        <v>121</v>
      </c>
      <c r="H2790" t="s">
        <v>9855</v>
      </c>
      <c r="I2790" t="s">
        <v>9856</v>
      </c>
      <c r="J2790" t="s">
        <v>71</v>
      </c>
      <c r="K2790" s="2" t="str">
        <f>HYPERLINK("http://collections.slsa.sa.gov.au/arthur/03250/BRG347_3080.htm")</f>
        <v>http://collections.slsa.sa.gov.au/arthur/03250/BRG347_3080.htm</v>
      </c>
    </row>
    <row r="2791" spans="1:11" x14ac:dyDescent="0.25">
      <c r="A2791" t="s">
        <v>9857</v>
      </c>
      <c r="B2791" s="1" t="str">
        <f>HYPERLINK("https://www.catalog.slsa.sa.gov.au/record=b2112845")</f>
        <v>https://www.catalog.slsa.sa.gov.au/record=b2112845</v>
      </c>
      <c r="C2791" s="1" t="str">
        <f>HYPERLINK("https://www.catalog.slsa.sa.gov.au/xrecord=b2112845")</f>
        <v>https://www.catalog.slsa.sa.gov.au/xrecord=b2112845</v>
      </c>
      <c r="D2791" t="s">
        <v>66</v>
      </c>
      <c r="E2791" t="s">
        <v>9858</v>
      </c>
      <c r="F2791">
        <v>1959</v>
      </c>
      <c r="G2791" t="s">
        <v>121</v>
      </c>
      <c r="H2791" t="s">
        <v>9859</v>
      </c>
      <c r="I2791" t="s">
        <v>9860</v>
      </c>
      <c r="J2791" t="s">
        <v>71</v>
      </c>
      <c r="K2791" s="2" t="str">
        <f>HYPERLINK("http://collections.slsa.sa.gov.au/arthur/03250/BRG347_3081.htm")</f>
        <v>http://collections.slsa.sa.gov.au/arthur/03250/BRG347_3081.htm</v>
      </c>
    </row>
    <row r="2792" spans="1:11" x14ac:dyDescent="0.25">
      <c r="A2792" t="s">
        <v>9861</v>
      </c>
      <c r="B2792" s="1" t="str">
        <f>HYPERLINK("https://www.catalog.slsa.sa.gov.au/record=b2112846")</f>
        <v>https://www.catalog.slsa.sa.gov.au/record=b2112846</v>
      </c>
      <c r="C2792" s="1" t="str">
        <f>HYPERLINK("https://www.catalog.slsa.sa.gov.au/xrecord=b2112846")</f>
        <v>https://www.catalog.slsa.sa.gov.au/xrecord=b2112846</v>
      </c>
      <c r="D2792" t="s">
        <v>66</v>
      </c>
      <c r="E2792" t="s">
        <v>8526</v>
      </c>
      <c r="F2792">
        <v>1959</v>
      </c>
      <c r="G2792" t="s">
        <v>121</v>
      </c>
      <c r="H2792" t="s">
        <v>9862</v>
      </c>
      <c r="I2792" t="s">
        <v>9863</v>
      </c>
      <c r="J2792" t="s">
        <v>71</v>
      </c>
      <c r="K2792" s="2" t="str">
        <f>HYPERLINK("http://collections.slsa.sa.gov.au/arthur/03250/BRG347_3082.htm")</f>
        <v>http://collections.slsa.sa.gov.au/arthur/03250/BRG347_3082.htm</v>
      </c>
    </row>
    <row r="2793" spans="1:11" x14ac:dyDescent="0.25">
      <c r="A2793" t="s">
        <v>9864</v>
      </c>
      <c r="B2793" s="1" t="str">
        <f>HYPERLINK("https://www.catalog.slsa.sa.gov.au/record=b2113254")</f>
        <v>https://www.catalog.slsa.sa.gov.au/record=b2113254</v>
      </c>
      <c r="C2793" s="1" t="str">
        <f>HYPERLINK("https://www.catalog.slsa.sa.gov.au/xrecord=b2113254")</f>
        <v>https://www.catalog.slsa.sa.gov.au/xrecord=b2113254</v>
      </c>
      <c r="D2793" t="s">
        <v>66</v>
      </c>
      <c r="E2793" t="s">
        <v>9865</v>
      </c>
      <c r="F2793">
        <v>1959</v>
      </c>
      <c r="G2793" t="s">
        <v>121</v>
      </c>
      <c r="H2793" t="s">
        <v>9866</v>
      </c>
      <c r="I2793" t="s">
        <v>9867</v>
      </c>
      <c r="J2793" t="s">
        <v>71</v>
      </c>
      <c r="K2793" s="2" t="str">
        <f>HYPERLINK("http://collections.slsa.sa.gov.au/arthur/03500/BRG347_3376.htm")</f>
        <v>http://collections.slsa.sa.gov.au/arthur/03500/BRG347_3376.htm</v>
      </c>
    </row>
    <row r="2794" spans="1:11" x14ac:dyDescent="0.25">
      <c r="A2794" t="s">
        <v>9868</v>
      </c>
      <c r="B2794" s="1" t="str">
        <f>HYPERLINK("https://www.catalog.slsa.sa.gov.au/record=b2113255")</f>
        <v>https://www.catalog.slsa.sa.gov.au/record=b2113255</v>
      </c>
      <c r="C2794" s="1" t="str">
        <f>HYPERLINK("https://www.catalog.slsa.sa.gov.au/xrecord=b2113255")</f>
        <v>https://www.catalog.slsa.sa.gov.au/xrecord=b2113255</v>
      </c>
      <c r="D2794" t="s">
        <v>66</v>
      </c>
      <c r="E2794" t="s">
        <v>9869</v>
      </c>
      <c r="F2794">
        <v>1959</v>
      </c>
      <c r="G2794" t="s">
        <v>121</v>
      </c>
      <c r="H2794" t="s">
        <v>9870</v>
      </c>
      <c r="I2794" t="s">
        <v>9871</v>
      </c>
      <c r="J2794" t="s">
        <v>71</v>
      </c>
      <c r="K2794" s="2" t="str">
        <f>HYPERLINK("http://collections.slsa.sa.gov.au/arthur/03500/BRG347_3377.htm")</f>
        <v>http://collections.slsa.sa.gov.au/arthur/03500/BRG347_3377.htm</v>
      </c>
    </row>
    <row r="2795" spans="1:11" x14ac:dyDescent="0.25">
      <c r="A2795" t="s">
        <v>9872</v>
      </c>
      <c r="B2795" s="1" t="str">
        <f>HYPERLINK("https://www.catalog.slsa.sa.gov.au/record=b2117874")</f>
        <v>https://www.catalog.slsa.sa.gov.au/record=b2117874</v>
      </c>
      <c r="C2795" s="1" t="str">
        <f>HYPERLINK("https://www.catalog.slsa.sa.gov.au/xrecord=b2117874")</f>
        <v>https://www.catalog.slsa.sa.gov.au/xrecord=b2117874</v>
      </c>
      <c r="D2795" t="s">
        <v>66</v>
      </c>
      <c r="E2795" t="s">
        <v>9873</v>
      </c>
      <c r="F2795">
        <v>1959</v>
      </c>
      <c r="G2795" t="s">
        <v>121</v>
      </c>
      <c r="H2795" t="s">
        <v>9874</v>
      </c>
      <c r="I2795" t="s">
        <v>9875</v>
      </c>
      <c r="J2795" t="s">
        <v>71</v>
      </c>
      <c r="K2795" s="2" t="str">
        <f>HYPERLINK("http://collections.slsa.sa.gov.au/arthur/03500/BRG347_3378.htm")</f>
        <v>http://collections.slsa.sa.gov.au/arthur/03500/BRG347_3378.htm</v>
      </c>
    </row>
    <row r="2796" spans="1:11" x14ac:dyDescent="0.25">
      <c r="A2796" t="s">
        <v>9876</v>
      </c>
      <c r="B2796" s="1" t="str">
        <f>HYPERLINK("https://www.catalog.slsa.sa.gov.au/record=b2113256")</f>
        <v>https://www.catalog.slsa.sa.gov.au/record=b2113256</v>
      </c>
      <c r="C2796" s="1" t="str">
        <f>HYPERLINK("https://www.catalog.slsa.sa.gov.au/xrecord=b2113256")</f>
        <v>https://www.catalog.slsa.sa.gov.au/xrecord=b2113256</v>
      </c>
      <c r="D2796" t="s">
        <v>66</v>
      </c>
      <c r="E2796" t="s">
        <v>1013</v>
      </c>
      <c r="F2796">
        <v>1959</v>
      </c>
      <c r="G2796" t="s">
        <v>121</v>
      </c>
      <c r="H2796" t="s">
        <v>9877</v>
      </c>
      <c r="I2796" t="s">
        <v>9878</v>
      </c>
      <c r="J2796" t="s">
        <v>71</v>
      </c>
      <c r="K2796" s="2" t="str">
        <f>HYPERLINK("http://collections.slsa.sa.gov.au/arthur/03500/BRG347_3379.htm")</f>
        <v>http://collections.slsa.sa.gov.au/arthur/03500/BRG347_3379.htm</v>
      </c>
    </row>
    <row r="2797" spans="1:11" x14ac:dyDescent="0.25">
      <c r="A2797" t="s">
        <v>9879</v>
      </c>
      <c r="B2797" s="1" t="str">
        <f>HYPERLINK("https://www.catalog.slsa.sa.gov.au/record=b2113257")</f>
        <v>https://www.catalog.slsa.sa.gov.au/record=b2113257</v>
      </c>
      <c r="C2797" s="1" t="str">
        <f>HYPERLINK("https://www.catalog.slsa.sa.gov.au/xrecord=b2113257")</f>
        <v>https://www.catalog.slsa.sa.gov.au/xrecord=b2113257</v>
      </c>
      <c r="D2797" t="s">
        <v>66</v>
      </c>
      <c r="E2797" t="s">
        <v>9880</v>
      </c>
      <c r="F2797">
        <v>1959</v>
      </c>
      <c r="G2797" t="s">
        <v>121</v>
      </c>
      <c r="H2797" t="s">
        <v>9881</v>
      </c>
      <c r="I2797" t="s">
        <v>9882</v>
      </c>
      <c r="J2797" t="s">
        <v>71</v>
      </c>
      <c r="K2797" s="2" t="str">
        <f>HYPERLINK("http://collections.slsa.sa.gov.au/arthur/03500/BRG347_3380.htm")</f>
        <v>http://collections.slsa.sa.gov.au/arthur/03500/BRG347_3380.htm</v>
      </c>
    </row>
    <row r="2798" spans="1:11" x14ac:dyDescent="0.25">
      <c r="A2798" t="s">
        <v>9883</v>
      </c>
      <c r="B2798" s="1" t="str">
        <f>HYPERLINK("https://www.catalog.slsa.sa.gov.au/record=b2113258")</f>
        <v>https://www.catalog.slsa.sa.gov.au/record=b2113258</v>
      </c>
      <c r="C2798" s="1" t="str">
        <f>HYPERLINK("https://www.catalog.slsa.sa.gov.au/xrecord=b2113258")</f>
        <v>https://www.catalog.slsa.sa.gov.au/xrecord=b2113258</v>
      </c>
      <c r="D2798" t="s">
        <v>66</v>
      </c>
      <c r="E2798" t="s">
        <v>9884</v>
      </c>
      <c r="F2798">
        <v>1959</v>
      </c>
      <c r="G2798" t="s">
        <v>121</v>
      </c>
      <c r="H2798" t="s">
        <v>9885</v>
      </c>
      <c r="I2798" t="s">
        <v>9886</v>
      </c>
      <c r="J2798" t="s">
        <v>71</v>
      </c>
      <c r="K2798" s="2" t="str">
        <f>HYPERLINK("http://collections.slsa.sa.gov.au/arthur/03500/BRG347_3381.htm")</f>
        <v>http://collections.slsa.sa.gov.au/arthur/03500/BRG347_3381.htm</v>
      </c>
    </row>
    <row r="2799" spans="1:11" x14ac:dyDescent="0.25">
      <c r="A2799" t="s">
        <v>9887</v>
      </c>
      <c r="B2799" s="1" t="str">
        <f>HYPERLINK("https://www.catalog.slsa.sa.gov.au/record=b2117724")</f>
        <v>https://www.catalog.slsa.sa.gov.au/record=b2117724</v>
      </c>
      <c r="C2799" s="1" t="str">
        <f>HYPERLINK("https://www.catalog.slsa.sa.gov.au/xrecord=b2117724")</f>
        <v>https://www.catalog.slsa.sa.gov.au/xrecord=b2117724</v>
      </c>
      <c r="D2799" t="s">
        <v>66</v>
      </c>
      <c r="E2799" t="s">
        <v>9888</v>
      </c>
      <c r="F2799">
        <v>1959</v>
      </c>
      <c r="G2799" t="s">
        <v>121</v>
      </c>
      <c r="H2799" t="s">
        <v>9889</v>
      </c>
      <c r="I2799" t="s">
        <v>9890</v>
      </c>
      <c r="J2799" t="s">
        <v>71</v>
      </c>
      <c r="K2799" s="2" t="str">
        <f>HYPERLINK("http://collections.slsa.sa.gov.au/arthur/03500/BRG347_3382.htm")</f>
        <v>http://collections.slsa.sa.gov.au/arthur/03500/BRG347_3382.htm</v>
      </c>
    </row>
    <row r="2800" spans="1:11" x14ac:dyDescent="0.25">
      <c r="A2800" t="s">
        <v>9891</v>
      </c>
      <c r="B2800" s="1" t="str">
        <f>HYPERLINK("https://www.catalog.slsa.sa.gov.au/record=b2113259")</f>
        <v>https://www.catalog.slsa.sa.gov.au/record=b2113259</v>
      </c>
      <c r="C2800" s="1" t="str">
        <f>HYPERLINK("https://www.catalog.slsa.sa.gov.au/xrecord=b2113259")</f>
        <v>https://www.catalog.slsa.sa.gov.au/xrecord=b2113259</v>
      </c>
      <c r="D2800" t="s">
        <v>66</v>
      </c>
      <c r="E2800" t="s">
        <v>9892</v>
      </c>
      <c r="F2800">
        <v>1959</v>
      </c>
      <c r="G2800" t="s">
        <v>121</v>
      </c>
      <c r="H2800" t="s">
        <v>9893</v>
      </c>
      <c r="I2800" t="s">
        <v>9894</v>
      </c>
      <c r="J2800" t="s">
        <v>71</v>
      </c>
      <c r="K2800" s="2" t="str">
        <f>HYPERLINK("http://collections.slsa.sa.gov.au/arthur/03500/BRG347_3383.htm")</f>
        <v>http://collections.slsa.sa.gov.au/arthur/03500/BRG347_3383.htm</v>
      </c>
    </row>
    <row r="2801" spans="1:11" x14ac:dyDescent="0.25">
      <c r="A2801" t="s">
        <v>9895</v>
      </c>
      <c r="B2801" s="1" t="str">
        <f>HYPERLINK("https://www.catalog.slsa.sa.gov.au/record=b2113265")</f>
        <v>https://www.catalog.slsa.sa.gov.au/record=b2113265</v>
      </c>
      <c r="C2801" s="1" t="str">
        <f>HYPERLINK("https://www.catalog.slsa.sa.gov.au/xrecord=b2113265")</f>
        <v>https://www.catalog.slsa.sa.gov.au/xrecord=b2113265</v>
      </c>
      <c r="D2801" t="s">
        <v>66</v>
      </c>
      <c r="E2801" t="s">
        <v>9896</v>
      </c>
      <c r="F2801">
        <v>1959</v>
      </c>
      <c r="G2801" t="s">
        <v>121</v>
      </c>
      <c r="H2801" t="s">
        <v>9897</v>
      </c>
      <c r="I2801" t="s">
        <v>9898</v>
      </c>
      <c r="J2801" t="s">
        <v>71</v>
      </c>
      <c r="K2801" s="2" t="str">
        <f>HYPERLINK("http://collections.slsa.sa.gov.au/arthur/03500/BRG347_3389.htm")</f>
        <v>http://collections.slsa.sa.gov.au/arthur/03500/BRG347_3389.htm</v>
      </c>
    </row>
    <row r="2802" spans="1:11" x14ac:dyDescent="0.25">
      <c r="A2802" t="s">
        <v>9899</v>
      </c>
      <c r="B2802" s="1" t="str">
        <f>HYPERLINK("https://www.catalog.slsa.sa.gov.au/record=b2113795")</f>
        <v>https://www.catalog.slsa.sa.gov.au/record=b2113795</v>
      </c>
      <c r="C2802" s="1" t="str">
        <f>HYPERLINK("https://www.catalog.slsa.sa.gov.au/xrecord=b2113795")</f>
        <v>https://www.catalog.slsa.sa.gov.au/xrecord=b2113795</v>
      </c>
      <c r="D2802" t="s">
        <v>66</v>
      </c>
      <c r="E2802" t="s">
        <v>9900</v>
      </c>
      <c r="F2802">
        <v>1959</v>
      </c>
      <c r="G2802" t="s">
        <v>121</v>
      </c>
      <c r="H2802" t="s">
        <v>9901</v>
      </c>
      <c r="I2802" t="s">
        <v>9902</v>
      </c>
      <c r="J2802" t="s">
        <v>71</v>
      </c>
      <c r="K2802" s="2" t="str">
        <f>HYPERLINK("http://collections.slsa.sa.gov.au/arthur/04000/BRG347_3828.htm")</f>
        <v>http://collections.slsa.sa.gov.au/arthur/04000/BRG347_3828.htm</v>
      </c>
    </row>
    <row r="2803" spans="1:11" x14ac:dyDescent="0.25">
      <c r="A2803" t="s">
        <v>9903</v>
      </c>
      <c r="B2803" s="1" t="str">
        <f>HYPERLINK("https://www.catalog.slsa.sa.gov.au/record=b2113796")</f>
        <v>https://www.catalog.slsa.sa.gov.au/record=b2113796</v>
      </c>
      <c r="C2803" s="1" t="str">
        <f>HYPERLINK("https://www.catalog.slsa.sa.gov.au/xrecord=b2113796")</f>
        <v>https://www.catalog.slsa.sa.gov.au/xrecord=b2113796</v>
      </c>
      <c r="D2803" t="s">
        <v>66</v>
      </c>
      <c r="E2803" t="s">
        <v>8948</v>
      </c>
      <c r="F2803">
        <v>1959</v>
      </c>
      <c r="G2803" t="s">
        <v>121</v>
      </c>
      <c r="H2803" t="s">
        <v>9904</v>
      </c>
      <c r="I2803" t="s">
        <v>9905</v>
      </c>
      <c r="J2803" t="s">
        <v>71</v>
      </c>
      <c r="K2803" s="2" t="str">
        <f>HYPERLINK("http://collections.slsa.sa.gov.au/arthur/04000/BRG347_3829.htm")</f>
        <v>http://collections.slsa.sa.gov.au/arthur/04000/BRG347_3829.htm</v>
      </c>
    </row>
    <row r="2804" spans="1:11" x14ac:dyDescent="0.25">
      <c r="A2804" t="s">
        <v>9906</v>
      </c>
      <c r="B2804" s="1" t="str">
        <f>HYPERLINK("https://www.catalog.slsa.sa.gov.au/record=b2113797")</f>
        <v>https://www.catalog.slsa.sa.gov.au/record=b2113797</v>
      </c>
      <c r="C2804" s="1" t="str">
        <f>HYPERLINK("https://www.catalog.slsa.sa.gov.au/xrecord=b2113797")</f>
        <v>https://www.catalog.slsa.sa.gov.au/xrecord=b2113797</v>
      </c>
      <c r="D2804" t="s">
        <v>66</v>
      </c>
      <c r="E2804" t="s">
        <v>9907</v>
      </c>
      <c r="F2804">
        <v>1959</v>
      </c>
      <c r="G2804" t="s">
        <v>121</v>
      </c>
      <c r="H2804" t="s">
        <v>9908</v>
      </c>
      <c r="I2804" t="s">
        <v>9909</v>
      </c>
      <c r="J2804" t="s">
        <v>71</v>
      </c>
      <c r="K2804" s="2" t="str">
        <f>HYPERLINK("http://collections.slsa.sa.gov.au/arthur/04000/BRG347_3830.htm")</f>
        <v>http://collections.slsa.sa.gov.au/arthur/04000/BRG347_3830.htm</v>
      </c>
    </row>
    <row r="2805" spans="1:11" x14ac:dyDescent="0.25">
      <c r="A2805" t="s">
        <v>9910</v>
      </c>
      <c r="B2805" s="1" t="str">
        <f>HYPERLINK("https://www.catalog.slsa.sa.gov.au/record=b2113798")</f>
        <v>https://www.catalog.slsa.sa.gov.au/record=b2113798</v>
      </c>
      <c r="C2805" s="1" t="str">
        <f>HYPERLINK("https://www.catalog.slsa.sa.gov.au/xrecord=b2113798")</f>
        <v>https://www.catalog.slsa.sa.gov.au/xrecord=b2113798</v>
      </c>
      <c r="D2805" t="s">
        <v>66</v>
      </c>
      <c r="E2805" t="s">
        <v>9911</v>
      </c>
      <c r="F2805">
        <v>1959</v>
      </c>
      <c r="G2805" t="s">
        <v>121</v>
      </c>
      <c r="H2805" t="s">
        <v>9912</v>
      </c>
      <c r="I2805" t="s">
        <v>9913</v>
      </c>
      <c r="J2805" t="s">
        <v>71</v>
      </c>
      <c r="K2805" s="2" t="str">
        <f>HYPERLINK("http://collections.slsa.sa.gov.au/arthur/04000/BRG347_3831.htm")</f>
        <v>http://collections.slsa.sa.gov.au/arthur/04000/BRG347_3831.htm</v>
      </c>
    </row>
    <row r="2806" spans="1:11" x14ac:dyDescent="0.25">
      <c r="A2806" t="s">
        <v>9914</v>
      </c>
      <c r="B2806" s="1" t="str">
        <f>HYPERLINK("https://www.catalog.slsa.sa.gov.au/record=b2113799")</f>
        <v>https://www.catalog.slsa.sa.gov.au/record=b2113799</v>
      </c>
      <c r="C2806" s="1" t="str">
        <f>HYPERLINK("https://www.catalog.slsa.sa.gov.au/xrecord=b2113799")</f>
        <v>https://www.catalog.slsa.sa.gov.au/xrecord=b2113799</v>
      </c>
      <c r="D2806" t="s">
        <v>66</v>
      </c>
      <c r="E2806" t="s">
        <v>9915</v>
      </c>
      <c r="F2806">
        <v>1959</v>
      </c>
      <c r="G2806" t="s">
        <v>121</v>
      </c>
      <c r="H2806" t="s">
        <v>9916</v>
      </c>
      <c r="I2806" t="s">
        <v>9917</v>
      </c>
      <c r="J2806" t="s">
        <v>71</v>
      </c>
      <c r="K2806" s="2" t="str">
        <f>HYPERLINK("http://collections.slsa.sa.gov.au/arthur/04000/BRG347_3832.htm")</f>
        <v>http://collections.slsa.sa.gov.au/arthur/04000/BRG347_3832.htm</v>
      </c>
    </row>
    <row r="2807" spans="1:11" x14ac:dyDescent="0.25">
      <c r="A2807" t="s">
        <v>9918</v>
      </c>
      <c r="B2807" s="1" t="str">
        <f>HYPERLINK("https://www.catalog.slsa.sa.gov.au/record=b2113800")</f>
        <v>https://www.catalog.slsa.sa.gov.au/record=b2113800</v>
      </c>
      <c r="C2807" s="1" t="str">
        <f>HYPERLINK("https://www.catalog.slsa.sa.gov.au/xrecord=b2113800")</f>
        <v>https://www.catalog.slsa.sa.gov.au/xrecord=b2113800</v>
      </c>
      <c r="D2807" t="s">
        <v>66</v>
      </c>
      <c r="E2807" t="s">
        <v>9919</v>
      </c>
      <c r="F2807">
        <v>1959</v>
      </c>
      <c r="G2807" t="s">
        <v>121</v>
      </c>
      <c r="H2807" t="s">
        <v>9920</v>
      </c>
      <c r="I2807" t="s">
        <v>9921</v>
      </c>
      <c r="J2807" t="s">
        <v>71</v>
      </c>
      <c r="K2807" s="2" t="str">
        <f>HYPERLINK("http://collections.slsa.sa.gov.au/arthur/04000/BRG347_3833.htm")</f>
        <v>http://collections.slsa.sa.gov.au/arthur/04000/BRG347_3833.htm</v>
      </c>
    </row>
    <row r="2808" spans="1:11" x14ac:dyDescent="0.25">
      <c r="A2808" t="s">
        <v>9922</v>
      </c>
      <c r="B2808" s="1" t="str">
        <f>HYPERLINK("https://www.catalog.slsa.sa.gov.au/record=b2113801")</f>
        <v>https://www.catalog.slsa.sa.gov.au/record=b2113801</v>
      </c>
      <c r="C2808" s="1" t="str">
        <f>HYPERLINK("https://www.catalog.slsa.sa.gov.au/xrecord=b2113801")</f>
        <v>https://www.catalog.slsa.sa.gov.au/xrecord=b2113801</v>
      </c>
      <c r="D2808" t="s">
        <v>66</v>
      </c>
      <c r="E2808" t="s">
        <v>9923</v>
      </c>
      <c r="F2808">
        <v>1959</v>
      </c>
      <c r="G2808" t="s">
        <v>121</v>
      </c>
      <c r="H2808" t="s">
        <v>9924</v>
      </c>
      <c r="I2808" t="s">
        <v>9925</v>
      </c>
      <c r="J2808" t="s">
        <v>71</v>
      </c>
      <c r="K2808" s="2" t="str">
        <f>HYPERLINK("http://collections.slsa.sa.gov.au/arthur/04000/BRG347_3834.htm")</f>
        <v>http://collections.slsa.sa.gov.au/arthur/04000/BRG347_3834.htm</v>
      </c>
    </row>
    <row r="2809" spans="1:11" x14ac:dyDescent="0.25">
      <c r="A2809" t="s">
        <v>9926</v>
      </c>
      <c r="B2809" s="1" t="str">
        <f>HYPERLINK("https://www.catalog.slsa.sa.gov.au/record=b2113802")</f>
        <v>https://www.catalog.slsa.sa.gov.au/record=b2113802</v>
      </c>
      <c r="C2809" s="1" t="str">
        <f>HYPERLINK("https://www.catalog.slsa.sa.gov.au/xrecord=b2113802")</f>
        <v>https://www.catalog.slsa.sa.gov.au/xrecord=b2113802</v>
      </c>
      <c r="D2809" t="s">
        <v>66</v>
      </c>
      <c r="E2809" t="s">
        <v>9927</v>
      </c>
      <c r="F2809">
        <v>1959</v>
      </c>
      <c r="G2809" t="s">
        <v>121</v>
      </c>
      <c r="H2809" t="s">
        <v>9928</v>
      </c>
      <c r="I2809" t="s">
        <v>9929</v>
      </c>
      <c r="J2809" t="s">
        <v>71</v>
      </c>
      <c r="K2809" s="2" t="str">
        <f>HYPERLINK("http://collections.slsa.sa.gov.au/arthur/04000/BRG347_3835.htm")</f>
        <v>http://collections.slsa.sa.gov.au/arthur/04000/BRG347_3835.htm</v>
      </c>
    </row>
    <row r="2810" spans="1:11" x14ac:dyDescent="0.25">
      <c r="A2810" t="s">
        <v>9930</v>
      </c>
      <c r="B2810" s="1" t="str">
        <f>HYPERLINK("https://www.catalog.slsa.sa.gov.au/record=b2113803")</f>
        <v>https://www.catalog.slsa.sa.gov.au/record=b2113803</v>
      </c>
      <c r="C2810" s="1" t="str">
        <f>HYPERLINK("https://www.catalog.slsa.sa.gov.au/xrecord=b2113803")</f>
        <v>https://www.catalog.slsa.sa.gov.au/xrecord=b2113803</v>
      </c>
      <c r="D2810" t="s">
        <v>66</v>
      </c>
      <c r="E2810" t="s">
        <v>9931</v>
      </c>
      <c r="F2810">
        <v>1959</v>
      </c>
      <c r="G2810" t="s">
        <v>121</v>
      </c>
      <c r="H2810" t="s">
        <v>9932</v>
      </c>
      <c r="I2810" t="s">
        <v>9933</v>
      </c>
      <c r="J2810" t="s">
        <v>71</v>
      </c>
      <c r="K2810" s="2" t="str">
        <f>HYPERLINK("http://collections.slsa.sa.gov.au/arthur/04000/BRG347_3835A.htm")</f>
        <v>http://collections.slsa.sa.gov.au/arthur/04000/BRG347_3835A.htm</v>
      </c>
    </row>
    <row r="2811" spans="1:11" x14ac:dyDescent="0.25">
      <c r="A2811" t="s">
        <v>9934</v>
      </c>
      <c r="B2811" s="1" t="str">
        <f>HYPERLINK("https://www.catalog.slsa.sa.gov.au/record=b2113805")</f>
        <v>https://www.catalog.slsa.sa.gov.au/record=b2113805</v>
      </c>
      <c r="C2811" s="1" t="str">
        <f>HYPERLINK("https://www.catalog.slsa.sa.gov.au/xrecord=b2113805")</f>
        <v>https://www.catalog.slsa.sa.gov.au/xrecord=b2113805</v>
      </c>
      <c r="D2811" t="s">
        <v>66</v>
      </c>
      <c r="E2811" t="s">
        <v>9935</v>
      </c>
      <c r="F2811">
        <v>1959</v>
      </c>
      <c r="G2811" t="s">
        <v>121</v>
      </c>
      <c r="H2811" t="s">
        <v>9936</v>
      </c>
      <c r="I2811" t="s">
        <v>9937</v>
      </c>
      <c r="J2811" t="s">
        <v>71</v>
      </c>
      <c r="K2811" s="2" t="str">
        <f>HYPERLINK("http://collections.slsa.sa.gov.au/arthur/04000/BRG347_3836.htm")</f>
        <v>http://collections.slsa.sa.gov.au/arthur/04000/BRG347_3836.htm</v>
      </c>
    </row>
    <row r="2812" spans="1:11" x14ac:dyDescent="0.25">
      <c r="A2812" t="s">
        <v>9938</v>
      </c>
      <c r="B2812" s="1" t="str">
        <f>HYPERLINK("https://www.catalog.slsa.sa.gov.au/record=b2113806")</f>
        <v>https://www.catalog.slsa.sa.gov.au/record=b2113806</v>
      </c>
      <c r="C2812" s="1" t="str">
        <f>HYPERLINK("https://www.catalog.slsa.sa.gov.au/xrecord=b2113806")</f>
        <v>https://www.catalog.slsa.sa.gov.au/xrecord=b2113806</v>
      </c>
      <c r="D2812" t="s">
        <v>66</v>
      </c>
      <c r="E2812" t="s">
        <v>9939</v>
      </c>
      <c r="F2812">
        <v>1959</v>
      </c>
      <c r="G2812" t="s">
        <v>121</v>
      </c>
      <c r="H2812" t="s">
        <v>9940</v>
      </c>
      <c r="I2812" t="s">
        <v>9941</v>
      </c>
      <c r="J2812" t="s">
        <v>71</v>
      </c>
      <c r="K2812" s="2" t="str">
        <f>HYPERLINK("http://collections.slsa.sa.gov.au/arthur/04000/BRG347_3837.htm")</f>
        <v>http://collections.slsa.sa.gov.au/arthur/04000/BRG347_3837.htm</v>
      </c>
    </row>
    <row r="2813" spans="1:11" x14ac:dyDescent="0.25">
      <c r="A2813" t="s">
        <v>9942</v>
      </c>
      <c r="B2813" s="1" t="str">
        <f>HYPERLINK("https://www.catalog.slsa.sa.gov.au/record=b2113804")</f>
        <v>https://www.catalog.slsa.sa.gov.au/record=b2113804</v>
      </c>
      <c r="C2813" s="1" t="str">
        <f>HYPERLINK("https://www.catalog.slsa.sa.gov.au/xrecord=b2113804")</f>
        <v>https://www.catalog.slsa.sa.gov.au/xrecord=b2113804</v>
      </c>
      <c r="D2813" t="s">
        <v>66</v>
      </c>
      <c r="E2813" t="s">
        <v>9931</v>
      </c>
      <c r="F2813">
        <v>1959</v>
      </c>
      <c r="G2813" t="s">
        <v>121</v>
      </c>
      <c r="H2813" t="s">
        <v>9932</v>
      </c>
      <c r="I2813" t="s">
        <v>9943</v>
      </c>
      <c r="J2813" t="s">
        <v>71</v>
      </c>
      <c r="K2813" s="2" t="str">
        <f>HYPERLINK("http://collections.slsa.sa.gov.au/arthur/04000/BRG347_3837A.htm")</f>
        <v>http://collections.slsa.sa.gov.au/arthur/04000/BRG347_3837A.htm</v>
      </c>
    </row>
    <row r="2814" spans="1:11" x14ac:dyDescent="0.25">
      <c r="A2814" t="s">
        <v>9944</v>
      </c>
      <c r="B2814" s="1" t="str">
        <f>HYPERLINK("https://www.catalog.slsa.sa.gov.au/record=b2113807")</f>
        <v>https://www.catalog.slsa.sa.gov.au/record=b2113807</v>
      </c>
      <c r="C2814" s="1" t="str">
        <f>HYPERLINK("https://www.catalog.slsa.sa.gov.au/xrecord=b2113807")</f>
        <v>https://www.catalog.slsa.sa.gov.au/xrecord=b2113807</v>
      </c>
      <c r="D2814" t="s">
        <v>66</v>
      </c>
      <c r="E2814" t="s">
        <v>9945</v>
      </c>
      <c r="F2814">
        <v>1959</v>
      </c>
      <c r="G2814" t="s">
        <v>121</v>
      </c>
      <c r="H2814" t="s">
        <v>9946</v>
      </c>
      <c r="I2814" t="s">
        <v>9947</v>
      </c>
      <c r="J2814" t="s">
        <v>71</v>
      </c>
      <c r="K2814" s="2" t="str">
        <f>HYPERLINK("http://collections.slsa.sa.gov.au/arthur/04000/BRG347_3838.htm")</f>
        <v>http://collections.slsa.sa.gov.au/arthur/04000/BRG347_3838.htm</v>
      </c>
    </row>
    <row r="2815" spans="1:11" x14ac:dyDescent="0.25">
      <c r="A2815" t="s">
        <v>9948</v>
      </c>
      <c r="B2815" s="1" t="str">
        <f>HYPERLINK("https://www.catalog.slsa.sa.gov.au/record=b2113808")</f>
        <v>https://www.catalog.slsa.sa.gov.au/record=b2113808</v>
      </c>
      <c r="C2815" s="1" t="str">
        <f>HYPERLINK("https://www.catalog.slsa.sa.gov.au/xrecord=b2113808")</f>
        <v>https://www.catalog.slsa.sa.gov.au/xrecord=b2113808</v>
      </c>
      <c r="D2815" t="s">
        <v>66</v>
      </c>
      <c r="E2815" t="s">
        <v>9949</v>
      </c>
      <c r="F2815">
        <v>1959</v>
      </c>
      <c r="G2815" t="s">
        <v>121</v>
      </c>
      <c r="H2815" t="s">
        <v>9950</v>
      </c>
      <c r="I2815" t="s">
        <v>9951</v>
      </c>
      <c r="J2815" t="s">
        <v>71</v>
      </c>
      <c r="K2815" s="2" t="str">
        <f>HYPERLINK("http://collections.slsa.sa.gov.au/arthur/04000/BRG347_3839.htm")</f>
        <v>http://collections.slsa.sa.gov.au/arthur/04000/BRG347_3839.htm</v>
      </c>
    </row>
    <row r="2816" spans="1:11" x14ac:dyDescent="0.25">
      <c r="A2816" t="s">
        <v>9952</v>
      </c>
      <c r="B2816" s="1" t="str">
        <f>HYPERLINK("https://www.catalog.slsa.sa.gov.au/record=b2113809")</f>
        <v>https://www.catalog.slsa.sa.gov.au/record=b2113809</v>
      </c>
      <c r="C2816" s="1" t="str">
        <f>HYPERLINK("https://www.catalog.slsa.sa.gov.au/xrecord=b2113809")</f>
        <v>https://www.catalog.slsa.sa.gov.au/xrecord=b2113809</v>
      </c>
      <c r="D2816" t="s">
        <v>66</v>
      </c>
      <c r="E2816" t="s">
        <v>4340</v>
      </c>
      <c r="F2816">
        <v>1959</v>
      </c>
      <c r="G2816" t="s">
        <v>121</v>
      </c>
      <c r="H2816" t="s">
        <v>9953</v>
      </c>
      <c r="I2816" t="s">
        <v>9954</v>
      </c>
      <c r="J2816" t="s">
        <v>71</v>
      </c>
      <c r="K2816" s="2" t="str">
        <f>HYPERLINK("http://collections.slsa.sa.gov.au/arthur/04000/BRG347_3840.htm")</f>
        <v>http://collections.slsa.sa.gov.au/arthur/04000/BRG347_3840.htm</v>
      </c>
    </row>
    <row r="2817" spans="1:11" x14ac:dyDescent="0.25">
      <c r="A2817" t="s">
        <v>9955</v>
      </c>
      <c r="B2817" s="1" t="str">
        <f>HYPERLINK("https://www.catalog.slsa.sa.gov.au/record=b2113810")</f>
        <v>https://www.catalog.slsa.sa.gov.au/record=b2113810</v>
      </c>
      <c r="C2817" s="1" t="str">
        <f>HYPERLINK("https://www.catalog.slsa.sa.gov.au/xrecord=b2113810")</f>
        <v>https://www.catalog.slsa.sa.gov.au/xrecord=b2113810</v>
      </c>
      <c r="D2817" t="s">
        <v>66</v>
      </c>
      <c r="E2817" t="s">
        <v>9956</v>
      </c>
      <c r="F2817">
        <v>1959</v>
      </c>
      <c r="G2817" t="s">
        <v>121</v>
      </c>
      <c r="H2817" t="s">
        <v>9957</v>
      </c>
      <c r="I2817" t="s">
        <v>9958</v>
      </c>
      <c r="J2817" t="s">
        <v>71</v>
      </c>
      <c r="K2817" s="2" t="str">
        <f>HYPERLINK("http://collections.slsa.sa.gov.au/arthur/04000/BRG347_3841.htm")</f>
        <v>http://collections.slsa.sa.gov.au/arthur/04000/BRG347_3841.htm</v>
      </c>
    </row>
    <row r="2818" spans="1:11" x14ac:dyDescent="0.25">
      <c r="A2818" t="s">
        <v>9959</v>
      </c>
      <c r="B2818" s="1" t="str">
        <f>HYPERLINK("https://www.catalog.slsa.sa.gov.au/record=b2113811")</f>
        <v>https://www.catalog.slsa.sa.gov.au/record=b2113811</v>
      </c>
      <c r="C2818" s="1" t="str">
        <f>HYPERLINK("https://www.catalog.slsa.sa.gov.au/xrecord=b2113811")</f>
        <v>https://www.catalog.slsa.sa.gov.au/xrecord=b2113811</v>
      </c>
      <c r="D2818" t="s">
        <v>66</v>
      </c>
      <c r="E2818" t="s">
        <v>9960</v>
      </c>
      <c r="F2818">
        <v>1959</v>
      </c>
      <c r="G2818" t="s">
        <v>121</v>
      </c>
      <c r="H2818" t="s">
        <v>9961</v>
      </c>
      <c r="I2818" t="s">
        <v>9962</v>
      </c>
      <c r="J2818" t="s">
        <v>71</v>
      </c>
      <c r="K2818" s="2" t="str">
        <f>HYPERLINK("http://collections.slsa.sa.gov.au/arthur/04000/BRG347_3842.htm")</f>
        <v>http://collections.slsa.sa.gov.au/arthur/04000/BRG347_3842.htm</v>
      </c>
    </row>
    <row r="2819" spans="1:11" x14ac:dyDescent="0.25">
      <c r="A2819" t="s">
        <v>9963</v>
      </c>
      <c r="B2819" s="1" t="str">
        <f>HYPERLINK("https://www.catalog.slsa.sa.gov.au/record=b2113812")</f>
        <v>https://www.catalog.slsa.sa.gov.au/record=b2113812</v>
      </c>
      <c r="C2819" s="1" t="str">
        <f>HYPERLINK("https://www.catalog.slsa.sa.gov.au/xrecord=b2113812")</f>
        <v>https://www.catalog.slsa.sa.gov.au/xrecord=b2113812</v>
      </c>
      <c r="D2819" t="s">
        <v>66</v>
      </c>
      <c r="E2819" t="s">
        <v>8820</v>
      </c>
      <c r="F2819">
        <v>1959</v>
      </c>
      <c r="G2819" t="s">
        <v>121</v>
      </c>
      <c r="H2819" t="s">
        <v>9964</v>
      </c>
      <c r="I2819" t="s">
        <v>9965</v>
      </c>
      <c r="J2819" t="s">
        <v>71</v>
      </c>
      <c r="K2819" s="2" t="str">
        <f>HYPERLINK("http://collections.slsa.sa.gov.au/arthur/04000/BRG347_3843.htm")</f>
        <v>http://collections.slsa.sa.gov.au/arthur/04000/BRG347_3843.htm</v>
      </c>
    </row>
    <row r="2820" spans="1:11" x14ac:dyDescent="0.25">
      <c r="A2820" t="s">
        <v>9966</v>
      </c>
      <c r="B2820" s="1" t="str">
        <f>HYPERLINK("https://www.catalog.slsa.sa.gov.au/record=b2113813")</f>
        <v>https://www.catalog.slsa.sa.gov.au/record=b2113813</v>
      </c>
      <c r="C2820" s="1" t="str">
        <f>HYPERLINK("https://www.catalog.slsa.sa.gov.au/xrecord=b2113813")</f>
        <v>https://www.catalog.slsa.sa.gov.au/xrecord=b2113813</v>
      </c>
      <c r="D2820" t="s">
        <v>66</v>
      </c>
      <c r="E2820" t="s">
        <v>9967</v>
      </c>
      <c r="F2820">
        <v>1959</v>
      </c>
      <c r="G2820" t="s">
        <v>121</v>
      </c>
      <c r="H2820" t="s">
        <v>9968</v>
      </c>
      <c r="I2820" t="s">
        <v>4369</v>
      </c>
      <c r="J2820" t="s">
        <v>71</v>
      </c>
      <c r="K2820" s="2" t="str">
        <f>HYPERLINK("http://collections.slsa.sa.gov.au/arthur/04000/BRG347_3844.htm")</f>
        <v>http://collections.slsa.sa.gov.au/arthur/04000/BRG347_3844.htm</v>
      </c>
    </row>
    <row r="2821" spans="1:11" x14ac:dyDescent="0.25">
      <c r="A2821" t="s">
        <v>9969</v>
      </c>
      <c r="B2821" s="1" t="str">
        <f>HYPERLINK("https://www.catalog.slsa.sa.gov.au/record=b2113815")</f>
        <v>https://www.catalog.slsa.sa.gov.au/record=b2113815</v>
      </c>
      <c r="C2821" s="1" t="str">
        <f>HYPERLINK("https://www.catalog.slsa.sa.gov.au/xrecord=b2113815")</f>
        <v>https://www.catalog.slsa.sa.gov.au/xrecord=b2113815</v>
      </c>
      <c r="D2821" t="s">
        <v>66</v>
      </c>
      <c r="E2821" t="s">
        <v>9970</v>
      </c>
      <c r="F2821">
        <v>1959</v>
      </c>
      <c r="G2821" t="s">
        <v>121</v>
      </c>
      <c r="H2821" t="s">
        <v>9971</v>
      </c>
      <c r="I2821" t="s">
        <v>9972</v>
      </c>
      <c r="J2821" t="s">
        <v>71</v>
      </c>
      <c r="K2821" s="2" t="str">
        <f>HYPERLINK("http://collections.slsa.sa.gov.au/arthur/04000/BRG347_3844A.htm")</f>
        <v>http://collections.slsa.sa.gov.au/arthur/04000/BRG347_3844A.htm</v>
      </c>
    </row>
    <row r="2822" spans="1:11" x14ac:dyDescent="0.25">
      <c r="A2822" t="s">
        <v>9973</v>
      </c>
      <c r="B2822" s="1" t="str">
        <f>HYPERLINK("https://www.catalog.slsa.sa.gov.au/record=b2113814")</f>
        <v>https://www.catalog.slsa.sa.gov.au/record=b2113814</v>
      </c>
      <c r="C2822" s="1" t="str">
        <f>HYPERLINK("https://www.catalog.slsa.sa.gov.au/xrecord=b2113814")</f>
        <v>https://www.catalog.slsa.sa.gov.au/xrecord=b2113814</v>
      </c>
      <c r="D2822" t="s">
        <v>66</v>
      </c>
      <c r="E2822" t="s">
        <v>9974</v>
      </c>
      <c r="F2822">
        <v>1959</v>
      </c>
      <c r="G2822" t="s">
        <v>121</v>
      </c>
      <c r="H2822" t="s">
        <v>9975</v>
      </c>
      <c r="I2822" t="s">
        <v>4434</v>
      </c>
      <c r="J2822" t="s">
        <v>71</v>
      </c>
      <c r="K2822" s="2" t="str">
        <f>HYPERLINK("http://collections.slsa.sa.gov.au/arthur/04000/BRG347_3845.htm")</f>
        <v>http://collections.slsa.sa.gov.au/arthur/04000/BRG347_3845.htm</v>
      </c>
    </row>
    <row r="2823" spans="1:11" x14ac:dyDescent="0.25">
      <c r="A2823" t="s">
        <v>9976</v>
      </c>
      <c r="B2823" s="1" t="str">
        <f>HYPERLINK("https://www.catalog.slsa.sa.gov.au/record=b2114175")</f>
        <v>https://www.catalog.slsa.sa.gov.au/record=b2114175</v>
      </c>
      <c r="C2823" s="1" t="str">
        <f>HYPERLINK("https://www.catalog.slsa.sa.gov.au/xrecord=b2114175")</f>
        <v>https://www.catalog.slsa.sa.gov.au/xrecord=b2114175</v>
      </c>
      <c r="D2823" t="s">
        <v>66</v>
      </c>
      <c r="E2823" t="s">
        <v>9977</v>
      </c>
      <c r="F2823">
        <v>1959</v>
      </c>
      <c r="G2823" t="s">
        <v>121</v>
      </c>
      <c r="H2823" t="s">
        <v>9978</v>
      </c>
      <c r="I2823" t="s">
        <v>9979</v>
      </c>
      <c r="J2823" t="s">
        <v>71</v>
      </c>
      <c r="K2823" s="2" t="str">
        <f>HYPERLINK("http://collections.slsa.sa.gov.au/arthur/04000/BRG347_3845A.htm")</f>
        <v>http://collections.slsa.sa.gov.au/arthur/04000/BRG347_3845A.htm</v>
      </c>
    </row>
    <row r="2824" spans="1:11" x14ac:dyDescent="0.25">
      <c r="A2824" t="s">
        <v>9980</v>
      </c>
      <c r="B2824" s="1" t="str">
        <f>HYPERLINK("https://www.catalog.slsa.sa.gov.au/record=b2113816")</f>
        <v>https://www.catalog.slsa.sa.gov.au/record=b2113816</v>
      </c>
      <c r="C2824" s="1" t="str">
        <f>HYPERLINK("https://www.catalog.slsa.sa.gov.au/xrecord=b2113816")</f>
        <v>https://www.catalog.slsa.sa.gov.au/xrecord=b2113816</v>
      </c>
      <c r="D2824" t="s">
        <v>66</v>
      </c>
      <c r="E2824" t="s">
        <v>9981</v>
      </c>
      <c r="F2824">
        <v>1959</v>
      </c>
      <c r="G2824" t="s">
        <v>121</v>
      </c>
      <c r="H2824" t="s">
        <v>9982</v>
      </c>
      <c r="I2824" t="s">
        <v>9983</v>
      </c>
      <c r="J2824" t="s">
        <v>71</v>
      </c>
      <c r="K2824" s="2" t="str">
        <f>HYPERLINK("http://collections.slsa.sa.gov.au/arthur/04000/BRG347_3846.htm")</f>
        <v>http://collections.slsa.sa.gov.au/arthur/04000/BRG347_3846.htm</v>
      </c>
    </row>
    <row r="2825" spans="1:11" x14ac:dyDescent="0.25">
      <c r="A2825" t="s">
        <v>9984</v>
      </c>
      <c r="B2825" s="1" t="str">
        <f>HYPERLINK("https://www.catalog.slsa.sa.gov.au/record=b2113817")</f>
        <v>https://www.catalog.slsa.sa.gov.au/record=b2113817</v>
      </c>
      <c r="C2825" s="1" t="str">
        <f>HYPERLINK("https://www.catalog.slsa.sa.gov.au/xrecord=b2113817")</f>
        <v>https://www.catalog.slsa.sa.gov.au/xrecord=b2113817</v>
      </c>
      <c r="D2825" t="s">
        <v>66</v>
      </c>
      <c r="E2825" t="s">
        <v>9985</v>
      </c>
      <c r="F2825">
        <v>1959</v>
      </c>
      <c r="G2825" t="s">
        <v>121</v>
      </c>
      <c r="H2825" t="s">
        <v>9986</v>
      </c>
      <c r="I2825" t="s">
        <v>9987</v>
      </c>
      <c r="J2825" t="s">
        <v>71</v>
      </c>
      <c r="K2825" s="2" t="str">
        <f>HYPERLINK("http://collections.slsa.sa.gov.au/arthur/04000/BRG347_3847.htm")</f>
        <v>http://collections.slsa.sa.gov.au/arthur/04000/BRG347_3847.htm</v>
      </c>
    </row>
    <row r="2826" spans="1:11" x14ac:dyDescent="0.25">
      <c r="A2826" t="s">
        <v>9988</v>
      </c>
      <c r="B2826" s="1" t="str">
        <f>HYPERLINK("https://www.catalog.slsa.sa.gov.au/record=b2113819")</f>
        <v>https://www.catalog.slsa.sa.gov.au/record=b2113819</v>
      </c>
      <c r="C2826" s="1" t="str">
        <f>HYPERLINK("https://www.catalog.slsa.sa.gov.au/xrecord=b2113819")</f>
        <v>https://www.catalog.slsa.sa.gov.au/xrecord=b2113819</v>
      </c>
      <c r="D2826" t="s">
        <v>66</v>
      </c>
      <c r="E2826" t="s">
        <v>9989</v>
      </c>
      <c r="F2826">
        <v>1959</v>
      </c>
      <c r="G2826" t="s">
        <v>121</v>
      </c>
      <c r="H2826" t="s">
        <v>9990</v>
      </c>
      <c r="I2826" t="s">
        <v>9991</v>
      </c>
      <c r="J2826" t="s">
        <v>71</v>
      </c>
      <c r="K2826" s="2" t="str">
        <f>HYPERLINK("http://collections.slsa.sa.gov.au/arthur/04000/BRG347_3848.htm")</f>
        <v>http://collections.slsa.sa.gov.au/arthur/04000/BRG347_3848.htm</v>
      </c>
    </row>
    <row r="2827" spans="1:11" x14ac:dyDescent="0.25">
      <c r="A2827" t="s">
        <v>9992</v>
      </c>
      <c r="B2827" s="1" t="str">
        <f>HYPERLINK("https://www.catalog.slsa.sa.gov.au/record=b2113820")</f>
        <v>https://www.catalog.slsa.sa.gov.au/record=b2113820</v>
      </c>
      <c r="C2827" s="1" t="str">
        <f>HYPERLINK("https://www.catalog.slsa.sa.gov.au/xrecord=b2113820")</f>
        <v>https://www.catalog.slsa.sa.gov.au/xrecord=b2113820</v>
      </c>
      <c r="D2827" t="s">
        <v>66</v>
      </c>
      <c r="E2827" t="s">
        <v>9993</v>
      </c>
      <c r="F2827">
        <v>1959</v>
      </c>
      <c r="G2827" t="s">
        <v>121</v>
      </c>
      <c r="H2827" t="s">
        <v>9994</v>
      </c>
      <c r="I2827" t="s">
        <v>9995</v>
      </c>
      <c r="J2827" t="s">
        <v>71</v>
      </c>
      <c r="K2827" s="2" t="str">
        <f>HYPERLINK("http://collections.slsa.sa.gov.au/arthur/04000/BRG347_3849.htm")</f>
        <v>http://collections.slsa.sa.gov.au/arthur/04000/BRG347_3849.htm</v>
      </c>
    </row>
    <row r="2828" spans="1:11" x14ac:dyDescent="0.25">
      <c r="A2828" t="s">
        <v>9996</v>
      </c>
      <c r="B2828" s="1" t="str">
        <f>HYPERLINK("https://www.catalog.slsa.sa.gov.au/record=b2113822")</f>
        <v>https://www.catalog.slsa.sa.gov.au/record=b2113822</v>
      </c>
      <c r="C2828" s="1" t="str">
        <f>HYPERLINK("https://www.catalog.slsa.sa.gov.au/xrecord=b2113822")</f>
        <v>https://www.catalog.slsa.sa.gov.au/xrecord=b2113822</v>
      </c>
      <c r="D2828" t="s">
        <v>66</v>
      </c>
      <c r="E2828" t="s">
        <v>9997</v>
      </c>
      <c r="F2828">
        <v>1959</v>
      </c>
      <c r="G2828" t="s">
        <v>121</v>
      </c>
      <c r="H2828" t="s">
        <v>9998</v>
      </c>
      <c r="I2828" t="s">
        <v>9999</v>
      </c>
      <c r="J2828" t="s">
        <v>71</v>
      </c>
      <c r="K2828" s="2" t="str">
        <f>HYPERLINK("http://collections.slsa.sa.gov.au/arthur/04000/BRG347_3850.htm")</f>
        <v>http://collections.slsa.sa.gov.au/arthur/04000/BRG347_3850.htm</v>
      </c>
    </row>
    <row r="2829" spans="1:11" x14ac:dyDescent="0.25">
      <c r="A2829" t="s">
        <v>10000</v>
      </c>
      <c r="B2829" s="1" t="str">
        <f>HYPERLINK("https://www.catalog.slsa.sa.gov.au/record=b2113823")</f>
        <v>https://www.catalog.slsa.sa.gov.au/record=b2113823</v>
      </c>
      <c r="C2829" s="1" t="str">
        <f>HYPERLINK("https://www.catalog.slsa.sa.gov.au/xrecord=b2113823")</f>
        <v>https://www.catalog.slsa.sa.gov.au/xrecord=b2113823</v>
      </c>
      <c r="D2829" t="s">
        <v>66</v>
      </c>
      <c r="E2829" t="s">
        <v>10001</v>
      </c>
      <c r="F2829">
        <v>1959</v>
      </c>
      <c r="G2829" t="s">
        <v>121</v>
      </c>
      <c r="H2829" t="s">
        <v>10002</v>
      </c>
      <c r="I2829" t="s">
        <v>10003</v>
      </c>
      <c r="J2829" t="s">
        <v>71</v>
      </c>
      <c r="K2829" s="2" t="str">
        <f>HYPERLINK("http://collections.slsa.sa.gov.au/arthur/04000/BRG347_3851.htm")</f>
        <v>http://collections.slsa.sa.gov.au/arthur/04000/BRG347_3851.htm</v>
      </c>
    </row>
    <row r="2830" spans="1:11" x14ac:dyDescent="0.25">
      <c r="A2830" t="s">
        <v>10004</v>
      </c>
      <c r="B2830" s="1" t="str">
        <f>HYPERLINK("https://www.catalog.slsa.sa.gov.au/record=b2113824")</f>
        <v>https://www.catalog.slsa.sa.gov.au/record=b2113824</v>
      </c>
      <c r="C2830" s="1" t="str">
        <f>HYPERLINK("https://www.catalog.slsa.sa.gov.au/xrecord=b2113824")</f>
        <v>https://www.catalog.slsa.sa.gov.au/xrecord=b2113824</v>
      </c>
      <c r="D2830" t="s">
        <v>66</v>
      </c>
      <c r="E2830" t="s">
        <v>10005</v>
      </c>
      <c r="F2830">
        <v>1959</v>
      </c>
      <c r="G2830" t="s">
        <v>121</v>
      </c>
      <c r="H2830" t="s">
        <v>10006</v>
      </c>
      <c r="I2830" t="s">
        <v>10007</v>
      </c>
      <c r="J2830" t="s">
        <v>71</v>
      </c>
      <c r="K2830" s="2" t="str">
        <f>HYPERLINK("http://collections.slsa.sa.gov.au/arthur/04000/BRG347_3852.htm")</f>
        <v>http://collections.slsa.sa.gov.au/arthur/04000/BRG347_3852.htm</v>
      </c>
    </row>
    <row r="2831" spans="1:11" x14ac:dyDescent="0.25">
      <c r="A2831" t="s">
        <v>10008</v>
      </c>
      <c r="B2831" s="1" t="str">
        <f>HYPERLINK("https://www.catalog.slsa.sa.gov.au/record=b2113825")</f>
        <v>https://www.catalog.slsa.sa.gov.au/record=b2113825</v>
      </c>
      <c r="C2831" s="1" t="str">
        <f>HYPERLINK("https://www.catalog.slsa.sa.gov.au/xrecord=b2113825")</f>
        <v>https://www.catalog.slsa.sa.gov.au/xrecord=b2113825</v>
      </c>
      <c r="D2831" t="s">
        <v>66</v>
      </c>
      <c r="E2831" t="s">
        <v>10009</v>
      </c>
      <c r="F2831">
        <v>1959</v>
      </c>
      <c r="G2831" t="s">
        <v>121</v>
      </c>
      <c r="H2831" t="s">
        <v>10010</v>
      </c>
      <c r="I2831" t="s">
        <v>10011</v>
      </c>
      <c r="J2831" t="s">
        <v>71</v>
      </c>
      <c r="K2831" s="2" t="str">
        <f>HYPERLINK("http://collections.slsa.sa.gov.au/arthur/04000/BRG347_3853.htm")</f>
        <v>http://collections.slsa.sa.gov.au/arthur/04000/BRG347_3853.htm</v>
      </c>
    </row>
    <row r="2832" spans="1:11" x14ac:dyDescent="0.25">
      <c r="A2832" t="s">
        <v>10012</v>
      </c>
      <c r="B2832" s="1" t="str">
        <f>HYPERLINK("https://www.catalog.slsa.sa.gov.au/record=b2113827")</f>
        <v>https://www.catalog.slsa.sa.gov.au/record=b2113827</v>
      </c>
      <c r="C2832" s="1" t="str">
        <f>HYPERLINK("https://www.catalog.slsa.sa.gov.au/xrecord=b2113827")</f>
        <v>https://www.catalog.slsa.sa.gov.au/xrecord=b2113827</v>
      </c>
      <c r="D2832" t="s">
        <v>66</v>
      </c>
      <c r="E2832" t="s">
        <v>10013</v>
      </c>
      <c r="F2832">
        <v>1959</v>
      </c>
      <c r="G2832" t="s">
        <v>121</v>
      </c>
      <c r="H2832" t="s">
        <v>10014</v>
      </c>
      <c r="I2832" t="s">
        <v>10015</v>
      </c>
      <c r="J2832" t="s">
        <v>71</v>
      </c>
      <c r="K2832" s="2" t="str">
        <f>HYPERLINK("http://collections.slsa.sa.gov.au/arthur/04000/BRG347_3854.htm")</f>
        <v>http://collections.slsa.sa.gov.au/arthur/04000/BRG347_3854.htm</v>
      </c>
    </row>
    <row r="2833" spans="1:11" x14ac:dyDescent="0.25">
      <c r="A2833" t="s">
        <v>10016</v>
      </c>
      <c r="B2833" s="1" t="str">
        <f>HYPERLINK("https://www.catalog.slsa.sa.gov.au/record=b2113830")</f>
        <v>https://www.catalog.slsa.sa.gov.au/record=b2113830</v>
      </c>
      <c r="C2833" s="1" t="str">
        <f>HYPERLINK("https://www.catalog.slsa.sa.gov.au/xrecord=b2113830")</f>
        <v>https://www.catalog.slsa.sa.gov.au/xrecord=b2113830</v>
      </c>
      <c r="D2833" t="s">
        <v>66</v>
      </c>
      <c r="E2833" t="s">
        <v>10017</v>
      </c>
      <c r="F2833">
        <v>1959</v>
      </c>
      <c r="G2833" t="s">
        <v>121</v>
      </c>
      <c r="H2833" t="s">
        <v>10018</v>
      </c>
      <c r="I2833" t="s">
        <v>10019</v>
      </c>
      <c r="J2833" t="s">
        <v>71</v>
      </c>
      <c r="K2833" s="2" t="str">
        <f>HYPERLINK("http://collections.slsa.sa.gov.au/arthur/04000/BRG347_3856.htm")</f>
        <v>http://collections.slsa.sa.gov.au/arthur/04000/BRG347_3856.htm</v>
      </c>
    </row>
    <row r="2834" spans="1:11" x14ac:dyDescent="0.25">
      <c r="A2834" t="s">
        <v>10020</v>
      </c>
      <c r="B2834" s="1" t="str">
        <f>HYPERLINK("https://www.catalog.slsa.sa.gov.au/record=b2117813")</f>
        <v>https://www.catalog.slsa.sa.gov.au/record=b2117813</v>
      </c>
      <c r="C2834" s="1" t="str">
        <f>HYPERLINK("https://www.catalog.slsa.sa.gov.au/xrecord=b2117813")</f>
        <v>https://www.catalog.slsa.sa.gov.au/xrecord=b2117813</v>
      </c>
      <c r="D2834" t="s">
        <v>66</v>
      </c>
      <c r="E2834" t="s">
        <v>10021</v>
      </c>
      <c r="F2834">
        <v>1959</v>
      </c>
      <c r="G2834" t="s">
        <v>121</v>
      </c>
      <c r="H2834" t="s">
        <v>10022</v>
      </c>
      <c r="I2834" t="s">
        <v>10023</v>
      </c>
      <c r="J2834" t="s">
        <v>71</v>
      </c>
      <c r="K2834" s="2" t="str">
        <f>HYPERLINK("http://collections.slsa.sa.gov.au/arthur/04000/BRG347_3857.htm")</f>
        <v>http://collections.slsa.sa.gov.au/arthur/04000/BRG347_3857.htm</v>
      </c>
    </row>
    <row r="2835" spans="1:11" x14ac:dyDescent="0.25">
      <c r="A2835" t="s">
        <v>10024</v>
      </c>
      <c r="B2835" s="1" t="str">
        <f>HYPERLINK("https://www.catalog.slsa.sa.gov.au/record=b2113834")</f>
        <v>https://www.catalog.slsa.sa.gov.au/record=b2113834</v>
      </c>
      <c r="C2835" s="1" t="str">
        <f>HYPERLINK("https://www.catalog.slsa.sa.gov.au/xrecord=b2113834")</f>
        <v>https://www.catalog.slsa.sa.gov.au/xrecord=b2113834</v>
      </c>
      <c r="D2835" t="s">
        <v>66</v>
      </c>
      <c r="E2835" t="s">
        <v>10025</v>
      </c>
      <c r="F2835">
        <v>1959</v>
      </c>
      <c r="G2835" t="s">
        <v>121</v>
      </c>
      <c r="H2835" t="s">
        <v>10026</v>
      </c>
      <c r="I2835" t="s">
        <v>10027</v>
      </c>
      <c r="J2835" t="s">
        <v>71</v>
      </c>
      <c r="K2835" s="2" t="str">
        <f>HYPERLINK("http://collections.slsa.sa.gov.au/arthur/04000/BRG347_3861.htm")</f>
        <v>http://collections.slsa.sa.gov.au/arthur/04000/BRG347_3861.htm</v>
      </c>
    </row>
    <row r="2836" spans="1:11" x14ac:dyDescent="0.25">
      <c r="A2836" t="s">
        <v>10028</v>
      </c>
      <c r="B2836" s="1" t="str">
        <f>HYPERLINK("https://www.catalog.slsa.sa.gov.au/record=b2117814")</f>
        <v>https://www.catalog.slsa.sa.gov.au/record=b2117814</v>
      </c>
      <c r="C2836" s="1" t="str">
        <f>HYPERLINK("https://www.catalog.slsa.sa.gov.au/xrecord=b2117814")</f>
        <v>https://www.catalog.slsa.sa.gov.au/xrecord=b2117814</v>
      </c>
      <c r="D2836" t="s">
        <v>66</v>
      </c>
      <c r="E2836" t="s">
        <v>10029</v>
      </c>
      <c r="F2836">
        <v>1959</v>
      </c>
      <c r="G2836" t="s">
        <v>121</v>
      </c>
      <c r="H2836" t="s">
        <v>10030</v>
      </c>
      <c r="I2836" t="s">
        <v>10027</v>
      </c>
      <c r="J2836" t="s">
        <v>71</v>
      </c>
      <c r="K2836" s="2" t="str">
        <f>HYPERLINK("http://collections.slsa.sa.gov.au/arthur/04000/BRG347_3862.htm")</f>
        <v>http://collections.slsa.sa.gov.au/arthur/04000/BRG347_3862.htm</v>
      </c>
    </row>
    <row r="2837" spans="1:11" x14ac:dyDescent="0.25">
      <c r="A2837" t="s">
        <v>10031</v>
      </c>
      <c r="B2837" s="1" t="str">
        <f>HYPERLINK("https://www.catalog.slsa.sa.gov.au/record=b2116532")</f>
        <v>https://www.catalog.slsa.sa.gov.au/record=b2116532</v>
      </c>
      <c r="C2837" s="1" t="str">
        <f>HYPERLINK("https://www.catalog.slsa.sa.gov.au/xrecord=b2116532")</f>
        <v>https://www.catalog.slsa.sa.gov.au/xrecord=b2116532</v>
      </c>
      <c r="D2837" t="s">
        <v>66</v>
      </c>
      <c r="E2837" t="s">
        <v>10032</v>
      </c>
      <c r="F2837">
        <v>1959</v>
      </c>
      <c r="G2837" t="s">
        <v>121</v>
      </c>
      <c r="H2837" t="s">
        <v>10033</v>
      </c>
      <c r="I2837" t="s">
        <v>614</v>
      </c>
      <c r="J2837" t="s">
        <v>71</v>
      </c>
      <c r="K2837" s="2" t="str">
        <f>HYPERLINK("http://collections.slsa.sa.gov.au/arthur/05750/BRG347_5547.htm")</f>
        <v>http://collections.slsa.sa.gov.au/arthur/05750/BRG347_5547.htm</v>
      </c>
    </row>
    <row r="2838" spans="1:11" x14ac:dyDescent="0.25">
      <c r="A2838" t="s">
        <v>10034</v>
      </c>
      <c r="B2838" s="1" t="str">
        <f>HYPERLINK("https://www.catalog.slsa.sa.gov.au/record=b2116534")</f>
        <v>https://www.catalog.slsa.sa.gov.au/record=b2116534</v>
      </c>
      <c r="C2838" s="1" t="str">
        <f>HYPERLINK("https://www.catalog.slsa.sa.gov.au/xrecord=b2116534")</f>
        <v>https://www.catalog.slsa.sa.gov.au/xrecord=b2116534</v>
      </c>
      <c r="D2838" t="s">
        <v>66</v>
      </c>
      <c r="E2838" t="s">
        <v>10035</v>
      </c>
      <c r="F2838">
        <v>1959</v>
      </c>
      <c r="G2838" t="s">
        <v>121</v>
      </c>
      <c r="H2838" t="s">
        <v>10036</v>
      </c>
      <c r="I2838" t="s">
        <v>614</v>
      </c>
      <c r="J2838" t="s">
        <v>71</v>
      </c>
      <c r="K2838" s="2" t="str">
        <f>HYPERLINK("http://collections.slsa.sa.gov.au/arthur/05750/BRG347_5549.htm")</f>
        <v>http://collections.slsa.sa.gov.au/arthur/05750/BRG347_5549.htm</v>
      </c>
    </row>
    <row r="2839" spans="1:11" x14ac:dyDescent="0.25">
      <c r="A2839" t="s">
        <v>10037</v>
      </c>
      <c r="B2839" s="1" t="str">
        <f>HYPERLINK("https://www.catalog.slsa.sa.gov.au/record=b2118756")</f>
        <v>https://www.catalog.slsa.sa.gov.au/record=b2118756</v>
      </c>
      <c r="C2839" s="1" t="str">
        <f>HYPERLINK("https://www.catalog.slsa.sa.gov.au/xrecord=b2118756")</f>
        <v>https://www.catalog.slsa.sa.gov.au/xrecord=b2118756</v>
      </c>
      <c r="D2839" t="s">
        <v>66</v>
      </c>
      <c r="E2839" t="s">
        <v>4538</v>
      </c>
      <c r="F2839">
        <v>1959</v>
      </c>
      <c r="G2839" t="s">
        <v>121</v>
      </c>
      <c r="H2839" t="s">
        <v>10038</v>
      </c>
      <c r="I2839" t="s">
        <v>10039</v>
      </c>
      <c r="J2839" t="s">
        <v>71</v>
      </c>
      <c r="K2839" s="2" t="str">
        <f>HYPERLINK("http://collections.slsa.sa.gov.au/arthur/06750/BRG347_6714.htm")</f>
        <v>http://collections.slsa.sa.gov.au/arthur/06750/BRG347_6714.htm</v>
      </c>
    </row>
    <row r="2840" spans="1:11" x14ac:dyDescent="0.25">
      <c r="A2840" t="s">
        <v>10040</v>
      </c>
      <c r="B2840" s="1" t="str">
        <f>HYPERLINK("https://www.catalog.slsa.sa.gov.au/record=b2119250")</f>
        <v>https://www.catalog.slsa.sa.gov.au/record=b2119250</v>
      </c>
      <c r="C2840" s="1" t="str">
        <f>HYPERLINK("https://www.catalog.slsa.sa.gov.au/xrecord=b2119250")</f>
        <v>https://www.catalog.slsa.sa.gov.au/xrecord=b2119250</v>
      </c>
      <c r="D2840" t="s">
        <v>66</v>
      </c>
      <c r="E2840" t="s">
        <v>7188</v>
      </c>
      <c r="F2840">
        <v>1959</v>
      </c>
      <c r="G2840" t="s">
        <v>121</v>
      </c>
      <c r="H2840" t="s">
        <v>10041</v>
      </c>
      <c r="I2840" t="s">
        <v>10042</v>
      </c>
      <c r="J2840" t="s">
        <v>71</v>
      </c>
      <c r="K2840" s="2" t="str">
        <f>HYPERLINK("http://collections.slsa.sa.gov.au/arthur/07000/BRG347_6803.htm")</f>
        <v>http://collections.slsa.sa.gov.au/arthur/07000/BRG347_6803.htm</v>
      </c>
    </row>
    <row r="2841" spans="1:11" x14ac:dyDescent="0.25">
      <c r="A2841" t="s">
        <v>10043</v>
      </c>
      <c r="B2841" s="1" t="str">
        <f>HYPERLINK("https://www.catalog.slsa.sa.gov.au/record=b2119623")</f>
        <v>https://www.catalog.slsa.sa.gov.au/record=b2119623</v>
      </c>
      <c r="C2841" s="1" t="str">
        <f>HYPERLINK("https://www.catalog.slsa.sa.gov.au/xrecord=b2119623")</f>
        <v>https://www.catalog.slsa.sa.gov.au/xrecord=b2119623</v>
      </c>
      <c r="D2841" t="s">
        <v>66</v>
      </c>
      <c r="E2841" t="s">
        <v>4606</v>
      </c>
      <c r="F2841">
        <v>1959</v>
      </c>
      <c r="G2841" t="s">
        <v>121</v>
      </c>
      <c r="H2841" t="s">
        <v>10044</v>
      </c>
      <c r="I2841" t="s">
        <v>1750</v>
      </c>
      <c r="J2841" t="s">
        <v>71</v>
      </c>
      <c r="K2841" s="2" t="str">
        <f>HYPERLINK("http://collections.slsa.sa.gov.au/arthur/07000/BRG347_6936.htm")</f>
        <v>http://collections.slsa.sa.gov.au/arthur/07000/BRG347_6936.htm</v>
      </c>
    </row>
    <row r="2842" spans="1:11" x14ac:dyDescent="0.25">
      <c r="A2842" t="s">
        <v>10045</v>
      </c>
      <c r="B2842" s="1" t="str">
        <f>HYPERLINK("https://www.catalog.slsa.sa.gov.au/record=b2119624")</f>
        <v>https://www.catalog.slsa.sa.gov.au/record=b2119624</v>
      </c>
      <c r="C2842" s="1" t="str">
        <f>HYPERLINK("https://www.catalog.slsa.sa.gov.au/xrecord=b2119624")</f>
        <v>https://www.catalog.slsa.sa.gov.au/xrecord=b2119624</v>
      </c>
      <c r="D2842" t="s">
        <v>66</v>
      </c>
      <c r="E2842" t="s">
        <v>4974</v>
      </c>
      <c r="F2842">
        <v>1959</v>
      </c>
      <c r="G2842" t="s">
        <v>121</v>
      </c>
      <c r="H2842" t="s">
        <v>10046</v>
      </c>
      <c r="I2842" t="s">
        <v>1750</v>
      </c>
      <c r="J2842" t="s">
        <v>71</v>
      </c>
      <c r="K2842" s="2" t="str">
        <f>HYPERLINK("http://collections.slsa.sa.gov.au/arthur/07000/BRG347_6937.htm")</f>
        <v>http://collections.slsa.sa.gov.au/arthur/07000/BRG347_6937.htm</v>
      </c>
    </row>
    <row r="2843" spans="1:11" x14ac:dyDescent="0.25">
      <c r="A2843" t="s">
        <v>10047</v>
      </c>
      <c r="B2843" s="1" t="str">
        <f>HYPERLINK("https://www.catalog.slsa.sa.gov.au/record=b2119632")</f>
        <v>https://www.catalog.slsa.sa.gov.au/record=b2119632</v>
      </c>
      <c r="C2843" s="1" t="str">
        <f>HYPERLINK("https://www.catalog.slsa.sa.gov.au/xrecord=b2119632")</f>
        <v>https://www.catalog.slsa.sa.gov.au/xrecord=b2119632</v>
      </c>
      <c r="D2843" t="s">
        <v>66</v>
      </c>
      <c r="E2843" t="s">
        <v>5766</v>
      </c>
      <c r="F2843">
        <v>1959</v>
      </c>
      <c r="G2843" t="s">
        <v>121</v>
      </c>
      <c r="H2843" t="s">
        <v>10048</v>
      </c>
      <c r="I2843" t="s">
        <v>1750</v>
      </c>
      <c r="J2843" t="s">
        <v>71</v>
      </c>
      <c r="K2843" s="2" t="str">
        <f>HYPERLINK("http://collections.slsa.sa.gov.au/arthur/07000/BRG347_6945.htm")</f>
        <v>http://collections.slsa.sa.gov.au/arthur/07000/BRG347_6945.htm</v>
      </c>
    </row>
    <row r="2844" spans="1:11" x14ac:dyDescent="0.25">
      <c r="A2844" t="s">
        <v>10049</v>
      </c>
      <c r="B2844" s="1" t="str">
        <f>HYPERLINK("https://www.catalog.slsa.sa.gov.au/record=b3139445")</f>
        <v>https://www.catalog.slsa.sa.gov.au/record=b3139445</v>
      </c>
      <c r="C2844" s="1" t="str">
        <f>HYPERLINK("https://www.catalog.slsa.sa.gov.au/xrecord=b3139445")</f>
        <v>https://www.catalog.slsa.sa.gov.au/xrecord=b3139445</v>
      </c>
      <c r="D2844" t="s">
        <v>10050</v>
      </c>
      <c r="E2844" t="s">
        <v>10051</v>
      </c>
      <c r="F2844">
        <v>1959</v>
      </c>
      <c r="G2844" t="s">
        <v>10052</v>
      </c>
      <c r="H2844" t="s">
        <v>10053</v>
      </c>
      <c r="I2844" t="s">
        <v>10054</v>
      </c>
      <c r="K2844" s="2" t="str">
        <f>HYPERLINK("http://collections.slsa.sa.gov.au/resource/SRG+94/A10/15/3")</f>
        <v>http://collections.slsa.sa.gov.au/resource/SRG+94/A10/15/3</v>
      </c>
    </row>
    <row r="2845" spans="1:11" x14ac:dyDescent="0.25">
      <c r="A2845" t="s">
        <v>10055</v>
      </c>
      <c r="B2845" s="1" t="str">
        <f>HYPERLINK("https://www.catalog.slsa.sa.gov.au/record=b2110502")</f>
        <v>https://www.catalog.slsa.sa.gov.au/record=b2110502</v>
      </c>
      <c r="C2845" s="1" t="str">
        <f>HYPERLINK("https://www.catalog.slsa.sa.gov.au/xrecord=b2110502")</f>
        <v>https://www.catalog.slsa.sa.gov.au/xrecord=b2110502</v>
      </c>
      <c r="D2845" t="s">
        <v>66</v>
      </c>
      <c r="E2845" t="s">
        <v>9678</v>
      </c>
      <c r="F2845" t="s">
        <v>10056</v>
      </c>
      <c r="G2845" t="s">
        <v>121</v>
      </c>
      <c r="H2845" t="s">
        <v>10057</v>
      </c>
      <c r="I2845" t="s">
        <v>10058</v>
      </c>
      <c r="J2845" t="s">
        <v>71</v>
      </c>
      <c r="K2845" s="2" t="str">
        <f>HYPERLINK("http://collections.slsa.sa.gov.au/arthur/01500/BRG347_1277.htm")</f>
        <v>http://collections.slsa.sa.gov.au/arthur/01500/BRG347_1277.htm</v>
      </c>
    </row>
    <row r="2846" spans="1:11" x14ac:dyDescent="0.25">
      <c r="A2846" t="s">
        <v>10059</v>
      </c>
      <c r="B2846" s="1" t="str">
        <f>HYPERLINK("https://www.catalog.slsa.sa.gov.au/record=b2111217")</f>
        <v>https://www.catalog.slsa.sa.gov.au/record=b2111217</v>
      </c>
      <c r="C2846" s="1" t="str">
        <f>HYPERLINK("https://www.catalog.slsa.sa.gov.au/xrecord=b2111217")</f>
        <v>https://www.catalog.slsa.sa.gov.au/xrecord=b2111217</v>
      </c>
      <c r="D2846" t="s">
        <v>66</v>
      </c>
      <c r="E2846" t="s">
        <v>10060</v>
      </c>
      <c r="F2846" t="s">
        <v>10056</v>
      </c>
      <c r="G2846" t="s">
        <v>121</v>
      </c>
      <c r="H2846" t="s">
        <v>10061</v>
      </c>
      <c r="I2846" t="s">
        <v>10062</v>
      </c>
      <c r="J2846" t="s">
        <v>71</v>
      </c>
      <c r="K2846" s="2" t="str">
        <f>HYPERLINK("http://collections.slsa.sa.gov.au/arthur/02000/BRG347_1884.htm")</f>
        <v>http://collections.slsa.sa.gov.au/arthur/02000/BRG347_1884.htm</v>
      </c>
    </row>
    <row r="2847" spans="1:11" x14ac:dyDescent="0.25">
      <c r="A2847" t="s">
        <v>10063</v>
      </c>
      <c r="B2847" s="1" t="str">
        <f>HYPERLINK("https://www.catalog.slsa.sa.gov.au/record=b3132311")</f>
        <v>https://www.catalog.slsa.sa.gov.au/record=b3132311</v>
      </c>
      <c r="C2847" s="1" t="str">
        <f>HYPERLINK("https://www.catalog.slsa.sa.gov.au/xrecord=b3132311")</f>
        <v>https://www.catalog.slsa.sa.gov.au/xrecord=b3132311</v>
      </c>
      <c r="E2847" t="s">
        <v>10064</v>
      </c>
      <c r="F2847">
        <v>1960</v>
      </c>
      <c r="G2847" t="s">
        <v>10065</v>
      </c>
      <c r="H2847" t="s">
        <v>14</v>
      </c>
      <c r="I2847" t="s">
        <v>10066</v>
      </c>
      <c r="J2847" t="s">
        <v>16</v>
      </c>
      <c r="K2847" s="2" t="str">
        <f>HYPERLINK("http://collections.slsa.sa.gov.au/resource/PRG+1324/1726")</f>
        <v>http://collections.slsa.sa.gov.au/resource/PRG+1324/1726</v>
      </c>
    </row>
    <row r="2848" spans="1:11" x14ac:dyDescent="0.25">
      <c r="A2848" t="s">
        <v>10067</v>
      </c>
      <c r="B2848" s="1" t="str">
        <f>HYPERLINK("https://www.catalog.slsa.sa.gov.au/record=b2108385")</f>
        <v>https://www.catalog.slsa.sa.gov.au/record=b2108385</v>
      </c>
      <c r="C2848" s="1" t="str">
        <f>HYPERLINK("https://www.catalog.slsa.sa.gov.au/xrecord=b2108385")</f>
        <v>https://www.catalog.slsa.sa.gov.au/xrecord=b2108385</v>
      </c>
      <c r="E2848" t="s">
        <v>10068</v>
      </c>
      <c r="F2848">
        <v>1960</v>
      </c>
      <c r="G2848" t="s">
        <v>10069</v>
      </c>
      <c r="H2848" t="s">
        <v>14</v>
      </c>
      <c r="I2848" t="s">
        <v>10070</v>
      </c>
      <c r="J2848" t="s">
        <v>16</v>
      </c>
      <c r="K2848" s="2" t="str">
        <f>HYPERLINK("http://collections.slsa.sa.gov.au/arbonlem/01750/PRG1324_1520a.htm")</f>
        <v>http://collections.slsa.sa.gov.au/arbonlem/01750/PRG1324_1520a.htm</v>
      </c>
    </row>
    <row r="2849" spans="1:11" x14ac:dyDescent="0.25">
      <c r="A2849" t="s">
        <v>10071</v>
      </c>
      <c r="B2849" s="1" t="str">
        <f>HYPERLINK("https://www.catalog.slsa.sa.gov.au/record=b2106873")</f>
        <v>https://www.catalog.slsa.sa.gov.au/record=b2106873</v>
      </c>
      <c r="C2849" s="1" t="str">
        <f>HYPERLINK("https://www.catalog.slsa.sa.gov.au/xrecord=b2106873")</f>
        <v>https://www.catalog.slsa.sa.gov.au/xrecord=b2106873</v>
      </c>
      <c r="D2849" t="s">
        <v>66</v>
      </c>
      <c r="E2849" t="s">
        <v>9234</v>
      </c>
      <c r="F2849">
        <v>1960</v>
      </c>
      <c r="G2849" t="s">
        <v>74</v>
      </c>
      <c r="H2849" t="s">
        <v>10072</v>
      </c>
      <c r="I2849" t="s">
        <v>9236</v>
      </c>
      <c r="J2849" t="s">
        <v>71</v>
      </c>
      <c r="K2849" s="2" t="str">
        <f>HYPERLINK("http://collections.slsa.sa.gov.au/arthur/00250/BRG347_38.htm")</f>
        <v>http://collections.slsa.sa.gov.au/arthur/00250/BRG347_38.htm</v>
      </c>
    </row>
    <row r="2850" spans="1:11" x14ac:dyDescent="0.25">
      <c r="A2850" t="s">
        <v>10073</v>
      </c>
      <c r="B2850" s="1" t="str">
        <f>HYPERLINK("https://www.catalog.slsa.sa.gov.au/record=b2106874")</f>
        <v>https://www.catalog.slsa.sa.gov.au/record=b2106874</v>
      </c>
      <c r="C2850" s="1" t="str">
        <f>HYPERLINK("https://www.catalog.slsa.sa.gov.au/xrecord=b2106874")</f>
        <v>https://www.catalog.slsa.sa.gov.au/xrecord=b2106874</v>
      </c>
      <c r="D2850" t="s">
        <v>66</v>
      </c>
      <c r="E2850" t="s">
        <v>10074</v>
      </c>
      <c r="F2850">
        <v>1960</v>
      </c>
      <c r="G2850" t="s">
        <v>10075</v>
      </c>
      <c r="H2850" t="s">
        <v>10076</v>
      </c>
      <c r="I2850" t="s">
        <v>9236</v>
      </c>
      <c r="J2850" t="s">
        <v>71</v>
      </c>
      <c r="K2850" s="2" t="str">
        <f>HYPERLINK("http://collections.slsa.sa.gov.au/arthur/00250/BRG347_39.htm")</f>
        <v>http://collections.slsa.sa.gov.au/arthur/00250/BRG347_39.htm</v>
      </c>
    </row>
    <row r="2851" spans="1:11" x14ac:dyDescent="0.25">
      <c r="A2851" t="s">
        <v>10077</v>
      </c>
      <c r="B2851" s="1" t="str">
        <f>HYPERLINK("https://www.catalog.slsa.sa.gov.au/record=b2110081")</f>
        <v>https://www.catalog.slsa.sa.gov.au/record=b2110081</v>
      </c>
      <c r="C2851" s="1" t="str">
        <f>HYPERLINK("https://www.catalog.slsa.sa.gov.au/xrecord=b2110081")</f>
        <v>https://www.catalog.slsa.sa.gov.au/xrecord=b2110081</v>
      </c>
      <c r="D2851" t="s">
        <v>66</v>
      </c>
      <c r="E2851" t="s">
        <v>10078</v>
      </c>
      <c r="F2851">
        <v>1960</v>
      </c>
      <c r="G2851" t="s">
        <v>121</v>
      </c>
      <c r="H2851" t="s">
        <v>10079</v>
      </c>
      <c r="I2851" t="s">
        <v>10080</v>
      </c>
      <c r="J2851" t="s">
        <v>71</v>
      </c>
      <c r="K2851" s="2" t="str">
        <f>HYPERLINK("http://collections.slsa.sa.gov.au/arthur/01000/BRG347_885.htm")</f>
        <v>http://collections.slsa.sa.gov.au/arthur/01000/BRG347_885.htm</v>
      </c>
    </row>
    <row r="2852" spans="1:11" x14ac:dyDescent="0.25">
      <c r="A2852" t="s">
        <v>10081</v>
      </c>
      <c r="B2852" s="1" t="str">
        <f>HYPERLINK("https://www.catalog.slsa.sa.gov.au/record=b2110138")</f>
        <v>https://www.catalog.slsa.sa.gov.au/record=b2110138</v>
      </c>
      <c r="C2852" s="1" t="str">
        <f>HYPERLINK("https://www.catalog.slsa.sa.gov.au/xrecord=b2110138")</f>
        <v>https://www.catalog.slsa.sa.gov.au/xrecord=b2110138</v>
      </c>
      <c r="D2852" t="s">
        <v>66</v>
      </c>
      <c r="E2852" t="s">
        <v>7579</v>
      </c>
      <c r="F2852">
        <v>1960</v>
      </c>
      <c r="G2852" t="s">
        <v>121</v>
      </c>
      <c r="H2852" t="s">
        <v>10082</v>
      </c>
      <c r="I2852" t="s">
        <v>7581</v>
      </c>
      <c r="J2852" t="s">
        <v>71</v>
      </c>
      <c r="K2852" s="2" t="str">
        <f>HYPERLINK("http://collections.slsa.sa.gov.au/arthur/01000/BRG347_943.htm")</f>
        <v>http://collections.slsa.sa.gov.au/arthur/01000/BRG347_943.htm</v>
      </c>
    </row>
    <row r="2853" spans="1:11" x14ac:dyDescent="0.25">
      <c r="A2853" t="s">
        <v>10083</v>
      </c>
      <c r="B2853" s="1" t="str">
        <f>HYPERLINK("https://www.catalog.slsa.sa.gov.au/record=b2110139")</f>
        <v>https://www.catalog.slsa.sa.gov.au/record=b2110139</v>
      </c>
      <c r="C2853" s="1" t="str">
        <f>HYPERLINK("https://www.catalog.slsa.sa.gov.au/xrecord=b2110139")</f>
        <v>https://www.catalog.slsa.sa.gov.au/xrecord=b2110139</v>
      </c>
      <c r="D2853" t="s">
        <v>66</v>
      </c>
      <c r="E2853" t="s">
        <v>10084</v>
      </c>
      <c r="F2853">
        <v>1960</v>
      </c>
      <c r="G2853" t="s">
        <v>121</v>
      </c>
      <c r="H2853" t="s">
        <v>10085</v>
      </c>
      <c r="I2853" t="s">
        <v>7652</v>
      </c>
      <c r="J2853" t="s">
        <v>71</v>
      </c>
      <c r="K2853" s="2" t="str">
        <f>HYPERLINK("http://collections.slsa.sa.gov.au/arthur/01000/BRG347_944.htm")</f>
        <v>http://collections.slsa.sa.gov.au/arthur/01000/BRG347_944.htm</v>
      </c>
    </row>
    <row r="2854" spans="1:11" x14ac:dyDescent="0.25">
      <c r="A2854" t="s">
        <v>10086</v>
      </c>
      <c r="B2854" s="1" t="str">
        <f>HYPERLINK("https://www.catalog.slsa.sa.gov.au/record=b2110140")</f>
        <v>https://www.catalog.slsa.sa.gov.au/record=b2110140</v>
      </c>
      <c r="C2854" s="1" t="str">
        <f>HYPERLINK("https://www.catalog.slsa.sa.gov.au/xrecord=b2110140")</f>
        <v>https://www.catalog.slsa.sa.gov.au/xrecord=b2110140</v>
      </c>
      <c r="D2854" t="s">
        <v>66</v>
      </c>
      <c r="E2854" t="s">
        <v>10087</v>
      </c>
      <c r="F2854">
        <v>1960</v>
      </c>
      <c r="G2854" t="s">
        <v>121</v>
      </c>
      <c r="H2854" t="s">
        <v>10088</v>
      </c>
      <c r="I2854" t="s">
        <v>10089</v>
      </c>
      <c r="J2854" t="s">
        <v>71</v>
      </c>
      <c r="K2854" s="2" t="str">
        <f>HYPERLINK("http://collections.slsa.sa.gov.au/arthur/01000/BRG347_945.htm")</f>
        <v>http://collections.slsa.sa.gov.au/arthur/01000/BRG347_945.htm</v>
      </c>
    </row>
    <row r="2855" spans="1:11" x14ac:dyDescent="0.25">
      <c r="A2855" t="s">
        <v>10090</v>
      </c>
      <c r="B2855" s="1" t="str">
        <f>HYPERLINK("https://www.catalog.slsa.sa.gov.au/record=b2110432")</f>
        <v>https://www.catalog.slsa.sa.gov.au/record=b2110432</v>
      </c>
      <c r="C2855" s="1" t="str">
        <f>HYPERLINK("https://www.catalog.slsa.sa.gov.au/xrecord=b2110432")</f>
        <v>https://www.catalog.slsa.sa.gov.au/xrecord=b2110432</v>
      </c>
      <c r="D2855" t="s">
        <v>66</v>
      </c>
      <c r="E2855" t="s">
        <v>10091</v>
      </c>
      <c r="F2855">
        <v>1960</v>
      </c>
      <c r="G2855" t="s">
        <v>121</v>
      </c>
      <c r="H2855" t="s">
        <v>10092</v>
      </c>
      <c r="I2855" t="s">
        <v>10093</v>
      </c>
      <c r="J2855" t="s">
        <v>71</v>
      </c>
      <c r="K2855" s="2" t="str">
        <f>HYPERLINK("http://collections.slsa.sa.gov.au/arthur/01250/BRG347_1209.htm")</f>
        <v>http://collections.slsa.sa.gov.au/arthur/01250/BRG347_1209.htm</v>
      </c>
    </row>
    <row r="2856" spans="1:11" x14ac:dyDescent="0.25">
      <c r="A2856" t="s">
        <v>10094</v>
      </c>
      <c r="B2856" s="1" t="str">
        <f>HYPERLINK("https://www.catalog.slsa.sa.gov.au/record=b2110433")</f>
        <v>https://www.catalog.slsa.sa.gov.au/record=b2110433</v>
      </c>
      <c r="C2856" s="1" t="str">
        <f>HYPERLINK("https://www.catalog.slsa.sa.gov.au/xrecord=b2110433")</f>
        <v>https://www.catalog.slsa.sa.gov.au/xrecord=b2110433</v>
      </c>
      <c r="D2856" t="s">
        <v>66</v>
      </c>
      <c r="E2856" t="s">
        <v>10095</v>
      </c>
      <c r="F2856">
        <v>1960</v>
      </c>
      <c r="G2856" t="s">
        <v>121</v>
      </c>
      <c r="H2856" t="s">
        <v>10096</v>
      </c>
      <c r="I2856" t="s">
        <v>10097</v>
      </c>
      <c r="J2856" t="s">
        <v>71</v>
      </c>
      <c r="K2856" s="2" t="str">
        <f>HYPERLINK("http://collections.slsa.sa.gov.au/arthur/01250/BRG347_1210.htm")</f>
        <v>http://collections.slsa.sa.gov.au/arthur/01250/BRG347_1210.htm</v>
      </c>
    </row>
    <row r="2857" spans="1:11" x14ac:dyDescent="0.25">
      <c r="A2857" t="s">
        <v>10098</v>
      </c>
      <c r="B2857" s="1" t="str">
        <f>HYPERLINK("https://www.catalog.slsa.sa.gov.au/record=b2110434")</f>
        <v>https://www.catalog.slsa.sa.gov.au/record=b2110434</v>
      </c>
      <c r="C2857" s="1" t="str">
        <f>HYPERLINK("https://www.catalog.slsa.sa.gov.au/xrecord=b2110434")</f>
        <v>https://www.catalog.slsa.sa.gov.au/xrecord=b2110434</v>
      </c>
      <c r="D2857" t="s">
        <v>66</v>
      </c>
      <c r="E2857" t="s">
        <v>10099</v>
      </c>
      <c r="F2857">
        <v>1960</v>
      </c>
      <c r="G2857" t="s">
        <v>121</v>
      </c>
      <c r="H2857" t="s">
        <v>10100</v>
      </c>
      <c r="I2857" t="s">
        <v>10101</v>
      </c>
      <c r="J2857" t="s">
        <v>71</v>
      </c>
      <c r="K2857" s="2" t="str">
        <f>HYPERLINK("http://collections.slsa.sa.gov.au/arthur/01250/BRG347_1211.htm")</f>
        <v>http://collections.slsa.sa.gov.au/arthur/01250/BRG347_1211.htm</v>
      </c>
    </row>
    <row r="2858" spans="1:11" x14ac:dyDescent="0.25">
      <c r="A2858" t="s">
        <v>10102</v>
      </c>
      <c r="B2858" s="1" t="str">
        <f>HYPERLINK("https://www.catalog.slsa.sa.gov.au/record=b2110435")</f>
        <v>https://www.catalog.slsa.sa.gov.au/record=b2110435</v>
      </c>
      <c r="C2858" s="1" t="str">
        <f>HYPERLINK("https://www.catalog.slsa.sa.gov.au/xrecord=b2110435")</f>
        <v>https://www.catalog.slsa.sa.gov.au/xrecord=b2110435</v>
      </c>
      <c r="D2858" t="s">
        <v>66</v>
      </c>
      <c r="E2858" t="s">
        <v>6272</v>
      </c>
      <c r="F2858">
        <v>1960</v>
      </c>
      <c r="G2858" t="s">
        <v>121</v>
      </c>
      <c r="H2858" t="s">
        <v>10103</v>
      </c>
      <c r="I2858" t="s">
        <v>6274</v>
      </c>
      <c r="J2858" t="s">
        <v>71</v>
      </c>
      <c r="K2858" s="2" t="str">
        <f>HYPERLINK("http://collections.slsa.sa.gov.au/arthur/01250/BRG347_1212.htm")</f>
        <v>http://collections.slsa.sa.gov.au/arthur/01250/BRG347_1212.htm</v>
      </c>
    </row>
    <row r="2859" spans="1:11" x14ac:dyDescent="0.25">
      <c r="A2859" t="s">
        <v>10104</v>
      </c>
      <c r="B2859" s="1" t="str">
        <f>HYPERLINK("https://www.catalog.slsa.sa.gov.au/record=b2110436")</f>
        <v>https://www.catalog.slsa.sa.gov.au/record=b2110436</v>
      </c>
      <c r="C2859" s="1" t="str">
        <f>HYPERLINK("https://www.catalog.slsa.sa.gov.au/xrecord=b2110436")</f>
        <v>https://www.catalog.slsa.sa.gov.au/xrecord=b2110436</v>
      </c>
      <c r="D2859" t="s">
        <v>66</v>
      </c>
      <c r="E2859" t="s">
        <v>10105</v>
      </c>
      <c r="F2859">
        <v>1960</v>
      </c>
      <c r="G2859" t="s">
        <v>121</v>
      </c>
      <c r="H2859" t="s">
        <v>10106</v>
      </c>
      <c r="I2859" t="s">
        <v>10107</v>
      </c>
      <c r="J2859" t="s">
        <v>71</v>
      </c>
      <c r="K2859" s="2" t="str">
        <f>HYPERLINK("http://collections.slsa.sa.gov.au/arthur/01250/BRG347_1213.htm")</f>
        <v>http://collections.slsa.sa.gov.au/arthur/01250/BRG347_1213.htm</v>
      </c>
    </row>
    <row r="2860" spans="1:11" x14ac:dyDescent="0.25">
      <c r="A2860" t="s">
        <v>10108</v>
      </c>
      <c r="B2860" s="1" t="str">
        <f>HYPERLINK("https://www.catalog.slsa.sa.gov.au/record=b2117715")</f>
        <v>https://www.catalog.slsa.sa.gov.au/record=b2117715</v>
      </c>
      <c r="C2860" s="1" t="str">
        <f>HYPERLINK("https://www.catalog.slsa.sa.gov.au/xrecord=b2117715")</f>
        <v>https://www.catalog.slsa.sa.gov.au/xrecord=b2117715</v>
      </c>
      <c r="D2860" t="s">
        <v>66</v>
      </c>
      <c r="E2860" t="s">
        <v>10109</v>
      </c>
      <c r="F2860">
        <v>1960</v>
      </c>
      <c r="G2860" t="s">
        <v>5597</v>
      </c>
      <c r="H2860" t="s">
        <v>10110</v>
      </c>
      <c r="I2860" t="s">
        <v>10093</v>
      </c>
      <c r="J2860" t="s">
        <v>71</v>
      </c>
      <c r="K2860" s="2" t="str">
        <f>HYPERLINK("http://collections.slsa.sa.gov.au/arthur/01250/BRG347_1214.htm")</f>
        <v>http://collections.slsa.sa.gov.au/arthur/01250/BRG347_1214.htm</v>
      </c>
    </row>
    <row r="2861" spans="1:11" x14ac:dyDescent="0.25">
      <c r="A2861" t="s">
        <v>10111</v>
      </c>
      <c r="B2861" s="1" t="str">
        <f>HYPERLINK("https://www.catalog.slsa.sa.gov.au/record=b2110437")</f>
        <v>https://www.catalog.slsa.sa.gov.au/record=b2110437</v>
      </c>
      <c r="C2861" s="1" t="str">
        <f>HYPERLINK("https://www.catalog.slsa.sa.gov.au/xrecord=b2110437")</f>
        <v>https://www.catalog.slsa.sa.gov.au/xrecord=b2110437</v>
      </c>
      <c r="D2861" t="s">
        <v>66</v>
      </c>
      <c r="E2861" t="s">
        <v>7654</v>
      </c>
      <c r="F2861">
        <v>1960</v>
      </c>
      <c r="G2861" t="s">
        <v>121</v>
      </c>
      <c r="H2861" t="s">
        <v>10112</v>
      </c>
      <c r="I2861" t="s">
        <v>6583</v>
      </c>
      <c r="J2861" t="s">
        <v>71</v>
      </c>
      <c r="K2861" s="2" t="str">
        <f>HYPERLINK("http://collections.slsa.sa.gov.au/arthur/01250/BRG347_1215.htm")</f>
        <v>http://collections.slsa.sa.gov.au/arthur/01250/BRG347_1215.htm</v>
      </c>
    </row>
    <row r="2862" spans="1:11" x14ac:dyDescent="0.25">
      <c r="A2862" t="s">
        <v>10113</v>
      </c>
      <c r="B2862" s="1" t="str">
        <f>HYPERLINK("https://www.catalog.slsa.sa.gov.au/record=b2110438")</f>
        <v>https://www.catalog.slsa.sa.gov.au/record=b2110438</v>
      </c>
      <c r="C2862" s="1" t="str">
        <f>HYPERLINK("https://www.catalog.slsa.sa.gov.au/xrecord=b2110438")</f>
        <v>https://www.catalog.slsa.sa.gov.au/xrecord=b2110438</v>
      </c>
      <c r="D2862" t="s">
        <v>66</v>
      </c>
      <c r="E2862" t="s">
        <v>10114</v>
      </c>
      <c r="F2862">
        <v>1960</v>
      </c>
      <c r="G2862" t="s">
        <v>121</v>
      </c>
      <c r="H2862" t="s">
        <v>10115</v>
      </c>
      <c r="I2862" t="s">
        <v>10116</v>
      </c>
      <c r="J2862" t="s">
        <v>71</v>
      </c>
      <c r="K2862" s="2" t="str">
        <f>HYPERLINK("http://collections.slsa.sa.gov.au/arthur/01250/BRG347_1216.htm")</f>
        <v>http://collections.slsa.sa.gov.au/arthur/01250/BRG347_1216.htm</v>
      </c>
    </row>
    <row r="2863" spans="1:11" x14ac:dyDescent="0.25">
      <c r="A2863" t="s">
        <v>10117</v>
      </c>
      <c r="B2863" s="1" t="str">
        <f>HYPERLINK("https://www.catalog.slsa.sa.gov.au/record=b2110439")</f>
        <v>https://www.catalog.slsa.sa.gov.au/record=b2110439</v>
      </c>
      <c r="C2863" s="1" t="str">
        <f>HYPERLINK("https://www.catalog.slsa.sa.gov.au/xrecord=b2110439")</f>
        <v>https://www.catalog.slsa.sa.gov.au/xrecord=b2110439</v>
      </c>
      <c r="D2863" t="s">
        <v>66</v>
      </c>
      <c r="E2863" t="s">
        <v>10118</v>
      </c>
      <c r="F2863">
        <v>1960</v>
      </c>
      <c r="G2863" t="s">
        <v>121</v>
      </c>
      <c r="H2863" t="s">
        <v>10119</v>
      </c>
      <c r="I2863" t="s">
        <v>10120</v>
      </c>
      <c r="J2863" t="s">
        <v>71</v>
      </c>
      <c r="K2863" s="2" t="str">
        <f>HYPERLINK("http://collections.slsa.sa.gov.au/arthur/01250/BRG347_1217.htm")</f>
        <v>http://collections.slsa.sa.gov.au/arthur/01250/BRG347_1217.htm</v>
      </c>
    </row>
    <row r="2864" spans="1:11" x14ac:dyDescent="0.25">
      <c r="A2864" t="s">
        <v>10121</v>
      </c>
      <c r="B2864" s="1" t="str">
        <f>HYPERLINK("https://www.catalog.slsa.sa.gov.au/record=b2110440")</f>
        <v>https://www.catalog.slsa.sa.gov.au/record=b2110440</v>
      </c>
      <c r="C2864" s="1" t="str">
        <f>HYPERLINK("https://www.catalog.slsa.sa.gov.au/xrecord=b2110440")</f>
        <v>https://www.catalog.slsa.sa.gov.au/xrecord=b2110440</v>
      </c>
      <c r="D2864" t="s">
        <v>66</v>
      </c>
      <c r="E2864" t="s">
        <v>10122</v>
      </c>
      <c r="F2864">
        <v>1960</v>
      </c>
      <c r="G2864" t="s">
        <v>121</v>
      </c>
      <c r="H2864" t="s">
        <v>10123</v>
      </c>
      <c r="I2864" t="s">
        <v>10124</v>
      </c>
      <c r="J2864" t="s">
        <v>71</v>
      </c>
      <c r="K2864" s="2" t="str">
        <f>HYPERLINK("http://collections.slsa.sa.gov.au/arthur/01250/BRG347_1218.htm")</f>
        <v>http://collections.slsa.sa.gov.au/arthur/01250/BRG347_1218.htm</v>
      </c>
    </row>
    <row r="2865" spans="1:11" x14ac:dyDescent="0.25">
      <c r="A2865" t="s">
        <v>10125</v>
      </c>
      <c r="B2865" s="1" t="str">
        <f>HYPERLINK("https://www.catalog.slsa.sa.gov.au/record=b2110441")</f>
        <v>https://www.catalog.slsa.sa.gov.au/record=b2110441</v>
      </c>
      <c r="C2865" s="1" t="str">
        <f>HYPERLINK("https://www.catalog.slsa.sa.gov.au/xrecord=b2110441")</f>
        <v>https://www.catalog.slsa.sa.gov.au/xrecord=b2110441</v>
      </c>
      <c r="D2865" t="s">
        <v>66</v>
      </c>
      <c r="E2865" t="s">
        <v>8299</v>
      </c>
      <c r="F2865">
        <v>1960</v>
      </c>
      <c r="G2865" t="s">
        <v>121</v>
      </c>
      <c r="H2865" t="s">
        <v>10126</v>
      </c>
      <c r="I2865" t="s">
        <v>10127</v>
      </c>
      <c r="J2865" t="s">
        <v>71</v>
      </c>
      <c r="K2865" s="2" t="str">
        <f>HYPERLINK("http://collections.slsa.sa.gov.au/arthur/01250/BRG347_1219.htm")</f>
        <v>http://collections.slsa.sa.gov.au/arthur/01250/BRG347_1219.htm</v>
      </c>
    </row>
    <row r="2866" spans="1:11" x14ac:dyDescent="0.25">
      <c r="A2866" t="s">
        <v>10128</v>
      </c>
      <c r="B2866" s="1" t="str">
        <f>HYPERLINK("https://www.catalog.slsa.sa.gov.au/record=b2110442")</f>
        <v>https://www.catalog.slsa.sa.gov.au/record=b2110442</v>
      </c>
      <c r="C2866" s="1" t="str">
        <f>HYPERLINK("https://www.catalog.slsa.sa.gov.au/xrecord=b2110442")</f>
        <v>https://www.catalog.slsa.sa.gov.au/xrecord=b2110442</v>
      </c>
      <c r="D2866" t="s">
        <v>66</v>
      </c>
      <c r="E2866" t="s">
        <v>10129</v>
      </c>
      <c r="F2866">
        <v>1960</v>
      </c>
      <c r="G2866" t="s">
        <v>121</v>
      </c>
      <c r="H2866" t="s">
        <v>10130</v>
      </c>
      <c r="I2866" t="s">
        <v>10131</v>
      </c>
      <c r="J2866" t="s">
        <v>71</v>
      </c>
      <c r="K2866" s="2" t="str">
        <f>HYPERLINK("http://collections.slsa.sa.gov.au/arthur/01250/BRG347_1220.htm")</f>
        <v>http://collections.slsa.sa.gov.au/arthur/01250/BRG347_1220.htm</v>
      </c>
    </row>
    <row r="2867" spans="1:11" x14ac:dyDescent="0.25">
      <c r="A2867" t="s">
        <v>10132</v>
      </c>
      <c r="B2867" s="1" t="str">
        <f>HYPERLINK("https://www.catalog.slsa.sa.gov.au/record=b2110487")</f>
        <v>https://www.catalog.slsa.sa.gov.au/record=b2110487</v>
      </c>
      <c r="C2867" s="1" t="str">
        <f>HYPERLINK("https://www.catalog.slsa.sa.gov.au/xrecord=b2110487")</f>
        <v>https://www.catalog.slsa.sa.gov.au/xrecord=b2110487</v>
      </c>
      <c r="D2867" t="s">
        <v>66</v>
      </c>
      <c r="E2867" t="s">
        <v>10133</v>
      </c>
      <c r="F2867">
        <v>1960</v>
      </c>
      <c r="G2867" t="s">
        <v>121</v>
      </c>
      <c r="H2867" t="s">
        <v>10134</v>
      </c>
      <c r="I2867" t="s">
        <v>8224</v>
      </c>
      <c r="J2867" t="s">
        <v>71</v>
      </c>
      <c r="K2867" s="2" t="str">
        <f>HYPERLINK("http://collections.slsa.sa.gov.au/arthur/01500/BRG347_1262.htm")</f>
        <v>http://collections.slsa.sa.gov.au/arthur/01500/BRG347_1262.htm</v>
      </c>
    </row>
    <row r="2868" spans="1:11" x14ac:dyDescent="0.25">
      <c r="A2868" t="s">
        <v>10135</v>
      </c>
      <c r="B2868" s="1" t="str">
        <f>HYPERLINK("https://www.catalog.slsa.sa.gov.au/record=b2110628")</f>
        <v>https://www.catalog.slsa.sa.gov.au/record=b2110628</v>
      </c>
      <c r="C2868" s="1" t="str">
        <f>HYPERLINK("https://www.catalog.slsa.sa.gov.au/xrecord=b2110628")</f>
        <v>https://www.catalog.slsa.sa.gov.au/xrecord=b2110628</v>
      </c>
      <c r="D2868" t="s">
        <v>66</v>
      </c>
      <c r="E2868" t="s">
        <v>8370</v>
      </c>
      <c r="F2868">
        <v>1960</v>
      </c>
      <c r="G2868" t="s">
        <v>121</v>
      </c>
      <c r="H2868" t="s">
        <v>10136</v>
      </c>
      <c r="I2868" t="s">
        <v>9293</v>
      </c>
      <c r="J2868" t="s">
        <v>71</v>
      </c>
      <c r="K2868" s="2" t="str">
        <f>HYPERLINK("http://collections.slsa.sa.gov.au/arthur/01500/BRG347_1347.htm")</f>
        <v>http://collections.slsa.sa.gov.au/arthur/01500/BRG347_1347.htm</v>
      </c>
    </row>
    <row r="2869" spans="1:11" x14ac:dyDescent="0.25">
      <c r="A2869" t="s">
        <v>10137</v>
      </c>
      <c r="B2869" s="1" t="str">
        <f>HYPERLINK("https://www.catalog.slsa.sa.gov.au/record=b2110630")</f>
        <v>https://www.catalog.slsa.sa.gov.au/record=b2110630</v>
      </c>
      <c r="C2869" s="1" t="str">
        <f>HYPERLINK("https://www.catalog.slsa.sa.gov.au/xrecord=b2110630")</f>
        <v>https://www.catalog.slsa.sa.gov.au/xrecord=b2110630</v>
      </c>
      <c r="D2869" t="s">
        <v>66</v>
      </c>
      <c r="E2869" t="s">
        <v>10138</v>
      </c>
      <c r="F2869">
        <v>1960</v>
      </c>
      <c r="G2869" t="s">
        <v>121</v>
      </c>
      <c r="H2869" t="s">
        <v>10136</v>
      </c>
      <c r="I2869" t="s">
        <v>10139</v>
      </c>
      <c r="J2869" t="s">
        <v>71</v>
      </c>
      <c r="K2869" s="2" t="str">
        <f>HYPERLINK("http://collections.slsa.sa.gov.au/arthur/01500/BRG347_1349.htm")</f>
        <v>http://collections.slsa.sa.gov.au/arthur/01500/BRG347_1349.htm</v>
      </c>
    </row>
    <row r="2870" spans="1:11" x14ac:dyDescent="0.25">
      <c r="A2870" t="s">
        <v>10140</v>
      </c>
      <c r="B2870" s="1" t="str">
        <f>HYPERLINK("https://www.catalog.slsa.sa.gov.au/record=b2110631")</f>
        <v>https://www.catalog.slsa.sa.gov.au/record=b2110631</v>
      </c>
      <c r="C2870" s="1" t="str">
        <f>HYPERLINK("https://www.catalog.slsa.sa.gov.au/xrecord=b2110631")</f>
        <v>https://www.catalog.slsa.sa.gov.au/xrecord=b2110631</v>
      </c>
      <c r="D2870" t="s">
        <v>66</v>
      </c>
      <c r="E2870" t="s">
        <v>10138</v>
      </c>
      <c r="F2870">
        <v>1960</v>
      </c>
      <c r="G2870" t="s">
        <v>121</v>
      </c>
      <c r="H2870" t="s">
        <v>10141</v>
      </c>
      <c r="I2870" t="s">
        <v>10142</v>
      </c>
      <c r="J2870" t="s">
        <v>71</v>
      </c>
      <c r="K2870" s="2" t="str">
        <f>HYPERLINK("http://collections.slsa.sa.gov.au/arthur/01500/BRG347_1350.htm")</f>
        <v>http://collections.slsa.sa.gov.au/arthur/01500/BRG347_1350.htm</v>
      </c>
    </row>
    <row r="2871" spans="1:11" x14ac:dyDescent="0.25">
      <c r="A2871" t="s">
        <v>10143</v>
      </c>
      <c r="B2871" s="1" t="str">
        <f>HYPERLINK("https://www.catalog.slsa.sa.gov.au/record=b2110632")</f>
        <v>https://www.catalog.slsa.sa.gov.au/record=b2110632</v>
      </c>
      <c r="C2871" s="1" t="str">
        <f>HYPERLINK("https://www.catalog.slsa.sa.gov.au/xrecord=b2110632")</f>
        <v>https://www.catalog.slsa.sa.gov.au/xrecord=b2110632</v>
      </c>
      <c r="D2871" t="s">
        <v>66</v>
      </c>
      <c r="E2871" t="s">
        <v>7767</v>
      </c>
      <c r="F2871">
        <v>1960</v>
      </c>
      <c r="G2871" t="s">
        <v>121</v>
      </c>
      <c r="H2871" t="s">
        <v>10144</v>
      </c>
      <c r="I2871" t="s">
        <v>10145</v>
      </c>
      <c r="J2871" t="s">
        <v>71</v>
      </c>
      <c r="K2871" s="2" t="str">
        <f>HYPERLINK("http://collections.slsa.sa.gov.au/arthur/01500/BRG347_1351.htm")</f>
        <v>http://collections.slsa.sa.gov.au/arthur/01500/BRG347_1351.htm</v>
      </c>
    </row>
    <row r="2872" spans="1:11" x14ac:dyDescent="0.25">
      <c r="A2872" t="s">
        <v>10146</v>
      </c>
      <c r="B2872" s="1" t="str">
        <f>HYPERLINK("https://www.catalog.slsa.sa.gov.au/record=b2110633")</f>
        <v>https://www.catalog.slsa.sa.gov.au/record=b2110633</v>
      </c>
      <c r="C2872" s="1" t="str">
        <f>HYPERLINK("https://www.catalog.slsa.sa.gov.au/xrecord=b2110633")</f>
        <v>https://www.catalog.slsa.sa.gov.au/xrecord=b2110633</v>
      </c>
      <c r="D2872" t="s">
        <v>66</v>
      </c>
      <c r="E2872" t="s">
        <v>10138</v>
      </c>
      <c r="F2872">
        <v>1960</v>
      </c>
      <c r="G2872" t="s">
        <v>121</v>
      </c>
      <c r="H2872" t="s">
        <v>10147</v>
      </c>
      <c r="I2872" t="s">
        <v>10148</v>
      </c>
      <c r="J2872" t="s">
        <v>71</v>
      </c>
      <c r="K2872" s="2" t="str">
        <f>HYPERLINK("http://collections.slsa.sa.gov.au/arthur/01500/BRG347_1352.htm")</f>
        <v>http://collections.slsa.sa.gov.au/arthur/01500/BRG347_1352.htm</v>
      </c>
    </row>
    <row r="2873" spans="1:11" x14ac:dyDescent="0.25">
      <c r="A2873" t="s">
        <v>10149</v>
      </c>
      <c r="B2873" s="1" t="str">
        <f>HYPERLINK("https://www.catalog.slsa.sa.gov.au/record=b2110634")</f>
        <v>https://www.catalog.slsa.sa.gov.au/record=b2110634</v>
      </c>
      <c r="C2873" s="1" t="str">
        <f>HYPERLINK("https://www.catalog.slsa.sa.gov.au/xrecord=b2110634")</f>
        <v>https://www.catalog.slsa.sa.gov.au/xrecord=b2110634</v>
      </c>
      <c r="D2873" t="s">
        <v>66</v>
      </c>
      <c r="E2873" t="s">
        <v>10138</v>
      </c>
      <c r="F2873">
        <v>1960</v>
      </c>
      <c r="G2873" t="s">
        <v>121</v>
      </c>
      <c r="H2873" t="s">
        <v>10150</v>
      </c>
      <c r="I2873" t="s">
        <v>10151</v>
      </c>
      <c r="J2873" t="s">
        <v>71</v>
      </c>
      <c r="K2873" s="2" t="str">
        <f>HYPERLINK("http://collections.slsa.sa.gov.au/arthur/01500/BRG347_1353.htm")</f>
        <v>http://collections.slsa.sa.gov.au/arthur/01500/BRG347_1353.htm</v>
      </c>
    </row>
    <row r="2874" spans="1:11" x14ac:dyDescent="0.25">
      <c r="A2874" t="s">
        <v>10152</v>
      </c>
      <c r="B2874" s="1" t="str">
        <f>HYPERLINK("https://www.catalog.slsa.sa.gov.au/record=b2117779")</f>
        <v>https://www.catalog.slsa.sa.gov.au/record=b2117779</v>
      </c>
      <c r="C2874" s="1" t="str">
        <f>HYPERLINK("https://www.catalog.slsa.sa.gov.au/xrecord=b2117779")</f>
        <v>https://www.catalog.slsa.sa.gov.au/xrecord=b2117779</v>
      </c>
      <c r="D2874" t="s">
        <v>66</v>
      </c>
      <c r="E2874" t="s">
        <v>10153</v>
      </c>
      <c r="F2874">
        <v>1960</v>
      </c>
      <c r="G2874" t="s">
        <v>5597</v>
      </c>
      <c r="H2874" t="s">
        <v>10154</v>
      </c>
      <c r="I2874" t="s">
        <v>10155</v>
      </c>
      <c r="J2874" t="s">
        <v>71</v>
      </c>
      <c r="K2874" s="2" t="str">
        <f>HYPERLINK("http://collections.slsa.sa.gov.au/arthur/01500/BRG347_1354.htm")</f>
        <v>http://collections.slsa.sa.gov.au/arthur/01500/BRG347_1354.htm</v>
      </c>
    </row>
    <row r="2875" spans="1:11" x14ac:dyDescent="0.25">
      <c r="A2875" t="s">
        <v>10156</v>
      </c>
      <c r="B2875" s="1" t="str">
        <f>HYPERLINK("https://www.catalog.slsa.sa.gov.au/record=b2110635")</f>
        <v>https://www.catalog.slsa.sa.gov.au/record=b2110635</v>
      </c>
      <c r="C2875" s="1" t="str">
        <f>HYPERLINK("https://www.catalog.slsa.sa.gov.au/xrecord=b2110635")</f>
        <v>https://www.catalog.slsa.sa.gov.au/xrecord=b2110635</v>
      </c>
      <c r="D2875" t="s">
        <v>66</v>
      </c>
      <c r="E2875" t="s">
        <v>7396</v>
      </c>
      <c r="F2875">
        <v>1960</v>
      </c>
      <c r="G2875" t="s">
        <v>121</v>
      </c>
      <c r="H2875" t="s">
        <v>10157</v>
      </c>
      <c r="I2875" t="s">
        <v>9715</v>
      </c>
      <c r="J2875" t="s">
        <v>71</v>
      </c>
      <c r="K2875" s="2" t="str">
        <f>HYPERLINK("http://collections.slsa.sa.gov.au/arthur/01500/BRG347_1355.htm")</f>
        <v>http://collections.slsa.sa.gov.au/arthur/01500/BRG347_1355.htm</v>
      </c>
    </row>
    <row r="2876" spans="1:11" x14ac:dyDescent="0.25">
      <c r="A2876" t="s">
        <v>10158</v>
      </c>
      <c r="B2876" s="1" t="str">
        <f>HYPERLINK("https://www.catalog.slsa.sa.gov.au/record=b2110636")</f>
        <v>https://www.catalog.slsa.sa.gov.au/record=b2110636</v>
      </c>
      <c r="C2876" s="1" t="str">
        <f>HYPERLINK("https://www.catalog.slsa.sa.gov.au/xrecord=b2110636")</f>
        <v>https://www.catalog.slsa.sa.gov.au/xrecord=b2110636</v>
      </c>
      <c r="D2876" t="s">
        <v>66</v>
      </c>
      <c r="E2876" t="s">
        <v>10159</v>
      </c>
      <c r="F2876">
        <v>1960</v>
      </c>
      <c r="G2876" t="s">
        <v>121</v>
      </c>
      <c r="H2876" t="s">
        <v>10160</v>
      </c>
      <c r="I2876" t="s">
        <v>10161</v>
      </c>
      <c r="J2876" t="s">
        <v>71</v>
      </c>
      <c r="K2876" s="2" t="str">
        <f>HYPERLINK("http://collections.slsa.sa.gov.au/arthur/01500/BRG347_1356.htm")</f>
        <v>http://collections.slsa.sa.gov.au/arthur/01500/BRG347_1356.htm</v>
      </c>
    </row>
    <row r="2877" spans="1:11" x14ac:dyDescent="0.25">
      <c r="A2877" t="s">
        <v>10162</v>
      </c>
      <c r="B2877" s="1" t="str">
        <f>HYPERLINK("https://www.catalog.slsa.sa.gov.au/record=b2110637")</f>
        <v>https://www.catalog.slsa.sa.gov.au/record=b2110637</v>
      </c>
      <c r="C2877" s="1" t="str">
        <f>HYPERLINK("https://www.catalog.slsa.sa.gov.au/xrecord=b2110637")</f>
        <v>https://www.catalog.slsa.sa.gov.au/xrecord=b2110637</v>
      </c>
      <c r="D2877" t="s">
        <v>66</v>
      </c>
      <c r="E2877" t="s">
        <v>10159</v>
      </c>
      <c r="F2877">
        <v>1960</v>
      </c>
      <c r="G2877" t="s">
        <v>121</v>
      </c>
      <c r="H2877" t="s">
        <v>10163</v>
      </c>
      <c r="I2877" t="s">
        <v>10161</v>
      </c>
      <c r="J2877" t="s">
        <v>71</v>
      </c>
      <c r="K2877" s="2" t="str">
        <f>HYPERLINK("http://collections.slsa.sa.gov.au/arthur/01500/BRG347_1357.htm")</f>
        <v>http://collections.slsa.sa.gov.au/arthur/01500/BRG347_1357.htm</v>
      </c>
    </row>
    <row r="2878" spans="1:11" x14ac:dyDescent="0.25">
      <c r="A2878" t="s">
        <v>10164</v>
      </c>
      <c r="B2878" s="1" t="str">
        <f>HYPERLINK("https://www.catalog.slsa.sa.gov.au/record=b2110638")</f>
        <v>https://www.catalog.slsa.sa.gov.au/record=b2110638</v>
      </c>
      <c r="C2878" s="1" t="str">
        <f>HYPERLINK("https://www.catalog.slsa.sa.gov.au/xrecord=b2110638")</f>
        <v>https://www.catalog.slsa.sa.gov.au/xrecord=b2110638</v>
      </c>
      <c r="D2878" t="s">
        <v>66</v>
      </c>
      <c r="E2878" t="s">
        <v>10159</v>
      </c>
      <c r="F2878">
        <v>1960</v>
      </c>
      <c r="G2878" t="s">
        <v>121</v>
      </c>
      <c r="H2878" t="s">
        <v>10165</v>
      </c>
      <c r="I2878" t="s">
        <v>10161</v>
      </c>
      <c r="J2878" t="s">
        <v>71</v>
      </c>
      <c r="K2878" s="2" t="str">
        <f>HYPERLINK("http://collections.slsa.sa.gov.au/arthur/01500/BRG347_1358.htm")</f>
        <v>http://collections.slsa.sa.gov.au/arthur/01500/BRG347_1358.htm</v>
      </c>
    </row>
    <row r="2879" spans="1:11" x14ac:dyDescent="0.25">
      <c r="A2879" t="s">
        <v>10166</v>
      </c>
      <c r="B2879" s="1" t="str">
        <f>HYPERLINK("https://www.catalog.slsa.sa.gov.au/record=b2110639")</f>
        <v>https://www.catalog.slsa.sa.gov.au/record=b2110639</v>
      </c>
      <c r="C2879" s="1" t="str">
        <f>HYPERLINK("https://www.catalog.slsa.sa.gov.au/xrecord=b2110639")</f>
        <v>https://www.catalog.slsa.sa.gov.au/xrecord=b2110639</v>
      </c>
      <c r="D2879" t="s">
        <v>66</v>
      </c>
      <c r="E2879" t="s">
        <v>10159</v>
      </c>
      <c r="F2879">
        <v>1960</v>
      </c>
      <c r="G2879" t="s">
        <v>121</v>
      </c>
      <c r="H2879" t="s">
        <v>10167</v>
      </c>
      <c r="I2879" t="s">
        <v>10161</v>
      </c>
      <c r="J2879" t="s">
        <v>71</v>
      </c>
      <c r="K2879" s="2" t="str">
        <f>HYPERLINK("http://collections.slsa.sa.gov.au/arthur/01500/BRG347_1359.htm")</f>
        <v>http://collections.slsa.sa.gov.au/arthur/01500/BRG347_1359.htm</v>
      </c>
    </row>
    <row r="2880" spans="1:11" x14ac:dyDescent="0.25">
      <c r="A2880" t="s">
        <v>10168</v>
      </c>
      <c r="B2880" s="1" t="str">
        <f>HYPERLINK("https://www.catalog.slsa.sa.gov.au/record=b2110640")</f>
        <v>https://www.catalog.slsa.sa.gov.au/record=b2110640</v>
      </c>
      <c r="C2880" s="1" t="str">
        <f>HYPERLINK("https://www.catalog.slsa.sa.gov.au/xrecord=b2110640")</f>
        <v>https://www.catalog.slsa.sa.gov.au/xrecord=b2110640</v>
      </c>
      <c r="D2880" t="s">
        <v>66</v>
      </c>
      <c r="E2880" t="s">
        <v>10159</v>
      </c>
      <c r="F2880">
        <v>1960</v>
      </c>
      <c r="G2880" t="s">
        <v>121</v>
      </c>
      <c r="H2880" t="s">
        <v>10167</v>
      </c>
      <c r="I2880" t="s">
        <v>10161</v>
      </c>
      <c r="J2880" t="s">
        <v>71</v>
      </c>
      <c r="K2880" s="2" t="str">
        <f>HYPERLINK("http://collections.slsa.sa.gov.au/arthur/01500/BRG347_1360.htm")</f>
        <v>http://collections.slsa.sa.gov.au/arthur/01500/BRG347_1360.htm</v>
      </c>
    </row>
    <row r="2881" spans="1:11" x14ac:dyDescent="0.25">
      <c r="A2881" t="s">
        <v>10169</v>
      </c>
      <c r="B2881" s="1" t="str">
        <f>HYPERLINK("https://www.catalog.slsa.sa.gov.au/record=b2110641")</f>
        <v>https://www.catalog.slsa.sa.gov.au/record=b2110641</v>
      </c>
      <c r="C2881" s="1" t="str">
        <f>HYPERLINK("https://www.catalog.slsa.sa.gov.au/xrecord=b2110641")</f>
        <v>https://www.catalog.slsa.sa.gov.au/xrecord=b2110641</v>
      </c>
      <c r="D2881" t="s">
        <v>66</v>
      </c>
      <c r="E2881" t="s">
        <v>10159</v>
      </c>
      <c r="F2881">
        <v>1960</v>
      </c>
      <c r="G2881" t="s">
        <v>121</v>
      </c>
      <c r="H2881" t="s">
        <v>10170</v>
      </c>
      <c r="I2881" t="s">
        <v>10161</v>
      </c>
      <c r="J2881" t="s">
        <v>71</v>
      </c>
      <c r="K2881" s="2" t="str">
        <f>HYPERLINK("http://collections.slsa.sa.gov.au/arthur/01500/BRG347_1361.htm")</f>
        <v>http://collections.slsa.sa.gov.au/arthur/01500/BRG347_1361.htm</v>
      </c>
    </row>
    <row r="2882" spans="1:11" x14ac:dyDescent="0.25">
      <c r="A2882" t="s">
        <v>10171</v>
      </c>
      <c r="B2882" s="1" t="str">
        <f>HYPERLINK("https://www.catalog.slsa.sa.gov.au/record=b2110642")</f>
        <v>https://www.catalog.slsa.sa.gov.au/record=b2110642</v>
      </c>
      <c r="C2882" s="1" t="str">
        <f>HYPERLINK("https://www.catalog.slsa.sa.gov.au/xrecord=b2110642")</f>
        <v>https://www.catalog.slsa.sa.gov.au/xrecord=b2110642</v>
      </c>
      <c r="D2882" t="s">
        <v>66</v>
      </c>
      <c r="E2882" t="s">
        <v>7396</v>
      </c>
      <c r="F2882">
        <v>1960</v>
      </c>
      <c r="G2882" t="s">
        <v>121</v>
      </c>
      <c r="H2882" t="s">
        <v>10172</v>
      </c>
      <c r="I2882" t="s">
        <v>9726</v>
      </c>
      <c r="J2882" t="s">
        <v>71</v>
      </c>
      <c r="K2882" s="2" t="str">
        <f>HYPERLINK("http://collections.slsa.sa.gov.au/arthur/01500/BRG347_1362.htm")</f>
        <v>http://collections.slsa.sa.gov.au/arthur/01500/BRG347_1362.htm</v>
      </c>
    </row>
    <row r="2883" spans="1:11" x14ac:dyDescent="0.25">
      <c r="A2883" t="s">
        <v>10173</v>
      </c>
      <c r="B2883" s="1" t="str">
        <f>HYPERLINK("https://www.catalog.slsa.sa.gov.au/record=b2110643")</f>
        <v>https://www.catalog.slsa.sa.gov.au/record=b2110643</v>
      </c>
      <c r="C2883" s="1" t="str">
        <f>HYPERLINK("https://www.catalog.slsa.sa.gov.au/xrecord=b2110643")</f>
        <v>https://www.catalog.slsa.sa.gov.au/xrecord=b2110643</v>
      </c>
      <c r="D2883" t="s">
        <v>66</v>
      </c>
      <c r="E2883" t="s">
        <v>7396</v>
      </c>
      <c r="F2883">
        <v>1960</v>
      </c>
      <c r="G2883" t="s">
        <v>121</v>
      </c>
      <c r="H2883" t="s">
        <v>10174</v>
      </c>
      <c r="I2883" t="s">
        <v>10175</v>
      </c>
      <c r="J2883" t="s">
        <v>71</v>
      </c>
      <c r="K2883" s="2" t="str">
        <f>HYPERLINK("http://collections.slsa.sa.gov.au/arthur/01500/BRG347_1363.htm")</f>
        <v>http://collections.slsa.sa.gov.au/arthur/01500/BRG347_1363.htm</v>
      </c>
    </row>
    <row r="2884" spans="1:11" x14ac:dyDescent="0.25">
      <c r="A2884" t="s">
        <v>10176</v>
      </c>
      <c r="B2884" s="1" t="str">
        <f>HYPERLINK("https://www.catalog.slsa.sa.gov.au/record=b2110644")</f>
        <v>https://www.catalog.slsa.sa.gov.au/record=b2110644</v>
      </c>
      <c r="C2884" s="1" t="str">
        <f>HYPERLINK("https://www.catalog.slsa.sa.gov.au/xrecord=b2110644")</f>
        <v>https://www.catalog.slsa.sa.gov.au/xrecord=b2110644</v>
      </c>
      <c r="D2884" t="s">
        <v>66</v>
      </c>
      <c r="E2884" t="s">
        <v>9724</v>
      </c>
      <c r="F2884">
        <v>1960</v>
      </c>
      <c r="G2884" t="s">
        <v>121</v>
      </c>
      <c r="H2884" t="s">
        <v>10177</v>
      </c>
      <c r="I2884" t="s">
        <v>10178</v>
      </c>
      <c r="J2884" t="s">
        <v>71</v>
      </c>
      <c r="K2884" s="2" t="str">
        <f>HYPERLINK("http://collections.slsa.sa.gov.au/arthur/01500/BRG347_1364.htm")</f>
        <v>http://collections.slsa.sa.gov.au/arthur/01500/BRG347_1364.htm</v>
      </c>
    </row>
    <row r="2885" spans="1:11" x14ac:dyDescent="0.25">
      <c r="A2885" t="s">
        <v>10179</v>
      </c>
      <c r="B2885" s="1" t="str">
        <f>HYPERLINK("https://www.catalog.slsa.sa.gov.au/record=b2110645")</f>
        <v>https://www.catalog.slsa.sa.gov.au/record=b2110645</v>
      </c>
      <c r="C2885" s="1" t="str">
        <f>HYPERLINK("https://www.catalog.slsa.sa.gov.au/xrecord=b2110645")</f>
        <v>https://www.catalog.slsa.sa.gov.au/xrecord=b2110645</v>
      </c>
      <c r="D2885" t="s">
        <v>66</v>
      </c>
      <c r="E2885" t="s">
        <v>7396</v>
      </c>
      <c r="F2885">
        <v>1960</v>
      </c>
      <c r="G2885" t="s">
        <v>121</v>
      </c>
      <c r="H2885" t="s">
        <v>10180</v>
      </c>
      <c r="I2885" t="s">
        <v>10181</v>
      </c>
      <c r="J2885" t="s">
        <v>71</v>
      </c>
      <c r="K2885" s="2" t="str">
        <f>HYPERLINK("http://collections.slsa.sa.gov.au/arthur/01500/BRG347_1365.htm")</f>
        <v>http://collections.slsa.sa.gov.au/arthur/01500/BRG347_1365.htm</v>
      </c>
    </row>
    <row r="2886" spans="1:11" x14ac:dyDescent="0.25">
      <c r="A2886" t="s">
        <v>10182</v>
      </c>
      <c r="B2886" s="1" t="str">
        <f>HYPERLINK("https://www.catalog.slsa.sa.gov.au/record=b2110646")</f>
        <v>https://www.catalog.slsa.sa.gov.au/record=b2110646</v>
      </c>
      <c r="C2886" s="1" t="str">
        <f>HYPERLINK("https://www.catalog.slsa.sa.gov.au/xrecord=b2110646")</f>
        <v>https://www.catalog.slsa.sa.gov.au/xrecord=b2110646</v>
      </c>
      <c r="D2886" t="s">
        <v>66</v>
      </c>
      <c r="E2886" t="s">
        <v>7396</v>
      </c>
      <c r="F2886">
        <v>1960</v>
      </c>
      <c r="G2886" t="s">
        <v>121</v>
      </c>
      <c r="H2886" t="s">
        <v>10183</v>
      </c>
      <c r="I2886" t="s">
        <v>10184</v>
      </c>
      <c r="J2886" t="s">
        <v>71</v>
      </c>
      <c r="K2886" s="2" t="str">
        <f>HYPERLINK("http://collections.slsa.sa.gov.au/arthur/01500/BRG347_1366.htm")</f>
        <v>http://collections.slsa.sa.gov.au/arthur/01500/BRG347_1366.htm</v>
      </c>
    </row>
    <row r="2887" spans="1:11" x14ac:dyDescent="0.25">
      <c r="A2887" t="s">
        <v>10185</v>
      </c>
      <c r="B2887" s="1" t="str">
        <f>HYPERLINK("https://www.catalog.slsa.sa.gov.au/record=b2110647")</f>
        <v>https://www.catalog.slsa.sa.gov.au/record=b2110647</v>
      </c>
      <c r="C2887" s="1" t="str">
        <f>HYPERLINK("https://www.catalog.slsa.sa.gov.au/xrecord=b2110647")</f>
        <v>https://www.catalog.slsa.sa.gov.au/xrecord=b2110647</v>
      </c>
      <c r="D2887" t="s">
        <v>66</v>
      </c>
      <c r="E2887" t="s">
        <v>10159</v>
      </c>
      <c r="F2887">
        <v>1960</v>
      </c>
      <c r="G2887" t="s">
        <v>121</v>
      </c>
      <c r="H2887" t="s">
        <v>10186</v>
      </c>
      <c r="I2887" t="s">
        <v>10187</v>
      </c>
      <c r="J2887" t="s">
        <v>71</v>
      </c>
      <c r="K2887" s="2" t="str">
        <f>HYPERLINK("http://collections.slsa.sa.gov.au/arthur/01500/BRG347_1367.htm")</f>
        <v>http://collections.slsa.sa.gov.au/arthur/01500/BRG347_1367.htm</v>
      </c>
    </row>
    <row r="2888" spans="1:11" x14ac:dyDescent="0.25">
      <c r="A2888" t="s">
        <v>10188</v>
      </c>
      <c r="B2888" s="1" t="str">
        <f>HYPERLINK("https://www.catalog.slsa.sa.gov.au/record=b2110648")</f>
        <v>https://www.catalog.slsa.sa.gov.au/record=b2110648</v>
      </c>
      <c r="C2888" s="1" t="str">
        <f>HYPERLINK("https://www.catalog.slsa.sa.gov.au/xrecord=b2110648")</f>
        <v>https://www.catalog.slsa.sa.gov.au/xrecord=b2110648</v>
      </c>
      <c r="D2888" t="s">
        <v>66</v>
      </c>
      <c r="E2888" t="s">
        <v>10189</v>
      </c>
      <c r="F2888">
        <v>1960</v>
      </c>
      <c r="G2888" t="s">
        <v>121</v>
      </c>
      <c r="H2888" t="s">
        <v>10190</v>
      </c>
      <c r="I2888" t="s">
        <v>10191</v>
      </c>
      <c r="J2888" t="s">
        <v>71</v>
      </c>
      <c r="K2888" s="2" t="str">
        <f>HYPERLINK("http://collections.slsa.sa.gov.au/arthur/01500/BRG347_1368.htm")</f>
        <v>http://collections.slsa.sa.gov.au/arthur/01500/BRG347_1368.htm</v>
      </c>
    </row>
    <row r="2889" spans="1:11" x14ac:dyDescent="0.25">
      <c r="A2889" t="s">
        <v>10192</v>
      </c>
      <c r="B2889" s="1" t="str">
        <f>HYPERLINK("https://www.catalog.slsa.sa.gov.au/record=b2110649")</f>
        <v>https://www.catalog.slsa.sa.gov.au/record=b2110649</v>
      </c>
      <c r="C2889" s="1" t="str">
        <f>HYPERLINK("https://www.catalog.slsa.sa.gov.au/xrecord=b2110649")</f>
        <v>https://www.catalog.slsa.sa.gov.au/xrecord=b2110649</v>
      </c>
      <c r="D2889" t="s">
        <v>66</v>
      </c>
      <c r="E2889" t="s">
        <v>7767</v>
      </c>
      <c r="F2889">
        <v>1960</v>
      </c>
      <c r="G2889" t="s">
        <v>121</v>
      </c>
      <c r="H2889" t="s">
        <v>10193</v>
      </c>
      <c r="I2889" t="s">
        <v>10194</v>
      </c>
      <c r="J2889" t="s">
        <v>71</v>
      </c>
      <c r="K2889" s="2" t="str">
        <f>HYPERLINK("http://collections.slsa.sa.gov.au/arthur/01500/BRG347_1369.htm")</f>
        <v>http://collections.slsa.sa.gov.au/arthur/01500/BRG347_1369.htm</v>
      </c>
    </row>
    <row r="2890" spans="1:11" x14ac:dyDescent="0.25">
      <c r="A2890" t="s">
        <v>10195</v>
      </c>
      <c r="B2890" s="1" t="str">
        <f>HYPERLINK("https://www.catalog.slsa.sa.gov.au/record=b2110650")</f>
        <v>https://www.catalog.slsa.sa.gov.au/record=b2110650</v>
      </c>
      <c r="C2890" s="1" t="str">
        <f>HYPERLINK("https://www.catalog.slsa.sa.gov.au/xrecord=b2110650")</f>
        <v>https://www.catalog.slsa.sa.gov.au/xrecord=b2110650</v>
      </c>
      <c r="D2890" t="s">
        <v>66</v>
      </c>
      <c r="E2890" t="s">
        <v>10196</v>
      </c>
      <c r="F2890">
        <v>1960</v>
      </c>
      <c r="G2890" t="s">
        <v>121</v>
      </c>
      <c r="H2890" t="s">
        <v>10197</v>
      </c>
      <c r="I2890" t="s">
        <v>10198</v>
      </c>
      <c r="J2890" t="s">
        <v>71</v>
      </c>
      <c r="K2890" s="2" t="str">
        <f>HYPERLINK("http://collections.slsa.sa.gov.au/arthur/01500/BRG347_1370.htm")</f>
        <v>http://collections.slsa.sa.gov.au/arthur/01500/BRG347_1370.htm</v>
      </c>
    </row>
    <row r="2891" spans="1:11" x14ac:dyDescent="0.25">
      <c r="A2891" t="s">
        <v>10199</v>
      </c>
      <c r="B2891" s="1" t="str">
        <f>HYPERLINK("https://www.catalog.slsa.sa.gov.au/record=b2110651")</f>
        <v>https://www.catalog.slsa.sa.gov.au/record=b2110651</v>
      </c>
      <c r="C2891" s="1" t="str">
        <f>HYPERLINK("https://www.catalog.slsa.sa.gov.au/xrecord=b2110651")</f>
        <v>https://www.catalog.slsa.sa.gov.au/xrecord=b2110651</v>
      </c>
      <c r="D2891" t="s">
        <v>66</v>
      </c>
      <c r="E2891" t="s">
        <v>8370</v>
      </c>
      <c r="F2891">
        <v>1960</v>
      </c>
      <c r="G2891" t="s">
        <v>121</v>
      </c>
      <c r="H2891" t="s">
        <v>10200</v>
      </c>
      <c r="I2891" t="s">
        <v>10201</v>
      </c>
      <c r="J2891" t="s">
        <v>71</v>
      </c>
      <c r="K2891" s="2" t="str">
        <f>HYPERLINK("http://collections.slsa.sa.gov.au/arthur/01500/BRG347_1371.htm")</f>
        <v>http://collections.slsa.sa.gov.au/arthur/01500/BRG347_1371.htm</v>
      </c>
    </row>
    <row r="2892" spans="1:11" x14ac:dyDescent="0.25">
      <c r="A2892" t="s">
        <v>10202</v>
      </c>
      <c r="B2892" s="1" t="str">
        <f>HYPERLINK("https://www.catalog.slsa.sa.gov.au/record=b2110652")</f>
        <v>https://www.catalog.slsa.sa.gov.au/record=b2110652</v>
      </c>
      <c r="C2892" s="1" t="str">
        <f>HYPERLINK("https://www.catalog.slsa.sa.gov.au/xrecord=b2110652")</f>
        <v>https://www.catalog.slsa.sa.gov.au/xrecord=b2110652</v>
      </c>
      <c r="D2892" t="s">
        <v>66</v>
      </c>
      <c r="E2892" t="s">
        <v>7767</v>
      </c>
      <c r="F2892">
        <v>1960</v>
      </c>
      <c r="G2892" t="s">
        <v>121</v>
      </c>
      <c r="H2892" t="s">
        <v>10203</v>
      </c>
      <c r="I2892" t="s">
        <v>10204</v>
      </c>
      <c r="J2892" t="s">
        <v>71</v>
      </c>
      <c r="K2892" s="2" t="str">
        <f>HYPERLINK("http://collections.slsa.sa.gov.au/arthur/01500/BRG347_1372.htm")</f>
        <v>http://collections.slsa.sa.gov.au/arthur/01500/BRG347_1372.htm</v>
      </c>
    </row>
    <row r="2893" spans="1:11" x14ac:dyDescent="0.25">
      <c r="A2893" t="s">
        <v>10205</v>
      </c>
      <c r="B2893" s="1" t="str">
        <f>HYPERLINK("https://www.catalog.slsa.sa.gov.au/record=b2110653")</f>
        <v>https://www.catalog.slsa.sa.gov.au/record=b2110653</v>
      </c>
      <c r="C2893" s="1" t="str">
        <f>HYPERLINK("https://www.catalog.slsa.sa.gov.au/xrecord=b2110653")</f>
        <v>https://www.catalog.slsa.sa.gov.au/xrecord=b2110653</v>
      </c>
      <c r="D2893" t="s">
        <v>66</v>
      </c>
      <c r="E2893" t="s">
        <v>7767</v>
      </c>
      <c r="F2893">
        <v>1960</v>
      </c>
      <c r="G2893" t="s">
        <v>121</v>
      </c>
      <c r="H2893" t="s">
        <v>10206</v>
      </c>
      <c r="I2893" t="s">
        <v>10207</v>
      </c>
      <c r="J2893" t="s">
        <v>71</v>
      </c>
      <c r="K2893" s="2" t="str">
        <f>HYPERLINK("http://collections.slsa.sa.gov.au/arthur/01500/BRG347_1373.htm")</f>
        <v>http://collections.slsa.sa.gov.au/arthur/01500/BRG347_1373.htm</v>
      </c>
    </row>
    <row r="2894" spans="1:11" x14ac:dyDescent="0.25">
      <c r="A2894" t="s">
        <v>10208</v>
      </c>
      <c r="B2894" s="1" t="str">
        <f>HYPERLINK("https://www.catalog.slsa.sa.gov.au/record=b2110654")</f>
        <v>https://www.catalog.slsa.sa.gov.au/record=b2110654</v>
      </c>
      <c r="C2894" s="1" t="str">
        <f>HYPERLINK("https://www.catalog.slsa.sa.gov.au/xrecord=b2110654")</f>
        <v>https://www.catalog.slsa.sa.gov.au/xrecord=b2110654</v>
      </c>
      <c r="D2894" t="s">
        <v>66</v>
      </c>
      <c r="E2894" t="s">
        <v>9724</v>
      </c>
      <c r="F2894">
        <v>1960</v>
      </c>
      <c r="G2894" t="s">
        <v>121</v>
      </c>
      <c r="H2894" t="s">
        <v>10209</v>
      </c>
      <c r="I2894" t="s">
        <v>9404</v>
      </c>
      <c r="J2894" t="s">
        <v>71</v>
      </c>
      <c r="K2894" s="2" t="str">
        <f>HYPERLINK("http://collections.slsa.sa.gov.au/arthur/01500/BRG347_1374.htm")</f>
        <v>http://collections.slsa.sa.gov.au/arthur/01500/BRG347_1374.htm</v>
      </c>
    </row>
    <row r="2895" spans="1:11" x14ac:dyDescent="0.25">
      <c r="A2895" t="s">
        <v>10210</v>
      </c>
      <c r="B2895" s="1" t="str">
        <f>HYPERLINK("https://www.catalog.slsa.sa.gov.au/record=b2110655")</f>
        <v>https://www.catalog.slsa.sa.gov.au/record=b2110655</v>
      </c>
      <c r="C2895" s="1" t="str">
        <f>HYPERLINK("https://www.catalog.slsa.sa.gov.au/xrecord=b2110655")</f>
        <v>https://www.catalog.slsa.sa.gov.au/xrecord=b2110655</v>
      </c>
      <c r="D2895" t="s">
        <v>66</v>
      </c>
      <c r="E2895" t="s">
        <v>7396</v>
      </c>
      <c r="F2895">
        <v>1960</v>
      </c>
      <c r="G2895" t="s">
        <v>121</v>
      </c>
      <c r="H2895" t="s">
        <v>10211</v>
      </c>
      <c r="I2895" t="s">
        <v>10212</v>
      </c>
      <c r="J2895" t="s">
        <v>71</v>
      </c>
      <c r="K2895" s="2" t="str">
        <f>HYPERLINK("http://collections.slsa.sa.gov.au/arthur/01500/BRG347_1375.htm")</f>
        <v>http://collections.slsa.sa.gov.au/arthur/01500/BRG347_1375.htm</v>
      </c>
    </row>
    <row r="2896" spans="1:11" x14ac:dyDescent="0.25">
      <c r="A2896" t="s">
        <v>10213</v>
      </c>
      <c r="B2896" s="1" t="str">
        <f>HYPERLINK("https://www.catalog.slsa.sa.gov.au/record=b2110656")</f>
        <v>https://www.catalog.slsa.sa.gov.au/record=b2110656</v>
      </c>
      <c r="C2896" s="1" t="str">
        <f>HYPERLINK("https://www.catalog.slsa.sa.gov.au/xrecord=b2110656")</f>
        <v>https://www.catalog.slsa.sa.gov.au/xrecord=b2110656</v>
      </c>
      <c r="D2896" t="s">
        <v>66</v>
      </c>
      <c r="E2896" t="s">
        <v>7396</v>
      </c>
      <c r="F2896">
        <v>1960</v>
      </c>
      <c r="G2896" t="s">
        <v>121</v>
      </c>
      <c r="H2896" t="s">
        <v>10214</v>
      </c>
      <c r="I2896" t="s">
        <v>10215</v>
      </c>
      <c r="J2896" t="s">
        <v>71</v>
      </c>
      <c r="K2896" s="2" t="str">
        <f>HYPERLINK("http://collections.slsa.sa.gov.au/arthur/01500/BRG347_1376.htm")</f>
        <v>http://collections.slsa.sa.gov.au/arthur/01500/BRG347_1376.htm</v>
      </c>
    </row>
    <row r="2897" spans="1:11" x14ac:dyDescent="0.25">
      <c r="A2897" t="s">
        <v>10216</v>
      </c>
      <c r="B2897" s="1" t="str">
        <f>HYPERLINK("https://www.catalog.slsa.sa.gov.au/record=b2110768")</f>
        <v>https://www.catalog.slsa.sa.gov.au/record=b2110768</v>
      </c>
      <c r="C2897" s="1" t="str">
        <f>HYPERLINK("https://www.catalog.slsa.sa.gov.au/xrecord=b2110768")</f>
        <v>https://www.catalog.slsa.sa.gov.au/xrecord=b2110768</v>
      </c>
      <c r="D2897" t="s">
        <v>66</v>
      </c>
      <c r="E2897" t="s">
        <v>10217</v>
      </c>
      <c r="F2897">
        <v>1960</v>
      </c>
      <c r="G2897" t="s">
        <v>121</v>
      </c>
      <c r="H2897" t="s">
        <v>10218</v>
      </c>
      <c r="I2897" t="s">
        <v>10219</v>
      </c>
      <c r="J2897" t="s">
        <v>71</v>
      </c>
      <c r="K2897" s="2" t="str">
        <f>HYPERLINK("http://collections.slsa.sa.gov.au/arthur/01500/BRG347_1488.htm")</f>
        <v>http://collections.slsa.sa.gov.au/arthur/01500/BRG347_1488.htm</v>
      </c>
    </row>
    <row r="2898" spans="1:11" x14ac:dyDescent="0.25">
      <c r="A2898" t="s">
        <v>10220</v>
      </c>
      <c r="B2898" s="1" t="str">
        <f>HYPERLINK("https://www.catalog.slsa.sa.gov.au/record=b2110769")</f>
        <v>https://www.catalog.slsa.sa.gov.au/record=b2110769</v>
      </c>
      <c r="C2898" s="1" t="str">
        <f>HYPERLINK("https://www.catalog.slsa.sa.gov.au/xrecord=b2110769")</f>
        <v>https://www.catalog.slsa.sa.gov.au/xrecord=b2110769</v>
      </c>
      <c r="D2898" t="s">
        <v>66</v>
      </c>
      <c r="E2898" t="s">
        <v>10221</v>
      </c>
      <c r="F2898">
        <v>1960</v>
      </c>
      <c r="G2898" t="s">
        <v>121</v>
      </c>
      <c r="H2898" t="s">
        <v>10222</v>
      </c>
      <c r="I2898" t="s">
        <v>10223</v>
      </c>
      <c r="J2898" t="s">
        <v>71</v>
      </c>
      <c r="K2898" s="2" t="str">
        <f>HYPERLINK("http://collections.slsa.sa.gov.au/arthur/01500/BRG347_1489.htm")</f>
        <v>http://collections.slsa.sa.gov.au/arthur/01500/BRG347_1489.htm</v>
      </c>
    </row>
    <row r="2899" spans="1:11" x14ac:dyDescent="0.25">
      <c r="A2899" t="s">
        <v>10224</v>
      </c>
      <c r="B2899" s="1" t="str">
        <f>HYPERLINK("https://www.catalog.slsa.sa.gov.au/record=b2110770")</f>
        <v>https://www.catalog.slsa.sa.gov.au/record=b2110770</v>
      </c>
      <c r="C2899" s="1" t="str">
        <f>HYPERLINK("https://www.catalog.slsa.sa.gov.au/xrecord=b2110770")</f>
        <v>https://www.catalog.slsa.sa.gov.au/xrecord=b2110770</v>
      </c>
      <c r="D2899" t="s">
        <v>66</v>
      </c>
      <c r="E2899" t="s">
        <v>10225</v>
      </c>
      <c r="F2899">
        <v>1960</v>
      </c>
      <c r="G2899" t="s">
        <v>121</v>
      </c>
      <c r="H2899" t="s">
        <v>10226</v>
      </c>
      <c r="I2899" t="s">
        <v>10227</v>
      </c>
      <c r="J2899" t="s">
        <v>71</v>
      </c>
      <c r="K2899" s="2" t="str">
        <f>HYPERLINK("http://collections.slsa.sa.gov.au/arthur/01500/BRG347_1490.htm")</f>
        <v>http://collections.slsa.sa.gov.au/arthur/01500/BRG347_1490.htm</v>
      </c>
    </row>
    <row r="2900" spans="1:11" x14ac:dyDescent="0.25">
      <c r="A2900" t="s">
        <v>10228</v>
      </c>
      <c r="B2900" s="1" t="str">
        <f>HYPERLINK("https://www.catalog.slsa.sa.gov.au/record=b2110771")</f>
        <v>https://www.catalog.slsa.sa.gov.au/record=b2110771</v>
      </c>
      <c r="C2900" s="1" t="str">
        <f>HYPERLINK("https://www.catalog.slsa.sa.gov.au/xrecord=b2110771")</f>
        <v>https://www.catalog.slsa.sa.gov.au/xrecord=b2110771</v>
      </c>
      <c r="D2900" t="s">
        <v>66</v>
      </c>
      <c r="E2900" t="s">
        <v>10229</v>
      </c>
      <c r="F2900">
        <v>1960</v>
      </c>
      <c r="G2900" t="s">
        <v>121</v>
      </c>
      <c r="H2900" t="s">
        <v>10230</v>
      </c>
      <c r="I2900" t="s">
        <v>10231</v>
      </c>
      <c r="J2900" t="s">
        <v>71</v>
      </c>
      <c r="K2900" s="2" t="str">
        <f>HYPERLINK("http://collections.slsa.sa.gov.au/arthur/01500/BRG347_1491.htm")</f>
        <v>http://collections.slsa.sa.gov.au/arthur/01500/BRG347_1491.htm</v>
      </c>
    </row>
    <row r="2901" spans="1:11" x14ac:dyDescent="0.25">
      <c r="A2901" t="s">
        <v>10232</v>
      </c>
      <c r="B2901" s="1" t="str">
        <f>HYPERLINK("https://www.catalog.slsa.sa.gov.au/record=b2110772")</f>
        <v>https://www.catalog.slsa.sa.gov.au/record=b2110772</v>
      </c>
      <c r="C2901" s="1" t="str">
        <f>HYPERLINK("https://www.catalog.slsa.sa.gov.au/xrecord=b2110772")</f>
        <v>https://www.catalog.slsa.sa.gov.au/xrecord=b2110772</v>
      </c>
      <c r="D2901" t="s">
        <v>66</v>
      </c>
      <c r="E2901" t="s">
        <v>10233</v>
      </c>
      <c r="F2901">
        <v>1960</v>
      </c>
      <c r="G2901" t="s">
        <v>121</v>
      </c>
      <c r="H2901" t="s">
        <v>10234</v>
      </c>
      <c r="I2901" t="s">
        <v>10235</v>
      </c>
      <c r="J2901" t="s">
        <v>71</v>
      </c>
      <c r="K2901" s="2" t="str">
        <f>HYPERLINK("http://collections.slsa.sa.gov.au/arthur/01500/BRG347_1492.htm")</f>
        <v>http://collections.slsa.sa.gov.au/arthur/01500/BRG347_1492.htm</v>
      </c>
    </row>
    <row r="2902" spans="1:11" x14ac:dyDescent="0.25">
      <c r="A2902" t="s">
        <v>10236</v>
      </c>
      <c r="B2902" s="1" t="str">
        <f>HYPERLINK("https://www.catalog.slsa.sa.gov.au/record=b2110774")</f>
        <v>https://www.catalog.slsa.sa.gov.au/record=b2110774</v>
      </c>
      <c r="C2902" s="1" t="str">
        <f>HYPERLINK("https://www.catalog.slsa.sa.gov.au/xrecord=b2110774")</f>
        <v>https://www.catalog.slsa.sa.gov.au/xrecord=b2110774</v>
      </c>
      <c r="D2902" t="s">
        <v>66</v>
      </c>
      <c r="E2902" t="s">
        <v>10237</v>
      </c>
      <c r="F2902">
        <v>1960</v>
      </c>
      <c r="G2902" t="s">
        <v>121</v>
      </c>
      <c r="H2902" t="s">
        <v>10238</v>
      </c>
      <c r="I2902" t="s">
        <v>10239</v>
      </c>
      <c r="J2902" t="s">
        <v>71</v>
      </c>
      <c r="K2902" s="2" t="str">
        <f>HYPERLINK("http://collections.slsa.sa.gov.au/arthur/01500/BRG347_1494.htm")</f>
        <v>http://collections.slsa.sa.gov.au/arthur/01500/BRG347_1494.htm</v>
      </c>
    </row>
    <row r="2903" spans="1:11" x14ac:dyDescent="0.25">
      <c r="A2903" t="s">
        <v>10240</v>
      </c>
      <c r="B2903" s="1" t="str">
        <f>HYPERLINK("https://www.catalog.slsa.sa.gov.au/record=b2110775")</f>
        <v>https://www.catalog.slsa.sa.gov.au/record=b2110775</v>
      </c>
      <c r="C2903" s="1" t="str">
        <f>HYPERLINK("https://www.catalog.slsa.sa.gov.au/xrecord=b2110775")</f>
        <v>https://www.catalog.slsa.sa.gov.au/xrecord=b2110775</v>
      </c>
      <c r="D2903" t="s">
        <v>66</v>
      </c>
      <c r="E2903" t="s">
        <v>10241</v>
      </c>
      <c r="F2903">
        <v>1960</v>
      </c>
      <c r="G2903" t="s">
        <v>121</v>
      </c>
      <c r="H2903" t="s">
        <v>10242</v>
      </c>
      <c r="I2903" t="s">
        <v>10243</v>
      </c>
      <c r="J2903" t="s">
        <v>71</v>
      </c>
      <c r="K2903" s="2" t="str">
        <f>HYPERLINK("http://collections.slsa.sa.gov.au/arthur/01500/BRG347_1495.htm")</f>
        <v>http://collections.slsa.sa.gov.au/arthur/01500/BRG347_1495.htm</v>
      </c>
    </row>
    <row r="2904" spans="1:11" x14ac:dyDescent="0.25">
      <c r="A2904" t="s">
        <v>10244</v>
      </c>
      <c r="B2904" s="1" t="str">
        <f>HYPERLINK("https://www.catalog.slsa.sa.gov.au/record=b2110857")</f>
        <v>https://www.catalog.slsa.sa.gov.au/record=b2110857</v>
      </c>
      <c r="C2904" s="1" t="str">
        <f>HYPERLINK("https://www.catalog.slsa.sa.gov.au/xrecord=b2110857")</f>
        <v>https://www.catalog.slsa.sa.gov.au/xrecord=b2110857</v>
      </c>
      <c r="D2904" t="s">
        <v>66</v>
      </c>
      <c r="E2904" t="s">
        <v>10245</v>
      </c>
      <c r="F2904">
        <v>1960</v>
      </c>
      <c r="G2904" t="s">
        <v>121</v>
      </c>
      <c r="H2904" t="s">
        <v>10246</v>
      </c>
      <c r="I2904" t="s">
        <v>9559</v>
      </c>
      <c r="J2904" t="s">
        <v>71</v>
      </c>
      <c r="K2904" s="2" t="str">
        <f>HYPERLINK("http://collections.slsa.sa.gov.au/arthur/01750/BRG347_1578.htm")</f>
        <v>http://collections.slsa.sa.gov.au/arthur/01750/BRG347_1578.htm</v>
      </c>
    </row>
    <row r="2905" spans="1:11" x14ac:dyDescent="0.25">
      <c r="A2905" t="s">
        <v>10247</v>
      </c>
      <c r="B2905" s="1" t="str">
        <f>HYPERLINK("https://www.catalog.slsa.sa.gov.au/record=b2110899")</f>
        <v>https://www.catalog.slsa.sa.gov.au/record=b2110899</v>
      </c>
      <c r="C2905" s="1" t="str">
        <f>HYPERLINK("https://www.catalog.slsa.sa.gov.au/xrecord=b2110899")</f>
        <v>https://www.catalog.slsa.sa.gov.au/xrecord=b2110899</v>
      </c>
      <c r="D2905" t="s">
        <v>66</v>
      </c>
      <c r="E2905" t="s">
        <v>10248</v>
      </c>
      <c r="F2905">
        <v>1960</v>
      </c>
      <c r="G2905" t="s">
        <v>121</v>
      </c>
      <c r="H2905" t="s">
        <v>10249</v>
      </c>
      <c r="I2905" t="s">
        <v>10250</v>
      </c>
      <c r="J2905" t="s">
        <v>71</v>
      </c>
      <c r="K2905" s="2" t="str">
        <f>HYPERLINK("http://collections.slsa.sa.gov.au/arthur/01750/BRG347_1579.htm")</f>
        <v>http://collections.slsa.sa.gov.au/arthur/01750/BRG347_1579.htm</v>
      </c>
    </row>
    <row r="2906" spans="1:11" x14ac:dyDescent="0.25">
      <c r="A2906" t="s">
        <v>10251</v>
      </c>
      <c r="B2906" s="1" t="str">
        <f>HYPERLINK("https://www.catalog.slsa.sa.gov.au/record=b2111171")</f>
        <v>https://www.catalog.slsa.sa.gov.au/record=b2111171</v>
      </c>
      <c r="C2906" s="1" t="str">
        <f>HYPERLINK("https://www.catalog.slsa.sa.gov.au/xrecord=b2111171")</f>
        <v>https://www.catalog.slsa.sa.gov.au/xrecord=b2111171</v>
      </c>
      <c r="D2906" t="s">
        <v>66</v>
      </c>
      <c r="E2906" t="s">
        <v>10252</v>
      </c>
      <c r="F2906">
        <v>1960</v>
      </c>
      <c r="G2906" t="s">
        <v>121</v>
      </c>
      <c r="H2906" t="s">
        <v>10253</v>
      </c>
      <c r="I2906" t="s">
        <v>10254</v>
      </c>
      <c r="J2906" t="s">
        <v>71</v>
      </c>
      <c r="K2906" s="2" t="str">
        <f>HYPERLINK("http://collections.slsa.sa.gov.au/arthur/02000/BRG347_1860.htm")</f>
        <v>http://collections.slsa.sa.gov.au/arthur/02000/BRG347_1860.htm</v>
      </c>
    </row>
    <row r="2907" spans="1:11" x14ac:dyDescent="0.25">
      <c r="A2907" t="s">
        <v>10255</v>
      </c>
      <c r="B2907" s="1" t="str">
        <f>HYPERLINK("https://www.catalog.slsa.sa.gov.au/record=b2111172")</f>
        <v>https://www.catalog.slsa.sa.gov.au/record=b2111172</v>
      </c>
      <c r="C2907" s="1" t="str">
        <f>HYPERLINK("https://www.catalog.slsa.sa.gov.au/xrecord=b2111172")</f>
        <v>https://www.catalog.slsa.sa.gov.au/xrecord=b2111172</v>
      </c>
      <c r="D2907" t="s">
        <v>66</v>
      </c>
      <c r="E2907" t="s">
        <v>10256</v>
      </c>
      <c r="F2907">
        <v>1960</v>
      </c>
      <c r="G2907" t="s">
        <v>121</v>
      </c>
      <c r="H2907" t="s">
        <v>10257</v>
      </c>
      <c r="I2907" t="s">
        <v>10258</v>
      </c>
      <c r="J2907" t="s">
        <v>71</v>
      </c>
      <c r="K2907" s="2" t="str">
        <f>HYPERLINK("http://collections.slsa.sa.gov.au/arthur/02000/BRG347_1861.htm")</f>
        <v>http://collections.slsa.sa.gov.au/arthur/02000/BRG347_1861.htm</v>
      </c>
    </row>
    <row r="2908" spans="1:11" x14ac:dyDescent="0.25">
      <c r="A2908" t="s">
        <v>10259</v>
      </c>
      <c r="B2908" s="1" t="str">
        <f>HYPERLINK("https://www.catalog.slsa.sa.gov.au/record=b2111173")</f>
        <v>https://www.catalog.slsa.sa.gov.au/record=b2111173</v>
      </c>
      <c r="C2908" s="1" t="str">
        <f>HYPERLINK("https://www.catalog.slsa.sa.gov.au/xrecord=b2111173")</f>
        <v>https://www.catalog.slsa.sa.gov.au/xrecord=b2111173</v>
      </c>
      <c r="D2908" t="s">
        <v>66</v>
      </c>
      <c r="E2908" t="s">
        <v>10260</v>
      </c>
      <c r="F2908">
        <v>1960</v>
      </c>
      <c r="G2908" t="s">
        <v>121</v>
      </c>
      <c r="H2908" t="s">
        <v>10261</v>
      </c>
      <c r="I2908" t="s">
        <v>10262</v>
      </c>
      <c r="J2908" t="s">
        <v>71</v>
      </c>
      <c r="K2908" s="2" t="str">
        <f>HYPERLINK("http://collections.slsa.sa.gov.au/arthur/02000/BRG347_1862.htm")</f>
        <v>http://collections.slsa.sa.gov.au/arthur/02000/BRG347_1862.htm</v>
      </c>
    </row>
    <row r="2909" spans="1:11" x14ac:dyDescent="0.25">
      <c r="A2909" t="s">
        <v>10263</v>
      </c>
      <c r="B2909" s="1" t="str">
        <f>HYPERLINK("https://www.catalog.slsa.sa.gov.au/record=b2111175")</f>
        <v>https://www.catalog.slsa.sa.gov.au/record=b2111175</v>
      </c>
      <c r="C2909" s="1" t="str">
        <f>HYPERLINK("https://www.catalog.slsa.sa.gov.au/xrecord=b2111175")</f>
        <v>https://www.catalog.slsa.sa.gov.au/xrecord=b2111175</v>
      </c>
      <c r="D2909" t="s">
        <v>66</v>
      </c>
      <c r="E2909" t="s">
        <v>10264</v>
      </c>
      <c r="F2909">
        <v>1960</v>
      </c>
      <c r="G2909" t="s">
        <v>121</v>
      </c>
      <c r="H2909" t="s">
        <v>10265</v>
      </c>
      <c r="I2909" t="s">
        <v>10266</v>
      </c>
      <c r="J2909" t="s">
        <v>71</v>
      </c>
      <c r="K2909" s="2" t="str">
        <f>HYPERLINK("http://collections.slsa.sa.gov.au/arthur/02000/BRG347_1864.htm")</f>
        <v>http://collections.slsa.sa.gov.au/arthur/02000/BRG347_1864.htm</v>
      </c>
    </row>
    <row r="2910" spans="1:11" x14ac:dyDescent="0.25">
      <c r="A2910" t="s">
        <v>10267</v>
      </c>
      <c r="B2910" s="1" t="str">
        <f>HYPERLINK("https://www.catalog.slsa.sa.gov.au/record=b2111176")</f>
        <v>https://www.catalog.slsa.sa.gov.au/record=b2111176</v>
      </c>
      <c r="C2910" s="1" t="str">
        <f>HYPERLINK("https://www.catalog.slsa.sa.gov.au/xrecord=b2111176")</f>
        <v>https://www.catalog.slsa.sa.gov.au/xrecord=b2111176</v>
      </c>
      <c r="D2910" t="s">
        <v>66</v>
      </c>
      <c r="E2910" t="s">
        <v>10268</v>
      </c>
      <c r="F2910">
        <v>1960</v>
      </c>
      <c r="G2910" t="s">
        <v>121</v>
      </c>
      <c r="H2910" t="s">
        <v>10269</v>
      </c>
      <c r="I2910" t="s">
        <v>8105</v>
      </c>
      <c r="J2910" t="s">
        <v>71</v>
      </c>
      <c r="K2910" s="2" t="str">
        <f>HYPERLINK("http://collections.slsa.sa.gov.au/arthur/02000/BRG347_1865.htm")</f>
        <v>http://collections.slsa.sa.gov.au/arthur/02000/BRG347_1865.htm</v>
      </c>
    </row>
    <row r="2911" spans="1:11" x14ac:dyDescent="0.25">
      <c r="A2911" t="s">
        <v>10270</v>
      </c>
      <c r="B2911" s="1" t="str">
        <f>HYPERLINK("https://www.catalog.slsa.sa.gov.au/record=b2111177")</f>
        <v>https://www.catalog.slsa.sa.gov.au/record=b2111177</v>
      </c>
      <c r="C2911" s="1" t="str">
        <f>HYPERLINK("https://www.catalog.slsa.sa.gov.au/xrecord=b2111177")</f>
        <v>https://www.catalog.slsa.sa.gov.au/xrecord=b2111177</v>
      </c>
      <c r="D2911" t="s">
        <v>66</v>
      </c>
      <c r="E2911" t="s">
        <v>7662</v>
      </c>
      <c r="F2911">
        <v>1960</v>
      </c>
      <c r="G2911" t="s">
        <v>121</v>
      </c>
      <c r="H2911" t="s">
        <v>10271</v>
      </c>
      <c r="I2911" t="s">
        <v>10272</v>
      </c>
      <c r="J2911" t="s">
        <v>71</v>
      </c>
      <c r="K2911" s="2" t="str">
        <f>HYPERLINK("http://collections.slsa.sa.gov.au/arthur/02000/BRG347_1866.htm")</f>
        <v>http://collections.slsa.sa.gov.au/arthur/02000/BRG347_1866.htm</v>
      </c>
    </row>
    <row r="2912" spans="1:11" x14ac:dyDescent="0.25">
      <c r="A2912" t="s">
        <v>10273</v>
      </c>
      <c r="B2912" s="1" t="str">
        <f>HYPERLINK("https://www.catalog.slsa.sa.gov.au/record=b2111178")</f>
        <v>https://www.catalog.slsa.sa.gov.au/record=b2111178</v>
      </c>
      <c r="C2912" s="1" t="str">
        <f>HYPERLINK("https://www.catalog.slsa.sa.gov.au/xrecord=b2111178")</f>
        <v>https://www.catalog.slsa.sa.gov.au/xrecord=b2111178</v>
      </c>
      <c r="D2912" t="s">
        <v>66</v>
      </c>
      <c r="E2912" t="s">
        <v>10252</v>
      </c>
      <c r="F2912">
        <v>1960</v>
      </c>
      <c r="G2912" t="s">
        <v>121</v>
      </c>
      <c r="H2912" t="s">
        <v>10274</v>
      </c>
      <c r="I2912" t="s">
        <v>10254</v>
      </c>
      <c r="J2912" t="s">
        <v>71</v>
      </c>
      <c r="K2912" s="2" t="str">
        <f>HYPERLINK("http://collections.slsa.sa.gov.au/arthur/02000/BRG347_1867.htm")</f>
        <v>http://collections.slsa.sa.gov.au/arthur/02000/BRG347_1867.htm</v>
      </c>
    </row>
    <row r="2913" spans="1:11" x14ac:dyDescent="0.25">
      <c r="A2913" t="s">
        <v>10275</v>
      </c>
      <c r="B2913" s="1" t="str">
        <f>HYPERLINK("https://www.catalog.slsa.sa.gov.au/record=b2111180")</f>
        <v>https://www.catalog.slsa.sa.gov.au/record=b2111180</v>
      </c>
      <c r="C2913" s="1" t="str">
        <f>HYPERLINK("https://www.catalog.slsa.sa.gov.au/xrecord=b2111180")</f>
        <v>https://www.catalog.slsa.sa.gov.au/xrecord=b2111180</v>
      </c>
      <c r="D2913" t="s">
        <v>66</v>
      </c>
      <c r="E2913" t="s">
        <v>10276</v>
      </c>
      <c r="F2913">
        <v>1960</v>
      </c>
      <c r="G2913" t="s">
        <v>121</v>
      </c>
      <c r="H2913" t="s">
        <v>10277</v>
      </c>
      <c r="I2913" t="s">
        <v>10278</v>
      </c>
      <c r="J2913" t="s">
        <v>71</v>
      </c>
      <c r="K2913" s="2" t="str">
        <f>HYPERLINK("http://collections.slsa.sa.gov.au/arthur/02000/BRG347_1870.htm")</f>
        <v>http://collections.slsa.sa.gov.au/arthur/02000/BRG347_1870.htm</v>
      </c>
    </row>
    <row r="2914" spans="1:11" x14ac:dyDescent="0.25">
      <c r="A2914" t="s">
        <v>10279</v>
      </c>
      <c r="B2914" s="1" t="str">
        <f>HYPERLINK("https://www.catalog.slsa.sa.gov.au/record=b2111181")</f>
        <v>https://www.catalog.slsa.sa.gov.au/record=b2111181</v>
      </c>
      <c r="C2914" s="1" t="str">
        <f>HYPERLINK("https://www.catalog.slsa.sa.gov.au/xrecord=b2111181")</f>
        <v>https://www.catalog.slsa.sa.gov.au/xrecord=b2111181</v>
      </c>
      <c r="D2914" t="s">
        <v>66</v>
      </c>
      <c r="E2914" t="s">
        <v>10280</v>
      </c>
      <c r="F2914">
        <v>1960</v>
      </c>
      <c r="G2914" t="s">
        <v>121</v>
      </c>
      <c r="H2914" t="s">
        <v>10281</v>
      </c>
      <c r="I2914" t="s">
        <v>1728</v>
      </c>
      <c r="J2914" t="s">
        <v>71</v>
      </c>
      <c r="K2914" s="2" t="str">
        <f>HYPERLINK("http://collections.slsa.sa.gov.au/arthur/02000/BRG347_1871.htm")</f>
        <v>http://collections.slsa.sa.gov.au/arthur/02000/BRG347_1871.htm</v>
      </c>
    </row>
    <row r="2915" spans="1:11" x14ac:dyDescent="0.25">
      <c r="A2915" t="s">
        <v>10282</v>
      </c>
      <c r="B2915" s="1" t="str">
        <f>HYPERLINK("https://www.catalog.slsa.sa.gov.au/record=b2111183")</f>
        <v>https://www.catalog.slsa.sa.gov.au/record=b2111183</v>
      </c>
      <c r="C2915" s="1" t="str">
        <f>HYPERLINK("https://www.catalog.slsa.sa.gov.au/xrecord=b2111183")</f>
        <v>https://www.catalog.slsa.sa.gov.au/xrecord=b2111183</v>
      </c>
      <c r="D2915" t="s">
        <v>66</v>
      </c>
      <c r="E2915" t="s">
        <v>9263</v>
      </c>
      <c r="F2915">
        <v>1960</v>
      </c>
      <c r="G2915" t="s">
        <v>121</v>
      </c>
      <c r="H2915" t="s">
        <v>10283</v>
      </c>
      <c r="I2915" t="s">
        <v>5541</v>
      </c>
      <c r="J2915" t="s">
        <v>71</v>
      </c>
      <c r="K2915" s="2" t="str">
        <f>HYPERLINK("http://collections.slsa.sa.gov.au/arthur/02000/BRG347_1872.htm")</f>
        <v>http://collections.slsa.sa.gov.au/arthur/02000/BRG347_1872.htm</v>
      </c>
    </row>
    <row r="2916" spans="1:11" x14ac:dyDescent="0.25">
      <c r="A2916" t="s">
        <v>10284</v>
      </c>
      <c r="B2916" s="1" t="str">
        <f>HYPERLINK("https://www.catalog.slsa.sa.gov.au/record=b2111184")</f>
        <v>https://www.catalog.slsa.sa.gov.au/record=b2111184</v>
      </c>
      <c r="C2916" s="1" t="str">
        <f>HYPERLINK("https://www.catalog.slsa.sa.gov.au/xrecord=b2111184")</f>
        <v>https://www.catalog.slsa.sa.gov.au/xrecord=b2111184</v>
      </c>
      <c r="D2916" t="s">
        <v>66</v>
      </c>
      <c r="E2916" t="s">
        <v>10285</v>
      </c>
      <c r="F2916">
        <v>1960</v>
      </c>
      <c r="G2916" t="s">
        <v>121</v>
      </c>
      <c r="H2916" t="s">
        <v>10286</v>
      </c>
      <c r="I2916" t="s">
        <v>10287</v>
      </c>
      <c r="J2916" t="s">
        <v>71</v>
      </c>
      <c r="K2916" s="2" t="str">
        <f>HYPERLINK("http://collections.slsa.sa.gov.au/arthur/02000/BRG347_1873.htm")</f>
        <v>http://collections.slsa.sa.gov.au/arthur/02000/BRG347_1873.htm</v>
      </c>
    </row>
    <row r="2917" spans="1:11" x14ac:dyDescent="0.25">
      <c r="A2917" t="s">
        <v>10288</v>
      </c>
      <c r="B2917" s="1" t="str">
        <f>HYPERLINK("https://www.catalog.slsa.sa.gov.au/record=b2111186")</f>
        <v>https://www.catalog.slsa.sa.gov.au/record=b2111186</v>
      </c>
      <c r="C2917" s="1" t="str">
        <f>HYPERLINK("https://www.catalog.slsa.sa.gov.au/xrecord=b2111186")</f>
        <v>https://www.catalog.slsa.sa.gov.au/xrecord=b2111186</v>
      </c>
      <c r="D2917" t="s">
        <v>66</v>
      </c>
      <c r="E2917" t="s">
        <v>10289</v>
      </c>
      <c r="F2917">
        <v>1960</v>
      </c>
      <c r="G2917" t="s">
        <v>121</v>
      </c>
      <c r="H2917" t="s">
        <v>10290</v>
      </c>
      <c r="I2917" t="s">
        <v>10287</v>
      </c>
      <c r="J2917" t="s">
        <v>71</v>
      </c>
      <c r="K2917" s="2" t="str">
        <f>HYPERLINK("http://collections.slsa.sa.gov.au/arthur/02000/BRG347_1875.htm")</f>
        <v>http://collections.slsa.sa.gov.au/arthur/02000/BRG347_1875.htm</v>
      </c>
    </row>
    <row r="2918" spans="1:11" x14ac:dyDescent="0.25">
      <c r="A2918" t="s">
        <v>10291</v>
      </c>
      <c r="B2918" s="1" t="str">
        <f>HYPERLINK("https://www.catalog.slsa.sa.gov.au/record=b2111187")</f>
        <v>https://www.catalog.slsa.sa.gov.au/record=b2111187</v>
      </c>
      <c r="C2918" s="1" t="str">
        <f>HYPERLINK("https://www.catalog.slsa.sa.gov.au/xrecord=b2111187")</f>
        <v>https://www.catalog.slsa.sa.gov.au/xrecord=b2111187</v>
      </c>
      <c r="D2918" t="s">
        <v>66</v>
      </c>
      <c r="E2918" t="s">
        <v>10292</v>
      </c>
      <c r="F2918">
        <v>1960</v>
      </c>
      <c r="G2918" t="s">
        <v>121</v>
      </c>
      <c r="H2918" t="s">
        <v>10293</v>
      </c>
      <c r="I2918" t="s">
        <v>10294</v>
      </c>
      <c r="J2918" t="s">
        <v>71</v>
      </c>
      <c r="K2918" s="2" t="str">
        <f>HYPERLINK("http://collections.slsa.sa.gov.au/arthur/02000/BRG347_1876.htm")</f>
        <v>http://collections.slsa.sa.gov.au/arthur/02000/BRG347_1876.htm</v>
      </c>
    </row>
    <row r="2919" spans="1:11" x14ac:dyDescent="0.25">
      <c r="A2919" t="s">
        <v>10295</v>
      </c>
      <c r="B2919" s="1" t="str">
        <f>HYPERLINK("https://www.catalog.slsa.sa.gov.au/record=b2111188")</f>
        <v>https://www.catalog.slsa.sa.gov.au/record=b2111188</v>
      </c>
      <c r="C2919" s="1" t="str">
        <f>HYPERLINK("https://www.catalog.slsa.sa.gov.au/xrecord=b2111188")</f>
        <v>https://www.catalog.slsa.sa.gov.au/xrecord=b2111188</v>
      </c>
      <c r="D2919" t="s">
        <v>66</v>
      </c>
      <c r="E2919" t="s">
        <v>10296</v>
      </c>
      <c r="F2919">
        <v>1960</v>
      </c>
      <c r="G2919" t="s">
        <v>121</v>
      </c>
      <c r="H2919" t="s">
        <v>10297</v>
      </c>
      <c r="I2919" t="s">
        <v>1728</v>
      </c>
      <c r="J2919" t="s">
        <v>71</v>
      </c>
      <c r="K2919" s="2" t="str">
        <f>HYPERLINK("http://collections.slsa.sa.gov.au/arthur/02000/BRG347_1877.htm")</f>
        <v>http://collections.slsa.sa.gov.au/arthur/02000/BRG347_1877.htm</v>
      </c>
    </row>
    <row r="2920" spans="1:11" x14ac:dyDescent="0.25">
      <c r="A2920" t="s">
        <v>10298</v>
      </c>
      <c r="B2920" s="1" t="str">
        <f>HYPERLINK("https://www.catalog.slsa.sa.gov.au/record=b2111189")</f>
        <v>https://www.catalog.slsa.sa.gov.au/record=b2111189</v>
      </c>
      <c r="C2920" s="1" t="str">
        <f>HYPERLINK("https://www.catalog.slsa.sa.gov.au/xrecord=b2111189")</f>
        <v>https://www.catalog.slsa.sa.gov.au/xrecord=b2111189</v>
      </c>
      <c r="D2920" t="s">
        <v>66</v>
      </c>
      <c r="E2920" t="s">
        <v>7180</v>
      </c>
      <c r="F2920">
        <v>1960</v>
      </c>
      <c r="G2920" t="s">
        <v>121</v>
      </c>
      <c r="H2920" t="s">
        <v>10299</v>
      </c>
      <c r="I2920" t="s">
        <v>10300</v>
      </c>
      <c r="J2920" t="s">
        <v>71</v>
      </c>
      <c r="K2920" s="2" t="str">
        <f>HYPERLINK("http://collections.slsa.sa.gov.au/arthur/02000/BRG347_1878.htm")</f>
        <v>http://collections.slsa.sa.gov.au/arthur/02000/BRG347_1878.htm</v>
      </c>
    </row>
    <row r="2921" spans="1:11" x14ac:dyDescent="0.25">
      <c r="A2921" t="s">
        <v>10301</v>
      </c>
      <c r="B2921" s="1" t="str">
        <f>HYPERLINK("https://www.catalog.slsa.sa.gov.au/record=b2111279")</f>
        <v>https://www.catalog.slsa.sa.gov.au/record=b2111279</v>
      </c>
      <c r="C2921" s="1" t="str">
        <f>HYPERLINK("https://www.catalog.slsa.sa.gov.au/xrecord=b2111279")</f>
        <v>https://www.catalog.slsa.sa.gov.au/xrecord=b2111279</v>
      </c>
      <c r="D2921" t="s">
        <v>66</v>
      </c>
      <c r="E2921" t="s">
        <v>8599</v>
      </c>
      <c r="F2921">
        <v>1960</v>
      </c>
      <c r="G2921" t="s">
        <v>121</v>
      </c>
      <c r="H2921" t="s">
        <v>10302</v>
      </c>
      <c r="I2921" t="s">
        <v>10303</v>
      </c>
      <c r="J2921" t="s">
        <v>71</v>
      </c>
      <c r="K2921" s="2" t="str">
        <f>HYPERLINK("http://collections.slsa.sa.gov.au/arthur/02000/BRG347_1950.htm")</f>
        <v>http://collections.slsa.sa.gov.au/arthur/02000/BRG347_1950.htm</v>
      </c>
    </row>
    <row r="2922" spans="1:11" x14ac:dyDescent="0.25">
      <c r="A2922" t="s">
        <v>10304</v>
      </c>
      <c r="B2922" s="1" t="str">
        <f>HYPERLINK("https://www.catalog.slsa.sa.gov.au/record=b2111280")</f>
        <v>https://www.catalog.slsa.sa.gov.au/record=b2111280</v>
      </c>
      <c r="C2922" s="1" t="str">
        <f>HYPERLINK("https://www.catalog.slsa.sa.gov.au/xrecord=b2111280")</f>
        <v>https://www.catalog.slsa.sa.gov.au/xrecord=b2111280</v>
      </c>
      <c r="D2922" t="s">
        <v>66</v>
      </c>
      <c r="E2922" t="s">
        <v>10305</v>
      </c>
      <c r="F2922">
        <v>1960</v>
      </c>
      <c r="G2922" t="s">
        <v>121</v>
      </c>
      <c r="H2922" t="s">
        <v>10306</v>
      </c>
      <c r="I2922" t="s">
        <v>10307</v>
      </c>
      <c r="J2922" t="s">
        <v>71</v>
      </c>
      <c r="K2922" s="2" t="str">
        <f>HYPERLINK("http://collections.slsa.sa.gov.au/arthur/02000/BRG347_1951.htm")</f>
        <v>http://collections.slsa.sa.gov.au/arthur/02000/BRG347_1951.htm</v>
      </c>
    </row>
    <row r="2923" spans="1:11" x14ac:dyDescent="0.25">
      <c r="A2923" t="s">
        <v>10308</v>
      </c>
      <c r="B2923" s="1" t="str">
        <f>HYPERLINK("https://www.catalog.slsa.sa.gov.au/record=b2111281")</f>
        <v>https://www.catalog.slsa.sa.gov.au/record=b2111281</v>
      </c>
      <c r="C2923" s="1" t="str">
        <f>HYPERLINK("https://www.catalog.slsa.sa.gov.au/xrecord=b2111281")</f>
        <v>https://www.catalog.slsa.sa.gov.au/xrecord=b2111281</v>
      </c>
      <c r="D2923" t="s">
        <v>66</v>
      </c>
      <c r="E2923" t="s">
        <v>10309</v>
      </c>
      <c r="F2923">
        <v>1960</v>
      </c>
      <c r="G2923" t="s">
        <v>121</v>
      </c>
      <c r="H2923" t="s">
        <v>10310</v>
      </c>
      <c r="I2923" t="s">
        <v>10311</v>
      </c>
      <c r="J2923" t="s">
        <v>71</v>
      </c>
      <c r="K2923" s="2" t="str">
        <f>HYPERLINK("http://collections.slsa.sa.gov.au/arthur/02000/BRG347_1952.htm")</f>
        <v>http://collections.slsa.sa.gov.au/arthur/02000/BRG347_1952.htm</v>
      </c>
    </row>
    <row r="2924" spans="1:11" x14ac:dyDescent="0.25">
      <c r="A2924" t="s">
        <v>10312</v>
      </c>
      <c r="B2924" s="1" t="str">
        <f>HYPERLINK("https://www.catalog.slsa.sa.gov.au/record=b2111282")</f>
        <v>https://www.catalog.slsa.sa.gov.au/record=b2111282</v>
      </c>
      <c r="C2924" s="1" t="str">
        <f>HYPERLINK("https://www.catalog.slsa.sa.gov.au/xrecord=b2111282")</f>
        <v>https://www.catalog.slsa.sa.gov.au/xrecord=b2111282</v>
      </c>
      <c r="D2924" t="s">
        <v>66</v>
      </c>
      <c r="E2924" t="s">
        <v>10313</v>
      </c>
      <c r="F2924">
        <v>1960</v>
      </c>
      <c r="G2924" t="s">
        <v>121</v>
      </c>
      <c r="H2924" t="s">
        <v>10314</v>
      </c>
      <c r="I2924" t="s">
        <v>10315</v>
      </c>
      <c r="J2924" t="s">
        <v>71</v>
      </c>
      <c r="K2924" s="2" t="str">
        <f>HYPERLINK("http://collections.slsa.sa.gov.au/arthur/02000/BRG347_1953.htm")</f>
        <v>http://collections.slsa.sa.gov.au/arthur/02000/BRG347_1953.htm</v>
      </c>
    </row>
    <row r="2925" spans="1:11" x14ac:dyDescent="0.25">
      <c r="A2925" t="s">
        <v>10316</v>
      </c>
      <c r="B2925" s="1" t="str">
        <f>HYPERLINK("https://www.catalog.slsa.sa.gov.au/record=b2111283")</f>
        <v>https://www.catalog.slsa.sa.gov.au/record=b2111283</v>
      </c>
      <c r="C2925" s="1" t="str">
        <f>HYPERLINK("https://www.catalog.slsa.sa.gov.au/xrecord=b2111283")</f>
        <v>https://www.catalog.slsa.sa.gov.au/xrecord=b2111283</v>
      </c>
      <c r="D2925" t="s">
        <v>66</v>
      </c>
      <c r="E2925" t="s">
        <v>10317</v>
      </c>
      <c r="F2925">
        <v>1960</v>
      </c>
      <c r="G2925" t="s">
        <v>121</v>
      </c>
      <c r="H2925" t="s">
        <v>10318</v>
      </c>
      <c r="I2925" t="s">
        <v>10319</v>
      </c>
      <c r="J2925" t="s">
        <v>71</v>
      </c>
      <c r="K2925" s="2" t="str">
        <f>HYPERLINK("http://collections.slsa.sa.gov.au/arthur/02000/BRG347_1954.htm")</f>
        <v>http://collections.slsa.sa.gov.au/arthur/02000/BRG347_1954.htm</v>
      </c>
    </row>
    <row r="2926" spans="1:11" x14ac:dyDescent="0.25">
      <c r="A2926" t="s">
        <v>10320</v>
      </c>
      <c r="B2926" s="1" t="str">
        <f>HYPERLINK("https://www.catalog.slsa.sa.gov.au/record=b2111289")</f>
        <v>https://www.catalog.slsa.sa.gov.au/record=b2111289</v>
      </c>
      <c r="C2926" s="1" t="str">
        <f>HYPERLINK("https://www.catalog.slsa.sa.gov.au/xrecord=b2111289")</f>
        <v>https://www.catalog.slsa.sa.gov.au/xrecord=b2111289</v>
      </c>
      <c r="D2926" t="s">
        <v>66</v>
      </c>
      <c r="E2926" t="s">
        <v>10321</v>
      </c>
      <c r="F2926">
        <v>1960</v>
      </c>
      <c r="G2926" t="s">
        <v>121</v>
      </c>
      <c r="H2926" t="s">
        <v>10322</v>
      </c>
      <c r="I2926" t="s">
        <v>10323</v>
      </c>
      <c r="J2926" t="s">
        <v>71</v>
      </c>
      <c r="K2926" s="2" t="str">
        <f>HYPERLINK("http://collections.slsa.sa.gov.au/arthur/02000/BRG347_1960.htm")</f>
        <v>http://collections.slsa.sa.gov.au/arthur/02000/BRG347_1960.htm</v>
      </c>
    </row>
    <row r="2927" spans="1:11" x14ac:dyDescent="0.25">
      <c r="A2927" t="s">
        <v>10324</v>
      </c>
      <c r="B2927" s="1" t="str">
        <f>HYPERLINK("https://www.catalog.slsa.sa.gov.au/record=b2111317")</f>
        <v>https://www.catalog.slsa.sa.gov.au/record=b2111317</v>
      </c>
      <c r="C2927" s="1" t="str">
        <f>HYPERLINK("https://www.catalog.slsa.sa.gov.au/xrecord=b2111317")</f>
        <v>https://www.catalog.slsa.sa.gov.au/xrecord=b2111317</v>
      </c>
      <c r="D2927" t="s">
        <v>66</v>
      </c>
      <c r="E2927" t="s">
        <v>10325</v>
      </c>
      <c r="F2927">
        <v>1960</v>
      </c>
      <c r="G2927" t="s">
        <v>121</v>
      </c>
      <c r="H2927" t="s">
        <v>10326</v>
      </c>
      <c r="I2927" t="s">
        <v>10327</v>
      </c>
      <c r="J2927" t="s">
        <v>71</v>
      </c>
      <c r="K2927" s="2" t="str">
        <f>HYPERLINK("http://collections.slsa.sa.gov.au/arthur/02000/BRG347_1988.htm")</f>
        <v>http://collections.slsa.sa.gov.au/arthur/02000/BRG347_1988.htm</v>
      </c>
    </row>
    <row r="2928" spans="1:11" x14ac:dyDescent="0.25">
      <c r="A2928" t="s">
        <v>10328</v>
      </c>
      <c r="B2928" s="1" t="str">
        <f>HYPERLINK("https://www.catalog.slsa.sa.gov.au/record=b2111325")</f>
        <v>https://www.catalog.slsa.sa.gov.au/record=b2111325</v>
      </c>
      <c r="C2928" s="1" t="str">
        <f>HYPERLINK("https://www.catalog.slsa.sa.gov.au/xrecord=b2111325")</f>
        <v>https://www.catalog.slsa.sa.gov.au/xrecord=b2111325</v>
      </c>
      <c r="D2928" t="s">
        <v>66</v>
      </c>
      <c r="E2928" t="s">
        <v>7180</v>
      </c>
      <c r="F2928">
        <v>1960</v>
      </c>
      <c r="G2928" t="s">
        <v>121</v>
      </c>
      <c r="H2928" t="s">
        <v>10329</v>
      </c>
      <c r="I2928" t="s">
        <v>10330</v>
      </c>
      <c r="J2928" t="s">
        <v>71</v>
      </c>
      <c r="K2928" s="2" t="str">
        <f>HYPERLINK("http://collections.slsa.sa.gov.au/arthur/02000/BRG347_1996.htm")</f>
        <v>http://collections.slsa.sa.gov.au/arthur/02000/BRG347_1996.htm</v>
      </c>
    </row>
    <row r="2929" spans="1:11" x14ac:dyDescent="0.25">
      <c r="A2929" t="s">
        <v>10331</v>
      </c>
      <c r="B2929" s="1" t="str">
        <f>HYPERLINK("https://www.catalog.slsa.sa.gov.au/record=b2111328")</f>
        <v>https://www.catalog.slsa.sa.gov.au/record=b2111328</v>
      </c>
      <c r="C2929" s="1" t="str">
        <f>HYPERLINK("https://www.catalog.slsa.sa.gov.au/xrecord=b2111328")</f>
        <v>https://www.catalog.slsa.sa.gov.au/xrecord=b2111328</v>
      </c>
      <c r="D2929" t="s">
        <v>66</v>
      </c>
      <c r="E2929" t="s">
        <v>10332</v>
      </c>
      <c r="F2929">
        <v>1960</v>
      </c>
      <c r="G2929" t="s">
        <v>121</v>
      </c>
      <c r="H2929" t="s">
        <v>10333</v>
      </c>
      <c r="I2929" t="s">
        <v>10334</v>
      </c>
      <c r="J2929" t="s">
        <v>71</v>
      </c>
      <c r="K2929" s="2" t="str">
        <f>HYPERLINK("http://collections.slsa.sa.gov.au/arthur/02000/BRG347_1999.htm")</f>
        <v>http://collections.slsa.sa.gov.au/arthur/02000/BRG347_1999.htm</v>
      </c>
    </row>
    <row r="2930" spans="1:11" x14ac:dyDescent="0.25">
      <c r="A2930" t="s">
        <v>10335</v>
      </c>
      <c r="B2930" s="1" t="str">
        <f>HYPERLINK("https://www.catalog.slsa.sa.gov.au/record=b2111331")</f>
        <v>https://www.catalog.slsa.sa.gov.au/record=b2111331</v>
      </c>
      <c r="C2930" s="1" t="str">
        <f>HYPERLINK("https://www.catalog.slsa.sa.gov.au/xrecord=b2111331")</f>
        <v>https://www.catalog.slsa.sa.gov.au/xrecord=b2111331</v>
      </c>
      <c r="D2930" t="s">
        <v>66</v>
      </c>
      <c r="E2930" t="s">
        <v>8599</v>
      </c>
      <c r="F2930">
        <v>1960</v>
      </c>
      <c r="G2930" t="s">
        <v>121</v>
      </c>
      <c r="H2930" t="s">
        <v>10336</v>
      </c>
      <c r="I2930" t="s">
        <v>10337</v>
      </c>
      <c r="J2930" t="s">
        <v>71</v>
      </c>
      <c r="K2930" s="2" t="str">
        <f>HYPERLINK("http://collections.slsa.sa.gov.au/arthur/02250/BRG347_2002.htm")</f>
        <v>http://collections.slsa.sa.gov.au/arthur/02250/BRG347_2002.htm</v>
      </c>
    </row>
    <row r="2931" spans="1:11" x14ac:dyDescent="0.25">
      <c r="A2931" t="s">
        <v>10338</v>
      </c>
      <c r="B2931" s="1" t="str">
        <f>HYPERLINK("https://www.catalog.slsa.sa.gov.au/record=b2111332")</f>
        <v>https://www.catalog.slsa.sa.gov.au/record=b2111332</v>
      </c>
      <c r="C2931" s="1" t="str">
        <f>HYPERLINK("https://www.catalog.slsa.sa.gov.au/xrecord=b2111332")</f>
        <v>https://www.catalog.slsa.sa.gov.au/xrecord=b2111332</v>
      </c>
      <c r="D2931" t="s">
        <v>66</v>
      </c>
      <c r="E2931" t="s">
        <v>10339</v>
      </c>
      <c r="F2931">
        <v>1960</v>
      </c>
      <c r="G2931" t="s">
        <v>121</v>
      </c>
      <c r="H2931" t="s">
        <v>10340</v>
      </c>
      <c r="I2931" t="s">
        <v>10341</v>
      </c>
      <c r="J2931" t="s">
        <v>71</v>
      </c>
      <c r="K2931" s="2" t="str">
        <f>HYPERLINK("http://collections.slsa.sa.gov.au/arthur/02250/BRG347_2003.htm")</f>
        <v>http://collections.slsa.sa.gov.au/arthur/02250/BRG347_2003.htm</v>
      </c>
    </row>
    <row r="2932" spans="1:11" x14ac:dyDescent="0.25">
      <c r="A2932" t="s">
        <v>10342</v>
      </c>
      <c r="B2932" s="1" t="str">
        <f>HYPERLINK("https://www.catalog.slsa.sa.gov.au/record=b2111334")</f>
        <v>https://www.catalog.slsa.sa.gov.au/record=b2111334</v>
      </c>
      <c r="C2932" s="1" t="str">
        <f>HYPERLINK("https://www.catalog.slsa.sa.gov.au/xrecord=b2111334")</f>
        <v>https://www.catalog.slsa.sa.gov.au/xrecord=b2111334</v>
      </c>
      <c r="D2932" t="s">
        <v>66</v>
      </c>
      <c r="E2932" t="s">
        <v>10343</v>
      </c>
      <c r="F2932">
        <v>1960</v>
      </c>
      <c r="G2932" t="s">
        <v>121</v>
      </c>
      <c r="H2932" t="s">
        <v>10344</v>
      </c>
      <c r="I2932" t="s">
        <v>10345</v>
      </c>
      <c r="J2932" t="s">
        <v>71</v>
      </c>
      <c r="K2932" s="2" t="str">
        <f>HYPERLINK("http://collections.slsa.sa.gov.au/arthur/02250/BRG347_2005.htm")</f>
        <v>http://collections.slsa.sa.gov.au/arthur/02250/BRG347_2005.htm</v>
      </c>
    </row>
    <row r="2933" spans="1:11" x14ac:dyDescent="0.25">
      <c r="A2933" t="s">
        <v>10346</v>
      </c>
      <c r="B2933" s="1" t="str">
        <f>HYPERLINK("https://www.catalog.slsa.sa.gov.au/record=b2111339")</f>
        <v>https://www.catalog.slsa.sa.gov.au/record=b2111339</v>
      </c>
      <c r="C2933" s="1" t="str">
        <f>HYPERLINK("https://www.catalog.slsa.sa.gov.au/xrecord=b2111339")</f>
        <v>https://www.catalog.slsa.sa.gov.au/xrecord=b2111339</v>
      </c>
      <c r="D2933" t="s">
        <v>66</v>
      </c>
      <c r="E2933" t="s">
        <v>10347</v>
      </c>
      <c r="F2933">
        <v>1960</v>
      </c>
      <c r="G2933" t="s">
        <v>121</v>
      </c>
      <c r="H2933" t="s">
        <v>10348</v>
      </c>
      <c r="I2933" t="s">
        <v>10349</v>
      </c>
      <c r="J2933" t="s">
        <v>71</v>
      </c>
      <c r="K2933" s="2" t="str">
        <f>HYPERLINK("http://collections.slsa.sa.gov.au/arthur/02250/BRG347_2010.htm")</f>
        <v>http://collections.slsa.sa.gov.au/arthur/02250/BRG347_2010.htm</v>
      </c>
    </row>
    <row r="2934" spans="1:11" x14ac:dyDescent="0.25">
      <c r="A2934" t="s">
        <v>10350</v>
      </c>
      <c r="B2934" s="1" t="str">
        <f>HYPERLINK("https://www.catalog.slsa.sa.gov.au/record=b2111347")</f>
        <v>https://www.catalog.slsa.sa.gov.au/record=b2111347</v>
      </c>
      <c r="C2934" s="1" t="str">
        <f>HYPERLINK("https://www.catalog.slsa.sa.gov.au/xrecord=b2111347")</f>
        <v>https://www.catalog.slsa.sa.gov.au/xrecord=b2111347</v>
      </c>
      <c r="D2934" t="s">
        <v>66</v>
      </c>
      <c r="E2934" t="s">
        <v>10351</v>
      </c>
      <c r="F2934">
        <v>1960</v>
      </c>
      <c r="G2934" t="s">
        <v>121</v>
      </c>
      <c r="H2934" t="s">
        <v>10352</v>
      </c>
      <c r="I2934" t="s">
        <v>10353</v>
      </c>
      <c r="J2934" t="s">
        <v>71</v>
      </c>
      <c r="K2934" s="2" t="str">
        <f>HYPERLINK("http://collections.slsa.sa.gov.au/arthur/02250/BRG347_2019.htm")</f>
        <v>http://collections.slsa.sa.gov.au/arthur/02250/BRG347_2019.htm</v>
      </c>
    </row>
    <row r="2935" spans="1:11" x14ac:dyDescent="0.25">
      <c r="A2935" t="s">
        <v>10354</v>
      </c>
      <c r="B2935" s="1" t="str">
        <f>HYPERLINK("https://www.catalog.slsa.sa.gov.au/record=b2111348")</f>
        <v>https://www.catalog.slsa.sa.gov.au/record=b2111348</v>
      </c>
      <c r="C2935" s="1" t="str">
        <f>HYPERLINK("https://www.catalog.slsa.sa.gov.au/xrecord=b2111348")</f>
        <v>https://www.catalog.slsa.sa.gov.au/xrecord=b2111348</v>
      </c>
      <c r="D2935" t="s">
        <v>66</v>
      </c>
      <c r="E2935" t="s">
        <v>10355</v>
      </c>
      <c r="F2935">
        <v>1960</v>
      </c>
      <c r="G2935" t="s">
        <v>121</v>
      </c>
      <c r="H2935" t="s">
        <v>10356</v>
      </c>
      <c r="I2935" t="s">
        <v>10357</v>
      </c>
      <c r="J2935" t="s">
        <v>71</v>
      </c>
      <c r="K2935" s="2" t="str">
        <f>HYPERLINK("http://collections.slsa.sa.gov.au/arthur/02250/BRG347_2020.htm")</f>
        <v>http://collections.slsa.sa.gov.au/arthur/02250/BRG347_2020.htm</v>
      </c>
    </row>
    <row r="2936" spans="1:11" x14ac:dyDescent="0.25">
      <c r="A2936" t="s">
        <v>10358</v>
      </c>
      <c r="B2936" s="1" t="str">
        <f>HYPERLINK("https://www.catalog.slsa.sa.gov.au/record=b2111349")</f>
        <v>https://www.catalog.slsa.sa.gov.au/record=b2111349</v>
      </c>
      <c r="C2936" s="1" t="str">
        <f>HYPERLINK("https://www.catalog.slsa.sa.gov.au/xrecord=b2111349")</f>
        <v>https://www.catalog.slsa.sa.gov.au/xrecord=b2111349</v>
      </c>
      <c r="D2936" t="s">
        <v>66</v>
      </c>
      <c r="E2936" t="s">
        <v>10359</v>
      </c>
      <c r="F2936">
        <v>1960</v>
      </c>
      <c r="G2936" t="s">
        <v>121</v>
      </c>
      <c r="H2936" t="s">
        <v>10360</v>
      </c>
      <c r="I2936" t="s">
        <v>10361</v>
      </c>
      <c r="J2936" t="s">
        <v>71</v>
      </c>
      <c r="K2936" s="2" t="str">
        <f>HYPERLINK("http://collections.slsa.sa.gov.au/arthur/02250/BRG347_2021.htm")</f>
        <v>http://collections.slsa.sa.gov.au/arthur/02250/BRG347_2021.htm</v>
      </c>
    </row>
    <row r="2937" spans="1:11" x14ac:dyDescent="0.25">
      <c r="A2937" t="s">
        <v>10362</v>
      </c>
      <c r="B2937" s="1" t="str">
        <f>HYPERLINK("https://www.catalog.slsa.sa.gov.au/record=b2111350")</f>
        <v>https://www.catalog.slsa.sa.gov.au/record=b2111350</v>
      </c>
      <c r="C2937" s="1" t="str">
        <f>HYPERLINK("https://www.catalog.slsa.sa.gov.au/xrecord=b2111350")</f>
        <v>https://www.catalog.slsa.sa.gov.au/xrecord=b2111350</v>
      </c>
      <c r="D2937" t="s">
        <v>66</v>
      </c>
      <c r="E2937" t="s">
        <v>10363</v>
      </c>
      <c r="F2937">
        <v>1960</v>
      </c>
      <c r="G2937" t="s">
        <v>121</v>
      </c>
      <c r="H2937" t="s">
        <v>10364</v>
      </c>
      <c r="I2937" t="s">
        <v>5679</v>
      </c>
      <c r="J2937" t="s">
        <v>71</v>
      </c>
      <c r="K2937" s="2" t="str">
        <f>HYPERLINK("http://collections.slsa.sa.gov.au/arthur/02250/BRG347_2022.htm")</f>
        <v>http://collections.slsa.sa.gov.au/arthur/02250/BRG347_2022.htm</v>
      </c>
    </row>
    <row r="2938" spans="1:11" x14ac:dyDescent="0.25">
      <c r="A2938" t="s">
        <v>10365</v>
      </c>
      <c r="B2938" s="1" t="str">
        <f>HYPERLINK("https://www.catalog.slsa.sa.gov.au/record=b2111351")</f>
        <v>https://www.catalog.slsa.sa.gov.au/record=b2111351</v>
      </c>
      <c r="C2938" s="1" t="str">
        <f>HYPERLINK("https://www.catalog.slsa.sa.gov.au/xrecord=b2111351")</f>
        <v>https://www.catalog.slsa.sa.gov.au/xrecord=b2111351</v>
      </c>
      <c r="D2938" t="s">
        <v>66</v>
      </c>
      <c r="E2938" t="s">
        <v>10366</v>
      </c>
      <c r="F2938">
        <v>1960</v>
      </c>
      <c r="G2938" t="s">
        <v>121</v>
      </c>
      <c r="H2938" t="s">
        <v>10367</v>
      </c>
      <c r="I2938" t="s">
        <v>10368</v>
      </c>
      <c r="J2938" t="s">
        <v>71</v>
      </c>
      <c r="K2938" s="2" t="str">
        <f>HYPERLINK("http://collections.slsa.sa.gov.au/arthur/02250/BRG347_2023.htm")</f>
        <v>http://collections.slsa.sa.gov.au/arthur/02250/BRG347_2023.htm</v>
      </c>
    </row>
    <row r="2939" spans="1:11" x14ac:dyDescent="0.25">
      <c r="A2939" t="s">
        <v>10369</v>
      </c>
      <c r="B2939" s="1" t="str">
        <f>HYPERLINK("https://www.catalog.slsa.sa.gov.au/record=b2111352")</f>
        <v>https://www.catalog.slsa.sa.gov.au/record=b2111352</v>
      </c>
      <c r="C2939" s="1" t="str">
        <f>HYPERLINK("https://www.catalog.slsa.sa.gov.au/xrecord=b2111352")</f>
        <v>https://www.catalog.slsa.sa.gov.au/xrecord=b2111352</v>
      </c>
      <c r="D2939" t="s">
        <v>66</v>
      </c>
      <c r="E2939" t="s">
        <v>9671</v>
      </c>
      <c r="F2939">
        <v>1960</v>
      </c>
      <c r="G2939" t="s">
        <v>121</v>
      </c>
      <c r="H2939" t="s">
        <v>10370</v>
      </c>
      <c r="I2939" t="s">
        <v>10371</v>
      </c>
      <c r="J2939" t="s">
        <v>71</v>
      </c>
      <c r="K2939" s="2" t="str">
        <f>HYPERLINK("http://collections.slsa.sa.gov.au/arthur/02250/BRG347_2024.htm")</f>
        <v>http://collections.slsa.sa.gov.au/arthur/02250/BRG347_2024.htm</v>
      </c>
    </row>
    <row r="2940" spans="1:11" x14ac:dyDescent="0.25">
      <c r="A2940" t="s">
        <v>10372</v>
      </c>
      <c r="B2940" s="1" t="str">
        <f>HYPERLINK("https://www.catalog.slsa.sa.gov.au/record=b2111353")</f>
        <v>https://www.catalog.slsa.sa.gov.au/record=b2111353</v>
      </c>
      <c r="C2940" s="1" t="str">
        <f>HYPERLINK("https://www.catalog.slsa.sa.gov.au/xrecord=b2111353")</f>
        <v>https://www.catalog.slsa.sa.gov.au/xrecord=b2111353</v>
      </c>
      <c r="D2940" t="s">
        <v>66</v>
      </c>
      <c r="E2940" t="s">
        <v>10373</v>
      </c>
      <c r="F2940">
        <v>1960</v>
      </c>
      <c r="G2940" t="s">
        <v>121</v>
      </c>
      <c r="H2940" t="s">
        <v>10374</v>
      </c>
      <c r="I2940" t="s">
        <v>10375</v>
      </c>
      <c r="J2940" t="s">
        <v>71</v>
      </c>
      <c r="K2940" s="2" t="str">
        <f>HYPERLINK("http://collections.slsa.sa.gov.au/arthur/02250/BRG347_2025.htm")</f>
        <v>http://collections.slsa.sa.gov.au/arthur/02250/BRG347_2025.htm</v>
      </c>
    </row>
    <row r="2941" spans="1:11" x14ac:dyDescent="0.25">
      <c r="A2941" t="s">
        <v>10376</v>
      </c>
      <c r="B2941" s="1" t="str">
        <f>HYPERLINK("https://www.catalog.slsa.sa.gov.au/record=b2111467")</f>
        <v>https://www.catalog.slsa.sa.gov.au/record=b2111467</v>
      </c>
      <c r="C2941" s="1" t="str">
        <f>HYPERLINK("https://www.catalog.slsa.sa.gov.au/xrecord=b2111467")</f>
        <v>https://www.catalog.slsa.sa.gov.au/xrecord=b2111467</v>
      </c>
      <c r="D2941" t="s">
        <v>66</v>
      </c>
      <c r="E2941" t="s">
        <v>10377</v>
      </c>
      <c r="F2941">
        <v>1960</v>
      </c>
      <c r="G2941" t="s">
        <v>121</v>
      </c>
      <c r="H2941" t="s">
        <v>10378</v>
      </c>
      <c r="I2941" t="s">
        <v>10379</v>
      </c>
      <c r="J2941" t="s">
        <v>71</v>
      </c>
      <c r="K2941" s="2" t="str">
        <f>HYPERLINK("http://collections.slsa.sa.gov.au/arthur/02250/BRG347_2104.htm")</f>
        <v>http://collections.slsa.sa.gov.au/arthur/02250/BRG347_2104.htm</v>
      </c>
    </row>
    <row r="2942" spans="1:11" x14ac:dyDescent="0.25">
      <c r="A2942" t="s">
        <v>10380</v>
      </c>
      <c r="B2942" s="1" t="str">
        <f>HYPERLINK("https://www.catalog.slsa.sa.gov.au/record=b2111469")</f>
        <v>https://www.catalog.slsa.sa.gov.au/record=b2111469</v>
      </c>
      <c r="C2942" s="1" t="str">
        <f>HYPERLINK("https://www.catalog.slsa.sa.gov.au/xrecord=b2111469")</f>
        <v>https://www.catalog.slsa.sa.gov.au/xrecord=b2111469</v>
      </c>
      <c r="D2942" t="s">
        <v>66</v>
      </c>
      <c r="E2942" t="s">
        <v>10381</v>
      </c>
      <c r="F2942">
        <v>1960</v>
      </c>
      <c r="G2942" t="s">
        <v>121</v>
      </c>
      <c r="H2942" t="s">
        <v>10382</v>
      </c>
      <c r="I2942" t="s">
        <v>9521</v>
      </c>
      <c r="J2942" t="s">
        <v>71</v>
      </c>
      <c r="K2942" s="2" t="str">
        <f>HYPERLINK("http://collections.slsa.sa.gov.au/arthur/02250/BRG347_2105.htm")</f>
        <v>http://collections.slsa.sa.gov.au/arthur/02250/BRG347_2105.htm</v>
      </c>
    </row>
    <row r="2943" spans="1:11" x14ac:dyDescent="0.25">
      <c r="A2943" t="s">
        <v>10383</v>
      </c>
      <c r="B2943" s="1" t="str">
        <f>HYPERLINK("https://www.catalog.slsa.sa.gov.au/record=b2111470")</f>
        <v>https://www.catalog.slsa.sa.gov.au/record=b2111470</v>
      </c>
      <c r="C2943" s="1" t="str">
        <f>HYPERLINK("https://www.catalog.slsa.sa.gov.au/xrecord=b2111470")</f>
        <v>https://www.catalog.slsa.sa.gov.au/xrecord=b2111470</v>
      </c>
      <c r="D2943" t="s">
        <v>66</v>
      </c>
      <c r="E2943" t="s">
        <v>10377</v>
      </c>
      <c r="F2943">
        <v>1960</v>
      </c>
      <c r="G2943" t="s">
        <v>121</v>
      </c>
      <c r="H2943" t="s">
        <v>10384</v>
      </c>
      <c r="I2943" t="s">
        <v>10379</v>
      </c>
      <c r="J2943" t="s">
        <v>71</v>
      </c>
      <c r="K2943" s="2" t="str">
        <f>HYPERLINK("http://collections.slsa.sa.gov.au/arthur/02250/BRG347_2106.htm")</f>
        <v>http://collections.slsa.sa.gov.au/arthur/02250/BRG347_2106.htm</v>
      </c>
    </row>
    <row r="2944" spans="1:11" x14ac:dyDescent="0.25">
      <c r="A2944" t="s">
        <v>10385</v>
      </c>
      <c r="B2944" s="1" t="str">
        <f>HYPERLINK("https://www.catalog.slsa.sa.gov.au/record=b2111471")</f>
        <v>https://www.catalog.slsa.sa.gov.au/record=b2111471</v>
      </c>
      <c r="C2944" s="1" t="str">
        <f>HYPERLINK("https://www.catalog.slsa.sa.gov.au/xrecord=b2111471")</f>
        <v>https://www.catalog.slsa.sa.gov.au/xrecord=b2111471</v>
      </c>
      <c r="D2944" t="s">
        <v>66</v>
      </c>
      <c r="E2944" t="s">
        <v>10386</v>
      </c>
      <c r="F2944">
        <v>1960</v>
      </c>
      <c r="G2944" t="s">
        <v>121</v>
      </c>
      <c r="H2944" t="s">
        <v>10387</v>
      </c>
      <c r="I2944" t="s">
        <v>10388</v>
      </c>
      <c r="J2944" t="s">
        <v>71</v>
      </c>
      <c r="K2944" s="2" t="str">
        <f>HYPERLINK("http://collections.slsa.sa.gov.au/arthur/02250/BRG347_2107.htm")</f>
        <v>http://collections.slsa.sa.gov.au/arthur/02250/BRG347_2107.htm</v>
      </c>
    </row>
    <row r="2945" spans="1:11" x14ac:dyDescent="0.25">
      <c r="A2945" t="s">
        <v>10389</v>
      </c>
      <c r="B2945" s="1" t="str">
        <f>HYPERLINK("https://www.catalog.slsa.sa.gov.au/record=b2111472")</f>
        <v>https://www.catalog.slsa.sa.gov.au/record=b2111472</v>
      </c>
      <c r="C2945" s="1" t="str">
        <f>HYPERLINK("https://www.catalog.slsa.sa.gov.au/xrecord=b2111472")</f>
        <v>https://www.catalog.slsa.sa.gov.au/xrecord=b2111472</v>
      </c>
      <c r="D2945" t="s">
        <v>66</v>
      </c>
      <c r="E2945" t="s">
        <v>10377</v>
      </c>
      <c r="F2945">
        <v>1960</v>
      </c>
      <c r="G2945" t="s">
        <v>121</v>
      </c>
      <c r="H2945" t="s">
        <v>10390</v>
      </c>
      <c r="I2945" t="s">
        <v>10379</v>
      </c>
      <c r="J2945" t="s">
        <v>71</v>
      </c>
      <c r="K2945" s="2" t="str">
        <f>HYPERLINK("http://collections.slsa.sa.gov.au/arthur/02250/BRG347_2108.htm")</f>
        <v>http://collections.slsa.sa.gov.au/arthur/02250/BRG347_2108.htm</v>
      </c>
    </row>
    <row r="2946" spans="1:11" x14ac:dyDescent="0.25">
      <c r="A2946" t="s">
        <v>10391</v>
      </c>
      <c r="B2946" s="1" t="str">
        <f>HYPERLINK("https://www.catalog.slsa.sa.gov.au/record=b2111473")</f>
        <v>https://www.catalog.slsa.sa.gov.au/record=b2111473</v>
      </c>
      <c r="C2946" s="1" t="str">
        <f>HYPERLINK("https://www.catalog.slsa.sa.gov.au/xrecord=b2111473")</f>
        <v>https://www.catalog.slsa.sa.gov.au/xrecord=b2111473</v>
      </c>
      <c r="D2946" t="s">
        <v>66</v>
      </c>
      <c r="E2946" t="s">
        <v>7396</v>
      </c>
      <c r="F2946">
        <v>1960</v>
      </c>
      <c r="G2946" t="s">
        <v>121</v>
      </c>
      <c r="H2946" t="s">
        <v>10392</v>
      </c>
      <c r="I2946" t="s">
        <v>10393</v>
      </c>
      <c r="J2946" t="s">
        <v>71</v>
      </c>
      <c r="K2946" s="2" t="str">
        <f>HYPERLINK("http://collections.slsa.sa.gov.au/arthur/02250/BRG347_2109.htm")</f>
        <v>http://collections.slsa.sa.gov.au/arthur/02250/BRG347_2109.htm</v>
      </c>
    </row>
    <row r="2947" spans="1:11" x14ac:dyDescent="0.25">
      <c r="A2947" t="s">
        <v>10394</v>
      </c>
      <c r="B2947" s="1" t="str">
        <f>HYPERLINK("https://www.catalog.slsa.sa.gov.au/record=b2111474")</f>
        <v>https://www.catalog.slsa.sa.gov.au/record=b2111474</v>
      </c>
      <c r="C2947" s="1" t="str">
        <f>HYPERLINK("https://www.catalog.slsa.sa.gov.au/xrecord=b2111474")</f>
        <v>https://www.catalog.slsa.sa.gov.au/xrecord=b2111474</v>
      </c>
      <c r="D2947" t="s">
        <v>66</v>
      </c>
      <c r="E2947" t="s">
        <v>7396</v>
      </c>
      <c r="F2947">
        <v>1960</v>
      </c>
      <c r="G2947" t="s">
        <v>121</v>
      </c>
      <c r="H2947" t="s">
        <v>10395</v>
      </c>
      <c r="I2947" t="s">
        <v>10178</v>
      </c>
      <c r="J2947" t="s">
        <v>71</v>
      </c>
      <c r="K2947" s="2" t="str">
        <f>HYPERLINK("http://collections.slsa.sa.gov.au/arthur/02250/BRG347_2110.htm")</f>
        <v>http://collections.slsa.sa.gov.au/arthur/02250/BRG347_2110.htm</v>
      </c>
    </row>
    <row r="2948" spans="1:11" x14ac:dyDescent="0.25">
      <c r="A2948" t="s">
        <v>10396</v>
      </c>
      <c r="B2948" s="1" t="str">
        <f>HYPERLINK("https://www.catalog.slsa.sa.gov.au/record=b2111475")</f>
        <v>https://www.catalog.slsa.sa.gov.au/record=b2111475</v>
      </c>
      <c r="C2948" s="1" t="str">
        <f>HYPERLINK("https://www.catalog.slsa.sa.gov.au/xrecord=b2111475")</f>
        <v>https://www.catalog.slsa.sa.gov.au/xrecord=b2111475</v>
      </c>
      <c r="D2948" t="s">
        <v>66</v>
      </c>
      <c r="E2948" t="s">
        <v>10397</v>
      </c>
      <c r="F2948">
        <v>1960</v>
      </c>
      <c r="G2948" t="s">
        <v>121</v>
      </c>
      <c r="H2948" t="s">
        <v>10398</v>
      </c>
      <c r="I2948" t="s">
        <v>10379</v>
      </c>
      <c r="J2948" t="s">
        <v>71</v>
      </c>
      <c r="K2948" s="2" t="str">
        <f>HYPERLINK("http://collections.slsa.sa.gov.au/arthur/02250/BRG347_2111.htm")</f>
        <v>http://collections.slsa.sa.gov.au/arthur/02250/BRG347_2111.htm</v>
      </c>
    </row>
    <row r="2949" spans="1:11" x14ac:dyDescent="0.25">
      <c r="A2949" t="s">
        <v>10399</v>
      </c>
      <c r="B2949" s="1" t="str">
        <f>HYPERLINK("https://www.catalog.slsa.sa.gov.au/record=b2111476")</f>
        <v>https://www.catalog.slsa.sa.gov.au/record=b2111476</v>
      </c>
      <c r="C2949" s="1" t="str">
        <f>HYPERLINK("https://www.catalog.slsa.sa.gov.au/xrecord=b2111476")</f>
        <v>https://www.catalog.slsa.sa.gov.au/xrecord=b2111476</v>
      </c>
      <c r="D2949" t="s">
        <v>66</v>
      </c>
      <c r="E2949" t="s">
        <v>7396</v>
      </c>
      <c r="F2949">
        <v>1960</v>
      </c>
      <c r="G2949" t="s">
        <v>121</v>
      </c>
      <c r="H2949" t="s">
        <v>10400</v>
      </c>
      <c r="I2949" t="s">
        <v>10393</v>
      </c>
      <c r="J2949" t="s">
        <v>71</v>
      </c>
      <c r="K2949" s="2" t="str">
        <f>HYPERLINK("http://collections.slsa.sa.gov.au/arthur/02250/BRG347_2112.htm")</f>
        <v>http://collections.slsa.sa.gov.au/arthur/02250/BRG347_2112.htm</v>
      </c>
    </row>
    <row r="2950" spans="1:11" x14ac:dyDescent="0.25">
      <c r="A2950" t="s">
        <v>10401</v>
      </c>
      <c r="B2950" s="1" t="str">
        <f>HYPERLINK("https://www.catalog.slsa.sa.gov.au/record=b2111477")</f>
        <v>https://www.catalog.slsa.sa.gov.au/record=b2111477</v>
      </c>
      <c r="C2950" s="1" t="str">
        <f>HYPERLINK("https://www.catalog.slsa.sa.gov.au/xrecord=b2111477")</f>
        <v>https://www.catalog.slsa.sa.gov.au/xrecord=b2111477</v>
      </c>
      <c r="D2950" t="s">
        <v>66</v>
      </c>
      <c r="E2950" t="s">
        <v>7396</v>
      </c>
      <c r="F2950">
        <v>1960</v>
      </c>
      <c r="G2950" t="s">
        <v>121</v>
      </c>
      <c r="H2950" t="s">
        <v>10402</v>
      </c>
      <c r="I2950" t="s">
        <v>10393</v>
      </c>
      <c r="J2950" t="s">
        <v>71</v>
      </c>
      <c r="K2950" s="2" t="str">
        <f>HYPERLINK("http://collections.slsa.sa.gov.au/arthur/02250/BRG347_2113.htm")</f>
        <v>http://collections.slsa.sa.gov.au/arthur/02250/BRG347_2113.htm</v>
      </c>
    </row>
    <row r="2951" spans="1:11" x14ac:dyDescent="0.25">
      <c r="A2951" t="s">
        <v>10403</v>
      </c>
      <c r="B2951" s="1" t="str">
        <f>HYPERLINK("https://www.catalog.slsa.sa.gov.au/record=b2111478")</f>
        <v>https://www.catalog.slsa.sa.gov.au/record=b2111478</v>
      </c>
      <c r="C2951" s="1" t="str">
        <f>HYPERLINK("https://www.catalog.slsa.sa.gov.au/xrecord=b2111478")</f>
        <v>https://www.catalog.slsa.sa.gov.au/xrecord=b2111478</v>
      </c>
      <c r="D2951" t="s">
        <v>66</v>
      </c>
      <c r="E2951" t="s">
        <v>10404</v>
      </c>
      <c r="F2951">
        <v>1960</v>
      </c>
      <c r="G2951" t="s">
        <v>121</v>
      </c>
      <c r="H2951" t="s">
        <v>10405</v>
      </c>
      <c r="I2951" t="s">
        <v>10406</v>
      </c>
      <c r="J2951" t="s">
        <v>71</v>
      </c>
      <c r="K2951" s="2" t="str">
        <f>HYPERLINK("http://collections.slsa.sa.gov.au/arthur/02250/BRG347_2114.htm")</f>
        <v>http://collections.slsa.sa.gov.au/arthur/02250/BRG347_2114.htm</v>
      </c>
    </row>
    <row r="2952" spans="1:11" x14ac:dyDescent="0.25">
      <c r="A2952" t="s">
        <v>10407</v>
      </c>
      <c r="B2952" s="1" t="str">
        <f>HYPERLINK("https://www.catalog.slsa.sa.gov.au/record=b2117805")</f>
        <v>https://www.catalog.slsa.sa.gov.au/record=b2117805</v>
      </c>
      <c r="C2952" s="1" t="str">
        <f>HYPERLINK("https://www.catalog.slsa.sa.gov.au/xrecord=b2117805")</f>
        <v>https://www.catalog.slsa.sa.gov.au/xrecord=b2117805</v>
      </c>
      <c r="D2952" t="s">
        <v>66</v>
      </c>
      <c r="E2952" t="s">
        <v>7396</v>
      </c>
      <c r="F2952">
        <v>1960</v>
      </c>
      <c r="G2952" t="s">
        <v>121</v>
      </c>
      <c r="H2952" t="s">
        <v>10408</v>
      </c>
      <c r="I2952" t="s">
        <v>10178</v>
      </c>
      <c r="J2952" t="s">
        <v>71</v>
      </c>
      <c r="K2952" s="2" t="str">
        <f>HYPERLINK("http://collections.slsa.sa.gov.au/arthur/02250/BRG347_2117.htm")</f>
        <v>http://collections.slsa.sa.gov.au/arthur/02250/BRG347_2117.htm</v>
      </c>
    </row>
    <row r="2953" spans="1:11" x14ac:dyDescent="0.25">
      <c r="A2953" t="s">
        <v>10409</v>
      </c>
      <c r="B2953" s="1" t="str">
        <f>HYPERLINK("https://www.catalog.slsa.sa.gov.au/record=b2111481")</f>
        <v>https://www.catalog.slsa.sa.gov.au/record=b2111481</v>
      </c>
      <c r="C2953" s="1" t="str">
        <f>HYPERLINK("https://www.catalog.slsa.sa.gov.au/xrecord=b2111481")</f>
        <v>https://www.catalog.slsa.sa.gov.au/xrecord=b2111481</v>
      </c>
      <c r="D2953" t="s">
        <v>66</v>
      </c>
      <c r="E2953" t="s">
        <v>10410</v>
      </c>
      <c r="F2953">
        <v>1960</v>
      </c>
      <c r="G2953" t="s">
        <v>121</v>
      </c>
      <c r="H2953" t="s">
        <v>10411</v>
      </c>
      <c r="I2953" t="s">
        <v>8327</v>
      </c>
      <c r="J2953" t="s">
        <v>71</v>
      </c>
      <c r="K2953" s="2" t="str">
        <f>HYPERLINK("http://collections.slsa.sa.gov.au/arthur/02250/BRG347_2118.htm")</f>
        <v>http://collections.slsa.sa.gov.au/arthur/02250/BRG347_2118.htm</v>
      </c>
    </row>
    <row r="2954" spans="1:11" x14ac:dyDescent="0.25">
      <c r="A2954" t="s">
        <v>10412</v>
      </c>
      <c r="B2954" s="1" t="str">
        <f>HYPERLINK("https://www.catalog.slsa.sa.gov.au/record=b2111482")</f>
        <v>https://www.catalog.slsa.sa.gov.au/record=b2111482</v>
      </c>
      <c r="C2954" s="1" t="str">
        <f>HYPERLINK("https://www.catalog.slsa.sa.gov.au/xrecord=b2111482")</f>
        <v>https://www.catalog.slsa.sa.gov.au/xrecord=b2111482</v>
      </c>
      <c r="D2954" t="s">
        <v>66</v>
      </c>
      <c r="E2954" t="s">
        <v>10413</v>
      </c>
      <c r="F2954">
        <v>1960</v>
      </c>
      <c r="G2954" t="s">
        <v>121</v>
      </c>
      <c r="H2954" t="s">
        <v>10414</v>
      </c>
      <c r="I2954" t="s">
        <v>8256</v>
      </c>
      <c r="J2954" t="s">
        <v>71</v>
      </c>
      <c r="K2954" s="2" t="str">
        <f>HYPERLINK("http://collections.slsa.sa.gov.au/arthur/02250/BRG347_2119.htm")</f>
        <v>http://collections.slsa.sa.gov.au/arthur/02250/BRG347_2119.htm</v>
      </c>
    </row>
    <row r="2955" spans="1:11" x14ac:dyDescent="0.25">
      <c r="A2955" t="s">
        <v>10415</v>
      </c>
      <c r="B2955" s="1" t="str">
        <f>HYPERLINK("https://www.catalog.slsa.sa.gov.au/record=b2111483")</f>
        <v>https://www.catalog.slsa.sa.gov.au/record=b2111483</v>
      </c>
      <c r="C2955" s="1" t="str">
        <f>HYPERLINK("https://www.catalog.slsa.sa.gov.au/xrecord=b2111483")</f>
        <v>https://www.catalog.slsa.sa.gov.au/xrecord=b2111483</v>
      </c>
      <c r="D2955" t="s">
        <v>66</v>
      </c>
      <c r="E2955" t="s">
        <v>10416</v>
      </c>
      <c r="F2955">
        <v>1960</v>
      </c>
      <c r="G2955" t="s">
        <v>121</v>
      </c>
      <c r="H2955" t="s">
        <v>10417</v>
      </c>
      <c r="I2955" t="s">
        <v>7454</v>
      </c>
      <c r="J2955" t="s">
        <v>71</v>
      </c>
      <c r="K2955" s="2" t="str">
        <f>HYPERLINK("http://collections.slsa.sa.gov.au/arthur/02250/BRG347_2120.htm")</f>
        <v>http://collections.slsa.sa.gov.au/arthur/02250/BRG347_2120.htm</v>
      </c>
    </row>
    <row r="2956" spans="1:11" x14ac:dyDescent="0.25">
      <c r="A2956" t="s">
        <v>10418</v>
      </c>
      <c r="B2956" s="1" t="str">
        <f>HYPERLINK("https://www.catalog.slsa.sa.gov.au/record=b2111484")</f>
        <v>https://www.catalog.slsa.sa.gov.au/record=b2111484</v>
      </c>
      <c r="C2956" s="1" t="str">
        <f>HYPERLINK("https://www.catalog.slsa.sa.gov.au/xrecord=b2111484")</f>
        <v>https://www.catalog.slsa.sa.gov.au/xrecord=b2111484</v>
      </c>
      <c r="D2956" t="s">
        <v>66</v>
      </c>
      <c r="E2956" t="s">
        <v>10419</v>
      </c>
      <c r="F2956">
        <v>1960</v>
      </c>
      <c r="G2956" t="s">
        <v>121</v>
      </c>
      <c r="H2956" t="s">
        <v>10420</v>
      </c>
      <c r="I2956" t="s">
        <v>6583</v>
      </c>
      <c r="J2956" t="s">
        <v>71</v>
      </c>
      <c r="K2956" s="2" t="str">
        <f>HYPERLINK("http://collections.slsa.sa.gov.au/arthur/02250/BRG347_2121.htm")</f>
        <v>http://collections.slsa.sa.gov.au/arthur/02250/BRG347_2121.htm</v>
      </c>
    </row>
    <row r="2957" spans="1:11" x14ac:dyDescent="0.25">
      <c r="A2957" t="s">
        <v>10421</v>
      </c>
      <c r="B2957" s="1" t="str">
        <f>HYPERLINK("https://www.catalog.slsa.sa.gov.au/record=b2111485")</f>
        <v>https://www.catalog.slsa.sa.gov.au/record=b2111485</v>
      </c>
      <c r="C2957" s="1" t="str">
        <f>HYPERLINK("https://www.catalog.slsa.sa.gov.au/xrecord=b2111485")</f>
        <v>https://www.catalog.slsa.sa.gov.au/xrecord=b2111485</v>
      </c>
      <c r="D2957" t="s">
        <v>66</v>
      </c>
      <c r="E2957" t="s">
        <v>7882</v>
      </c>
      <c r="F2957">
        <v>1960</v>
      </c>
      <c r="G2957" t="s">
        <v>121</v>
      </c>
      <c r="H2957" t="s">
        <v>10422</v>
      </c>
      <c r="I2957" t="s">
        <v>6583</v>
      </c>
      <c r="J2957" t="s">
        <v>71</v>
      </c>
      <c r="K2957" s="2" t="str">
        <f>HYPERLINK("http://collections.slsa.sa.gov.au/arthur/02250/BRG347_2122.htm")</f>
        <v>http://collections.slsa.sa.gov.au/arthur/02250/BRG347_2122.htm</v>
      </c>
    </row>
    <row r="2958" spans="1:11" x14ac:dyDescent="0.25">
      <c r="A2958" t="s">
        <v>10423</v>
      </c>
      <c r="B2958" s="1" t="str">
        <f>HYPERLINK("https://www.catalog.slsa.sa.gov.au/record=b2111486")</f>
        <v>https://www.catalog.slsa.sa.gov.au/record=b2111486</v>
      </c>
      <c r="C2958" s="1" t="str">
        <f>HYPERLINK("https://www.catalog.slsa.sa.gov.au/xrecord=b2111486")</f>
        <v>https://www.catalog.slsa.sa.gov.au/xrecord=b2111486</v>
      </c>
      <c r="D2958" t="s">
        <v>66</v>
      </c>
      <c r="E2958" t="s">
        <v>10424</v>
      </c>
      <c r="F2958">
        <v>1960</v>
      </c>
      <c r="G2958" t="s">
        <v>121</v>
      </c>
      <c r="H2958" t="s">
        <v>10425</v>
      </c>
      <c r="I2958" t="s">
        <v>10426</v>
      </c>
      <c r="J2958" t="s">
        <v>71</v>
      </c>
      <c r="K2958" s="2" t="str">
        <f>HYPERLINK("http://collections.slsa.sa.gov.au/arthur/02250/BRG347_2123.htm")</f>
        <v>http://collections.slsa.sa.gov.au/arthur/02250/BRG347_2123.htm</v>
      </c>
    </row>
    <row r="2959" spans="1:11" x14ac:dyDescent="0.25">
      <c r="A2959" t="s">
        <v>10427</v>
      </c>
      <c r="B2959" s="1" t="str">
        <f>HYPERLINK("https://www.catalog.slsa.sa.gov.au/record=b2111487")</f>
        <v>https://www.catalog.slsa.sa.gov.au/record=b2111487</v>
      </c>
      <c r="C2959" s="1" t="str">
        <f>HYPERLINK("https://www.catalog.slsa.sa.gov.au/xrecord=b2111487")</f>
        <v>https://www.catalog.slsa.sa.gov.au/xrecord=b2111487</v>
      </c>
      <c r="D2959" t="s">
        <v>66</v>
      </c>
      <c r="E2959" t="s">
        <v>10413</v>
      </c>
      <c r="F2959">
        <v>1960</v>
      </c>
      <c r="G2959" t="s">
        <v>121</v>
      </c>
      <c r="H2959" t="s">
        <v>10428</v>
      </c>
      <c r="I2959" t="s">
        <v>8145</v>
      </c>
      <c r="J2959" t="s">
        <v>71</v>
      </c>
      <c r="K2959" s="2" t="str">
        <f>HYPERLINK("http://collections.slsa.sa.gov.au/arthur/02250/BRG347_2124.htm")</f>
        <v>http://collections.slsa.sa.gov.au/arthur/02250/BRG347_2124.htm</v>
      </c>
    </row>
    <row r="2960" spans="1:11" x14ac:dyDescent="0.25">
      <c r="A2960" t="s">
        <v>10429</v>
      </c>
      <c r="B2960" s="1" t="str">
        <f>HYPERLINK("https://www.catalog.slsa.sa.gov.au/record=b2111488")</f>
        <v>https://www.catalog.slsa.sa.gov.au/record=b2111488</v>
      </c>
      <c r="C2960" s="1" t="str">
        <f>HYPERLINK("https://www.catalog.slsa.sa.gov.au/xrecord=b2111488")</f>
        <v>https://www.catalog.slsa.sa.gov.au/xrecord=b2111488</v>
      </c>
      <c r="D2960" t="s">
        <v>66</v>
      </c>
      <c r="E2960" t="s">
        <v>10404</v>
      </c>
      <c r="F2960">
        <v>1960</v>
      </c>
      <c r="G2960" t="s">
        <v>121</v>
      </c>
      <c r="H2960" t="s">
        <v>10430</v>
      </c>
      <c r="I2960" t="s">
        <v>10406</v>
      </c>
      <c r="J2960" t="s">
        <v>71</v>
      </c>
      <c r="K2960" s="2" t="str">
        <f>HYPERLINK("http://collections.slsa.sa.gov.au/arthur/02250/BRG347_2125.htm")</f>
        <v>http://collections.slsa.sa.gov.au/arthur/02250/BRG347_2125.htm</v>
      </c>
    </row>
    <row r="2961" spans="1:11" x14ac:dyDescent="0.25">
      <c r="A2961" t="s">
        <v>10431</v>
      </c>
      <c r="B2961" s="1" t="str">
        <f>HYPERLINK("https://www.catalog.slsa.sa.gov.au/record=b2111489")</f>
        <v>https://www.catalog.slsa.sa.gov.au/record=b2111489</v>
      </c>
      <c r="C2961" s="1" t="str">
        <f>HYPERLINK("https://www.catalog.slsa.sa.gov.au/xrecord=b2111489")</f>
        <v>https://www.catalog.slsa.sa.gov.au/xrecord=b2111489</v>
      </c>
      <c r="D2961" t="s">
        <v>66</v>
      </c>
      <c r="E2961" t="s">
        <v>10404</v>
      </c>
      <c r="F2961">
        <v>1960</v>
      </c>
      <c r="G2961" t="s">
        <v>121</v>
      </c>
      <c r="H2961" t="s">
        <v>10432</v>
      </c>
      <c r="I2961" t="s">
        <v>10406</v>
      </c>
      <c r="J2961" t="s">
        <v>71</v>
      </c>
      <c r="K2961" s="2" t="str">
        <f>HYPERLINK("http://collections.slsa.sa.gov.au/arthur/02250/BRG347_2126.htm")</f>
        <v>http://collections.slsa.sa.gov.au/arthur/02250/BRG347_2126.htm</v>
      </c>
    </row>
    <row r="2962" spans="1:11" x14ac:dyDescent="0.25">
      <c r="A2962" t="s">
        <v>10433</v>
      </c>
      <c r="B2962" s="1" t="str">
        <f>HYPERLINK("https://www.catalog.slsa.sa.gov.au/record=b2111490")</f>
        <v>https://www.catalog.slsa.sa.gov.au/record=b2111490</v>
      </c>
      <c r="C2962" s="1" t="str">
        <f>HYPERLINK("https://www.catalog.slsa.sa.gov.au/xrecord=b2111490")</f>
        <v>https://www.catalog.slsa.sa.gov.au/xrecord=b2111490</v>
      </c>
      <c r="D2962" t="s">
        <v>66</v>
      </c>
      <c r="E2962" t="s">
        <v>10404</v>
      </c>
      <c r="F2962">
        <v>1960</v>
      </c>
      <c r="G2962" t="s">
        <v>121</v>
      </c>
      <c r="H2962" t="s">
        <v>10434</v>
      </c>
      <c r="I2962" t="s">
        <v>10406</v>
      </c>
      <c r="J2962" t="s">
        <v>71</v>
      </c>
      <c r="K2962" s="2" t="str">
        <f>HYPERLINK("http://collections.slsa.sa.gov.au/arthur/02250/BRG347_2127.htm")</f>
        <v>http://collections.slsa.sa.gov.au/arthur/02250/BRG347_2127.htm</v>
      </c>
    </row>
    <row r="2963" spans="1:11" x14ac:dyDescent="0.25">
      <c r="A2963" t="s">
        <v>10435</v>
      </c>
      <c r="B2963" s="1" t="str">
        <f>HYPERLINK("https://www.catalog.slsa.sa.gov.au/record=b2111491")</f>
        <v>https://www.catalog.slsa.sa.gov.au/record=b2111491</v>
      </c>
      <c r="C2963" s="1" t="str">
        <f>HYPERLINK("https://www.catalog.slsa.sa.gov.au/xrecord=b2111491")</f>
        <v>https://www.catalog.slsa.sa.gov.au/xrecord=b2111491</v>
      </c>
      <c r="D2963" t="s">
        <v>66</v>
      </c>
      <c r="E2963" t="s">
        <v>10436</v>
      </c>
      <c r="F2963">
        <v>1960</v>
      </c>
      <c r="G2963" t="s">
        <v>121</v>
      </c>
      <c r="H2963" t="s">
        <v>10437</v>
      </c>
      <c r="I2963" t="s">
        <v>8327</v>
      </c>
      <c r="J2963" t="s">
        <v>71</v>
      </c>
      <c r="K2963" s="2" t="str">
        <f>HYPERLINK("http://collections.slsa.sa.gov.au/arthur/02250/BRG347_2128.htm")</f>
        <v>http://collections.slsa.sa.gov.au/arthur/02250/BRG347_2128.htm</v>
      </c>
    </row>
    <row r="2964" spans="1:11" x14ac:dyDescent="0.25">
      <c r="A2964" t="s">
        <v>10438</v>
      </c>
      <c r="B2964" s="1" t="str">
        <f>HYPERLINK("https://www.catalog.slsa.sa.gov.au/record=b2111492")</f>
        <v>https://www.catalog.slsa.sa.gov.au/record=b2111492</v>
      </c>
      <c r="C2964" s="1" t="str">
        <f>HYPERLINK("https://www.catalog.slsa.sa.gov.au/xrecord=b2111492")</f>
        <v>https://www.catalog.slsa.sa.gov.au/xrecord=b2111492</v>
      </c>
      <c r="D2964" t="s">
        <v>66</v>
      </c>
      <c r="E2964" t="s">
        <v>7396</v>
      </c>
      <c r="F2964">
        <v>1960</v>
      </c>
      <c r="G2964" t="s">
        <v>121</v>
      </c>
      <c r="H2964" t="s">
        <v>10439</v>
      </c>
      <c r="I2964" t="s">
        <v>10178</v>
      </c>
      <c r="J2964" t="s">
        <v>71</v>
      </c>
      <c r="K2964" s="2" t="str">
        <f>HYPERLINK("http://collections.slsa.sa.gov.au/arthur/02250/BRG347_2129.htm")</f>
        <v>http://collections.slsa.sa.gov.au/arthur/02250/BRG347_2129.htm</v>
      </c>
    </row>
    <row r="2965" spans="1:11" x14ac:dyDescent="0.25">
      <c r="A2965" t="s">
        <v>10440</v>
      </c>
      <c r="B2965" s="1" t="str">
        <f>HYPERLINK("https://www.catalog.slsa.sa.gov.au/record=b2111493")</f>
        <v>https://www.catalog.slsa.sa.gov.au/record=b2111493</v>
      </c>
      <c r="C2965" s="1" t="str">
        <f>HYPERLINK("https://www.catalog.slsa.sa.gov.au/xrecord=b2111493")</f>
        <v>https://www.catalog.slsa.sa.gov.au/xrecord=b2111493</v>
      </c>
      <c r="D2965" t="s">
        <v>66</v>
      </c>
      <c r="E2965" t="s">
        <v>10404</v>
      </c>
      <c r="F2965">
        <v>1960</v>
      </c>
      <c r="G2965" t="s">
        <v>121</v>
      </c>
      <c r="H2965" t="s">
        <v>10441</v>
      </c>
      <c r="I2965" t="s">
        <v>10406</v>
      </c>
      <c r="J2965" t="s">
        <v>71</v>
      </c>
      <c r="K2965" s="2" t="str">
        <f>HYPERLINK("http://collections.slsa.sa.gov.au/arthur/02250/BRG347_2130.htm")</f>
        <v>http://collections.slsa.sa.gov.au/arthur/02250/BRG347_2130.htm</v>
      </c>
    </row>
    <row r="2966" spans="1:11" x14ac:dyDescent="0.25">
      <c r="A2966" t="s">
        <v>10442</v>
      </c>
      <c r="B2966" s="1" t="str">
        <f>HYPERLINK("https://www.catalog.slsa.sa.gov.au/record=b2111494")</f>
        <v>https://www.catalog.slsa.sa.gov.au/record=b2111494</v>
      </c>
      <c r="C2966" s="1" t="str">
        <f>HYPERLINK("https://www.catalog.slsa.sa.gov.au/xrecord=b2111494")</f>
        <v>https://www.catalog.slsa.sa.gov.au/xrecord=b2111494</v>
      </c>
      <c r="D2966" t="s">
        <v>66</v>
      </c>
      <c r="E2966" t="s">
        <v>7396</v>
      </c>
      <c r="F2966">
        <v>1960</v>
      </c>
      <c r="G2966" t="s">
        <v>10443</v>
      </c>
      <c r="H2966" t="s">
        <v>10444</v>
      </c>
      <c r="I2966" t="s">
        <v>10393</v>
      </c>
      <c r="J2966" t="s">
        <v>71</v>
      </c>
      <c r="K2966" s="2" t="str">
        <f>HYPERLINK("http://collections.slsa.sa.gov.au/arthur/02250/BRG347_2131.htm")</f>
        <v>http://collections.slsa.sa.gov.au/arthur/02250/BRG347_2131.htm</v>
      </c>
    </row>
    <row r="2967" spans="1:11" x14ac:dyDescent="0.25">
      <c r="A2967" t="s">
        <v>10445</v>
      </c>
      <c r="B2967" s="1" t="str">
        <f>HYPERLINK("https://www.catalog.slsa.sa.gov.au/record=b2111495")</f>
        <v>https://www.catalog.slsa.sa.gov.au/record=b2111495</v>
      </c>
      <c r="C2967" s="1" t="str">
        <f>HYPERLINK("https://www.catalog.slsa.sa.gov.au/xrecord=b2111495")</f>
        <v>https://www.catalog.slsa.sa.gov.au/xrecord=b2111495</v>
      </c>
      <c r="D2967" t="s">
        <v>66</v>
      </c>
      <c r="E2967" t="s">
        <v>7396</v>
      </c>
      <c r="F2967">
        <v>1960</v>
      </c>
      <c r="G2967" t="s">
        <v>121</v>
      </c>
      <c r="H2967" t="s">
        <v>10446</v>
      </c>
      <c r="I2967" t="s">
        <v>10178</v>
      </c>
      <c r="J2967" t="s">
        <v>71</v>
      </c>
      <c r="K2967" s="2" t="str">
        <f>HYPERLINK("http://collections.slsa.sa.gov.au/arthur/02250/BRG347_2132.htm")</f>
        <v>http://collections.slsa.sa.gov.au/arthur/02250/BRG347_2132.htm</v>
      </c>
    </row>
    <row r="2968" spans="1:11" x14ac:dyDescent="0.25">
      <c r="A2968" t="s">
        <v>10447</v>
      </c>
      <c r="B2968" s="1" t="str">
        <f>HYPERLINK("https://www.catalog.slsa.sa.gov.au/record=b2111496")</f>
        <v>https://www.catalog.slsa.sa.gov.au/record=b2111496</v>
      </c>
      <c r="C2968" s="1" t="str">
        <f>HYPERLINK("https://www.catalog.slsa.sa.gov.au/xrecord=b2111496")</f>
        <v>https://www.catalog.slsa.sa.gov.au/xrecord=b2111496</v>
      </c>
      <c r="D2968" t="s">
        <v>66</v>
      </c>
      <c r="E2968" t="s">
        <v>7396</v>
      </c>
      <c r="F2968">
        <v>1960</v>
      </c>
      <c r="G2968" t="s">
        <v>121</v>
      </c>
      <c r="H2968" t="s">
        <v>10448</v>
      </c>
      <c r="I2968" t="s">
        <v>8396</v>
      </c>
      <c r="J2968" t="s">
        <v>71</v>
      </c>
      <c r="K2968" s="2" t="str">
        <f>HYPERLINK("http://collections.slsa.sa.gov.au/arthur/02250/BRG347_2133.htm")</f>
        <v>http://collections.slsa.sa.gov.au/arthur/02250/BRG347_2133.htm</v>
      </c>
    </row>
    <row r="2969" spans="1:11" x14ac:dyDescent="0.25">
      <c r="A2969" t="s">
        <v>10449</v>
      </c>
      <c r="B2969" s="1" t="str">
        <f>HYPERLINK("https://www.catalog.slsa.sa.gov.au/record=b2111497")</f>
        <v>https://www.catalog.slsa.sa.gov.au/record=b2111497</v>
      </c>
      <c r="C2969" s="1" t="str">
        <f>HYPERLINK("https://www.catalog.slsa.sa.gov.au/xrecord=b2111497")</f>
        <v>https://www.catalog.slsa.sa.gov.au/xrecord=b2111497</v>
      </c>
      <c r="D2969" t="s">
        <v>66</v>
      </c>
      <c r="E2969" t="s">
        <v>10410</v>
      </c>
      <c r="F2969">
        <v>1960</v>
      </c>
      <c r="G2969" t="s">
        <v>121</v>
      </c>
      <c r="H2969" t="s">
        <v>10450</v>
      </c>
      <c r="I2969" t="s">
        <v>8327</v>
      </c>
      <c r="J2969" t="s">
        <v>71</v>
      </c>
      <c r="K2969" s="2" t="str">
        <f>HYPERLINK("http://collections.slsa.sa.gov.au/arthur/02250/BRG347_2134.htm")</f>
        <v>http://collections.slsa.sa.gov.au/arthur/02250/BRG347_2134.htm</v>
      </c>
    </row>
    <row r="2970" spans="1:11" x14ac:dyDescent="0.25">
      <c r="A2970" t="s">
        <v>10451</v>
      </c>
      <c r="B2970" s="1" t="str">
        <f>HYPERLINK("https://www.catalog.slsa.sa.gov.au/record=b2117806")</f>
        <v>https://www.catalog.slsa.sa.gov.au/record=b2117806</v>
      </c>
      <c r="C2970" s="1" t="str">
        <f>HYPERLINK("https://www.catalog.slsa.sa.gov.au/xrecord=b2117806")</f>
        <v>https://www.catalog.slsa.sa.gov.au/xrecord=b2117806</v>
      </c>
      <c r="D2970" t="s">
        <v>66</v>
      </c>
      <c r="E2970" t="s">
        <v>10452</v>
      </c>
      <c r="F2970">
        <v>1960</v>
      </c>
      <c r="G2970" t="s">
        <v>121</v>
      </c>
      <c r="H2970" t="s">
        <v>10453</v>
      </c>
      <c r="I2970" t="s">
        <v>7454</v>
      </c>
      <c r="J2970" t="s">
        <v>71</v>
      </c>
      <c r="K2970" s="2" t="str">
        <f>HYPERLINK("http://collections.slsa.sa.gov.au/arthur/02250/BRG347_2135.htm")</f>
        <v>http://collections.slsa.sa.gov.au/arthur/02250/BRG347_2135.htm</v>
      </c>
    </row>
    <row r="2971" spans="1:11" x14ac:dyDescent="0.25">
      <c r="A2971" t="s">
        <v>10454</v>
      </c>
      <c r="B2971" s="1" t="str">
        <f>HYPERLINK("https://www.catalog.slsa.sa.gov.au/record=b2117807")</f>
        <v>https://www.catalog.slsa.sa.gov.au/record=b2117807</v>
      </c>
      <c r="C2971" s="1" t="str">
        <f>HYPERLINK("https://www.catalog.slsa.sa.gov.au/xrecord=b2117807")</f>
        <v>https://www.catalog.slsa.sa.gov.au/xrecord=b2117807</v>
      </c>
      <c r="D2971" t="s">
        <v>66</v>
      </c>
      <c r="E2971" t="s">
        <v>10413</v>
      </c>
      <c r="F2971">
        <v>1960</v>
      </c>
      <c r="G2971" t="s">
        <v>121</v>
      </c>
      <c r="H2971" t="s">
        <v>10455</v>
      </c>
      <c r="I2971" t="s">
        <v>8145</v>
      </c>
      <c r="J2971" t="s">
        <v>71</v>
      </c>
      <c r="K2971" s="2" t="str">
        <f>HYPERLINK("http://collections.slsa.sa.gov.au/arthur/02250/BRG347_2136.htm")</f>
        <v>http://collections.slsa.sa.gov.au/arthur/02250/BRG347_2136.htm</v>
      </c>
    </row>
    <row r="2972" spans="1:11" x14ac:dyDescent="0.25">
      <c r="A2972" t="s">
        <v>10456</v>
      </c>
      <c r="B2972" s="1" t="str">
        <f>HYPERLINK("https://www.catalog.slsa.sa.gov.au/record=b2111498")</f>
        <v>https://www.catalog.slsa.sa.gov.au/record=b2111498</v>
      </c>
      <c r="C2972" s="1" t="str">
        <f>HYPERLINK("https://www.catalog.slsa.sa.gov.au/xrecord=b2111498")</f>
        <v>https://www.catalog.slsa.sa.gov.au/xrecord=b2111498</v>
      </c>
      <c r="D2972" t="s">
        <v>66</v>
      </c>
      <c r="E2972" t="s">
        <v>10413</v>
      </c>
      <c r="F2972">
        <v>1960</v>
      </c>
      <c r="G2972" t="s">
        <v>121</v>
      </c>
      <c r="H2972" t="s">
        <v>10457</v>
      </c>
      <c r="I2972" t="s">
        <v>10458</v>
      </c>
      <c r="J2972" t="s">
        <v>71</v>
      </c>
      <c r="K2972" s="2" t="str">
        <f>HYPERLINK("http://collections.slsa.sa.gov.au/arthur/02250/BRG347_2137.htm")</f>
        <v>http://collections.slsa.sa.gov.au/arthur/02250/BRG347_2137.htm</v>
      </c>
    </row>
    <row r="2973" spans="1:11" x14ac:dyDescent="0.25">
      <c r="A2973" t="s">
        <v>10459</v>
      </c>
      <c r="B2973" s="1" t="str">
        <f>HYPERLINK("https://www.catalog.slsa.sa.gov.au/record=b2111499")</f>
        <v>https://www.catalog.slsa.sa.gov.au/record=b2111499</v>
      </c>
      <c r="C2973" s="1" t="str">
        <f>HYPERLINK("https://www.catalog.slsa.sa.gov.au/xrecord=b2111499")</f>
        <v>https://www.catalog.slsa.sa.gov.au/xrecord=b2111499</v>
      </c>
      <c r="D2973" t="s">
        <v>66</v>
      </c>
      <c r="E2973" t="s">
        <v>10460</v>
      </c>
      <c r="F2973">
        <v>1960</v>
      </c>
      <c r="G2973" t="s">
        <v>121</v>
      </c>
      <c r="H2973" t="s">
        <v>10461</v>
      </c>
      <c r="I2973" t="s">
        <v>10462</v>
      </c>
      <c r="J2973" t="s">
        <v>71</v>
      </c>
      <c r="K2973" s="2" t="str">
        <f>HYPERLINK("http://collections.slsa.sa.gov.au/arthur/02250/BRG347_2138.htm")</f>
        <v>http://collections.slsa.sa.gov.au/arthur/02250/BRG347_2138.htm</v>
      </c>
    </row>
    <row r="2974" spans="1:11" x14ac:dyDescent="0.25">
      <c r="A2974" t="s">
        <v>10463</v>
      </c>
      <c r="B2974" s="1" t="str">
        <f>HYPERLINK("https://www.catalog.slsa.sa.gov.au/record=b2111500")</f>
        <v>https://www.catalog.slsa.sa.gov.au/record=b2111500</v>
      </c>
      <c r="C2974" s="1" t="str">
        <f>HYPERLINK("https://www.catalog.slsa.sa.gov.au/xrecord=b2111500")</f>
        <v>https://www.catalog.slsa.sa.gov.au/xrecord=b2111500</v>
      </c>
      <c r="D2974" t="s">
        <v>66</v>
      </c>
      <c r="E2974" t="s">
        <v>10464</v>
      </c>
      <c r="F2974">
        <v>1960</v>
      </c>
      <c r="G2974" t="s">
        <v>121</v>
      </c>
      <c r="H2974" t="s">
        <v>10465</v>
      </c>
      <c r="I2974" t="s">
        <v>10466</v>
      </c>
      <c r="J2974" t="s">
        <v>71</v>
      </c>
      <c r="K2974" s="2" t="str">
        <f>HYPERLINK("http://collections.slsa.sa.gov.au/arthur/02250/BRG347_2139.htm")</f>
        <v>http://collections.slsa.sa.gov.au/arthur/02250/BRG347_2139.htm</v>
      </c>
    </row>
    <row r="2975" spans="1:11" x14ac:dyDescent="0.25">
      <c r="A2975" t="s">
        <v>10467</v>
      </c>
      <c r="B2975" s="1" t="str">
        <f>HYPERLINK("https://www.catalog.slsa.sa.gov.au/record=b2111501")</f>
        <v>https://www.catalog.slsa.sa.gov.au/record=b2111501</v>
      </c>
      <c r="C2975" s="1" t="str">
        <f>HYPERLINK("https://www.catalog.slsa.sa.gov.au/xrecord=b2111501")</f>
        <v>https://www.catalog.slsa.sa.gov.au/xrecord=b2111501</v>
      </c>
      <c r="D2975" t="s">
        <v>66</v>
      </c>
      <c r="E2975" t="s">
        <v>10468</v>
      </c>
      <c r="F2975">
        <v>1960</v>
      </c>
      <c r="G2975" t="s">
        <v>121</v>
      </c>
      <c r="H2975" t="s">
        <v>10469</v>
      </c>
      <c r="I2975" t="s">
        <v>10466</v>
      </c>
      <c r="J2975" t="s">
        <v>71</v>
      </c>
      <c r="K2975" s="2" t="str">
        <f>HYPERLINK("http://collections.slsa.sa.gov.au/arthur/02250/BRG347_2140.htm")</f>
        <v>http://collections.slsa.sa.gov.au/arthur/02250/BRG347_2140.htm</v>
      </c>
    </row>
    <row r="2976" spans="1:11" x14ac:dyDescent="0.25">
      <c r="A2976" t="s">
        <v>10470</v>
      </c>
      <c r="B2976" s="1" t="str">
        <f>HYPERLINK("https://www.catalog.slsa.sa.gov.au/record=b2111502")</f>
        <v>https://www.catalog.slsa.sa.gov.au/record=b2111502</v>
      </c>
      <c r="C2976" s="1" t="str">
        <f>HYPERLINK("https://www.catalog.slsa.sa.gov.au/xrecord=b2111502")</f>
        <v>https://www.catalog.slsa.sa.gov.au/xrecord=b2111502</v>
      </c>
      <c r="D2976" t="s">
        <v>66</v>
      </c>
      <c r="E2976" t="s">
        <v>10471</v>
      </c>
      <c r="F2976">
        <v>1960</v>
      </c>
      <c r="G2976" t="s">
        <v>121</v>
      </c>
      <c r="H2976" t="s">
        <v>10472</v>
      </c>
      <c r="I2976" t="s">
        <v>10473</v>
      </c>
      <c r="J2976" t="s">
        <v>71</v>
      </c>
      <c r="K2976" s="2" t="str">
        <f>HYPERLINK("http://collections.slsa.sa.gov.au/arthur/02250/BRG347_2141.htm")</f>
        <v>http://collections.slsa.sa.gov.au/arthur/02250/BRG347_2141.htm</v>
      </c>
    </row>
    <row r="2977" spans="1:11" x14ac:dyDescent="0.25">
      <c r="A2977" t="s">
        <v>10474</v>
      </c>
      <c r="B2977" s="1" t="str">
        <f>HYPERLINK("https://www.catalog.slsa.sa.gov.au/record=b2111503")</f>
        <v>https://www.catalog.slsa.sa.gov.au/record=b2111503</v>
      </c>
      <c r="C2977" s="1" t="str">
        <f>HYPERLINK("https://www.catalog.slsa.sa.gov.au/xrecord=b2111503")</f>
        <v>https://www.catalog.slsa.sa.gov.au/xrecord=b2111503</v>
      </c>
      <c r="D2977" t="s">
        <v>66</v>
      </c>
      <c r="E2977" t="s">
        <v>9519</v>
      </c>
      <c r="F2977">
        <v>1960</v>
      </c>
      <c r="G2977" t="s">
        <v>121</v>
      </c>
      <c r="H2977" t="s">
        <v>10475</v>
      </c>
      <c r="I2977" t="s">
        <v>9521</v>
      </c>
      <c r="J2977" t="s">
        <v>71</v>
      </c>
      <c r="K2977" s="2" t="str">
        <f>HYPERLINK("http://collections.slsa.sa.gov.au/arthur/02250/BRG347_2142.htm")</f>
        <v>http://collections.slsa.sa.gov.au/arthur/02250/BRG347_2142.htm</v>
      </c>
    </row>
    <row r="2978" spans="1:11" x14ac:dyDescent="0.25">
      <c r="A2978" t="s">
        <v>10476</v>
      </c>
      <c r="B2978" s="1" t="str">
        <f>HYPERLINK("https://www.catalog.slsa.sa.gov.au/record=b2111504")</f>
        <v>https://www.catalog.slsa.sa.gov.au/record=b2111504</v>
      </c>
      <c r="C2978" s="1" t="str">
        <f>HYPERLINK("https://www.catalog.slsa.sa.gov.au/xrecord=b2111504")</f>
        <v>https://www.catalog.slsa.sa.gov.au/xrecord=b2111504</v>
      </c>
      <c r="D2978" t="s">
        <v>66</v>
      </c>
      <c r="E2978" t="s">
        <v>10471</v>
      </c>
      <c r="F2978">
        <v>1960</v>
      </c>
      <c r="G2978" t="s">
        <v>121</v>
      </c>
      <c r="H2978" t="s">
        <v>10477</v>
      </c>
      <c r="I2978" t="s">
        <v>10478</v>
      </c>
      <c r="J2978" t="s">
        <v>71</v>
      </c>
      <c r="K2978" s="2" t="str">
        <f>HYPERLINK("http://collections.slsa.sa.gov.au/arthur/02250/BRG347_2143.htm")</f>
        <v>http://collections.slsa.sa.gov.au/arthur/02250/BRG347_2143.htm</v>
      </c>
    </row>
    <row r="2979" spans="1:11" x14ac:dyDescent="0.25">
      <c r="A2979" t="s">
        <v>10479</v>
      </c>
      <c r="B2979" s="1" t="str">
        <f>HYPERLINK("https://www.catalog.slsa.sa.gov.au/record=b2111505")</f>
        <v>https://www.catalog.slsa.sa.gov.au/record=b2111505</v>
      </c>
      <c r="C2979" s="1" t="str">
        <f>HYPERLINK("https://www.catalog.slsa.sa.gov.au/xrecord=b2111505")</f>
        <v>https://www.catalog.slsa.sa.gov.au/xrecord=b2111505</v>
      </c>
      <c r="D2979" t="s">
        <v>66</v>
      </c>
      <c r="E2979" t="s">
        <v>9519</v>
      </c>
      <c r="F2979">
        <v>1960</v>
      </c>
      <c r="G2979" t="s">
        <v>121</v>
      </c>
      <c r="H2979" t="s">
        <v>10480</v>
      </c>
      <c r="I2979" t="s">
        <v>9521</v>
      </c>
      <c r="J2979" t="s">
        <v>71</v>
      </c>
      <c r="K2979" s="2" t="str">
        <f>HYPERLINK("http://collections.slsa.sa.gov.au/arthur/02250/BRG347_2144.htm")</f>
        <v>http://collections.slsa.sa.gov.au/arthur/02250/BRG347_2144.htm</v>
      </c>
    </row>
    <row r="2980" spans="1:11" x14ac:dyDescent="0.25">
      <c r="A2980" t="s">
        <v>10481</v>
      </c>
      <c r="B2980" s="1" t="str">
        <f>HYPERLINK("https://www.catalog.slsa.sa.gov.au/record=b2111506")</f>
        <v>https://www.catalog.slsa.sa.gov.au/record=b2111506</v>
      </c>
      <c r="C2980" s="1" t="str">
        <f>HYPERLINK("https://www.catalog.slsa.sa.gov.au/xrecord=b2111506")</f>
        <v>https://www.catalog.slsa.sa.gov.au/xrecord=b2111506</v>
      </c>
      <c r="D2980" t="s">
        <v>66</v>
      </c>
      <c r="E2980" t="s">
        <v>10482</v>
      </c>
      <c r="F2980">
        <v>1960</v>
      </c>
      <c r="G2980" t="s">
        <v>121</v>
      </c>
      <c r="H2980" t="s">
        <v>10483</v>
      </c>
      <c r="I2980" t="s">
        <v>9521</v>
      </c>
      <c r="J2980" t="s">
        <v>71</v>
      </c>
      <c r="K2980" s="2" t="str">
        <f>HYPERLINK("http://collections.slsa.sa.gov.au/arthur/02250/BRG347_2145.htm")</f>
        <v>http://collections.slsa.sa.gov.au/arthur/02250/BRG347_2145.htm</v>
      </c>
    </row>
    <row r="2981" spans="1:11" x14ac:dyDescent="0.25">
      <c r="A2981" t="s">
        <v>10484</v>
      </c>
      <c r="B2981" s="1" t="str">
        <f>HYPERLINK("https://www.catalog.slsa.sa.gov.au/record=b2111507")</f>
        <v>https://www.catalog.slsa.sa.gov.au/record=b2111507</v>
      </c>
      <c r="C2981" s="1" t="str">
        <f>HYPERLINK("https://www.catalog.slsa.sa.gov.au/xrecord=b2111507")</f>
        <v>https://www.catalog.slsa.sa.gov.au/xrecord=b2111507</v>
      </c>
      <c r="D2981" t="s">
        <v>66</v>
      </c>
      <c r="E2981" t="s">
        <v>9432</v>
      </c>
      <c r="F2981">
        <v>1960</v>
      </c>
      <c r="G2981" t="s">
        <v>121</v>
      </c>
      <c r="H2981" t="s">
        <v>10485</v>
      </c>
      <c r="I2981" t="s">
        <v>9434</v>
      </c>
      <c r="J2981" t="s">
        <v>71</v>
      </c>
      <c r="K2981" s="2" t="str">
        <f>HYPERLINK("http://collections.slsa.sa.gov.au/arthur/02250/BRG347_2146.htm")</f>
        <v>http://collections.slsa.sa.gov.au/arthur/02250/BRG347_2146.htm</v>
      </c>
    </row>
    <row r="2982" spans="1:11" x14ac:dyDescent="0.25">
      <c r="A2982" t="s">
        <v>10486</v>
      </c>
      <c r="B2982" s="1" t="str">
        <f>HYPERLINK("https://www.catalog.slsa.sa.gov.au/record=b2111508")</f>
        <v>https://www.catalog.slsa.sa.gov.au/record=b2111508</v>
      </c>
      <c r="C2982" s="1" t="str">
        <f>HYPERLINK("https://www.catalog.slsa.sa.gov.au/xrecord=b2111508")</f>
        <v>https://www.catalog.slsa.sa.gov.au/xrecord=b2111508</v>
      </c>
      <c r="D2982" t="s">
        <v>66</v>
      </c>
      <c r="E2982" t="s">
        <v>9432</v>
      </c>
      <c r="F2982">
        <v>1960</v>
      </c>
      <c r="G2982" t="s">
        <v>121</v>
      </c>
      <c r="H2982" t="s">
        <v>10487</v>
      </c>
      <c r="I2982" t="s">
        <v>9434</v>
      </c>
      <c r="J2982" t="s">
        <v>71</v>
      </c>
      <c r="K2982" s="2" t="str">
        <f>HYPERLINK("http://collections.slsa.sa.gov.au/arthur/02250/BRG347_2147.htm")</f>
        <v>http://collections.slsa.sa.gov.au/arthur/02250/BRG347_2147.htm</v>
      </c>
    </row>
    <row r="2983" spans="1:11" x14ac:dyDescent="0.25">
      <c r="A2983" t="s">
        <v>10488</v>
      </c>
      <c r="B2983" s="1" t="str">
        <f>HYPERLINK("https://www.catalog.slsa.sa.gov.au/record=b2111509")</f>
        <v>https://www.catalog.slsa.sa.gov.au/record=b2111509</v>
      </c>
      <c r="C2983" s="1" t="str">
        <f>HYPERLINK("https://www.catalog.slsa.sa.gov.au/xrecord=b2111509")</f>
        <v>https://www.catalog.slsa.sa.gov.au/xrecord=b2111509</v>
      </c>
      <c r="D2983" t="s">
        <v>66</v>
      </c>
      <c r="E2983" t="s">
        <v>10489</v>
      </c>
      <c r="F2983">
        <v>1960</v>
      </c>
      <c r="G2983" t="s">
        <v>121</v>
      </c>
      <c r="H2983" t="s">
        <v>10490</v>
      </c>
      <c r="I2983" t="s">
        <v>9521</v>
      </c>
      <c r="J2983" t="s">
        <v>71</v>
      </c>
      <c r="K2983" s="2" t="str">
        <f>HYPERLINK("http://collections.slsa.sa.gov.au/arthur/02250/BRG347_2148.htm")</f>
        <v>http://collections.slsa.sa.gov.au/arthur/02250/BRG347_2148.htm</v>
      </c>
    </row>
    <row r="2984" spans="1:11" x14ac:dyDescent="0.25">
      <c r="A2984" t="s">
        <v>10491</v>
      </c>
      <c r="B2984" s="1" t="str">
        <f>HYPERLINK("https://www.catalog.slsa.sa.gov.au/record=b2111510")</f>
        <v>https://www.catalog.slsa.sa.gov.au/record=b2111510</v>
      </c>
      <c r="C2984" s="1" t="str">
        <f>HYPERLINK("https://www.catalog.slsa.sa.gov.au/xrecord=b2111510")</f>
        <v>https://www.catalog.slsa.sa.gov.au/xrecord=b2111510</v>
      </c>
      <c r="D2984" t="s">
        <v>66</v>
      </c>
      <c r="E2984" t="s">
        <v>10416</v>
      </c>
      <c r="F2984">
        <v>1960</v>
      </c>
      <c r="G2984" t="s">
        <v>121</v>
      </c>
      <c r="H2984" t="s">
        <v>10492</v>
      </c>
      <c r="I2984" t="s">
        <v>7454</v>
      </c>
      <c r="J2984" t="s">
        <v>71</v>
      </c>
      <c r="K2984" s="2" t="str">
        <f>HYPERLINK("http://collections.slsa.sa.gov.au/arthur/02250/BRG347_2149.htm")</f>
        <v>http://collections.slsa.sa.gov.au/arthur/02250/BRG347_2149.htm</v>
      </c>
    </row>
    <row r="2985" spans="1:11" x14ac:dyDescent="0.25">
      <c r="A2985" t="s">
        <v>10493</v>
      </c>
      <c r="B2985" s="1" t="str">
        <f>HYPERLINK("https://www.catalog.slsa.sa.gov.au/record=b2111511")</f>
        <v>https://www.catalog.slsa.sa.gov.au/record=b2111511</v>
      </c>
      <c r="C2985" s="1" t="str">
        <f>HYPERLINK("https://www.catalog.slsa.sa.gov.au/xrecord=b2111511")</f>
        <v>https://www.catalog.slsa.sa.gov.au/xrecord=b2111511</v>
      </c>
      <c r="D2985" t="s">
        <v>66</v>
      </c>
      <c r="E2985" t="s">
        <v>10494</v>
      </c>
      <c r="F2985">
        <v>1960</v>
      </c>
      <c r="G2985" t="s">
        <v>121</v>
      </c>
      <c r="H2985" t="s">
        <v>10495</v>
      </c>
      <c r="I2985" t="s">
        <v>10496</v>
      </c>
      <c r="J2985" t="s">
        <v>71</v>
      </c>
      <c r="K2985" s="2" t="str">
        <f>HYPERLINK("http://collections.slsa.sa.gov.au/arthur/02250/BRG347_2150.htm")</f>
        <v>http://collections.slsa.sa.gov.au/arthur/02250/BRG347_2150.htm</v>
      </c>
    </row>
    <row r="2986" spans="1:11" x14ac:dyDescent="0.25">
      <c r="A2986" t="s">
        <v>10497</v>
      </c>
      <c r="B2986" s="1" t="str">
        <f>HYPERLINK("https://www.catalog.slsa.sa.gov.au/record=b2111512")</f>
        <v>https://www.catalog.slsa.sa.gov.au/record=b2111512</v>
      </c>
      <c r="C2986" s="1" t="str">
        <f>HYPERLINK("https://www.catalog.slsa.sa.gov.au/xrecord=b2111512")</f>
        <v>https://www.catalog.slsa.sa.gov.au/xrecord=b2111512</v>
      </c>
      <c r="D2986" t="s">
        <v>66</v>
      </c>
      <c r="E2986" t="s">
        <v>10498</v>
      </c>
      <c r="F2986">
        <v>1960</v>
      </c>
      <c r="G2986" t="s">
        <v>121</v>
      </c>
      <c r="H2986" t="s">
        <v>10499</v>
      </c>
      <c r="I2986" t="s">
        <v>10500</v>
      </c>
      <c r="J2986" t="s">
        <v>71</v>
      </c>
      <c r="K2986" s="2" t="str">
        <f>HYPERLINK("http://collections.slsa.sa.gov.au/arthur/02250/BRG347_2151.htm")</f>
        <v>http://collections.slsa.sa.gov.au/arthur/02250/BRG347_2151.htm</v>
      </c>
    </row>
    <row r="2987" spans="1:11" x14ac:dyDescent="0.25">
      <c r="A2987" t="s">
        <v>10501</v>
      </c>
      <c r="B2987" s="1" t="str">
        <f>HYPERLINK("https://www.catalog.slsa.sa.gov.au/record=b2111513")</f>
        <v>https://www.catalog.slsa.sa.gov.au/record=b2111513</v>
      </c>
      <c r="C2987" s="1" t="str">
        <f>HYPERLINK("https://www.catalog.slsa.sa.gov.au/xrecord=b2111513")</f>
        <v>https://www.catalog.slsa.sa.gov.au/xrecord=b2111513</v>
      </c>
      <c r="D2987" t="s">
        <v>66</v>
      </c>
      <c r="E2987" t="s">
        <v>10502</v>
      </c>
      <c r="F2987">
        <v>1960</v>
      </c>
      <c r="G2987" t="s">
        <v>121</v>
      </c>
      <c r="H2987" t="s">
        <v>10503</v>
      </c>
      <c r="I2987" t="s">
        <v>10504</v>
      </c>
      <c r="J2987" t="s">
        <v>71</v>
      </c>
      <c r="K2987" s="2" t="str">
        <f>HYPERLINK("http://collections.slsa.sa.gov.au/arthur/02250/BRG347_2152.htm")</f>
        <v>http://collections.slsa.sa.gov.au/arthur/02250/BRG347_2152.htm</v>
      </c>
    </row>
    <row r="2988" spans="1:11" x14ac:dyDescent="0.25">
      <c r="A2988" t="s">
        <v>10505</v>
      </c>
      <c r="B2988" s="1" t="str">
        <f>HYPERLINK("https://www.catalog.slsa.sa.gov.au/record=b2111514")</f>
        <v>https://www.catalog.slsa.sa.gov.au/record=b2111514</v>
      </c>
      <c r="C2988" s="1" t="str">
        <f>HYPERLINK("https://www.catalog.slsa.sa.gov.au/xrecord=b2111514")</f>
        <v>https://www.catalog.slsa.sa.gov.au/xrecord=b2111514</v>
      </c>
      <c r="D2988" t="s">
        <v>66</v>
      </c>
      <c r="E2988" t="s">
        <v>9432</v>
      </c>
      <c r="F2988">
        <v>1960</v>
      </c>
      <c r="G2988" t="s">
        <v>121</v>
      </c>
      <c r="H2988" t="s">
        <v>10506</v>
      </c>
      <c r="I2988" t="s">
        <v>7394</v>
      </c>
      <c r="J2988" t="s">
        <v>71</v>
      </c>
      <c r="K2988" s="2" t="str">
        <f>HYPERLINK("http://collections.slsa.sa.gov.au/arthur/02250/BRG347_2153.htm")</f>
        <v>http://collections.slsa.sa.gov.au/arthur/02250/BRG347_2153.htm</v>
      </c>
    </row>
    <row r="2989" spans="1:11" x14ac:dyDescent="0.25">
      <c r="A2989" t="s">
        <v>10507</v>
      </c>
      <c r="B2989" s="1" t="str">
        <f>HYPERLINK("https://www.catalog.slsa.sa.gov.au/record=b2111515")</f>
        <v>https://www.catalog.slsa.sa.gov.au/record=b2111515</v>
      </c>
      <c r="C2989" s="1" t="str">
        <f>HYPERLINK("https://www.catalog.slsa.sa.gov.au/xrecord=b2111515")</f>
        <v>https://www.catalog.slsa.sa.gov.au/xrecord=b2111515</v>
      </c>
      <c r="D2989" t="s">
        <v>66</v>
      </c>
      <c r="E2989" t="s">
        <v>6523</v>
      </c>
      <c r="F2989">
        <v>1960</v>
      </c>
      <c r="G2989" t="s">
        <v>121</v>
      </c>
      <c r="H2989" t="s">
        <v>10508</v>
      </c>
      <c r="I2989" t="s">
        <v>7454</v>
      </c>
      <c r="J2989" t="s">
        <v>71</v>
      </c>
      <c r="K2989" s="2" t="str">
        <f>HYPERLINK("http://collections.slsa.sa.gov.au/arthur/02250/BRG347_2154.htm")</f>
        <v>http://collections.slsa.sa.gov.au/arthur/02250/BRG347_2154.htm</v>
      </c>
    </row>
    <row r="2990" spans="1:11" x14ac:dyDescent="0.25">
      <c r="A2990" t="s">
        <v>10509</v>
      </c>
      <c r="B2990" s="1" t="str">
        <f>HYPERLINK("https://www.catalog.slsa.sa.gov.au/record=b2111516")</f>
        <v>https://www.catalog.slsa.sa.gov.au/record=b2111516</v>
      </c>
      <c r="C2990" s="1" t="str">
        <f>HYPERLINK("https://www.catalog.slsa.sa.gov.au/xrecord=b2111516")</f>
        <v>https://www.catalog.slsa.sa.gov.au/xrecord=b2111516</v>
      </c>
      <c r="D2990" t="s">
        <v>66</v>
      </c>
      <c r="E2990" t="s">
        <v>9432</v>
      </c>
      <c r="F2990">
        <v>1960</v>
      </c>
      <c r="G2990" t="s">
        <v>121</v>
      </c>
      <c r="H2990" t="s">
        <v>10510</v>
      </c>
      <c r="I2990" t="s">
        <v>7394</v>
      </c>
      <c r="J2990" t="s">
        <v>71</v>
      </c>
      <c r="K2990" s="2" t="str">
        <f>HYPERLINK("http://collections.slsa.sa.gov.au/arthur/02250/BRG347_2155.htm")</f>
        <v>http://collections.slsa.sa.gov.au/arthur/02250/BRG347_2155.htm</v>
      </c>
    </row>
    <row r="2991" spans="1:11" x14ac:dyDescent="0.25">
      <c r="A2991" t="s">
        <v>10511</v>
      </c>
      <c r="B2991" s="1" t="str">
        <f>HYPERLINK("https://www.catalog.slsa.sa.gov.au/record=b2111517")</f>
        <v>https://www.catalog.slsa.sa.gov.au/record=b2111517</v>
      </c>
      <c r="C2991" s="1" t="str">
        <f>HYPERLINK("https://www.catalog.slsa.sa.gov.au/xrecord=b2111517")</f>
        <v>https://www.catalog.slsa.sa.gov.au/xrecord=b2111517</v>
      </c>
      <c r="D2991" t="s">
        <v>66</v>
      </c>
      <c r="E2991" t="s">
        <v>10494</v>
      </c>
      <c r="F2991">
        <v>1960</v>
      </c>
      <c r="G2991" t="s">
        <v>121</v>
      </c>
      <c r="H2991" t="s">
        <v>10512</v>
      </c>
      <c r="I2991" t="s">
        <v>10496</v>
      </c>
      <c r="J2991" t="s">
        <v>71</v>
      </c>
      <c r="K2991" s="2" t="str">
        <f>HYPERLINK("http://collections.slsa.sa.gov.au/arthur/02250/BRG347_2156.htm")</f>
        <v>http://collections.slsa.sa.gov.au/arthur/02250/BRG347_2156.htm</v>
      </c>
    </row>
    <row r="2992" spans="1:11" x14ac:dyDescent="0.25">
      <c r="A2992" t="s">
        <v>10513</v>
      </c>
      <c r="B2992" s="1" t="str">
        <f>HYPERLINK("https://www.catalog.slsa.sa.gov.au/record=b2111518")</f>
        <v>https://www.catalog.slsa.sa.gov.au/record=b2111518</v>
      </c>
      <c r="C2992" s="1" t="str">
        <f>HYPERLINK("https://www.catalog.slsa.sa.gov.au/xrecord=b2111518")</f>
        <v>https://www.catalog.slsa.sa.gov.au/xrecord=b2111518</v>
      </c>
      <c r="D2992" t="s">
        <v>66</v>
      </c>
      <c r="E2992" t="s">
        <v>6523</v>
      </c>
      <c r="F2992">
        <v>1960</v>
      </c>
      <c r="G2992" t="s">
        <v>121</v>
      </c>
      <c r="H2992" t="s">
        <v>10514</v>
      </c>
      <c r="I2992" t="s">
        <v>7454</v>
      </c>
      <c r="J2992" t="s">
        <v>71</v>
      </c>
      <c r="K2992" s="2" t="str">
        <f>HYPERLINK("http://collections.slsa.sa.gov.au/arthur/02250/BRG347_2157.htm")</f>
        <v>http://collections.slsa.sa.gov.au/arthur/02250/BRG347_2157.htm</v>
      </c>
    </row>
    <row r="2993" spans="1:11" x14ac:dyDescent="0.25">
      <c r="A2993" t="s">
        <v>10515</v>
      </c>
      <c r="B2993" s="1" t="str">
        <f>HYPERLINK("https://www.catalog.slsa.sa.gov.au/record=b2117801")</f>
        <v>https://www.catalog.slsa.sa.gov.au/record=b2117801</v>
      </c>
      <c r="C2993" s="1" t="str">
        <f>HYPERLINK("https://www.catalog.slsa.sa.gov.au/xrecord=b2117801")</f>
        <v>https://www.catalog.slsa.sa.gov.au/xrecord=b2117801</v>
      </c>
      <c r="D2993" t="s">
        <v>66</v>
      </c>
      <c r="E2993" t="s">
        <v>10516</v>
      </c>
      <c r="F2993">
        <v>1960</v>
      </c>
      <c r="G2993" t="s">
        <v>121</v>
      </c>
      <c r="H2993" t="s">
        <v>10517</v>
      </c>
      <c r="I2993" t="s">
        <v>9370</v>
      </c>
      <c r="J2993" t="s">
        <v>71</v>
      </c>
      <c r="K2993" s="2" t="str">
        <f>HYPERLINK("http://collections.slsa.sa.gov.au/arthur/02250/BRG347_2158.htm")</f>
        <v>http://collections.slsa.sa.gov.au/arthur/02250/BRG347_2158.htm</v>
      </c>
    </row>
    <row r="2994" spans="1:11" x14ac:dyDescent="0.25">
      <c r="A2994" t="s">
        <v>10518</v>
      </c>
      <c r="B2994" s="1" t="str">
        <f>HYPERLINK("https://www.catalog.slsa.sa.gov.au/record=b2111519")</f>
        <v>https://www.catalog.slsa.sa.gov.au/record=b2111519</v>
      </c>
      <c r="C2994" s="1" t="str">
        <f>HYPERLINK("https://www.catalog.slsa.sa.gov.au/xrecord=b2111519")</f>
        <v>https://www.catalog.slsa.sa.gov.au/xrecord=b2111519</v>
      </c>
      <c r="D2994" t="s">
        <v>66</v>
      </c>
      <c r="E2994" t="s">
        <v>6523</v>
      </c>
      <c r="F2994">
        <v>1960</v>
      </c>
      <c r="G2994" t="s">
        <v>121</v>
      </c>
      <c r="H2994" t="s">
        <v>10519</v>
      </c>
      <c r="I2994" t="s">
        <v>7454</v>
      </c>
      <c r="J2994" t="s">
        <v>71</v>
      </c>
      <c r="K2994" s="2" t="str">
        <f>HYPERLINK("http://collections.slsa.sa.gov.au/arthur/02250/BRG347_2159.htm")</f>
        <v>http://collections.slsa.sa.gov.au/arthur/02250/BRG347_2159.htm</v>
      </c>
    </row>
    <row r="2995" spans="1:11" x14ac:dyDescent="0.25">
      <c r="A2995" t="s">
        <v>10520</v>
      </c>
      <c r="B2995" s="1" t="str">
        <f>HYPERLINK("https://www.catalog.slsa.sa.gov.au/record=b2111520")</f>
        <v>https://www.catalog.slsa.sa.gov.au/record=b2111520</v>
      </c>
      <c r="C2995" s="1" t="str">
        <f>HYPERLINK("https://www.catalog.slsa.sa.gov.au/xrecord=b2111520")</f>
        <v>https://www.catalog.slsa.sa.gov.au/xrecord=b2111520</v>
      </c>
      <c r="D2995" t="s">
        <v>66</v>
      </c>
      <c r="E2995" t="s">
        <v>10521</v>
      </c>
      <c r="F2995">
        <v>1960</v>
      </c>
      <c r="G2995" t="s">
        <v>121</v>
      </c>
      <c r="H2995" t="s">
        <v>10522</v>
      </c>
      <c r="I2995" t="s">
        <v>10496</v>
      </c>
      <c r="J2995" t="s">
        <v>71</v>
      </c>
      <c r="K2995" s="2" t="str">
        <f>HYPERLINK("http://collections.slsa.sa.gov.au/arthur/02250/BRG347_2160.htm")</f>
        <v>http://collections.slsa.sa.gov.au/arthur/02250/BRG347_2160.htm</v>
      </c>
    </row>
    <row r="2996" spans="1:11" x14ac:dyDescent="0.25">
      <c r="A2996" t="s">
        <v>10523</v>
      </c>
      <c r="B2996" s="1" t="str">
        <f>HYPERLINK("https://www.catalog.slsa.sa.gov.au/record=b2111521")</f>
        <v>https://www.catalog.slsa.sa.gov.au/record=b2111521</v>
      </c>
      <c r="C2996" s="1" t="str">
        <f>HYPERLINK("https://www.catalog.slsa.sa.gov.au/xrecord=b2111521")</f>
        <v>https://www.catalog.slsa.sa.gov.au/xrecord=b2111521</v>
      </c>
      <c r="D2996" t="s">
        <v>66</v>
      </c>
      <c r="E2996" t="s">
        <v>10524</v>
      </c>
      <c r="F2996">
        <v>1960</v>
      </c>
      <c r="G2996" t="s">
        <v>121</v>
      </c>
      <c r="H2996" t="s">
        <v>10525</v>
      </c>
      <c r="I2996" t="s">
        <v>10526</v>
      </c>
      <c r="J2996" t="s">
        <v>71</v>
      </c>
      <c r="K2996" s="2" t="str">
        <f>HYPERLINK("http://collections.slsa.sa.gov.au/arthur/02250/BRG347_2161.htm")</f>
        <v>http://collections.slsa.sa.gov.au/arthur/02250/BRG347_2161.htm</v>
      </c>
    </row>
    <row r="2997" spans="1:11" x14ac:dyDescent="0.25">
      <c r="A2997" t="s">
        <v>10527</v>
      </c>
      <c r="B2997" s="1" t="str">
        <f>HYPERLINK("https://www.catalog.slsa.sa.gov.au/record=b2111522")</f>
        <v>https://www.catalog.slsa.sa.gov.au/record=b2111522</v>
      </c>
      <c r="C2997" s="1" t="str">
        <f>HYPERLINK("https://www.catalog.slsa.sa.gov.au/xrecord=b2111522")</f>
        <v>https://www.catalog.slsa.sa.gov.au/xrecord=b2111522</v>
      </c>
      <c r="D2997" t="s">
        <v>66</v>
      </c>
      <c r="E2997" t="s">
        <v>10528</v>
      </c>
      <c r="F2997">
        <v>1960</v>
      </c>
      <c r="G2997" t="s">
        <v>121</v>
      </c>
      <c r="H2997" t="s">
        <v>10529</v>
      </c>
      <c r="I2997" t="s">
        <v>10496</v>
      </c>
      <c r="J2997" t="s">
        <v>71</v>
      </c>
      <c r="K2997" s="2" t="str">
        <f>HYPERLINK("http://collections.slsa.sa.gov.au/arthur/02250/BRG347_2162.htm")</f>
        <v>http://collections.slsa.sa.gov.au/arthur/02250/BRG347_2162.htm</v>
      </c>
    </row>
    <row r="2998" spans="1:11" x14ac:dyDescent="0.25">
      <c r="A2998" t="s">
        <v>10530</v>
      </c>
      <c r="B2998" s="1" t="str">
        <f>HYPERLINK("https://www.catalog.slsa.sa.gov.au/record=b2111523")</f>
        <v>https://www.catalog.slsa.sa.gov.au/record=b2111523</v>
      </c>
      <c r="C2998" s="1" t="str">
        <f>HYPERLINK("https://www.catalog.slsa.sa.gov.au/xrecord=b2111523")</f>
        <v>https://www.catalog.slsa.sa.gov.au/xrecord=b2111523</v>
      </c>
      <c r="D2998" t="s">
        <v>66</v>
      </c>
      <c r="E2998" t="s">
        <v>10531</v>
      </c>
      <c r="F2998">
        <v>1960</v>
      </c>
      <c r="G2998" t="s">
        <v>121</v>
      </c>
      <c r="H2998" t="s">
        <v>10532</v>
      </c>
      <c r="I2998" t="s">
        <v>3646</v>
      </c>
      <c r="J2998" t="s">
        <v>71</v>
      </c>
      <c r="K2998" s="2" t="str">
        <f>HYPERLINK("http://collections.slsa.sa.gov.au/arthur/02250/BRG347_2163.htm")</f>
        <v>http://collections.slsa.sa.gov.au/arthur/02250/BRG347_2163.htm</v>
      </c>
    </row>
    <row r="2999" spans="1:11" x14ac:dyDescent="0.25">
      <c r="A2999" t="s">
        <v>10533</v>
      </c>
      <c r="B2999" s="1" t="str">
        <f>HYPERLINK("https://www.catalog.slsa.sa.gov.au/record=b2111524")</f>
        <v>https://www.catalog.slsa.sa.gov.au/record=b2111524</v>
      </c>
      <c r="C2999" s="1" t="str">
        <f>HYPERLINK("https://www.catalog.slsa.sa.gov.au/xrecord=b2111524")</f>
        <v>https://www.catalog.slsa.sa.gov.au/xrecord=b2111524</v>
      </c>
      <c r="D2999" t="s">
        <v>66</v>
      </c>
      <c r="E2999" t="s">
        <v>10464</v>
      </c>
      <c r="F2999">
        <v>1960</v>
      </c>
      <c r="G2999" t="s">
        <v>121</v>
      </c>
      <c r="H2999" t="s">
        <v>10534</v>
      </c>
      <c r="I2999" t="s">
        <v>10466</v>
      </c>
      <c r="J2999" t="s">
        <v>71</v>
      </c>
      <c r="K2999" s="2" t="str">
        <f>HYPERLINK("http://collections.slsa.sa.gov.au/arthur/02250/BRG347_2164.htm")</f>
        <v>http://collections.slsa.sa.gov.au/arthur/02250/BRG347_2164.htm</v>
      </c>
    </row>
    <row r="3000" spans="1:11" x14ac:dyDescent="0.25">
      <c r="A3000" t="s">
        <v>10535</v>
      </c>
      <c r="B3000" s="1" t="str">
        <f>HYPERLINK("https://www.catalog.slsa.sa.gov.au/record=b2111525")</f>
        <v>https://www.catalog.slsa.sa.gov.au/record=b2111525</v>
      </c>
      <c r="C3000" s="1" t="str">
        <f>HYPERLINK("https://www.catalog.slsa.sa.gov.au/xrecord=b2111525")</f>
        <v>https://www.catalog.slsa.sa.gov.au/xrecord=b2111525</v>
      </c>
      <c r="D3000" t="s">
        <v>66</v>
      </c>
      <c r="E3000" t="s">
        <v>10531</v>
      </c>
      <c r="F3000">
        <v>1960</v>
      </c>
      <c r="G3000" t="s">
        <v>121</v>
      </c>
      <c r="H3000" t="s">
        <v>10536</v>
      </c>
      <c r="I3000" t="s">
        <v>3646</v>
      </c>
      <c r="J3000" t="s">
        <v>71</v>
      </c>
      <c r="K3000" s="2" t="str">
        <f>HYPERLINK("http://collections.slsa.sa.gov.au/arthur/02250/BRG347_2165.htm")</f>
        <v>http://collections.slsa.sa.gov.au/arthur/02250/BRG347_2165.htm</v>
      </c>
    </row>
    <row r="3001" spans="1:11" x14ac:dyDescent="0.25">
      <c r="A3001" t="s">
        <v>10537</v>
      </c>
      <c r="B3001" s="1" t="str">
        <f>HYPERLINK("https://www.catalog.slsa.sa.gov.au/record=b2111526")</f>
        <v>https://www.catalog.slsa.sa.gov.au/record=b2111526</v>
      </c>
      <c r="C3001" s="1" t="str">
        <f>HYPERLINK("https://www.catalog.slsa.sa.gov.au/xrecord=b2111526")</f>
        <v>https://www.catalog.slsa.sa.gov.au/xrecord=b2111526</v>
      </c>
      <c r="D3001" t="s">
        <v>66</v>
      </c>
      <c r="E3001" t="s">
        <v>9432</v>
      </c>
      <c r="F3001">
        <v>1960</v>
      </c>
      <c r="G3001" t="s">
        <v>121</v>
      </c>
      <c r="H3001" t="s">
        <v>10538</v>
      </c>
      <c r="I3001" t="s">
        <v>9434</v>
      </c>
      <c r="J3001" t="s">
        <v>71</v>
      </c>
      <c r="K3001" s="2" t="str">
        <f>HYPERLINK("http://collections.slsa.sa.gov.au/arthur/02250/BRG347_2166.htm")</f>
        <v>http://collections.slsa.sa.gov.au/arthur/02250/BRG347_2166.htm</v>
      </c>
    </row>
    <row r="3002" spans="1:11" x14ac:dyDescent="0.25">
      <c r="A3002" t="s">
        <v>10539</v>
      </c>
      <c r="B3002" s="1" t="str">
        <f>HYPERLINK("https://www.catalog.slsa.sa.gov.au/record=b2111527")</f>
        <v>https://www.catalog.slsa.sa.gov.au/record=b2111527</v>
      </c>
      <c r="C3002" s="1" t="str">
        <f>HYPERLINK("https://www.catalog.slsa.sa.gov.au/xrecord=b2111527")</f>
        <v>https://www.catalog.slsa.sa.gov.au/xrecord=b2111527</v>
      </c>
      <c r="D3002" t="s">
        <v>66</v>
      </c>
      <c r="E3002" t="s">
        <v>9519</v>
      </c>
      <c r="F3002">
        <v>1960</v>
      </c>
      <c r="G3002" t="s">
        <v>121</v>
      </c>
      <c r="H3002" t="s">
        <v>10540</v>
      </c>
      <c r="I3002" t="s">
        <v>9521</v>
      </c>
      <c r="J3002" t="s">
        <v>71</v>
      </c>
      <c r="K3002" s="2" t="str">
        <f>HYPERLINK("http://collections.slsa.sa.gov.au/arthur/02250/BRG347_2167.htm")</f>
        <v>http://collections.slsa.sa.gov.au/arthur/02250/BRG347_2167.htm</v>
      </c>
    </row>
    <row r="3003" spans="1:11" x14ac:dyDescent="0.25">
      <c r="A3003" t="s">
        <v>10541</v>
      </c>
      <c r="B3003" s="1" t="str">
        <f>HYPERLINK("https://www.catalog.slsa.sa.gov.au/record=b2111528")</f>
        <v>https://www.catalog.slsa.sa.gov.au/record=b2111528</v>
      </c>
      <c r="C3003" s="1" t="str">
        <f>HYPERLINK("https://www.catalog.slsa.sa.gov.au/xrecord=b2111528")</f>
        <v>https://www.catalog.slsa.sa.gov.au/xrecord=b2111528</v>
      </c>
      <c r="D3003" t="s">
        <v>66</v>
      </c>
      <c r="E3003" t="s">
        <v>9382</v>
      </c>
      <c r="F3003">
        <v>1960</v>
      </c>
      <c r="G3003" t="s">
        <v>121</v>
      </c>
      <c r="H3003" t="s">
        <v>10542</v>
      </c>
      <c r="I3003" t="s">
        <v>8327</v>
      </c>
      <c r="J3003" t="s">
        <v>71</v>
      </c>
      <c r="K3003" s="2" t="str">
        <f>HYPERLINK("http://collections.slsa.sa.gov.au/arthur/02250/BRG347_2168.htm")</f>
        <v>http://collections.slsa.sa.gov.au/arthur/02250/BRG347_2168.htm</v>
      </c>
    </row>
    <row r="3004" spans="1:11" x14ac:dyDescent="0.25">
      <c r="A3004" t="s">
        <v>10543</v>
      </c>
      <c r="B3004" s="1" t="str">
        <f>HYPERLINK("https://www.catalog.slsa.sa.gov.au/record=b2111529")</f>
        <v>https://www.catalog.slsa.sa.gov.au/record=b2111529</v>
      </c>
      <c r="C3004" s="1" t="str">
        <f>HYPERLINK("https://www.catalog.slsa.sa.gov.au/xrecord=b2111529")</f>
        <v>https://www.catalog.slsa.sa.gov.au/xrecord=b2111529</v>
      </c>
      <c r="D3004" t="s">
        <v>66</v>
      </c>
      <c r="E3004" t="s">
        <v>10544</v>
      </c>
      <c r="F3004">
        <v>1960</v>
      </c>
      <c r="G3004" t="s">
        <v>121</v>
      </c>
      <c r="H3004" t="s">
        <v>10545</v>
      </c>
      <c r="I3004" t="s">
        <v>10496</v>
      </c>
      <c r="J3004" t="s">
        <v>71</v>
      </c>
      <c r="K3004" s="2" t="str">
        <f>HYPERLINK("http://collections.slsa.sa.gov.au/arthur/02250/BRG347_2169.htm")</f>
        <v>http://collections.slsa.sa.gov.au/arthur/02250/BRG347_2169.htm</v>
      </c>
    </row>
    <row r="3005" spans="1:11" x14ac:dyDescent="0.25">
      <c r="A3005" t="s">
        <v>10546</v>
      </c>
      <c r="B3005" s="1" t="str">
        <f>HYPERLINK("https://www.catalog.slsa.sa.gov.au/record=b2111530")</f>
        <v>https://www.catalog.slsa.sa.gov.au/record=b2111530</v>
      </c>
      <c r="C3005" s="1" t="str">
        <f>HYPERLINK("https://www.catalog.slsa.sa.gov.au/xrecord=b2111530")</f>
        <v>https://www.catalog.slsa.sa.gov.au/xrecord=b2111530</v>
      </c>
      <c r="D3005" t="s">
        <v>66</v>
      </c>
      <c r="E3005" t="s">
        <v>9432</v>
      </c>
      <c r="F3005">
        <v>1960</v>
      </c>
      <c r="G3005" t="s">
        <v>121</v>
      </c>
      <c r="H3005" t="s">
        <v>10547</v>
      </c>
      <c r="I3005" t="s">
        <v>9434</v>
      </c>
      <c r="J3005" t="s">
        <v>71</v>
      </c>
      <c r="K3005" s="2" t="str">
        <f>HYPERLINK("http://collections.slsa.sa.gov.au/arthur/02250/BRG347_2170.htm")</f>
        <v>http://collections.slsa.sa.gov.au/arthur/02250/BRG347_2170.htm</v>
      </c>
    </row>
    <row r="3006" spans="1:11" x14ac:dyDescent="0.25">
      <c r="A3006" t="s">
        <v>10548</v>
      </c>
      <c r="B3006" s="1" t="str">
        <f>HYPERLINK("https://www.catalog.slsa.sa.gov.au/record=b2111531")</f>
        <v>https://www.catalog.slsa.sa.gov.au/record=b2111531</v>
      </c>
      <c r="C3006" s="1" t="str">
        <f>HYPERLINK("https://www.catalog.slsa.sa.gov.au/xrecord=b2111531")</f>
        <v>https://www.catalog.slsa.sa.gov.au/xrecord=b2111531</v>
      </c>
      <c r="D3006" t="s">
        <v>66</v>
      </c>
      <c r="E3006" t="s">
        <v>10549</v>
      </c>
      <c r="F3006">
        <v>1960</v>
      </c>
      <c r="G3006" t="s">
        <v>121</v>
      </c>
      <c r="H3006" t="s">
        <v>10550</v>
      </c>
      <c r="I3006" t="s">
        <v>10551</v>
      </c>
      <c r="J3006" t="s">
        <v>71</v>
      </c>
      <c r="K3006" s="2" t="str">
        <f>HYPERLINK("http://collections.slsa.sa.gov.au/arthur/02250/BRG347_2171.htm")</f>
        <v>http://collections.slsa.sa.gov.au/arthur/02250/BRG347_2171.htm</v>
      </c>
    </row>
    <row r="3007" spans="1:11" x14ac:dyDescent="0.25">
      <c r="A3007" t="s">
        <v>10552</v>
      </c>
      <c r="B3007" s="1" t="str">
        <f>HYPERLINK("https://www.catalog.slsa.sa.gov.au/record=b2111532")</f>
        <v>https://www.catalog.slsa.sa.gov.au/record=b2111532</v>
      </c>
      <c r="C3007" s="1" t="str">
        <f>HYPERLINK("https://www.catalog.slsa.sa.gov.au/xrecord=b2111532")</f>
        <v>https://www.catalog.slsa.sa.gov.au/xrecord=b2111532</v>
      </c>
      <c r="D3007" t="s">
        <v>66</v>
      </c>
      <c r="E3007" t="s">
        <v>10524</v>
      </c>
      <c r="F3007">
        <v>1960</v>
      </c>
      <c r="G3007" t="s">
        <v>121</v>
      </c>
      <c r="H3007" t="s">
        <v>10553</v>
      </c>
      <c r="I3007" t="s">
        <v>10526</v>
      </c>
      <c r="J3007" t="s">
        <v>71</v>
      </c>
      <c r="K3007" s="2" t="str">
        <f>HYPERLINK("http://collections.slsa.sa.gov.au/arthur/02250/BRG347_2172.htm")</f>
        <v>http://collections.slsa.sa.gov.au/arthur/02250/BRG347_2172.htm</v>
      </c>
    </row>
    <row r="3008" spans="1:11" x14ac:dyDescent="0.25">
      <c r="A3008" t="s">
        <v>10554</v>
      </c>
      <c r="B3008" s="1" t="str">
        <f>HYPERLINK("https://www.catalog.slsa.sa.gov.au/record=b2111534")</f>
        <v>https://www.catalog.slsa.sa.gov.au/record=b2111534</v>
      </c>
      <c r="C3008" s="1" t="str">
        <f>HYPERLINK("https://www.catalog.slsa.sa.gov.au/xrecord=b2111534")</f>
        <v>https://www.catalog.slsa.sa.gov.au/xrecord=b2111534</v>
      </c>
      <c r="D3008" t="s">
        <v>66</v>
      </c>
      <c r="E3008" t="s">
        <v>10524</v>
      </c>
      <c r="F3008">
        <v>1960</v>
      </c>
      <c r="G3008" t="s">
        <v>121</v>
      </c>
      <c r="H3008" t="s">
        <v>10555</v>
      </c>
      <c r="I3008" t="s">
        <v>10526</v>
      </c>
      <c r="J3008" t="s">
        <v>71</v>
      </c>
      <c r="K3008" s="2" t="str">
        <f>HYPERLINK("http://collections.slsa.sa.gov.au/arthur/02250/BRG347_2174.htm")</f>
        <v>http://collections.slsa.sa.gov.au/arthur/02250/BRG347_2174.htm</v>
      </c>
    </row>
    <row r="3009" spans="1:11" x14ac:dyDescent="0.25">
      <c r="A3009" t="s">
        <v>10556</v>
      </c>
      <c r="B3009" s="1" t="str">
        <f>HYPERLINK("https://www.catalog.slsa.sa.gov.au/record=b2112097")</f>
        <v>https://www.catalog.slsa.sa.gov.au/record=b2112097</v>
      </c>
      <c r="C3009" s="1" t="str">
        <f>HYPERLINK("https://www.catalog.slsa.sa.gov.au/xrecord=b2112097")</f>
        <v>https://www.catalog.slsa.sa.gov.au/xrecord=b2112097</v>
      </c>
      <c r="D3009" t="s">
        <v>66</v>
      </c>
      <c r="E3009" t="s">
        <v>6463</v>
      </c>
      <c r="F3009">
        <v>1960</v>
      </c>
      <c r="G3009" t="s">
        <v>121</v>
      </c>
      <c r="H3009" t="s">
        <v>10557</v>
      </c>
      <c r="I3009" t="s">
        <v>10558</v>
      </c>
      <c r="J3009" t="s">
        <v>71</v>
      </c>
      <c r="K3009" s="2" t="str">
        <f>HYPERLINK("http://collections.slsa.sa.gov.au/arthur/02750/BRG347_2527.htm")</f>
        <v>http://collections.slsa.sa.gov.au/arthur/02750/BRG347_2527.htm</v>
      </c>
    </row>
    <row r="3010" spans="1:11" x14ac:dyDescent="0.25">
      <c r="A3010" t="s">
        <v>10559</v>
      </c>
      <c r="B3010" s="1" t="str">
        <f>HYPERLINK("https://www.catalog.slsa.sa.gov.au/record=b2112098")</f>
        <v>https://www.catalog.slsa.sa.gov.au/record=b2112098</v>
      </c>
      <c r="C3010" s="1" t="str">
        <f>HYPERLINK("https://www.catalog.slsa.sa.gov.au/xrecord=b2112098")</f>
        <v>https://www.catalog.slsa.sa.gov.au/xrecord=b2112098</v>
      </c>
      <c r="D3010" t="s">
        <v>66</v>
      </c>
      <c r="E3010" t="s">
        <v>10560</v>
      </c>
      <c r="F3010">
        <v>1960</v>
      </c>
      <c r="G3010" t="s">
        <v>121</v>
      </c>
      <c r="H3010" t="s">
        <v>10561</v>
      </c>
      <c r="I3010" t="s">
        <v>7346</v>
      </c>
      <c r="J3010" t="s">
        <v>71</v>
      </c>
      <c r="K3010" s="2" t="str">
        <f>HYPERLINK("http://collections.slsa.sa.gov.au/arthur/02750/BRG347_2528.htm")</f>
        <v>http://collections.slsa.sa.gov.au/arthur/02750/BRG347_2528.htm</v>
      </c>
    </row>
    <row r="3011" spans="1:11" x14ac:dyDescent="0.25">
      <c r="A3011" t="s">
        <v>10562</v>
      </c>
      <c r="B3011" s="1" t="str">
        <f>HYPERLINK("https://www.catalog.slsa.sa.gov.au/record=b2112103")</f>
        <v>https://www.catalog.slsa.sa.gov.au/record=b2112103</v>
      </c>
      <c r="C3011" s="1" t="str">
        <f>HYPERLINK("https://www.catalog.slsa.sa.gov.au/xrecord=b2112103")</f>
        <v>https://www.catalog.slsa.sa.gov.au/xrecord=b2112103</v>
      </c>
      <c r="D3011" t="s">
        <v>66</v>
      </c>
      <c r="E3011" t="s">
        <v>10563</v>
      </c>
      <c r="F3011">
        <v>1960</v>
      </c>
      <c r="G3011" t="s">
        <v>121</v>
      </c>
      <c r="H3011" t="s">
        <v>10564</v>
      </c>
      <c r="I3011" t="s">
        <v>7346</v>
      </c>
      <c r="J3011" t="s">
        <v>71</v>
      </c>
      <c r="K3011" s="2" t="str">
        <f>HYPERLINK("http://collections.slsa.sa.gov.au/arthur/02750/BRG347_2533.htm")</f>
        <v>http://collections.slsa.sa.gov.au/arthur/02750/BRG347_2533.htm</v>
      </c>
    </row>
    <row r="3012" spans="1:11" x14ac:dyDescent="0.25">
      <c r="A3012" t="s">
        <v>10565</v>
      </c>
      <c r="B3012" s="1" t="str">
        <f>HYPERLINK("https://www.catalog.slsa.sa.gov.au/record=b2112180")</f>
        <v>https://www.catalog.slsa.sa.gov.au/record=b2112180</v>
      </c>
      <c r="C3012" s="1" t="str">
        <f>HYPERLINK("https://www.catalog.slsa.sa.gov.au/xrecord=b2112180")</f>
        <v>https://www.catalog.slsa.sa.gov.au/xrecord=b2112180</v>
      </c>
      <c r="D3012" t="s">
        <v>66</v>
      </c>
      <c r="E3012" t="s">
        <v>10566</v>
      </c>
      <c r="F3012">
        <v>1960</v>
      </c>
      <c r="G3012" t="s">
        <v>121</v>
      </c>
      <c r="H3012" t="s">
        <v>10567</v>
      </c>
      <c r="I3012" t="s">
        <v>10568</v>
      </c>
      <c r="J3012" t="s">
        <v>71</v>
      </c>
      <c r="K3012" s="2" t="str">
        <f>HYPERLINK("http://collections.slsa.sa.gov.au/arthur/02750/BRG347_2613.htm")</f>
        <v>http://collections.slsa.sa.gov.au/arthur/02750/BRG347_2613.htm</v>
      </c>
    </row>
    <row r="3013" spans="1:11" x14ac:dyDescent="0.25">
      <c r="A3013" t="s">
        <v>10569</v>
      </c>
      <c r="B3013" s="1" t="str">
        <f>HYPERLINK("https://www.catalog.slsa.sa.gov.au/record=b2112181")</f>
        <v>https://www.catalog.slsa.sa.gov.au/record=b2112181</v>
      </c>
      <c r="C3013" s="1" t="str">
        <f>HYPERLINK("https://www.catalog.slsa.sa.gov.au/xrecord=b2112181")</f>
        <v>https://www.catalog.slsa.sa.gov.au/xrecord=b2112181</v>
      </c>
      <c r="D3013" t="s">
        <v>66</v>
      </c>
      <c r="E3013" t="s">
        <v>8688</v>
      </c>
      <c r="F3013">
        <v>1960</v>
      </c>
      <c r="G3013" t="s">
        <v>121</v>
      </c>
      <c r="H3013" t="s">
        <v>10570</v>
      </c>
      <c r="I3013" t="s">
        <v>8690</v>
      </c>
      <c r="J3013" t="s">
        <v>71</v>
      </c>
      <c r="K3013" s="2" t="str">
        <f>HYPERLINK("http://collections.slsa.sa.gov.au/arthur/02750/BRG347_2614.htm")</f>
        <v>http://collections.slsa.sa.gov.au/arthur/02750/BRG347_2614.htm</v>
      </c>
    </row>
    <row r="3014" spans="1:11" x14ac:dyDescent="0.25">
      <c r="A3014" t="s">
        <v>10571</v>
      </c>
      <c r="B3014" s="1" t="str">
        <f>HYPERLINK("https://www.catalog.slsa.sa.gov.au/record=b2112182")</f>
        <v>https://www.catalog.slsa.sa.gov.au/record=b2112182</v>
      </c>
      <c r="C3014" s="1" t="str">
        <f>HYPERLINK("https://www.catalog.slsa.sa.gov.au/xrecord=b2112182")</f>
        <v>https://www.catalog.slsa.sa.gov.au/xrecord=b2112182</v>
      </c>
      <c r="D3014" t="s">
        <v>66</v>
      </c>
      <c r="E3014" t="s">
        <v>8688</v>
      </c>
      <c r="F3014">
        <v>1960</v>
      </c>
      <c r="G3014" t="s">
        <v>121</v>
      </c>
      <c r="H3014" t="s">
        <v>10572</v>
      </c>
      <c r="I3014" t="s">
        <v>8690</v>
      </c>
      <c r="J3014" t="s">
        <v>71</v>
      </c>
      <c r="K3014" s="2" t="str">
        <f>HYPERLINK("http://collections.slsa.sa.gov.au/arthur/02750/BRG347_2615.htm")</f>
        <v>http://collections.slsa.sa.gov.au/arthur/02750/BRG347_2615.htm</v>
      </c>
    </row>
    <row r="3015" spans="1:11" x14ac:dyDescent="0.25">
      <c r="A3015" t="s">
        <v>10573</v>
      </c>
      <c r="B3015" s="1" t="str">
        <f>HYPERLINK("https://www.catalog.slsa.sa.gov.au/record=b2112183")</f>
        <v>https://www.catalog.slsa.sa.gov.au/record=b2112183</v>
      </c>
      <c r="C3015" s="1" t="str">
        <f>HYPERLINK("https://www.catalog.slsa.sa.gov.au/xrecord=b2112183")</f>
        <v>https://www.catalog.slsa.sa.gov.au/xrecord=b2112183</v>
      </c>
      <c r="D3015" t="s">
        <v>66</v>
      </c>
      <c r="E3015" t="s">
        <v>8688</v>
      </c>
      <c r="F3015">
        <v>1960</v>
      </c>
      <c r="G3015" t="s">
        <v>121</v>
      </c>
      <c r="H3015" t="s">
        <v>10570</v>
      </c>
      <c r="I3015" t="s">
        <v>8690</v>
      </c>
      <c r="J3015" t="s">
        <v>71</v>
      </c>
      <c r="K3015" s="2" t="str">
        <f>HYPERLINK("http://collections.slsa.sa.gov.au/arthur/02750/BRG347_2616.htm")</f>
        <v>http://collections.slsa.sa.gov.au/arthur/02750/BRG347_2616.htm</v>
      </c>
    </row>
    <row r="3016" spans="1:11" x14ac:dyDescent="0.25">
      <c r="A3016" t="s">
        <v>10574</v>
      </c>
      <c r="B3016" s="1" t="str">
        <f>HYPERLINK("https://www.catalog.slsa.sa.gov.au/record=b2112184")</f>
        <v>https://www.catalog.slsa.sa.gov.au/record=b2112184</v>
      </c>
      <c r="C3016" s="1" t="str">
        <f>HYPERLINK("https://www.catalog.slsa.sa.gov.au/xrecord=b2112184")</f>
        <v>https://www.catalog.slsa.sa.gov.au/xrecord=b2112184</v>
      </c>
      <c r="D3016" t="s">
        <v>66</v>
      </c>
      <c r="E3016" t="s">
        <v>10575</v>
      </c>
      <c r="F3016">
        <v>1960</v>
      </c>
      <c r="G3016" t="s">
        <v>121</v>
      </c>
      <c r="H3016" t="s">
        <v>10576</v>
      </c>
      <c r="I3016" t="s">
        <v>10577</v>
      </c>
      <c r="J3016" t="s">
        <v>71</v>
      </c>
      <c r="K3016" s="2" t="str">
        <f>HYPERLINK("http://collections.slsa.sa.gov.au/arthur/02750/BRG347_2617.htm")</f>
        <v>http://collections.slsa.sa.gov.au/arthur/02750/BRG347_2617.htm</v>
      </c>
    </row>
    <row r="3017" spans="1:11" x14ac:dyDescent="0.25">
      <c r="A3017" t="s">
        <v>10578</v>
      </c>
      <c r="B3017" s="1" t="str">
        <f>HYPERLINK("https://www.catalog.slsa.sa.gov.au/record=b2112185")</f>
        <v>https://www.catalog.slsa.sa.gov.au/record=b2112185</v>
      </c>
      <c r="C3017" s="1" t="str">
        <f>HYPERLINK("https://www.catalog.slsa.sa.gov.au/xrecord=b2112185")</f>
        <v>https://www.catalog.slsa.sa.gov.au/xrecord=b2112185</v>
      </c>
      <c r="D3017" t="s">
        <v>66</v>
      </c>
      <c r="E3017" t="s">
        <v>10579</v>
      </c>
      <c r="F3017">
        <v>1960</v>
      </c>
      <c r="G3017" t="s">
        <v>121</v>
      </c>
      <c r="H3017" t="s">
        <v>10580</v>
      </c>
      <c r="I3017" t="s">
        <v>10581</v>
      </c>
      <c r="J3017" t="s">
        <v>71</v>
      </c>
      <c r="K3017" s="2" t="str">
        <f>HYPERLINK("http://collections.slsa.sa.gov.au/arthur/02750/BRG347_2618.htm")</f>
        <v>http://collections.slsa.sa.gov.au/arthur/02750/BRG347_2618.htm</v>
      </c>
    </row>
    <row r="3018" spans="1:11" x14ac:dyDescent="0.25">
      <c r="A3018" t="s">
        <v>10582</v>
      </c>
      <c r="B3018" s="1" t="str">
        <f>HYPERLINK("https://www.catalog.slsa.sa.gov.au/record=b2112186")</f>
        <v>https://www.catalog.slsa.sa.gov.au/record=b2112186</v>
      </c>
      <c r="C3018" s="1" t="str">
        <f>HYPERLINK("https://www.catalog.slsa.sa.gov.au/xrecord=b2112186")</f>
        <v>https://www.catalog.slsa.sa.gov.au/xrecord=b2112186</v>
      </c>
      <c r="D3018" t="s">
        <v>66</v>
      </c>
      <c r="E3018" t="s">
        <v>10583</v>
      </c>
      <c r="F3018">
        <v>1960</v>
      </c>
      <c r="G3018" t="s">
        <v>121</v>
      </c>
      <c r="H3018" t="s">
        <v>10584</v>
      </c>
      <c r="I3018" t="s">
        <v>10585</v>
      </c>
      <c r="J3018" t="s">
        <v>71</v>
      </c>
      <c r="K3018" s="2" t="str">
        <f>HYPERLINK("http://collections.slsa.sa.gov.au/arthur/02750/BRG347_2619.htm")</f>
        <v>http://collections.slsa.sa.gov.au/arthur/02750/BRG347_2619.htm</v>
      </c>
    </row>
    <row r="3019" spans="1:11" x14ac:dyDescent="0.25">
      <c r="A3019" t="s">
        <v>10586</v>
      </c>
      <c r="B3019" s="1" t="str">
        <f>HYPERLINK("https://www.catalog.slsa.sa.gov.au/record=b2112187")</f>
        <v>https://www.catalog.slsa.sa.gov.au/record=b2112187</v>
      </c>
      <c r="C3019" s="1" t="str">
        <f>HYPERLINK("https://www.catalog.slsa.sa.gov.au/xrecord=b2112187")</f>
        <v>https://www.catalog.slsa.sa.gov.au/xrecord=b2112187</v>
      </c>
      <c r="D3019" t="s">
        <v>66</v>
      </c>
      <c r="E3019" t="s">
        <v>7267</v>
      </c>
      <c r="F3019">
        <v>1960</v>
      </c>
      <c r="G3019" t="s">
        <v>121</v>
      </c>
      <c r="H3019" t="s">
        <v>10587</v>
      </c>
      <c r="I3019" t="s">
        <v>10588</v>
      </c>
      <c r="J3019" t="s">
        <v>71</v>
      </c>
      <c r="K3019" s="2" t="str">
        <f>HYPERLINK("http://collections.slsa.sa.gov.au/arthur/02750/BRG347_2620.htm")</f>
        <v>http://collections.slsa.sa.gov.au/arthur/02750/BRG347_2620.htm</v>
      </c>
    </row>
    <row r="3020" spans="1:11" x14ac:dyDescent="0.25">
      <c r="A3020" t="s">
        <v>10589</v>
      </c>
      <c r="B3020" s="1" t="str">
        <f>HYPERLINK("https://www.catalog.slsa.sa.gov.au/record=b2112188")</f>
        <v>https://www.catalog.slsa.sa.gov.au/record=b2112188</v>
      </c>
      <c r="C3020" s="1" t="str">
        <f>HYPERLINK("https://www.catalog.slsa.sa.gov.au/xrecord=b2112188")</f>
        <v>https://www.catalog.slsa.sa.gov.au/xrecord=b2112188</v>
      </c>
      <c r="D3020" t="s">
        <v>66</v>
      </c>
      <c r="E3020" t="s">
        <v>10583</v>
      </c>
      <c r="F3020">
        <v>1960</v>
      </c>
      <c r="G3020" t="s">
        <v>121</v>
      </c>
      <c r="H3020" t="s">
        <v>10590</v>
      </c>
      <c r="I3020" t="s">
        <v>10585</v>
      </c>
      <c r="J3020" t="s">
        <v>71</v>
      </c>
      <c r="K3020" s="2" t="str">
        <f>HYPERLINK("http://collections.slsa.sa.gov.au/arthur/02750/BRG347_2621.htm")</f>
        <v>http://collections.slsa.sa.gov.au/arthur/02750/BRG347_2621.htm</v>
      </c>
    </row>
    <row r="3021" spans="1:11" x14ac:dyDescent="0.25">
      <c r="A3021" t="s">
        <v>10591</v>
      </c>
      <c r="B3021" s="1" t="str">
        <f>HYPERLINK("https://www.catalog.slsa.sa.gov.au/record=b2112189")</f>
        <v>https://www.catalog.slsa.sa.gov.au/record=b2112189</v>
      </c>
      <c r="C3021" s="1" t="str">
        <f>HYPERLINK("https://www.catalog.slsa.sa.gov.au/xrecord=b2112189")</f>
        <v>https://www.catalog.slsa.sa.gov.au/xrecord=b2112189</v>
      </c>
      <c r="D3021" t="s">
        <v>66</v>
      </c>
      <c r="E3021" t="s">
        <v>10592</v>
      </c>
      <c r="F3021">
        <v>1960</v>
      </c>
      <c r="G3021" t="s">
        <v>121</v>
      </c>
      <c r="H3021" t="s">
        <v>10593</v>
      </c>
      <c r="I3021" t="s">
        <v>10594</v>
      </c>
      <c r="J3021" t="s">
        <v>71</v>
      </c>
      <c r="K3021" s="2" t="str">
        <f>HYPERLINK("http://collections.slsa.sa.gov.au/arthur/02750/BRG347_2622.htm")</f>
        <v>http://collections.slsa.sa.gov.au/arthur/02750/BRG347_2622.htm</v>
      </c>
    </row>
    <row r="3022" spans="1:11" x14ac:dyDescent="0.25">
      <c r="A3022" t="s">
        <v>10595</v>
      </c>
      <c r="B3022" s="1" t="str">
        <f>HYPERLINK("https://www.catalog.slsa.sa.gov.au/record=b2112190")</f>
        <v>https://www.catalog.slsa.sa.gov.au/record=b2112190</v>
      </c>
      <c r="C3022" s="1" t="str">
        <f>HYPERLINK("https://www.catalog.slsa.sa.gov.au/xrecord=b2112190")</f>
        <v>https://www.catalog.slsa.sa.gov.au/xrecord=b2112190</v>
      </c>
      <c r="D3022" t="s">
        <v>66</v>
      </c>
      <c r="E3022" t="s">
        <v>10596</v>
      </c>
      <c r="F3022">
        <v>1960</v>
      </c>
      <c r="G3022" t="s">
        <v>121</v>
      </c>
      <c r="H3022" t="s">
        <v>10597</v>
      </c>
      <c r="I3022" t="s">
        <v>10598</v>
      </c>
      <c r="J3022" t="s">
        <v>71</v>
      </c>
      <c r="K3022" s="2" t="str">
        <f>HYPERLINK("http://collections.slsa.sa.gov.au/arthur/02750/BRG347_2623.htm")</f>
        <v>http://collections.slsa.sa.gov.au/arthur/02750/BRG347_2623.htm</v>
      </c>
    </row>
    <row r="3023" spans="1:11" x14ac:dyDescent="0.25">
      <c r="A3023" t="s">
        <v>10599</v>
      </c>
      <c r="B3023" s="1" t="str">
        <f>HYPERLINK("https://www.catalog.slsa.sa.gov.au/record=b2112191")</f>
        <v>https://www.catalog.slsa.sa.gov.au/record=b2112191</v>
      </c>
      <c r="C3023" s="1" t="str">
        <f>HYPERLINK("https://www.catalog.slsa.sa.gov.au/xrecord=b2112191")</f>
        <v>https://www.catalog.slsa.sa.gov.au/xrecord=b2112191</v>
      </c>
      <c r="D3023" t="s">
        <v>66</v>
      </c>
      <c r="E3023" t="s">
        <v>10575</v>
      </c>
      <c r="F3023">
        <v>1960</v>
      </c>
      <c r="G3023" t="s">
        <v>121</v>
      </c>
      <c r="H3023" t="s">
        <v>10600</v>
      </c>
      <c r="I3023" t="s">
        <v>10601</v>
      </c>
      <c r="J3023" t="s">
        <v>71</v>
      </c>
      <c r="K3023" s="2" t="str">
        <f>HYPERLINK("http://collections.slsa.sa.gov.au/arthur/02750/BRG347_2624.htm")</f>
        <v>http://collections.slsa.sa.gov.au/arthur/02750/BRG347_2624.htm</v>
      </c>
    </row>
    <row r="3024" spans="1:11" x14ac:dyDescent="0.25">
      <c r="A3024" t="s">
        <v>10602</v>
      </c>
      <c r="B3024" s="1" t="str">
        <f>HYPERLINK("https://www.catalog.slsa.sa.gov.au/record=b2112192")</f>
        <v>https://www.catalog.slsa.sa.gov.au/record=b2112192</v>
      </c>
      <c r="C3024" s="1" t="str">
        <f>HYPERLINK("https://www.catalog.slsa.sa.gov.au/xrecord=b2112192")</f>
        <v>https://www.catalog.slsa.sa.gov.au/xrecord=b2112192</v>
      </c>
      <c r="D3024" t="s">
        <v>66</v>
      </c>
      <c r="E3024" t="s">
        <v>6489</v>
      </c>
      <c r="F3024">
        <v>1960</v>
      </c>
      <c r="G3024" t="s">
        <v>121</v>
      </c>
      <c r="H3024" t="s">
        <v>10603</v>
      </c>
      <c r="I3024" t="s">
        <v>10604</v>
      </c>
      <c r="J3024" t="s">
        <v>71</v>
      </c>
      <c r="K3024" s="2" t="str">
        <f>HYPERLINK("http://collections.slsa.sa.gov.au/arthur/02750/BRG347_2625.htm")</f>
        <v>http://collections.slsa.sa.gov.au/arthur/02750/BRG347_2625.htm</v>
      </c>
    </row>
    <row r="3025" spans="1:11" x14ac:dyDescent="0.25">
      <c r="A3025" t="s">
        <v>10605</v>
      </c>
      <c r="B3025" s="1" t="str">
        <f>HYPERLINK("https://www.catalog.slsa.sa.gov.au/record=b2112193")</f>
        <v>https://www.catalog.slsa.sa.gov.au/record=b2112193</v>
      </c>
      <c r="C3025" s="1" t="str">
        <f>HYPERLINK("https://www.catalog.slsa.sa.gov.au/xrecord=b2112193")</f>
        <v>https://www.catalog.slsa.sa.gov.au/xrecord=b2112193</v>
      </c>
      <c r="D3025" t="s">
        <v>66</v>
      </c>
      <c r="E3025" t="s">
        <v>10606</v>
      </c>
      <c r="F3025">
        <v>1960</v>
      </c>
      <c r="G3025" t="s">
        <v>121</v>
      </c>
      <c r="H3025" t="s">
        <v>10607</v>
      </c>
      <c r="I3025" t="s">
        <v>10608</v>
      </c>
      <c r="J3025" t="s">
        <v>71</v>
      </c>
      <c r="K3025" s="2" t="str">
        <f>HYPERLINK("http://collections.slsa.sa.gov.au/arthur/02750/BRG347_2626.htm")</f>
        <v>http://collections.slsa.sa.gov.au/arthur/02750/BRG347_2626.htm</v>
      </c>
    </row>
    <row r="3026" spans="1:11" x14ac:dyDescent="0.25">
      <c r="A3026" t="s">
        <v>10609</v>
      </c>
      <c r="B3026" s="1" t="str">
        <f>HYPERLINK("https://www.catalog.slsa.sa.gov.au/record=b2112194")</f>
        <v>https://www.catalog.slsa.sa.gov.au/record=b2112194</v>
      </c>
      <c r="C3026" s="1" t="str">
        <f>HYPERLINK("https://www.catalog.slsa.sa.gov.au/xrecord=b2112194")</f>
        <v>https://www.catalog.slsa.sa.gov.au/xrecord=b2112194</v>
      </c>
      <c r="D3026" t="s">
        <v>66</v>
      </c>
      <c r="E3026" t="s">
        <v>10610</v>
      </c>
      <c r="F3026">
        <v>1960</v>
      </c>
      <c r="G3026" t="s">
        <v>121</v>
      </c>
      <c r="H3026" t="s">
        <v>10611</v>
      </c>
      <c r="I3026" t="s">
        <v>10612</v>
      </c>
      <c r="J3026" t="s">
        <v>71</v>
      </c>
      <c r="K3026" s="2" t="str">
        <f>HYPERLINK("http://collections.slsa.sa.gov.au/arthur/02750/BRG347_2627.htm")</f>
        <v>http://collections.slsa.sa.gov.au/arthur/02750/BRG347_2627.htm</v>
      </c>
    </row>
    <row r="3027" spans="1:11" x14ac:dyDescent="0.25">
      <c r="A3027" t="s">
        <v>10613</v>
      </c>
      <c r="B3027" s="1" t="str">
        <f>HYPERLINK("https://www.catalog.slsa.sa.gov.au/record=b2112195")</f>
        <v>https://www.catalog.slsa.sa.gov.au/record=b2112195</v>
      </c>
      <c r="C3027" s="1" t="str">
        <f>HYPERLINK("https://www.catalog.slsa.sa.gov.au/xrecord=b2112195")</f>
        <v>https://www.catalog.slsa.sa.gov.au/xrecord=b2112195</v>
      </c>
      <c r="D3027" t="s">
        <v>66</v>
      </c>
      <c r="E3027" t="s">
        <v>10614</v>
      </c>
      <c r="F3027">
        <v>1960</v>
      </c>
      <c r="G3027" t="s">
        <v>121</v>
      </c>
      <c r="H3027" t="s">
        <v>10615</v>
      </c>
      <c r="I3027" t="s">
        <v>10616</v>
      </c>
      <c r="J3027" t="s">
        <v>71</v>
      </c>
      <c r="K3027" s="2" t="str">
        <f>HYPERLINK("http://collections.slsa.sa.gov.au/arthur/02750/BRG347_2628.htm")</f>
        <v>http://collections.slsa.sa.gov.au/arthur/02750/BRG347_2628.htm</v>
      </c>
    </row>
    <row r="3028" spans="1:11" x14ac:dyDescent="0.25">
      <c r="A3028" t="s">
        <v>10617</v>
      </c>
      <c r="B3028" s="1" t="str">
        <f>HYPERLINK("https://www.catalog.slsa.sa.gov.au/record=b2112196")</f>
        <v>https://www.catalog.slsa.sa.gov.au/record=b2112196</v>
      </c>
      <c r="C3028" s="1" t="str">
        <f>HYPERLINK("https://www.catalog.slsa.sa.gov.au/xrecord=b2112196")</f>
        <v>https://www.catalog.slsa.sa.gov.au/xrecord=b2112196</v>
      </c>
      <c r="D3028" t="s">
        <v>66</v>
      </c>
      <c r="E3028" t="s">
        <v>6489</v>
      </c>
      <c r="F3028">
        <v>1960</v>
      </c>
      <c r="G3028" t="s">
        <v>121</v>
      </c>
      <c r="H3028" t="s">
        <v>10618</v>
      </c>
      <c r="I3028" t="s">
        <v>6410</v>
      </c>
      <c r="J3028" t="s">
        <v>71</v>
      </c>
      <c r="K3028" s="2" t="str">
        <f>HYPERLINK("http://collections.slsa.sa.gov.au/arthur/02750/BRG347_2629.htm")</f>
        <v>http://collections.slsa.sa.gov.au/arthur/02750/BRG347_2629.htm</v>
      </c>
    </row>
    <row r="3029" spans="1:11" x14ac:dyDescent="0.25">
      <c r="A3029" t="s">
        <v>10619</v>
      </c>
      <c r="B3029" s="1" t="str">
        <f>HYPERLINK("https://www.catalog.slsa.sa.gov.au/record=b2112197")</f>
        <v>https://www.catalog.slsa.sa.gov.au/record=b2112197</v>
      </c>
      <c r="C3029" s="1" t="str">
        <f>HYPERLINK("https://www.catalog.slsa.sa.gov.au/xrecord=b2112197")</f>
        <v>https://www.catalog.slsa.sa.gov.au/xrecord=b2112197</v>
      </c>
      <c r="D3029" t="s">
        <v>66</v>
      </c>
      <c r="E3029" t="s">
        <v>10620</v>
      </c>
      <c r="F3029">
        <v>1960</v>
      </c>
      <c r="G3029" t="s">
        <v>121</v>
      </c>
      <c r="H3029" t="s">
        <v>10621</v>
      </c>
      <c r="I3029" t="s">
        <v>10622</v>
      </c>
      <c r="J3029" t="s">
        <v>71</v>
      </c>
      <c r="K3029" s="2" t="str">
        <f>HYPERLINK("http://collections.slsa.sa.gov.au/arthur/02750/BRG347_2630.htm")</f>
        <v>http://collections.slsa.sa.gov.au/arthur/02750/BRG347_2630.htm</v>
      </c>
    </row>
    <row r="3030" spans="1:11" x14ac:dyDescent="0.25">
      <c r="A3030" t="s">
        <v>10623</v>
      </c>
      <c r="B3030" s="1" t="str">
        <f>HYPERLINK("https://www.catalog.slsa.sa.gov.au/record=b2112198")</f>
        <v>https://www.catalog.slsa.sa.gov.au/record=b2112198</v>
      </c>
      <c r="C3030" s="1" t="str">
        <f>HYPERLINK("https://www.catalog.slsa.sa.gov.au/xrecord=b2112198")</f>
        <v>https://www.catalog.slsa.sa.gov.au/xrecord=b2112198</v>
      </c>
      <c r="D3030" t="s">
        <v>66</v>
      </c>
      <c r="E3030" t="s">
        <v>10624</v>
      </c>
      <c r="F3030">
        <v>1960</v>
      </c>
      <c r="G3030" t="s">
        <v>121</v>
      </c>
      <c r="H3030" t="s">
        <v>10625</v>
      </c>
      <c r="I3030" t="s">
        <v>10626</v>
      </c>
      <c r="J3030" t="s">
        <v>71</v>
      </c>
      <c r="K3030" s="2" t="str">
        <f>HYPERLINK("http://collections.slsa.sa.gov.au/arthur/02750/BRG347_2631.htm")</f>
        <v>http://collections.slsa.sa.gov.au/arthur/02750/BRG347_2631.htm</v>
      </c>
    </row>
    <row r="3031" spans="1:11" x14ac:dyDescent="0.25">
      <c r="A3031" t="s">
        <v>10627</v>
      </c>
      <c r="B3031" s="1" t="str">
        <f>HYPERLINK("https://www.catalog.slsa.sa.gov.au/record=b2112199")</f>
        <v>https://www.catalog.slsa.sa.gov.au/record=b2112199</v>
      </c>
      <c r="C3031" s="1" t="str">
        <f>HYPERLINK("https://www.catalog.slsa.sa.gov.au/xrecord=b2112199")</f>
        <v>https://www.catalog.slsa.sa.gov.au/xrecord=b2112199</v>
      </c>
      <c r="D3031" t="s">
        <v>66</v>
      </c>
      <c r="E3031" t="s">
        <v>10628</v>
      </c>
      <c r="F3031">
        <v>1960</v>
      </c>
      <c r="G3031" t="s">
        <v>121</v>
      </c>
      <c r="H3031" t="s">
        <v>10629</v>
      </c>
      <c r="I3031" t="s">
        <v>10630</v>
      </c>
      <c r="J3031" t="s">
        <v>71</v>
      </c>
      <c r="K3031" s="2" t="str">
        <f>HYPERLINK("http://collections.slsa.sa.gov.au/arthur/02750/BRG347_2632.htm")</f>
        <v>http://collections.slsa.sa.gov.au/arthur/02750/BRG347_2632.htm</v>
      </c>
    </row>
    <row r="3032" spans="1:11" x14ac:dyDescent="0.25">
      <c r="A3032" t="s">
        <v>10631</v>
      </c>
      <c r="B3032" s="1" t="str">
        <f>HYPERLINK("https://www.catalog.slsa.sa.gov.au/record=b2112213")</f>
        <v>https://www.catalog.slsa.sa.gov.au/record=b2112213</v>
      </c>
      <c r="C3032" s="1" t="str">
        <f>HYPERLINK("https://www.catalog.slsa.sa.gov.au/xrecord=b2112213")</f>
        <v>https://www.catalog.slsa.sa.gov.au/xrecord=b2112213</v>
      </c>
      <c r="D3032" t="s">
        <v>66</v>
      </c>
      <c r="E3032" t="s">
        <v>10632</v>
      </c>
      <c r="F3032">
        <v>1960</v>
      </c>
      <c r="G3032" t="s">
        <v>121</v>
      </c>
      <c r="H3032" t="s">
        <v>10633</v>
      </c>
      <c r="I3032" t="s">
        <v>10634</v>
      </c>
      <c r="J3032" t="s">
        <v>71</v>
      </c>
      <c r="K3032" s="2" t="str">
        <f>HYPERLINK("http://collections.slsa.sa.gov.au/arthur/02750/BRG347_2645.htm")</f>
        <v>http://collections.slsa.sa.gov.au/arthur/02750/BRG347_2645.htm</v>
      </c>
    </row>
    <row r="3033" spans="1:11" x14ac:dyDescent="0.25">
      <c r="A3033" t="s">
        <v>10635</v>
      </c>
      <c r="B3033" s="1" t="str">
        <f>HYPERLINK("https://www.catalog.slsa.sa.gov.au/record=b2112214")</f>
        <v>https://www.catalog.slsa.sa.gov.au/record=b2112214</v>
      </c>
      <c r="C3033" s="1" t="str">
        <f>HYPERLINK("https://www.catalog.slsa.sa.gov.au/xrecord=b2112214")</f>
        <v>https://www.catalog.slsa.sa.gov.au/xrecord=b2112214</v>
      </c>
      <c r="D3033" t="s">
        <v>66</v>
      </c>
      <c r="E3033" t="s">
        <v>10636</v>
      </c>
      <c r="F3033">
        <v>1960</v>
      </c>
      <c r="G3033" t="s">
        <v>121</v>
      </c>
      <c r="H3033" t="s">
        <v>10637</v>
      </c>
      <c r="I3033" t="s">
        <v>10638</v>
      </c>
      <c r="J3033" t="s">
        <v>71</v>
      </c>
      <c r="K3033" s="2" t="str">
        <f>HYPERLINK("http://collections.slsa.sa.gov.au/arthur/02750/BRG347_2646.htm")</f>
        <v>http://collections.slsa.sa.gov.au/arthur/02750/BRG347_2646.htm</v>
      </c>
    </row>
    <row r="3034" spans="1:11" x14ac:dyDescent="0.25">
      <c r="A3034" t="s">
        <v>10639</v>
      </c>
      <c r="B3034" s="1" t="str">
        <f>HYPERLINK("https://www.catalog.slsa.sa.gov.au/record=b2112215")</f>
        <v>https://www.catalog.slsa.sa.gov.au/record=b2112215</v>
      </c>
      <c r="C3034" s="1" t="str">
        <f>HYPERLINK("https://www.catalog.slsa.sa.gov.au/xrecord=b2112215")</f>
        <v>https://www.catalog.slsa.sa.gov.au/xrecord=b2112215</v>
      </c>
      <c r="D3034" t="s">
        <v>66</v>
      </c>
      <c r="E3034" t="s">
        <v>10636</v>
      </c>
      <c r="F3034">
        <v>1960</v>
      </c>
      <c r="G3034" t="s">
        <v>121</v>
      </c>
      <c r="H3034" t="s">
        <v>10640</v>
      </c>
      <c r="I3034" t="s">
        <v>10638</v>
      </c>
      <c r="J3034" t="s">
        <v>71</v>
      </c>
      <c r="K3034" s="2" t="str">
        <f>HYPERLINK("http://collections.slsa.sa.gov.au/arthur/02750/BRG347_2647.htm")</f>
        <v>http://collections.slsa.sa.gov.au/arthur/02750/BRG347_2647.htm</v>
      </c>
    </row>
    <row r="3035" spans="1:11" x14ac:dyDescent="0.25">
      <c r="A3035" t="s">
        <v>10641</v>
      </c>
      <c r="B3035" s="1" t="str">
        <f>HYPERLINK("https://www.catalog.slsa.sa.gov.au/record=b2112216")</f>
        <v>https://www.catalog.slsa.sa.gov.au/record=b2112216</v>
      </c>
      <c r="C3035" s="1" t="str">
        <f>HYPERLINK("https://www.catalog.slsa.sa.gov.au/xrecord=b2112216")</f>
        <v>https://www.catalog.slsa.sa.gov.au/xrecord=b2112216</v>
      </c>
      <c r="D3035" t="s">
        <v>66</v>
      </c>
      <c r="E3035" t="s">
        <v>10636</v>
      </c>
      <c r="F3035">
        <v>1960</v>
      </c>
      <c r="G3035" t="s">
        <v>121</v>
      </c>
      <c r="H3035" t="s">
        <v>10642</v>
      </c>
      <c r="I3035" t="s">
        <v>10643</v>
      </c>
      <c r="J3035" t="s">
        <v>71</v>
      </c>
      <c r="K3035" s="2" t="str">
        <f>HYPERLINK("http://collections.slsa.sa.gov.au/arthur/02750/BRG347_2648.htm")</f>
        <v>http://collections.slsa.sa.gov.au/arthur/02750/BRG347_2648.htm</v>
      </c>
    </row>
    <row r="3036" spans="1:11" x14ac:dyDescent="0.25">
      <c r="A3036" t="s">
        <v>10644</v>
      </c>
      <c r="B3036" s="1" t="str">
        <f>HYPERLINK("https://www.catalog.slsa.sa.gov.au/record=b2112218")</f>
        <v>https://www.catalog.slsa.sa.gov.au/record=b2112218</v>
      </c>
      <c r="C3036" s="1" t="str">
        <f>HYPERLINK("https://www.catalog.slsa.sa.gov.au/xrecord=b2112218")</f>
        <v>https://www.catalog.slsa.sa.gov.au/xrecord=b2112218</v>
      </c>
      <c r="D3036" t="s">
        <v>66</v>
      </c>
      <c r="E3036" t="s">
        <v>10636</v>
      </c>
      <c r="F3036">
        <v>1960</v>
      </c>
      <c r="G3036" t="s">
        <v>121</v>
      </c>
      <c r="H3036" t="s">
        <v>10645</v>
      </c>
      <c r="I3036" t="s">
        <v>10646</v>
      </c>
      <c r="J3036" t="s">
        <v>71</v>
      </c>
      <c r="K3036" s="2" t="str">
        <f>HYPERLINK("http://collections.slsa.sa.gov.au/arthur/02750/BRG347_2650.htm")</f>
        <v>http://collections.slsa.sa.gov.au/arthur/02750/BRG347_2650.htm</v>
      </c>
    </row>
    <row r="3037" spans="1:11" x14ac:dyDescent="0.25">
      <c r="A3037" t="s">
        <v>10647</v>
      </c>
      <c r="B3037" s="1" t="str">
        <f>HYPERLINK("https://www.catalog.slsa.sa.gov.au/record=b2112219")</f>
        <v>https://www.catalog.slsa.sa.gov.au/record=b2112219</v>
      </c>
      <c r="C3037" s="1" t="str">
        <f>HYPERLINK("https://www.catalog.slsa.sa.gov.au/xrecord=b2112219")</f>
        <v>https://www.catalog.slsa.sa.gov.au/xrecord=b2112219</v>
      </c>
      <c r="D3037" t="s">
        <v>66</v>
      </c>
      <c r="E3037" t="s">
        <v>10636</v>
      </c>
      <c r="F3037">
        <v>1960</v>
      </c>
      <c r="G3037" t="s">
        <v>121</v>
      </c>
      <c r="H3037" t="s">
        <v>10648</v>
      </c>
      <c r="I3037" t="s">
        <v>10649</v>
      </c>
      <c r="J3037" t="s">
        <v>71</v>
      </c>
      <c r="K3037" s="2" t="str">
        <f>HYPERLINK("http://collections.slsa.sa.gov.au/arthur/02750/BRG347_2651.htm")</f>
        <v>http://collections.slsa.sa.gov.au/arthur/02750/BRG347_2651.htm</v>
      </c>
    </row>
    <row r="3038" spans="1:11" x14ac:dyDescent="0.25">
      <c r="A3038" t="s">
        <v>10650</v>
      </c>
      <c r="B3038" s="1" t="str">
        <f>HYPERLINK("https://www.catalog.slsa.sa.gov.au/record=b2112222")</f>
        <v>https://www.catalog.slsa.sa.gov.au/record=b2112222</v>
      </c>
      <c r="C3038" s="1" t="str">
        <f>HYPERLINK("https://www.catalog.slsa.sa.gov.au/xrecord=b2112222")</f>
        <v>https://www.catalog.slsa.sa.gov.au/xrecord=b2112222</v>
      </c>
      <c r="D3038" t="s">
        <v>66</v>
      </c>
      <c r="E3038" t="s">
        <v>10386</v>
      </c>
      <c r="F3038">
        <v>1960</v>
      </c>
      <c r="G3038" t="s">
        <v>121</v>
      </c>
      <c r="H3038" t="s">
        <v>10651</v>
      </c>
      <c r="I3038" t="s">
        <v>10649</v>
      </c>
      <c r="J3038" t="s">
        <v>71</v>
      </c>
      <c r="K3038" s="2" t="str">
        <f>HYPERLINK("http://collections.slsa.sa.gov.au/arthur/02750/BRG347_2654.htm")</f>
        <v>http://collections.slsa.sa.gov.au/arthur/02750/BRG347_2654.htm</v>
      </c>
    </row>
    <row r="3039" spans="1:11" x14ac:dyDescent="0.25">
      <c r="A3039" t="s">
        <v>10652</v>
      </c>
      <c r="B3039" s="1" t="str">
        <f>HYPERLINK("https://www.catalog.slsa.sa.gov.au/record=b2112224")</f>
        <v>https://www.catalog.slsa.sa.gov.au/record=b2112224</v>
      </c>
      <c r="C3039" s="1" t="str">
        <f>HYPERLINK("https://www.catalog.slsa.sa.gov.au/xrecord=b2112224")</f>
        <v>https://www.catalog.slsa.sa.gov.au/xrecord=b2112224</v>
      </c>
      <c r="D3039" t="s">
        <v>66</v>
      </c>
      <c r="E3039" t="s">
        <v>10653</v>
      </c>
      <c r="F3039">
        <v>1960</v>
      </c>
      <c r="G3039" t="s">
        <v>121</v>
      </c>
      <c r="H3039" t="s">
        <v>10654</v>
      </c>
      <c r="I3039" t="s">
        <v>6410</v>
      </c>
      <c r="J3039" t="s">
        <v>71</v>
      </c>
      <c r="K3039" s="2" t="str">
        <f>HYPERLINK("http://collections.slsa.sa.gov.au/arthur/02750/BRG347_2656.htm")</f>
        <v>http://collections.slsa.sa.gov.au/arthur/02750/BRG347_2656.htm</v>
      </c>
    </row>
    <row r="3040" spans="1:11" x14ac:dyDescent="0.25">
      <c r="A3040" t="s">
        <v>10655</v>
      </c>
      <c r="B3040" s="1" t="str">
        <f>HYPERLINK("https://www.catalog.slsa.sa.gov.au/record=b2112225")</f>
        <v>https://www.catalog.slsa.sa.gov.au/record=b2112225</v>
      </c>
      <c r="C3040" s="1" t="str">
        <f>HYPERLINK("https://www.catalog.slsa.sa.gov.au/xrecord=b2112225")</f>
        <v>https://www.catalog.slsa.sa.gov.au/xrecord=b2112225</v>
      </c>
      <c r="D3040" t="s">
        <v>66</v>
      </c>
      <c r="E3040" t="s">
        <v>10656</v>
      </c>
      <c r="F3040">
        <v>1960</v>
      </c>
      <c r="G3040" t="s">
        <v>121</v>
      </c>
      <c r="H3040" t="s">
        <v>10657</v>
      </c>
      <c r="I3040" t="s">
        <v>10658</v>
      </c>
      <c r="J3040" t="s">
        <v>71</v>
      </c>
      <c r="K3040" s="2" t="str">
        <f>HYPERLINK("http://collections.slsa.sa.gov.au/arthur/02750/BRG347_2657.htm")</f>
        <v>http://collections.slsa.sa.gov.au/arthur/02750/BRG347_2657.htm</v>
      </c>
    </row>
    <row r="3041" spans="1:11" x14ac:dyDescent="0.25">
      <c r="A3041" t="s">
        <v>10659</v>
      </c>
      <c r="B3041" s="1" t="str">
        <f>HYPERLINK("https://www.catalog.slsa.sa.gov.au/record=b2112226")</f>
        <v>https://www.catalog.slsa.sa.gov.au/record=b2112226</v>
      </c>
      <c r="C3041" s="1" t="str">
        <f>HYPERLINK("https://www.catalog.slsa.sa.gov.au/xrecord=b2112226")</f>
        <v>https://www.catalog.slsa.sa.gov.au/xrecord=b2112226</v>
      </c>
      <c r="D3041" t="s">
        <v>66</v>
      </c>
      <c r="E3041" t="s">
        <v>10660</v>
      </c>
      <c r="F3041">
        <v>1960</v>
      </c>
      <c r="G3041" t="s">
        <v>121</v>
      </c>
      <c r="H3041" t="s">
        <v>10661</v>
      </c>
      <c r="I3041" t="s">
        <v>10662</v>
      </c>
      <c r="J3041" t="s">
        <v>71</v>
      </c>
      <c r="K3041" s="2" t="str">
        <f>HYPERLINK("http://collections.slsa.sa.gov.au/arthur/02750/BRG347_2658.htm")</f>
        <v>http://collections.slsa.sa.gov.au/arthur/02750/BRG347_2658.htm</v>
      </c>
    </row>
    <row r="3042" spans="1:11" x14ac:dyDescent="0.25">
      <c r="A3042" t="s">
        <v>10663</v>
      </c>
      <c r="B3042" s="1" t="str">
        <f>HYPERLINK("https://www.catalog.slsa.sa.gov.au/record=b2112685")</f>
        <v>https://www.catalog.slsa.sa.gov.au/record=b2112685</v>
      </c>
      <c r="C3042" s="1" t="str">
        <f>HYPERLINK("https://www.catalog.slsa.sa.gov.au/xrecord=b2112685")</f>
        <v>https://www.catalog.slsa.sa.gov.au/xrecord=b2112685</v>
      </c>
      <c r="D3042" t="s">
        <v>66</v>
      </c>
      <c r="E3042" t="s">
        <v>10664</v>
      </c>
      <c r="F3042">
        <v>1960</v>
      </c>
      <c r="G3042" t="s">
        <v>121</v>
      </c>
      <c r="H3042" t="s">
        <v>10665</v>
      </c>
      <c r="I3042" t="s">
        <v>10666</v>
      </c>
      <c r="J3042" t="s">
        <v>71</v>
      </c>
      <c r="K3042" s="2" t="str">
        <f>HYPERLINK("http://collections.slsa.sa.gov.au/arthur/03000/BRG347_2938.htm")</f>
        <v>http://collections.slsa.sa.gov.au/arthur/03000/BRG347_2938.htm</v>
      </c>
    </row>
    <row r="3043" spans="1:11" x14ac:dyDescent="0.25">
      <c r="A3043" t="s">
        <v>10667</v>
      </c>
      <c r="B3043" s="1" t="str">
        <f>HYPERLINK("https://www.catalog.slsa.sa.gov.au/record=b2112812")</f>
        <v>https://www.catalog.slsa.sa.gov.au/record=b2112812</v>
      </c>
      <c r="C3043" s="1" t="str">
        <f>HYPERLINK("https://www.catalog.slsa.sa.gov.au/xrecord=b2112812")</f>
        <v>https://www.catalog.slsa.sa.gov.au/xrecord=b2112812</v>
      </c>
      <c r="D3043" t="s">
        <v>66</v>
      </c>
      <c r="E3043" t="s">
        <v>10668</v>
      </c>
      <c r="F3043">
        <v>1960</v>
      </c>
      <c r="G3043" t="s">
        <v>121</v>
      </c>
      <c r="H3043" t="s">
        <v>10669</v>
      </c>
      <c r="I3043" t="s">
        <v>10670</v>
      </c>
      <c r="J3043" t="s">
        <v>71</v>
      </c>
      <c r="K3043" s="2" t="str">
        <f>HYPERLINK("http://collections.slsa.sa.gov.au/arthur/03250/BRG347_3048.htm")</f>
        <v>http://collections.slsa.sa.gov.au/arthur/03250/BRG347_3048.htm</v>
      </c>
    </row>
    <row r="3044" spans="1:11" x14ac:dyDescent="0.25">
      <c r="A3044" t="s">
        <v>10671</v>
      </c>
      <c r="B3044" s="1" t="str">
        <f>HYPERLINK("https://www.catalog.slsa.sa.gov.au/record=b2112827")</f>
        <v>https://www.catalog.slsa.sa.gov.au/record=b2112827</v>
      </c>
      <c r="C3044" s="1" t="str">
        <f>HYPERLINK("https://www.catalog.slsa.sa.gov.au/xrecord=b2112827")</f>
        <v>https://www.catalog.slsa.sa.gov.au/xrecord=b2112827</v>
      </c>
      <c r="D3044" t="s">
        <v>66</v>
      </c>
      <c r="E3044" t="s">
        <v>10672</v>
      </c>
      <c r="F3044">
        <v>1960</v>
      </c>
      <c r="G3044" t="s">
        <v>121</v>
      </c>
      <c r="H3044" t="s">
        <v>10673</v>
      </c>
      <c r="I3044" t="s">
        <v>10674</v>
      </c>
      <c r="J3044" t="s">
        <v>71</v>
      </c>
      <c r="K3044" s="2" t="str">
        <f>HYPERLINK("http://collections.slsa.sa.gov.au/arthur/03250/BRG347_3063.htm")</f>
        <v>http://collections.slsa.sa.gov.au/arthur/03250/BRG347_3063.htm</v>
      </c>
    </row>
    <row r="3045" spans="1:11" x14ac:dyDescent="0.25">
      <c r="A3045" t="s">
        <v>10675</v>
      </c>
      <c r="B3045" s="1" t="str">
        <f>HYPERLINK("https://www.catalog.slsa.sa.gov.au/record=b2112828")</f>
        <v>https://www.catalog.slsa.sa.gov.au/record=b2112828</v>
      </c>
      <c r="C3045" s="1" t="str">
        <f>HYPERLINK("https://www.catalog.slsa.sa.gov.au/xrecord=b2112828")</f>
        <v>https://www.catalog.slsa.sa.gov.au/xrecord=b2112828</v>
      </c>
      <c r="D3045" t="s">
        <v>66</v>
      </c>
      <c r="E3045" t="s">
        <v>10668</v>
      </c>
      <c r="F3045">
        <v>1960</v>
      </c>
      <c r="G3045" t="s">
        <v>121</v>
      </c>
      <c r="H3045" t="s">
        <v>10676</v>
      </c>
      <c r="I3045" t="s">
        <v>10677</v>
      </c>
      <c r="J3045" t="s">
        <v>71</v>
      </c>
      <c r="K3045" s="2" t="str">
        <f>HYPERLINK("http://collections.slsa.sa.gov.au/arthur/03250/BRG347_3064.htm")</f>
        <v>http://collections.slsa.sa.gov.au/arthur/03250/BRG347_3064.htm</v>
      </c>
    </row>
    <row r="3046" spans="1:11" x14ac:dyDescent="0.25">
      <c r="A3046" t="s">
        <v>10678</v>
      </c>
      <c r="B3046" s="1" t="str">
        <f>HYPERLINK("https://www.catalog.slsa.sa.gov.au/record=b2112871")</f>
        <v>https://www.catalog.slsa.sa.gov.au/record=b2112871</v>
      </c>
      <c r="C3046" s="1" t="str">
        <f>HYPERLINK("https://www.catalog.slsa.sa.gov.au/xrecord=b2112871")</f>
        <v>https://www.catalog.slsa.sa.gov.au/xrecord=b2112871</v>
      </c>
      <c r="D3046" t="s">
        <v>66</v>
      </c>
      <c r="E3046" t="s">
        <v>10679</v>
      </c>
      <c r="F3046">
        <v>1960</v>
      </c>
      <c r="G3046" t="s">
        <v>121</v>
      </c>
      <c r="H3046" t="s">
        <v>10680</v>
      </c>
      <c r="I3046" t="s">
        <v>10681</v>
      </c>
      <c r="J3046" t="s">
        <v>71</v>
      </c>
      <c r="K3046" s="2" t="str">
        <f>HYPERLINK("http://collections.slsa.sa.gov.au/arthur/03250/BRG347_3108.htm")</f>
        <v>http://collections.slsa.sa.gov.au/arthur/03250/BRG347_3108.htm</v>
      </c>
    </row>
    <row r="3047" spans="1:11" x14ac:dyDescent="0.25">
      <c r="A3047" t="s">
        <v>10682</v>
      </c>
      <c r="B3047" s="1" t="str">
        <f>HYPERLINK("https://www.catalog.slsa.sa.gov.au/record=b2113260")</f>
        <v>https://www.catalog.slsa.sa.gov.au/record=b2113260</v>
      </c>
      <c r="C3047" s="1" t="str">
        <f>HYPERLINK("https://www.catalog.slsa.sa.gov.au/xrecord=b2113260")</f>
        <v>https://www.catalog.slsa.sa.gov.au/xrecord=b2113260</v>
      </c>
      <c r="D3047" t="s">
        <v>66</v>
      </c>
      <c r="E3047" t="s">
        <v>10683</v>
      </c>
      <c r="F3047">
        <v>1960</v>
      </c>
      <c r="G3047" t="s">
        <v>121</v>
      </c>
      <c r="H3047" t="s">
        <v>10684</v>
      </c>
      <c r="I3047" t="s">
        <v>10685</v>
      </c>
      <c r="J3047" t="s">
        <v>71</v>
      </c>
      <c r="K3047" s="2" t="str">
        <f>HYPERLINK("http://collections.slsa.sa.gov.au/arthur/03500/BRG347_3384.htm")</f>
        <v>http://collections.slsa.sa.gov.au/arthur/03500/BRG347_3384.htm</v>
      </c>
    </row>
    <row r="3048" spans="1:11" x14ac:dyDescent="0.25">
      <c r="A3048" t="s">
        <v>10686</v>
      </c>
      <c r="B3048" s="1" t="str">
        <f>HYPERLINK("https://www.catalog.slsa.sa.gov.au/record=b2113261")</f>
        <v>https://www.catalog.slsa.sa.gov.au/record=b2113261</v>
      </c>
      <c r="C3048" s="1" t="str">
        <f>HYPERLINK("https://www.catalog.slsa.sa.gov.au/xrecord=b2113261")</f>
        <v>https://www.catalog.slsa.sa.gov.au/xrecord=b2113261</v>
      </c>
      <c r="D3048" t="s">
        <v>66</v>
      </c>
      <c r="E3048" t="s">
        <v>10687</v>
      </c>
      <c r="F3048">
        <v>1960</v>
      </c>
      <c r="G3048" t="s">
        <v>121</v>
      </c>
      <c r="H3048" t="s">
        <v>10688</v>
      </c>
      <c r="I3048" t="s">
        <v>10689</v>
      </c>
      <c r="J3048" t="s">
        <v>71</v>
      </c>
      <c r="K3048" s="2" t="str">
        <f>HYPERLINK("http://collections.slsa.sa.gov.au/arthur/03500/BRG347_3385.htm")</f>
        <v>http://collections.slsa.sa.gov.au/arthur/03500/BRG347_3385.htm</v>
      </c>
    </row>
    <row r="3049" spans="1:11" x14ac:dyDescent="0.25">
      <c r="A3049" t="s">
        <v>10690</v>
      </c>
      <c r="B3049" s="1" t="str">
        <f>HYPERLINK("https://www.catalog.slsa.sa.gov.au/record=b2113262")</f>
        <v>https://www.catalog.slsa.sa.gov.au/record=b2113262</v>
      </c>
      <c r="C3049" s="1" t="str">
        <f>HYPERLINK("https://www.catalog.slsa.sa.gov.au/xrecord=b2113262")</f>
        <v>https://www.catalog.slsa.sa.gov.au/xrecord=b2113262</v>
      </c>
      <c r="D3049" t="s">
        <v>66</v>
      </c>
      <c r="E3049" t="s">
        <v>10691</v>
      </c>
      <c r="F3049">
        <v>1960</v>
      </c>
      <c r="G3049" t="s">
        <v>121</v>
      </c>
      <c r="H3049" t="s">
        <v>10692</v>
      </c>
      <c r="I3049" t="s">
        <v>10693</v>
      </c>
      <c r="J3049" t="s">
        <v>71</v>
      </c>
      <c r="K3049" s="2" t="str">
        <f>HYPERLINK("http://collections.slsa.sa.gov.au/arthur/03500/BRG347_3386.htm")</f>
        <v>http://collections.slsa.sa.gov.au/arthur/03500/BRG347_3386.htm</v>
      </c>
    </row>
    <row r="3050" spans="1:11" x14ac:dyDescent="0.25">
      <c r="A3050" t="s">
        <v>10694</v>
      </c>
      <c r="B3050" s="1" t="str">
        <f>HYPERLINK("https://www.catalog.slsa.sa.gov.au/record=b2113263")</f>
        <v>https://www.catalog.slsa.sa.gov.au/record=b2113263</v>
      </c>
      <c r="C3050" s="1" t="str">
        <f>HYPERLINK("https://www.catalog.slsa.sa.gov.au/xrecord=b2113263")</f>
        <v>https://www.catalog.slsa.sa.gov.au/xrecord=b2113263</v>
      </c>
      <c r="D3050" t="s">
        <v>66</v>
      </c>
      <c r="E3050" t="s">
        <v>10695</v>
      </c>
      <c r="F3050">
        <v>1960</v>
      </c>
      <c r="G3050" t="s">
        <v>121</v>
      </c>
      <c r="H3050" t="s">
        <v>10696</v>
      </c>
      <c r="I3050" t="s">
        <v>10697</v>
      </c>
      <c r="J3050" t="s">
        <v>71</v>
      </c>
      <c r="K3050" s="2" t="str">
        <f>HYPERLINK("http://collections.slsa.sa.gov.au/arthur/03500/BRG347_3387.htm")</f>
        <v>http://collections.slsa.sa.gov.au/arthur/03500/BRG347_3387.htm</v>
      </c>
    </row>
    <row r="3051" spans="1:11" x14ac:dyDescent="0.25">
      <c r="A3051" t="s">
        <v>10698</v>
      </c>
      <c r="B3051" s="1" t="str">
        <f>HYPERLINK("https://www.catalog.slsa.sa.gov.au/record=b2113264")</f>
        <v>https://www.catalog.slsa.sa.gov.au/record=b2113264</v>
      </c>
      <c r="C3051" s="1" t="str">
        <f>HYPERLINK("https://www.catalog.slsa.sa.gov.au/xrecord=b2113264")</f>
        <v>https://www.catalog.slsa.sa.gov.au/xrecord=b2113264</v>
      </c>
      <c r="D3051" t="s">
        <v>66</v>
      </c>
      <c r="E3051" t="s">
        <v>10699</v>
      </c>
      <c r="F3051">
        <v>1960</v>
      </c>
      <c r="G3051" t="s">
        <v>121</v>
      </c>
      <c r="H3051" t="s">
        <v>10700</v>
      </c>
      <c r="I3051" t="s">
        <v>10701</v>
      </c>
      <c r="J3051" t="s">
        <v>71</v>
      </c>
      <c r="K3051" s="2" t="str">
        <f>HYPERLINK("http://collections.slsa.sa.gov.au/arthur/03500/BRG347_3388.htm")</f>
        <v>http://collections.slsa.sa.gov.au/arthur/03500/BRG347_3388.htm</v>
      </c>
    </row>
    <row r="3052" spans="1:11" x14ac:dyDescent="0.25">
      <c r="A3052" t="s">
        <v>10702</v>
      </c>
      <c r="B3052" s="1" t="str">
        <f>HYPERLINK("https://www.catalog.slsa.sa.gov.au/record=b2113828")</f>
        <v>https://www.catalog.slsa.sa.gov.au/record=b2113828</v>
      </c>
      <c r="C3052" s="1" t="str">
        <f>HYPERLINK("https://www.catalog.slsa.sa.gov.au/xrecord=b2113828")</f>
        <v>https://www.catalog.slsa.sa.gov.au/xrecord=b2113828</v>
      </c>
      <c r="D3052" t="s">
        <v>66</v>
      </c>
      <c r="E3052" t="s">
        <v>10703</v>
      </c>
      <c r="F3052">
        <v>1960</v>
      </c>
      <c r="G3052" t="s">
        <v>121</v>
      </c>
      <c r="H3052" t="s">
        <v>10704</v>
      </c>
      <c r="I3052" t="s">
        <v>10705</v>
      </c>
      <c r="J3052" t="s">
        <v>71</v>
      </c>
      <c r="K3052" s="2" t="str">
        <f>HYPERLINK("http://collections.slsa.sa.gov.au/arthur/04000/BRG347_3855.htm")</f>
        <v>http://collections.slsa.sa.gov.au/arthur/04000/BRG347_3855.htm</v>
      </c>
    </row>
    <row r="3053" spans="1:11" x14ac:dyDescent="0.25">
      <c r="A3053" t="s">
        <v>10706</v>
      </c>
      <c r="B3053" s="1" t="str">
        <f>HYPERLINK("https://www.catalog.slsa.sa.gov.au/record=b2113831")</f>
        <v>https://www.catalog.slsa.sa.gov.au/record=b2113831</v>
      </c>
      <c r="C3053" s="1" t="str">
        <f>HYPERLINK("https://www.catalog.slsa.sa.gov.au/xrecord=b2113831")</f>
        <v>https://www.catalog.slsa.sa.gov.au/xrecord=b2113831</v>
      </c>
      <c r="D3053" t="s">
        <v>66</v>
      </c>
      <c r="E3053" t="s">
        <v>10707</v>
      </c>
      <c r="F3053">
        <v>1960</v>
      </c>
      <c r="G3053" t="s">
        <v>121</v>
      </c>
      <c r="H3053" t="s">
        <v>10708</v>
      </c>
      <c r="I3053" t="s">
        <v>10709</v>
      </c>
      <c r="J3053" t="s">
        <v>71</v>
      </c>
      <c r="K3053" s="2" t="str">
        <f>HYPERLINK("http://collections.slsa.sa.gov.au/arthur/04000/BRG347_3858.htm")</f>
        <v>http://collections.slsa.sa.gov.au/arthur/04000/BRG347_3858.htm</v>
      </c>
    </row>
    <row r="3054" spans="1:11" x14ac:dyDescent="0.25">
      <c r="A3054" t="s">
        <v>10710</v>
      </c>
      <c r="B3054" s="1" t="str">
        <f>HYPERLINK("https://www.catalog.slsa.sa.gov.au/record=b2113832")</f>
        <v>https://www.catalog.slsa.sa.gov.au/record=b2113832</v>
      </c>
      <c r="C3054" s="1" t="str">
        <f>HYPERLINK("https://www.catalog.slsa.sa.gov.au/xrecord=b2113832")</f>
        <v>https://www.catalog.slsa.sa.gov.au/xrecord=b2113832</v>
      </c>
      <c r="D3054" t="s">
        <v>66</v>
      </c>
      <c r="E3054" t="s">
        <v>10711</v>
      </c>
      <c r="F3054">
        <v>1960</v>
      </c>
      <c r="G3054" t="s">
        <v>121</v>
      </c>
      <c r="H3054" t="s">
        <v>10712</v>
      </c>
      <c r="I3054" t="s">
        <v>10713</v>
      </c>
      <c r="J3054" t="s">
        <v>71</v>
      </c>
      <c r="K3054" s="2" t="str">
        <f>HYPERLINK("http://collections.slsa.sa.gov.au/arthur/04000/BRG347_3859.htm")</f>
        <v>http://collections.slsa.sa.gov.au/arthur/04000/BRG347_3859.htm</v>
      </c>
    </row>
    <row r="3055" spans="1:11" x14ac:dyDescent="0.25">
      <c r="A3055" t="s">
        <v>10714</v>
      </c>
      <c r="B3055" s="1" t="str">
        <f>HYPERLINK("https://www.catalog.slsa.sa.gov.au/record=b2113833")</f>
        <v>https://www.catalog.slsa.sa.gov.au/record=b2113833</v>
      </c>
      <c r="C3055" s="1" t="str">
        <f>HYPERLINK("https://www.catalog.slsa.sa.gov.au/xrecord=b2113833")</f>
        <v>https://www.catalog.slsa.sa.gov.au/xrecord=b2113833</v>
      </c>
      <c r="D3055" t="s">
        <v>66</v>
      </c>
      <c r="E3055" t="s">
        <v>10715</v>
      </c>
      <c r="F3055">
        <v>1960</v>
      </c>
      <c r="G3055" t="s">
        <v>121</v>
      </c>
      <c r="H3055" t="s">
        <v>10716</v>
      </c>
      <c r="I3055" t="s">
        <v>10717</v>
      </c>
      <c r="J3055" t="s">
        <v>71</v>
      </c>
      <c r="K3055" s="2" t="str">
        <f>HYPERLINK("http://collections.slsa.sa.gov.au/arthur/04000/BRG347_3860.htm")</f>
        <v>http://collections.slsa.sa.gov.au/arthur/04000/BRG347_3860.htm</v>
      </c>
    </row>
    <row r="3056" spans="1:11" x14ac:dyDescent="0.25">
      <c r="A3056" t="s">
        <v>10718</v>
      </c>
      <c r="B3056" s="1" t="str">
        <f>HYPERLINK("https://www.catalog.slsa.sa.gov.au/record=b2113836")</f>
        <v>https://www.catalog.slsa.sa.gov.au/record=b2113836</v>
      </c>
      <c r="C3056" s="1" t="str">
        <f>HYPERLINK("https://www.catalog.slsa.sa.gov.au/xrecord=b2113836")</f>
        <v>https://www.catalog.slsa.sa.gov.au/xrecord=b2113836</v>
      </c>
      <c r="D3056" t="s">
        <v>66</v>
      </c>
      <c r="E3056" t="s">
        <v>10719</v>
      </c>
      <c r="F3056">
        <v>1960</v>
      </c>
      <c r="G3056" t="s">
        <v>121</v>
      </c>
      <c r="H3056" t="s">
        <v>10720</v>
      </c>
      <c r="I3056" t="s">
        <v>10721</v>
      </c>
      <c r="J3056" t="s">
        <v>71</v>
      </c>
      <c r="K3056" s="2" t="str">
        <f>HYPERLINK("http://collections.slsa.sa.gov.au/arthur/04000/BRG347_3863.htm")</f>
        <v>http://collections.slsa.sa.gov.au/arthur/04000/BRG347_3863.htm</v>
      </c>
    </row>
    <row r="3057" spans="1:11" x14ac:dyDescent="0.25">
      <c r="A3057" t="s">
        <v>10722</v>
      </c>
      <c r="B3057" s="1" t="str">
        <f>HYPERLINK("https://www.catalog.slsa.sa.gov.au/record=b2113837")</f>
        <v>https://www.catalog.slsa.sa.gov.au/record=b2113837</v>
      </c>
      <c r="C3057" s="1" t="str">
        <f>HYPERLINK("https://www.catalog.slsa.sa.gov.au/xrecord=b2113837")</f>
        <v>https://www.catalog.slsa.sa.gov.au/xrecord=b2113837</v>
      </c>
      <c r="D3057" t="s">
        <v>66</v>
      </c>
      <c r="E3057" t="s">
        <v>10723</v>
      </c>
      <c r="F3057">
        <v>1960</v>
      </c>
      <c r="G3057" t="s">
        <v>121</v>
      </c>
      <c r="H3057" t="s">
        <v>10724</v>
      </c>
      <c r="I3057" t="s">
        <v>10725</v>
      </c>
      <c r="J3057" t="s">
        <v>71</v>
      </c>
      <c r="K3057" s="2" t="str">
        <f>HYPERLINK("http://collections.slsa.sa.gov.au/arthur/04000/BRG347_3864.htm")</f>
        <v>http://collections.slsa.sa.gov.au/arthur/04000/BRG347_3864.htm</v>
      </c>
    </row>
    <row r="3058" spans="1:11" x14ac:dyDescent="0.25">
      <c r="A3058" t="s">
        <v>10726</v>
      </c>
      <c r="B3058" s="1" t="str">
        <f>HYPERLINK("https://www.catalog.slsa.sa.gov.au/record=b2113840")</f>
        <v>https://www.catalog.slsa.sa.gov.au/record=b2113840</v>
      </c>
      <c r="C3058" s="1" t="str">
        <f>HYPERLINK("https://www.catalog.slsa.sa.gov.au/xrecord=b2113840")</f>
        <v>https://www.catalog.slsa.sa.gov.au/xrecord=b2113840</v>
      </c>
      <c r="D3058" t="s">
        <v>66</v>
      </c>
      <c r="E3058" t="s">
        <v>10727</v>
      </c>
      <c r="F3058">
        <v>1960</v>
      </c>
      <c r="G3058" t="s">
        <v>121</v>
      </c>
      <c r="H3058" t="s">
        <v>10728</v>
      </c>
      <c r="I3058" t="s">
        <v>10729</v>
      </c>
      <c r="J3058" t="s">
        <v>71</v>
      </c>
      <c r="K3058" s="2" t="str">
        <f>HYPERLINK("http://collections.slsa.sa.gov.au/arthur/04000/BRG347_3865.htm")</f>
        <v>http://collections.slsa.sa.gov.au/arthur/04000/BRG347_3865.htm</v>
      </c>
    </row>
    <row r="3059" spans="1:11" x14ac:dyDescent="0.25">
      <c r="A3059" t="s">
        <v>10730</v>
      </c>
      <c r="B3059" s="1" t="str">
        <f>HYPERLINK("https://www.catalog.slsa.sa.gov.au/record=b2113841")</f>
        <v>https://www.catalog.slsa.sa.gov.au/record=b2113841</v>
      </c>
      <c r="C3059" s="1" t="str">
        <f>HYPERLINK("https://www.catalog.slsa.sa.gov.au/xrecord=b2113841")</f>
        <v>https://www.catalog.slsa.sa.gov.au/xrecord=b2113841</v>
      </c>
      <c r="D3059" t="s">
        <v>66</v>
      </c>
      <c r="E3059" t="s">
        <v>10731</v>
      </c>
      <c r="F3059">
        <v>1960</v>
      </c>
      <c r="G3059" t="s">
        <v>121</v>
      </c>
      <c r="H3059" t="s">
        <v>10732</v>
      </c>
      <c r="I3059" t="s">
        <v>10733</v>
      </c>
      <c r="J3059" t="s">
        <v>71</v>
      </c>
      <c r="K3059" s="2" t="str">
        <f>HYPERLINK("http://collections.slsa.sa.gov.au/arthur/04000/BRG347_3866.htm")</f>
        <v>http://collections.slsa.sa.gov.au/arthur/04000/BRG347_3866.htm</v>
      </c>
    </row>
    <row r="3060" spans="1:11" x14ac:dyDescent="0.25">
      <c r="A3060" t="s">
        <v>10734</v>
      </c>
      <c r="B3060" s="1" t="str">
        <f>HYPERLINK("https://www.catalog.slsa.sa.gov.au/record=b2113842")</f>
        <v>https://www.catalog.slsa.sa.gov.au/record=b2113842</v>
      </c>
      <c r="C3060" s="1" t="str">
        <f>HYPERLINK("https://www.catalog.slsa.sa.gov.au/xrecord=b2113842")</f>
        <v>https://www.catalog.slsa.sa.gov.au/xrecord=b2113842</v>
      </c>
      <c r="D3060" t="s">
        <v>66</v>
      </c>
      <c r="E3060" t="s">
        <v>6712</v>
      </c>
      <c r="F3060">
        <v>1960</v>
      </c>
      <c r="G3060" t="s">
        <v>121</v>
      </c>
      <c r="H3060" t="s">
        <v>10735</v>
      </c>
      <c r="I3060" t="s">
        <v>10736</v>
      </c>
      <c r="J3060" t="s">
        <v>71</v>
      </c>
      <c r="K3060" s="2" t="str">
        <f>HYPERLINK("http://collections.slsa.sa.gov.au/arthur/04000/BRG347_3867.htm")</f>
        <v>http://collections.slsa.sa.gov.au/arthur/04000/BRG347_3867.htm</v>
      </c>
    </row>
    <row r="3061" spans="1:11" x14ac:dyDescent="0.25">
      <c r="A3061" t="s">
        <v>10737</v>
      </c>
      <c r="B3061" s="1" t="str">
        <f>HYPERLINK("https://www.catalog.slsa.sa.gov.au/record=b2117815")</f>
        <v>https://www.catalog.slsa.sa.gov.au/record=b2117815</v>
      </c>
      <c r="C3061" s="1" t="str">
        <f>HYPERLINK("https://www.catalog.slsa.sa.gov.au/xrecord=b2117815")</f>
        <v>https://www.catalog.slsa.sa.gov.au/xrecord=b2117815</v>
      </c>
      <c r="D3061" t="s">
        <v>66</v>
      </c>
      <c r="E3061" t="s">
        <v>10738</v>
      </c>
      <c r="F3061">
        <v>1960</v>
      </c>
      <c r="G3061" t="s">
        <v>121</v>
      </c>
      <c r="H3061" t="s">
        <v>10739</v>
      </c>
      <c r="I3061" t="s">
        <v>10740</v>
      </c>
      <c r="J3061" t="s">
        <v>71</v>
      </c>
      <c r="K3061" s="2" t="str">
        <f>HYPERLINK("http://collections.slsa.sa.gov.au/arthur/04000/BRG347_3868.htm")</f>
        <v>http://collections.slsa.sa.gov.au/arthur/04000/BRG347_3868.htm</v>
      </c>
    </row>
    <row r="3062" spans="1:11" x14ac:dyDescent="0.25">
      <c r="A3062" t="s">
        <v>10741</v>
      </c>
      <c r="B3062" s="1" t="str">
        <f>HYPERLINK("https://www.catalog.slsa.sa.gov.au/record=b2113843")</f>
        <v>https://www.catalog.slsa.sa.gov.au/record=b2113843</v>
      </c>
      <c r="C3062" s="1" t="str">
        <f>HYPERLINK("https://www.catalog.slsa.sa.gov.au/xrecord=b2113843")</f>
        <v>https://www.catalog.slsa.sa.gov.au/xrecord=b2113843</v>
      </c>
      <c r="D3062" t="s">
        <v>66</v>
      </c>
      <c r="E3062" t="s">
        <v>10742</v>
      </c>
      <c r="F3062">
        <v>1960</v>
      </c>
      <c r="G3062" t="s">
        <v>121</v>
      </c>
      <c r="H3062" t="s">
        <v>10743</v>
      </c>
      <c r="I3062" t="s">
        <v>10744</v>
      </c>
      <c r="J3062" t="s">
        <v>71</v>
      </c>
      <c r="K3062" s="2" t="str">
        <f>HYPERLINK("http://collections.slsa.sa.gov.au/arthur/04000/BRG347_3869.htm")</f>
        <v>http://collections.slsa.sa.gov.au/arthur/04000/BRG347_3869.htm</v>
      </c>
    </row>
    <row r="3063" spans="1:11" x14ac:dyDescent="0.25">
      <c r="A3063" t="s">
        <v>10745</v>
      </c>
      <c r="B3063" s="1" t="str">
        <f>HYPERLINK("https://www.catalog.slsa.sa.gov.au/record=b2113845")</f>
        <v>https://www.catalog.slsa.sa.gov.au/record=b2113845</v>
      </c>
      <c r="C3063" s="1" t="str">
        <f>HYPERLINK("https://www.catalog.slsa.sa.gov.au/xrecord=b2113845")</f>
        <v>https://www.catalog.slsa.sa.gov.au/xrecord=b2113845</v>
      </c>
      <c r="D3063" t="s">
        <v>66</v>
      </c>
      <c r="E3063" t="s">
        <v>10746</v>
      </c>
      <c r="F3063">
        <v>1960</v>
      </c>
      <c r="G3063" t="s">
        <v>121</v>
      </c>
      <c r="H3063" t="s">
        <v>10747</v>
      </c>
      <c r="I3063" t="s">
        <v>10748</v>
      </c>
      <c r="J3063" t="s">
        <v>71</v>
      </c>
      <c r="K3063" s="2" t="str">
        <f>HYPERLINK("http://collections.slsa.sa.gov.au/arthur/04000/BRG347_3870.htm")</f>
        <v>http://collections.slsa.sa.gov.au/arthur/04000/BRG347_3870.htm</v>
      </c>
    </row>
    <row r="3064" spans="1:11" x14ac:dyDescent="0.25">
      <c r="A3064" t="s">
        <v>10749</v>
      </c>
      <c r="B3064" s="1" t="str">
        <f>HYPERLINK("https://www.catalog.slsa.sa.gov.au/record=b2113846")</f>
        <v>https://www.catalog.slsa.sa.gov.au/record=b2113846</v>
      </c>
      <c r="C3064" s="1" t="str">
        <f>HYPERLINK("https://www.catalog.slsa.sa.gov.au/xrecord=b2113846")</f>
        <v>https://www.catalog.slsa.sa.gov.au/xrecord=b2113846</v>
      </c>
      <c r="D3064" t="s">
        <v>66</v>
      </c>
      <c r="E3064" t="s">
        <v>10021</v>
      </c>
      <c r="F3064">
        <v>1960</v>
      </c>
      <c r="G3064" t="s">
        <v>121</v>
      </c>
      <c r="H3064" t="s">
        <v>10750</v>
      </c>
      <c r="I3064" t="s">
        <v>10023</v>
      </c>
      <c r="J3064" t="s">
        <v>71</v>
      </c>
      <c r="K3064" s="2" t="str">
        <f>HYPERLINK("http://collections.slsa.sa.gov.au/arthur/04000/BRG347_3871.htm")</f>
        <v>http://collections.slsa.sa.gov.au/arthur/04000/BRG347_3871.htm</v>
      </c>
    </row>
    <row r="3065" spans="1:11" x14ac:dyDescent="0.25">
      <c r="A3065" t="s">
        <v>10751</v>
      </c>
      <c r="B3065" s="1" t="str">
        <f>HYPERLINK("https://www.catalog.slsa.sa.gov.au/record=b2113848")</f>
        <v>https://www.catalog.slsa.sa.gov.au/record=b2113848</v>
      </c>
      <c r="C3065" s="1" t="str">
        <f>HYPERLINK("https://www.catalog.slsa.sa.gov.au/xrecord=b2113848")</f>
        <v>https://www.catalog.slsa.sa.gov.au/xrecord=b2113848</v>
      </c>
      <c r="D3065" t="s">
        <v>66</v>
      </c>
      <c r="E3065" t="s">
        <v>513</v>
      </c>
      <c r="F3065">
        <v>1960</v>
      </c>
      <c r="G3065" t="s">
        <v>121</v>
      </c>
      <c r="H3065" t="s">
        <v>10752</v>
      </c>
      <c r="I3065" t="s">
        <v>10753</v>
      </c>
      <c r="J3065" t="s">
        <v>71</v>
      </c>
      <c r="K3065" s="2" t="str">
        <f>HYPERLINK("http://collections.slsa.sa.gov.au/arthur/04000/BRG347_3872.htm")</f>
        <v>http://collections.slsa.sa.gov.au/arthur/04000/BRG347_3872.htm</v>
      </c>
    </row>
    <row r="3066" spans="1:11" x14ac:dyDescent="0.25">
      <c r="A3066" t="s">
        <v>10754</v>
      </c>
      <c r="B3066" s="1" t="str">
        <f>HYPERLINK("https://www.catalog.slsa.sa.gov.au/record=b2113849")</f>
        <v>https://www.catalog.slsa.sa.gov.au/record=b2113849</v>
      </c>
      <c r="C3066" s="1" t="str">
        <f>HYPERLINK("https://www.catalog.slsa.sa.gov.au/xrecord=b2113849")</f>
        <v>https://www.catalog.slsa.sa.gov.au/xrecord=b2113849</v>
      </c>
      <c r="D3066" t="s">
        <v>66</v>
      </c>
      <c r="E3066" t="s">
        <v>10755</v>
      </c>
      <c r="F3066">
        <v>1960</v>
      </c>
      <c r="G3066" t="s">
        <v>121</v>
      </c>
      <c r="H3066" t="s">
        <v>10756</v>
      </c>
      <c r="I3066" t="s">
        <v>10757</v>
      </c>
      <c r="J3066" t="s">
        <v>71</v>
      </c>
      <c r="K3066" s="2" t="str">
        <f>HYPERLINK("http://collections.slsa.sa.gov.au/arthur/04000/BRG347_3873.htm")</f>
        <v>http://collections.slsa.sa.gov.au/arthur/04000/BRG347_3873.htm</v>
      </c>
    </row>
    <row r="3067" spans="1:11" x14ac:dyDescent="0.25">
      <c r="A3067" t="s">
        <v>10758</v>
      </c>
      <c r="B3067" s="1" t="str">
        <f>HYPERLINK("https://www.catalog.slsa.sa.gov.au/record=b2113850")</f>
        <v>https://www.catalog.slsa.sa.gov.au/record=b2113850</v>
      </c>
      <c r="C3067" s="1" t="str">
        <f>HYPERLINK("https://www.catalog.slsa.sa.gov.au/xrecord=b2113850")</f>
        <v>https://www.catalog.slsa.sa.gov.au/xrecord=b2113850</v>
      </c>
      <c r="D3067" t="s">
        <v>66</v>
      </c>
      <c r="E3067" t="s">
        <v>10759</v>
      </c>
      <c r="F3067">
        <v>1960</v>
      </c>
      <c r="G3067" t="s">
        <v>121</v>
      </c>
      <c r="H3067" t="s">
        <v>10760</v>
      </c>
      <c r="I3067" t="s">
        <v>10761</v>
      </c>
      <c r="J3067" t="s">
        <v>71</v>
      </c>
      <c r="K3067" s="2" t="str">
        <f>HYPERLINK("http://collections.slsa.sa.gov.au/arthur/04000/BRG347_3874.htm")</f>
        <v>http://collections.slsa.sa.gov.au/arthur/04000/BRG347_3874.htm</v>
      </c>
    </row>
    <row r="3068" spans="1:11" x14ac:dyDescent="0.25">
      <c r="A3068" t="s">
        <v>10762</v>
      </c>
      <c r="B3068" s="1" t="str">
        <f>HYPERLINK("https://www.catalog.slsa.sa.gov.au/record=b2113853")</f>
        <v>https://www.catalog.slsa.sa.gov.au/record=b2113853</v>
      </c>
      <c r="C3068" s="1" t="str">
        <f>HYPERLINK("https://www.catalog.slsa.sa.gov.au/xrecord=b2113853")</f>
        <v>https://www.catalog.slsa.sa.gov.au/xrecord=b2113853</v>
      </c>
      <c r="D3068" t="s">
        <v>66</v>
      </c>
      <c r="E3068" t="s">
        <v>10763</v>
      </c>
      <c r="F3068">
        <v>1960</v>
      </c>
      <c r="G3068" t="s">
        <v>121</v>
      </c>
      <c r="H3068" t="s">
        <v>10764</v>
      </c>
      <c r="I3068" t="s">
        <v>10765</v>
      </c>
      <c r="J3068" t="s">
        <v>71</v>
      </c>
      <c r="K3068" s="2" t="str">
        <f>HYPERLINK("http://collections.slsa.sa.gov.au/arthur/04000/BRG347_3875.htm")</f>
        <v>http://collections.slsa.sa.gov.au/arthur/04000/BRG347_3875.htm</v>
      </c>
    </row>
    <row r="3069" spans="1:11" x14ac:dyDescent="0.25">
      <c r="A3069" t="s">
        <v>10766</v>
      </c>
      <c r="B3069" s="1" t="str">
        <f>HYPERLINK("https://www.catalog.slsa.sa.gov.au/record=b2114044")</f>
        <v>https://www.catalog.slsa.sa.gov.au/record=b2114044</v>
      </c>
      <c r="C3069" s="1" t="str">
        <f>HYPERLINK("https://www.catalog.slsa.sa.gov.au/xrecord=b2114044")</f>
        <v>https://www.catalog.slsa.sa.gov.au/xrecord=b2114044</v>
      </c>
      <c r="D3069" t="s">
        <v>66</v>
      </c>
      <c r="E3069" t="s">
        <v>10767</v>
      </c>
      <c r="F3069">
        <v>1960</v>
      </c>
      <c r="G3069" t="s">
        <v>121</v>
      </c>
      <c r="H3069" t="s">
        <v>10768</v>
      </c>
      <c r="I3069" t="s">
        <v>10769</v>
      </c>
      <c r="J3069" t="s">
        <v>71</v>
      </c>
      <c r="K3069" s="2" t="str">
        <f>HYPERLINK("http://collections.slsa.sa.gov.au/arthur/04000/BRG347_3876.htm")</f>
        <v>http://collections.slsa.sa.gov.au/arthur/04000/BRG347_3876.htm</v>
      </c>
    </row>
    <row r="3070" spans="1:11" x14ac:dyDescent="0.25">
      <c r="A3070" t="s">
        <v>10770</v>
      </c>
      <c r="B3070" s="1" t="str">
        <f>HYPERLINK("https://www.catalog.slsa.sa.gov.au/record=b2114045")</f>
        <v>https://www.catalog.slsa.sa.gov.au/record=b2114045</v>
      </c>
      <c r="C3070" s="1" t="str">
        <f>HYPERLINK("https://www.catalog.slsa.sa.gov.au/xrecord=b2114045")</f>
        <v>https://www.catalog.slsa.sa.gov.au/xrecord=b2114045</v>
      </c>
      <c r="D3070" t="s">
        <v>66</v>
      </c>
      <c r="E3070" t="s">
        <v>10771</v>
      </c>
      <c r="F3070">
        <v>1960</v>
      </c>
      <c r="G3070" t="s">
        <v>121</v>
      </c>
      <c r="H3070" t="s">
        <v>10772</v>
      </c>
      <c r="I3070" t="s">
        <v>10773</v>
      </c>
      <c r="J3070" t="s">
        <v>71</v>
      </c>
      <c r="K3070" s="2" t="str">
        <f>HYPERLINK("http://collections.slsa.sa.gov.au/arthur/04000/BRG347_3877.htm")</f>
        <v>http://collections.slsa.sa.gov.au/arthur/04000/BRG347_3877.htm</v>
      </c>
    </row>
    <row r="3071" spans="1:11" x14ac:dyDescent="0.25">
      <c r="A3071" t="s">
        <v>10774</v>
      </c>
      <c r="B3071" s="1" t="str">
        <f>HYPERLINK("https://www.catalog.slsa.sa.gov.au/record=b2117816")</f>
        <v>https://www.catalog.slsa.sa.gov.au/record=b2117816</v>
      </c>
      <c r="C3071" s="1" t="str">
        <f>HYPERLINK("https://www.catalog.slsa.sa.gov.au/xrecord=b2117816")</f>
        <v>https://www.catalog.slsa.sa.gov.au/xrecord=b2117816</v>
      </c>
      <c r="D3071" t="s">
        <v>66</v>
      </c>
      <c r="E3071" t="s">
        <v>10711</v>
      </c>
      <c r="F3071">
        <v>1960</v>
      </c>
      <c r="G3071" t="s">
        <v>121</v>
      </c>
      <c r="H3071" t="s">
        <v>10775</v>
      </c>
      <c r="I3071" t="s">
        <v>10776</v>
      </c>
      <c r="J3071" t="s">
        <v>71</v>
      </c>
      <c r="K3071" s="2" t="str">
        <f>HYPERLINK("http://collections.slsa.sa.gov.au/arthur/04000/BRG347_3878.htm")</f>
        <v>http://collections.slsa.sa.gov.au/arthur/04000/BRG347_3878.htm</v>
      </c>
    </row>
    <row r="3072" spans="1:11" x14ac:dyDescent="0.25">
      <c r="A3072" t="s">
        <v>10777</v>
      </c>
      <c r="B3072" s="1" t="str">
        <f>HYPERLINK("https://www.catalog.slsa.sa.gov.au/record=b2114046")</f>
        <v>https://www.catalog.slsa.sa.gov.au/record=b2114046</v>
      </c>
      <c r="C3072" s="1" t="str">
        <f>HYPERLINK("https://www.catalog.slsa.sa.gov.au/xrecord=b2114046")</f>
        <v>https://www.catalog.slsa.sa.gov.au/xrecord=b2114046</v>
      </c>
      <c r="D3072" t="s">
        <v>66</v>
      </c>
      <c r="E3072" t="s">
        <v>10778</v>
      </c>
      <c r="F3072">
        <v>1960</v>
      </c>
      <c r="G3072" t="s">
        <v>121</v>
      </c>
      <c r="H3072" t="s">
        <v>10779</v>
      </c>
      <c r="I3072" t="s">
        <v>10780</v>
      </c>
      <c r="J3072" t="s">
        <v>71</v>
      </c>
      <c r="K3072" s="2" t="str">
        <f>HYPERLINK("http://collections.slsa.sa.gov.au/arthur/04000/BRG347_3879.htm")</f>
        <v>http://collections.slsa.sa.gov.au/arthur/04000/BRG347_3879.htm</v>
      </c>
    </row>
    <row r="3073" spans="1:11" x14ac:dyDescent="0.25">
      <c r="A3073" t="s">
        <v>10781</v>
      </c>
      <c r="B3073" s="1" t="str">
        <f>HYPERLINK("https://www.catalog.slsa.sa.gov.au/record=b2114047")</f>
        <v>https://www.catalog.slsa.sa.gov.au/record=b2114047</v>
      </c>
      <c r="C3073" s="1" t="str">
        <f>HYPERLINK("https://www.catalog.slsa.sa.gov.au/xrecord=b2114047")</f>
        <v>https://www.catalog.slsa.sa.gov.au/xrecord=b2114047</v>
      </c>
      <c r="D3073" t="s">
        <v>66</v>
      </c>
      <c r="E3073" t="s">
        <v>10782</v>
      </c>
      <c r="F3073">
        <v>1960</v>
      </c>
      <c r="G3073" t="s">
        <v>121</v>
      </c>
      <c r="H3073" t="s">
        <v>10783</v>
      </c>
      <c r="I3073" t="s">
        <v>10784</v>
      </c>
      <c r="J3073" t="s">
        <v>71</v>
      </c>
      <c r="K3073" s="2" t="str">
        <f>HYPERLINK("http://collections.slsa.sa.gov.au/arthur/04000/BRG347_3880.htm")</f>
        <v>http://collections.slsa.sa.gov.au/arthur/04000/BRG347_3880.htm</v>
      </c>
    </row>
    <row r="3074" spans="1:11" x14ac:dyDescent="0.25">
      <c r="A3074" t="s">
        <v>10785</v>
      </c>
      <c r="B3074" s="1" t="str">
        <f>HYPERLINK("https://www.catalog.slsa.sa.gov.au/record=b2114048")</f>
        <v>https://www.catalog.slsa.sa.gov.au/record=b2114048</v>
      </c>
      <c r="C3074" s="1" t="str">
        <f>HYPERLINK("https://www.catalog.slsa.sa.gov.au/xrecord=b2114048")</f>
        <v>https://www.catalog.slsa.sa.gov.au/xrecord=b2114048</v>
      </c>
      <c r="D3074" t="s">
        <v>66</v>
      </c>
      <c r="E3074" t="s">
        <v>10786</v>
      </c>
      <c r="F3074">
        <v>1960</v>
      </c>
      <c r="G3074" t="s">
        <v>121</v>
      </c>
      <c r="H3074" t="s">
        <v>10787</v>
      </c>
      <c r="I3074" t="s">
        <v>10788</v>
      </c>
      <c r="J3074" t="s">
        <v>71</v>
      </c>
      <c r="K3074" s="2" t="str">
        <f>HYPERLINK("http://collections.slsa.sa.gov.au/arthur/04000/BRG347_3881.htm")</f>
        <v>http://collections.slsa.sa.gov.au/arthur/04000/BRG347_3881.htm</v>
      </c>
    </row>
    <row r="3075" spans="1:11" x14ac:dyDescent="0.25">
      <c r="A3075" t="s">
        <v>10789</v>
      </c>
      <c r="B3075" s="1" t="str">
        <f>HYPERLINK("https://www.catalog.slsa.sa.gov.au/record=b2114049")</f>
        <v>https://www.catalog.slsa.sa.gov.au/record=b2114049</v>
      </c>
      <c r="C3075" s="1" t="str">
        <f>HYPERLINK("https://www.catalog.slsa.sa.gov.au/xrecord=b2114049")</f>
        <v>https://www.catalog.slsa.sa.gov.au/xrecord=b2114049</v>
      </c>
      <c r="D3075" t="s">
        <v>66</v>
      </c>
      <c r="E3075" t="s">
        <v>10790</v>
      </c>
      <c r="F3075">
        <v>1960</v>
      </c>
      <c r="G3075" t="s">
        <v>121</v>
      </c>
      <c r="H3075" t="s">
        <v>10791</v>
      </c>
      <c r="I3075" t="s">
        <v>10792</v>
      </c>
      <c r="J3075" t="s">
        <v>71</v>
      </c>
      <c r="K3075" s="2" t="str">
        <f>HYPERLINK("http://collections.slsa.sa.gov.au/arthur/04000/BRG347_3882.htm")</f>
        <v>http://collections.slsa.sa.gov.au/arthur/04000/BRG347_3882.htm</v>
      </c>
    </row>
    <row r="3076" spans="1:11" x14ac:dyDescent="0.25">
      <c r="A3076" t="s">
        <v>10793</v>
      </c>
      <c r="B3076" s="1" t="str">
        <f>HYPERLINK("https://www.catalog.slsa.sa.gov.au/record=b2114050")</f>
        <v>https://www.catalog.slsa.sa.gov.au/record=b2114050</v>
      </c>
      <c r="C3076" s="1" t="str">
        <f>HYPERLINK("https://www.catalog.slsa.sa.gov.au/xrecord=b2114050")</f>
        <v>https://www.catalog.slsa.sa.gov.au/xrecord=b2114050</v>
      </c>
      <c r="D3076" t="s">
        <v>66</v>
      </c>
      <c r="E3076" t="s">
        <v>10794</v>
      </c>
      <c r="F3076">
        <v>1960</v>
      </c>
      <c r="G3076" t="s">
        <v>121</v>
      </c>
      <c r="H3076" t="s">
        <v>10795</v>
      </c>
      <c r="I3076" t="s">
        <v>1088</v>
      </c>
      <c r="J3076" t="s">
        <v>71</v>
      </c>
      <c r="K3076" s="2" t="str">
        <f>HYPERLINK("http://collections.slsa.sa.gov.au/arthur/04000/BRG347_3883.htm")</f>
        <v>http://collections.slsa.sa.gov.au/arthur/04000/BRG347_3883.htm</v>
      </c>
    </row>
    <row r="3077" spans="1:11" x14ac:dyDescent="0.25">
      <c r="A3077" t="s">
        <v>10796</v>
      </c>
      <c r="B3077" s="1" t="str">
        <f>HYPERLINK("https://www.catalog.slsa.sa.gov.au/record=b2114052")</f>
        <v>https://www.catalog.slsa.sa.gov.au/record=b2114052</v>
      </c>
      <c r="C3077" s="1" t="str">
        <f>HYPERLINK("https://www.catalog.slsa.sa.gov.au/xrecord=b2114052")</f>
        <v>https://www.catalog.slsa.sa.gov.au/xrecord=b2114052</v>
      </c>
      <c r="D3077" t="s">
        <v>66</v>
      </c>
      <c r="E3077" t="s">
        <v>10797</v>
      </c>
      <c r="F3077">
        <v>1960</v>
      </c>
      <c r="G3077" t="s">
        <v>121</v>
      </c>
      <c r="H3077" t="s">
        <v>10798</v>
      </c>
      <c r="I3077" t="s">
        <v>10799</v>
      </c>
      <c r="J3077" t="s">
        <v>71</v>
      </c>
      <c r="K3077" s="2" t="str">
        <f>HYPERLINK("http://collections.slsa.sa.gov.au/arthur/04000/BRG347_3885.htm")</f>
        <v>http://collections.slsa.sa.gov.au/arthur/04000/BRG347_3885.htm</v>
      </c>
    </row>
    <row r="3078" spans="1:11" x14ac:dyDescent="0.25">
      <c r="A3078" t="s">
        <v>10800</v>
      </c>
      <c r="B3078" s="1" t="str">
        <f>HYPERLINK("https://www.catalog.slsa.sa.gov.au/record=b2117817")</f>
        <v>https://www.catalog.slsa.sa.gov.au/record=b2117817</v>
      </c>
      <c r="C3078" s="1" t="str">
        <f>HYPERLINK("https://www.catalog.slsa.sa.gov.au/xrecord=b2117817")</f>
        <v>https://www.catalog.slsa.sa.gov.au/xrecord=b2117817</v>
      </c>
      <c r="D3078" t="s">
        <v>66</v>
      </c>
      <c r="E3078" t="s">
        <v>10801</v>
      </c>
      <c r="F3078">
        <v>1960</v>
      </c>
      <c r="G3078" t="s">
        <v>121</v>
      </c>
      <c r="H3078" t="s">
        <v>10802</v>
      </c>
      <c r="I3078" t="s">
        <v>10803</v>
      </c>
      <c r="J3078" t="s">
        <v>71</v>
      </c>
      <c r="K3078" s="2" t="str">
        <f>HYPERLINK("http://collections.slsa.sa.gov.au/arthur/04000/BRG347_3886.htm")</f>
        <v>http://collections.slsa.sa.gov.au/arthur/04000/BRG347_3886.htm</v>
      </c>
    </row>
    <row r="3079" spans="1:11" x14ac:dyDescent="0.25">
      <c r="A3079" t="s">
        <v>10804</v>
      </c>
      <c r="B3079" s="1" t="str">
        <f>HYPERLINK("https://www.catalog.slsa.sa.gov.au/record=b2114053")</f>
        <v>https://www.catalog.slsa.sa.gov.au/record=b2114053</v>
      </c>
      <c r="C3079" s="1" t="str">
        <f>HYPERLINK("https://www.catalog.slsa.sa.gov.au/xrecord=b2114053")</f>
        <v>https://www.catalog.slsa.sa.gov.au/xrecord=b2114053</v>
      </c>
      <c r="D3079" t="s">
        <v>66</v>
      </c>
      <c r="E3079" t="s">
        <v>10805</v>
      </c>
      <c r="F3079">
        <v>1960</v>
      </c>
      <c r="G3079" t="s">
        <v>121</v>
      </c>
      <c r="H3079" t="s">
        <v>10806</v>
      </c>
      <c r="I3079" t="s">
        <v>10807</v>
      </c>
      <c r="J3079" t="s">
        <v>71</v>
      </c>
      <c r="K3079" s="2" t="str">
        <f>HYPERLINK("http://collections.slsa.sa.gov.au/arthur/04000/BRG347_3887.htm")</f>
        <v>http://collections.slsa.sa.gov.au/arthur/04000/BRG347_3887.htm</v>
      </c>
    </row>
    <row r="3080" spans="1:11" x14ac:dyDescent="0.25">
      <c r="A3080" t="s">
        <v>10808</v>
      </c>
      <c r="B3080" s="1" t="str">
        <f>HYPERLINK("https://www.catalog.slsa.sa.gov.au/record=b2114054")</f>
        <v>https://www.catalog.slsa.sa.gov.au/record=b2114054</v>
      </c>
      <c r="C3080" s="1" t="str">
        <f>HYPERLINK("https://www.catalog.slsa.sa.gov.au/xrecord=b2114054")</f>
        <v>https://www.catalog.slsa.sa.gov.au/xrecord=b2114054</v>
      </c>
      <c r="D3080" t="s">
        <v>66</v>
      </c>
      <c r="E3080" t="s">
        <v>10809</v>
      </c>
      <c r="F3080">
        <v>1960</v>
      </c>
      <c r="G3080" t="s">
        <v>121</v>
      </c>
      <c r="H3080" t="s">
        <v>10810</v>
      </c>
      <c r="I3080" t="s">
        <v>10811</v>
      </c>
      <c r="J3080" t="s">
        <v>71</v>
      </c>
      <c r="K3080" s="2" t="str">
        <f>HYPERLINK("http://collections.slsa.sa.gov.au/arthur/04000/BRG347_3888.htm")</f>
        <v>http://collections.slsa.sa.gov.au/arthur/04000/BRG347_3888.htm</v>
      </c>
    </row>
    <row r="3081" spans="1:11" x14ac:dyDescent="0.25">
      <c r="A3081" t="s">
        <v>10812</v>
      </c>
      <c r="B3081" s="1" t="str">
        <f>HYPERLINK("https://www.catalog.slsa.sa.gov.au/record=b2114055")</f>
        <v>https://www.catalog.slsa.sa.gov.au/record=b2114055</v>
      </c>
      <c r="C3081" s="1" t="str">
        <f>HYPERLINK("https://www.catalog.slsa.sa.gov.au/xrecord=b2114055")</f>
        <v>https://www.catalog.slsa.sa.gov.au/xrecord=b2114055</v>
      </c>
      <c r="D3081" t="s">
        <v>66</v>
      </c>
      <c r="E3081" t="s">
        <v>10813</v>
      </c>
      <c r="F3081">
        <v>1960</v>
      </c>
      <c r="G3081" t="s">
        <v>121</v>
      </c>
      <c r="H3081" t="s">
        <v>10814</v>
      </c>
      <c r="I3081" t="s">
        <v>10815</v>
      </c>
      <c r="J3081" t="s">
        <v>71</v>
      </c>
      <c r="K3081" s="2" t="str">
        <f>HYPERLINK("http://collections.slsa.sa.gov.au/arthur/04000/BRG347_3889.htm")</f>
        <v>http://collections.slsa.sa.gov.au/arthur/04000/BRG347_3889.htm</v>
      </c>
    </row>
    <row r="3082" spans="1:11" x14ac:dyDescent="0.25">
      <c r="A3082" t="s">
        <v>10816</v>
      </c>
      <c r="B3082" s="1" t="str">
        <f>HYPERLINK("https://www.catalog.slsa.sa.gov.au/record=b2114056")</f>
        <v>https://www.catalog.slsa.sa.gov.au/record=b2114056</v>
      </c>
      <c r="C3082" s="1" t="str">
        <f>HYPERLINK("https://www.catalog.slsa.sa.gov.au/xrecord=b2114056")</f>
        <v>https://www.catalog.slsa.sa.gov.au/xrecord=b2114056</v>
      </c>
      <c r="D3082" t="s">
        <v>66</v>
      </c>
      <c r="E3082" t="s">
        <v>10817</v>
      </c>
      <c r="F3082">
        <v>1960</v>
      </c>
      <c r="G3082" t="s">
        <v>121</v>
      </c>
      <c r="H3082" t="s">
        <v>10818</v>
      </c>
      <c r="I3082" t="s">
        <v>10819</v>
      </c>
      <c r="J3082" t="s">
        <v>71</v>
      </c>
      <c r="K3082" s="2" t="str">
        <f>HYPERLINK("http://collections.slsa.sa.gov.au/arthur/04000/BRG347_3890.htm")</f>
        <v>http://collections.slsa.sa.gov.au/arthur/04000/BRG347_3890.htm</v>
      </c>
    </row>
    <row r="3083" spans="1:11" x14ac:dyDescent="0.25">
      <c r="A3083" t="s">
        <v>10820</v>
      </c>
      <c r="B3083" s="1" t="str">
        <f>HYPERLINK("https://www.catalog.slsa.sa.gov.au/record=b2114057")</f>
        <v>https://www.catalog.slsa.sa.gov.au/record=b2114057</v>
      </c>
      <c r="C3083" s="1" t="str">
        <f>HYPERLINK("https://www.catalog.slsa.sa.gov.au/xrecord=b2114057")</f>
        <v>https://www.catalog.slsa.sa.gov.au/xrecord=b2114057</v>
      </c>
      <c r="D3083" t="s">
        <v>66</v>
      </c>
      <c r="E3083" t="s">
        <v>10821</v>
      </c>
      <c r="F3083">
        <v>1960</v>
      </c>
      <c r="G3083" t="s">
        <v>121</v>
      </c>
      <c r="H3083" t="s">
        <v>10822</v>
      </c>
      <c r="I3083" t="s">
        <v>10823</v>
      </c>
      <c r="J3083" t="s">
        <v>71</v>
      </c>
      <c r="K3083" s="2" t="str">
        <f>HYPERLINK("http://collections.slsa.sa.gov.au/arthur/04000/BRG347_3891.htm")</f>
        <v>http://collections.slsa.sa.gov.au/arthur/04000/BRG347_3891.htm</v>
      </c>
    </row>
    <row r="3084" spans="1:11" x14ac:dyDescent="0.25">
      <c r="A3084" t="s">
        <v>10824</v>
      </c>
      <c r="B3084" s="1" t="str">
        <f>HYPERLINK("https://www.catalog.slsa.sa.gov.au/record=b2114058")</f>
        <v>https://www.catalog.slsa.sa.gov.au/record=b2114058</v>
      </c>
      <c r="C3084" s="1" t="str">
        <f>HYPERLINK("https://www.catalog.slsa.sa.gov.au/xrecord=b2114058")</f>
        <v>https://www.catalog.slsa.sa.gov.au/xrecord=b2114058</v>
      </c>
      <c r="D3084" t="s">
        <v>66</v>
      </c>
      <c r="E3084" t="s">
        <v>10825</v>
      </c>
      <c r="F3084">
        <v>1960</v>
      </c>
      <c r="G3084" t="s">
        <v>121</v>
      </c>
      <c r="H3084" t="s">
        <v>10826</v>
      </c>
      <c r="I3084" t="s">
        <v>10827</v>
      </c>
      <c r="J3084" t="s">
        <v>71</v>
      </c>
      <c r="K3084" s="2" t="str">
        <f>HYPERLINK("http://collections.slsa.sa.gov.au/arthur/04000/BRG347_3892.htm")</f>
        <v>http://collections.slsa.sa.gov.au/arthur/04000/BRG347_3892.htm</v>
      </c>
    </row>
    <row r="3085" spans="1:11" x14ac:dyDescent="0.25">
      <c r="A3085" t="s">
        <v>10828</v>
      </c>
      <c r="B3085" s="1" t="str">
        <f>HYPERLINK("https://www.catalog.slsa.sa.gov.au/record=b2114059")</f>
        <v>https://www.catalog.slsa.sa.gov.au/record=b2114059</v>
      </c>
      <c r="C3085" s="1" t="str">
        <f>HYPERLINK("https://www.catalog.slsa.sa.gov.au/xrecord=b2114059")</f>
        <v>https://www.catalog.slsa.sa.gov.au/xrecord=b2114059</v>
      </c>
      <c r="D3085" t="s">
        <v>66</v>
      </c>
      <c r="E3085" t="s">
        <v>10829</v>
      </c>
      <c r="F3085">
        <v>1960</v>
      </c>
      <c r="G3085" t="s">
        <v>121</v>
      </c>
      <c r="H3085" t="s">
        <v>10830</v>
      </c>
      <c r="I3085" t="s">
        <v>10831</v>
      </c>
      <c r="J3085" t="s">
        <v>71</v>
      </c>
      <c r="K3085" s="2" t="str">
        <f>HYPERLINK("http://collections.slsa.sa.gov.au/arthur/04000/BRG347_3893.htm")</f>
        <v>http://collections.slsa.sa.gov.au/arthur/04000/BRG347_3893.htm</v>
      </c>
    </row>
    <row r="3086" spans="1:11" x14ac:dyDescent="0.25">
      <c r="A3086" t="s">
        <v>10832</v>
      </c>
      <c r="B3086" s="1" t="str">
        <f>HYPERLINK("https://www.catalog.slsa.sa.gov.au/record=b2114060")</f>
        <v>https://www.catalog.slsa.sa.gov.au/record=b2114060</v>
      </c>
      <c r="C3086" s="1" t="str">
        <f>HYPERLINK("https://www.catalog.slsa.sa.gov.au/xrecord=b2114060")</f>
        <v>https://www.catalog.slsa.sa.gov.au/xrecord=b2114060</v>
      </c>
      <c r="D3086" t="s">
        <v>66</v>
      </c>
      <c r="E3086" t="s">
        <v>10833</v>
      </c>
      <c r="F3086">
        <v>1960</v>
      </c>
      <c r="G3086" t="s">
        <v>121</v>
      </c>
      <c r="H3086" t="s">
        <v>10834</v>
      </c>
      <c r="I3086" t="s">
        <v>10835</v>
      </c>
      <c r="J3086" t="s">
        <v>71</v>
      </c>
      <c r="K3086" s="2" t="str">
        <f>HYPERLINK("http://collections.slsa.sa.gov.au/arthur/04000/BRG347_3894.htm")</f>
        <v>http://collections.slsa.sa.gov.au/arthur/04000/BRG347_3894.htm</v>
      </c>
    </row>
    <row r="3087" spans="1:11" x14ac:dyDescent="0.25">
      <c r="A3087" t="s">
        <v>10836</v>
      </c>
      <c r="B3087" s="1" t="str">
        <f>HYPERLINK("https://www.catalog.slsa.sa.gov.au/record=b2114061")</f>
        <v>https://www.catalog.slsa.sa.gov.au/record=b2114061</v>
      </c>
      <c r="C3087" s="1" t="str">
        <f>HYPERLINK("https://www.catalog.slsa.sa.gov.au/xrecord=b2114061")</f>
        <v>https://www.catalog.slsa.sa.gov.au/xrecord=b2114061</v>
      </c>
      <c r="D3087" t="s">
        <v>66</v>
      </c>
      <c r="E3087" t="s">
        <v>10837</v>
      </c>
      <c r="F3087">
        <v>1960</v>
      </c>
      <c r="G3087" t="s">
        <v>121</v>
      </c>
      <c r="H3087" t="s">
        <v>10838</v>
      </c>
      <c r="I3087" t="s">
        <v>10839</v>
      </c>
      <c r="J3087" t="s">
        <v>71</v>
      </c>
      <c r="K3087" s="2" t="str">
        <f>HYPERLINK("http://collections.slsa.sa.gov.au/arthur/04000/BRG347_3895.htm")</f>
        <v>http://collections.slsa.sa.gov.au/arthur/04000/BRG347_3895.htm</v>
      </c>
    </row>
    <row r="3088" spans="1:11" x14ac:dyDescent="0.25">
      <c r="A3088" t="s">
        <v>10840</v>
      </c>
      <c r="B3088" s="1" t="str">
        <f>HYPERLINK("https://www.catalog.slsa.sa.gov.au/record=b2114062")</f>
        <v>https://www.catalog.slsa.sa.gov.au/record=b2114062</v>
      </c>
      <c r="C3088" s="1" t="str">
        <f>HYPERLINK("https://www.catalog.slsa.sa.gov.au/xrecord=b2114062")</f>
        <v>https://www.catalog.slsa.sa.gov.au/xrecord=b2114062</v>
      </c>
      <c r="D3088" t="s">
        <v>66</v>
      </c>
      <c r="E3088" t="s">
        <v>10841</v>
      </c>
      <c r="F3088">
        <v>1960</v>
      </c>
      <c r="G3088" t="s">
        <v>121</v>
      </c>
      <c r="H3088" t="s">
        <v>10842</v>
      </c>
      <c r="I3088" t="s">
        <v>10843</v>
      </c>
      <c r="J3088" t="s">
        <v>71</v>
      </c>
      <c r="K3088" s="2" t="str">
        <f>HYPERLINK("http://collections.slsa.sa.gov.au/arthur/04000/BRG347_3896.htm")</f>
        <v>http://collections.slsa.sa.gov.au/arthur/04000/BRG347_3896.htm</v>
      </c>
    </row>
    <row r="3089" spans="1:11" x14ac:dyDescent="0.25">
      <c r="A3089" t="s">
        <v>10844</v>
      </c>
      <c r="B3089" s="1" t="str">
        <f>HYPERLINK("https://www.catalog.slsa.sa.gov.au/record=b2114063")</f>
        <v>https://www.catalog.slsa.sa.gov.au/record=b2114063</v>
      </c>
      <c r="C3089" s="1" t="str">
        <f>HYPERLINK("https://www.catalog.slsa.sa.gov.au/xrecord=b2114063")</f>
        <v>https://www.catalog.slsa.sa.gov.au/xrecord=b2114063</v>
      </c>
      <c r="D3089" t="s">
        <v>66</v>
      </c>
      <c r="E3089" t="s">
        <v>10845</v>
      </c>
      <c r="F3089">
        <v>1960</v>
      </c>
      <c r="G3089" t="s">
        <v>121</v>
      </c>
      <c r="H3089" t="s">
        <v>10846</v>
      </c>
      <c r="I3089" t="s">
        <v>10847</v>
      </c>
      <c r="J3089" t="s">
        <v>71</v>
      </c>
      <c r="K3089" s="2" t="str">
        <f>HYPERLINK("http://collections.slsa.sa.gov.au/arthur/04000/BRG347_3897.htm")</f>
        <v>http://collections.slsa.sa.gov.au/arthur/04000/BRG347_3897.htm</v>
      </c>
    </row>
    <row r="3090" spans="1:11" x14ac:dyDescent="0.25">
      <c r="A3090" t="s">
        <v>10848</v>
      </c>
      <c r="B3090" s="1" t="str">
        <f>HYPERLINK("https://www.catalog.slsa.sa.gov.au/record=b2114064")</f>
        <v>https://www.catalog.slsa.sa.gov.au/record=b2114064</v>
      </c>
      <c r="C3090" s="1" t="str">
        <f>HYPERLINK("https://www.catalog.slsa.sa.gov.au/xrecord=b2114064")</f>
        <v>https://www.catalog.slsa.sa.gov.au/xrecord=b2114064</v>
      </c>
      <c r="D3090" t="s">
        <v>66</v>
      </c>
      <c r="E3090" t="s">
        <v>10849</v>
      </c>
      <c r="F3090">
        <v>1960</v>
      </c>
      <c r="G3090" t="s">
        <v>121</v>
      </c>
      <c r="H3090" t="s">
        <v>10850</v>
      </c>
      <c r="I3090" t="s">
        <v>10851</v>
      </c>
      <c r="J3090" t="s">
        <v>71</v>
      </c>
      <c r="K3090" s="2" t="str">
        <f>HYPERLINK("http://collections.slsa.sa.gov.au/arthur/04000/BRG347_3898.htm")</f>
        <v>http://collections.slsa.sa.gov.au/arthur/04000/BRG347_3898.htm</v>
      </c>
    </row>
    <row r="3091" spans="1:11" x14ac:dyDescent="0.25">
      <c r="A3091" t="s">
        <v>10852</v>
      </c>
      <c r="B3091" s="1" t="str">
        <f>HYPERLINK("https://www.catalog.slsa.sa.gov.au/record=b2114065")</f>
        <v>https://www.catalog.slsa.sa.gov.au/record=b2114065</v>
      </c>
      <c r="C3091" s="1" t="str">
        <f>HYPERLINK("https://www.catalog.slsa.sa.gov.au/xrecord=b2114065")</f>
        <v>https://www.catalog.slsa.sa.gov.au/xrecord=b2114065</v>
      </c>
      <c r="D3091" t="s">
        <v>66</v>
      </c>
      <c r="E3091" t="s">
        <v>10845</v>
      </c>
      <c r="F3091">
        <v>1960</v>
      </c>
      <c r="G3091" t="s">
        <v>121</v>
      </c>
      <c r="H3091" t="s">
        <v>10853</v>
      </c>
      <c r="I3091" t="s">
        <v>10854</v>
      </c>
      <c r="J3091" t="s">
        <v>71</v>
      </c>
      <c r="K3091" s="2" t="str">
        <f>HYPERLINK("http://collections.slsa.sa.gov.au/arthur/04000/BRG347_3899.htm")</f>
        <v>http://collections.slsa.sa.gov.au/arthur/04000/BRG347_3899.htm</v>
      </c>
    </row>
    <row r="3092" spans="1:11" x14ac:dyDescent="0.25">
      <c r="A3092" t="s">
        <v>10855</v>
      </c>
      <c r="B3092" s="1" t="str">
        <f>HYPERLINK("https://www.catalog.slsa.sa.gov.au/record=b2114073")</f>
        <v>https://www.catalog.slsa.sa.gov.au/record=b2114073</v>
      </c>
      <c r="C3092" s="1" t="str">
        <f>HYPERLINK("https://www.catalog.slsa.sa.gov.au/xrecord=b2114073")</f>
        <v>https://www.catalog.slsa.sa.gov.au/xrecord=b2114073</v>
      </c>
      <c r="D3092" t="s">
        <v>66</v>
      </c>
      <c r="E3092" t="s">
        <v>10856</v>
      </c>
      <c r="F3092">
        <v>1960</v>
      </c>
      <c r="G3092" t="s">
        <v>121</v>
      </c>
      <c r="H3092" t="s">
        <v>10857</v>
      </c>
      <c r="I3092" t="s">
        <v>10858</v>
      </c>
      <c r="J3092" t="s">
        <v>71</v>
      </c>
      <c r="K3092" s="2" t="str">
        <f>HYPERLINK("http://collections.slsa.sa.gov.au/arthur/04000/BRG347_3907.htm")</f>
        <v>http://collections.slsa.sa.gov.au/arthur/04000/BRG347_3907.htm</v>
      </c>
    </row>
    <row r="3093" spans="1:11" x14ac:dyDescent="0.25">
      <c r="A3093" t="s">
        <v>10859</v>
      </c>
      <c r="B3093" s="1" t="str">
        <f>HYPERLINK("https://www.catalog.slsa.sa.gov.au/record=b2116522")</f>
        <v>https://www.catalog.slsa.sa.gov.au/record=b2116522</v>
      </c>
      <c r="C3093" s="1" t="str">
        <f>HYPERLINK("https://www.catalog.slsa.sa.gov.au/xrecord=b2116522")</f>
        <v>https://www.catalog.slsa.sa.gov.au/xrecord=b2116522</v>
      </c>
      <c r="D3093" t="s">
        <v>66</v>
      </c>
      <c r="E3093" t="s">
        <v>10860</v>
      </c>
      <c r="F3093">
        <v>1960</v>
      </c>
      <c r="G3093" t="s">
        <v>121</v>
      </c>
      <c r="H3093" t="s">
        <v>10861</v>
      </c>
      <c r="I3093" t="s">
        <v>10862</v>
      </c>
      <c r="J3093" t="s">
        <v>71</v>
      </c>
      <c r="K3093" s="2" t="str">
        <f>HYPERLINK("http://collections.slsa.sa.gov.au/arthur/05750/BRG347_5537.htm")</f>
        <v>http://collections.slsa.sa.gov.au/arthur/05750/BRG347_5537.htm</v>
      </c>
    </row>
    <row r="3094" spans="1:11" x14ac:dyDescent="0.25">
      <c r="A3094" t="s">
        <v>10863</v>
      </c>
      <c r="B3094" s="1" t="str">
        <f>HYPERLINK("https://www.catalog.slsa.sa.gov.au/record=b2116527")</f>
        <v>https://www.catalog.slsa.sa.gov.au/record=b2116527</v>
      </c>
      <c r="C3094" s="1" t="str">
        <f>HYPERLINK("https://www.catalog.slsa.sa.gov.au/xrecord=b2116527")</f>
        <v>https://www.catalog.slsa.sa.gov.au/xrecord=b2116527</v>
      </c>
      <c r="D3094" t="s">
        <v>66</v>
      </c>
      <c r="E3094" t="s">
        <v>10864</v>
      </c>
      <c r="F3094">
        <v>1960</v>
      </c>
      <c r="G3094" t="s">
        <v>121</v>
      </c>
      <c r="H3094" t="s">
        <v>10865</v>
      </c>
      <c r="I3094" t="s">
        <v>10866</v>
      </c>
      <c r="J3094" t="s">
        <v>71</v>
      </c>
      <c r="K3094" s="2" t="str">
        <f>HYPERLINK("http://collections.slsa.sa.gov.au/arthur/05750/BRG347_5542.htm")</f>
        <v>http://collections.slsa.sa.gov.au/arthur/05750/BRG347_5542.htm</v>
      </c>
    </row>
    <row r="3095" spans="1:11" x14ac:dyDescent="0.25">
      <c r="A3095" t="s">
        <v>10867</v>
      </c>
      <c r="B3095" s="1" t="str">
        <f>HYPERLINK("https://www.catalog.slsa.sa.gov.au/record=b2119542")</f>
        <v>https://www.catalog.slsa.sa.gov.au/record=b2119542</v>
      </c>
      <c r="C3095" s="1" t="str">
        <f>HYPERLINK("https://www.catalog.slsa.sa.gov.au/xrecord=b2119542")</f>
        <v>https://www.catalog.slsa.sa.gov.au/xrecord=b2119542</v>
      </c>
      <c r="D3095" t="s">
        <v>66</v>
      </c>
      <c r="E3095" t="s">
        <v>6467</v>
      </c>
      <c r="F3095">
        <v>1960</v>
      </c>
      <c r="G3095" t="s">
        <v>121</v>
      </c>
      <c r="H3095" t="s">
        <v>10868</v>
      </c>
      <c r="I3095" t="s">
        <v>1743</v>
      </c>
      <c r="J3095" t="s">
        <v>71</v>
      </c>
      <c r="K3095" s="2" t="str">
        <f>HYPERLINK("http://collections.slsa.sa.gov.au/arthur/07000/BRG347_6877.htm")</f>
        <v>http://collections.slsa.sa.gov.au/arthur/07000/BRG347_6877.htm</v>
      </c>
    </row>
    <row r="3096" spans="1:11" x14ac:dyDescent="0.25">
      <c r="A3096" t="s">
        <v>10869</v>
      </c>
      <c r="B3096" s="1" t="str">
        <f>HYPERLINK("https://www.catalog.slsa.sa.gov.au/record=b2119544")</f>
        <v>https://www.catalog.slsa.sa.gov.au/record=b2119544</v>
      </c>
      <c r="C3096" s="1" t="str">
        <f>HYPERLINK("https://www.catalog.slsa.sa.gov.au/xrecord=b2119544")</f>
        <v>https://www.catalog.slsa.sa.gov.au/xrecord=b2119544</v>
      </c>
      <c r="D3096" t="s">
        <v>66</v>
      </c>
      <c r="E3096" t="s">
        <v>10870</v>
      </c>
      <c r="F3096">
        <v>1960</v>
      </c>
      <c r="G3096" t="s">
        <v>121</v>
      </c>
      <c r="H3096" t="s">
        <v>10871</v>
      </c>
      <c r="I3096" t="s">
        <v>1743</v>
      </c>
      <c r="J3096" t="s">
        <v>71</v>
      </c>
      <c r="K3096" s="2" t="str">
        <f>HYPERLINK("http://collections.slsa.sa.gov.au/arthur/07000/BRG347_6878.htm")</f>
        <v>http://collections.slsa.sa.gov.au/arthur/07000/BRG347_6878.htm</v>
      </c>
    </row>
    <row r="3097" spans="1:11" x14ac:dyDescent="0.25">
      <c r="A3097" t="s">
        <v>10872</v>
      </c>
      <c r="B3097" s="1" t="str">
        <f>HYPERLINK("https://www.catalog.slsa.sa.gov.au/record=b2084193")</f>
        <v>https://www.catalog.slsa.sa.gov.au/record=b2084193</v>
      </c>
      <c r="C3097" s="1" t="str">
        <f>HYPERLINK("https://www.catalog.slsa.sa.gov.au/xrecord=b2084193")</f>
        <v>https://www.catalog.slsa.sa.gov.au/xrecord=b2084193</v>
      </c>
      <c r="E3097" t="s">
        <v>10873</v>
      </c>
      <c r="F3097">
        <v>1960</v>
      </c>
      <c r="G3097" t="s">
        <v>10874</v>
      </c>
      <c r="H3097" t="s">
        <v>10875</v>
      </c>
      <c r="I3097" t="s">
        <v>10876</v>
      </c>
      <c r="J3097" t="s">
        <v>1757</v>
      </c>
      <c r="K3097" s="2" t="str">
        <f>HYPERLINK("http://collections.slsa.sa.gov.au/godson/1/00250/PRG1258_1_25.htm")</f>
        <v>http://collections.slsa.sa.gov.au/godson/1/00250/PRG1258_1_25.htm</v>
      </c>
    </row>
    <row r="3098" spans="1:11" x14ac:dyDescent="0.25">
      <c r="A3098" t="s">
        <v>10877</v>
      </c>
      <c r="B3098" s="1" t="str">
        <f>HYPERLINK("https://www.catalog.slsa.sa.gov.au/record=b2111220")</f>
        <v>https://www.catalog.slsa.sa.gov.au/record=b2111220</v>
      </c>
      <c r="C3098" s="1" t="str">
        <f>HYPERLINK("https://www.catalog.slsa.sa.gov.au/xrecord=b2111220")</f>
        <v>https://www.catalog.slsa.sa.gov.au/xrecord=b2111220</v>
      </c>
      <c r="D3098" t="s">
        <v>66</v>
      </c>
      <c r="E3098" t="s">
        <v>10878</v>
      </c>
      <c r="F3098" t="s">
        <v>10879</v>
      </c>
      <c r="G3098" t="s">
        <v>121</v>
      </c>
      <c r="H3098" t="s">
        <v>10880</v>
      </c>
      <c r="I3098" t="s">
        <v>10881</v>
      </c>
      <c r="J3098" t="s">
        <v>71</v>
      </c>
      <c r="K3098" s="2" t="str">
        <f>HYPERLINK("http://collections.slsa.sa.gov.au/arthur/02000/BRG347_1888.htm")</f>
        <v>http://collections.slsa.sa.gov.au/arthur/02000/BRG347_1888.htm</v>
      </c>
    </row>
    <row r="3099" spans="1:11" x14ac:dyDescent="0.25">
      <c r="A3099" t="s">
        <v>10882</v>
      </c>
      <c r="B3099" s="1" t="str">
        <f>HYPERLINK("https://www.catalog.slsa.sa.gov.au/record=b2111225")</f>
        <v>https://www.catalog.slsa.sa.gov.au/record=b2111225</v>
      </c>
      <c r="C3099" s="1" t="str">
        <f>HYPERLINK("https://www.catalog.slsa.sa.gov.au/xrecord=b2111225")</f>
        <v>https://www.catalog.slsa.sa.gov.au/xrecord=b2111225</v>
      </c>
      <c r="D3099" t="s">
        <v>66</v>
      </c>
      <c r="E3099" t="s">
        <v>10883</v>
      </c>
      <c r="F3099" t="s">
        <v>10879</v>
      </c>
      <c r="G3099" t="s">
        <v>121</v>
      </c>
      <c r="H3099" t="s">
        <v>10884</v>
      </c>
      <c r="I3099" t="s">
        <v>10885</v>
      </c>
      <c r="J3099" t="s">
        <v>71</v>
      </c>
      <c r="K3099" s="2" t="str">
        <f>HYPERLINK("http://collections.slsa.sa.gov.au/arthur/02000/BRG347_1893.htm")</f>
        <v>http://collections.slsa.sa.gov.au/arthur/02000/BRG347_1893.htm</v>
      </c>
    </row>
    <row r="3100" spans="1:11" x14ac:dyDescent="0.25">
      <c r="A3100" t="s">
        <v>10886</v>
      </c>
      <c r="B3100" s="1" t="str">
        <f>HYPERLINK("https://www.catalog.slsa.sa.gov.au/record=b2111296")</f>
        <v>https://www.catalog.slsa.sa.gov.au/record=b2111296</v>
      </c>
      <c r="C3100" s="1" t="str">
        <f>HYPERLINK("https://www.catalog.slsa.sa.gov.au/xrecord=b2111296")</f>
        <v>https://www.catalog.slsa.sa.gov.au/xrecord=b2111296</v>
      </c>
      <c r="D3100" t="s">
        <v>66</v>
      </c>
      <c r="E3100" t="s">
        <v>10887</v>
      </c>
      <c r="F3100" t="s">
        <v>10879</v>
      </c>
      <c r="G3100" t="s">
        <v>121</v>
      </c>
      <c r="H3100" t="s">
        <v>10888</v>
      </c>
      <c r="I3100" t="s">
        <v>10889</v>
      </c>
      <c r="J3100" t="s">
        <v>71</v>
      </c>
      <c r="K3100" s="2" t="str">
        <f>HYPERLINK("http://collections.slsa.sa.gov.au/arthur/02000/BRG347_1967.htm")</f>
        <v>http://collections.slsa.sa.gov.au/arthur/02000/BRG347_1967.htm</v>
      </c>
    </row>
    <row r="3101" spans="1:11" x14ac:dyDescent="0.25">
      <c r="A3101" t="s">
        <v>10890</v>
      </c>
      <c r="B3101" s="1" t="str">
        <f>HYPERLINK("https://www.catalog.slsa.sa.gov.au/record=b2111297")</f>
        <v>https://www.catalog.slsa.sa.gov.au/record=b2111297</v>
      </c>
      <c r="C3101" s="1" t="str">
        <f>HYPERLINK("https://www.catalog.slsa.sa.gov.au/xrecord=b2111297")</f>
        <v>https://www.catalog.slsa.sa.gov.au/xrecord=b2111297</v>
      </c>
      <c r="D3101" t="s">
        <v>66</v>
      </c>
      <c r="E3101" t="s">
        <v>10891</v>
      </c>
      <c r="F3101" t="s">
        <v>10879</v>
      </c>
      <c r="G3101" t="s">
        <v>121</v>
      </c>
      <c r="H3101" t="s">
        <v>10892</v>
      </c>
      <c r="I3101" t="s">
        <v>10893</v>
      </c>
      <c r="J3101" t="s">
        <v>71</v>
      </c>
      <c r="K3101" s="2" t="str">
        <f>HYPERLINK("http://collections.slsa.sa.gov.au/arthur/02000/BRG347_1968.htm")</f>
        <v>http://collections.slsa.sa.gov.au/arthur/02000/BRG347_1968.htm</v>
      </c>
    </row>
    <row r="3102" spans="1:11" x14ac:dyDescent="0.25">
      <c r="A3102" t="s">
        <v>10894</v>
      </c>
      <c r="B3102" s="1" t="str">
        <f>HYPERLINK("https://www.catalog.slsa.sa.gov.au/record=b2111304")</f>
        <v>https://www.catalog.slsa.sa.gov.au/record=b2111304</v>
      </c>
      <c r="C3102" s="1" t="str">
        <f>HYPERLINK("https://www.catalog.slsa.sa.gov.au/xrecord=b2111304")</f>
        <v>https://www.catalog.slsa.sa.gov.au/xrecord=b2111304</v>
      </c>
      <c r="D3102" t="s">
        <v>66</v>
      </c>
      <c r="E3102" t="s">
        <v>10895</v>
      </c>
      <c r="F3102" t="s">
        <v>10879</v>
      </c>
      <c r="G3102" t="s">
        <v>121</v>
      </c>
      <c r="H3102" t="s">
        <v>10896</v>
      </c>
      <c r="I3102" t="s">
        <v>10897</v>
      </c>
      <c r="J3102" t="s">
        <v>71</v>
      </c>
      <c r="K3102" s="2" t="str">
        <f>HYPERLINK("http://collections.slsa.sa.gov.au/arthur/02000/BRG347_1975.htm")</f>
        <v>http://collections.slsa.sa.gov.au/arthur/02000/BRG347_1975.htm</v>
      </c>
    </row>
    <row r="3103" spans="1:11" x14ac:dyDescent="0.25">
      <c r="A3103" t="s">
        <v>10898</v>
      </c>
      <c r="B3103" s="1" t="str">
        <f>HYPERLINK("https://www.catalog.slsa.sa.gov.au/record=b2111323")</f>
        <v>https://www.catalog.slsa.sa.gov.au/record=b2111323</v>
      </c>
      <c r="C3103" s="1" t="str">
        <f>HYPERLINK("https://www.catalog.slsa.sa.gov.au/xrecord=b2111323")</f>
        <v>https://www.catalog.slsa.sa.gov.au/xrecord=b2111323</v>
      </c>
      <c r="D3103" t="s">
        <v>66</v>
      </c>
      <c r="E3103" t="s">
        <v>10899</v>
      </c>
      <c r="F3103" t="s">
        <v>10879</v>
      </c>
      <c r="G3103" t="s">
        <v>121</v>
      </c>
      <c r="H3103" t="s">
        <v>10900</v>
      </c>
      <c r="I3103" t="s">
        <v>10901</v>
      </c>
      <c r="J3103" t="s">
        <v>71</v>
      </c>
      <c r="K3103" s="2" t="str">
        <f>HYPERLINK("http://collections.slsa.sa.gov.au/arthur/02000/BRG347_1994.htm")</f>
        <v>http://collections.slsa.sa.gov.au/arthur/02000/BRG347_1994.htm</v>
      </c>
    </row>
    <row r="3104" spans="1:11" x14ac:dyDescent="0.25">
      <c r="A3104" t="s">
        <v>10902</v>
      </c>
      <c r="B3104" s="1" t="str">
        <f>HYPERLINK("https://www.catalog.slsa.sa.gov.au/record=b2111329")</f>
        <v>https://www.catalog.slsa.sa.gov.au/record=b2111329</v>
      </c>
      <c r="C3104" s="1" t="str">
        <f>HYPERLINK("https://www.catalog.slsa.sa.gov.au/xrecord=b2111329")</f>
        <v>https://www.catalog.slsa.sa.gov.au/xrecord=b2111329</v>
      </c>
      <c r="D3104" t="s">
        <v>66</v>
      </c>
      <c r="E3104" t="s">
        <v>10903</v>
      </c>
      <c r="F3104" t="s">
        <v>10879</v>
      </c>
      <c r="G3104" t="s">
        <v>121</v>
      </c>
      <c r="H3104" t="s">
        <v>10904</v>
      </c>
      <c r="I3104" t="s">
        <v>10905</v>
      </c>
      <c r="J3104" t="s">
        <v>71</v>
      </c>
      <c r="K3104" s="2" t="str">
        <f>HYPERLINK("http://collections.slsa.sa.gov.au/arthur/02000/BRG347_2000.htm")</f>
        <v>http://collections.slsa.sa.gov.au/arthur/02000/BRG347_2000.htm</v>
      </c>
    </row>
    <row r="3105" spans="1:11" x14ac:dyDescent="0.25">
      <c r="A3105" t="s">
        <v>10906</v>
      </c>
      <c r="B3105" s="1" t="str">
        <f>HYPERLINK("https://www.catalog.slsa.sa.gov.au/record=b2111333")</f>
        <v>https://www.catalog.slsa.sa.gov.au/record=b2111333</v>
      </c>
      <c r="C3105" s="1" t="str">
        <f>HYPERLINK("https://www.catalog.slsa.sa.gov.au/xrecord=b2111333")</f>
        <v>https://www.catalog.slsa.sa.gov.au/xrecord=b2111333</v>
      </c>
      <c r="D3105" t="s">
        <v>66</v>
      </c>
      <c r="E3105" t="s">
        <v>10907</v>
      </c>
      <c r="F3105" t="s">
        <v>10879</v>
      </c>
      <c r="G3105" t="s">
        <v>121</v>
      </c>
      <c r="H3105" t="s">
        <v>10908</v>
      </c>
      <c r="I3105" t="s">
        <v>10909</v>
      </c>
      <c r="J3105" t="s">
        <v>71</v>
      </c>
      <c r="K3105" s="2" t="str">
        <f>HYPERLINK("http://collections.slsa.sa.gov.au/arthur/02250/BRG347_2004.htm")</f>
        <v>http://collections.slsa.sa.gov.au/arthur/02250/BRG347_2004.htm</v>
      </c>
    </row>
    <row r="3106" spans="1:11" x14ac:dyDescent="0.25">
      <c r="A3106" t="s">
        <v>10910</v>
      </c>
      <c r="B3106" s="1" t="str">
        <f>HYPERLINK("https://www.catalog.slsa.sa.gov.au/record=b2111354")</f>
        <v>https://www.catalog.slsa.sa.gov.au/record=b2111354</v>
      </c>
      <c r="C3106" s="1" t="str">
        <f>HYPERLINK("https://www.catalog.slsa.sa.gov.au/xrecord=b2111354")</f>
        <v>https://www.catalog.slsa.sa.gov.au/xrecord=b2111354</v>
      </c>
      <c r="D3106" t="s">
        <v>66</v>
      </c>
      <c r="E3106" t="s">
        <v>10911</v>
      </c>
      <c r="F3106" t="s">
        <v>10879</v>
      </c>
      <c r="G3106" t="s">
        <v>121</v>
      </c>
      <c r="H3106" t="s">
        <v>10912</v>
      </c>
      <c r="I3106" t="s">
        <v>10913</v>
      </c>
      <c r="J3106" t="s">
        <v>71</v>
      </c>
      <c r="K3106" s="2" t="str">
        <f>HYPERLINK("http://collections.slsa.sa.gov.au/arthur/02250/BRG347_2026.htm")</f>
        <v>http://collections.slsa.sa.gov.au/arthur/02250/BRG347_2026.htm</v>
      </c>
    </row>
    <row r="3107" spans="1:11" x14ac:dyDescent="0.25">
      <c r="A3107" t="s">
        <v>10914</v>
      </c>
      <c r="B3107" s="1" t="str">
        <f>HYPERLINK("https://www.catalog.slsa.sa.gov.au/record=b2111355")</f>
        <v>https://www.catalog.slsa.sa.gov.au/record=b2111355</v>
      </c>
      <c r="C3107" s="1" t="str">
        <f>HYPERLINK("https://www.catalog.slsa.sa.gov.au/xrecord=b2111355")</f>
        <v>https://www.catalog.slsa.sa.gov.au/xrecord=b2111355</v>
      </c>
      <c r="D3107" t="s">
        <v>66</v>
      </c>
      <c r="E3107" t="s">
        <v>10911</v>
      </c>
      <c r="F3107" t="s">
        <v>10879</v>
      </c>
      <c r="G3107" t="s">
        <v>121</v>
      </c>
      <c r="H3107" t="s">
        <v>10915</v>
      </c>
      <c r="I3107" t="s">
        <v>10913</v>
      </c>
      <c r="J3107" t="s">
        <v>71</v>
      </c>
      <c r="K3107" s="2" t="str">
        <f>HYPERLINK("http://collections.slsa.sa.gov.au/arthur/02250/BRG347_2027.htm")</f>
        <v>http://collections.slsa.sa.gov.au/arthur/02250/BRG347_2027.htm</v>
      </c>
    </row>
    <row r="3108" spans="1:11" x14ac:dyDescent="0.25">
      <c r="A3108" t="s">
        <v>10916</v>
      </c>
      <c r="B3108" s="1" t="str">
        <f>HYPERLINK("https://www.catalog.slsa.sa.gov.au/record=b2112525")</f>
        <v>https://www.catalog.slsa.sa.gov.au/record=b2112525</v>
      </c>
      <c r="C3108" s="1" t="str">
        <f>HYPERLINK("https://www.catalog.slsa.sa.gov.au/xrecord=b2112525")</f>
        <v>https://www.catalog.slsa.sa.gov.au/xrecord=b2112525</v>
      </c>
      <c r="D3108" t="s">
        <v>66</v>
      </c>
      <c r="E3108" t="s">
        <v>10917</v>
      </c>
      <c r="F3108" t="s">
        <v>10879</v>
      </c>
      <c r="G3108" t="s">
        <v>121</v>
      </c>
      <c r="H3108" t="s">
        <v>10918</v>
      </c>
      <c r="I3108" t="s">
        <v>10919</v>
      </c>
      <c r="J3108" t="s">
        <v>71</v>
      </c>
      <c r="K3108" s="2" t="str">
        <f>HYPERLINK("http://collections.slsa.sa.gov.au/arthur/03000/BRG347_2793.htm")</f>
        <v>http://collections.slsa.sa.gov.au/arthur/03000/BRG347_2793.htm</v>
      </c>
    </row>
    <row r="3109" spans="1:11" x14ac:dyDescent="0.25">
      <c r="A3109" t="s">
        <v>10920</v>
      </c>
      <c r="B3109" s="1" t="str">
        <f>HYPERLINK("https://www.catalog.slsa.sa.gov.au/record=b2112550")</f>
        <v>https://www.catalog.slsa.sa.gov.au/record=b2112550</v>
      </c>
      <c r="C3109" s="1" t="str">
        <f>HYPERLINK("https://www.catalog.slsa.sa.gov.au/xrecord=b2112550")</f>
        <v>https://www.catalog.slsa.sa.gov.au/xrecord=b2112550</v>
      </c>
      <c r="D3109" t="s">
        <v>66</v>
      </c>
      <c r="E3109" t="s">
        <v>10921</v>
      </c>
      <c r="F3109" t="s">
        <v>10879</v>
      </c>
      <c r="G3109" t="s">
        <v>121</v>
      </c>
      <c r="H3109" t="s">
        <v>10922</v>
      </c>
      <c r="I3109" t="s">
        <v>10923</v>
      </c>
      <c r="J3109" t="s">
        <v>71</v>
      </c>
      <c r="K3109" s="2" t="str">
        <f>HYPERLINK("http://collections.slsa.sa.gov.au/arthur/03000/BRG347_2818.htm")</f>
        <v>http://collections.slsa.sa.gov.au/arthur/03000/BRG347_2818.htm</v>
      </c>
    </row>
    <row r="3110" spans="1:11" x14ac:dyDescent="0.25">
      <c r="A3110" t="s">
        <v>10924</v>
      </c>
      <c r="B3110" s="1" t="str">
        <f>HYPERLINK("https://www.catalog.slsa.sa.gov.au/record=b2926447")</f>
        <v>https://www.catalog.slsa.sa.gov.au/record=b2926447</v>
      </c>
      <c r="C3110" s="1" t="str">
        <f>HYPERLINK("https://www.catalog.slsa.sa.gov.au/xrecord=b2926447")</f>
        <v>https://www.catalog.slsa.sa.gov.au/xrecord=b2926447</v>
      </c>
      <c r="D3110" t="s">
        <v>3787</v>
      </c>
      <c r="E3110" t="s">
        <v>10925</v>
      </c>
      <c r="F3110" t="s">
        <v>10879</v>
      </c>
      <c r="G3110" t="s">
        <v>10926</v>
      </c>
      <c r="H3110" t="s">
        <v>10927</v>
      </c>
      <c r="I3110" t="s">
        <v>10928</v>
      </c>
      <c r="J3110" t="s">
        <v>3793</v>
      </c>
      <c r="K3110" s="2" t="str">
        <f>HYPERLINK("http://collections.slsa.sa.gov.au/prg/1611/20/PRG1611_20_125.htm")</f>
        <v>http://collections.slsa.sa.gov.au/prg/1611/20/PRG1611_20_125.htm</v>
      </c>
    </row>
    <row r="3111" spans="1:11" x14ac:dyDescent="0.25">
      <c r="A3111" t="s">
        <v>10929</v>
      </c>
      <c r="B3111" s="1" t="str">
        <f>HYPERLINK("https://www.catalog.slsa.sa.gov.au/record=b3028964")</f>
        <v>https://www.catalog.slsa.sa.gov.au/record=b3028964</v>
      </c>
      <c r="C3111" s="1" t="str">
        <f>HYPERLINK("https://www.catalog.slsa.sa.gov.au/xrecord=b3028964")</f>
        <v>https://www.catalog.slsa.sa.gov.au/xrecord=b3028964</v>
      </c>
      <c r="E3111" t="s">
        <v>10930</v>
      </c>
      <c r="F3111" t="s">
        <v>10879</v>
      </c>
      <c r="G3111" t="s">
        <v>2668</v>
      </c>
      <c r="H3111" t="s">
        <v>10931</v>
      </c>
      <c r="I3111" t="s">
        <v>10932</v>
      </c>
      <c r="K3111" s="2" t="str">
        <f>HYPERLINK("http://collections.slsa.sa.gov.au/resource/PRG+1664/6/7")</f>
        <v>http://collections.slsa.sa.gov.au/resource/PRG+1664/6/7</v>
      </c>
    </row>
    <row r="3112" spans="1:11" x14ac:dyDescent="0.25">
      <c r="A3112" t="s">
        <v>10933</v>
      </c>
      <c r="B3112" s="1" t="str">
        <f>HYPERLINK("https://www.catalog.slsa.sa.gov.au/record=b3189474")</f>
        <v>https://www.catalog.slsa.sa.gov.au/record=b3189474</v>
      </c>
      <c r="C3112" s="1" t="str">
        <f>HYPERLINK("https://www.catalog.slsa.sa.gov.au/xrecord=b3189474")</f>
        <v>https://www.catalog.slsa.sa.gov.au/xrecord=b3189474</v>
      </c>
      <c r="D3112" t="s">
        <v>2584</v>
      </c>
      <c r="E3112" t="s">
        <v>7102</v>
      </c>
      <c r="F3112" t="s">
        <v>10879</v>
      </c>
      <c r="G3112" t="s">
        <v>10934</v>
      </c>
      <c r="H3112" t="s">
        <v>10935</v>
      </c>
      <c r="I3112" t="s">
        <v>10936</v>
      </c>
      <c r="J3112" t="s">
        <v>2825</v>
      </c>
      <c r="K3112" s="2" t="str">
        <f>HYPERLINK("http://collections.slsa.sa.gov.au/resource/PRG+1712/9/4")</f>
        <v>http://collections.slsa.sa.gov.au/resource/PRG+1712/9/4</v>
      </c>
    </row>
    <row r="3113" spans="1:11" x14ac:dyDescent="0.25">
      <c r="A3113" t="s">
        <v>10937</v>
      </c>
      <c r="B3113" s="1" t="str">
        <f>HYPERLINK("https://www.catalog.slsa.sa.gov.au/record=b3189491")</f>
        <v>https://www.catalog.slsa.sa.gov.au/record=b3189491</v>
      </c>
      <c r="C3113" s="1" t="str">
        <f>HYPERLINK("https://www.catalog.slsa.sa.gov.au/xrecord=b3189491")</f>
        <v>https://www.catalog.slsa.sa.gov.au/xrecord=b3189491</v>
      </c>
      <c r="E3113" t="s">
        <v>10938</v>
      </c>
      <c r="F3113" t="s">
        <v>10879</v>
      </c>
      <c r="G3113" t="s">
        <v>10939</v>
      </c>
      <c r="H3113" t="s">
        <v>10940</v>
      </c>
      <c r="I3113" t="s">
        <v>10941</v>
      </c>
      <c r="J3113" t="s">
        <v>2825</v>
      </c>
      <c r="K3113" s="2" t="str">
        <f>HYPERLINK("http://collections.slsa.sa.gov.au/resource/PRG+1712/9/7")</f>
        <v>http://collections.slsa.sa.gov.au/resource/PRG+1712/9/7</v>
      </c>
    </row>
    <row r="3114" spans="1:11" x14ac:dyDescent="0.25">
      <c r="A3114" t="s">
        <v>10942</v>
      </c>
      <c r="B3114" s="1" t="str">
        <f>HYPERLINK("https://www.catalog.slsa.sa.gov.au/record=b3124578")</f>
        <v>https://www.catalog.slsa.sa.gov.au/record=b3124578</v>
      </c>
      <c r="C3114" s="1" t="str">
        <f>HYPERLINK("https://www.catalog.slsa.sa.gov.au/xrecord=b3124578")</f>
        <v>https://www.catalog.slsa.sa.gov.au/xrecord=b3124578</v>
      </c>
      <c r="D3114" t="s">
        <v>2827</v>
      </c>
      <c r="E3114" t="s">
        <v>10943</v>
      </c>
      <c r="F3114" t="s">
        <v>10879</v>
      </c>
      <c r="G3114" t="s">
        <v>10944</v>
      </c>
      <c r="H3114" t="s">
        <v>10945</v>
      </c>
      <c r="I3114" t="s">
        <v>10946</v>
      </c>
      <c r="K3114" s="2" t="str">
        <f>HYPERLINK("http://collections.slsa.sa.gov.au/resource/PRG+331/10/85")</f>
        <v>http://collections.slsa.sa.gov.au/resource/PRG+331/10/85</v>
      </c>
    </row>
    <row r="3115" spans="1:11" x14ac:dyDescent="0.25">
      <c r="A3115" t="s">
        <v>10947</v>
      </c>
      <c r="B3115" s="1" t="str">
        <f>HYPERLINK("https://www.catalog.slsa.sa.gov.au/record=b3138848")</f>
        <v>https://www.catalog.slsa.sa.gov.au/record=b3138848</v>
      </c>
      <c r="C3115" s="1" t="str">
        <f>HYPERLINK("https://www.catalog.slsa.sa.gov.au/xrecord=b3138848")</f>
        <v>https://www.catalog.slsa.sa.gov.au/xrecord=b3138848</v>
      </c>
      <c r="E3115" t="s">
        <v>10948</v>
      </c>
      <c r="F3115" t="s">
        <v>10949</v>
      </c>
      <c r="G3115" t="s">
        <v>2884</v>
      </c>
      <c r="H3115" t="s">
        <v>10950</v>
      </c>
      <c r="I3115" t="s">
        <v>10951</v>
      </c>
      <c r="J3115" t="s">
        <v>1824</v>
      </c>
      <c r="K3115" s="2" t="str">
        <f>HYPERLINK("http://collections.slsa.sa.gov.au/resource/PRG+830/20/218")</f>
        <v>http://collections.slsa.sa.gov.au/resource/PRG+830/20/218</v>
      </c>
    </row>
    <row r="3116" spans="1:11" x14ac:dyDescent="0.25">
      <c r="A3116" t="s">
        <v>10952</v>
      </c>
      <c r="B3116" s="1" t="str">
        <f>HYPERLINK("https://www.catalog.slsa.sa.gov.au/record=b3138849")</f>
        <v>https://www.catalog.slsa.sa.gov.au/record=b3138849</v>
      </c>
      <c r="C3116" s="1" t="str">
        <f>HYPERLINK("https://www.catalog.slsa.sa.gov.au/xrecord=b3138849")</f>
        <v>https://www.catalog.slsa.sa.gov.au/xrecord=b3138849</v>
      </c>
      <c r="E3116" t="s">
        <v>10948</v>
      </c>
      <c r="F3116" t="s">
        <v>10949</v>
      </c>
      <c r="G3116" t="s">
        <v>2884</v>
      </c>
      <c r="H3116" t="s">
        <v>10953</v>
      </c>
      <c r="I3116" t="s">
        <v>10951</v>
      </c>
      <c r="J3116" t="s">
        <v>1824</v>
      </c>
      <c r="K3116" s="2" t="str">
        <f>HYPERLINK("http://collections.slsa.sa.gov.au/resource/PRG+830/20/219")</f>
        <v>http://collections.slsa.sa.gov.au/resource/PRG+830/20/219</v>
      </c>
    </row>
    <row r="3117" spans="1:11" x14ac:dyDescent="0.25">
      <c r="A3117" t="s">
        <v>10954</v>
      </c>
      <c r="B3117" s="1" t="str">
        <f>HYPERLINK("https://www.catalog.slsa.sa.gov.au/record=b2942651")</f>
        <v>https://www.catalog.slsa.sa.gov.au/record=b2942651</v>
      </c>
      <c r="C3117" s="1" t="str">
        <f>HYPERLINK("https://www.catalog.slsa.sa.gov.au/xrecord=b2942651")</f>
        <v>https://www.catalog.slsa.sa.gov.au/xrecord=b2942651</v>
      </c>
      <c r="D3117" t="s">
        <v>10955</v>
      </c>
      <c r="E3117" t="s">
        <v>10956</v>
      </c>
      <c r="F3117" t="s">
        <v>10957</v>
      </c>
      <c r="G3117" t="s">
        <v>10958</v>
      </c>
      <c r="H3117" t="s">
        <v>10959</v>
      </c>
      <c r="I3117" t="s">
        <v>10960</v>
      </c>
      <c r="J3117" t="s">
        <v>2510</v>
      </c>
      <c r="K3117" s="2" t="str">
        <f>HYPERLINK("http://collections.slsa.sa.gov.au/resource/SRG+164/50/3")</f>
        <v>http://collections.slsa.sa.gov.au/resource/SRG+164/50/3</v>
      </c>
    </row>
    <row r="3118" spans="1:11" x14ac:dyDescent="0.25">
      <c r="A3118" t="s">
        <v>10961</v>
      </c>
      <c r="B3118" s="1" t="str">
        <f>HYPERLINK("https://www.catalog.slsa.sa.gov.au/record=b2111480")</f>
        <v>https://www.catalog.slsa.sa.gov.au/record=b2111480</v>
      </c>
      <c r="C3118" s="1" t="str">
        <f>HYPERLINK("https://www.catalog.slsa.sa.gov.au/xrecord=b2111480")</f>
        <v>https://www.catalog.slsa.sa.gov.au/xrecord=b2111480</v>
      </c>
      <c r="D3118" t="s">
        <v>66</v>
      </c>
      <c r="E3118" t="s">
        <v>10962</v>
      </c>
      <c r="F3118" t="s">
        <v>10963</v>
      </c>
      <c r="G3118" t="s">
        <v>121</v>
      </c>
      <c r="H3118" t="s">
        <v>10964</v>
      </c>
      <c r="I3118" t="s">
        <v>10965</v>
      </c>
      <c r="J3118" t="s">
        <v>71</v>
      </c>
      <c r="K3118" s="2" t="str">
        <f>HYPERLINK("http://collections.slsa.sa.gov.au/arthur/02250/BRG347_2116.htm")</f>
        <v>http://collections.slsa.sa.gov.au/arthur/02250/BRG347_2116.htm</v>
      </c>
    </row>
    <row r="3119" spans="1:11" x14ac:dyDescent="0.25">
      <c r="A3119" t="s">
        <v>10966</v>
      </c>
      <c r="B3119" s="1" t="str">
        <f>HYPERLINK("https://www.catalog.slsa.sa.gov.au/record=b3026713")</f>
        <v>https://www.catalog.slsa.sa.gov.au/record=b3026713</v>
      </c>
      <c r="C3119" s="1" t="str">
        <f>HYPERLINK("https://www.catalog.slsa.sa.gov.au/xrecord=b3026713")</f>
        <v>https://www.catalog.slsa.sa.gov.au/xrecord=b3026713</v>
      </c>
      <c r="D3119" t="s">
        <v>10967</v>
      </c>
      <c r="E3119" t="s">
        <v>10968</v>
      </c>
      <c r="F3119" t="s">
        <v>10969</v>
      </c>
      <c r="G3119" t="s">
        <v>10970</v>
      </c>
      <c r="H3119" t="s">
        <v>10971</v>
      </c>
      <c r="I3119" t="s">
        <v>10972</v>
      </c>
      <c r="K3119" s="2" t="str">
        <f>HYPERLINK("http://collections.slsa.sa.gov.au/resource/PRG+1658/1/36")</f>
        <v>http://collections.slsa.sa.gov.au/resource/PRG+1658/1/36</v>
      </c>
    </row>
    <row r="3120" spans="1:11" x14ac:dyDescent="0.25">
      <c r="A3120" t="s">
        <v>10973</v>
      </c>
      <c r="B3120" s="1" t="str">
        <f>HYPERLINK("https://www.catalog.slsa.sa.gov.au/record=b2111718")</f>
        <v>https://www.catalog.slsa.sa.gov.au/record=b2111718</v>
      </c>
      <c r="C3120" s="1" t="str">
        <f>HYPERLINK("https://www.catalog.slsa.sa.gov.au/xrecord=b2111718")</f>
        <v>https://www.catalog.slsa.sa.gov.au/xrecord=b2111718</v>
      </c>
      <c r="D3120" t="s">
        <v>66</v>
      </c>
      <c r="E3120" t="s">
        <v>10974</v>
      </c>
      <c r="F3120" t="s">
        <v>10975</v>
      </c>
      <c r="G3120" t="s">
        <v>121</v>
      </c>
      <c r="H3120" t="s">
        <v>10976</v>
      </c>
      <c r="I3120" t="s">
        <v>10598</v>
      </c>
      <c r="J3120" t="s">
        <v>71</v>
      </c>
      <c r="K3120" s="2" t="str">
        <f>HYPERLINK("http://collections.slsa.sa.gov.au/arthur/02500/BRG347_2321.htm")</f>
        <v>http://collections.slsa.sa.gov.au/arthur/02500/BRG347_2321.htm</v>
      </c>
    </row>
    <row r="3121" spans="1:11" x14ac:dyDescent="0.25">
      <c r="A3121" t="s">
        <v>10977</v>
      </c>
      <c r="B3121" s="1" t="str">
        <f>HYPERLINK("https://www.catalog.slsa.sa.gov.au/record=b2110977")</f>
        <v>https://www.catalog.slsa.sa.gov.au/record=b2110977</v>
      </c>
      <c r="C3121" s="1" t="str">
        <f>HYPERLINK("https://www.catalog.slsa.sa.gov.au/xrecord=b2110977")</f>
        <v>https://www.catalog.slsa.sa.gov.au/xrecord=b2110977</v>
      </c>
      <c r="D3121" t="s">
        <v>66</v>
      </c>
      <c r="E3121" t="s">
        <v>10978</v>
      </c>
      <c r="F3121" t="s">
        <v>10979</v>
      </c>
      <c r="G3121" t="s">
        <v>121</v>
      </c>
      <c r="H3121" t="s">
        <v>10980</v>
      </c>
      <c r="I3121" t="s">
        <v>10981</v>
      </c>
      <c r="J3121" t="s">
        <v>71</v>
      </c>
      <c r="K3121" s="2" t="str">
        <f>HYPERLINK("http://collections.slsa.sa.gov.au/arthur/01750/BRG347_1656.htm")</f>
        <v>http://collections.slsa.sa.gov.au/arthur/01750/BRG347_1656.htm</v>
      </c>
    </row>
    <row r="3122" spans="1:11" x14ac:dyDescent="0.25">
      <c r="A3122" t="s">
        <v>10982</v>
      </c>
      <c r="B3122" s="1" t="str">
        <f>HYPERLINK("https://www.catalog.slsa.sa.gov.au/record=b2111722")</f>
        <v>https://www.catalog.slsa.sa.gov.au/record=b2111722</v>
      </c>
      <c r="C3122" s="1" t="str">
        <f>HYPERLINK("https://www.catalog.slsa.sa.gov.au/xrecord=b2111722")</f>
        <v>https://www.catalog.slsa.sa.gov.au/xrecord=b2111722</v>
      </c>
      <c r="D3122" t="s">
        <v>66</v>
      </c>
      <c r="E3122" t="s">
        <v>10983</v>
      </c>
      <c r="F3122" t="s">
        <v>10984</v>
      </c>
      <c r="G3122" t="s">
        <v>121</v>
      </c>
      <c r="H3122" t="s">
        <v>10985</v>
      </c>
      <c r="I3122" t="s">
        <v>10986</v>
      </c>
      <c r="J3122" t="s">
        <v>71</v>
      </c>
      <c r="K3122" s="2" t="str">
        <f>HYPERLINK("http://collections.slsa.sa.gov.au/arthur/02500/BRG347_2324.htm")</f>
        <v>http://collections.slsa.sa.gov.au/arthur/02500/BRG347_2324.htm</v>
      </c>
    </row>
    <row r="3123" spans="1:11" x14ac:dyDescent="0.25">
      <c r="A3123" t="s">
        <v>10987</v>
      </c>
      <c r="B3123" s="1" t="str">
        <f>HYPERLINK("https://www.catalog.slsa.sa.gov.au/record=b2111730")</f>
        <v>https://www.catalog.slsa.sa.gov.au/record=b2111730</v>
      </c>
      <c r="C3123" s="1" t="str">
        <f>HYPERLINK("https://www.catalog.slsa.sa.gov.au/xrecord=b2111730")</f>
        <v>https://www.catalog.slsa.sa.gov.au/xrecord=b2111730</v>
      </c>
      <c r="D3123" t="s">
        <v>66</v>
      </c>
      <c r="E3123" t="s">
        <v>10988</v>
      </c>
      <c r="F3123" t="s">
        <v>10989</v>
      </c>
      <c r="G3123" t="s">
        <v>121</v>
      </c>
      <c r="H3123" t="s">
        <v>10990</v>
      </c>
      <c r="I3123" t="s">
        <v>10991</v>
      </c>
      <c r="J3123" t="s">
        <v>71</v>
      </c>
      <c r="K3123" s="2" t="str">
        <f>HYPERLINK("http://collections.slsa.sa.gov.au/arthur/02500/BRG347_2329.htm")</f>
        <v>http://collections.slsa.sa.gov.au/arthur/02500/BRG347_2329.htm</v>
      </c>
    </row>
    <row r="3124" spans="1:11" x14ac:dyDescent="0.25">
      <c r="A3124" t="s">
        <v>10992</v>
      </c>
      <c r="B3124" s="1" t="str">
        <f>HYPERLINK("https://www.catalog.slsa.sa.gov.au/record=b2192298")</f>
        <v>https://www.catalog.slsa.sa.gov.au/record=b2192298</v>
      </c>
      <c r="C3124" s="1" t="str">
        <f>HYPERLINK("https://www.catalog.slsa.sa.gov.au/xrecord=b2192298")</f>
        <v>https://www.catalog.slsa.sa.gov.au/xrecord=b2192298</v>
      </c>
      <c r="D3124" t="s">
        <v>10993</v>
      </c>
      <c r="E3124" t="s">
        <v>10994</v>
      </c>
      <c r="F3124" t="s">
        <v>10995</v>
      </c>
      <c r="G3124" t="s">
        <v>10996</v>
      </c>
      <c r="H3124" t="s">
        <v>10997</v>
      </c>
      <c r="I3124" t="s">
        <v>10998</v>
      </c>
      <c r="K3124" s="2" t="str">
        <f>HYPERLINK("http://collections.slsa.sa.gov.au/resource/PRG+1218/34")</f>
        <v>http://collections.slsa.sa.gov.au/resource/PRG+1218/34</v>
      </c>
    </row>
    <row r="3125" spans="1:11" x14ac:dyDescent="0.25">
      <c r="A3125" t="s">
        <v>10999</v>
      </c>
      <c r="B3125" s="1" t="str">
        <f>HYPERLINK("https://www.catalog.slsa.sa.gov.au/record=b2192304")</f>
        <v>https://www.catalog.slsa.sa.gov.au/record=b2192304</v>
      </c>
      <c r="C3125" s="1" t="str">
        <f>HYPERLINK("https://www.catalog.slsa.sa.gov.au/xrecord=b2192304")</f>
        <v>https://www.catalog.slsa.sa.gov.au/xrecord=b2192304</v>
      </c>
      <c r="D3125" t="s">
        <v>10993</v>
      </c>
      <c r="E3125" t="s">
        <v>11000</v>
      </c>
      <c r="F3125" t="s">
        <v>10995</v>
      </c>
      <c r="G3125" t="s">
        <v>11001</v>
      </c>
      <c r="H3125" t="s">
        <v>11002</v>
      </c>
      <c r="I3125" t="s">
        <v>11003</v>
      </c>
      <c r="K3125" s="2" t="str">
        <f>HYPERLINK("http://collections.slsa.sa.gov.au/resource/PRG+1218/35")</f>
        <v>http://collections.slsa.sa.gov.au/resource/PRG+1218/35</v>
      </c>
    </row>
    <row r="3126" spans="1:11" x14ac:dyDescent="0.25">
      <c r="A3126" t="s">
        <v>11004</v>
      </c>
      <c r="B3126" s="1" t="str">
        <f>HYPERLINK("https://www.catalog.slsa.sa.gov.au/record=b2110498")</f>
        <v>https://www.catalog.slsa.sa.gov.au/record=b2110498</v>
      </c>
      <c r="C3126" s="1" t="str">
        <f>HYPERLINK("https://www.catalog.slsa.sa.gov.au/xrecord=b2110498")</f>
        <v>https://www.catalog.slsa.sa.gov.au/xrecord=b2110498</v>
      </c>
      <c r="D3126" t="s">
        <v>66</v>
      </c>
      <c r="E3126" t="s">
        <v>11005</v>
      </c>
      <c r="F3126">
        <v>1961</v>
      </c>
      <c r="G3126" t="s">
        <v>121</v>
      </c>
      <c r="H3126" t="s">
        <v>11006</v>
      </c>
      <c r="I3126" t="s">
        <v>9352</v>
      </c>
      <c r="J3126" t="s">
        <v>71</v>
      </c>
      <c r="K3126" s="2" t="str">
        <f>HYPERLINK("http://collections.slsa.sa.gov.au/arthur/01500/BRG347_1273.htm")</f>
        <v>http://collections.slsa.sa.gov.au/arthur/01500/BRG347_1273.htm</v>
      </c>
    </row>
    <row r="3127" spans="1:11" x14ac:dyDescent="0.25">
      <c r="A3127" t="s">
        <v>11007</v>
      </c>
      <c r="B3127" s="1" t="str">
        <f>HYPERLINK("https://www.catalog.slsa.sa.gov.au/record=b2118247")</f>
        <v>https://www.catalog.slsa.sa.gov.au/record=b2118247</v>
      </c>
      <c r="C3127" s="1" t="str">
        <f>HYPERLINK("https://www.catalog.slsa.sa.gov.au/xrecord=b2118247")</f>
        <v>https://www.catalog.slsa.sa.gov.au/xrecord=b2118247</v>
      </c>
      <c r="D3127" t="s">
        <v>66</v>
      </c>
      <c r="E3127" t="s">
        <v>11008</v>
      </c>
      <c r="F3127">
        <v>1961</v>
      </c>
      <c r="G3127" t="s">
        <v>11009</v>
      </c>
      <c r="H3127" t="s">
        <v>11010</v>
      </c>
      <c r="I3127" t="s">
        <v>614</v>
      </c>
      <c r="J3127" t="s">
        <v>71</v>
      </c>
      <c r="K3127" s="2" t="str">
        <f>HYPERLINK("http://collections.slsa.sa.gov.au/arthur/01000/BRG347_882.htm")</f>
        <v>http://collections.slsa.sa.gov.au/arthur/01000/BRG347_882.htm</v>
      </c>
    </row>
    <row r="3128" spans="1:11" x14ac:dyDescent="0.25">
      <c r="A3128" t="s">
        <v>11011</v>
      </c>
      <c r="B3128" s="1" t="str">
        <f>HYPERLINK("https://www.catalog.slsa.sa.gov.au/record=b2110079")</f>
        <v>https://www.catalog.slsa.sa.gov.au/record=b2110079</v>
      </c>
      <c r="C3128" s="1" t="str">
        <f>HYPERLINK("https://www.catalog.slsa.sa.gov.au/xrecord=b2110079")</f>
        <v>https://www.catalog.slsa.sa.gov.au/xrecord=b2110079</v>
      </c>
      <c r="D3128" t="s">
        <v>66</v>
      </c>
      <c r="E3128" t="s">
        <v>11012</v>
      </c>
      <c r="F3128">
        <v>1961</v>
      </c>
      <c r="G3128" t="s">
        <v>121</v>
      </c>
      <c r="H3128" t="s">
        <v>11013</v>
      </c>
      <c r="I3128" t="s">
        <v>9243</v>
      </c>
      <c r="J3128" t="s">
        <v>71</v>
      </c>
      <c r="K3128" s="2" t="str">
        <f>HYPERLINK("http://collections.slsa.sa.gov.au/arthur/01000/BRG347_883.htm")</f>
        <v>http://collections.slsa.sa.gov.au/arthur/01000/BRG347_883.htm</v>
      </c>
    </row>
    <row r="3129" spans="1:11" x14ac:dyDescent="0.25">
      <c r="A3129" t="s">
        <v>11014</v>
      </c>
      <c r="B3129" s="1" t="str">
        <f>HYPERLINK("https://www.catalog.slsa.sa.gov.au/record=b2110080")</f>
        <v>https://www.catalog.slsa.sa.gov.au/record=b2110080</v>
      </c>
      <c r="C3129" s="1" t="str">
        <f>HYPERLINK("https://www.catalog.slsa.sa.gov.au/xrecord=b2110080")</f>
        <v>https://www.catalog.slsa.sa.gov.au/xrecord=b2110080</v>
      </c>
      <c r="D3129" t="s">
        <v>66</v>
      </c>
      <c r="E3129" t="s">
        <v>11015</v>
      </c>
      <c r="F3129">
        <v>1961</v>
      </c>
      <c r="G3129" t="s">
        <v>121</v>
      </c>
      <c r="H3129" t="s">
        <v>11016</v>
      </c>
      <c r="I3129" t="s">
        <v>11017</v>
      </c>
      <c r="J3129" t="s">
        <v>71</v>
      </c>
      <c r="K3129" s="2" t="str">
        <f>HYPERLINK("http://collections.slsa.sa.gov.au/arthur/01000/BRG347_884.htm")</f>
        <v>http://collections.slsa.sa.gov.au/arthur/01000/BRG347_884.htm</v>
      </c>
    </row>
    <row r="3130" spans="1:11" x14ac:dyDescent="0.25">
      <c r="A3130" t="s">
        <v>11018</v>
      </c>
      <c r="B3130" s="1" t="str">
        <f>HYPERLINK("https://www.catalog.slsa.sa.gov.au/record=b2110082")</f>
        <v>https://www.catalog.slsa.sa.gov.au/record=b2110082</v>
      </c>
      <c r="C3130" s="1" t="str">
        <f>HYPERLINK("https://www.catalog.slsa.sa.gov.au/xrecord=b2110082")</f>
        <v>https://www.catalog.slsa.sa.gov.au/xrecord=b2110082</v>
      </c>
      <c r="D3130" t="s">
        <v>66</v>
      </c>
      <c r="E3130" t="s">
        <v>11019</v>
      </c>
      <c r="F3130">
        <v>1961</v>
      </c>
      <c r="G3130" t="s">
        <v>121</v>
      </c>
      <c r="H3130" t="s">
        <v>11020</v>
      </c>
      <c r="I3130" t="s">
        <v>11021</v>
      </c>
      <c r="J3130" t="s">
        <v>71</v>
      </c>
      <c r="K3130" s="2" t="str">
        <f>HYPERLINK("http://collections.slsa.sa.gov.au/arthur/01000/BRG347_886.htm")</f>
        <v>http://collections.slsa.sa.gov.au/arthur/01000/BRG347_886.htm</v>
      </c>
    </row>
    <row r="3131" spans="1:11" x14ac:dyDescent="0.25">
      <c r="A3131" t="s">
        <v>11022</v>
      </c>
      <c r="B3131" s="1" t="str">
        <f>HYPERLINK("https://www.catalog.slsa.sa.gov.au/record=b2110484")</f>
        <v>https://www.catalog.slsa.sa.gov.au/record=b2110484</v>
      </c>
      <c r="C3131" s="1" t="str">
        <f>HYPERLINK("https://www.catalog.slsa.sa.gov.au/xrecord=b2110484")</f>
        <v>https://www.catalog.slsa.sa.gov.au/xrecord=b2110484</v>
      </c>
      <c r="D3131" t="s">
        <v>66</v>
      </c>
      <c r="E3131" t="s">
        <v>5607</v>
      </c>
      <c r="F3131">
        <v>1961</v>
      </c>
      <c r="G3131" t="s">
        <v>121</v>
      </c>
      <c r="H3131" t="s">
        <v>11023</v>
      </c>
      <c r="I3131" t="s">
        <v>5609</v>
      </c>
      <c r="J3131" t="s">
        <v>71</v>
      </c>
      <c r="K3131" s="2" t="str">
        <f>HYPERLINK("http://collections.slsa.sa.gov.au/arthur/01500/BRG347_1259.htm")</f>
        <v>http://collections.slsa.sa.gov.au/arthur/01500/BRG347_1259.htm</v>
      </c>
    </row>
    <row r="3132" spans="1:11" x14ac:dyDescent="0.25">
      <c r="A3132" t="s">
        <v>11024</v>
      </c>
      <c r="B3132" s="1" t="str">
        <f>HYPERLINK("https://www.catalog.slsa.sa.gov.au/record=b2110506")</f>
        <v>https://www.catalog.slsa.sa.gov.au/record=b2110506</v>
      </c>
      <c r="C3132" s="1" t="str">
        <f>HYPERLINK("https://www.catalog.slsa.sa.gov.au/xrecord=b2110506")</f>
        <v>https://www.catalog.slsa.sa.gov.au/xrecord=b2110506</v>
      </c>
      <c r="D3132" t="s">
        <v>66</v>
      </c>
      <c r="E3132" t="s">
        <v>10289</v>
      </c>
      <c r="F3132">
        <v>1961</v>
      </c>
      <c r="G3132" t="s">
        <v>121</v>
      </c>
      <c r="H3132" t="s">
        <v>11025</v>
      </c>
      <c r="I3132" t="s">
        <v>10287</v>
      </c>
      <c r="J3132" t="s">
        <v>71</v>
      </c>
      <c r="K3132" s="2" t="str">
        <f>HYPERLINK("http://collections.slsa.sa.gov.au/arthur/01500/BRG347_1281.htm")</f>
        <v>http://collections.slsa.sa.gov.au/arthur/01500/BRG347_1281.htm</v>
      </c>
    </row>
    <row r="3133" spans="1:11" x14ac:dyDescent="0.25">
      <c r="A3133" t="s">
        <v>11026</v>
      </c>
      <c r="B3133" s="1" t="str">
        <f>HYPERLINK("https://www.catalog.slsa.sa.gov.au/record=b2110611")</f>
        <v>https://www.catalog.slsa.sa.gov.au/record=b2110611</v>
      </c>
      <c r="C3133" s="1" t="str">
        <f>HYPERLINK("https://www.catalog.slsa.sa.gov.au/xrecord=b2110611")</f>
        <v>https://www.catalog.slsa.sa.gov.au/xrecord=b2110611</v>
      </c>
      <c r="D3133" t="s">
        <v>66</v>
      </c>
      <c r="E3133" t="s">
        <v>11012</v>
      </c>
      <c r="F3133">
        <v>1961</v>
      </c>
      <c r="G3133" t="s">
        <v>121</v>
      </c>
      <c r="H3133" t="s">
        <v>11027</v>
      </c>
      <c r="I3133" t="s">
        <v>11028</v>
      </c>
      <c r="J3133" t="s">
        <v>71</v>
      </c>
      <c r="K3133" s="2" t="str">
        <f>HYPERLINK("http://collections.slsa.sa.gov.au/arthur/01500/BRG347_1329.htm")</f>
        <v>http://collections.slsa.sa.gov.au/arthur/01500/BRG347_1329.htm</v>
      </c>
    </row>
    <row r="3134" spans="1:11" x14ac:dyDescent="0.25">
      <c r="A3134" t="s">
        <v>11029</v>
      </c>
      <c r="B3134" s="1" t="str">
        <f>HYPERLINK("https://www.catalog.slsa.sa.gov.au/record=b2110612")</f>
        <v>https://www.catalog.slsa.sa.gov.au/record=b2110612</v>
      </c>
      <c r="C3134" s="1" t="str">
        <f>HYPERLINK("https://www.catalog.slsa.sa.gov.au/xrecord=b2110612")</f>
        <v>https://www.catalog.slsa.sa.gov.au/xrecord=b2110612</v>
      </c>
      <c r="D3134" t="s">
        <v>66</v>
      </c>
      <c r="E3134" t="s">
        <v>8370</v>
      </c>
      <c r="F3134">
        <v>1961</v>
      </c>
      <c r="G3134" t="s">
        <v>121</v>
      </c>
      <c r="H3134" t="s">
        <v>11030</v>
      </c>
      <c r="I3134" t="s">
        <v>11031</v>
      </c>
      <c r="J3134" t="s">
        <v>71</v>
      </c>
      <c r="K3134" s="2" t="str">
        <f>HYPERLINK("http://collections.slsa.sa.gov.au/arthur/01500/BRG347_1330.htm")</f>
        <v>http://collections.slsa.sa.gov.au/arthur/01500/BRG347_1330.htm</v>
      </c>
    </row>
    <row r="3135" spans="1:11" x14ac:dyDescent="0.25">
      <c r="A3135" t="s">
        <v>11032</v>
      </c>
      <c r="B3135" s="1" t="str">
        <f>HYPERLINK("https://www.catalog.slsa.sa.gov.au/record=b2110613")</f>
        <v>https://www.catalog.slsa.sa.gov.au/record=b2110613</v>
      </c>
      <c r="C3135" s="1" t="str">
        <f>HYPERLINK("https://www.catalog.slsa.sa.gov.au/xrecord=b2110613")</f>
        <v>https://www.catalog.slsa.sa.gov.au/xrecord=b2110613</v>
      </c>
      <c r="D3135" t="s">
        <v>66</v>
      </c>
      <c r="E3135" t="s">
        <v>8370</v>
      </c>
      <c r="F3135">
        <v>1961</v>
      </c>
      <c r="G3135" t="s">
        <v>121</v>
      </c>
      <c r="H3135" t="s">
        <v>11033</v>
      </c>
      <c r="I3135" t="s">
        <v>11034</v>
      </c>
      <c r="J3135" t="s">
        <v>71</v>
      </c>
      <c r="K3135" s="2" t="str">
        <f>HYPERLINK("http://collections.slsa.sa.gov.au/arthur/01500/BRG347_1331.htm")</f>
        <v>http://collections.slsa.sa.gov.au/arthur/01500/BRG347_1331.htm</v>
      </c>
    </row>
    <row r="3136" spans="1:11" x14ac:dyDescent="0.25">
      <c r="A3136" t="s">
        <v>11035</v>
      </c>
      <c r="B3136" s="1" t="str">
        <f>HYPERLINK("https://www.catalog.slsa.sa.gov.au/record=b2110614")</f>
        <v>https://www.catalog.slsa.sa.gov.au/record=b2110614</v>
      </c>
      <c r="C3136" s="1" t="str">
        <f>HYPERLINK("https://www.catalog.slsa.sa.gov.au/xrecord=b2110614")</f>
        <v>https://www.catalog.slsa.sa.gov.au/xrecord=b2110614</v>
      </c>
      <c r="D3136" t="s">
        <v>66</v>
      </c>
      <c r="E3136" t="s">
        <v>8370</v>
      </c>
      <c r="F3136">
        <v>1961</v>
      </c>
      <c r="G3136" t="s">
        <v>121</v>
      </c>
      <c r="H3136" t="s">
        <v>11033</v>
      </c>
      <c r="I3136" t="s">
        <v>11034</v>
      </c>
      <c r="J3136" t="s">
        <v>71</v>
      </c>
      <c r="K3136" s="2" t="str">
        <f>HYPERLINK("http://collections.slsa.sa.gov.au/arthur/01500/BRG347_1332.htm")</f>
        <v>http://collections.slsa.sa.gov.au/arthur/01500/BRG347_1332.htm</v>
      </c>
    </row>
    <row r="3137" spans="1:11" x14ac:dyDescent="0.25">
      <c r="A3137" t="s">
        <v>11036</v>
      </c>
      <c r="B3137" s="1" t="str">
        <f>HYPERLINK("https://www.catalog.slsa.sa.gov.au/record=b2110615")</f>
        <v>https://www.catalog.slsa.sa.gov.au/record=b2110615</v>
      </c>
      <c r="C3137" s="1" t="str">
        <f>HYPERLINK("https://www.catalog.slsa.sa.gov.au/xrecord=b2110615")</f>
        <v>https://www.catalog.slsa.sa.gov.au/xrecord=b2110615</v>
      </c>
      <c r="D3137" t="s">
        <v>66</v>
      </c>
      <c r="E3137" t="s">
        <v>8370</v>
      </c>
      <c r="F3137">
        <v>1961</v>
      </c>
      <c r="G3137" t="s">
        <v>121</v>
      </c>
      <c r="H3137" t="s">
        <v>11037</v>
      </c>
      <c r="I3137" t="s">
        <v>11038</v>
      </c>
      <c r="J3137" t="s">
        <v>71</v>
      </c>
      <c r="K3137" s="2" t="str">
        <f>HYPERLINK("http://collections.slsa.sa.gov.au/arthur/01500/BRG347_1333.htm")</f>
        <v>http://collections.slsa.sa.gov.au/arthur/01500/BRG347_1333.htm</v>
      </c>
    </row>
    <row r="3138" spans="1:11" x14ac:dyDescent="0.25">
      <c r="A3138" t="s">
        <v>11039</v>
      </c>
      <c r="B3138" s="1" t="str">
        <f>HYPERLINK("https://www.catalog.slsa.sa.gov.au/record=b2110616")</f>
        <v>https://www.catalog.slsa.sa.gov.au/record=b2110616</v>
      </c>
      <c r="C3138" s="1" t="str">
        <f>HYPERLINK("https://www.catalog.slsa.sa.gov.au/xrecord=b2110616")</f>
        <v>https://www.catalog.slsa.sa.gov.au/xrecord=b2110616</v>
      </c>
      <c r="D3138" t="s">
        <v>66</v>
      </c>
      <c r="E3138" t="s">
        <v>8299</v>
      </c>
      <c r="F3138">
        <v>1961</v>
      </c>
      <c r="G3138" t="s">
        <v>121</v>
      </c>
      <c r="H3138" t="s">
        <v>11040</v>
      </c>
      <c r="I3138" t="s">
        <v>8304</v>
      </c>
      <c r="J3138" t="s">
        <v>71</v>
      </c>
      <c r="K3138" s="2" t="str">
        <f>HYPERLINK("http://collections.slsa.sa.gov.au/arthur/01500/BRG347_1334.htm")</f>
        <v>http://collections.slsa.sa.gov.au/arthur/01500/BRG347_1334.htm</v>
      </c>
    </row>
    <row r="3139" spans="1:11" x14ac:dyDescent="0.25">
      <c r="A3139" t="s">
        <v>11041</v>
      </c>
      <c r="B3139" s="1" t="str">
        <f>HYPERLINK("https://www.catalog.slsa.sa.gov.au/record=b2110617")</f>
        <v>https://www.catalog.slsa.sa.gov.au/record=b2110617</v>
      </c>
      <c r="C3139" s="1" t="str">
        <f>HYPERLINK("https://www.catalog.slsa.sa.gov.au/xrecord=b2110617")</f>
        <v>https://www.catalog.slsa.sa.gov.au/xrecord=b2110617</v>
      </c>
      <c r="D3139" t="s">
        <v>66</v>
      </c>
      <c r="E3139" t="s">
        <v>11042</v>
      </c>
      <c r="F3139">
        <v>1961</v>
      </c>
      <c r="G3139" t="s">
        <v>121</v>
      </c>
      <c r="H3139" t="s">
        <v>11043</v>
      </c>
      <c r="I3139" t="s">
        <v>7803</v>
      </c>
      <c r="J3139" t="s">
        <v>71</v>
      </c>
      <c r="K3139" s="2" t="str">
        <f>HYPERLINK("http://collections.slsa.sa.gov.au/arthur/01500/BRG347_1335.htm")</f>
        <v>http://collections.slsa.sa.gov.au/arthur/01500/BRG347_1335.htm</v>
      </c>
    </row>
    <row r="3140" spans="1:11" x14ac:dyDescent="0.25">
      <c r="A3140" t="s">
        <v>11044</v>
      </c>
      <c r="B3140" s="1" t="str">
        <f>HYPERLINK("https://www.catalog.slsa.sa.gov.au/record=b2110618")</f>
        <v>https://www.catalog.slsa.sa.gov.au/record=b2110618</v>
      </c>
      <c r="C3140" s="1" t="str">
        <f>HYPERLINK("https://www.catalog.slsa.sa.gov.au/xrecord=b2110618")</f>
        <v>https://www.catalog.slsa.sa.gov.au/xrecord=b2110618</v>
      </c>
      <c r="D3140" t="s">
        <v>66</v>
      </c>
      <c r="E3140" t="s">
        <v>11042</v>
      </c>
      <c r="F3140">
        <v>1961</v>
      </c>
      <c r="G3140" t="s">
        <v>121</v>
      </c>
      <c r="H3140" t="s">
        <v>11045</v>
      </c>
      <c r="I3140" t="s">
        <v>7803</v>
      </c>
      <c r="J3140" t="s">
        <v>71</v>
      </c>
      <c r="K3140" s="2" t="str">
        <f>HYPERLINK("http://collections.slsa.sa.gov.au/arthur/01500/BRG347_1336.htm")</f>
        <v>http://collections.slsa.sa.gov.au/arthur/01500/BRG347_1336.htm</v>
      </c>
    </row>
    <row r="3141" spans="1:11" x14ac:dyDescent="0.25">
      <c r="A3141" t="s">
        <v>11046</v>
      </c>
      <c r="B3141" s="1" t="str">
        <f>HYPERLINK("https://www.catalog.slsa.sa.gov.au/record=b2110619")</f>
        <v>https://www.catalog.slsa.sa.gov.au/record=b2110619</v>
      </c>
      <c r="C3141" s="1" t="str">
        <f>HYPERLINK("https://www.catalog.slsa.sa.gov.au/xrecord=b2110619")</f>
        <v>https://www.catalog.slsa.sa.gov.au/xrecord=b2110619</v>
      </c>
      <c r="D3141" t="s">
        <v>66</v>
      </c>
      <c r="E3141" t="s">
        <v>11042</v>
      </c>
      <c r="F3141">
        <v>1961</v>
      </c>
      <c r="G3141" t="s">
        <v>121</v>
      </c>
      <c r="H3141" t="s">
        <v>11047</v>
      </c>
      <c r="I3141" t="s">
        <v>7803</v>
      </c>
      <c r="J3141" t="s">
        <v>71</v>
      </c>
      <c r="K3141" s="2" t="str">
        <f>HYPERLINK("http://collections.slsa.sa.gov.au/arthur/01500/BRG347_1337.htm")</f>
        <v>http://collections.slsa.sa.gov.au/arthur/01500/BRG347_1337.htm</v>
      </c>
    </row>
    <row r="3142" spans="1:11" x14ac:dyDescent="0.25">
      <c r="A3142" t="s">
        <v>11048</v>
      </c>
      <c r="B3142" s="1" t="str">
        <f>HYPERLINK("https://www.catalog.slsa.sa.gov.au/record=b2110620")</f>
        <v>https://www.catalog.slsa.sa.gov.au/record=b2110620</v>
      </c>
      <c r="C3142" s="1" t="str">
        <f>HYPERLINK("https://www.catalog.slsa.sa.gov.au/xrecord=b2110620")</f>
        <v>https://www.catalog.slsa.sa.gov.au/xrecord=b2110620</v>
      </c>
      <c r="D3142" t="s">
        <v>66</v>
      </c>
      <c r="E3142" t="s">
        <v>11042</v>
      </c>
      <c r="F3142">
        <v>1961</v>
      </c>
      <c r="G3142" t="s">
        <v>121</v>
      </c>
      <c r="H3142" t="s">
        <v>11049</v>
      </c>
      <c r="I3142" t="s">
        <v>7803</v>
      </c>
      <c r="J3142" t="s">
        <v>71</v>
      </c>
      <c r="K3142" s="2" t="str">
        <f>HYPERLINK("http://collections.slsa.sa.gov.au/arthur/01500/BRG347_1338.htm")</f>
        <v>http://collections.slsa.sa.gov.au/arthur/01500/BRG347_1338.htm</v>
      </c>
    </row>
    <row r="3143" spans="1:11" x14ac:dyDescent="0.25">
      <c r="A3143" t="s">
        <v>11050</v>
      </c>
      <c r="B3143" s="1" t="str">
        <f>HYPERLINK("https://www.catalog.slsa.sa.gov.au/record=b2110621")</f>
        <v>https://www.catalog.slsa.sa.gov.au/record=b2110621</v>
      </c>
      <c r="C3143" s="1" t="str">
        <f>HYPERLINK("https://www.catalog.slsa.sa.gov.au/xrecord=b2110621")</f>
        <v>https://www.catalog.slsa.sa.gov.au/xrecord=b2110621</v>
      </c>
      <c r="D3143" t="s">
        <v>66</v>
      </c>
      <c r="E3143" t="s">
        <v>11042</v>
      </c>
      <c r="F3143">
        <v>1961</v>
      </c>
      <c r="G3143" t="s">
        <v>121</v>
      </c>
      <c r="H3143" t="s">
        <v>11051</v>
      </c>
      <c r="I3143" t="s">
        <v>7803</v>
      </c>
      <c r="J3143" t="s">
        <v>71</v>
      </c>
      <c r="K3143" s="2" t="str">
        <f>HYPERLINK("http://collections.slsa.sa.gov.au/arthur/01500/BRG347_1339.htm")</f>
        <v>http://collections.slsa.sa.gov.au/arthur/01500/BRG347_1339.htm</v>
      </c>
    </row>
    <row r="3144" spans="1:11" x14ac:dyDescent="0.25">
      <c r="A3144" t="s">
        <v>11052</v>
      </c>
      <c r="B3144" s="1" t="str">
        <f>HYPERLINK("https://www.catalog.slsa.sa.gov.au/record=b2110622")</f>
        <v>https://www.catalog.slsa.sa.gov.au/record=b2110622</v>
      </c>
      <c r="C3144" s="1" t="str">
        <f>HYPERLINK("https://www.catalog.slsa.sa.gov.au/xrecord=b2110622")</f>
        <v>https://www.catalog.slsa.sa.gov.au/xrecord=b2110622</v>
      </c>
      <c r="D3144" t="s">
        <v>66</v>
      </c>
      <c r="E3144" t="s">
        <v>11042</v>
      </c>
      <c r="F3144">
        <v>1961</v>
      </c>
      <c r="G3144" t="s">
        <v>121</v>
      </c>
      <c r="H3144" t="s">
        <v>11053</v>
      </c>
      <c r="I3144" t="s">
        <v>7803</v>
      </c>
      <c r="J3144" t="s">
        <v>71</v>
      </c>
      <c r="K3144" s="2" t="str">
        <f>HYPERLINK("http://collections.slsa.sa.gov.au/arthur/01500/BRG347_1341.htm")</f>
        <v>http://collections.slsa.sa.gov.au/arthur/01500/BRG347_1341.htm</v>
      </c>
    </row>
    <row r="3145" spans="1:11" x14ac:dyDescent="0.25">
      <c r="A3145" t="s">
        <v>11054</v>
      </c>
      <c r="B3145" s="1" t="str">
        <f>HYPERLINK("https://www.catalog.slsa.sa.gov.au/record=b2110623")</f>
        <v>https://www.catalog.slsa.sa.gov.au/record=b2110623</v>
      </c>
      <c r="C3145" s="1" t="str">
        <f>HYPERLINK("https://www.catalog.slsa.sa.gov.au/xrecord=b2110623")</f>
        <v>https://www.catalog.slsa.sa.gov.au/xrecord=b2110623</v>
      </c>
      <c r="D3145" t="s">
        <v>66</v>
      </c>
      <c r="E3145" t="s">
        <v>11042</v>
      </c>
      <c r="F3145">
        <v>1961</v>
      </c>
      <c r="G3145" t="s">
        <v>121</v>
      </c>
      <c r="H3145" t="s">
        <v>11055</v>
      </c>
      <c r="I3145" t="s">
        <v>7803</v>
      </c>
      <c r="J3145" t="s">
        <v>71</v>
      </c>
      <c r="K3145" s="2" t="str">
        <f>HYPERLINK("http://collections.slsa.sa.gov.au/arthur/01500/BRG347_1342.htm")</f>
        <v>http://collections.slsa.sa.gov.au/arthur/01500/BRG347_1342.htm</v>
      </c>
    </row>
    <row r="3146" spans="1:11" x14ac:dyDescent="0.25">
      <c r="A3146" t="s">
        <v>11056</v>
      </c>
      <c r="B3146" s="1" t="str">
        <f>HYPERLINK("https://www.catalog.slsa.sa.gov.au/record=b2110624")</f>
        <v>https://www.catalog.slsa.sa.gov.au/record=b2110624</v>
      </c>
      <c r="C3146" s="1" t="str">
        <f>HYPERLINK("https://www.catalog.slsa.sa.gov.au/xrecord=b2110624")</f>
        <v>https://www.catalog.slsa.sa.gov.au/xrecord=b2110624</v>
      </c>
      <c r="D3146" t="s">
        <v>66</v>
      </c>
      <c r="E3146" t="s">
        <v>11057</v>
      </c>
      <c r="F3146">
        <v>1961</v>
      </c>
      <c r="G3146" t="s">
        <v>121</v>
      </c>
      <c r="H3146" t="s">
        <v>11058</v>
      </c>
      <c r="I3146" t="s">
        <v>7786</v>
      </c>
      <c r="J3146" t="s">
        <v>71</v>
      </c>
      <c r="K3146" s="2" t="str">
        <f>HYPERLINK("http://collections.slsa.sa.gov.au/arthur/01500/BRG347_1343.htm")</f>
        <v>http://collections.slsa.sa.gov.au/arthur/01500/BRG347_1343.htm</v>
      </c>
    </row>
    <row r="3147" spans="1:11" x14ac:dyDescent="0.25">
      <c r="A3147" t="s">
        <v>11059</v>
      </c>
      <c r="B3147" s="1" t="str">
        <f>HYPERLINK("https://www.catalog.slsa.sa.gov.au/record=b2110625")</f>
        <v>https://www.catalog.slsa.sa.gov.au/record=b2110625</v>
      </c>
      <c r="C3147" s="1" t="str">
        <f>HYPERLINK("https://www.catalog.slsa.sa.gov.au/xrecord=b2110625")</f>
        <v>https://www.catalog.slsa.sa.gov.au/xrecord=b2110625</v>
      </c>
      <c r="D3147" t="s">
        <v>66</v>
      </c>
      <c r="E3147" t="s">
        <v>11057</v>
      </c>
      <c r="F3147">
        <v>1961</v>
      </c>
      <c r="G3147" t="s">
        <v>121</v>
      </c>
      <c r="H3147" t="s">
        <v>11060</v>
      </c>
      <c r="I3147" t="s">
        <v>11061</v>
      </c>
      <c r="J3147" t="s">
        <v>71</v>
      </c>
      <c r="K3147" s="2" t="str">
        <f>HYPERLINK("http://collections.slsa.sa.gov.au/arthur/01500/BRG347_1344.htm")</f>
        <v>http://collections.slsa.sa.gov.au/arthur/01500/BRG347_1344.htm</v>
      </c>
    </row>
    <row r="3148" spans="1:11" x14ac:dyDescent="0.25">
      <c r="A3148" t="s">
        <v>11062</v>
      </c>
      <c r="B3148" s="1" t="str">
        <f>HYPERLINK("https://www.catalog.slsa.sa.gov.au/record=b2110626")</f>
        <v>https://www.catalog.slsa.sa.gov.au/record=b2110626</v>
      </c>
      <c r="C3148" s="1" t="str">
        <f>HYPERLINK("https://www.catalog.slsa.sa.gov.au/xrecord=b2110626")</f>
        <v>https://www.catalog.slsa.sa.gov.au/xrecord=b2110626</v>
      </c>
      <c r="D3148" t="s">
        <v>66</v>
      </c>
      <c r="E3148" t="s">
        <v>8370</v>
      </c>
      <c r="F3148">
        <v>1961</v>
      </c>
      <c r="G3148" t="s">
        <v>121</v>
      </c>
      <c r="H3148" t="s">
        <v>11063</v>
      </c>
      <c r="I3148" t="s">
        <v>9293</v>
      </c>
      <c r="J3148" t="s">
        <v>71</v>
      </c>
      <c r="K3148" s="2" t="str">
        <f>HYPERLINK("http://collections.slsa.sa.gov.au/arthur/01500/BRG347_1345.htm")</f>
        <v>http://collections.slsa.sa.gov.au/arthur/01500/BRG347_1345.htm</v>
      </c>
    </row>
    <row r="3149" spans="1:11" x14ac:dyDescent="0.25">
      <c r="A3149" t="s">
        <v>11064</v>
      </c>
      <c r="B3149" s="1" t="str">
        <f>HYPERLINK("https://www.catalog.slsa.sa.gov.au/record=b2110627")</f>
        <v>https://www.catalog.slsa.sa.gov.au/record=b2110627</v>
      </c>
      <c r="C3149" s="1" t="str">
        <f>HYPERLINK("https://www.catalog.slsa.sa.gov.au/xrecord=b2110627")</f>
        <v>https://www.catalog.slsa.sa.gov.au/xrecord=b2110627</v>
      </c>
      <c r="D3149" t="s">
        <v>66</v>
      </c>
      <c r="E3149" t="s">
        <v>11057</v>
      </c>
      <c r="F3149">
        <v>1961</v>
      </c>
      <c r="G3149" t="s">
        <v>121</v>
      </c>
      <c r="H3149" t="s">
        <v>11065</v>
      </c>
      <c r="I3149" t="s">
        <v>11066</v>
      </c>
      <c r="J3149" t="s">
        <v>71</v>
      </c>
      <c r="K3149" s="2" t="str">
        <f>HYPERLINK("http://collections.slsa.sa.gov.au/arthur/01500/BRG347_1346.htm")</f>
        <v>http://collections.slsa.sa.gov.au/arthur/01500/BRG347_1346.htm</v>
      </c>
    </row>
    <row r="3150" spans="1:11" x14ac:dyDescent="0.25">
      <c r="A3150" t="s">
        <v>11067</v>
      </c>
      <c r="B3150" s="1" t="str">
        <f>HYPERLINK("https://www.catalog.slsa.sa.gov.au/record=b2110629")</f>
        <v>https://www.catalog.slsa.sa.gov.au/record=b2110629</v>
      </c>
      <c r="C3150" s="1" t="str">
        <f>HYPERLINK("https://www.catalog.slsa.sa.gov.au/xrecord=b2110629")</f>
        <v>https://www.catalog.slsa.sa.gov.au/xrecord=b2110629</v>
      </c>
      <c r="D3150" t="s">
        <v>66</v>
      </c>
      <c r="E3150" t="s">
        <v>11068</v>
      </c>
      <c r="F3150">
        <v>1961</v>
      </c>
      <c r="G3150" t="s">
        <v>121</v>
      </c>
      <c r="H3150" t="s">
        <v>11069</v>
      </c>
      <c r="I3150" t="s">
        <v>11070</v>
      </c>
      <c r="J3150" t="s">
        <v>71</v>
      </c>
      <c r="K3150" s="2" t="str">
        <f>HYPERLINK("http://collections.slsa.sa.gov.au/arthur/01500/BRG347_1348.htm")</f>
        <v>http://collections.slsa.sa.gov.au/arthur/01500/BRG347_1348.htm</v>
      </c>
    </row>
    <row r="3151" spans="1:11" x14ac:dyDescent="0.25">
      <c r="A3151" t="s">
        <v>11071</v>
      </c>
      <c r="B3151" s="1" t="str">
        <f>HYPERLINK("https://www.catalog.slsa.sa.gov.au/record=b2110773")</f>
        <v>https://www.catalog.slsa.sa.gov.au/record=b2110773</v>
      </c>
      <c r="C3151" s="1" t="str">
        <f>HYPERLINK("https://www.catalog.slsa.sa.gov.au/xrecord=b2110773")</f>
        <v>https://www.catalog.slsa.sa.gov.au/xrecord=b2110773</v>
      </c>
      <c r="D3151" t="s">
        <v>66</v>
      </c>
      <c r="E3151" t="s">
        <v>11072</v>
      </c>
      <c r="F3151">
        <v>1961</v>
      </c>
      <c r="G3151" t="s">
        <v>121</v>
      </c>
      <c r="H3151" t="s">
        <v>11073</v>
      </c>
      <c r="I3151" t="s">
        <v>11074</v>
      </c>
      <c r="J3151" t="s">
        <v>71</v>
      </c>
      <c r="K3151" s="2" t="str">
        <f>HYPERLINK("http://collections.slsa.sa.gov.au/arthur/01500/BRG347_1493.htm")</f>
        <v>http://collections.slsa.sa.gov.au/arthur/01500/BRG347_1493.htm</v>
      </c>
    </row>
    <row r="3152" spans="1:11" x14ac:dyDescent="0.25">
      <c r="A3152" t="s">
        <v>11075</v>
      </c>
      <c r="B3152" s="1" t="str">
        <f>HYPERLINK("https://www.catalog.slsa.sa.gov.au/record=b2110824")</f>
        <v>https://www.catalog.slsa.sa.gov.au/record=b2110824</v>
      </c>
      <c r="C3152" s="1" t="str">
        <f>HYPERLINK("https://www.catalog.slsa.sa.gov.au/xrecord=b2110824")</f>
        <v>https://www.catalog.slsa.sa.gov.au/xrecord=b2110824</v>
      </c>
      <c r="D3152" t="s">
        <v>66</v>
      </c>
      <c r="E3152" t="s">
        <v>11076</v>
      </c>
      <c r="F3152">
        <v>1961</v>
      </c>
      <c r="G3152" t="s">
        <v>121</v>
      </c>
      <c r="H3152" t="s">
        <v>11077</v>
      </c>
      <c r="I3152" t="s">
        <v>11078</v>
      </c>
      <c r="J3152" t="s">
        <v>71</v>
      </c>
      <c r="K3152" s="2" t="str">
        <f>HYPERLINK("http://collections.slsa.sa.gov.au/arthur/01750/BRG347_1545.htm")</f>
        <v>http://collections.slsa.sa.gov.au/arthur/01750/BRG347_1545.htm</v>
      </c>
    </row>
    <row r="3153" spans="1:11" x14ac:dyDescent="0.25">
      <c r="A3153" t="s">
        <v>11079</v>
      </c>
      <c r="B3153" s="1" t="str">
        <f>HYPERLINK("https://www.catalog.slsa.sa.gov.au/record=b2110825")</f>
        <v>https://www.catalog.slsa.sa.gov.au/record=b2110825</v>
      </c>
      <c r="C3153" s="1" t="str">
        <f>HYPERLINK("https://www.catalog.slsa.sa.gov.au/xrecord=b2110825")</f>
        <v>https://www.catalog.slsa.sa.gov.au/xrecord=b2110825</v>
      </c>
      <c r="D3153" t="s">
        <v>66</v>
      </c>
      <c r="E3153" t="s">
        <v>11080</v>
      </c>
      <c r="F3153">
        <v>1961</v>
      </c>
      <c r="G3153" t="s">
        <v>121</v>
      </c>
      <c r="H3153" t="s">
        <v>11081</v>
      </c>
      <c r="I3153" t="s">
        <v>11082</v>
      </c>
      <c r="J3153" t="s">
        <v>71</v>
      </c>
      <c r="K3153" s="2" t="str">
        <f>HYPERLINK("http://collections.slsa.sa.gov.au/arthur/01750/BRG347_1546.htm")</f>
        <v>http://collections.slsa.sa.gov.au/arthur/01750/BRG347_1546.htm</v>
      </c>
    </row>
    <row r="3154" spans="1:11" x14ac:dyDescent="0.25">
      <c r="A3154" t="s">
        <v>11083</v>
      </c>
      <c r="B3154" s="1" t="str">
        <f>HYPERLINK("https://www.catalog.slsa.sa.gov.au/record=b2110826")</f>
        <v>https://www.catalog.slsa.sa.gov.au/record=b2110826</v>
      </c>
      <c r="C3154" s="1" t="str">
        <f>HYPERLINK("https://www.catalog.slsa.sa.gov.au/xrecord=b2110826")</f>
        <v>https://www.catalog.slsa.sa.gov.au/xrecord=b2110826</v>
      </c>
      <c r="D3154" t="s">
        <v>66</v>
      </c>
      <c r="E3154" t="s">
        <v>10386</v>
      </c>
      <c r="F3154">
        <v>1961</v>
      </c>
      <c r="G3154" t="s">
        <v>121</v>
      </c>
      <c r="H3154" t="s">
        <v>11084</v>
      </c>
      <c r="I3154" t="s">
        <v>11085</v>
      </c>
      <c r="J3154" t="s">
        <v>71</v>
      </c>
      <c r="K3154" s="2" t="str">
        <f>HYPERLINK("http://collections.slsa.sa.gov.au/arthur/01750/BRG347_1547.htm")</f>
        <v>http://collections.slsa.sa.gov.au/arthur/01750/BRG347_1547.htm</v>
      </c>
    </row>
    <row r="3155" spans="1:11" x14ac:dyDescent="0.25">
      <c r="A3155" t="s">
        <v>11086</v>
      </c>
      <c r="B3155" s="1" t="str">
        <f>HYPERLINK("https://www.catalog.slsa.sa.gov.au/record=b2110827")</f>
        <v>https://www.catalog.slsa.sa.gov.au/record=b2110827</v>
      </c>
      <c r="C3155" s="1" t="str">
        <f>HYPERLINK("https://www.catalog.slsa.sa.gov.au/xrecord=b2110827")</f>
        <v>https://www.catalog.slsa.sa.gov.au/xrecord=b2110827</v>
      </c>
      <c r="D3155" t="s">
        <v>66</v>
      </c>
      <c r="E3155" t="s">
        <v>10386</v>
      </c>
      <c r="F3155">
        <v>1961</v>
      </c>
      <c r="G3155" t="s">
        <v>121</v>
      </c>
      <c r="H3155" t="s">
        <v>11087</v>
      </c>
      <c r="I3155" t="s">
        <v>11088</v>
      </c>
      <c r="J3155" t="s">
        <v>71</v>
      </c>
      <c r="K3155" s="2" t="str">
        <f>HYPERLINK("http://collections.slsa.sa.gov.au/arthur/01750/BRG347_1548.htm")</f>
        <v>http://collections.slsa.sa.gov.au/arthur/01750/BRG347_1548.htm</v>
      </c>
    </row>
    <row r="3156" spans="1:11" x14ac:dyDescent="0.25">
      <c r="A3156" t="s">
        <v>11089</v>
      </c>
      <c r="B3156" s="1" t="str">
        <f>HYPERLINK("https://www.catalog.slsa.sa.gov.au/record=b2110828")</f>
        <v>https://www.catalog.slsa.sa.gov.au/record=b2110828</v>
      </c>
      <c r="C3156" s="1" t="str">
        <f>HYPERLINK("https://www.catalog.slsa.sa.gov.au/xrecord=b2110828")</f>
        <v>https://www.catalog.slsa.sa.gov.au/xrecord=b2110828</v>
      </c>
      <c r="D3156" t="s">
        <v>66</v>
      </c>
      <c r="E3156" t="s">
        <v>10386</v>
      </c>
      <c r="F3156">
        <v>1961</v>
      </c>
      <c r="G3156" t="s">
        <v>121</v>
      </c>
      <c r="H3156" t="s">
        <v>11087</v>
      </c>
      <c r="I3156" t="s">
        <v>11090</v>
      </c>
      <c r="J3156" t="s">
        <v>71</v>
      </c>
      <c r="K3156" s="2" t="str">
        <f>HYPERLINK("http://collections.slsa.sa.gov.au/arthur/01750/BRG347_1549.htm")</f>
        <v>http://collections.slsa.sa.gov.au/arthur/01750/BRG347_1549.htm</v>
      </c>
    </row>
    <row r="3157" spans="1:11" x14ac:dyDescent="0.25">
      <c r="A3157" t="s">
        <v>11091</v>
      </c>
      <c r="B3157" s="1" t="str">
        <f>HYPERLINK("https://www.catalog.slsa.sa.gov.au/record=b2110829")</f>
        <v>https://www.catalog.slsa.sa.gov.au/record=b2110829</v>
      </c>
      <c r="C3157" s="1" t="str">
        <f>HYPERLINK("https://www.catalog.slsa.sa.gov.au/xrecord=b2110829")</f>
        <v>https://www.catalog.slsa.sa.gov.au/xrecord=b2110829</v>
      </c>
      <c r="D3157" t="s">
        <v>66</v>
      </c>
      <c r="E3157" t="s">
        <v>10386</v>
      </c>
      <c r="F3157">
        <v>1961</v>
      </c>
      <c r="G3157" t="s">
        <v>121</v>
      </c>
      <c r="H3157" t="s">
        <v>11092</v>
      </c>
      <c r="I3157" t="s">
        <v>11093</v>
      </c>
      <c r="J3157" t="s">
        <v>71</v>
      </c>
      <c r="K3157" s="2" t="str">
        <f>HYPERLINK("http://collections.slsa.sa.gov.au/arthur/01750/BRG347_1550.htm")</f>
        <v>http://collections.slsa.sa.gov.au/arthur/01750/BRG347_1550.htm</v>
      </c>
    </row>
    <row r="3158" spans="1:11" x14ac:dyDescent="0.25">
      <c r="A3158" t="s">
        <v>11094</v>
      </c>
      <c r="B3158" s="1" t="str">
        <f>HYPERLINK("https://www.catalog.slsa.sa.gov.au/record=b2110677")</f>
        <v>https://www.catalog.slsa.sa.gov.au/record=b2110677</v>
      </c>
      <c r="C3158" s="1" t="str">
        <f>HYPERLINK("https://www.catalog.slsa.sa.gov.au/xrecord=b2110677")</f>
        <v>https://www.catalog.slsa.sa.gov.au/xrecord=b2110677</v>
      </c>
      <c r="D3158" t="s">
        <v>66</v>
      </c>
      <c r="E3158" t="s">
        <v>10636</v>
      </c>
      <c r="F3158">
        <v>1961</v>
      </c>
      <c r="G3158" t="s">
        <v>121</v>
      </c>
      <c r="H3158" t="s">
        <v>11095</v>
      </c>
      <c r="I3158" t="s">
        <v>11093</v>
      </c>
      <c r="J3158" t="s">
        <v>71</v>
      </c>
      <c r="K3158" s="2" t="str">
        <f>HYPERLINK("http://collections.slsa.sa.gov.au/arthur/01750/BRG347_1551.htm")</f>
        <v>http://collections.slsa.sa.gov.au/arthur/01750/BRG347_1551.htm</v>
      </c>
    </row>
    <row r="3159" spans="1:11" x14ac:dyDescent="0.25">
      <c r="A3159" t="s">
        <v>11096</v>
      </c>
      <c r="B3159" s="1" t="str">
        <f>HYPERLINK("https://www.catalog.slsa.sa.gov.au/record=b2110830")</f>
        <v>https://www.catalog.slsa.sa.gov.au/record=b2110830</v>
      </c>
      <c r="C3159" s="1" t="str">
        <f>HYPERLINK("https://www.catalog.slsa.sa.gov.au/xrecord=b2110830")</f>
        <v>https://www.catalog.slsa.sa.gov.au/xrecord=b2110830</v>
      </c>
      <c r="D3159" t="s">
        <v>66</v>
      </c>
      <c r="E3159" t="s">
        <v>11097</v>
      </c>
      <c r="F3159">
        <v>1961</v>
      </c>
      <c r="G3159" t="s">
        <v>121</v>
      </c>
      <c r="H3159" t="s">
        <v>11098</v>
      </c>
      <c r="I3159" t="s">
        <v>11099</v>
      </c>
      <c r="J3159" t="s">
        <v>71</v>
      </c>
      <c r="K3159" s="2" t="str">
        <f>HYPERLINK("http://collections.slsa.sa.gov.au/arthur/01750/BRG347_1552.htm")</f>
        <v>http://collections.slsa.sa.gov.au/arthur/01750/BRG347_1552.htm</v>
      </c>
    </row>
    <row r="3160" spans="1:11" x14ac:dyDescent="0.25">
      <c r="A3160" t="s">
        <v>11100</v>
      </c>
      <c r="B3160" s="1" t="str">
        <f>HYPERLINK("https://www.catalog.slsa.sa.gov.au/record=b2110974")</f>
        <v>https://www.catalog.slsa.sa.gov.au/record=b2110974</v>
      </c>
      <c r="C3160" s="1" t="str">
        <f>HYPERLINK("https://www.catalog.slsa.sa.gov.au/xrecord=b2110974")</f>
        <v>https://www.catalog.slsa.sa.gov.au/xrecord=b2110974</v>
      </c>
      <c r="D3160" t="s">
        <v>66</v>
      </c>
      <c r="E3160" t="s">
        <v>11101</v>
      </c>
      <c r="F3160">
        <v>1961</v>
      </c>
      <c r="G3160" t="s">
        <v>121</v>
      </c>
      <c r="H3160" t="s">
        <v>11102</v>
      </c>
      <c r="I3160" t="s">
        <v>11103</v>
      </c>
      <c r="J3160" t="s">
        <v>71</v>
      </c>
      <c r="K3160" s="2" t="str">
        <f>HYPERLINK("http://collections.slsa.sa.gov.au/arthur/01750/BRG347_1653.htm")</f>
        <v>http://collections.slsa.sa.gov.au/arthur/01750/BRG347_1653.htm</v>
      </c>
    </row>
    <row r="3161" spans="1:11" x14ac:dyDescent="0.25">
      <c r="A3161" t="s">
        <v>11104</v>
      </c>
      <c r="B3161" s="1" t="str">
        <f>HYPERLINK("https://www.catalog.slsa.sa.gov.au/record=b2110975")</f>
        <v>https://www.catalog.slsa.sa.gov.au/record=b2110975</v>
      </c>
      <c r="C3161" s="1" t="str">
        <f>HYPERLINK("https://www.catalog.slsa.sa.gov.au/xrecord=b2110975")</f>
        <v>https://www.catalog.slsa.sa.gov.au/xrecord=b2110975</v>
      </c>
      <c r="D3161" t="s">
        <v>66</v>
      </c>
      <c r="E3161" t="s">
        <v>11101</v>
      </c>
      <c r="F3161">
        <v>1961</v>
      </c>
      <c r="G3161" t="s">
        <v>121</v>
      </c>
      <c r="H3161" t="s">
        <v>11105</v>
      </c>
      <c r="I3161" t="s">
        <v>11106</v>
      </c>
      <c r="J3161" t="s">
        <v>71</v>
      </c>
      <c r="K3161" s="2" t="str">
        <f>HYPERLINK("http://collections.slsa.sa.gov.au/arthur/01750/BRG347_1654.htm")</f>
        <v>http://collections.slsa.sa.gov.au/arthur/01750/BRG347_1654.htm</v>
      </c>
    </row>
    <row r="3162" spans="1:11" x14ac:dyDescent="0.25">
      <c r="A3162" t="s">
        <v>11107</v>
      </c>
      <c r="B3162" s="1" t="str">
        <f>HYPERLINK("https://www.catalog.slsa.sa.gov.au/record=b2110976")</f>
        <v>https://www.catalog.slsa.sa.gov.au/record=b2110976</v>
      </c>
      <c r="C3162" s="1" t="str">
        <f>HYPERLINK("https://www.catalog.slsa.sa.gov.au/xrecord=b2110976")</f>
        <v>https://www.catalog.slsa.sa.gov.au/xrecord=b2110976</v>
      </c>
      <c r="D3162" t="s">
        <v>66</v>
      </c>
      <c r="E3162" t="s">
        <v>11101</v>
      </c>
      <c r="F3162">
        <v>1961</v>
      </c>
      <c r="G3162" t="s">
        <v>121</v>
      </c>
      <c r="H3162" t="s">
        <v>11108</v>
      </c>
      <c r="I3162" t="s">
        <v>11109</v>
      </c>
      <c r="J3162" t="s">
        <v>71</v>
      </c>
      <c r="K3162" s="2" t="str">
        <f>HYPERLINK("http://collections.slsa.sa.gov.au/arthur/01750/BRG347_1655.htm")</f>
        <v>http://collections.slsa.sa.gov.au/arthur/01750/BRG347_1655.htm</v>
      </c>
    </row>
    <row r="3163" spans="1:11" x14ac:dyDescent="0.25">
      <c r="A3163" t="s">
        <v>11110</v>
      </c>
      <c r="B3163" s="1" t="str">
        <f>HYPERLINK("https://www.catalog.slsa.sa.gov.au/record=b2110980")</f>
        <v>https://www.catalog.slsa.sa.gov.au/record=b2110980</v>
      </c>
      <c r="C3163" s="1" t="str">
        <f>HYPERLINK("https://www.catalog.slsa.sa.gov.au/xrecord=b2110980")</f>
        <v>https://www.catalog.slsa.sa.gov.au/xrecord=b2110980</v>
      </c>
      <c r="D3163" t="s">
        <v>66</v>
      </c>
      <c r="E3163" t="s">
        <v>10129</v>
      </c>
      <c r="F3163">
        <v>1961</v>
      </c>
      <c r="G3163" t="s">
        <v>121</v>
      </c>
      <c r="H3163" t="s">
        <v>11111</v>
      </c>
      <c r="I3163" t="s">
        <v>11112</v>
      </c>
      <c r="J3163" t="s">
        <v>71</v>
      </c>
      <c r="K3163" s="2" t="str">
        <f>HYPERLINK("http://collections.slsa.sa.gov.au/arthur/01750/BRG347_1659.htm")</f>
        <v>http://collections.slsa.sa.gov.au/arthur/01750/BRG347_1659.htm</v>
      </c>
    </row>
    <row r="3164" spans="1:11" x14ac:dyDescent="0.25">
      <c r="A3164" t="s">
        <v>11113</v>
      </c>
      <c r="B3164" s="1" t="str">
        <f>HYPERLINK("https://www.catalog.slsa.sa.gov.au/record=b2110981")</f>
        <v>https://www.catalog.slsa.sa.gov.au/record=b2110981</v>
      </c>
      <c r="C3164" s="1" t="str">
        <f>HYPERLINK("https://www.catalog.slsa.sa.gov.au/xrecord=b2110981")</f>
        <v>https://www.catalog.slsa.sa.gov.au/xrecord=b2110981</v>
      </c>
      <c r="D3164" t="s">
        <v>66</v>
      </c>
      <c r="E3164" t="s">
        <v>11101</v>
      </c>
      <c r="F3164">
        <v>1961</v>
      </c>
      <c r="G3164" t="s">
        <v>121</v>
      </c>
      <c r="H3164" t="s">
        <v>11114</v>
      </c>
      <c r="I3164" t="s">
        <v>11115</v>
      </c>
      <c r="J3164" t="s">
        <v>71</v>
      </c>
      <c r="K3164" s="2" t="str">
        <f>HYPERLINK("http://collections.slsa.sa.gov.au/arthur/01750/BRG347_1660.htm")</f>
        <v>http://collections.slsa.sa.gov.au/arthur/01750/BRG347_1660.htm</v>
      </c>
    </row>
    <row r="3165" spans="1:11" x14ac:dyDescent="0.25">
      <c r="A3165" t="s">
        <v>11116</v>
      </c>
      <c r="B3165" s="1" t="str">
        <f>HYPERLINK("https://www.catalog.slsa.sa.gov.au/record=b2110982")</f>
        <v>https://www.catalog.slsa.sa.gov.au/record=b2110982</v>
      </c>
      <c r="C3165" s="1" t="str">
        <f>HYPERLINK("https://www.catalog.slsa.sa.gov.au/xrecord=b2110982")</f>
        <v>https://www.catalog.slsa.sa.gov.au/xrecord=b2110982</v>
      </c>
      <c r="D3165" t="s">
        <v>66</v>
      </c>
      <c r="E3165" t="s">
        <v>11101</v>
      </c>
      <c r="F3165">
        <v>1961</v>
      </c>
      <c r="G3165" t="s">
        <v>121</v>
      </c>
      <c r="H3165" t="s">
        <v>11117</v>
      </c>
      <c r="I3165" t="s">
        <v>11118</v>
      </c>
      <c r="J3165" t="s">
        <v>71</v>
      </c>
      <c r="K3165" s="2" t="str">
        <f>HYPERLINK("http://collections.slsa.sa.gov.au/arthur/01750/BRG347_1661.htm")</f>
        <v>http://collections.slsa.sa.gov.au/arthur/01750/BRG347_1661.htm</v>
      </c>
    </row>
    <row r="3166" spans="1:11" x14ac:dyDescent="0.25">
      <c r="A3166" t="s">
        <v>11119</v>
      </c>
      <c r="B3166" s="1" t="str">
        <f>HYPERLINK("https://www.catalog.slsa.sa.gov.au/record=b2110983")</f>
        <v>https://www.catalog.slsa.sa.gov.au/record=b2110983</v>
      </c>
      <c r="C3166" s="1" t="str">
        <f>HYPERLINK("https://www.catalog.slsa.sa.gov.au/xrecord=b2110983")</f>
        <v>https://www.catalog.slsa.sa.gov.au/xrecord=b2110983</v>
      </c>
      <c r="D3166" t="s">
        <v>66</v>
      </c>
      <c r="E3166" t="s">
        <v>11120</v>
      </c>
      <c r="F3166">
        <v>1961</v>
      </c>
      <c r="G3166" t="s">
        <v>121</v>
      </c>
      <c r="H3166" t="s">
        <v>11121</v>
      </c>
      <c r="I3166" t="s">
        <v>11122</v>
      </c>
      <c r="J3166" t="s">
        <v>71</v>
      </c>
      <c r="K3166" s="2" t="str">
        <f>HYPERLINK("http://collections.slsa.sa.gov.au/arthur/01750/BRG347_1662.htm")</f>
        <v>http://collections.slsa.sa.gov.au/arthur/01750/BRG347_1662.htm</v>
      </c>
    </row>
    <row r="3167" spans="1:11" x14ac:dyDescent="0.25">
      <c r="A3167" t="s">
        <v>11123</v>
      </c>
      <c r="B3167" s="1" t="str">
        <f>HYPERLINK("https://www.catalog.slsa.sa.gov.au/record=b2110984")</f>
        <v>https://www.catalog.slsa.sa.gov.au/record=b2110984</v>
      </c>
      <c r="C3167" s="1" t="str">
        <f>HYPERLINK("https://www.catalog.slsa.sa.gov.au/xrecord=b2110984")</f>
        <v>https://www.catalog.slsa.sa.gov.au/xrecord=b2110984</v>
      </c>
      <c r="D3167" t="s">
        <v>66</v>
      </c>
      <c r="E3167" t="s">
        <v>10974</v>
      </c>
      <c r="F3167">
        <v>1961</v>
      </c>
      <c r="G3167" t="s">
        <v>121</v>
      </c>
      <c r="H3167" t="s">
        <v>11124</v>
      </c>
      <c r="I3167" t="s">
        <v>10598</v>
      </c>
      <c r="J3167" t="s">
        <v>71</v>
      </c>
      <c r="K3167" s="2" t="str">
        <f>HYPERLINK("http://collections.slsa.sa.gov.au/arthur/01750/BRG347_1663.htm")</f>
        <v>http://collections.slsa.sa.gov.au/arthur/01750/BRG347_1663.htm</v>
      </c>
    </row>
    <row r="3168" spans="1:11" x14ac:dyDescent="0.25">
      <c r="A3168" t="s">
        <v>11125</v>
      </c>
      <c r="B3168" s="1" t="str">
        <f>HYPERLINK("https://www.catalog.slsa.sa.gov.au/record=b2110985")</f>
        <v>https://www.catalog.slsa.sa.gov.au/record=b2110985</v>
      </c>
      <c r="C3168" s="1" t="str">
        <f>HYPERLINK("https://www.catalog.slsa.sa.gov.au/xrecord=b2110985")</f>
        <v>https://www.catalog.slsa.sa.gov.au/xrecord=b2110985</v>
      </c>
      <c r="D3168" t="s">
        <v>66</v>
      </c>
      <c r="E3168" t="s">
        <v>11101</v>
      </c>
      <c r="F3168">
        <v>1961</v>
      </c>
      <c r="G3168" t="s">
        <v>121</v>
      </c>
      <c r="H3168" t="s">
        <v>11126</v>
      </c>
      <c r="I3168" t="s">
        <v>11115</v>
      </c>
      <c r="J3168" t="s">
        <v>71</v>
      </c>
      <c r="K3168" s="2" t="str">
        <f>HYPERLINK("http://collections.slsa.sa.gov.au/arthur/01750/BRG347_1664.htm")</f>
        <v>http://collections.slsa.sa.gov.au/arthur/01750/BRG347_1664.htm</v>
      </c>
    </row>
    <row r="3169" spans="1:11" x14ac:dyDescent="0.25">
      <c r="A3169" t="s">
        <v>11127</v>
      </c>
      <c r="B3169" s="1" t="str">
        <f>HYPERLINK("https://www.catalog.slsa.sa.gov.au/record=b2110986")</f>
        <v>https://www.catalog.slsa.sa.gov.au/record=b2110986</v>
      </c>
      <c r="C3169" s="1" t="str">
        <f>HYPERLINK("https://www.catalog.slsa.sa.gov.au/xrecord=b2110986")</f>
        <v>https://www.catalog.slsa.sa.gov.au/xrecord=b2110986</v>
      </c>
      <c r="D3169" t="s">
        <v>66</v>
      </c>
      <c r="E3169" t="s">
        <v>11128</v>
      </c>
      <c r="F3169">
        <v>1961</v>
      </c>
      <c r="G3169" t="s">
        <v>121</v>
      </c>
      <c r="H3169" t="s">
        <v>11129</v>
      </c>
      <c r="I3169" t="s">
        <v>11130</v>
      </c>
      <c r="J3169" t="s">
        <v>71</v>
      </c>
      <c r="K3169" s="2" t="str">
        <f>HYPERLINK("http://collections.slsa.sa.gov.au/arthur/01750/BRG347_1665.htm")</f>
        <v>http://collections.slsa.sa.gov.au/arthur/01750/BRG347_1665.htm</v>
      </c>
    </row>
    <row r="3170" spans="1:11" x14ac:dyDescent="0.25">
      <c r="A3170" t="s">
        <v>11131</v>
      </c>
      <c r="B3170" s="1" t="str">
        <f>HYPERLINK("https://www.catalog.slsa.sa.gov.au/record=b2110987")</f>
        <v>https://www.catalog.slsa.sa.gov.au/record=b2110987</v>
      </c>
      <c r="C3170" s="1" t="str">
        <f>HYPERLINK("https://www.catalog.slsa.sa.gov.au/xrecord=b2110987")</f>
        <v>https://www.catalog.slsa.sa.gov.au/xrecord=b2110987</v>
      </c>
      <c r="D3170" t="s">
        <v>66</v>
      </c>
      <c r="E3170" t="s">
        <v>10377</v>
      </c>
      <c r="F3170">
        <v>1961</v>
      </c>
      <c r="G3170" t="s">
        <v>121</v>
      </c>
      <c r="H3170" t="s">
        <v>11132</v>
      </c>
      <c r="I3170" t="s">
        <v>11133</v>
      </c>
      <c r="J3170" t="s">
        <v>71</v>
      </c>
      <c r="K3170" s="2" t="str">
        <f>HYPERLINK("http://collections.slsa.sa.gov.au/arthur/01750/BRG347_1666.htm")</f>
        <v>http://collections.slsa.sa.gov.au/arthur/01750/BRG347_1666.htm</v>
      </c>
    </row>
    <row r="3171" spans="1:11" x14ac:dyDescent="0.25">
      <c r="A3171" t="s">
        <v>11134</v>
      </c>
      <c r="B3171" s="1" t="str">
        <f>HYPERLINK("https://www.catalog.slsa.sa.gov.au/record=b2110988")</f>
        <v>https://www.catalog.slsa.sa.gov.au/record=b2110988</v>
      </c>
      <c r="C3171" s="1" t="str">
        <f>HYPERLINK("https://www.catalog.slsa.sa.gov.au/xrecord=b2110988")</f>
        <v>https://www.catalog.slsa.sa.gov.au/xrecord=b2110988</v>
      </c>
      <c r="D3171" t="s">
        <v>66</v>
      </c>
      <c r="E3171" t="s">
        <v>11128</v>
      </c>
      <c r="F3171">
        <v>1961</v>
      </c>
      <c r="G3171" t="s">
        <v>121</v>
      </c>
      <c r="H3171" t="s">
        <v>11135</v>
      </c>
      <c r="I3171" t="s">
        <v>11136</v>
      </c>
      <c r="J3171" t="s">
        <v>71</v>
      </c>
      <c r="K3171" s="2" t="str">
        <f>HYPERLINK("http://collections.slsa.sa.gov.au/arthur/01750/BRG347_1667.htm")</f>
        <v>http://collections.slsa.sa.gov.au/arthur/01750/BRG347_1667.htm</v>
      </c>
    </row>
    <row r="3172" spans="1:11" x14ac:dyDescent="0.25">
      <c r="A3172" t="s">
        <v>11137</v>
      </c>
      <c r="B3172" s="1" t="str">
        <f>HYPERLINK("https://www.catalog.slsa.sa.gov.au/record=b2110989")</f>
        <v>https://www.catalog.slsa.sa.gov.au/record=b2110989</v>
      </c>
      <c r="C3172" s="1" t="str">
        <f>HYPERLINK("https://www.catalog.slsa.sa.gov.au/xrecord=b2110989")</f>
        <v>https://www.catalog.slsa.sa.gov.au/xrecord=b2110989</v>
      </c>
      <c r="D3172" t="s">
        <v>66</v>
      </c>
      <c r="E3172" t="s">
        <v>10377</v>
      </c>
      <c r="F3172">
        <v>1961</v>
      </c>
      <c r="G3172" t="s">
        <v>121</v>
      </c>
      <c r="H3172" t="s">
        <v>11138</v>
      </c>
      <c r="I3172" t="s">
        <v>11139</v>
      </c>
      <c r="J3172" t="s">
        <v>71</v>
      </c>
      <c r="K3172" s="2" t="str">
        <f>HYPERLINK("http://collections.slsa.sa.gov.au/arthur/01750/BRG347_1668.htm")</f>
        <v>http://collections.slsa.sa.gov.au/arthur/01750/BRG347_1668.htm</v>
      </c>
    </row>
    <row r="3173" spans="1:11" x14ac:dyDescent="0.25">
      <c r="A3173" t="s">
        <v>11140</v>
      </c>
      <c r="B3173" s="1" t="str">
        <f>HYPERLINK("https://www.catalog.slsa.sa.gov.au/record=b2110990")</f>
        <v>https://www.catalog.slsa.sa.gov.au/record=b2110990</v>
      </c>
      <c r="C3173" s="1" t="str">
        <f>HYPERLINK("https://www.catalog.slsa.sa.gov.au/xrecord=b2110990")</f>
        <v>https://www.catalog.slsa.sa.gov.au/xrecord=b2110990</v>
      </c>
      <c r="D3173" t="s">
        <v>66</v>
      </c>
      <c r="E3173" t="s">
        <v>7882</v>
      </c>
      <c r="F3173">
        <v>1961</v>
      </c>
      <c r="G3173" t="s">
        <v>121</v>
      </c>
      <c r="H3173" t="s">
        <v>11141</v>
      </c>
      <c r="I3173" t="s">
        <v>6583</v>
      </c>
      <c r="J3173" t="s">
        <v>71</v>
      </c>
      <c r="K3173" s="2" t="str">
        <f>HYPERLINK("http://collections.slsa.sa.gov.au/arthur/01750/BRG347_1669.htm")</f>
        <v>http://collections.slsa.sa.gov.au/arthur/01750/BRG347_1669.htm</v>
      </c>
    </row>
    <row r="3174" spans="1:11" x14ac:dyDescent="0.25">
      <c r="A3174" t="s">
        <v>11142</v>
      </c>
      <c r="B3174" s="1" t="str">
        <f>HYPERLINK("https://www.catalog.slsa.sa.gov.au/record=b2110991")</f>
        <v>https://www.catalog.slsa.sa.gov.au/record=b2110991</v>
      </c>
      <c r="C3174" s="1" t="str">
        <f>HYPERLINK("https://www.catalog.slsa.sa.gov.au/xrecord=b2110991")</f>
        <v>https://www.catalog.slsa.sa.gov.au/xrecord=b2110991</v>
      </c>
      <c r="D3174" t="s">
        <v>66</v>
      </c>
      <c r="E3174" t="s">
        <v>11143</v>
      </c>
      <c r="F3174">
        <v>1961</v>
      </c>
      <c r="G3174" t="s">
        <v>121</v>
      </c>
      <c r="H3174" t="s">
        <v>11144</v>
      </c>
      <c r="I3174" t="s">
        <v>11145</v>
      </c>
      <c r="J3174" t="s">
        <v>71</v>
      </c>
      <c r="K3174" s="2" t="str">
        <f>HYPERLINK("http://collections.slsa.sa.gov.au/arthur/01750/BRG347_1670.htm")</f>
        <v>http://collections.slsa.sa.gov.au/arthur/01750/BRG347_1670.htm</v>
      </c>
    </row>
    <row r="3175" spans="1:11" x14ac:dyDescent="0.25">
      <c r="A3175" t="s">
        <v>11146</v>
      </c>
      <c r="B3175" s="1" t="str">
        <f>HYPERLINK("https://www.catalog.slsa.sa.gov.au/record=b2110992")</f>
        <v>https://www.catalog.slsa.sa.gov.au/record=b2110992</v>
      </c>
      <c r="C3175" s="1" t="str">
        <f>HYPERLINK("https://www.catalog.slsa.sa.gov.au/xrecord=b2110992")</f>
        <v>https://www.catalog.slsa.sa.gov.au/xrecord=b2110992</v>
      </c>
      <c r="D3175" t="s">
        <v>66</v>
      </c>
      <c r="E3175" t="s">
        <v>10377</v>
      </c>
      <c r="F3175">
        <v>1961</v>
      </c>
      <c r="G3175" t="s">
        <v>121</v>
      </c>
      <c r="H3175" t="s">
        <v>11147</v>
      </c>
      <c r="I3175" t="s">
        <v>11139</v>
      </c>
      <c r="J3175" t="s">
        <v>71</v>
      </c>
      <c r="K3175" s="2" t="str">
        <f>HYPERLINK("http://collections.slsa.sa.gov.au/arthur/01750/BRG347_1671.htm")</f>
        <v>http://collections.slsa.sa.gov.au/arthur/01750/BRG347_1671.htm</v>
      </c>
    </row>
    <row r="3176" spans="1:11" x14ac:dyDescent="0.25">
      <c r="A3176" t="s">
        <v>11148</v>
      </c>
      <c r="B3176" s="1" t="str">
        <f>HYPERLINK("https://www.catalog.slsa.sa.gov.au/record=b2110993")</f>
        <v>https://www.catalog.slsa.sa.gov.au/record=b2110993</v>
      </c>
      <c r="C3176" s="1" t="str">
        <f>HYPERLINK("https://www.catalog.slsa.sa.gov.au/xrecord=b2110993")</f>
        <v>https://www.catalog.slsa.sa.gov.au/xrecord=b2110993</v>
      </c>
      <c r="D3176" t="s">
        <v>66</v>
      </c>
      <c r="E3176" t="s">
        <v>10377</v>
      </c>
      <c r="F3176">
        <v>1961</v>
      </c>
      <c r="G3176" t="s">
        <v>121</v>
      </c>
      <c r="H3176" t="s">
        <v>11149</v>
      </c>
      <c r="I3176" t="s">
        <v>11139</v>
      </c>
      <c r="J3176" t="s">
        <v>71</v>
      </c>
      <c r="K3176" s="2" t="str">
        <f>HYPERLINK("http://collections.slsa.sa.gov.au/arthur/01750/BRG347_1672.htm")</f>
        <v>http://collections.slsa.sa.gov.au/arthur/01750/BRG347_1672.htm</v>
      </c>
    </row>
    <row r="3177" spans="1:11" x14ac:dyDescent="0.25">
      <c r="A3177" t="s">
        <v>11150</v>
      </c>
      <c r="B3177" s="1" t="str">
        <f>HYPERLINK("https://www.catalog.slsa.sa.gov.au/record=b2110994")</f>
        <v>https://www.catalog.slsa.sa.gov.au/record=b2110994</v>
      </c>
      <c r="C3177" s="1" t="str">
        <f>HYPERLINK("https://www.catalog.slsa.sa.gov.au/xrecord=b2110994")</f>
        <v>https://www.catalog.slsa.sa.gov.au/xrecord=b2110994</v>
      </c>
      <c r="D3177" t="s">
        <v>66</v>
      </c>
      <c r="E3177" t="s">
        <v>8299</v>
      </c>
      <c r="F3177">
        <v>1961</v>
      </c>
      <c r="G3177" t="s">
        <v>121</v>
      </c>
      <c r="H3177" t="s">
        <v>11151</v>
      </c>
      <c r="I3177" t="s">
        <v>11152</v>
      </c>
      <c r="J3177" t="s">
        <v>71</v>
      </c>
      <c r="K3177" s="2" t="str">
        <f>HYPERLINK("http://collections.slsa.sa.gov.au/arthur/01750/BRG347_1673.htm")</f>
        <v>http://collections.slsa.sa.gov.au/arthur/01750/BRG347_1673.htm</v>
      </c>
    </row>
    <row r="3178" spans="1:11" x14ac:dyDescent="0.25">
      <c r="A3178" t="s">
        <v>11153</v>
      </c>
      <c r="B3178" s="1" t="str">
        <f>HYPERLINK("https://www.catalog.slsa.sa.gov.au/record=b2110995")</f>
        <v>https://www.catalog.slsa.sa.gov.au/record=b2110995</v>
      </c>
      <c r="C3178" s="1" t="str">
        <f>HYPERLINK("https://www.catalog.slsa.sa.gov.au/xrecord=b2110995")</f>
        <v>https://www.catalog.slsa.sa.gov.au/xrecord=b2110995</v>
      </c>
      <c r="D3178" t="s">
        <v>66</v>
      </c>
      <c r="E3178" t="s">
        <v>11128</v>
      </c>
      <c r="F3178">
        <v>1961</v>
      </c>
      <c r="G3178" t="s">
        <v>121</v>
      </c>
      <c r="H3178" t="s">
        <v>11154</v>
      </c>
      <c r="I3178" t="s">
        <v>11136</v>
      </c>
      <c r="J3178" t="s">
        <v>71</v>
      </c>
      <c r="K3178" s="2" t="str">
        <f>HYPERLINK("http://collections.slsa.sa.gov.au/arthur/01750/BRG347_1674.htm")</f>
        <v>http://collections.slsa.sa.gov.au/arthur/01750/BRG347_1674.htm</v>
      </c>
    </row>
    <row r="3179" spans="1:11" x14ac:dyDescent="0.25">
      <c r="A3179" t="s">
        <v>11155</v>
      </c>
      <c r="B3179" s="1" t="str">
        <f>HYPERLINK("https://www.catalog.slsa.sa.gov.au/record=b2110996")</f>
        <v>https://www.catalog.slsa.sa.gov.au/record=b2110996</v>
      </c>
      <c r="C3179" s="1" t="str">
        <f>HYPERLINK("https://www.catalog.slsa.sa.gov.au/xrecord=b2110996")</f>
        <v>https://www.catalog.slsa.sa.gov.au/xrecord=b2110996</v>
      </c>
      <c r="D3179" t="s">
        <v>66</v>
      </c>
      <c r="E3179" t="s">
        <v>11128</v>
      </c>
      <c r="F3179">
        <v>1961</v>
      </c>
      <c r="G3179" t="s">
        <v>121</v>
      </c>
      <c r="H3179" t="s">
        <v>11154</v>
      </c>
      <c r="I3179" t="s">
        <v>11136</v>
      </c>
      <c r="J3179" t="s">
        <v>71</v>
      </c>
      <c r="K3179" s="2" t="str">
        <f>HYPERLINK("http://collections.slsa.sa.gov.au/arthur/01750/BRG347_1675.htm")</f>
        <v>http://collections.slsa.sa.gov.au/arthur/01750/BRG347_1675.htm</v>
      </c>
    </row>
    <row r="3180" spans="1:11" x14ac:dyDescent="0.25">
      <c r="A3180" t="s">
        <v>11156</v>
      </c>
      <c r="B3180" s="1" t="str">
        <f>HYPERLINK("https://www.catalog.slsa.sa.gov.au/record=b2110997")</f>
        <v>https://www.catalog.slsa.sa.gov.au/record=b2110997</v>
      </c>
      <c r="C3180" s="1" t="str">
        <f>HYPERLINK("https://www.catalog.slsa.sa.gov.au/xrecord=b2110997")</f>
        <v>https://www.catalog.slsa.sa.gov.au/xrecord=b2110997</v>
      </c>
      <c r="D3180" t="s">
        <v>66</v>
      </c>
      <c r="E3180" t="s">
        <v>10377</v>
      </c>
      <c r="F3180">
        <v>1961</v>
      </c>
      <c r="G3180" t="s">
        <v>121</v>
      </c>
      <c r="H3180" t="s">
        <v>11157</v>
      </c>
      <c r="I3180" t="s">
        <v>11139</v>
      </c>
      <c r="J3180" t="s">
        <v>71</v>
      </c>
      <c r="K3180" s="2" t="str">
        <f>HYPERLINK("http://collections.slsa.sa.gov.au/arthur/01750/BRG347_1676.htm")</f>
        <v>http://collections.slsa.sa.gov.au/arthur/01750/BRG347_1676.htm</v>
      </c>
    </row>
    <row r="3181" spans="1:11" x14ac:dyDescent="0.25">
      <c r="A3181" t="s">
        <v>11158</v>
      </c>
      <c r="B3181" s="1" t="str">
        <f>HYPERLINK("https://www.catalog.slsa.sa.gov.au/record=b2110998")</f>
        <v>https://www.catalog.slsa.sa.gov.au/record=b2110998</v>
      </c>
      <c r="C3181" s="1" t="str">
        <f>HYPERLINK("https://www.catalog.slsa.sa.gov.au/xrecord=b2110998")</f>
        <v>https://www.catalog.slsa.sa.gov.au/xrecord=b2110998</v>
      </c>
      <c r="D3181" t="s">
        <v>66</v>
      </c>
      <c r="E3181" t="s">
        <v>11159</v>
      </c>
      <c r="F3181">
        <v>1961</v>
      </c>
      <c r="G3181" t="s">
        <v>121</v>
      </c>
      <c r="H3181" t="s">
        <v>11160</v>
      </c>
      <c r="I3181" t="s">
        <v>11161</v>
      </c>
      <c r="J3181" t="s">
        <v>71</v>
      </c>
      <c r="K3181" s="2" t="str">
        <f>HYPERLINK("http://collections.slsa.sa.gov.au/arthur/01750/BRG347_1677.htm")</f>
        <v>http://collections.slsa.sa.gov.au/arthur/01750/BRG347_1677.htm</v>
      </c>
    </row>
    <row r="3182" spans="1:11" x14ac:dyDescent="0.25">
      <c r="A3182" t="s">
        <v>11162</v>
      </c>
      <c r="B3182" s="1" t="str">
        <f>HYPERLINK("https://www.catalog.slsa.sa.gov.au/record=b2111084")</f>
        <v>https://www.catalog.slsa.sa.gov.au/record=b2111084</v>
      </c>
      <c r="C3182" s="1" t="str">
        <f>HYPERLINK("https://www.catalog.slsa.sa.gov.au/xrecord=b2111084")</f>
        <v>https://www.catalog.slsa.sa.gov.au/xrecord=b2111084</v>
      </c>
      <c r="D3182" t="s">
        <v>66</v>
      </c>
      <c r="E3182" t="s">
        <v>9635</v>
      </c>
      <c r="F3182">
        <v>1961</v>
      </c>
      <c r="G3182" t="s">
        <v>121</v>
      </c>
      <c r="H3182" t="s">
        <v>11163</v>
      </c>
      <c r="I3182" t="s">
        <v>6335</v>
      </c>
      <c r="J3182" t="s">
        <v>71</v>
      </c>
      <c r="K3182" s="2" t="str">
        <f>HYPERLINK("http://collections.slsa.sa.gov.au/arthur/02000/BRG347_1765.htm")</f>
        <v>http://collections.slsa.sa.gov.au/arthur/02000/BRG347_1765.htm</v>
      </c>
    </row>
    <row r="3183" spans="1:11" x14ac:dyDescent="0.25">
      <c r="A3183" t="s">
        <v>11164</v>
      </c>
      <c r="B3183" s="1" t="str">
        <f>HYPERLINK("https://www.catalog.slsa.sa.gov.au/record=b2111085")</f>
        <v>https://www.catalog.slsa.sa.gov.au/record=b2111085</v>
      </c>
      <c r="C3183" s="1" t="str">
        <f>HYPERLINK("https://www.catalog.slsa.sa.gov.au/xrecord=b2111085")</f>
        <v>https://www.catalog.slsa.sa.gov.au/xrecord=b2111085</v>
      </c>
      <c r="D3183" t="s">
        <v>66</v>
      </c>
      <c r="E3183" t="s">
        <v>9635</v>
      </c>
      <c r="F3183">
        <v>1961</v>
      </c>
      <c r="G3183" t="s">
        <v>121</v>
      </c>
      <c r="H3183" t="s">
        <v>11165</v>
      </c>
      <c r="I3183" t="s">
        <v>6335</v>
      </c>
      <c r="J3183" t="s">
        <v>71</v>
      </c>
      <c r="K3183" s="2" t="str">
        <f>HYPERLINK("http://collections.slsa.sa.gov.au/arthur/02000/BRG347_1766.htm")</f>
        <v>http://collections.slsa.sa.gov.au/arthur/02000/BRG347_1766.htm</v>
      </c>
    </row>
    <row r="3184" spans="1:11" x14ac:dyDescent="0.25">
      <c r="A3184" t="s">
        <v>11166</v>
      </c>
      <c r="B3184" s="1" t="str">
        <f>HYPERLINK("https://www.catalog.slsa.sa.gov.au/record=b2111169")</f>
        <v>https://www.catalog.slsa.sa.gov.au/record=b2111169</v>
      </c>
      <c r="C3184" s="1" t="str">
        <f>HYPERLINK("https://www.catalog.slsa.sa.gov.au/xrecord=b2111169")</f>
        <v>https://www.catalog.slsa.sa.gov.au/xrecord=b2111169</v>
      </c>
      <c r="D3184" t="s">
        <v>66</v>
      </c>
      <c r="E3184" t="s">
        <v>11167</v>
      </c>
      <c r="F3184">
        <v>1961</v>
      </c>
      <c r="G3184" t="s">
        <v>121</v>
      </c>
      <c r="H3184" t="s">
        <v>11168</v>
      </c>
      <c r="I3184" t="s">
        <v>11169</v>
      </c>
      <c r="J3184" t="s">
        <v>71</v>
      </c>
      <c r="K3184" s="2" t="str">
        <f>HYPERLINK("http://collections.slsa.sa.gov.au/arthur/02000/BRG347_1858.htm")</f>
        <v>http://collections.slsa.sa.gov.au/arthur/02000/BRG347_1858.htm</v>
      </c>
    </row>
    <row r="3185" spans="1:11" x14ac:dyDescent="0.25">
      <c r="A3185" t="s">
        <v>11170</v>
      </c>
      <c r="B3185" s="1" t="str">
        <f>HYPERLINK("https://www.catalog.slsa.sa.gov.au/record=b2111170")</f>
        <v>https://www.catalog.slsa.sa.gov.au/record=b2111170</v>
      </c>
      <c r="C3185" s="1" t="str">
        <f>HYPERLINK("https://www.catalog.slsa.sa.gov.au/xrecord=b2111170")</f>
        <v>https://www.catalog.slsa.sa.gov.au/xrecord=b2111170</v>
      </c>
      <c r="D3185" t="s">
        <v>66</v>
      </c>
      <c r="E3185" t="s">
        <v>11171</v>
      </c>
      <c r="F3185">
        <v>1961</v>
      </c>
      <c r="G3185" t="s">
        <v>121</v>
      </c>
      <c r="H3185" t="s">
        <v>11172</v>
      </c>
      <c r="I3185" t="s">
        <v>11173</v>
      </c>
      <c r="J3185" t="s">
        <v>71</v>
      </c>
      <c r="K3185" s="2" t="str">
        <f>HYPERLINK("http://collections.slsa.sa.gov.au/arthur/02000/BRG347_1859.htm")</f>
        <v>http://collections.slsa.sa.gov.au/arthur/02000/BRG347_1859.htm</v>
      </c>
    </row>
    <row r="3186" spans="1:11" x14ac:dyDescent="0.25">
      <c r="A3186" t="s">
        <v>11174</v>
      </c>
      <c r="B3186" s="1" t="str">
        <f>HYPERLINK("https://www.catalog.slsa.sa.gov.au/record=b2111174")</f>
        <v>https://www.catalog.slsa.sa.gov.au/record=b2111174</v>
      </c>
      <c r="C3186" s="1" t="str">
        <f>HYPERLINK("https://www.catalog.slsa.sa.gov.au/xrecord=b2111174")</f>
        <v>https://www.catalog.slsa.sa.gov.au/xrecord=b2111174</v>
      </c>
      <c r="D3186" t="s">
        <v>66</v>
      </c>
      <c r="E3186" t="s">
        <v>11175</v>
      </c>
      <c r="F3186">
        <v>1961</v>
      </c>
      <c r="G3186" t="s">
        <v>121</v>
      </c>
      <c r="H3186" t="s">
        <v>11176</v>
      </c>
      <c r="I3186" t="s">
        <v>11177</v>
      </c>
      <c r="J3186" t="s">
        <v>71</v>
      </c>
      <c r="K3186" s="2" t="str">
        <f>HYPERLINK("http://collections.slsa.sa.gov.au/arthur/02000/BRG347_1863.htm")</f>
        <v>http://collections.slsa.sa.gov.au/arthur/02000/BRG347_1863.htm</v>
      </c>
    </row>
    <row r="3187" spans="1:11" x14ac:dyDescent="0.25">
      <c r="A3187" t="s">
        <v>11178</v>
      </c>
      <c r="B3187" s="1" t="str">
        <f>HYPERLINK("https://www.catalog.slsa.sa.gov.au/record=b2111533")</f>
        <v>https://www.catalog.slsa.sa.gov.au/record=b2111533</v>
      </c>
      <c r="C3187" s="1" t="str">
        <f>HYPERLINK("https://www.catalog.slsa.sa.gov.au/xrecord=b2111533")</f>
        <v>https://www.catalog.slsa.sa.gov.au/xrecord=b2111533</v>
      </c>
      <c r="D3187" t="s">
        <v>66</v>
      </c>
      <c r="E3187" t="s">
        <v>11179</v>
      </c>
      <c r="F3187">
        <v>1961</v>
      </c>
      <c r="G3187" t="s">
        <v>121</v>
      </c>
      <c r="H3187" t="s">
        <v>11180</v>
      </c>
      <c r="I3187" t="s">
        <v>8344</v>
      </c>
      <c r="J3187" t="s">
        <v>71</v>
      </c>
      <c r="K3187" s="2" t="str">
        <f>HYPERLINK("http://collections.slsa.sa.gov.au/arthur/02250/BRG347_2173.htm")</f>
        <v>http://collections.slsa.sa.gov.au/arthur/02250/BRG347_2173.htm</v>
      </c>
    </row>
    <row r="3188" spans="1:11" x14ac:dyDescent="0.25">
      <c r="A3188" t="s">
        <v>11181</v>
      </c>
      <c r="B3188" s="1" t="str">
        <f>HYPERLINK("https://www.catalog.slsa.sa.gov.au/record=b2111535")</f>
        <v>https://www.catalog.slsa.sa.gov.au/record=b2111535</v>
      </c>
      <c r="C3188" s="1" t="str">
        <f>HYPERLINK("https://www.catalog.slsa.sa.gov.au/xrecord=b2111535")</f>
        <v>https://www.catalog.slsa.sa.gov.au/xrecord=b2111535</v>
      </c>
      <c r="D3188" t="s">
        <v>66</v>
      </c>
      <c r="E3188" t="s">
        <v>11182</v>
      </c>
      <c r="F3188">
        <v>1961</v>
      </c>
      <c r="G3188" t="s">
        <v>121</v>
      </c>
      <c r="H3188" t="s">
        <v>11183</v>
      </c>
      <c r="I3188" t="s">
        <v>11184</v>
      </c>
      <c r="J3188" t="s">
        <v>71</v>
      </c>
      <c r="K3188" s="2" t="str">
        <f>HYPERLINK("http://collections.slsa.sa.gov.au/arthur/02250/BRG347_2175.htm")</f>
        <v>http://collections.slsa.sa.gov.au/arthur/02250/BRG347_2175.htm</v>
      </c>
    </row>
    <row r="3189" spans="1:11" x14ac:dyDescent="0.25">
      <c r="A3189" t="s">
        <v>11185</v>
      </c>
      <c r="B3189" s="1" t="str">
        <f>HYPERLINK("https://www.catalog.slsa.sa.gov.au/record=b2111536")</f>
        <v>https://www.catalog.slsa.sa.gov.au/record=b2111536</v>
      </c>
      <c r="C3189" s="1" t="str">
        <f>HYPERLINK("https://www.catalog.slsa.sa.gov.au/xrecord=b2111536")</f>
        <v>https://www.catalog.slsa.sa.gov.au/xrecord=b2111536</v>
      </c>
      <c r="D3189" t="s">
        <v>66</v>
      </c>
      <c r="E3189" t="s">
        <v>11182</v>
      </c>
      <c r="F3189">
        <v>1961</v>
      </c>
      <c r="G3189" t="s">
        <v>121</v>
      </c>
      <c r="H3189" t="s">
        <v>11186</v>
      </c>
      <c r="I3189" t="s">
        <v>11187</v>
      </c>
      <c r="J3189" t="s">
        <v>71</v>
      </c>
      <c r="K3189" s="2" t="str">
        <f>HYPERLINK("http://collections.slsa.sa.gov.au/arthur/02250/BRG347_2176.htm")</f>
        <v>http://collections.slsa.sa.gov.au/arthur/02250/BRG347_2176.htm</v>
      </c>
    </row>
    <row r="3190" spans="1:11" x14ac:dyDescent="0.25">
      <c r="A3190" t="s">
        <v>11188</v>
      </c>
      <c r="B3190" s="1" t="str">
        <f>HYPERLINK("https://www.catalog.slsa.sa.gov.au/record=b2111537")</f>
        <v>https://www.catalog.slsa.sa.gov.au/record=b2111537</v>
      </c>
      <c r="C3190" s="1" t="str">
        <f>HYPERLINK("https://www.catalog.slsa.sa.gov.au/xrecord=b2111537")</f>
        <v>https://www.catalog.slsa.sa.gov.au/xrecord=b2111537</v>
      </c>
      <c r="D3190" t="s">
        <v>66</v>
      </c>
      <c r="E3190" t="s">
        <v>11179</v>
      </c>
      <c r="F3190">
        <v>1961</v>
      </c>
      <c r="G3190" t="s">
        <v>121</v>
      </c>
      <c r="H3190" t="s">
        <v>11189</v>
      </c>
      <c r="I3190" t="s">
        <v>8344</v>
      </c>
      <c r="J3190" t="s">
        <v>71</v>
      </c>
      <c r="K3190" s="2" t="str">
        <f>HYPERLINK("http://collections.slsa.sa.gov.au/arthur/02250/BRG347_2177.htm")</f>
        <v>http://collections.slsa.sa.gov.au/arthur/02250/BRG347_2177.htm</v>
      </c>
    </row>
    <row r="3191" spans="1:11" x14ac:dyDescent="0.25">
      <c r="A3191" t="s">
        <v>11190</v>
      </c>
      <c r="B3191" s="1" t="str">
        <f>HYPERLINK("https://www.catalog.slsa.sa.gov.au/record=b2111538")</f>
        <v>https://www.catalog.slsa.sa.gov.au/record=b2111538</v>
      </c>
      <c r="C3191" s="1" t="str">
        <f>HYPERLINK("https://www.catalog.slsa.sa.gov.au/xrecord=b2111538")</f>
        <v>https://www.catalog.slsa.sa.gov.au/xrecord=b2111538</v>
      </c>
      <c r="D3191" t="s">
        <v>66</v>
      </c>
      <c r="E3191" t="s">
        <v>11179</v>
      </c>
      <c r="F3191">
        <v>1961</v>
      </c>
      <c r="G3191" t="s">
        <v>121</v>
      </c>
      <c r="H3191" t="s">
        <v>11191</v>
      </c>
      <c r="I3191" t="s">
        <v>8344</v>
      </c>
      <c r="J3191" t="s">
        <v>71</v>
      </c>
      <c r="K3191" s="2" t="str">
        <f>HYPERLINK("http://collections.slsa.sa.gov.au/arthur/02250/BRG347_2178.htm")</f>
        <v>http://collections.slsa.sa.gov.au/arthur/02250/BRG347_2178.htm</v>
      </c>
    </row>
    <row r="3192" spans="1:11" x14ac:dyDescent="0.25">
      <c r="A3192" t="s">
        <v>11192</v>
      </c>
      <c r="B3192" s="1" t="str">
        <f>HYPERLINK("https://www.catalog.slsa.sa.gov.au/record=b2111539")</f>
        <v>https://www.catalog.slsa.sa.gov.au/record=b2111539</v>
      </c>
      <c r="C3192" s="1" t="str">
        <f>HYPERLINK("https://www.catalog.slsa.sa.gov.au/xrecord=b2111539")</f>
        <v>https://www.catalog.slsa.sa.gov.au/xrecord=b2111539</v>
      </c>
      <c r="D3192" t="s">
        <v>66</v>
      </c>
      <c r="E3192" t="s">
        <v>6523</v>
      </c>
      <c r="F3192">
        <v>1961</v>
      </c>
      <c r="G3192" t="s">
        <v>121</v>
      </c>
      <c r="H3192" t="s">
        <v>11193</v>
      </c>
      <c r="I3192" t="s">
        <v>7454</v>
      </c>
      <c r="J3192" t="s">
        <v>71</v>
      </c>
      <c r="K3192" s="2" t="str">
        <f>HYPERLINK("http://collections.slsa.sa.gov.au/arthur/02250/BRG347_2179.htm")</f>
        <v>http://collections.slsa.sa.gov.au/arthur/02250/BRG347_2179.htm</v>
      </c>
    </row>
    <row r="3193" spans="1:11" x14ac:dyDescent="0.25">
      <c r="A3193" t="s">
        <v>11194</v>
      </c>
      <c r="B3193" s="1" t="str">
        <f>HYPERLINK("https://www.catalog.slsa.sa.gov.au/record=b2111540")</f>
        <v>https://www.catalog.slsa.sa.gov.au/record=b2111540</v>
      </c>
      <c r="C3193" s="1" t="str">
        <f>HYPERLINK("https://www.catalog.slsa.sa.gov.au/xrecord=b2111540")</f>
        <v>https://www.catalog.slsa.sa.gov.au/xrecord=b2111540</v>
      </c>
      <c r="D3193" t="s">
        <v>66</v>
      </c>
      <c r="E3193" t="s">
        <v>11195</v>
      </c>
      <c r="F3193">
        <v>1961</v>
      </c>
      <c r="G3193" t="s">
        <v>121</v>
      </c>
      <c r="H3193" t="s">
        <v>11196</v>
      </c>
      <c r="I3193" t="s">
        <v>11197</v>
      </c>
      <c r="J3193" t="s">
        <v>71</v>
      </c>
      <c r="K3193" s="2" t="str">
        <f>HYPERLINK("http://collections.slsa.sa.gov.au/arthur/02250/BRG347_2180.htm")</f>
        <v>http://collections.slsa.sa.gov.au/arthur/02250/BRG347_2180.htm</v>
      </c>
    </row>
    <row r="3194" spans="1:11" x14ac:dyDescent="0.25">
      <c r="A3194" t="s">
        <v>11198</v>
      </c>
      <c r="B3194" s="1" t="str">
        <f>HYPERLINK("https://www.catalog.slsa.sa.gov.au/record=b2111542")</f>
        <v>https://www.catalog.slsa.sa.gov.au/record=b2111542</v>
      </c>
      <c r="C3194" s="1" t="str">
        <f>HYPERLINK("https://www.catalog.slsa.sa.gov.au/xrecord=b2111542")</f>
        <v>https://www.catalog.slsa.sa.gov.au/xrecord=b2111542</v>
      </c>
      <c r="D3194" t="s">
        <v>66</v>
      </c>
      <c r="E3194" t="s">
        <v>11199</v>
      </c>
      <c r="F3194">
        <v>1961</v>
      </c>
      <c r="G3194" t="s">
        <v>121</v>
      </c>
      <c r="H3194" t="s">
        <v>11200</v>
      </c>
      <c r="I3194" t="s">
        <v>11201</v>
      </c>
      <c r="J3194" t="s">
        <v>71</v>
      </c>
      <c r="K3194" s="2" t="str">
        <f>HYPERLINK("http://collections.slsa.sa.gov.au/arthur/02250/BRG347_2181.htm")</f>
        <v>http://collections.slsa.sa.gov.au/arthur/02250/BRG347_2181.htm</v>
      </c>
    </row>
    <row r="3195" spans="1:11" x14ac:dyDescent="0.25">
      <c r="A3195" t="s">
        <v>11202</v>
      </c>
      <c r="B3195" s="1" t="str">
        <f>HYPERLINK("https://www.catalog.slsa.sa.gov.au/record=b2111543")</f>
        <v>https://www.catalog.slsa.sa.gov.au/record=b2111543</v>
      </c>
      <c r="C3195" s="1" t="str">
        <f>HYPERLINK("https://www.catalog.slsa.sa.gov.au/xrecord=b2111543")</f>
        <v>https://www.catalog.slsa.sa.gov.au/xrecord=b2111543</v>
      </c>
      <c r="D3195" t="s">
        <v>66</v>
      </c>
      <c r="E3195" t="s">
        <v>10129</v>
      </c>
      <c r="F3195">
        <v>1961</v>
      </c>
      <c r="G3195" t="s">
        <v>121</v>
      </c>
      <c r="H3195" t="s">
        <v>11203</v>
      </c>
      <c r="I3195" t="s">
        <v>11204</v>
      </c>
      <c r="J3195" t="s">
        <v>71</v>
      </c>
      <c r="K3195" s="2" t="str">
        <f>HYPERLINK("http://collections.slsa.sa.gov.au/arthur/02250/BRG347_2182.htm")</f>
        <v>http://collections.slsa.sa.gov.au/arthur/02250/BRG347_2182.htm</v>
      </c>
    </row>
    <row r="3196" spans="1:11" x14ac:dyDescent="0.25">
      <c r="A3196" t="s">
        <v>11205</v>
      </c>
      <c r="B3196" s="1" t="str">
        <f>HYPERLINK("https://www.catalog.slsa.sa.gov.au/record=b2117852")</f>
        <v>https://www.catalog.slsa.sa.gov.au/record=b2117852</v>
      </c>
      <c r="C3196" s="1" t="str">
        <f>HYPERLINK("https://www.catalog.slsa.sa.gov.au/xrecord=b2117852")</f>
        <v>https://www.catalog.slsa.sa.gov.au/xrecord=b2117852</v>
      </c>
      <c r="D3196" t="s">
        <v>66</v>
      </c>
      <c r="E3196" t="s">
        <v>10129</v>
      </c>
      <c r="F3196">
        <v>1961</v>
      </c>
      <c r="G3196" t="s">
        <v>121</v>
      </c>
      <c r="H3196" t="s">
        <v>11206</v>
      </c>
      <c r="I3196" t="s">
        <v>11204</v>
      </c>
      <c r="J3196" t="s">
        <v>71</v>
      </c>
      <c r="K3196" s="2" t="str">
        <f>HYPERLINK("http://collections.slsa.sa.gov.au/arthur/02250/BRG347_2183.htm")</f>
        <v>http://collections.slsa.sa.gov.au/arthur/02250/BRG347_2183.htm</v>
      </c>
    </row>
    <row r="3197" spans="1:11" x14ac:dyDescent="0.25">
      <c r="A3197" t="s">
        <v>11207</v>
      </c>
      <c r="B3197" s="1" t="str">
        <f>HYPERLINK("https://www.catalog.slsa.sa.gov.au/record=b2111544")</f>
        <v>https://www.catalog.slsa.sa.gov.au/record=b2111544</v>
      </c>
      <c r="C3197" s="1" t="str">
        <f>HYPERLINK("https://www.catalog.slsa.sa.gov.au/xrecord=b2111544")</f>
        <v>https://www.catalog.slsa.sa.gov.au/xrecord=b2111544</v>
      </c>
      <c r="D3197" t="s">
        <v>66</v>
      </c>
      <c r="E3197" t="s">
        <v>11179</v>
      </c>
      <c r="F3197">
        <v>1961</v>
      </c>
      <c r="G3197" t="s">
        <v>121</v>
      </c>
      <c r="H3197" t="s">
        <v>11208</v>
      </c>
      <c r="I3197" t="s">
        <v>8344</v>
      </c>
      <c r="J3197" t="s">
        <v>71</v>
      </c>
      <c r="K3197" s="2" t="str">
        <f>HYPERLINK("http://collections.slsa.sa.gov.au/arthur/02250/BRG347_2184.htm")</f>
        <v>http://collections.slsa.sa.gov.au/arthur/02250/BRG347_2184.htm</v>
      </c>
    </row>
    <row r="3198" spans="1:11" x14ac:dyDescent="0.25">
      <c r="A3198" t="s">
        <v>11209</v>
      </c>
      <c r="B3198" s="1" t="str">
        <f>HYPERLINK("https://www.catalog.slsa.sa.gov.au/record=b2111545")</f>
        <v>https://www.catalog.slsa.sa.gov.au/record=b2111545</v>
      </c>
      <c r="C3198" s="1" t="str">
        <f>HYPERLINK("https://www.catalog.slsa.sa.gov.au/xrecord=b2111545")</f>
        <v>https://www.catalog.slsa.sa.gov.au/xrecord=b2111545</v>
      </c>
      <c r="D3198" t="s">
        <v>66</v>
      </c>
      <c r="E3198" t="s">
        <v>11210</v>
      </c>
      <c r="F3198">
        <v>1961</v>
      </c>
      <c r="G3198" t="s">
        <v>121</v>
      </c>
      <c r="H3198" t="s">
        <v>11211</v>
      </c>
      <c r="I3198" t="s">
        <v>9521</v>
      </c>
      <c r="J3198" t="s">
        <v>71</v>
      </c>
      <c r="K3198" s="2" t="str">
        <f>HYPERLINK("http://collections.slsa.sa.gov.au/arthur/02250/BRG347_2185.htm")</f>
        <v>http://collections.slsa.sa.gov.au/arthur/02250/BRG347_2185.htm</v>
      </c>
    </row>
    <row r="3199" spans="1:11" x14ac:dyDescent="0.25">
      <c r="A3199" t="s">
        <v>11212</v>
      </c>
      <c r="B3199" s="1" t="str">
        <f>HYPERLINK("https://www.catalog.slsa.sa.gov.au/record=b2111546")</f>
        <v>https://www.catalog.slsa.sa.gov.au/record=b2111546</v>
      </c>
      <c r="C3199" s="1" t="str">
        <f>HYPERLINK("https://www.catalog.slsa.sa.gov.au/xrecord=b2111546")</f>
        <v>https://www.catalog.slsa.sa.gov.au/xrecord=b2111546</v>
      </c>
      <c r="D3199" t="s">
        <v>66</v>
      </c>
      <c r="E3199" t="s">
        <v>11179</v>
      </c>
      <c r="F3199">
        <v>1961</v>
      </c>
      <c r="G3199" t="s">
        <v>121</v>
      </c>
      <c r="H3199" t="s">
        <v>11213</v>
      </c>
      <c r="I3199" t="s">
        <v>8344</v>
      </c>
      <c r="J3199" t="s">
        <v>71</v>
      </c>
      <c r="K3199" s="2" t="str">
        <f>HYPERLINK("http://collections.slsa.sa.gov.au/arthur/02250/BRG347_2186.htm")</f>
        <v>http://collections.slsa.sa.gov.au/arthur/02250/BRG347_2186.htm</v>
      </c>
    </row>
    <row r="3200" spans="1:11" x14ac:dyDescent="0.25">
      <c r="A3200" t="s">
        <v>11214</v>
      </c>
      <c r="B3200" s="1" t="str">
        <f>HYPERLINK("https://www.catalog.slsa.sa.gov.au/record=b2111547")</f>
        <v>https://www.catalog.slsa.sa.gov.au/record=b2111547</v>
      </c>
      <c r="C3200" s="1" t="str">
        <f>HYPERLINK("https://www.catalog.slsa.sa.gov.au/xrecord=b2111547")</f>
        <v>https://www.catalog.slsa.sa.gov.au/xrecord=b2111547</v>
      </c>
      <c r="D3200" t="s">
        <v>66</v>
      </c>
      <c r="E3200" t="s">
        <v>11215</v>
      </c>
      <c r="F3200">
        <v>1961</v>
      </c>
      <c r="G3200" t="s">
        <v>121</v>
      </c>
      <c r="H3200" t="s">
        <v>11216</v>
      </c>
      <c r="I3200" t="s">
        <v>9521</v>
      </c>
      <c r="J3200" t="s">
        <v>71</v>
      </c>
      <c r="K3200" s="2" t="str">
        <f>HYPERLINK("http://collections.slsa.sa.gov.au/arthur/02250/BRG347_2187.htm")</f>
        <v>http://collections.slsa.sa.gov.au/arthur/02250/BRG347_2187.htm</v>
      </c>
    </row>
    <row r="3201" spans="1:11" x14ac:dyDescent="0.25">
      <c r="A3201" t="s">
        <v>11217</v>
      </c>
      <c r="B3201" s="1" t="str">
        <f>HYPERLINK("https://www.catalog.slsa.sa.gov.au/record=b2111548")</f>
        <v>https://www.catalog.slsa.sa.gov.au/record=b2111548</v>
      </c>
      <c r="C3201" s="1" t="str">
        <f>HYPERLINK("https://www.catalog.slsa.sa.gov.au/xrecord=b2111548")</f>
        <v>https://www.catalog.slsa.sa.gov.au/xrecord=b2111548</v>
      </c>
      <c r="D3201" t="s">
        <v>66</v>
      </c>
      <c r="E3201" t="s">
        <v>11218</v>
      </c>
      <c r="F3201">
        <v>1961</v>
      </c>
      <c r="G3201" t="s">
        <v>121</v>
      </c>
      <c r="H3201" t="s">
        <v>11219</v>
      </c>
      <c r="I3201" t="s">
        <v>8145</v>
      </c>
      <c r="J3201" t="s">
        <v>71</v>
      </c>
      <c r="K3201" s="2" t="str">
        <f>HYPERLINK("http://collections.slsa.sa.gov.au/arthur/02250/BRG347_2188.htm")</f>
        <v>http://collections.slsa.sa.gov.au/arthur/02250/BRG347_2188.htm</v>
      </c>
    </row>
    <row r="3202" spans="1:11" x14ac:dyDescent="0.25">
      <c r="A3202" t="s">
        <v>11220</v>
      </c>
      <c r="B3202" s="1" t="str">
        <f>HYPERLINK("https://www.catalog.slsa.sa.gov.au/record=b2111549")</f>
        <v>https://www.catalog.slsa.sa.gov.au/record=b2111549</v>
      </c>
      <c r="C3202" s="1" t="str">
        <f>HYPERLINK("https://www.catalog.slsa.sa.gov.au/xrecord=b2111549")</f>
        <v>https://www.catalog.slsa.sa.gov.au/xrecord=b2111549</v>
      </c>
      <c r="D3202" t="s">
        <v>66</v>
      </c>
      <c r="E3202" t="s">
        <v>11221</v>
      </c>
      <c r="F3202">
        <v>1961</v>
      </c>
      <c r="G3202" t="s">
        <v>121</v>
      </c>
      <c r="H3202" t="s">
        <v>11222</v>
      </c>
      <c r="I3202" t="s">
        <v>7454</v>
      </c>
      <c r="J3202" t="s">
        <v>71</v>
      </c>
      <c r="K3202" s="2" t="str">
        <f>HYPERLINK("http://collections.slsa.sa.gov.au/arthur/02250/BRG347_2189.htm")</f>
        <v>http://collections.slsa.sa.gov.au/arthur/02250/BRG347_2189.htm</v>
      </c>
    </row>
    <row r="3203" spans="1:11" x14ac:dyDescent="0.25">
      <c r="A3203" t="s">
        <v>11223</v>
      </c>
      <c r="B3203" s="1" t="str">
        <f>HYPERLINK("https://www.catalog.slsa.sa.gov.au/record=b2111550")</f>
        <v>https://www.catalog.slsa.sa.gov.au/record=b2111550</v>
      </c>
      <c r="C3203" s="1" t="str">
        <f>HYPERLINK("https://www.catalog.slsa.sa.gov.au/xrecord=b2111550")</f>
        <v>https://www.catalog.slsa.sa.gov.au/xrecord=b2111550</v>
      </c>
      <c r="D3203" t="s">
        <v>66</v>
      </c>
      <c r="E3203" t="s">
        <v>11224</v>
      </c>
      <c r="F3203">
        <v>1961</v>
      </c>
      <c r="G3203" t="s">
        <v>121</v>
      </c>
      <c r="H3203" t="s">
        <v>11225</v>
      </c>
      <c r="I3203" t="s">
        <v>11226</v>
      </c>
      <c r="J3203" t="s">
        <v>71</v>
      </c>
      <c r="K3203" s="2" t="str">
        <f>HYPERLINK("http://collections.slsa.sa.gov.au/arthur/02250/BRG347_2190.htm")</f>
        <v>http://collections.slsa.sa.gov.au/arthur/02250/BRG347_2190.htm</v>
      </c>
    </row>
    <row r="3204" spans="1:11" x14ac:dyDescent="0.25">
      <c r="A3204" t="s">
        <v>11227</v>
      </c>
      <c r="B3204" s="1" t="str">
        <f>HYPERLINK("https://www.catalog.slsa.sa.gov.au/record=b2111551")</f>
        <v>https://www.catalog.slsa.sa.gov.au/record=b2111551</v>
      </c>
      <c r="C3204" s="1" t="str">
        <f>HYPERLINK("https://www.catalog.slsa.sa.gov.au/xrecord=b2111551")</f>
        <v>https://www.catalog.slsa.sa.gov.au/xrecord=b2111551</v>
      </c>
      <c r="D3204" t="s">
        <v>66</v>
      </c>
      <c r="E3204" t="s">
        <v>11221</v>
      </c>
      <c r="F3204">
        <v>1961</v>
      </c>
      <c r="G3204" t="s">
        <v>121</v>
      </c>
      <c r="H3204" t="s">
        <v>11228</v>
      </c>
      <c r="I3204" t="s">
        <v>7454</v>
      </c>
      <c r="J3204" t="s">
        <v>71</v>
      </c>
      <c r="K3204" s="2" t="str">
        <f>HYPERLINK("http://collections.slsa.sa.gov.au/arthur/02250/BRG347_2191.htm")</f>
        <v>http://collections.slsa.sa.gov.au/arthur/02250/BRG347_2191.htm</v>
      </c>
    </row>
    <row r="3205" spans="1:11" x14ac:dyDescent="0.25">
      <c r="A3205" t="s">
        <v>11229</v>
      </c>
      <c r="B3205" s="1" t="str">
        <f>HYPERLINK("https://www.catalog.slsa.sa.gov.au/record=b2111552")</f>
        <v>https://www.catalog.slsa.sa.gov.au/record=b2111552</v>
      </c>
      <c r="C3205" s="1" t="str">
        <f>HYPERLINK("https://www.catalog.slsa.sa.gov.au/xrecord=b2111552")</f>
        <v>https://www.catalog.slsa.sa.gov.au/xrecord=b2111552</v>
      </c>
      <c r="D3205" t="s">
        <v>66</v>
      </c>
      <c r="E3205" t="s">
        <v>11230</v>
      </c>
      <c r="F3205">
        <v>1961</v>
      </c>
      <c r="G3205" t="s">
        <v>121</v>
      </c>
      <c r="H3205" t="s">
        <v>11231</v>
      </c>
      <c r="I3205" t="s">
        <v>11232</v>
      </c>
      <c r="J3205" t="s">
        <v>71</v>
      </c>
      <c r="K3205" s="2" t="str">
        <f>HYPERLINK("http://collections.slsa.sa.gov.au/arthur/02250/BRG347_2192.htm")</f>
        <v>http://collections.slsa.sa.gov.au/arthur/02250/BRG347_2192.htm</v>
      </c>
    </row>
    <row r="3206" spans="1:11" x14ac:dyDescent="0.25">
      <c r="A3206" t="s">
        <v>11233</v>
      </c>
      <c r="B3206" s="1" t="str">
        <f>HYPERLINK("https://www.catalog.slsa.sa.gov.au/record=b2111553")</f>
        <v>https://www.catalog.slsa.sa.gov.au/record=b2111553</v>
      </c>
      <c r="C3206" s="1" t="str">
        <f>HYPERLINK("https://www.catalog.slsa.sa.gov.au/xrecord=b2111553")</f>
        <v>https://www.catalog.slsa.sa.gov.au/xrecord=b2111553</v>
      </c>
      <c r="D3206" t="s">
        <v>66</v>
      </c>
      <c r="E3206" t="s">
        <v>11234</v>
      </c>
      <c r="F3206">
        <v>1961</v>
      </c>
      <c r="G3206" t="s">
        <v>121</v>
      </c>
      <c r="H3206" t="s">
        <v>11235</v>
      </c>
      <c r="I3206" t="s">
        <v>11236</v>
      </c>
      <c r="J3206" t="s">
        <v>71</v>
      </c>
      <c r="K3206" s="2" t="str">
        <f>HYPERLINK("http://collections.slsa.sa.gov.au/arthur/02250/BRG347_2193.htm")</f>
        <v>http://collections.slsa.sa.gov.au/arthur/02250/BRG347_2193.htm</v>
      </c>
    </row>
    <row r="3207" spans="1:11" x14ac:dyDescent="0.25">
      <c r="A3207" t="s">
        <v>11237</v>
      </c>
      <c r="B3207" s="1" t="str">
        <f>HYPERLINK("https://www.catalog.slsa.sa.gov.au/record=b2111554")</f>
        <v>https://www.catalog.slsa.sa.gov.au/record=b2111554</v>
      </c>
      <c r="C3207" s="1" t="str">
        <f>HYPERLINK("https://www.catalog.slsa.sa.gov.au/xrecord=b2111554")</f>
        <v>https://www.catalog.slsa.sa.gov.au/xrecord=b2111554</v>
      </c>
      <c r="D3207" t="s">
        <v>66</v>
      </c>
      <c r="E3207" t="s">
        <v>11238</v>
      </c>
      <c r="F3207">
        <v>1961</v>
      </c>
      <c r="G3207" t="s">
        <v>121</v>
      </c>
      <c r="H3207" t="s">
        <v>11239</v>
      </c>
      <c r="I3207" t="s">
        <v>8327</v>
      </c>
      <c r="J3207" t="s">
        <v>71</v>
      </c>
      <c r="K3207" s="2" t="str">
        <f>HYPERLINK("http://collections.slsa.sa.gov.au/arthur/02250/BRG347_2194.htm")</f>
        <v>http://collections.slsa.sa.gov.au/arthur/02250/BRG347_2194.htm</v>
      </c>
    </row>
    <row r="3208" spans="1:11" x14ac:dyDescent="0.25">
      <c r="A3208" t="s">
        <v>11240</v>
      </c>
      <c r="B3208" s="1" t="str">
        <f>HYPERLINK("https://www.catalog.slsa.sa.gov.au/record=b2111555")</f>
        <v>https://www.catalog.slsa.sa.gov.au/record=b2111555</v>
      </c>
      <c r="C3208" s="1" t="str">
        <f>HYPERLINK("https://www.catalog.slsa.sa.gov.au/xrecord=b2111555")</f>
        <v>https://www.catalog.slsa.sa.gov.au/xrecord=b2111555</v>
      </c>
      <c r="D3208" t="s">
        <v>66</v>
      </c>
      <c r="E3208" t="s">
        <v>11241</v>
      </c>
      <c r="F3208">
        <v>1961</v>
      </c>
      <c r="G3208" t="s">
        <v>121</v>
      </c>
      <c r="H3208" t="s">
        <v>11242</v>
      </c>
      <c r="I3208" t="s">
        <v>8327</v>
      </c>
      <c r="J3208" t="s">
        <v>71</v>
      </c>
      <c r="K3208" s="2" t="str">
        <f>HYPERLINK("http://collections.slsa.sa.gov.au/arthur/02250/BRG347_2195.htm")</f>
        <v>http://collections.slsa.sa.gov.au/arthur/02250/BRG347_2195.htm</v>
      </c>
    </row>
    <row r="3209" spans="1:11" x14ac:dyDescent="0.25">
      <c r="A3209" t="s">
        <v>11243</v>
      </c>
      <c r="B3209" s="1" t="str">
        <f>HYPERLINK("https://www.catalog.slsa.sa.gov.au/record=b2111556")</f>
        <v>https://www.catalog.slsa.sa.gov.au/record=b2111556</v>
      </c>
      <c r="C3209" s="1" t="str">
        <f>HYPERLINK("https://www.catalog.slsa.sa.gov.au/xrecord=b2111556")</f>
        <v>https://www.catalog.slsa.sa.gov.au/xrecord=b2111556</v>
      </c>
      <c r="D3209" t="s">
        <v>66</v>
      </c>
      <c r="E3209" t="s">
        <v>11241</v>
      </c>
      <c r="F3209">
        <v>1961</v>
      </c>
      <c r="G3209" t="s">
        <v>121</v>
      </c>
      <c r="H3209" t="s">
        <v>11244</v>
      </c>
      <c r="I3209" t="s">
        <v>8327</v>
      </c>
      <c r="J3209" t="s">
        <v>71</v>
      </c>
      <c r="K3209" s="2" t="str">
        <f>HYPERLINK("http://collections.slsa.sa.gov.au/arthur/02250/BRG347_2196.htm")</f>
        <v>http://collections.slsa.sa.gov.au/arthur/02250/BRG347_2196.htm</v>
      </c>
    </row>
    <row r="3210" spans="1:11" x14ac:dyDescent="0.25">
      <c r="A3210" t="s">
        <v>11245</v>
      </c>
      <c r="B3210" s="1" t="str">
        <f>HYPERLINK("https://www.catalog.slsa.sa.gov.au/record=b2111557")</f>
        <v>https://www.catalog.slsa.sa.gov.au/record=b2111557</v>
      </c>
      <c r="C3210" s="1" t="str">
        <f>HYPERLINK("https://www.catalog.slsa.sa.gov.au/xrecord=b2111557")</f>
        <v>https://www.catalog.slsa.sa.gov.au/xrecord=b2111557</v>
      </c>
      <c r="D3210" t="s">
        <v>66</v>
      </c>
      <c r="E3210" t="s">
        <v>11246</v>
      </c>
      <c r="F3210">
        <v>1961</v>
      </c>
      <c r="G3210" t="s">
        <v>121</v>
      </c>
      <c r="H3210" t="s">
        <v>11247</v>
      </c>
      <c r="I3210" t="s">
        <v>11248</v>
      </c>
      <c r="J3210" t="s">
        <v>71</v>
      </c>
      <c r="K3210" s="2" t="str">
        <f>HYPERLINK("http://collections.slsa.sa.gov.au/arthur/02250/BRG347_2197.htm")</f>
        <v>http://collections.slsa.sa.gov.au/arthur/02250/BRG347_2197.htm</v>
      </c>
    </row>
    <row r="3211" spans="1:11" x14ac:dyDescent="0.25">
      <c r="A3211" t="s">
        <v>11249</v>
      </c>
      <c r="B3211" s="1" t="str">
        <f>HYPERLINK("https://www.catalog.slsa.sa.gov.au/record=b2111558")</f>
        <v>https://www.catalog.slsa.sa.gov.au/record=b2111558</v>
      </c>
      <c r="C3211" s="1" t="str">
        <f>HYPERLINK("https://www.catalog.slsa.sa.gov.au/xrecord=b2111558")</f>
        <v>https://www.catalog.slsa.sa.gov.au/xrecord=b2111558</v>
      </c>
      <c r="D3211" t="s">
        <v>66</v>
      </c>
      <c r="E3211" t="s">
        <v>11250</v>
      </c>
      <c r="F3211">
        <v>1961</v>
      </c>
      <c r="G3211" t="s">
        <v>121</v>
      </c>
      <c r="H3211" t="s">
        <v>11251</v>
      </c>
      <c r="I3211" t="s">
        <v>11252</v>
      </c>
      <c r="J3211" t="s">
        <v>71</v>
      </c>
      <c r="K3211" s="2" t="str">
        <f>HYPERLINK("http://collections.slsa.sa.gov.au/arthur/02250/BRG347_2198.htm")</f>
        <v>http://collections.slsa.sa.gov.au/arthur/02250/BRG347_2198.htm</v>
      </c>
    </row>
    <row r="3212" spans="1:11" x14ac:dyDescent="0.25">
      <c r="A3212" t="s">
        <v>11253</v>
      </c>
      <c r="B3212" s="1" t="str">
        <f>HYPERLINK("https://www.catalog.slsa.sa.gov.au/record=b2111559")</f>
        <v>https://www.catalog.slsa.sa.gov.au/record=b2111559</v>
      </c>
      <c r="C3212" s="1" t="str">
        <f>HYPERLINK("https://www.catalog.slsa.sa.gov.au/xrecord=b2111559")</f>
        <v>https://www.catalog.slsa.sa.gov.au/xrecord=b2111559</v>
      </c>
      <c r="D3212" t="s">
        <v>66</v>
      </c>
      <c r="E3212" t="s">
        <v>11159</v>
      </c>
      <c r="F3212">
        <v>1961</v>
      </c>
      <c r="G3212" t="s">
        <v>121</v>
      </c>
      <c r="H3212" t="s">
        <v>11254</v>
      </c>
      <c r="I3212" t="s">
        <v>11255</v>
      </c>
      <c r="J3212" t="s">
        <v>71</v>
      </c>
      <c r="K3212" s="2" t="str">
        <f>HYPERLINK("http://collections.slsa.sa.gov.au/arthur/02250/BRG347_2199.htm")</f>
        <v>http://collections.slsa.sa.gov.au/arthur/02250/BRG347_2199.htm</v>
      </c>
    </row>
    <row r="3213" spans="1:11" x14ac:dyDescent="0.25">
      <c r="A3213" t="s">
        <v>11256</v>
      </c>
      <c r="B3213" s="1" t="str">
        <f>HYPERLINK("https://www.catalog.slsa.sa.gov.au/record=b2111560")</f>
        <v>https://www.catalog.slsa.sa.gov.au/record=b2111560</v>
      </c>
      <c r="C3213" s="1" t="str">
        <f>HYPERLINK("https://www.catalog.slsa.sa.gov.au/xrecord=b2111560")</f>
        <v>https://www.catalog.slsa.sa.gov.au/xrecord=b2111560</v>
      </c>
      <c r="D3213" t="s">
        <v>66</v>
      </c>
      <c r="E3213" t="s">
        <v>11159</v>
      </c>
      <c r="F3213">
        <v>1961</v>
      </c>
      <c r="G3213" t="s">
        <v>121</v>
      </c>
      <c r="H3213" t="s">
        <v>11257</v>
      </c>
      <c r="I3213" t="s">
        <v>11258</v>
      </c>
      <c r="J3213" t="s">
        <v>71</v>
      </c>
      <c r="K3213" s="2" t="str">
        <f>HYPERLINK("http://collections.slsa.sa.gov.au/arthur/02250/BRG347_2200.htm")</f>
        <v>http://collections.slsa.sa.gov.au/arthur/02250/BRG347_2200.htm</v>
      </c>
    </row>
    <row r="3214" spans="1:11" x14ac:dyDescent="0.25">
      <c r="A3214" t="s">
        <v>11259</v>
      </c>
      <c r="B3214" s="1" t="str">
        <f>HYPERLINK("https://www.catalog.slsa.sa.gov.au/record=b2111561")</f>
        <v>https://www.catalog.slsa.sa.gov.au/record=b2111561</v>
      </c>
      <c r="C3214" s="1" t="str">
        <f>HYPERLINK("https://www.catalog.slsa.sa.gov.au/xrecord=b2111561")</f>
        <v>https://www.catalog.slsa.sa.gov.au/xrecord=b2111561</v>
      </c>
      <c r="D3214" t="s">
        <v>66</v>
      </c>
      <c r="E3214" t="s">
        <v>8143</v>
      </c>
      <c r="F3214">
        <v>1961</v>
      </c>
      <c r="G3214" t="s">
        <v>121</v>
      </c>
      <c r="H3214" t="s">
        <v>11260</v>
      </c>
      <c r="I3214" t="s">
        <v>11261</v>
      </c>
      <c r="J3214" t="s">
        <v>71</v>
      </c>
      <c r="K3214" s="2" t="str">
        <f>HYPERLINK("http://collections.slsa.sa.gov.au/arthur/02250/BRG347_2201.htm")</f>
        <v>http://collections.slsa.sa.gov.au/arthur/02250/BRG347_2201.htm</v>
      </c>
    </row>
    <row r="3215" spans="1:11" x14ac:dyDescent="0.25">
      <c r="A3215" t="s">
        <v>11262</v>
      </c>
      <c r="B3215" s="1" t="str">
        <f>HYPERLINK("https://www.catalog.slsa.sa.gov.au/record=b2111562")</f>
        <v>https://www.catalog.slsa.sa.gov.au/record=b2111562</v>
      </c>
      <c r="C3215" s="1" t="str">
        <f>HYPERLINK("https://www.catalog.slsa.sa.gov.au/xrecord=b2111562")</f>
        <v>https://www.catalog.slsa.sa.gov.au/xrecord=b2111562</v>
      </c>
      <c r="D3215" t="s">
        <v>66</v>
      </c>
      <c r="E3215" t="s">
        <v>6523</v>
      </c>
      <c r="F3215">
        <v>1961</v>
      </c>
      <c r="G3215" t="s">
        <v>121</v>
      </c>
      <c r="H3215" t="s">
        <v>11263</v>
      </c>
      <c r="I3215" t="s">
        <v>7454</v>
      </c>
      <c r="J3215" t="s">
        <v>71</v>
      </c>
      <c r="K3215" s="2" t="str">
        <f>HYPERLINK("http://collections.slsa.sa.gov.au/arthur/02250/BRG347_2202.htm")</f>
        <v>http://collections.slsa.sa.gov.au/arthur/02250/BRG347_2202.htm</v>
      </c>
    </row>
    <row r="3216" spans="1:11" x14ac:dyDescent="0.25">
      <c r="A3216" t="s">
        <v>11264</v>
      </c>
      <c r="B3216" s="1" t="str">
        <f>HYPERLINK("https://www.catalog.slsa.sa.gov.au/record=b2111563")</f>
        <v>https://www.catalog.slsa.sa.gov.au/record=b2111563</v>
      </c>
      <c r="C3216" s="1" t="str">
        <f>HYPERLINK("https://www.catalog.slsa.sa.gov.au/xrecord=b2111563")</f>
        <v>https://www.catalog.slsa.sa.gov.au/xrecord=b2111563</v>
      </c>
      <c r="D3216" t="s">
        <v>66</v>
      </c>
      <c r="E3216" t="s">
        <v>8258</v>
      </c>
      <c r="F3216">
        <v>1961</v>
      </c>
      <c r="G3216" t="s">
        <v>121</v>
      </c>
      <c r="H3216" t="s">
        <v>11265</v>
      </c>
      <c r="I3216" t="s">
        <v>8145</v>
      </c>
      <c r="J3216" t="s">
        <v>71</v>
      </c>
      <c r="K3216" s="2" t="str">
        <f>HYPERLINK("http://collections.slsa.sa.gov.au/arthur/02250/BRG347_2203.htm")</f>
        <v>http://collections.slsa.sa.gov.au/arthur/02250/BRG347_2203.htm</v>
      </c>
    </row>
    <row r="3217" spans="1:11" x14ac:dyDescent="0.25">
      <c r="A3217" t="s">
        <v>11266</v>
      </c>
      <c r="B3217" s="1" t="str">
        <f>HYPERLINK("https://www.catalog.slsa.sa.gov.au/record=b2111564")</f>
        <v>https://www.catalog.slsa.sa.gov.au/record=b2111564</v>
      </c>
      <c r="C3217" s="1" t="str">
        <f>HYPERLINK("https://www.catalog.slsa.sa.gov.au/xrecord=b2111564")</f>
        <v>https://www.catalog.slsa.sa.gov.au/xrecord=b2111564</v>
      </c>
      <c r="D3217" t="s">
        <v>66</v>
      </c>
      <c r="E3217" t="s">
        <v>6523</v>
      </c>
      <c r="F3217">
        <v>1961</v>
      </c>
      <c r="G3217" t="s">
        <v>121</v>
      </c>
      <c r="H3217" t="s">
        <v>11267</v>
      </c>
      <c r="I3217" t="s">
        <v>7454</v>
      </c>
      <c r="J3217" t="s">
        <v>71</v>
      </c>
      <c r="K3217" s="2" t="str">
        <f>HYPERLINK("http://collections.slsa.sa.gov.au/arthur/02250/BRG347_2204.htm")</f>
        <v>http://collections.slsa.sa.gov.au/arthur/02250/BRG347_2204.htm</v>
      </c>
    </row>
    <row r="3218" spans="1:11" x14ac:dyDescent="0.25">
      <c r="A3218" t="s">
        <v>11268</v>
      </c>
      <c r="B3218" s="1" t="str">
        <f>HYPERLINK("https://www.catalog.slsa.sa.gov.au/record=b2111565")</f>
        <v>https://www.catalog.slsa.sa.gov.au/record=b2111565</v>
      </c>
      <c r="C3218" s="1" t="str">
        <f>HYPERLINK("https://www.catalog.slsa.sa.gov.au/xrecord=b2111565")</f>
        <v>https://www.catalog.slsa.sa.gov.au/xrecord=b2111565</v>
      </c>
      <c r="D3218" t="s">
        <v>66</v>
      </c>
      <c r="E3218" t="s">
        <v>11269</v>
      </c>
      <c r="F3218">
        <v>1961</v>
      </c>
      <c r="G3218" t="s">
        <v>121</v>
      </c>
      <c r="H3218" t="s">
        <v>11270</v>
      </c>
      <c r="I3218" t="s">
        <v>11271</v>
      </c>
      <c r="J3218" t="s">
        <v>71</v>
      </c>
      <c r="K3218" s="2" t="str">
        <f>HYPERLINK("http://collections.slsa.sa.gov.au/arthur/02250/BRG347_2205.htm")</f>
        <v>http://collections.slsa.sa.gov.au/arthur/02250/BRG347_2205.htm</v>
      </c>
    </row>
    <row r="3219" spans="1:11" x14ac:dyDescent="0.25">
      <c r="A3219" t="s">
        <v>11272</v>
      </c>
      <c r="B3219" s="1" t="str">
        <f>HYPERLINK("https://www.catalog.slsa.sa.gov.au/record=b2111566")</f>
        <v>https://www.catalog.slsa.sa.gov.au/record=b2111566</v>
      </c>
      <c r="C3219" s="1" t="str">
        <f>HYPERLINK("https://www.catalog.slsa.sa.gov.au/xrecord=b2111566")</f>
        <v>https://www.catalog.slsa.sa.gov.au/xrecord=b2111566</v>
      </c>
      <c r="D3219" t="s">
        <v>66</v>
      </c>
      <c r="E3219" t="s">
        <v>11269</v>
      </c>
      <c r="F3219">
        <v>1961</v>
      </c>
      <c r="G3219" t="s">
        <v>121</v>
      </c>
      <c r="H3219" t="s">
        <v>11273</v>
      </c>
      <c r="I3219" t="s">
        <v>11274</v>
      </c>
      <c r="J3219" t="s">
        <v>71</v>
      </c>
      <c r="K3219" s="2" t="str">
        <f>HYPERLINK("http://collections.slsa.sa.gov.au/arthur/02250/BRG347_2206.htm")</f>
        <v>http://collections.slsa.sa.gov.au/arthur/02250/BRG347_2206.htm</v>
      </c>
    </row>
    <row r="3220" spans="1:11" x14ac:dyDescent="0.25">
      <c r="A3220" t="s">
        <v>11275</v>
      </c>
      <c r="B3220" s="1" t="str">
        <f>HYPERLINK("https://www.catalog.slsa.sa.gov.au/record=b2111567")</f>
        <v>https://www.catalog.slsa.sa.gov.au/record=b2111567</v>
      </c>
      <c r="C3220" s="1" t="str">
        <f>HYPERLINK("https://www.catalog.slsa.sa.gov.au/xrecord=b2111567")</f>
        <v>https://www.catalog.slsa.sa.gov.au/xrecord=b2111567</v>
      </c>
      <c r="D3220" t="s">
        <v>66</v>
      </c>
      <c r="E3220" t="s">
        <v>6523</v>
      </c>
      <c r="F3220">
        <v>1961</v>
      </c>
      <c r="G3220" t="s">
        <v>121</v>
      </c>
      <c r="H3220" t="s">
        <v>11276</v>
      </c>
      <c r="I3220" t="s">
        <v>7454</v>
      </c>
      <c r="J3220" t="s">
        <v>71</v>
      </c>
      <c r="K3220" s="2" t="str">
        <f>HYPERLINK("http://collections.slsa.sa.gov.au/arthur/02250/BRG347_2207.htm")</f>
        <v>http://collections.slsa.sa.gov.au/arthur/02250/BRG347_2207.htm</v>
      </c>
    </row>
    <row r="3221" spans="1:11" x14ac:dyDescent="0.25">
      <c r="A3221" t="s">
        <v>11277</v>
      </c>
      <c r="B3221" s="1" t="str">
        <f>HYPERLINK("https://www.catalog.slsa.sa.gov.au/record=b2111568")</f>
        <v>https://www.catalog.slsa.sa.gov.au/record=b2111568</v>
      </c>
      <c r="C3221" s="1" t="str">
        <f>HYPERLINK("https://www.catalog.slsa.sa.gov.au/xrecord=b2111568")</f>
        <v>https://www.catalog.slsa.sa.gov.au/xrecord=b2111568</v>
      </c>
      <c r="D3221" t="s">
        <v>66</v>
      </c>
      <c r="E3221" t="s">
        <v>11246</v>
      </c>
      <c r="F3221">
        <v>1961</v>
      </c>
      <c r="G3221" t="s">
        <v>121</v>
      </c>
      <c r="H3221" t="s">
        <v>11278</v>
      </c>
      <c r="I3221" t="s">
        <v>11248</v>
      </c>
      <c r="J3221" t="s">
        <v>71</v>
      </c>
      <c r="K3221" s="2" t="str">
        <f>HYPERLINK("http://collections.slsa.sa.gov.au/arthur/02250/BRG347_2208.htm")</f>
        <v>http://collections.slsa.sa.gov.au/arthur/02250/BRG347_2208.htm</v>
      </c>
    </row>
    <row r="3222" spans="1:11" x14ac:dyDescent="0.25">
      <c r="A3222" t="s">
        <v>11279</v>
      </c>
      <c r="B3222" s="1" t="str">
        <f>HYPERLINK("https://www.catalog.slsa.sa.gov.au/record=b2117851")</f>
        <v>https://www.catalog.slsa.sa.gov.au/record=b2117851</v>
      </c>
      <c r="C3222" s="1" t="str">
        <f>HYPERLINK("https://www.catalog.slsa.sa.gov.au/xrecord=b2117851")</f>
        <v>https://www.catalog.slsa.sa.gov.au/xrecord=b2117851</v>
      </c>
      <c r="D3222" t="s">
        <v>66</v>
      </c>
      <c r="E3222" t="s">
        <v>8143</v>
      </c>
      <c r="F3222">
        <v>1961</v>
      </c>
      <c r="G3222" t="s">
        <v>121</v>
      </c>
      <c r="H3222" t="s">
        <v>11280</v>
      </c>
      <c r="I3222" t="s">
        <v>11261</v>
      </c>
      <c r="J3222" t="s">
        <v>71</v>
      </c>
      <c r="K3222" s="2" t="str">
        <f>HYPERLINK("http://collections.slsa.sa.gov.au/arthur/02250/BRG347_2209.htm")</f>
        <v>http://collections.slsa.sa.gov.au/arthur/02250/BRG347_2209.htm</v>
      </c>
    </row>
    <row r="3223" spans="1:11" x14ac:dyDescent="0.25">
      <c r="A3223" t="s">
        <v>11281</v>
      </c>
      <c r="B3223" s="1" t="str">
        <f>HYPERLINK("https://www.catalog.slsa.sa.gov.au/record=b2111569")</f>
        <v>https://www.catalog.slsa.sa.gov.au/record=b2111569</v>
      </c>
      <c r="C3223" s="1" t="str">
        <f>HYPERLINK("https://www.catalog.slsa.sa.gov.au/xrecord=b2111569")</f>
        <v>https://www.catalog.slsa.sa.gov.au/xrecord=b2111569</v>
      </c>
      <c r="D3223" t="s">
        <v>66</v>
      </c>
      <c r="E3223" t="s">
        <v>8258</v>
      </c>
      <c r="F3223">
        <v>1961</v>
      </c>
      <c r="G3223" t="s">
        <v>121</v>
      </c>
      <c r="H3223" t="s">
        <v>11282</v>
      </c>
      <c r="I3223" t="s">
        <v>11261</v>
      </c>
      <c r="J3223" t="s">
        <v>71</v>
      </c>
      <c r="K3223" s="2" t="str">
        <f>HYPERLINK("http://collections.slsa.sa.gov.au/arthur/02250/BRG347_2210.htm")</f>
        <v>http://collections.slsa.sa.gov.au/arthur/02250/BRG347_2210.htm</v>
      </c>
    </row>
    <row r="3224" spans="1:11" x14ac:dyDescent="0.25">
      <c r="A3224" t="s">
        <v>11283</v>
      </c>
      <c r="B3224" s="1" t="str">
        <f>HYPERLINK("https://www.catalog.slsa.sa.gov.au/record=b2111570")</f>
        <v>https://www.catalog.slsa.sa.gov.au/record=b2111570</v>
      </c>
      <c r="C3224" s="1" t="str">
        <f>HYPERLINK("https://www.catalog.slsa.sa.gov.au/xrecord=b2111570")</f>
        <v>https://www.catalog.slsa.sa.gov.au/xrecord=b2111570</v>
      </c>
      <c r="D3224" t="s">
        <v>66</v>
      </c>
      <c r="E3224" t="s">
        <v>11284</v>
      </c>
      <c r="F3224">
        <v>1961</v>
      </c>
      <c r="G3224" t="s">
        <v>121</v>
      </c>
      <c r="H3224" t="s">
        <v>11285</v>
      </c>
      <c r="I3224" t="s">
        <v>11286</v>
      </c>
      <c r="J3224" t="s">
        <v>71</v>
      </c>
      <c r="K3224" s="2" t="str">
        <f>HYPERLINK("http://collections.slsa.sa.gov.au/arthur/02250/BRG347_2211.htm")</f>
        <v>http://collections.slsa.sa.gov.au/arthur/02250/BRG347_2211.htm</v>
      </c>
    </row>
    <row r="3225" spans="1:11" x14ac:dyDescent="0.25">
      <c r="A3225" t="s">
        <v>11287</v>
      </c>
      <c r="B3225" s="1" t="str">
        <f>HYPERLINK("https://www.catalog.slsa.sa.gov.au/record=b2111571")</f>
        <v>https://www.catalog.slsa.sa.gov.au/record=b2111571</v>
      </c>
      <c r="C3225" s="1" t="str">
        <f>HYPERLINK("https://www.catalog.slsa.sa.gov.au/xrecord=b2111571")</f>
        <v>https://www.catalog.slsa.sa.gov.au/xrecord=b2111571</v>
      </c>
      <c r="D3225" t="s">
        <v>66</v>
      </c>
      <c r="E3225" t="s">
        <v>11250</v>
      </c>
      <c r="F3225">
        <v>1961</v>
      </c>
      <c r="G3225" t="s">
        <v>121</v>
      </c>
      <c r="H3225" t="s">
        <v>11288</v>
      </c>
      <c r="I3225" t="s">
        <v>10406</v>
      </c>
      <c r="J3225" t="s">
        <v>71</v>
      </c>
      <c r="K3225" s="2" t="str">
        <f>HYPERLINK("http://collections.slsa.sa.gov.au/arthur/02250/BRG347_2212.htm")</f>
        <v>http://collections.slsa.sa.gov.au/arthur/02250/BRG347_2212.htm</v>
      </c>
    </row>
    <row r="3226" spans="1:11" x14ac:dyDescent="0.25">
      <c r="A3226" t="s">
        <v>11289</v>
      </c>
      <c r="B3226" s="1" t="str">
        <f>HYPERLINK("https://www.catalog.slsa.sa.gov.au/record=b2117850")</f>
        <v>https://www.catalog.slsa.sa.gov.au/record=b2117850</v>
      </c>
      <c r="C3226" s="1" t="str">
        <f>HYPERLINK("https://www.catalog.slsa.sa.gov.au/xrecord=b2117850")</f>
        <v>https://www.catalog.slsa.sa.gov.au/xrecord=b2117850</v>
      </c>
      <c r="D3226" t="s">
        <v>66</v>
      </c>
      <c r="E3226" t="s">
        <v>11250</v>
      </c>
      <c r="F3226">
        <v>1961</v>
      </c>
      <c r="G3226" t="s">
        <v>121</v>
      </c>
      <c r="H3226" t="s">
        <v>11290</v>
      </c>
      <c r="I3226" t="s">
        <v>11252</v>
      </c>
      <c r="J3226" t="s">
        <v>71</v>
      </c>
      <c r="K3226" s="2" t="str">
        <f>HYPERLINK("http://collections.slsa.sa.gov.au/arthur/02250/BRG347_2213.htm")</f>
        <v>http://collections.slsa.sa.gov.au/arthur/02250/BRG347_2213.htm</v>
      </c>
    </row>
    <row r="3227" spans="1:11" x14ac:dyDescent="0.25">
      <c r="A3227" t="s">
        <v>11291</v>
      </c>
      <c r="B3227" s="1" t="str">
        <f>HYPERLINK("https://www.catalog.slsa.sa.gov.au/record=b2111648")</f>
        <v>https://www.catalog.slsa.sa.gov.au/record=b2111648</v>
      </c>
      <c r="C3227" s="1" t="str">
        <f>HYPERLINK("https://www.catalog.slsa.sa.gov.au/xrecord=b2111648")</f>
        <v>https://www.catalog.slsa.sa.gov.au/xrecord=b2111648</v>
      </c>
      <c r="D3227" t="s">
        <v>66</v>
      </c>
      <c r="E3227" t="s">
        <v>7405</v>
      </c>
      <c r="F3227">
        <v>1961</v>
      </c>
      <c r="G3227" t="s">
        <v>121</v>
      </c>
      <c r="H3227" t="s">
        <v>11292</v>
      </c>
      <c r="I3227" t="s">
        <v>7401</v>
      </c>
      <c r="J3227" t="s">
        <v>71</v>
      </c>
      <c r="K3227" s="2" t="str">
        <f>HYPERLINK("http://collections.slsa.sa.gov.au/arthur/02250/BRG347_2250.htm")</f>
        <v>http://collections.slsa.sa.gov.au/arthur/02250/BRG347_2250.htm</v>
      </c>
    </row>
    <row r="3228" spans="1:11" x14ac:dyDescent="0.25">
      <c r="A3228" t="s">
        <v>11293</v>
      </c>
      <c r="B3228" s="1" t="str">
        <f>HYPERLINK("https://www.catalog.slsa.sa.gov.au/record=b2111712")</f>
        <v>https://www.catalog.slsa.sa.gov.au/record=b2111712</v>
      </c>
      <c r="C3228" s="1" t="str">
        <f>HYPERLINK("https://www.catalog.slsa.sa.gov.au/xrecord=b2111712")</f>
        <v>https://www.catalog.slsa.sa.gov.au/xrecord=b2111712</v>
      </c>
      <c r="D3228" t="s">
        <v>66</v>
      </c>
      <c r="E3228" t="s">
        <v>11294</v>
      </c>
      <c r="F3228">
        <v>1961</v>
      </c>
      <c r="G3228" t="s">
        <v>121</v>
      </c>
      <c r="H3228" t="s">
        <v>11295</v>
      </c>
      <c r="I3228" t="s">
        <v>11296</v>
      </c>
      <c r="J3228" t="s">
        <v>71</v>
      </c>
      <c r="K3228" s="2" t="str">
        <f>HYPERLINK("http://collections.slsa.sa.gov.au/arthur/02500/BRG347_2316.htm")</f>
        <v>http://collections.slsa.sa.gov.au/arthur/02500/BRG347_2316.htm</v>
      </c>
    </row>
    <row r="3229" spans="1:11" x14ac:dyDescent="0.25">
      <c r="A3229" t="s">
        <v>11297</v>
      </c>
      <c r="B3229" s="1" t="str">
        <f>HYPERLINK("https://www.catalog.slsa.sa.gov.au/record=b2111713")</f>
        <v>https://www.catalog.slsa.sa.gov.au/record=b2111713</v>
      </c>
      <c r="C3229" s="1" t="str">
        <f>HYPERLINK("https://www.catalog.slsa.sa.gov.au/xrecord=b2111713")</f>
        <v>https://www.catalog.slsa.sa.gov.au/xrecord=b2111713</v>
      </c>
      <c r="D3229" t="s">
        <v>66</v>
      </c>
      <c r="E3229" t="s">
        <v>11298</v>
      </c>
      <c r="F3229">
        <v>1961</v>
      </c>
      <c r="G3229" t="s">
        <v>121</v>
      </c>
      <c r="H3229" t="s">
        <v>11299</v>
      </c>
      <c r="I3229" t="s">
        <v>10598</v>
      </c>
      <c r="J3229" t="s">
        <v>71</v>
      </c>
      <c r="K3229" s="2" t="str">
        <f>HYPERLINK("http://collections.slsa.sa.gov.au/arthur/02500/BRG347_2317.htm")</f>
        <v>http://collections.slsa.sa.gov.au/arthur/02500/BRG347_2317.htm</v>
      </c>
    </row>
    <row r="3230" spans="1:11" x14ac:dyDescent="0.25">
      <c r="A3230" t="s">
        <v>11300</v>
      </c>
      <c r="B3230" s="1" t="str">
        <f>HYPERLINK("https://www.catalog.slsa.sa.gov.au/record=b2111714")</f>
        <v>https://www.catalog.slsa.sa.gov.au/record=b2111714</v>
      </c>
      <c r="C3230" s="1" t="str">
        <f>HYPERLINK("https://www.catalog.slsa.sa.gov.au/xrecord=b2111714")</f>
        <v>https://www.catalog.slsa.sa.gov.au/xrecord=b2111714</v>
      </c>
      <c r="D3230" t="s">
        <v>66</v>
      </c>
      <c r="E3230" t="s">
        <v>11301</v>
      </c>
      <c r="F3230">
        <v>1961</v>
      </c>
      <c r="G3230" t="s">
        <v>121</v>
      </c>
      <c r="H3230" t="s">
        <v>11302</v>
      </c>
      <c r="I3230" t="s">
        <v>11303</v>
      </c>
      <c r="J3230" t="s">
        <v>71</v>
      </c>
      <c r="K3230" s="2" t="str">
        <f>HYPERLINK("http://collections.slsa.sa.gov.au/arthur/02500/BRG347_2318.htm")</f>
        <v>http://collections.slsa.sa.gov.au/arthur/02500/BRG347_2318.htm</v>
      </c>
    </row>
    <row r="3231" spans="1:11" x14ac:dyDescent="0.25">
      <c r="A3231" t="s">
        <v>11304</v>
      </c>
      <c r="B3231" s="1" t="str">
        <f>HYPERLINK("https://www.catalog.slsa.sa.gov.au/record=b2111716")</f>
        <v>https://www.catalog.slsa.sa.gov.au/record=b2111716</v>
      </c>
      <c r="C3231" s="1" t="str">
        <f>HYPERLINK("https://www.catalog.slsa.sa.gov.au/xrecord=b2111716")</f>
        <v>https://www.catalog.slsa.sa.gov.au/xrecord=b2111716</v>
      </c>
      <c r="D3231" t="s">
        <v>66</v>
      </c>
      <c r="E3231" t="s">
        <v>11305</v>
      </c>
      <c r="F3231">
        <v>1961</v>
      </c>
      <c r="G3231" t="s">
        <v>121</v>
      </c>
      <c r="H3231" t="s">
        <v>11306</v>
      </c>
      <c r="I3231" t="s">
        <v>11307</v>
      </c>
      <c r="J3231" t="s">
        <v>71</v>
      </c>
      <c r="K3231" s="2" t="str">
        <f>HYPERLINK("http://collections.slsa.sa.gov.au/arthur/02500/BRG347_2319.htm")</f>
        <v>http://collections.slsa.sa.gov.au/arthur/02500/BRG347_2319.htm</v>
      </c>
    </row>
    <row r="3232" spans="1:11" x14ac:dyDescent="0.25">
      <c r="A3232" t="s">
        <v>11308</v>
      </c>
      <c r="B3232" s="1" t="str">
        <f>HYPERLINK("https://www.catalog.slsa.sa.gov.au/record=b2111717")</f>
        <v>https://www.catalog.slsa.sa.gov.au/record=b2111717</v>
      </c>
      <c r="C3232" s="1" t="str">
        <f>HYPERLINK("https://www.catalog.slsa.sa.gov.au/xrecord=b2111717")</f>
        <v>https://www.catalog.slsa.sa.gov.au/xrecord=b2111717</v>
      </c>
      <c r="D3232" t="s">
        <v>66</v>
      </c>
      <c r="E3232" t="s">
        <v>5607</v>
      </c>
      <c r="F3232">
        <v>1961</v>
      </c>
      <c r="G3232" t="s">
        <v>121</v>
      </c>
      <c r="H3232" t="s">
        <v>11309</v>
      </c>
      <c r="I3232" t="s">
        <v>5609</v>
      </c>
      <c r="J3232" t="s">
        <v>71</v>
      </c>
      <c r="K3232" s="2" t="str">
        <f>HYPERLINK("http://collections.slsa.sa.gov.au/arthur/02500/BRG347_2320.htm")</f>
        <v>http://collections.slsa.sa.gov.au/arthur/02500/BRG347_2320.htm</v>
      </c>
    </row>
    <row r="3233" spans="1:11" x14ac:dyDescent="0.25">
      <c r="A3233" t="s">
        <v>11310</v>
      </c>
      <c r="B3233" s="1" t="str">
        <f>HYPERLINK("https://www.catalog.slsa.sa.gov.au/record=b2111727")</f>
        <v>https://www.catalog.slsa.sa.gov.au/record=b2111727</v>
      </c>
      <c r="C3233" s="1" t="str">
        <f>HYPERLINK("https://www.catalog.slsa.sa.gov.au/xrecord=b2111727")</f>
        <v>https://www.catalog.slsa.sa.gov.au/xrecord=b2111727</v>
      </c>
      <c r="D3233" t="s">
        <v>66</v>
      </c>
      <c r="E3233" t="s">
        <v>11311</v>
      </c>
      <c r="F3233">
        <v>1961</v>
      </c>
      <c r="G3233" t="s">
        <v>121</v>
      </c>
      <c r="H3233" t="s">
        <v>11312</v>
      </c>
      <c r="I3233" t="s">
        <v>10986</v>
      </c>
      <c r="J3233" t="s">
        <v>71</v>
      </c>
      <c r="K3233" s="2" t="str">
        <f>HYPERLINK("http://collections.slsa.sa.gov.au/arthur/02500/BRG347_2326.htm")</f>
        <v>http://collections.slsa.sa.gov.au/arthur/02500/BRG347_2326.htm</v>
      </c>
    </row>
    <row r="3234" spans="1:11" x14ac:dyDescent="0.25">
      <c r="A3234" t="s">
        <v>11313</v>
      </c>
      <c r="B3234" s="1" t="str">
        <f>HYPERLINK("https://www.catalog.slsa.sa.gov.au/record=b2112089")</f>
        <v>https://www.catalog.slsa.sa.gov.au/record=b2112089</v>
      </c>
      <c r="C3234" s="1" t="str">
        <f>HYPERLINK("https://www.catalog.slsa.sa.gov.au/xrecord=b2112089")</f>
        <v>https://www.catalog.slsa.sa.gov.au/xrecord=b2112089</v>
      </c>
      <c r="D3234" t="s">
        <v>66</v>
      </c>
      <c r="E3234" t="s">
        <v>6467</v>
      </c>
      <c r="F3234">
        <v>1961</v>
      </c>
      <c r="G3234" t="s">
        <v>121</v>
      </c>
      <c r="H3234" t="s">
        <v>11314</v>
      </c>
      <c r="I3234" t="s">
        <v>7346</v>
      </c>
      <c r="J3234" t="s">
        <v>71</v>
      </c>
      <c r="K3234" s="2" t="str">
        <f>HYPERLINK("http://collections.slsa.sa.gov.au/arthur/02750/BRG347_2519.htm")</f>
        <v>http://collections.slsa.sa.gov.au/arthur/02750/BRG347_2519.htm</v>
      </c>
    </row>
    <row r="3235" spans="1:11" x14ac:dyDescent="0.25">
      <c r="A3235" t="s">
        <v>11315</v>
      </c>
      <c r="B3235" s="1" t="str">
        <f>HYPERLINK("https://www.catalog.slsa.sa.gov.au/record=b2112090")</f>
        <v>https://www.catalog.slsa.sa.gov.au/record=b2112090</v>
      </c>
      <c r="C3235" s="1" t="str">
        <f>HYPERLINK("https://www.catalog.slsa.sa.gov.au/xrecord=b2112090")</f>
        <v>https://www.catalog.slsa.sa.gov.au/xrecord=b2112090</v>
      </c>
      <c r="D3235" t="s">
        <v>66</v>
      </c>
      <c r="E3235" t="s">
        <v>6467</v>
      </c>
      <c r="F3235">
        <v>1961</v>
      </c>
      <c r="G3235" t="s">
        <v>121</v>
      </c>
      <c r="H3235" t="s">
        <v>11316</v>
      </c>
      <c r="I3235" t="s">
        <v>7346</v>
      </c>
      <c r="J3235" t="s">
        <v>71</v>
      </c>
      <c r="K3235" s="2" t="str">
        <f>HYPERLINK("http://collections.slsa.sa.gov.au/arthur/02750/BRG347_2520.htm")</f>
        <v>http://collections.slsa.sa.gov.au/arthur/02750/BRG347_2520.htm</v>
      </c>
    </row>
    <row r="3236" spans="1:11" x14ac:dyDescent="0.25">
      <c r="A3236" t="s">
        <v>11317</v>
      </c>
      <c r="B3236" s="1" t="str">
        <f>HYPERLINK("https://www.catalog.slsa.sa.gov.au/record=b2112092")</f>
        <v>https://www.catalog.slsa.sa.gov.au/record=b2112092</v>
      </c>
      <c r="C3236" s="1" t="str">
        <f>HYPERLINK("https://www.catalog.slsa.sa.gov.au/xrecord=b2112092")</f>
        <v>https://www.catalog.slsa.sa.gov.au/xrecord=b2112092</v>
      </c>
      <c r="D3236" t="s">
        <v>66</v>
      </c>
      <c r="E3236" t="s">
        <v>6467</v>
      </c>
      <c r="F3236">
        <v>1961</v>
      </c>
      <c r="G3236" t="s">
        <v>121</v>
      </c>
      <c r="H3236" t="s">
        <v>11318</v>
      </c>
      <c r="I3236" t="s">
        <v>7350</v>
      </c>
      <c r="J3236" t="s">
        <v>71</v>
      </c>
      <c r="K3236" s="2" t="str">
        <f>HYPERLINK("http://collections.slsa.sa.gov.au/arthur/02750/BRG347_2522.htm")</f>
        <v>http://collections.slsa.sa.gov.au/arthur/02750/BRG347_2522.htm</v>
      </c>
    </row>
    <row r="3237" spans="1:11" x14ac:dyDescent="0.25">
      <c r="A3237" t="s">
        <v>11319</v>
      </c>
      <c r="B3237" s="1" t="str">
        <f>HYPERLINK("https://www.catalog.slsa.sa.gov.au/record=b2112093")</f>
        <v>https://www.catalog.slsa.sa.gov.au/record=b2112093</v>
      </c>
      <c r="C3237" s="1" t="str">
        <f>HYPERLINK("https://www.catalog.slsa.sa.gov.au/xrecord=b2112093")</f>
        <v>https://www.catalog.slsa.sa.gov.au/xrecord=b2112093</v>
      </c>
      <c r="D3237" t="s">
        <v>66</v>
      </c>
      <c r="E3237" t="s">
        <v>11320</v>
      </c>
      <c r="F3237">
        <v>1961</v>
      </c>
      <c r="G3237" t="s">
        <v>121</v>
      </c>
      <c r="H3237" t="s">
        <v>11321</v>
      </c>
      <c r="I3237" t="s">
        <v>11322</v>
      </c>
      <c r="J3237" t="s">
        <v>71</v>
      </c>
      <c r="K3237" s="2" t="str">
        <f>HYPERLINK("http://collections.slsa.sa.gov.au/arthur/02750/BRG347_2523.htm")</f>
        <v>http://collections.slsa.sa.gov.au/arthur/02750/BRG347_2523.htm</v>
      </c>
    </row>
    <row r="3238" spans="1:11" x14ac:dyDescent="0.25">
      <c r="A3238" t="s">
        <v>11323</v>
      </c>
      <c r="B3238" s="1" t="str">
        <f>HYPERLINK("https://www.catalog.slsa.sa.gov.au/record=b2112094")</f>
        <v>https://www.catalog.slsa.sa.gov.au/record=b2112094</v>
      </c>
      <c r="C3238" s="1" t="str">
        <f>HYPERLINK("https://www.catalog.slsa.sa.gov.au/xrecord=b2112094")</f>
        <v>https://www.catalog.slsa.sa.gov.au/xrecord=b2112094</v>
      </c>
      <c r="D3238" t="s">
        <v>66</v>
      </c>
      <c r="E3238" t="s">
        <v>11320</v>
      </c>
      <c r="F3238">
        <v>1961</v>
      </c>
      <c r="G3238" t="s">
        <v>121</v>
      </c>
      <c r="H3238" t="s">
        <v>11324</v>
      </c>
      <c r="I3238" t="s">
        <v>11325</v>
      </c>
      <c r="J3238" t="s">
        <v>71</v>
      </c>
      <c r="K3238" s="2" t="str">
        <f>HYPERLINK("http://collections.slsa.sa.gov.au/arthur/02750/BRG347_2524.htm")</f>
        <v>http://collections.slsa.sa.gov.au/arthur/02750/BRG347_2524.htm</v>
      </c>
    </row>
    <row r="3239" spans="1:11" x14ac:dyDescent="0.25">
      <c r="A3239" t="s">
        <v>11326</v>
      </c>
      <c r="B3239" s="1" t="str">
        <f>HYPERLINK("https://www.catalog.slsa.sa.gov.au/record=b2112095")</f>
        <v>https://www.catalog.slsa.sa.gov.au/record=b2112095</v>
      </c>
      <c r="C3239" s="1" t="str">
        <f>HYPERLINK("https://www.catalog.slsa.sa.gov.au/xrecord=b2112095")</f>
        <v>https://www.catalog.slsa.sa.gov.au/xrecord=b2112095</v>
      </c>
      <c r="D3239" t="s">
        <v>66</v>
      </c>
      <c r="E3239" t="s">
        <v>11320</v>
      </c>
      <c r="F3239">
        <v>1961</v>
      </c>
      <c r="G3239" t="s">
        <v>121</v>
      </c>
      <c r="H3239" t="s">
        <v>11327</v>
      </c>
      <c r="I3239" t="s">
        <v>11328</v>
      </c>
      <c r="J3239" t="s">
        <v>71</v>
      </c>
      <c r="K3239" s="2" t="str">
        <f>HYPERLINK("http://collections.slsa.sa.gov.au/arthur/02750/BRG347_2525.htm")</f>
        <v>http://collections.slsa.sa.gov.au/arthur/02750/BRG347_2525.htm</v>
      </c>
    </row>
    <row r="3240" spans="1:11" x14ac:dyDescent="0.25">
      <c r="A3240" t="s">
        <v>11329</v>
      </c>
      <c r="B3240" s="1" t="str">
        <f>HYPERLINK("https://www.catalog.slsa.sa.gov.au/record=b2112096")</f>
        <v>https://www.catalog.slsa.sa.gov.au/record=b2112096</v>
      </c>
      <c r="C3240" s="1" t="str">
        <f>HYPERLINK("https://www.catalog.slsa.sa.gov.au/xrecord=b2112096")</f>
        <v>https://www.catalog.slsa.sa.gov.au/xrecord=b2112096</v>
      </c>
      <c r="D3240" t="s">
        <v>66</v>
      </c>
      <c r="E3240" t="s">
        <v>6467</v>
      </c>
      <c r="F3240">
        <v>1961</v>
      </c>
      <c r="G3240" t="s">
        <v>121</v>
      </c>
      <c r="H3240" t="s">
        <v>11330</v>
      </c>
      <c r="I3240" t="s">
        <v>7346</v>
      </c>
      <c r="J3240" t="s">
        <v>71</v>
      </c>
      <c r="K3240" s="2" t="str">
        <f>HYPERLINK("http://collections.slsa.sa.gov.au/arthur/02750/BRG347_2526.htm")</f>
        <v>http://collections.slsa.sa.gov.au/arthur/02750/BRG347_2526.htm</v>
      </c>
    </row>
    <row r="3241" spans="1:11" x14ac:dyDescent="0.25">
      <c r="A3241" t="s">
        <v>11331</v>
      </c>
      <c r="B3241" s="1" t="str">
        <f>HYPERLINK("https://www.catalog.slsa.sa.gov.au/record=b2112099")</f>
        <v>https://www.catalog.slsa.sa.gov.au/record=b2112099</v>
      </c>
      <c r="C3241" s="1" t="str">
        <f>HYPERLINK("https://www.catalog.slsa.sa.gov.au/xrecord=b2112099")</f>
        <v>https://www.catalog.slsa.sa.gov.au/xrecord=b2112099</v>
      </c>
      <c r="D3241" t="s">
        <v>66</v>
      </c>
      <c r="E3241" t="s">
        <v>6467</v>
      </c>
      <c r="F3241">
        <v>1961</v>
      </c>
      <c r="G3241" t="s">
        <v>121</v>
      </c>
      <c r="H3241" t="s">
        <v>11332</v>
      </c>
      <c r="I3241" t="s">
        <v>7346</v>
      </c>
      <c r="J3241" t="s">
        <v>71</v>
      </c>
      <c r="K3241" s="2" t="str">
        <f>HYPERLINK("http://collections.slsa.sa.gov.au/arthur/02750/BRG347_2529.htm")</f>
        <v>http://collections.slsa.sa.gov.au/arthur/02750/BRG347_2529.htm</v>
      </c>
    </row>
    <row r="3242" spans="1:11" x14ac:dyDescent="0.25">
      <c r="A3242" t="s">
        <v>11333</v>
      </c>
      <c r="B3242" s="1" t="str">
        <f>HYPERLINK("https://www.catalog.slsa.sa.gov.au/record=b2112100")</f>
        <v>https://www.catalog.slsa.sa.gov.au/record=b2112100</v>
      </c>
      <c r="C3242" s="1" t="str">
        <f>HYPERLINK("https://www.catalog.slsa.sa.gov.au/xrecord=b2112100")</f>
        <v>https://www.catalog.slsa.sa.gov.au/xrecord=b2112100</v>
      </c>
      <c r="D3242" t="s">
        <v>66</v>
      </c>
      <c r="E3242" t="s">
        <v>6467</v>
      </c>
      <c r="F3242">
        <v>1961</v>
      </c>
      <c r="G3242" t="s">
        <v>121</v>
      </c>
      <c r="H3242" t="s">
        <v>11334</v>
      </c>
      <c r="I3242" t="s">
        <v>7346</v>
      </c>
      <c r="J3242" t="s">
        <v>71</v>
      </c>
      <c r="K3242" s="2" t="str">
        <f>HYPERLINK("http://collections.slsa.sa.gov.au/arthur/02750/BRG347_2530.htm")</f>
        <v>http://collections.slsa.sa.gov.au/arthur/02750/BRG347_2530.htm</v>
      </c>
    </row>
    <row r="3243" spans="1:11" x14ac:dyDescent="0.25">
      <c r="A3243" t="s">
        <v>11335</v>
      </c>
      <c r="B3243" s="1" t="str">
        <f>HYPERLINK("https://www.catalog.slsa.sa.gov.au/record=b2112212")</f>
        <v>https://www.catalog.slsa.sa.gov.au/record=b2112212</v>
      </c>
      <c r="C3243" s="1" t="str">
        <f>HYPERLINK("https://www.catalog.slsa.sa.gov.au/xrecord=b2112212")</f>
        <v>https://www.catalog.slsa.sa.gov.au/xrecord=b2112212</v>
      </c>
      <c r="D3243" t="s">
        <v>66</v>
      </c>
      <c r="E3243" t="s">
        <v>11336</v>
      </c>
      <c r="F3243">
        <v>1961</v>
      </c>
      <c r="G3243" t="s">
        <v>121</v>
      </c>
      <c r="H3243" t="s">
        <v>11337</v>
      </c>
      <c r="I3243" t="s">
        <v>11338</v>
      </c>
      <c r="J3243" t="s">
        <v>71</v>
      </c>
      <c r="K3243" s="2" t="str">
        <f>HYPERLINK("http://collections.slsa.sa.gov.au/arthur/02750/BRG347_2644.htm")</f>
        <v>http://collections.slsa.sa.gov.au/arthur/02750/BRG347_2644.htm</v>
      </c>
    </row>
    <row r="3244" spans="1:11" x14ac:dyDescent="0.25">
      <c r="A3244" t="s">
        <v>11339</v>
      </c>
      <c r="B3244" s="1" t="str">
        <f>HYPERLINK("https://www.catalog.slsa.sa.gov.au/record=b2112227")</f>
        <v>https://www.catalog.slsa.sa.gov.au/record=b2112227</v>
      </c>
      <c r="C3244" s="1" t="str">
        <f>HYPERLINK("https://www.catalog.slsa.sa.gov.au/xrecord=b2112227")</f>
        <v>https://www.catalog.slsa.sa.gov.au/xrecord=b2112227</v>
      </c>
      <c r="D3244" t="s">
        <v>66</v>
      </c>
      <c r="E3244" t="s">
        <v>11340</v>
      </c>
      <c r="F3244">
        <v>1961</v>
      </c>
      <c r="G3244" t="s">
        <v>121</v>
      </c>
      <c r="H3244" t="s">
        <v>11341</v>
      </c>
      <c r="I3244" t="s">
        <v>11342</v>
      </c>
      <c r="J3244" t="s">
        <v>71</v>
      </c>
      <c r="K3244" s="2" t="str">
        <f>HYPERLINK("http://collections.slsa.sa.gov.au/arthur/02750/BRG347_2659.htm")</f>
        <v>http://collections.slsa.sa.gov.au/arthur/02750/BRG347_2659.htm</v>
      </c>
    </row>
    <row r="3245" spans="1:11" x14ac:dyDescent="0.25">
      <c r="A3245" t="s">
        <v>11343</v>
      </c>
      <c r="B3245" s="1" t="str">
        <f>HYPERLINK("https://www.catalog.slsa.sa.gov.au/record=b2112228")</f>
        <v>https://www.catalog.slsa.sa.gov.au/record=b2112228</v>
      </c>
      <c r="C3245" s="1" t="str">
        <f>HYPERLINK("https://www.catalog.slsa.sa.gov.au/xrecord=b2112228")</f>
        <v>https://www.catalog.slsa.sa.gov.au/xrecord=b2112228</v>
      </c>
      <c r="D3245" t="s">
        <v>66</v>
      </c>
      <c r="E3245" t="s">
        <v>11344</v>
      </c>
      <c r="F3245">
        <v>1961</v>
      </c>
      <c r="G3245" t="s">
        <v>121</v>
      </c>
      <c r="H3245" t="s">
        <v>11345</v>
      </c>
      <c r="I3245" t="s">
        <v>9819</v>
      </c>
      <c r="J3245" t="s">
        <v>71</v>
      </c>
      <c r="K3245" s="2" t="str">
        <f>HYPERLINK("http://collections.slsa.sa.gov.au/arthur/02750/BRG347_2660.htm")</f>
        <v>http://collections.slsa.sa.gov.au/arthur/02750/BRG347_2660.htm</v>
      </c>
    </row>
    <row r="3246" spans="1:11" x14ac:dyDescent="0.25">
      <c r="A3246" t="s">
        <v>11346</v>
      </c>
      <c r="B3246" s="1" t="str">
        <f>HYPERLINK("https://www.catalog.slsa.sa.gov.au/record=b2112229")</f>
        <v>https://www.catalog.slsa.sa.gov.au/record=b2112229</v>
      </c>
      <c r="C3246" s="1" t="str">
        <f>HYPERLINK("https://www.catalog.slsa.sa.gov.au/xrecord=b2112229")</f>
        <v>https://www.catalog.slsa.sa.gov.au/xrecord=b2112229</v>
      </c>
      <c r="D3246" t="s">
        <v>66</v>
      </c>
      <c r="E3246" t="s">
        <v>6489</v>
      </c>
      <c r="F3246">
        <v>1961</v>
      </c>
      <c r="G3246" t="s">
        <v>121</v>
      </c>
      <c r="H3246" t="s">
        <v>11347</v>
      </c>
      <c r="I3246" t="s">
        <v>6410</v>
      </c>
      <c r="J3246" t="s">
        <v>71</v>
      </c>
      <c r="K3246" s="2" t="str">
        <f>HYPERLINK("http://collections.slsa.sa.gov.au/arthur/02750/BRG347_2661.htm")</f>
        <v>http://collections.slsa.sa.gov.au/arthur/02750/BRG347_2661.htm</v>
      </c>
    </row>
    <row r="3247" spans="1:11" x14ac:dyDescent="0.25">
      <c r="A3247" t="s">
        <v>11348</v>
      </c>
      <c r="B3247" s="1" t="str">
        <f>HYPERLINK("https://www.catalog.slsa.sa.gov.au/record=b2112237")</f>
        <v>https://www.catalog.slsa.sa.gov.au/record=b2112237</v>
      </c>
      <c r="C3247" s="1" t="str">
        <f>HYPERLINK("https://www.catalog.slsa.sa.gov.au/xrecord=b2112237")</f>
        <v>https://www.catalog.slsa.sa.gov.au/xrecord=b2112237</v>
      </c>
      <c r="D3247" t="s">
        <v>66</v>
      </c>
      <c r="E3247" t="s">
        <v>11349</v>
      </c>
      <c r="F3247">
        <v>1961</v>
      </c>
      <c r="G3247" t="s">
        <v>121</v>
      </c>
      <c r="H3247" t="s">
        <v>11350</v>
      </c>
      <c r="I3247" t="s">
        <v>11351</v>
      </c>
      <c r="J3247" t="s">
        <v>71</v>
      </c>
      <c r="K3247" s="2" t="str">
        <f>HYPERLINK("http://collections.slsa.sa.gov.au/arthur/02750/BRG347_2670.htm")</f>
        <v>http://collections.slsa.sa.gov.au/arthur/02750/BRG347_2670.htm</v>
      </c>
    </row>
    <row r="3248" spans="1:11" x14ac:dyDescent="0.25">
      <c r="A3248" t="s">
        <v>11352</v>
      </c>
      <c r="B3248" s="1" t="str">
        <f>HYPERLINK("https://www.catalog.slsa.sa.gov.au/record=b2112243")</f>
        <v>https://www.catalog.slsa.sa.gov.au/record=b2112243</v>
      </c>
      <c r="C3248" s="1" t="str">
        <f>HYPERLINK("https://www.catalog.slsa.sa.gov.au/xrecord=b2112243")</f>
        <v>https://www.catalog.slsa.sa.gov.au/xrecord=b2112243</v>
      </c>
      <c r="D3248" t="s">
        <v>66</v>
      </c>
      <c r="E3248" t="s">
        <v>11353</v>
      </c>
      <c r="F3248">
        <v>1961</v>
      </c>
      <c r="G3248" t="s">
        <v>121</v>
      </c>
      <c r="H3248" t="s">
        <v>11354</v>
      </c>
      <c r="I3248" t="s">
        <v>11355</v>
      </c>
      <c r="J3248" t="s">
        <v>71</v>
      </c>
      <c r="K3248" s="2" t="str">
        <f>HYPERLINK("http://collections.slsa.sa.gov.au/arthur/02750/BRG347_2677.htm")</f>
        <v>http://collections.slsa.sa.gov.au/arthur/02750/BRG347_2677.htm</v>
      </c>
    </row>
    <row r="3249" spans="1:11" x14ac:dyDescent="0.25">
      <c r="A3249" t="s">
        <v>11356</v>
      </c>
      <c r="B3249" s="1" t="str">
        <f>HYPERLINK("https://www.catalog.slsa.sa.gov.au/record=b2118045")</f>
        <v>https://www.catalog.slsa.sa.gov.au/record=b2118045</v>
      </c>
      <c r="C3249" s="1" t="str">
        <f>HYPERLINK("https://www.catalog.slsa.sa.gov.au/xrecord=b2118045")</f>
        <v>https://www.catalog.slsa.sa.gov.au/xrecord=b2118045</v>
      </c>
      <c r="D3249" t="s">
        <v>66</v>
      </c>
      <c r="E3249" t="s">
        <v>11357</v>
      </c>
      <c r="F3249">
        <v>1961</v>
      </c>
      <c r="G3249" t="s">
        <v>121</v>
      </c>
      <c r="H3249" t="s">
        <v>11358</v>
      </c>
      <c r="I3249" t="s">
        <v>11359</v>
      </c>
      <c r="J3249" t="s">
        <v>71</v>
      </c>
      <c r="K3249" s="2" t="str">
        <f>HYPERLINK("http://collections.slsa.sa.gov.au/arthur/03000/BRG347_2758.htm")</f>
        <v>http://collections.slsa.sa.gov.au/arthur/03000/BRG347_2758.htm</v>
      </c>
    </row>
    <row r="3250" spans="1:11" x14ac:dyDescent="0.25">
      <c r="A3250" t="s">
        <v>11360</v>
      </c>
      <c r="B3250" s="1" t="str">
        <f>HYPERLINK("https://www.catalog.slsa.sa.gov.au/record=b2112501")</f>
        <v>https://www.catalog.slsa.sa.gov.au/record=b2112501</v>
      </c>
      <c r="C3250" s="1" t="str">
        <f>HYPERLINK("https://www.catalog.slsa.sa.gov.au/xrecord=b2112501")</f>
        <v>https://www.catalog.slsa.sa.gov.au/xrecord=b2112501</v>
      </c>
      <c r="D3250" t="s">
        <v>66</v>
      </c>
      <c r="E3250" t="s">
        <v>11361</v>
      </c>
      <c r="F3250">
        <v>1961</v>
      </c>
      <c r="G3250" t="s">
        <v>121</v>
      </c>
      <c r="H3250" t="s">
        <v>11362</v>
      </c>
      <c r="I3250" t="s">
        <v>11363</v>
      </c>
      <c r="J3250" t="s">
        <v>71</v>
      </c>
      <c r="K3250" s="2" t="str">
        <f>HYPERLINK("http://collections.slsa.sa.gov.au/arthur/03000/BRG347_2765.htm")</f>
        <v>http://collections.slsa.sa.gov.au/arthur/03000/BRG347_2765.htm</v>
      </c>
    </row>
    <row r="3251" spans="1:11" x14ac:dyDescent="0.25">
      <c r="A3251" t="s">
        <v>11364</v>
      </c>
      <c r="B3251" s="1" t="str">
        <f>HYPERLINK("https://www.catalog.slsa.sa.gov.au/record=b2112537")</f>
        <v>https://www.catalog.slsa.sa.gov.au/record=b2112537</v>
      </c>
      <c r="C3251" s="1" t="str">
        <f>HYPERLINK("https://www.catalog.slsa.sa.gov.au/xrecord=b2112537")</f>
        <v>https://www.catalog.slsa.sa.gov.au/xrecord=b2112537</v>
      </c>
      <c r="D3251" t="s">
        <v>66</v>
      </c>
      <c r="E3251" t="s">
        <v>11365</v>
      </c>
      <c r="F3251">
        <v>1961</v>
      </c>
      <c r="G3251" t="s">
        <v>121</v>
      </c>
      <c r="H3251" t="s">
        <v>11366</v>
      </c>
      <c r="I3251" t="s">
        <v>11367</v>
      </c>
      <c r="J3251" t="s">
        <v>71</v>
      </c>
      <c r="K3251" s="2" t="str">
        <f>HYPERLINK("http://collections.slsa.sa.gov.au/arthur/03000/BRG347_2805.htm")</f>
        <v>http://collections.slsa.sa.gov.au/arthur/03000/BRG347_2805.htm</v>
      </c>
    </row>
    <row r="3252" spans="1:11" x14ac:dyDescent="0.25">
      <c r="A3252" t="s">
        <v>11368</v>
      </c>
      <c r="B3252" s="1" t="str">
        <f>HYPERLINK("https://www.catalog.slsa.sa.gov.au/record=b2112538")</f>
        <v>https://www.catalog.slsa.sa.gov.au/record=b2112538</v>
      </c>
      <c r="C3252" s="1" t="str">
        <f>HYPERLINK("https://www.catalog.slsa.sa.gov.au/xrecord=b2112538")</f>
        <v>https://www.catalog.slsa.sa.gov.au/xrecord=b2112538</v>
      </c>
      <c r="D3252" t="s">
        <v>66</v>
      </c>
      <c r="E3252" t="s">
        <v>11369</v>
      </c>
      <c r="F3252">
        <v>1961</v>
      </c>
      <c r="G3252" t="s">
        <v>121</v>
      </c>
      <c r="H3252" t="s">
        <v>11370</v>
      </c>
      <c r="I3252" t="s">
        <v>11367</v>
      </c>
      <c r="J3252" t="s">
        <v>71</v>
      </c>
      <c r="K3252" s="2" t="str">
        <f>HYPERLINK("http://collections.slsa.sa.gov.au/arthur/03000/BRG347_2806.htm")</f>
        <v>http://collections.slsa.sa.gov.au/arthur/03000/BRG347_2806.htm</v>
      </c>
    </row>
    <row r="3253" spans="1:11" x14ac:dyDescent="0.25">
      <c r="A3253" t="s">
        <v>11371</v>
      </c>
      <c r="B3253" s="1" t="str">
        <f>HYPERLINK("https://www.catalog.slsa.sa.gov.au/record=b2112551")</f>
        <v>https://www.catalog.slsa.sa.gov.au/record=b2112551</v>
      </c>
      <c r="C3253" s="1" t="str">
        <f>HYPERLINK("https://www.catalog.slsa.sa.gov.au/xrecord=b2112551")</f>
        <v>https://www.catalog.slsa.sa.gov.au/xrecord=b2112551</v>
      </c>
      <c r="D3253" t="s">
        <v>66</v>
      </c>
      <c r="E3253" t="s">
        <v>11372</v>
      </c>
      <c r="F3253">
        <v>1961</v>
      </c>
      <c r="G3253" t="s">
        <v>121</v>
      </c>
      <c r="H3253" t="s">
        <v>11373</v>
      </c>
      <c r="I3253" t="s">
        <v>11374</v>
      </c>
      <c r="J3253" t="s">
        <v>71</v>
      </c>
      <c r="K3253" s="2" t="str">
        <f>HYPERLINK("http://collections.slsa.sa.gov.au/arthur/03000/BRG347_2819.htm")</f>
        <v>http://collections.slsa.sa.gov.au/arthur/03000/BRG347_2819.htm</v>
      </c>
    </row>
    <row r="3254" spans="1:11" x14ac:dyDescent="0.25">
      <c r="A3254" t="s">
        <v>11375</v>
      </c>
      <c r="B3254" s="1" t="str">
        <f>HYPERLINK("https://www.catalog.slsa.sa.gov.au/record=b2118070")</f>
        <v>https://www.catalog.slsa.sa.gov.au/record=b2118070</v>
      </c>
      <c r="C3254" s="1" t="str">
        <f>HYPERLINK("https://www.catalog.slsa.sa.gov.au/xrecord=b2118070")</f>
        <v>https://www.catalog.slsa.sa.gov.au/xrecord=b2118070</v>
      </c>
      <c r="D3254" t="s">
        <v>66</v>
      </c>
      <c r="E3254" t="s">
        <v>11376</v>
      </c>
      <c r="F3254">
        <v>1961</v>
      </c>
      <c r="G3254" t="s">
        <v>121</v>
      </c>
      <c r="H3254" t="s">
        <v>11377</v>
      </c>
      <c r="I3254" t="s">
        <v>11378</v>
      </c>
      <c r="J3254" t="s">
        <v>71</v>
      </c>
      <c r="K3254" s="2" t="str">
        <f>HYPERLINK("http://collections.slsa.sa.gov.au/arthur/03000/BRG347_2820.htm")</f>
        <v>http://collections.slsa.sa.gov.au/arthur/03000/BRG347_2820.htm</v>
      </c>
    </row>
    <row r="3255" spans="1:11" x14ac:dyDescent="0.25">
      <c r="A3255" t="s">
        <v>11379</v>
      </c>
      <c r="B3255" s="1" t="str">
        <f>HYPERLINK("https://www.catalog.slsa.sa.gov.au/record=b2112553")</f>
        <v>https://www.catalog.slsa.sa.gov.au/record=b2112553</v>
      </c>
      <c r="C3255" s="1" t="str">
        <f>HYPERLINK("https://www.catalog.slsa.sa.gov.au/xrecord=b2112553")</f>
        <v>https://www.catalog.slsa.sa.gov.au/xrecord=b2112553</v>
      </c>
      <c r="D3255" t="s">
        <v>66</v>
      </c>
      <c r="E3255" t="s">
        <v>11380</v>
      </c>
      <c r="F3255">
        <v>1961</v>
      </c>
      <c r="G3255" t="s">
        <v>121</v>
      </c>
      <c r="H3255" t="s">
        <v>11381</v>
      </c>
      <c r="I3255" t="s">
        <v>11382</v>
      </c>
      <c r="J3255" t="s">
        <v>71</v>
      </c>
      <c r="K3255" s="2" t="str">
        <f>HYPERLINK("http://collections.slsa.sa.gov.au/arthur/03000/BRG347_2821.htm")</f>
        <v>http://collections.slsa.sa.gov.au/arthur/03000/BRG347_2821.htm</v>
      </c>
    </row>
    <row r="3256" spans="1:11" x14ac:dyDescent="0.25">
      <c r="A3256" t="s">
        <v>11383</v>
      </c>
      <c r="B3256" s="1" t="str">
        <f>HYPERLINK("https://www.catalog.slsa.sa.gov.au/record=b2112552")</f>
        <v>https://www.catalog.slsa.sa.gov.au/record=b2112552</v>
      </c>
      <c r="C3256" s="1" t="str">
        <f>HYPERLINK("https://www.catalog.slsa.sa.gov.au/xrecord=b2112552")</f>
        <v>https://www.catalog.slsa.sa.gov.au/xrecord=b2112552</v>
      </c>
      <c r="D3256" t="s">
        <v>66</v>
      </c>
      <c r="E3256" t="s">
        <v>11384</v>
      </c>
      <c r="F3256">
        <v>1961</v>
      </c>
      <c r="G3256" t="s">
        <v>121</v>
      </c>
      <c r="H3256" t="s">
        <v>11385</v>
      </c>
      <c r="I3256" t="s">
        <v>11386</v>
      </c>
      <c r="J3256" t="s">
        <v>71</v>
      </c>
      <c r="K3256" s="2" t="str">
        <f>HYPERLINK("http://collections.slsa.sa.gov.au/arthur/03000/BRG347_2822.htm")</f>
        <v>http://collections.slsa.sa.gov.au/arthur/03000/BRG347_2822.htm</v>
      </c>
    </row>
    <row r="3257" spans="1:11" x14ac:dyDescent="0.25">
      <c r="A3257" t="s">
        <v>11387</v>
      </c>
      <c r="B3257" s="1" t="str">
        <f>HYPERLINK("https://www.catalog.slsa.sa.gov.au/record=b2118071")</f>
        <v>https://www.catalog.slsa.sa.gov.au/record=b2118071</v>
      </c>
      <c r="C3257" s="1" t="str">
        <f>HYPERLINK("https://www.catalog.slsa.sa.gov.au/xrecord=b2118071")</f>
        <v>https://www.catalog.slsa.sa.gov.au/xrecord=b2118071</v>
      </c>
      <c r="D3257" t="s">
        <v>66</v>
      </c>
      <c r="E3257" t="s">
        <v>6804</v>
      </c>
      <c r="F3257">
        <v>1961</v>
      </c>
      <c r="G3257" t="s">
        <v>121</v>
      </c>
      <c r="H3257" t="s">
        <v>11388</v>
      </c>
      <c r="I3257" t="s">
        <v>11389</v>
      </c>
      <c r="J3257" t="s">
        <v>71</v>
      </c>
      <c r="K3257" s="2" t="str">
        <f>HYPERLINK("http://collections.slsa.sa.gov.au/arthur/03000/BRG347_2823.htm")</f>
        <v>http://collections.slsa.sa.gov.au/arthur/03000/BRG347_2823.htm</v>
      </c>
    </row>
    <row r="3258" spans="1:11" x14ac:dyDescent="0.25">
      <c r="A3258" t="s">
        <v>11390</v>
      </c>
      <c r="B3258" s="1" t="str">
        <f>HYPERLINK("https://www.catalog.slsa.sa.gov.au/record=b2112554")</f>
        <v>https://www.catalog.slsa.sa.gov.au/record=b2112554</v>
      </c>
      <c r="C3258" s="1" t="str">
        <f>HYPERLINK("https://www.catalog.slsa.sa.gov.au/xrecord=b2112554")</f>
        <v>https://www.catalog.slsa.sa.gov.au/xrecord=b2112554</v>
      </c>
      <c r="D3258" t="s">
        <v>66</v>
      </c>
      <c r="E3258" t="s">
        <v>7445</v>
      </c>
      <c r="F3258">
        <v>1961</v>
      </c>
      <c r="G3258" t="s">
        <v>121</v>
      </c>
      <c r="H3258" t="s">
        <v>11391</v>
      </c>
      <c r="I3258" t="s">
        <v>11392</v>
      </c>
      <c r="J3258" t="s">
        <v>71</v>
      </c>
      <c r="K3258" s="2" t="str">
        <f>HYPERLINK("http://collections.slsa.sa.gov.au/arthur/03000/BRG347_2824.htm")</f>
        <v>http://collections.slsa.sa.gov.au/arthur/03000/BRG347_2824.htm</v>
      </c>
    </row>
    <row r="3259" spans="1:11" x14ac:dyDescent="0.25">
      <c r="A3259" t="s">
        <v>11393</v>
      </c>
      <c r="B3259" s="1" t="str">
        <f>HYPERLINK("https://www.catalog.slsa.sa.gov.au/record=b2112829")</f>
        <v>https://www.catalog.slsa.sa.gov.au/record=b2112829</v>
      </c>
      <c r="C3259" s="1" t="str">
        <f>HYPERLINK("https://www.catalog.slsa.sa.gov.au/xrecord=b2112829")</f>
        <v>https://www.catalog.slsa.sa.gov.au/xrecord=b2112829</v>
      </c>
      <c r="D3259" t="s">
        <v>66</v>
      </c>
      <c r="E3259" t="s">
        <v>11394</v>
      </c>
      <c r="F3259">
        <v>1961</v>
      </c>
      <c r="G3259" t="s">
        <v>121</v>
      </c>
      <c r="H3259" t="s">
        <v>11395</v>
      </c>
      <c r="I3259" t="s">
        <v>11396</v>
      </c>
      <c r="J3259" t="s">
        <v>71</v>
      </c>
      <c r="K3259" s="2" t="str">
        <f>HYPERLINK("http://collections.slsa.sa.gov.au/arthur/03250/BRG347_3065.htm")</f>
        <v>http://collections.slsa.sa.gov.au/arthur/03250/BRG347_3065.htm</v>
      </c>
    </row>
    <row r="3260" spans="1:11" x14ac:dyDescent="0.25">
      <c r="A3260" t="s">
        <v>11397</v>
      </c>
      <c r="B3260" s="1" t="str">
        <f>HYPERLINK("https://www.catalog.slsa.sa.gov.au/record=b2112830")</f>
        <v>https://www.catalog.slsa.sa.gov.au/record=b2112830</v>
      </c>
      <c r="C3260" s="1" t="str">
        <f>HYPERLINK("https://www.catalog.slsa.sa.gov.au/xrecord=b2112830")</f>
        <v>https://www.catalog.slsa.sa.gov.au/xrecord=b2112830</v>
      </c>
      <c r="D3260" t="s">
        <v>66</v>
      </c>
      <c r="E3260" t="s">
        <v>11398</v>
      </c>
      <c r="F3260">
        <v>1961</v>
      </c>
      <c r="G3260" t="s">
        <v>121</v>
      </c>
      <c r="H3260" t="s">
        <v>11399</v>
      </c>
      <c r="I3260" t="s">
        <v>11400</v>
      </c>
      <c r="J3260" t="s">
        <v>71</v>
      </c>
      <c r="K3260" s="2" t="str">
        <f>HYPERLINK("http://collections.slsa.sa.gov.au/arthur/03250/BRG347_3066.htm")</f>
        <v>http://collections.slsa.sa.gov.au/arthur/03250/BRG347_3066.htm</v>
      </c>
    </row>
    <row r="3261" spans="1:11" x14ac:dyDescent="0.25">
      <c r="A3261" t="s">
        <v>11401</v>
      </c>
      <c r="B3261" s="1" t="str">
        <f>HYPERLINK("https://www.catalog.slsa.sa.gov.au/record=b2114075")</f>
        <v>https://www.catalog.slsa.sa.gov.au/record=b2114075</v>
      </c>
      <c r="C3261" s="1" t="str">
        <f>HYPERLINK("https://www.catalog.slsa.sa.gov.au/xrecord=b2114075")</f>
        <v>https://www.catalog.slsa.sa.gov.au/xrecord=b2114075</v>
      </c>
      <c r="D3261" t="s">
        <v>66</v>
      </c>
      <c r="E3261" t="s">
        <v>585</v>
      </c>
      <c r="F3261">
        <v>1961</v>
      </c>
      <c r="G3261" t="s">
        <v>121</v>
      </c>
      <c r="H3261" t="s">
        <v>11402</v>
      </c>
      <c r="I3261" t="s">
        <v>11403</v>
      </c>
      <c r="J3261" t="s">
        <v>71</v>
      </c>
      <c r="K3261" s="2" t="str">
        <f>HYPERLINK("http://collections.slsa.sa.gov.au/arthur/04000/BRG347_3909.htm")</f>
        <v>http://collections.slsa.sa.gov.au/arthur/04000/BRG347_3909.htm</v>
      </c>
    </row>
    <row r="3262" spans="1:11" x14ac:dyDescent="0.25">
      <c r="A3262" t="s">
        <v>11404</v>
      </c>
      <c r="B3262" s="1" t="str">
        <f>HYPERLINK("https://www.catalog.slsa.sa.gov.au/record=b2114076")</f>
        <v>https://www.catalog.slsa.sa.gov.au/record=b2114076</v>
      </c>
      <c r="C3262" s="1" t="str">
        <f>HYPERLINK("https://www.catalog.slsa.sa.gov.au/xrecord=b2114076")</f>
        <v>https://www.catalog.slsa.sa.gov.au/xrecord=b2114076</v>
      </c>
      <c r="D3262" t="s">
        <v>66</v>
      </c>
      <c r="E3262" t="s">
        <v>11405</v>
      </c>
      <c r="F3262">
        <v>1961</v>
      </c>
      <c r="G3262" t="s">
        <v>121</v>
      </c>
      <c r="H3262" t="s">
        <v>11406</v>
      </c>
      <c r="I3262" t="s">
        <v>11407</v>
      </c>
      <c r="J3262" t="s">
        <v>71</v>
      </c>
      <c r="K3262" s="2" t="str">
        <f>HYPERLINK("http://collections.slsa.sa.gov.au/arthur/04000/BRG347_3910.htm")</f>
        <v>http://collections.slsa.sa.gov.au/arthur/04000/BRG347_3910.htm</v>
      </c>
    </row>
    <row r="3263" spans="1:11" x14ac:dyDescent="0.25">
      <c r="A3263" t="s">
        <v>11408</v>
      </c>
      <c r="B3263" s="1" t="str">
        <f>HYPERLINK("https://www.catalog.slsa.sa.gov.au/record=b2114077")</f>
        <v>https://www.catalog.slsa.sa.gov.au/record=b2114077</v>
      </c>
      <c r="C3263" s="1" t="str">
        <f>HYPERLINK("https://www.catalog.slsa.sa.gov.au/xrecord=b2114077")</f>
        <v>https://www.catalog.slsa.sa.gov.au/xrecord=b2114077</v>
      </c>
      <c r="D3263" t="s">
        <v>66</v>
      </c>
      <c r="E3263" t="s">
        <v>6688</v>
      </c>
      <c r="F3263">
        <v>1961</v>
      </c>
      <c r="G3263" t="s">
        <v>121</v>
      </c>
      <c r="H3263" t="s">
        <v>11409</v>
      </c>
      <c r="I3263" t="s">
        <v>11410</v>
      </c>
      <c r="J3263" t="s">
        <v>71</v>
      </c>
      <c r="K3263" s="2" t="str">
        <f>HYPERLINK("http://collections.slsa.sa.gov.au/arthur/04000/BRG347_3911.htm")</f>
        <v>http://collections.slsa.sa.gov.au/arthur/04000/BRG347_3911.htm</v>
      </c>
    </row>
    <row r="3264" spans="1:11" x14ac:dyDescent="0.25">
      <c r="A3264" t="s">
        <v>11411</v>
      </c>
      <c r="B3264" s="1" t="str">
        <f>HYPERLINK("https://www.catalog.slsa.sa.gov.au/record=b2116696")</f>
        <v>https://www.catalog.slsa.sa.gov.au/record=b2116696</v>
      </c>
      <c r="C3264" s="1" t="str">
        <f>HYPERLINK("https://www.catalog.slsa.sa.gov.au/xrecord=b2116696")</f>
        <v>https://www.catalog.slsa.sa.gov.au/xrecord=b2116696</v>
      </c>
      <c r="D3264" t="s">
        <v>66</v>
      </c>
      <c r="E3264" t="s">
        <v>11412</v>
      </c>
      <c r="F3264">
        <v>1961</v>
      </c>
      <c r="G3264" t="s">
        <v>121</v>
      </c>
      <c r="H3264" t="s">
        <v>11413</v>
      </c>
      <c r="I3264" t="s">
        <v>11414</v>
      </c>
      <c r="J3264" t="s">
        <v>71</v>
      </c>
      <c r="K3264" s="2" t="str">
        <f>HYPERLINK("http://collections.slsa.sa.gov.au/arthur/05750/BRG347_5624.htm")</f>
        <v>http://collections.slsa.sa.gov.au/arthur/05750/BRG347_5624.htm</v>
      </c>
    </row>
    <row r="3265" spans="1:11" x14ac:dyDescent="0.25">
      <c r="A3265" t="s">
        <v>11415</v>
      </c>
      <c r="B3265" s="1" t="str">
        <f>HYPERLINK("https://www.catalog.slsa.sa.gov.au/record=b2119545")</f>
        <v>https://www.catalog.slsa.sa.gov.au/record=b2119545</v>
      </c>
      <c r="C3265" s="1" t="str">
        <f>HYPERLINK("https://www.catalog.slsa.sa.gov.au/xrecord=b2119545")</f>
        <v>https://www.catalog.slsa.sa.gov.au/xrecord=b2119545</v>
      </c>
      <c r="D3265" t="s">
        <v>66</v>
      </c>
      <c r="E3265" t="s">
        <v>6467</v>
      </c>
      <c r="F3265">
        <v>1961</v>
      </c>
      <c r="G3265" t="s">
        <v>121</v>
      </c>
      <c r="H3265" t="s">
        <v>11416</v>
      </c>
      <c r="I3265" t="s">
        <v>1743</v>
      </c>
      <c r="J3265" t="s">
        <v>71</v>
      </c>
      <c r="K3265" s="2" t="str">
        <f>HYPERLINK("http://collections.slsa.sa.gov.au/arthur/07000/BRG347_6879.htm")</f>
        <v>http://collections.slsa.sa.gov.au/arthur/07000/BRG347_6879.htm</v>
      </c>
    </row>
    <row r="3266" spans="1:11" x14ac:dyDescent="0.25">
      <c r="A3266" t="s">
        <v>11417</v>
      </c>
      <c r="B3266" s="1" t="str">
        <f>HYPERLINK("https://www.catalog.slsa.sa.gov.au/record=b2119546")</f>
        <v>https://www.catalog.slsa.sa.gov.au/record=b2119546</v>
      </c>
      <c r="C3266" s="1" t="str">
        <f>HYPERLINK("https://www.catalog.slsa.sa.gov.au/xrecord=b2119546")</f>
        <v>https://www.catalog.slsa.sa.gov.au/xrecord=b2119546</v>
      </c>
      <c r="D3266" t="s">
        <v>66</v>
      </c>
      <c r="E3266" t="s">
        <v>6467</v>
      </c>
      <c r="F3266">
        <v>1961</v>
      </c>
      <c r="G3266" t="s">
        <v>121</v>
      </c>
      <c r="H3266" t="s">
        <v>11416</v>
      </c>
      <c r="I3266" t="s">
        <v>1743</v>
      </c>
      <c r="J3266" t="s">
        <v>71</v>
      </c>
      <c r="K3266" s="2" t="str">
        <f>HYPERLINK("http://collections.slsa.sa.gov.au/arthur/07000/BRG347_6880.htm")</f>
        <v>http://collections.slsa.sa.gov.au/arthur/07000/BRG347_6880.htm</v>
      </c>
    </row>
    <row r="3267" spans="1:11" x14ac:dyDescent="0.25">
      <c r="A3267" t="s">
        <v>11418</v>
      </c>
      <c r="B3267" s="1" t="str">
        <f>HYPERLINK("https://www.catalog.slsa.sa.gov.au/record=b2119549")</f>
        <v>https://www.catalog.slsa.sa.gov.au/record=b2119549</v>
      </c>
      <c r="C3267" s="1" t="str">
        <f>HYPERLINK("https://www.catalog.slsa.sa.gov.au/xrecord=b2119549")</f>
        <v>https://www.catalog.slsa.sa.gov.au/xrecord=b2119549</v>
      </c>
      <c r="D3267" t="s">
        <v>66</v>
      </c>
      <c r="E3267" t="s">
        <v>11419</v>
      </c>
      <c r="F3267">
        <v>1961</v>
      </c>
      <c r="G3267" t="s">
        <v>121</v>
      </c>
      <c r="H3267" t="s">
        <v>11420</v>
      </c>
      <c r="I3267" t="s">
        <v>1743</v>
      </c>
      <c r="J3267" t="s">
        <v>71</v>
      </c>
      <c r="K3267" s="2" t="str">
        <f>HYPERLINK("http://collections.slsa.sa.gov.au/arthur/07000/BRG347_6883.htm")</f>
        <v>http://collections.slsa.sa.gov.au/arthur/07000/BRG347_6883.htm</v>
      </c>
    </row>
    <row r="3268" spans="1:11" x14ac:dyDescent="0.25">
      <c r="A3268" t="s">
        <v>11421</v>
      </c>
      <c r="B3268" s="1" t="str">
        <f>HYPERLINK("https://www.catalog.slsa.sa.gov.au/record=b2937454")</f>
        <v>https://www.catalog.slsa.sa.gov.au/record=b2937454</v>
      </c>
      <c r="C3268" s="1" t="str">
        <f>HYPERLINK("https://www.catalog.slsa.sa.gov.au/xrecord=b2937454")</f>
        <v>https://www.catalog.slsa.sa.gov.au/xrecord=b2937454</v>
      </c>
      <c r="E3268" t="s">
        <v>11422</v>
      </c>
      <c r="F3268">
        <v>1961</v>
      </c>
      <c r="G3268" t="s">
        <v>11423</v>
      </c>
      <c r="H3268" t="s">
        <v>11424</v>
      </c>
      <c r="I3268" t="s">
        <v>11425</v>
      </c>
      <c r="J3268" t="s">
        <v>11426</v>
      </c>
      <c r="K3268" s="2" t="str">
        <f>HYPERLINK("http://collections.slsa.sa.gov.au/prg/1618/22/PRG1618_22_53.htm")</f>
        <v>http://collections.slsa.sa.gov.au/prg/1618/22/PRG1618_22_53.htm</v>
      </c>
    </row>
    <row r="3269" spans="1:11" x14ac:dyDescent="0.25">
      <c r="A3269" t="s">
        <v>11427</v>
      </c>
      <c r="B3269" s="1" t="str">
        <f>HYPERLINK("https://www.catalog.slsa.sa.gov.au/record=b2110979")</f>
        <v>https://www.catalog.slsa.sa.gov.au/record=b2110979</v>
      </c>
      <c r="C3269" s="1" t="str">
        <f>HYPERLINK("https://www.catalog.slsa.sa.gov.au/xrecord=b2110979")</f>
        <v>https://www.catalog.slsa.sa.gov.au/xrecord=b2110979</v>
      </c>
      <c r="D3269" t="s">
        <v>66</v>
      </c>
      <c r="E3269" t="s">
        <v>11428</v>
      </c>
      <c r="F3269" t="s">
        <v>11429</v>
      </c>
      <c r="G3269" t="s">
        <v>121</v>
      </c>
      <c r="H3269" t="s">
        <v>11430</v>
      </c>
      <c r="I3269" t="s">
        <v>11431</v>
      </c>
      <c r="J3269" t="s">
        <v>71</v>
      </c>
      <c r="K3269" s="2" t="str">
        <f>HYPERLINK("http://collections.slsa.sa.gov.au/arthur/01750/BRG347_1658.htm")</f>
        <v>http://collections.slsa.sa.gov.au/arthur/01750/BRG347_1658.htm</v>
      </c>
    </row>
    <row r="3270" spans="1:11" x14ac:dyDescent="0.25">
      <c r="A3270" t="s">
        <v>11432</v>
      </c>
      <c r="B3270" s="1" t="str">
        <f>HYPERLINK("https://www.catalog.slsa.sa.gov.au/record=b2112230")</f>
        <v>https://www.catalog.slsa.sa.gov.au/record=b2112230</v>
      </c>
      <c r="C3270" s="1" t="str">
        <f>HYPERLINK("https://www.catalog.slsa.sa.gov.au/xrecord=b2112230")</f>
        <v>https://www.catalog.slsa.sa.gov.au/xrecord=b2112230</v>
      </c>
      <c r="D3270" t="s">
        <v>66</v>
      </c>
      <c r="E3270" t="s">
        <v>11433</v>
      </c>
      <c r="F3270" t="s">
        <v>11429</v>
      </c>
      <c r="G3270" t="s">
        <v>121</v>
      </c>
      <c r="H3270" t="s">
        <v>11434</v>
      </c>
      <c r="I3270" t="s">
        <v>11435</v>
      </c>
      <c r="J3270" t="s">
        <v>71</v>
      </c>
      <c r="K3270" s="2" t="str">
        <f>HYPERLINK("http://collections.slsa.sa.gov.au/arthur/02750/BRG347_2663.htm")</f>
        <v>http://collections.slsa.sa.gov.au/arthur/02750/BRG347_2663.htm</v>
      </c>
    </row>
    <row r="3271" spans="1:11" x14ac:dyDescent="0.25">
      <c r="A3271" t="s">
        <v>11436</v>
      </c>
      <c r="B3271" s="1" t="str">
        <f>HYPERLINK("https://www.catalog.slsa.sa.gov.au/record=b2110071")</f>
        <v>https://www.catalog.slsa.sa.gov.au/record=b2110071</v>
      </c>
      <c r="C3271" s="1" t="str">
        <f>HYPERLINK("https://www.catalog.slsa.sa.gov.au/xrecord=b2110071")</f>
        <v>https://www.catalog.slsa.sa.gov.au/xrecord=b2110071</v>
      </c>
      <c r="D3271" t="s">
        <v>66</v>
      </c>
      <c r="E3271" t="s">
        <v>11437</v>
      </c>
      <c r="F3271">
        <v>1962</v>
      </c>
      <c r="G3271" t="s">
        <v>121</v>
      </c>
      <c r="H3271" t="s">
        <v>11438</v>
      </c>
      <c r="I3271" t="s">
        <v>11439</v>
      </c>
      <c r="J3271" t="s">
        <v>71</v>
      </c>
      <c r="K3271" s="2" t="str">
        <f>HYPERLINK("http://collections.slsa.sa.gov.au/arthur/01000/BRG347_874.htm")</f>
        <v>http://collections.slsa.sa.gov.au/arthur/01000/BRG347_874.htm</v>
      </c>
    </row>
    <row r="3272" spans="1:11" x14ac:dyDescent="0.25">
      <c r="A3272" t="s">
        <v>11440</v>
      </c>
      <c r="B3272" s="1" t="str">
        <f>HYPERLINK("https://www.catalog.slsa.sa.gov.au/record=b2110072")</f>
        <v>https://www.catalog.slsa.sa.gov.au/record=b2110072</v>
      </c>
      <c r="C3272" s="1" t="str">
        <f>HYPERLINK("https://www.catalog.slsa.sa.gov.au/xrecord=b2110072")</f>
        <v>https://www.catalog.slsa.sa.gov.au/xrecord=b2110072</v>
      </c>
      <c r="D3272" t="s">
        <v>66</v>
      </c>
      <c r="E3272" t="s">
        <v>11441</v>
      </c>
      <c r="F3272">
        <v>1962</v>
      </c>
      <c r="G3272" t="s">
        <v>121</v>
      </c>
      <c r="H3272" t="s">
        <v>11442</v>
      </c>
      <c r="I3272" t="s">
        <v>1728</v>
      </c>
      <c r="J3272" t="s">
        <v>71</v>
      </c>
      <c r="K3272" s="2" t="str">
        <f>HYPERLINK("http://collections.slsa.sa.gov.au/arthur/01000/BRG347_875.htm")</f>
        <v>http://collections.slsa.sa.gov.au/arthur/01000/BRG347_875.htm</v>
      </c>
    </row>
    <row r="3273" spans="1:11" x14ac:dyDescent="0.25">
      <c r="A3273" t="s">
        <v>11443</v>
      </c>
      <c r="B3273" s="1" t="str">
        <f>HYPERLINK("https://www.catalog.slsa.sa.gov.au/record=b2110073")</f>
        <v>https://www.catalog.slsa.sa.gov.au/record=b2110073</v>
      </c>
      <c r="C3273" s="1" t="str">
        <f>HYPERLINK("https://www.catalog.slsa.sa.gov.au/xrecord=b2110073")</f>
        <v>https://www.catalog.slsa.sa.gov.au/xrecord=b2110073</v>
      </c>
      <c r="D3273" t="s">
        <v>66</v>
      </c>
      <c r="E3273" t="s">
        <v>11444</v>
      </c>
      <c r="F3273">
        <v>1962</v>
      </c>
      <c r="G3273" t="s">
        <v>121</v>
      </c>
      <c r="H3273" t="s">
        <v>11445</v>
      </c>
      <c r="I3273" t="s">
        <v>11446</v>
      </c>
      <c r="J3273" t="s">
        <v>71</v>
      </c>
      <c r="K3273" s="2" t="str">
        <f>HYPERLINK("http://collections.slsa.sa.gov.au/arthur/01000/BRG347_876.htm")</f>
        <v>http://collections.slsa.sa.gov.au/arthur/01000/BRG347_876.htm</v>
      </c>
    </row>
    <row r="3274" spans="1:11" x14ac:dyDescent="0.25">
      <c r="A3274" t="s">
        <v>11447</v>
      </c>
      <c r="B3274" s="1" t="str">
        <f>HYPERLINK("https://www.catalog.slsa.sa.gov.au/record=b2110135")</f>
        <v>https://www.catalog.slsa.sa.gov.au/record=b2110135</v>
      </c>
      <c r="C3274" s="1" t="str">
        <f>HYPERLINK("https://www.catalog.slsa.sa.gov.au/xrecord=b2110135")</f>
        <v>https://www.catalog.slsa.sa.gov.au/xrecord=b2110135</v>
      </c>
      <c r="D3274" t="s">
        <v>66</v>
      </c>
      <c r="E3274" t="s">
        <v>11448</v>
      </c>
      <c r="F3274">
        <v>1962</v>
      </c>
      <c r="G3274" t="s">
        <v>121</v>
      </c>
      <c r="H3274" t="s">
        <v>11449</v>
      </c>
      <c r="I3274" t="s">
        <v>11450</v>
      </c>
      <c r="J3274" t="s">
        <v>71</v>
      </c>
      <c r="K3274" s="2" t="str">
        <f>HYPERLINK("http://collections.slsa.sa.gov.au/arthur/01000/BRG347_940.htm")</f>
        <v>http://collections.slsa.sa.gov.au/arthur/01000/BRG347_940.htm</v>
      </c>
    </row>
    <row r="3275" spans="1:11" x14ac:dyDescent="0.25">
      <c r="A3275" t="s">
        <v>11451</v>
      </c>
      <c r="B3275" s="1" t="str">
        <f>HYPERLINK("https://www.catalog.slsa.sa.gov.au/record=b2110137")</f>
        <v>https://www.catalog.slsa.sa.gov.au/record=b2110137</v>
      </c>
      <c r="C3275" s="1" t="str">
        <f>HYPERLINK("https://www.catalog.slsa.sa.gov.au/xrecord=b2110137")</f>
        <v>https://www.catalog.slsa.sa.gov.au/xrecord=b2110137</v>
      </c>
      <c r="D3275" t="s">
        <v>66</v>
      </c>
      <c r="E3275" t="s">
        <v>6169</v>
      </c>
      <c r="F3275">
        <v>1962</v>
      </c>
      <c r="G3275" t="s">
        <v>121</v>
      </c>
      <c r="H3275" t="s">
        <v>11452</v>
      </c>
      <c r="I3275" t="s">
        <v>1619</v>
      </c>
      <c r="J3275" t="s">
        <v>71</v>
      </c>
      <c r="K3275" s="2" t="str">
        <f>HYPERLINK("http://collections.slsa.sa.gov.au/arthur/01000/BRG347_942.htm")</f>
        <v>http://collections.slsa.sa.gov.au/arthur/01000/BRG347_942.htm</v>
      </c>
    </row>
    <row r="3276" spans="1:11" x14ac:dyDescent="0.25">
      <c r="A3276" t="s">
        <v>11453</v>
      </c>
      <c r="B3276" s="1" t="str">
        <f>HYPERLINK("https://www.catalog.slsa.sa.gov.au/record=b2110599")</f>
        <v>https://www.catalog.slsa.sa.gov.au/record=b2110599</v>
      </c>
      <c r="C3276" s="1" t="str">
        <f>HYPERLINK("https://www.catalog.slsa.sa.gov.au/xrecord=b2110599")</f>
        <v>https://www.catalog.slsa.sa.gov.au/xrecord=b2110599</v>
      </c>
      <c r="D3276" t="s">
        <v>66</v>
      </c>
      <c r="E3276" t="s">
        <v>11454</v>
      </c>
      <c r="F3276">
        <v>1962</v>
      </c>
      <c r="G3276" t="s">
        <v>121</v>
      </c>
      <c r="H3276" t="s">
        <v>11455</v>
      </c>
      <c r="I3276" t="s">
        <v>11456</v>
      </c>
      <c r="J3276" t="s">
        <v>71</v>
      </c>
      <c r="K3276" s="2" t="str">
        <f>HYPERLINK("http://collections.slsa.sa.gov.au/arthur/01500/BRG347_1317.htm")</f>
        <v>http://collections.slsa.sa.gov.au/arthur/01500/BRG347_1317.htm</v>
      </c>
    </row>
    <row r="3277" spans="1:11" x14ac:dyDescent="0.25">
      <c r="A3277" t="s">
        <v>11457</v>
      </c>
      <c r="B3277" s="1" t="str">
        <f>HYPERLINK("https://www.catalog.slsa.sa.gov.au/record=b2110600")</f>
        <v>https://www.catalog.slsa.sa.gov.au/record=b2110600</v>
      </c>
      <c r="C3277" s="1" t="str">
        <f>HYPERLINK("https://www.catalog.slsa.sa.gov.au/xrecord=b2110600")</f>
        <v>https://www.catalog.slsa.sa.gov.au/xrecord=b2110600</v>
      </c>
      <c r="D3277" t="s">
        <v>66</v>
      </c>
      <c r="E3277" t="s">
        <v>11458</v>
      </c>
      <c r="F3277">
        <v>1962</v>
      </c>
      <c r="G3277" t="s">
        <v>121</v>
      </c>
      <c r="H3277" t="s">
        <v>11459</v>
      </c>
      <c r="I3277" t="s">
        <v>11460</v>
      </c>
      <c r="J3277" t="s">
        <v>71</v>
      </c>
      <c r="K3277" s="2" t="str">
        <f>HYPERLINK("http://collections.slsa.sa.gov.au/arthur/01500/BRG347_1318.htm")</f>
        <v>http://collections.slsa.sa.gov.au/arthur/01500/BRG347_1318.htm</v>
      </c>
    </row>
    <row r="3278" spans="1:11" x14ac:dyDescent="0.25">
      <c r="A3278" t="s">
        <v>11461</v>
      </c>
      <c r="B3278" s="1" t="str">
        <f>HYPERLINK("https://www.catalog.slsa.sa.gov.au/record=b2110601")</f>
        <v>https://www.catalog.slsa.sa.gov.au/record=b2110601</v>
      </c>
      <c r="C3278" s="1" t="str">
        <f>HYPERLINK("https://www.catalog.slsa.sa.gov.au/xrecord=b2110601")</f>
        <v>https://www.catalog.slsa.sa.gov.au/xrecord=b2110601</v>
      </c>
      <c r="D3278" t="s">
        <v>66</v>
      </c>
      <c r="E3278" t="s">
        <v>11462</v>
      </c>
      <c r="F3278">
        <v>1962</v>
      </c>
      <c r="G3278" t="s">
        <v>121</v>
      </c>
      <c r="H3278" t="s">
        <v>11463</v>
      </c>
      <c r="I3278" t="s">
        <v>11464</v>
      </c>
      <c r="J3278" t="s">
        <v>71</v>
      </c>
      <c r="K3278" s="2" t="str">
        <f>HYPERLINK("http://collections.slsa.sa.gov.au/arthur/01500/BRG347_1319.htm")</f>
        <v>http://collections.slsa.sa.gov.au/arthur/01500/BRG347_1319.htm</v>
      </c>
    </row>
    <row r="3279" spans="1:11" x14ac:dyDescent="0.25">
      <c r="A3279" t="s">
        <v>11465</v>
      </c>
      <c r="B3279" s="1" t="str">
        <f>HYPERLINK("https://www.catalog.slsa.sa.gov.au/record=b2110602")</f>
        <v>https://www.catalog.slsa.sa.gov.au/record=b2110602</v>
      </c>
      <c r="C3279" s="1" t="str">
        <f>HYPERLINK("https://www.catalog.slsa.sa.gov.au/xrecord=b2110602")</f>
        <v>https://www.catalog.slsa.sa.gov.au/xrecord=b2110602</v>
      </c>
      <c r="D3279" t="s">
        <v>66</v>
      </c>
      <c r="E3279" t="s">
        <v>11458</v>
      </c>
      <c r="F3279">
        <v>1962</v>
      </c>
      <c r="G3279" t="s">
        <v>121</v>
      </c>
      <c r="H3279" t="s">
        <v>11466</v>
      </c>
      <c r="I3279" t="s">
        <v>11467</v>
      </c>
      <c r="J3279" t="s">
        <v>71</v>
      </c>
      <c r="K3279" s="2" t="str">
        <f>HYPERLINK("http://collections.slsa.sa.gov.au/arthur/01500/BRG347_1320.htm")</f>
        <v>http://collections.slsa.sa.gov.au/arthur/01500/BRG347_1320.htm</v>
      </c>
    </row>
    <row r="3280" spans="1:11" x14ac:dyDescent="0.25">
      <c r="A3280" t="s">
        <v>11468</v>
      </c>
      <c r="B3280" s="1" t="str">
        <f>HYPERLINK("https://www.catalog.slsa.sa.gov.au/record=b2110606")</f>
        <v>https://www.catalog.slsa.sa.gov.au/record=b2110606</v>
      </c>
      <c r="C3280" s="1" t="str">
        <f>HYPERLINK("https://www.catalog.slsa.sa.gov.au/xrecord=b2110606")</f>
        <v>https://www.catalog.slsa.sa.gov.au/xrecord=b2110606</v>
      </c>
      <c r="D3280" t="s">
        <v>66</v>
      </c>
      <c r="E3280" t="s">
        <v>9724</v>
      </c>
      <c r="F3280">
        <v>1962</v>
      </c>
      <c r="G3280" t="s">
        <v>121</v>
      </c>
      <c r="H3280" t="s">
        <v>11469</v>
      </c>
      <c r="I3280" t="s">
        <v>11467</v>
      </c>
      <c r="J3280" t="s">
        <v>71</v>
      </c>
      <c r="K3280" s="2" t="str">
        <f>HYPERLINK("http://collections.slsa.sa.gov.au/arthur/01500/BRG347_1324.htm")</f>
        <v>http://collections.slsa.sa.gov.au/arthur/01500/BRG347_1324.htm</v>
      </c>
    </row>
    <row r="3281" spans="1:11" x14ac:dyDescent="0.25">
      <c r="A3281" t="s">
        <v>11470</v>
      </c>
      <c r="B3281" s="1" t="str">
        <f>HYPERLINK("https://www.catalog.slsa.sa.gov.au/record=b2110607")</f>
        <v>https://www.catalog.slsa.sa.gov.au/record=b2110607</v>
      </c>
      <c r="C3281" s="1" t="str">
        <f>HYPERLINK("https://www.catalog.slsa.sa.gov.au/xrecord=b2110607")</f>
        <v>https://www.catalog.slsa.sa.gov.au/xrecord=b2110607</v>
      </c>
      <c r="D3281" t="s">
        <v>66</v>
      </c>
      <c r="E3281" t="s">
        <v>9724</v>
      </c>
      <c r="F3281">
        <v>1962</v>
      </c>
      <c r="G3281" t="s">
        <v>121</v>
      </c>
      <c r="H3281" t="s">
        <v>11471</v>
      </c>
      <c r="I3281" t="s">
        <v>11472</v>
      </c>
      <c r="J3281" t="s">
        <v>71</v>
      </c>
      <c r="K3281" s="2" t="str">
        <f>HYPERLINK("http://collections.slsa.sa.gov.au/arthur/01500/BRG347_1325.htm")</f>
        <v>http://collections.slsa.sa.gov.au/arthur/01500/BRG347_1325.htm</v>
      </c>
    </row>
    <row r="3282" spans="1:11" x14ac:dyDescent="0.25">
      <c r="A3282" t="s">
        <v>11473</v>
      </c>
      <c r="B3282" s="1" t="str">
        <f>HYPERLINK("https://www.catalog.slsa.sa.gov.au/record=b2110608")</f>
        <v>https://www.catalog.slsa.sa.gov.au/record=b2110608</v>
      </c>
      <c r="C3282" s="1" t="str">
        <f>HYPERLINK("https://www.catalog.slsa.sa.gov.au/xrecord=b2110608")</f>
        <v>https://www.catalog.slsa.sa.gov.au/xrecord=b2110608</v>
      </c>
      <c r="D3282" t="s">
        <v>66</v>
      </c>
      <c r="E3282" t="s">
        <v>11474</v>
      </c>
      <c r="F3282">
        <v>1962</v>
      </c>
      <c r="G3282" t="s">
        <v>121</v>
      </c>
      <c r="H3282" t="s">
        <v>11475</v>
      </c>
      <c r="I3282" t="s">
        <v>11476</v>
      </c>
      <c r="J3282" t="s">
        <v>71</v>
      </c>
      <c r="K3282" s="2" t="str">
        <f>HYPERLINK("http://collections.slsa.sa.gov.au/arthur/01500/BRG347_1326.htm")</f>
        <v>http://collections.slsa.sa.gov.au/arthur/01500/BRG347_1326.htm</v>
      </c>
    </row>
    <row r="3283" spans="1:11" x14ac:dyDescent="0.25">
      <c r="A3283" t="s">
        <v>11477</v>
      </c>
      <c r="B3283" s="1" t="str">
        <f>HYPERLINK("https://www.catalog.slsa.sa.gov.au/record=b2110609")</f>
        <v>https://www.catalog.slsa.sa.gov.au/record=b2110609</v>
      </c>
      <c r="C3283" s="1" t="str">
        <f>HYPERLINK("https://www.catalog.slsa.sa.gov.au/xrecord=b2110609")</f>
        <v>https://www.catalog.slsa.sa.gov.au/xrecord=b2110609</v>
      </c>
      <c r="D3283" t="s">
        <v>66</v>
      </c>
      <c r="E3283" t="s">
        <v>11478</v>
      </c>
      <c r="F3283">
        <v>1962</v>
      </c>
      <c r="G3283" t="s">
        <v>121</v>
      </c>
      <c r="H3283" t="s">
        <v>11479</v>
      </c>
      <c r="I3283" t="s">
        <v>11480</v>
      </c>
      <c r="J3283" t="s">
        <v>71</v>
      </c>
      <c r="K3283" s="2" t="str">
        <f>HYPERLINK("http://collections.slsa.sa.gov.au/arthur/01500/BRG347_1327.htm")</f>
        <v>http://collections.slsa.sa.gov.au/arthur/01500/BRG347_1327.htm</v>
      </c>
    </row>
    <row r="3284" spans="1:11" x14ac:dyDescent="0.25">
      <c r="A3284" t="s">
        <v>11481</v>
      </c>
      <c r="B3284" s="1" t="str">
        <f>HYPERLINK("https://www.catalog.slsa.sa.gov.au/record=b2110610")</f>
        <v>https://www.catalog.slsa.sa.gov.au/record=b2110610</v>
      </c>
      <c r="C3284" s="1" t="str">
        <f>HYPERLINK("https://www.catalog.slsa.sa.gov.au/xrecord=b2110610")</f>
        <v>https://www.catalog.slsa.sa.gov.au/xrecord=b2110610</v>
      </c>
      <c r="D3284" t="s">
        <v>66</v>
      </c>
      <c r="E3284" t="s">
        <v>11454</v>
      </c>
      <c r="F3284">
        <v>1962</v>
      </c>
      <c r="G3284" t="s">
        <v>121</v>
      </c>
      <c r="H3284" t="s">
        <v>11482</v>
      </c>
      <c r="I3284" t="s">
        <v>11456</v>
      </c>
      <c r="J3284" t="s">
        <v>71</v>
      </c>
      <c r="K3284" s="2" t="str">
        <f>HYPERLINK("http://collections.slsa.sa.gov.au/arthur/01500/BRG347_1328.htm")</f>
        <v>http://collections.slsa.sa.gov.au/arthur/01500/BRG347_1328.htm</v>
      </c>
    </row>
    <row r="3285" spans="1:11" x14ac:dyDescent="0.25">
      <c r="A3285" t="s">
        <v>11483</v>
      </c>
      <c r="B3285" s="1" t="str">
        <f>HYPERLINK("https://www.catalog.slsa.sa.gov.au/record=b2110937")</f>
        <v>https://www.catalog.slsa.sa.gov.au/record=b2110937</v>
      </c>
      <c r="C3285" s="1" t="str">
        <f>HYPERLINK("https://www.catalog.slsa.sa.gov.au/xrecord=b2110937")</f>
        <v>https://www.catalog.slsa.sa.gov.au/xrecord=b2110937</v>
      </c>
      <c r="D3285" t="s">
        <v>66</v>
      </c>
      <c r="E3285" t="s">
        <v>11484</v>
      </c>
      <c r="F3285">
        <v>1962</v>
      </c>
      <c r="G3285" t="s">
        <v>121</v>
      </c>
      <c r="H3285" t="s">
        <v>11485</v>
      </c>
      <c r="I3285" t="s">
        <v>11456</v>
      </c>
      <c r="J3285" t="s">
        <v>71</v>
      </c>
      <c r="K3285" s="2" t="str">
        <f>HYPERLINK("http://collections.slsa.sa.gov.au/arthur/01750/BRG347_1618.htm")</f>
        <v>http://collections.slsa.sa.gov.au/arthur/01750/BRG347_1618.htm</v>
      </c>
    </row>
    <row r="3286" spans="1:11" x14ac:dyDescent="0.25">
      <c r="A3286" t="s">
        <v>11486</v>
      </c>
      <c r="B3286" s="1" t="str">
        <f>HYPERLINK("https://www.catalog.slsa.sa.gov.au/record=b2110939")</f>
        <v>https://www.catalog.slsa.sa.gov.au/record=b2110939</v>
      </c>
      <c r="C3286" s="1" t="str">
        <f>HYPERLINK("https://www.catalog.slsa.sa.gov.au/xrecord=b2110939")</f>
        <v>https://www.catalog.slsa.sa.gov.au/xrecord=b2110939</v>
      </c>
      <c r="D3286" t="s">
        <v>66</v>
      </c>
      <c r="E3286" t="s">
        <v>11454</v>
      </c>
      <c r="F3286">
        <v>1962</v>
      </c>
      <c r="G3286" t="s">
        <v>121</v>
      </c>
      <c r="H3286" t="s">
        <v>11487</v>
      </c>
      <c r="I3286" t="s">
        <v>11488</v>
      </c>
      <c r="J3286" t="s">
        <v>71</v>
      </c>
      <c r="K3286" s="2" t="str">
        <f>HYPERLINK("http://collections.slsa.sa.gov.au/arthur/01750/BRG347_1620.htm")</f>
        <v>http://collections.slsa.sa.gov.au/arthur/01750/BRG347_1620.htm</v>
      </c>
    </row>
    <row r="3287" spans="1:11" x14ac:dyDescent="0.25">
      <c r="A3287" t="s">
        <v>11489</v>
      </c>
      <c r="B3287" s="1" t="str">
        <f>HYPERLINK("https://www.catalog.slsa.sa.gov.au/record=b2110944")</f>
        <v>https://www.catalog.slsa.sa.gov.au/record=b2110944</v>
      </c>
      <c r="C3287" s="1" t="str">
        <f>HYPERLINK("https://www.catalog.slsa.sa.gov.au/xrecord=b2110944")</f>
        <v>https://www.catalog.slsa.sa.gov.au/xrecord=b2110944</v>
      </c>
      <c r="D3287" t="s">
        <v>66</v>
      </c>
      <c r="E3287" t="s">
        <v>11454</v>
      </c>
      <c r="F3287">
        <v>1962</v>
      </c>
      <c r="G3287" t="s">
        <v>121</v>
      </c>
      <c r="H3287" t="s">
        <v>11490</v>
      </c>
      <c r="I3287" t="s">
        <v>11488</v>
      </c>
      <c r="J3287" t="s">
        <v>71</v>
      </c>
      <c r="K3287" s="2" t="str">
        <f>HYPERLINK("http://collections.slsa.sa.gov.au/arthur/01750/BRG347_1625.htm")</f>
        <v>http://collections.slsa.sa.gov.au/arthur/01750/BRG347_1625.htm</v>
      </c>
    </row>
    <row r="3288" spans="1:11" x14ac:dyDescent="0.25">
      <c r="A3288" t="s">
        <v>11491</v>
      </c>
      <c r="B3288" s="1" t="str">
        <f>HYPERLINK("https://www.catalog.slsa.sa.gov.au/record=b2110945")</f>
        <v>https://www.catalog.slsa.sa.gov.au/record=b2110945</v>
      </c>
      <c r="C3288" s="1" t="str">
        <f>HYPERLINK("https://www.catalog.slsa.sa.gov.au/xrecord=b2110945")</f>
        <v>https://www.catalog.slsa.sa.gov.au/xrecord=b2110945</v>
      </c>
      <c r="D3288" t="s">
        <v>66</v>
      </c>
      <c r="E3288" t="s">
        <v>11454</v>
      </c>
      <c r="F3288">
        <v>1962</v>
      </c>
      <c r="G3288" t="s">
        <v>121</v>
      </c>
      <c r="H3288" t="s">
        <v>11492</v>
      </c>
      <c r="I3288" t="s">
        <v>11488</v>
      </c>
      <c r="J3288" t="s">
        <v>71</v>
      </c>
      <c r="K3288" s="2" t="str">
        <f>HYPERLINK("http://collections.slsa.sa.gov.au/arthur/01750/BRG347_1626.htm")</f>
        <v>http://collections.slsa.sa.gov.au/arthur/01750/BRG347_1626.htm</v>
      </c>
    </row>
    <row r="3289" spans="1:11" x14ac:dyDescent="0.25">
      <c r="A3289" t="s">
        <v>11493</v>
      </c>
      <c r="B3289" s="1" t="str">
        <f>HYPERLINK("https://www.catalog.slsa.sa.gov.au/record=b2110946")</f>
        <v>https://www.catalog.slsa.sa.gov.au/record=b2110946</v>
      </c>
      <c r="C3289" s="1" t="str">
        <f>HYPERLINK("https://www.catalog.slsa.sa.gov.au/xrecord=b2110946")</f>
        <v>https://www.catalog.slsa.sa.gov.au/xrecord=b2110946</v>
      </c>
      <c r="D3289" t="s">
        <v>66</v>
      </c>
      <c r="E3289" t="s">
        <v>11494</v>
      </c>
      <c r="F3289">
        <v>1962</v>
      </c>
      <c r="G3289" t="s">
        <v>121</v>
      </c>
      <c r="H3289" t="s">
        <v>11495</v>
      </c>
      <c r="I3289" t="s">
        <v>11496</v>
      </c>
      <c r="J3289" t="s">
        <v>71</v>
      </c>
      <c r="K3289" s="2" t="str">
        <f>HYPERLINK("http://collections.slsa.sa.gov.au/arthur/01750/BRG347_1627.htm")</f>
        <v>http://collections.slsa.sa.gov.au/arthur/01750/BRG347_1627.htm</v>
      </c>
    </row>
    <row r="3290" spans="1:11" x14ac:dyDescent="0.25">
      <c r="A3290" t="s">
        <v>11497</v>
      </c>
      <c r="B3290" s="1" t="str">
        <f>HYPERLINK("https://www.catalog.slsa.sa.gov.au/record=b2110947")</f>
        <v>https://www.catalog.slsa.sa.gov.au/record=b2110947</v>
      </c>
      <c r="C3290" s="1" t="str">
        <f>HYPERLINK("https://www.catalog.slsa.sa.gov.au/xrecord=b2110947")</f>
        <v>https://www.catalog.slsa.sa.gov.au/xrecord=b2110947</v>
      </c>
      <c r="D3290" t="s">
        <v>66</v>
      </c>
      <c r="E3290" t="s">
        <v>11494</v>
      </c>
      <c r="F3290">
        <v>1962</v>
      </c>
      <c r="G3290" t="s">
        <v>121</v>
      </c>
      <c r="H3290" t="s">
        <v>11498</v>
      </c>
      <c r="I3290" t="s">
        <v>11499</v>
      </c>
      <c r="J3290" t="s">
        <v>71</v>
      </c>
      <c r="K3290" s="2" t="str">
        <f>HYPERLINK("http://collections.slsa.sa.gov.au/arthur/01750/BRG347_1628.htm")</f>
        <v>http://collections.slsa.sa.gov.au/arthur/01750/BRG347_1628.htm</v>
      </c>
    </row>
    <row r="3291" spans="1:11" x14ac:dyDescent="0.25">
      <c r="A3291" t="s">
        <v>11500</v>
      </c>
      <c r="B3291" s="1" t="str">
        <f>HYPERLINK("https://www.catalog.slsa.sa.gov.au/record=b2110948")</f>
        <v>https://www.catalog.slsa.sa.gov.au/record=b2110948</v>
      </c>
      <c r="C3291" s="1" t="str">
        <f>HYPERLINK("https://www.catalog.slsa.sa.gov.au/xrecord=b2110948")</f>
        <v>https://www.catalog.slsa.sa.gov.au/xrecord=b2110948</v>
      </c>
      <c r="D3291" t="s">
        <v>66</v>
      </c>
      <c r="E3291" t="s">
        <v>10248</v>
      </c>
      <c r="F3291">
        <v>1962</v>
      </c>
      <c r="G3291" t="s">
        <v>121</v>
      </c>
      <c r="H3291" t="s">
        <v>11501</v>
      </c>
      <c r="I3291" t="s">
        <v>11502</v>
      </c>
      <c r="J3291" t="s">
        <v>71</v>
      </c>
      <c r="K3291" s="2" t="str">
        <f>HYPERLINK("http://collections.slsa.sa.gov.au/arthur/01750/BRG347_1629.htm")</f>
        <v>http://collections.slsa.sa.gov.au/arthur/01750/BRG347_1629.htm</v>
      </c>
    </row>
    <row r="3292" spans="1:11" x14ac:dyDescent="0.25">
      <c r="A3292" t="s">
        <v>11503</v>
      </c>
      <c r="B3292" s="1" t="str">
        <f>HYPERLINK("https://www.catalog.slsa.sa.gov.au/record=b2110949")</f>
        <v>https://www.catalog.slsa.sa.gov.au/record=b2110949</v>
      </c>
      <c r="C3292" s="1" t="str">
        <f>HYPERLINK("https://www.catalog.slsa.sa.gov.au/xrecord=b2110949")</f>
        <v>https://www.catalog.slsa.sa.gov.au/xrecord=b2110949</v>
      </c>
      <c r="D3292" t="s">
        <v>66</v>
      </c>
      <c r="E3292" t="s">
        <v>10248</v>
      </c>
      <c r="F3292">
        <v>1962</v>
      </c>
      <c r="G3292" t="s">
        <v>121</v>
      </c>
      <c r="H3292" t="s">
        <v>11504</v>
      </c>
      <c r="I3292" t="s">
        <v>11505</v>
      </c>
      <c r="J3292" t="s">
        <v>71</v>
      </c>
      <c r="K3292" s="2" t="str">
        <f>HYPERLINK("http://collections.slsa.sa.gov.au/arthur/01750/BRG347_1630.htm")</f>
        <v>http://collections.slsa.sa.gov.au/arthur/01750/BRG347_1630.htm</v>
      </c>
    </row>
    <row r="3293" spans="1:11" x14ac:dyDescent="0.25">
      <c r="A3293" t="s">
        <v>11506</v>
      </c>
      <c r="B3293" s="1" t="str">
        <f>HYPERLINK("https://www.catalog.slsa.sa.gov.au/record=b2110950")</f>
        <v>https://www.catalog.slsa.sa.gov.au/record=b2110950</v>
      </c>
      <c r="C3293" s="1" t="str">
        <f>HYPERLINK("https://www.catalog.slsa.sa.gov.au/xrecord=b2110950")</f>
        <v>https://www.catalog.slsa.sa.gov.au/xrecord=b2110950</v>
      </c>
      <c r="D3293" t="s">
        <v>66</v>
      </c>
      <c r="E3293" t="s">
        <v>10404</v>
      </c>
      <c r="F3293">
        <v>1962</v>
      </c>
      <c r="G3293" t="s">
        <v>121</v>
      </c>
      <c r="H3293" t="s">
        <v>11507</v>
      </c>
      <c r="I3293" t="s">
        <v>11252</v>
      </c>
      <c r="J3293" t="s">
        <v>71</v>
      </c>
      <c r="K3293" s="2" t="str">
        <f>HYPERLINK("http://collections.slsa.sa.gov.au/arthur/01750/BRG347_1631.htm")</f>
        <v>http://collections.slsa.sa.gov.au/arthur/01750/BRG347_1631.htm</v>
      </c>
    </row>
    <row r="3294" spans="1:11" x14ac:dyDescent="0.25">
      <c r="A3294" t="s">
        <v>11508</v>
      </c>
      <c r="B3294" s="1" t="str">
        <f>HYPERLINK("https://www.catalog.slsa.sa.gov.au/record=b2110951")</f>
        <v>https://www.catalog.slsa.sa.gov.au/record=b2110951</v>
      </c>
      <c r="C3294" s="1" t="str">
        <f>HYPERLINK("https://www.catalog.slsa.sa.gov.au/xrecord=b2110951")</f>
        <v>https://www.catalog.slsa.sa.gov.au/xrecord=b2110951</v>
      </c>
      <c r="D3294" t="s">
        <v>66</v>
      </c>
      <c r="E3294" t="s">
        <v>10404</v>
      </c>
      <c r="F3294">
        <v>1962</v>
      </c>
      <c r="G3294" t="s">
        <v>121</v>
      </c>
      <c r="H3294" t="s">
        <v>11509</v>
      </c>
      <c r="I3294" t="s">
        <v>11252</v>
      </c>
      <c r="J3294" t="s">
        <v>71</v>
      </c>
      <c r="K3294" s="2" t="str">
        <f>HYPERLINK("http://collections.slsa.sa.gov.au/arthur/01750/BRG347_1632.htm")</f>
        <v>http://collections.slsa.sa.gov.au/arthur/01750/BRG347_1632.htm</v>
      </c>
    </row>
    <row r="3295" spans="1:11" x14ac:dyDescent="0.25">
      <c r="A3295" t="s">
        <v>11510</v>
      </c>
      <c r="B3295" s="1" t="str">
        <f>HYPERLINK("https://www.catalog.slsa.sa.gov.au/record=b2110952")</f>
        <v>https://www.catalog.slsa.sa.gov.au/record=b2110952</v>
      </c>
      <c r="C3295" s="1" t="str">
        <f>HYPERLINK("https://www.catalog.slsa.sa.gov.au/xrecord=b2110952")</f>
        <v>https://www.catalog.slsa.sa.gov.au/xrecord=b2110952</v>
      </c>
      <c r="D3295" t="s">
        <v>66</v>
      </c>
      <c r="E3295" t="s">
        <v>11511</v>
      </c>
      <c r="F3295">
        <v>1962</v>
      </c>
      <c r="G3295" t="s">
        <v>121</v>
      </c>
      <c r="H3295" t="s">
        <v>11512</v>
      </c>
      <c r="I3295" t="s">
        <v>11488</v>
      </c>
      <c r="J3295" t="s">
        <v>71</v>
      </c>
      <c r="K3295" s="2" t="str">
        <f>HYPERLINK("http://collections.slsa.sa.gov.au/arthur/01750/BRG347_1633.htm")</f>
        <v>http://collections.slsa.sa.gov.au/arthur/01750/BRG347_1633.htm</v>
      </c>
    </row>
    <row r="3296" spans="1:11" x14ac:dyDescent="0.25">
      <c r="A3296" t="s">
        <v>11513</v>
      </c>
      <c r="B3296" s="1" t="str">
        <f>HYPERLINK("https://www.catalog.slsa.sa.gov.au/record=b2110954")</f>
        <v>https://www.catalog.slsa.sa.gov.au/record=b2110954</v>
      </c>
      <c r="C3296" s="1" t="str">
        <f>HYPERLINK("https://www.catalog.slsa.sa.gov.au/xrecord=b2110954")</f>
        <v>https://www.catalog.slsa.sa.gov.au/xrecord=b2110954</v>
      </c>
      <c r="D3296" t="s">
        <v>66</v>
      </c>
      <c r="E3296" t="s">
        <v>3972</v>
      </c>
      <c r="F3296">
        <v>1962</v>
      </c>
      <c r="G3296" t="s">
        <v>121</v>
      </c>
      <c r="H3296" t="s">
        <v>11514</v>
      </c>
      <c r="I3296" t="s">
        <v>11515</v>
      </c>
      <c r="J3296" t="s">
        <v>71</v>
      </c>
      <c r="K3296" s="2" t="str">
        <f>HYPERLINK("http://collections.slsa.sa.gov.au/arthur/01750/BRG347_1634.htm")</f>
        <v>http://collections.slsa.sa.gov.au/arthur/01750/BRG347_1634.htm</v>
      </c>
    </row>
    <row r="3297" spans="1:11" x14ac:dyDescent="0.25">
      <c r="A3297" t="s">
        <v>11516</v>
      </c>
      <c r="B3297" s="1" t="str">
        <f>HYPERLINK("https://www.catalog.slsa.sa.gov.au/record=b2110955")</f>
        <v>https://www.catalog.slsa.sa.gov.au/record=b2110955</v>
      </c>
      <c r="C3297" s="1" t="str">
        <f>HYPERLINK("https://www.catalog.slsa.sa.gov.au/xrecord=b2110955")</f>
        <v>https://www.catalog.slsa.sa.gov.au/xrecord=b2110955</v>
      </c>
      <c r="D3297" t="s">
        <v>66</v>
      </c>
      <c r="E3297" t="s">
        <v>11517</v>
      </c>
      <c r="F3297">
        <v>1962</v>
      </c>
      <c r="G3297" t="s">
        <v>121</v>
      </c>
      <c r="H3297" t="s">
        <v>11518</v>
      </c>
      <c r="I3297" t="s">
        <v>11505</v>
      </c>
      <c r="J3297" t="s">
        <v>71</v>
      </c>
      <c r="K3297" s="2" t="str">
        <f>HYPERLINK("http://collections.slsa.sa.gov.au/arthur/01750/BRG347_1635.htm")</f>
        <v>http://collections.slsa.sa.gov.au/arthur/01750/BRG347_1635.htm</v>
      </c>
    </row>
    <row r="3298" spans="1:11" x14ac:dyDescent="0.25">
      <c r="A3298" t="s">
        <v>11519</v>
      </c>
      <c r="B3298" s="1" t="str">
        <f>HYPERLINK("https://www.catalog.slsa.sa.gov.au/record=b2110956")</f>
        <v>https://www.catalog.slsa.sa.gov.au/record=b2110956</v>
      </c>
      <c r="C3298" s="1" t="str">
        <f>HYPERLINK("https://www.catalog.slsa.sa.gov.au/xrecord=b2110956")</f>
        <v>https://www.catalog.slsa.sa.gov.au/xrecord=b2110956</v>
      </c>
      <c r="D3298" t="s">
        <v>66</v>
      </c>
      <c r="E3298" t="s">
        <v>11517</v>
      </c>
      <c r="F3298">
        <v>1962</v>
      </c>
      <c r="G3298" t="s">
        <v>121</v>
      </c>
      <c r="H3298" t="s">
        <v>11520</v>
      </c>
      <c r="I3298" t="s">
        <v>11505</v>
      </c>
      <c r="J3298" t="s">
        <v>71</v>
      </c>
      <c r="K3298" s="2" t="str">
        <f>HYPERLINK("http://collections.slsa.sa.gov.au/arthur/01750/BRG347_1636.htm")</f>
        <v>http://collections.slsa.sa.gov.au/arthur/01750/BRG347_1636.htm</v>
      </c>
    </row>
    <row r="3299" spans="1:11" x14ac:dyDescent="0.25">
      <c r="A3299" t="s">
        <v>11521</v>
      </c>
      <c r="B3299" s="1" t="str">
        <f>HYPERLINK("https://www.catalog.slsa.sa.gov.au/record=b2110957")</f>
        <v>https://www.catalog.slsa.sa.gov.au/record=b2110957</v>
      </c>
      <c r="C3299" s="1" t="str">
        <f>HYPERLINK("https://www.catalog.slsa.sa.gov.au/xrecord=b2110957")</f>
        <v>https://www.catalog.slsa.sa.gov.au/xrecord=b2110957</v>
      </c>
      <c r="D3299" t="s">
        <v>66</v>
      </c>
      <c r="E3299" t="s">
        <v>11522</v>
      </c>
      <c r="F3299">
        <v>1962</v>
      </c>
      <c r="G3299" t="s">
        <v>121</v>
      </c>
      <c r="H3299" t="s">
        <v>11523</v>
      </c>
      <c r="I3299" t="s">
        <v>11524</v>
      </c>
      <c r="J3299" t="s">
        <v>71</v>
      </c>
      <c r="K3299" s="2" t="str">
        <f>HYPERLINK("http://collections.slsa.sa.gov.au/arthur/01750/BRG347_1637.htm")</f>
        <v>http://collections.slsa.sa.gov.au/arthur/01750/BRG347_1637.htm</v>
      </c>
    </row>
    <row r="3300" spans="1:11" x14ac:dyDescent="0.25">
      <c r="A3300" t="s">
        <v>11525</v>
      </c>
      <c r="B3300" s="1" t="str">
        <f>HYPERLINK("https://www.catalog.slsa.sa.gov.au/record=b2110958")</f>
        <v>https://www.catalog.slsa.sa.gov.au/record=b2110958</v>
      </c>
      <c r="C3300" s="1" t="str">
        <f>HYPERLINK("https://www.catalog.slsa.sa.gov.au/xrecord=b2110958")</f>
        <v>https://www.catalog.slsa.sa.gov.au/xrecord=b2110958</v>
      </c>
      <c r="D3300" t="s">
        <v>66</v>
      </c>
      <c r="E3300" t="s">
        <v>11526</v>
      </c>
      <c r="F3300">
        <v>1962</v>
      </c>
      <c r="G3300" t="s">
        <v>121</v>
      </c>
      <c r="H3300" t="s">
        <v>11527</v>
      </c>
      <c r="I3300" t="s">
        <v>11528</v>
      </c>
      <c r="J3300" t="s">
        <v>71</v>
      </c>
      <c r="K3300" s="2" t="str">
        <f>HYPERLINK("http://collections.slsa.sa.gov.au/arthur/01750/BRG347_1638.htm")</f>
        <v>http://collections.slsa.sa.gov.au/arthur/01750/BRG347_1638.htm</v>
      </c>
    </row>
    <row r="3301" spans="1:11" x14ac:dyDescent="0.25">
      <c r="A3301" t="s">
        <v>11529</v>
      </c>
      <c r="B3301" s="1" t="str">
        <f>HYPERLINK("https://www.catalog.slsa.sa.gov.au/record=b2110959")</f>
        <v>https://www.catalog.slsa.sa.gov.au/record=b2110959</v>
      </c>
      <c r="C3301" s="1" t="str">
        <f>HYPERLINK("https://www.catalog.slsa.sa.gov.au/xrecord=b2110959")</f>
        <v>https://www.catalog.slsa.sa.gov.au/xrecord=b2110959</v>
      </c>
      <c r="D3301" t="s">
        <v>66</v>
      </c>
      <c r="E3301" t="s">
        <v>11530</v>
      </c>
      <c r="F3301">
        <v>1962</v>
      </c>
      <c r="G3301" t="s">
        <v>121</v>
      </c>
      <c r="H3301" t="s">
        <v>11531</v>
      </c>
      <c r="I3301" t="s">
        <v>11532</v>
      </c>
      <c r="J3301" t="s">
        <v>71</v>
      </c>
      <c r="K3301" s="2" t="str">
        <f>HYPERLINK("http://collections.slsa.sa.gov.au/arthur/01750/BRG347_1639.htm")</f>
        <v>http://collections.slsa.sa.gov.au/arthur/01750/BRG347_1639.htm</v>
      </c>
    </row>
    <row r="3302" spans="1:11" x14ac:dyDescent="0.25">
      <c r="A3302" t="s">
        <v>11533</v>
      </c>
      <c r="B3302" s="1" t="str">
        <f>HYPERLINK("https://www.catalog.slsa.sa.gov.au/record=b2110960")</f>
        <v>https://www.catalog.slsa.sa.gov.au/record=b2110960</v>
      </c>
      <c r="C3302" s="1" t="str">
        <f>HYPERLINK("https://www.catalog.slsa.sa.gov.au/xrecord=b2110960")</f>
        <v>https://www.catalog.slsa.sa.gov.au/xrecord=b2110960</v>
      </c>
      <c r="D3302" t="s">
        <v>66</v>
      </c>
      <c r="E3302" t="s">
        <v>11534</v>
      </c>
      <c r="F3302">
        <v>1962</v>
      </c>
      <c r="G3302" t="s">
        <v>121</v>
      </c>
      <c r="H3302" t="s">
        <v>11535</v>
      </c>
      <c r="I3302" t="s">
        <v>10598</v>
      </c>
      <c r="J3302" t="s">
        <v>71</v>
      </c>
      <c r="K3302" s="2" t="str">
        <f>HYPERLINK("http://collections.slsa.sa.gov.au/arthur/01750/BRG347_1640.htm")</f>
        <v>http://collections.slsa.sa.gov.au/arthur/01750/BRG347_1640.htm</v>
      </c>
    </row>
    <row r="3303" spans="1:11" x14ac:dyDescent="0.25">
      <c r="A3303" t="s">
        <v>11536</v>
      </c>
      <c r="B3303" s="1" t="str">
        <f>HYPERLINK("https://www.catalog.slsa.sa.gov.au/record=b2110962")</f>
        <v>https://www.catalog.slsa.sa.gov.au/record=b2110962</v>
      </c>
      <c r="C3303" s="1" t="str">
        <f>HYPERLINK("https://www.catalog.slsa.sa.gov.au/xrecord=b2110962")</f>
        <v>https://www.catalog.slsa.sa.gov.au/xrecord=b2110962</v>
      </c>
      <c r="D3303" t="s">
        <v>66</v>
      </c>
      <c r="E3303" t="s">
        <v>9724</v>
      </c>
      <c r="F3303">
        <v>1962</v>
      </c>
      <c r="G3303" t="s">
        <v>121</v>
      </c>
      <c r="H3303" t="s">
        <v>11537</v>
      </c>
      <c r="I3303" t="s">
        <v>11538</v>
      </c>
      <c r="J3303" t="s">
        <v>71</v>
      </c>
      <c r="K3303" s="2" t="str">
        <f>HYPERLINK("http://collections.slsa.sa.gov.au/arthur/01750/BRG347_1641.htm")</f>
        <v>http://collections.slsa.sa.gov.au/arthur/01750/BRG347_1641.htm</v>
      </c>
    </row>
    <row r="3304" spans="1:11" x14ac:dyDescent="0.25">
      <c r="A3304" t="s">
        <v>11539</v>
      </c>
      <c r="B3304" s="1" t="str">
        <f>HYPERLINK("https://www.catalog.slsa.sa.gov.au/record=b2110963")</f>
        <v>https://www.catalog.slsa.sa.gov.au/record=b2110963</v>
      </c>
      <c r="C3304" s="1" t="str">
        <f>HYPERLINK("https://www.catalog.slsa.sa.gov.au/xrecord=b2110963")</f>
        <v>https://www.catalog.slsa.sa.gov.au/xrecord=b2110963</v>
      </c>
      <c r="D3304" t="s">
        <v>66</v>
      </c>
      <c r="E3304" t="s">
        <v>6272</v>
      </c>
      <c r="F3304">
        <v>1962</v>
      </c>
      <c r="G3304" t="s">
        <v>121</v>
      </c>
      <c r="H3304" t="s">
        <v>11540</v>
      </c>
      <c r="I3304" t="s">
        <v>6274</v>
      </c>
      <c r="J3304" t="s">
        <v>71</v>
      </c>
      <c r="K3304" s="2" t="str">
        <f>HYPERLINK("http://collections.slsa.sa.gov.au/arthur/01750/BRG347_1642.htm")</f>
        <v>http://collections.slsa.sa.gov.au/arthur/01750/BRG347_1642.htm</v>
      </c>
    </row>
    <row r="3305" spans="1:11" x14ac:dyDescent="0.25">
      <c r="A3305" t="s">
        <v>11541</v>
      </c>
      <c r="B3305" s="1" t="str">
        <f>HYPERLINK("https://www.catalog.slsa.sa.gov.au/record=b2110964")</f>
        <v>https://www.catalog.slsa.sa.gov.au/record=b2110964</v>
      </c>
      <c r="C3305" s="1" t="str">
        <f>HYPERLINK("https://www.catalog.slsa.sa.gov.au/xrecord=b2110964")</f>
        <v>https://www.catalog.slsa.sa.gov.au/xrecord=b2110964</v>
      </c>
      <c r="D3305" t="s">
        <v>66</v>
      </c>
      <c r="E3305" t="s">
        <v>11542</v>
      </c>
      <c r="F3305">
        <v>1962</v>
      </c>
      <c r="G3305" t="s">
        <v>121</v>
      </c>
      <c r="H3305" t="s">
        <v>11543</v>
      </c>
      <c r="I3305" t="s">
        <v>8304</v>
      </c>
      <c r="J3305" t="s">
        <v>71</v>
      </c>
      <c r="K3305" s="2" t="str">
        <f>HYPERLINK("http://collections.slsa.sa.gov.au/arthur/01750/BRG347_1643.htm")</f>
        <v>http://collections.slsa.sa.gov.au/arthur/01750/BRG347_1643.htm</v>
      </c>
    </row>
    <row r="3306" spans="1:11" x14ac:dyDescent="0.25">
      <c r="A3306" t="s">
        <v>11544</v>
      </c>
      <c r="B3306" s="1" t="str">
        <f>HYPERLINK("https://www.catalog.slsa.sa.gov.au/record=b2110965")</f>
        <v>https://www.catalog.slsa.sa.gov.au/record=b2110965</v>
      </c>
      <c r="C3306" s="1" t="str">
        <f>HYPERLINK("https://www.catalog.slsa.sa.gov.au/xrecord=b2110965")</f>
        <v>https://www.catalog.slsa.sa.gov.au/xrecord=b2110965</v>
      </c>
      <c r="D3306" t="s">
        <v>66</v>
      </c>
      <c r="E3306" t="s">
        <v>9724</v>
      </c>
      <c r="F3306">
        <v>1962</v>
      </c>
      <c r="G3306" t="s">
        <v>121</v>
      </c>
      <c r="H3306" t="s">
        <v>11545</v>
      </c>
      <c r="I3306" t="s">
        <v>11546</v>
      </c>
      <c r="J3306" t="s">
        <v>71</v>
      </c>
      <c r="K3306" s="2" t="str">
        <f>HYPERLINK("http://collections.slsa.sa.gov.au/arthur/01750/BRG347_1644.htm")</f>
        <v>http://collections.slsa.sa.gov.au/arthur/01750/BRG347_1644.htm</v>
      </c>
    </row>
    <row r="3307" spans="1:11" x14ac:dyDescent="0.25">
      <c r="A3307" t="s">
        <v>11547</v>
      </c>
      <c r="B3307" s="1" t="str">
        <f>HYPERLINK("https://www.catalog.slsa.sa.gov.au/record=b2110966")</f>
        <v>https://www.catalog.slsa.sa.gov.au/record=b2110966</v>
      </c>
      <c r="C3307" s="1" t="str">
        <f>HYPERLINK("https://www.catalog.slsa.sa.gov.au/xrecord=b2110966")</f>
        <v>https://www.catalog.slsa.sa.gov.au/xrecord=b2110966</v>
      </c>
      <c r="D3307" t="s">
        <v>66</v>
      </c>
      <c r="E3307" t="s">
        <v>11548</v>
      </c>
      <c r="F3307">
        <v>1962</v>
      </c>
      <c r="G3307" t="s">
        <v>121</v>
      </c>
      <c r="H3307" t="s">
        <v>11549</v>
      </c>
      <c r="I3307" t="s">
        <v>11550</v>
      </c>
      <c r="J3307" t="s">
        <v>71</v>
      </c>
      <c r="K3307" s="2" t="str">
        <f>HYPERLINK("http://collections.slsa.sa.gov.au/arthur/01750/BRG347_1645.htm")</f>
        <v>http://collections.slsa.sa.gov.au/arthur/01750/BRG347_1645.htm</v>
      </c>
    </row>
    <row r="3308" spans="1:11" x14ac:dyDescent="0.25">
      <c r="A3308" t="s">
        <v>11551</v>
      </c>
      <c r="B3308" s="1" t="str">
        <f>HYPERLINK("https://www.catalog.slsa.sa.gov.au/record=b2110967")</f>
        <v>https://www.catalog.slsa.sa.gov.au/record=b2110967</v>
      </c>
      <c r="C3308" s="1" t="str">
        <f>HYPERLINK("https://www.catalog.slsa.sa.gov.au/xrecord=b2110967")</f>
        <v>https://www.catalog.slsa.sa.gov.au/xrecord=b2110967</v>
      </c>
      <c r="D3308" t="s">
        <v>66</v>
      </c>
      <c r="E3308" t="s">
        <v>9530</v>
      </c>
      <c r="F3308">
        <v>1962</v>
      </c>
      <c r="G3308" t="s">
        <v>121</v>
      </c>
      <c r="H3308" t="s">
        <v>11552</v>
      </c>
      <c r="I3308" t="s">
        <v>11553</v>
      </c>
      <c r="J3308" t="s">
        <v>71</v>
      </c>
      <c r="K3308" s="2" t="str">
        <f>HYPERLINK("http://collections.slsa.sa.gov.au/arthur/01750/BRG347_1646.htm")</f>
        <v>http://collections.slsa.sa.gov.au/arthur/01750/BRG347_1646.htm</v>
      </c>
    </row>
    <row r="3309" spans="1:11" x14ac:dyDescent="0.25">
      <c r="A3309" t="s">
        <v>11554</v>
      </c>
      <c r="B3309" s="1" t="str">
        <f>HYPERLINK("https://www.catalog.slsa.sa.gov.au/record=b2110968")</f>
        <v>https://www.catalog.slsa.sa.gov.au/record=b2110968</v>
      </c>
      <c r="C3309" s="1" t="str">
        <f>HYPERLINK("https://www.catalog.slsa.sa.gov.au/xrecord=b2110968")</f>
        <v>https://www.catalog.slsa.sa.gov.au/xrecord=b2110968</v>
      </c>
      <c r="D3309" t="s">
        <v>66</v>
      </c>
      <c r="E3309" t="s">
        <v>11555</v>
      </c>
      <c r="F3309">
        <v>1962</v>
      </c>
      <c r="G3309" t="s">
        <v>121</v>
      </c>
      <c r="H3309" t="s">
        <v>11556</v>
      </c>
      <c r="I3309" t="s">
        <v>11557</v>
      </c>
      <c r="J3309" t="s">
        <v>71</v>
      </c>
      <c r="K3309" s="2" t="str">
        <f>HYPERLINK("http://collections.slsa.sa.gov.au/arthur/01750/BRG347_1647.htm")</f>
        <v>http://collections.slsa.sa.gov.au/arthur/01750/BRG347_1647.htm</v>
      </c>
    </row>
    <row r="3310" spans="1:11" x14ac:dyDescent="0.25">
      <c r="A3310" t="s">
        <v>11558</v>
      </c>
      <c r="B3310" s="1" t="str">
        <f>HYPERLINK("https://www.catalog.slsa.sa.gov.au/record=b2110969")</f>
        <v>https://www.catalog.slsa.sa.gov.au/record=b2110969</v>
      </c>
      <c r="C3310" s="1" t="str">
        <f>HYPERLINK("https://www.catalog.slsa.sa.gov.au/xrecord=b2110969")</f>
        <v>https://www.catalog.slsa.sa.gov.au/xrecord=b2110969</v>
      </c>
      <c r="D3310" t="s">
        <v>66</v>
      </c>
      <c r="E3310" t="s">
        <v>9530</v>
      </c>
      <c r="F3310">
        <v>1962</v>
      </c>
      <c r="G3310" t="s">
        <v>121</v>
      </c>
      <c r="H3310" t="s">
        <v>11559</v>
      </c>
      <c r="I3310" t="s">
        <v>11557</v>
      </c>
      <c r="J3310" t="s">
        <v>71</v>
      </c>
      <c r="K3310" s="2" t="str">
        <f>HYPERLINK("http://collections.slsa.sa.gov.au/arthur/01750/BRG347_1648.htm")</f>
        <v>http://collections.slsa.sa.gov.au/arthur/01750/BRG347_1648.htm</v>
      </c>
    </row>
    <row r="3311" spans="1:11" x14ac:dyDescent="0.25">
      <c r="A3311" t="s">
        <v>11560</v>
      </c>
      <c r="B3311" s="1" t="str">
        <f>HYPERLINK("https://www.catalog.slsa.sa.gov.au/record=b2110970")</f>
        <v>https://www.catalog.slsa.sa.gov.au/record=b2110970</v>
      </c>
      <c r="C3311" s="1" t="str">
        <f>HYPERLINK("https://www.catalog.slsa.sa.gov.au/xrecord=b2110970")</f>
        <v>https://www.catalog.slsa.sa.gov.au/xrecord=b2110970</v>
      </c>
      <c r="D3311" t="s">
        <v>66</v>
      </c>
      <c r="E3311" t="s">
        <v>7882</v>
      </c>
      <c r="F3311">
        <v>1962</v>
      </c>
      <c r="G3311" t="s">
        <v>121</v>
      </c>
      <c r="H3311" t="s">
        <v>11561</v>
      </c>
      <c r="I3311" t="s">
        <v>8301</v>
      </c>
      <c r="J3311" t="s">
        <v>71</v>
      </c>
      <c r="K3311" s="2" t="str">
        <f>HYPERLINK("http://collections.slsa.sa.gov.au/arthur/01750/BRG347_1649.htm")</f>
        <v>http://collections.slsa.sa.gov.au/arthur/01750/BRG347_1649.htm</v>
      </c>
    </row>
    <row r="3312" spans="1:11" x14ac:dyDescent="0.25">
      <c r="A3312" t="s">
        <v>11562</v>
      </c>
      <c r="B3312" s="1" t="str">
        <f>HYPERLINK("https://www.catalog.slsa.sa.gov.au/record=b2110971")</f>
        <v>https://www.catalog.slsa.sa.gov.au/record=b2110971</v>
      </c>
      <c r="C3312" s="1" t="str">
        <f>HYPERLINK("https://www.catalog.slsa.sa.gov.au/xrecord=b2110971")</f>
        <v>https://www.catalog.slsa.sa.gov.au/xrecord=b2110971</v>
      </c>
      <c r="D3312" t="s">
        <v>66</v>
      </c>
      <c r="E3312" t="s">
        <v>6272</v>
      </c>
      <c r="F3312">
        <v>1962</v>
      </c>
      <c r="G3312" t="s">
        <v>121</v>
      </c>
      <c r="H3312" t="s">
        <v>11563</v>
      </c>
      <c r="I3312" t="s">
        <v>6274</v>
      </c>
      <c r="J3312" t="s">
        <v>71</v>
      </c>
      <c r="K3312" s="2" t="str">
        <f>HYPERLINK("http://collections.slsa.sa.gov.au/arthur/01750/BRG347_1650.htm")</f>
        <v>http://collections.slsa.sa.gov.au/arthur/01750/BRG347_1650.htm</v>
      </c>
    </row>
    <row r="3313" spans="1:11" x14ac:dyDescent="0.25">
      <c r="A3313" t="s">
        <v>11564</v>
      </c>
      <c r="B3313" s="1" t="str">
        <f>HYPERLINK("https://www.catalog.slsa.sa.gov.au/record=b2110972")</f>
        <v>https://www.catalog.slsa.sa.gov.au/record=b2110972</v>
      </c>
      <c r="C3313" s="1" t="str">
        <f>HYPERLINK("https://www.catalog.slsa.sa.gov.au/xrecord=b2110972")</f>
        <v>https://www.catalog.slsa.sa.gov.au/xrecord=b2110972</v>
      </c>
      <c r="D3313" t="s">
        <v>66</v>
      </c>
      <c r="E3313" t="s">
        <v>11565</v>
      </c>
      <c r="F3313">
        <v>1962</v>
      </c>
      <c r="G3313" t="s">
        <v>121</v>
      </c>
      <c r="H3313" t="s">
        <v>11566</v>
      </c>
      <c r="I3313" t="s">
        <v>11567</v>
      </c>
      <c r="J3313" t="s">
        <v>71</v>
      </c>
      <c r="K3313" s="2" t="str">
        <f>HYPERLINK("http://collections.slsa.sa.gov.au/arthur/01750/BRG347_1651.htm")</f>
        <v>http://collections.slsa.sa.gov.au/arthur/01750/BRG347_1651.htm</v>
      </c>
    </row>
    <row r="3314" spans="1:11" x14ac:dyDescent="0.25">
      <c r="A3314" t="s">
        <v>11568</v>
      </c>
      <c r="B3314" s="1" t="str">
        <f>HYPERLINK("https://www.catalog.slsa.sa.gov.au/record=b2110973")</f>
        <v>https://www.catalog.slsa.sa.gov.au/record=b2110973</v>
      </c>
      <c r="C3314" s="1" t="str">
        <f>HYPERLINK("https://www.catalog.slsa.sa.gov.au/xrecord=b2110973")</f>
        <v>https://www.catalog.slsa.sa.gov.au/xrecord=b2110973</v>
      </c>
      <c r="D3314" t="s">
        <v>66</v>
      </c>
      <c r="E3314" t="s">
        <v>6272</v>
      </c>
      <c r="F3314">
        <v>1962</v>
      </c>
      <c r="G3314" t="s">
        <v>121</v>
      </c>
      <c r="H3314" t="s">
        <v>11569</v>
      </c>
      <c r="I3314" t="s">
        <v>6274</v>
      </c>
      <c r="J3314" t="s">
        <v>71</v>
      </c>
      <c r="K3314" s="2" t="str">
        <f>HYPERLINK("http://collections.slsa.sa.gov.au/arthur/01750/BRG347_1652.htm")</f>
        <v>http://collections.slsa.sa.gov.au/arthur/01750/BRG347_1652.htm</v>
      </c>
    </row>
    <row r="3315" spans="1:11" x14ac:dyDescent="0.25">
      <c r="A3315" t="s">
        <v>11570</v>
      </c>
      <c r="B3315" s="1" t="str">
        <f>HYPERLINK("https://www.catalog.slsa.sa.gov.au/record=b2110978")</f>
        <v>https://www.catalog.slsa.sa.gov.au/record=b2110978</v>
      </c>
      <c r="C3315" s="1" t="str">
        <f>HYPERLINK("https://www.catalog.slsa.sa.gov.au/xrecord=b2110978")</f>
        <v>https://www.catalog.slsa.sa.gov.au/xrecord=b2110978</v>
      </c>
      <c r="D3315" t="s">
        <v>66</v>
      </c>
      <c r="E3315" t="s">
        <v>10129</v>
      </c>
      <c r="F3315">
        <v>1962</v>
      </c>
      <c r="G3315" t="s">
        <v>121</v>
      </c>
      <c r="H3315" t="s">
        <v>11571</v>
      </c>
      <c r="I3315" t="s">
        <v>11112</v>
      </c>
      <c r="J3315" t="s">
        <v>71</v>
      </c>
      <c r="K3315" s="2" t="str">
        <f>HYPERLINK("http://collections.slsa.sa.gov.au/arthur/01750/BRG347_1657.htm")</f>
        <v>http://collections.slsa.sa.gov.au/arthur/01750/BRG347_1657.htm</v>
      </c>
    </row>
    <row r="3316" spans="1:11" x14ac:dyDescent="0.25">
      <c r="A3316" t="s">
        <v>11572</v>
      </c>
      <c r="B3316" s="1" t="str">
        <f>HYPERLINK("https://www.catalog.slsa.sa.gov.au/record=b2111006")</f>
        <v>https://www.catalog.slsa.sa.gov.au/record=b2111006</v>
      </c>
      <c r="C3316" s="1" t="str">
        <f>HYPERLINK("https://www.catalog.slsa.sa.gov.au/xrecord=b2111006")</f>
        <v>https://www.catalog.slsa.sa.gov.au/xrecord=b2111006</v>
      </c>
      <c r="D3316" t="s">
        <v>66</v>
      </c>
      <c r="E3316" t="s">
        <v>9631</v>
      </c>
      <c r="F3316">
        <v>1962</v>
      </c>
      <c r="G3316" t="s">
        <v>121</v>
      </c>
      <c r="H3316" t="s">
        <v>11573</v>
      </c>
      <c r="I3316" t="s">
        <v>9633</v>
      </c>
      <c r="J3316" t="s">
        <v>71</v>
      </c>
      <c r="K3316" s="2" t="str">
        <f>HYPERLINK("http://collections.slsa.sa.gov.au/arthur/01750/BRG347_1685.htm")</f>
        <v>http://collections.slsa.sa.gov.au/arthur/01750/BRG347_1685.htm</v>
      </c>
    </row>
    <row r="3317" spans="1:11" x14ac:dyDescent="0.25">
      <c r="A3317" t="s">
        <v>11574</v>
      </c>
      <c r="B3317" s="1" t="str">
        <f>HYPERLINK("https://www.catalog.slsa.sa.gov.au/record=b2110953")</f>
        <v>https://www.catalog.slsa.sa.gov.au/record=b2110953</v>
      </c>
      <c r="C3317" s="1" t="str">
        <f>HYPERLINK("https://www.catalog.slsa.sa.gov.au/xrecord=b2110953")</f>
        <v>https://www.catalog.slsa.sa.gov.au/xrecord=b2110953</v>
      </c>
      <c r="D3317" t="s">
        <v>66</v>
      </c>
      <c r="E3317" t="s">
        <v>11575</v>
      </c>
      <c r="F3317">
        <v>1962</v>
      </c>
      <c r="G3317" t="s">
        <v>121</v>
      </c>
      <c r="H3317" t="s">
        <v>11576</v>
      </c>
      <c r="I3317" t="s">
        <v>11577</v>
      </c>
      <c r="J3317" t="s">
        <v>71</v>
      </c>
      <c r="K3317" s="2" t="str">
        <f>HYPERLINK("http://collections.slsa.sa.gov.au/arthur/01750/BRG347_1686.htm")</f>
        <v>http://collections.slsa.sa.gov.au/arthur/01750/BRG347_1686.htm</v>
      </c>
    </row>
    <row r="3318" spans="1:11" x14ac:dyDescent="0.25">
      <c r="A3318" t="s">
        <v>11578</v>
      </c>
      <c r="B3318" s="1" t="str">
        <f>HYPERLINK("https://www.catalog.slsa.sa.gov.au/record=b2111009")</f>
        <v>https://www.catalog.slsa.sa.gov.au/record=b2111009</v>
      </c>
      <c r="C3318" s="1" t="str">
        <f>HYPERLINK("https://www.catalog.slsa.sa.gov.au/xrecord=b2111009")</f>
        <v>https://www.catalog.slsa.sa.gov.au/xrecord=b2111009</v>
      </c>
      <c r="D3318" t="s">
        <v>66</v>
      </c>
      <c r="E3318" t="s">
        <v>9631</v>
      </c>
      <c r="F3318">
        <v>1962</v>
      </c>
      <c r="G3318" t="s">
        <v>121</v>
      </c>
      <c r="H3318" t="s">
        <v>11579</v>
      </c>
      <c r="I3318" t="s">
        <v>11580</v>
      </c>
      <c r="J3318" t="s">
        <v>71</v>
      </c>
      <c r="K3318" s="2" t="str">
        <f>HYPERLINK("http://collections.slsa.sa.gov.au/arthur/01750/BRG347_1689.htm")</f>
        <v>http://collections.slsa.sa.gov.au/arthur/01750/BRG347_1689.htm</v>
      </c>
    </row>
    <row r="3319" spans="1:11" x14ac:dyDescent="0.25">
      <c r="A3319" t="s">
        <v>11581</v>
      </c>
      <c r="B3319" s="1" t="str">
        <f>HYPERLINK("https://www.catalog.slsa.sa.gov.au/record=b2111048")</f>
        <v>https://www.catalog.slsa.sa.gov.au/record=b2111048</v>
      </c>
      <c r="C3319" s="1" t="str">
        <f>HYPERLINK("https://www.catalog.slsa.sa.gov.au/xrecord=b2111048")</f>
        <v>https://www.catalog.slsa.sa.gov.au/xrecord=b2111048</v>
      </c>
      <c r="D3319" t="s">
        <v>66</v>
      </c>
      <c r="E3319" t="s">
        <v>8547</v>
      </c>
      <c r="F3319">
        <v>1962</v>
      </c>
      <c r="G3319" t="s">
        <v>121</v>
      </c>
      <c r="H3319" t="s">
        <v>11582</v>
      </c>
      <c r="I3319" t="s">
        <v>11583</v>
      </c>
      <c r="J3319" t="s">
        <v>71</v>
      </c>
      <c r="K3319" s="2" t="str">
        <f>HYPERLINK("http://collections.slsa.sa.gov.au/arthur/01750/BRG347_1730.htm")</f>
        <v>http://collections.slsa.sa.gov.au/arthur/01750/BRG347_1730.htm</v>
      </c>
    </row>
    <row r="3320" spans="1:11" x14ac:dyDescent="0.25">
      <c r="A3320" t="s">
        <v>11584</v>
      </c>
      <c r="B3320" s="1" t="str">
        <f>HYPERLINK("https://www.catalog.slsa.sa.gov.au/record=b2111049")</f>
        <v>https://www.catalog.slsa.sa.gov.au/record=b2111049</v>
      </c>
      <c r="C3320" s="1" t="str">
        <f>HYPERLINK("https://www.catalog.slsa.sa.gov.au/xrecord=b2111049")</f>
        <v>https://www.catalog.slsa.sa.gov.au/xrecord=b2111049</v>
      </c>
      <c r="D3320" t="s">
        <v>66</v>
      </c>
      <c r="E3320" t="s">
        <v>11585</v>
      </c>
      <c r="F3320">
        <v>1962</v>
      </c>
      <c r="G3320" t="s">
        <v>121</v>
      </c>
      <c r="H3320" t="s">
        <v>11586</v>
      </c>
      <c r="I3320" t="s">
        <v>11587</v>
      </c>
      <c r="J3320" t="s">
        <v>71</v>
      </c>
      <c r="K3320" s="2" t="str">
        <f>HYPERLINK("http://collections.slsa.sa.gov.au/arthur/01750/BRG347_1731.htm")</f>
        <v>http://collections.slsa.sa.gov.au/arthur/01750/BRG347_1731.htm</v>
      </c>
    </row>
    <row r="3321" spans="1:11" x14ac:dyDescent="0.25">
      <c r="A3321" t="s">
        <v>11588</v>
      </c>
      <c r="B3321" s="1" t="str">
        <f>HYPERLINK("https://www.catalog.slsa.sa.gov.au/record=b2111050")</f>
        <v>https://www.catalog.slsa.sa.gov.au/record=b2111050</v>
      </c>
      <c r="C3321" s="1" t="str">
        <f>HYPERLINK("https://www.catalog.slsa.sa.gov.au/xrecord=b2111050")</f>
        <v>https://www.catalog.slsa.sa.gov.au/xrecord=b2111050</v>
      </c>
      <c r="D3321" t="s">
        <v>66</v>
      </c>
      <c r="E3321" t="s">
        <v>11589</v>
      </c>
      <c r="F3321">
        <v>1962</v>
      </c>
      <c r="G3321" t="s">
        <v>121</v>
      </c>
      <c r="H3321" t="s">
        <v>11590</v>
      </c>
      <c r="I3321" t="s">
        <v>11591</v>
      </c>
      <c r="J3321" t="s">
        <v>71</v>
      </c>
      <c r="K3321" s="2" t="str">
        <f>HYPERLINK("http://collections.slsa.sa.gov.au/arthur/01750/BRG347_1732.htm")</f>
        <v>http://collections.slsa.sa.gov.au/arthur/01750/BRG347_1732.htm</v>
      </c>
    </row>
    <row r="3322" spans="1:11" x14ac:dyDescent="0.25">
      <c r="A3322" t="s">
        <v>11592</v>
      </c>
      <c r="B3322" s="1" t="str">
        <f>HYPERLINK("https://www.catalog.slsa.sa.gov.au/record=b2111051")</f>
        <v>https://www.catalog.slsa.sa.gov.au/record=b2111051</v>
      </c>
      <c r="C3322" s="1" t="str">
        <f>HYPERLINK("https://www.catalog.slsa.sa.gov.au/xrecord=b2111051")</f>
        <v>https://www.catalog.slsa.sa.gov.au/xrecord=b2111051</v>
      </c>
      <c r="D3322" t="s">
        <v>66</v>
      </c>
      <c r="E3322" t="s">
        <v>11593</v>
      </c>
      <c r="F3322">
        <v>1962</v>
      </c>
      <c r="G3322" t="s">
        <v>121</v>
      </c>
      <c r="H3322" t="s">
        <v>11594</v>
      </c>
      <c r="I3322" t="s">
        <v>11595</v>
      </c>
      <c r="J3322" t="s">
        <v>71</v>
      </c>
      <c r="K3322" s="2" t="str">
        <f>HYPERLINK("http://collections.slsa.sa.gov.au/arthur/01750/BRG347_1733.htm")</f>
        <v>http://collections.slsa.sa.gov.au/arthur/01750/BRG347_1733.htm</v>
      </c>
    </row>
    <row r="3323" spans="1:11" x14ac:dyDescent="0.25">
      <c r="A3323" t="s">
        <v>11596</v>
      </c>
      <c r="B3323" s="1" t="str">
        <f>HYPERLINK("https://www.catalog.slsa.sa.gov.au/record=b2111052")</f>
        <v>https://www.catalog.slsa.sa.gov.au/record=b2111052</v>
      </c>
      <c r="C3323" s="1" t="str">
        <f>HYPERLINK("https://www.catalog.slsa.sa.gov.au/xrecord=b2111052")</f>
        <v>https://www.catalog.slsa.sa.gov.au/xrecord=b2111052</v>
      </c>
      <c r="D3323" t="s">
        <v>66</v>
      </c>
      <c r="E3323" t="s">
        <v>11597</v>
      </c>
      <c r="F3323">
        <v>1962</v>
      </c>
      <c r="G3323" t="s">
        <v>121</v>
      </c>
      <c r="H3323" t="s">
        <v>11598</v>
      </c>
      <c r="I3323" t="s">
        <v>11599</v>
      </c>
      <c r="J3323" t="s">
        <v>71</v>
      </c>
      <c r="K3323" s="2" t="str">
        <f>HYPERLINK("http://collections.slsa.sa.gov.au/arthur/01750/BRG347_1734.htm")</f>
        <v>http://collections.slsa.sa.gov.au/arthur/01750/BRG347_1734.htm</v>
      </c>
    </row>
    <row r="3324" spans="1:11" x14ac:dyDescent="0.25">
      <c r="A3324" t="s">
        <v>11600</v>
      </c>
      <c r="B3324" s="1" t="str">
        <f>HYPERLINK("https://www.catalog.slsa.sa.gov.au/record=b2111053")</f>
        <v>https://www.catalog.slsa.sa.gov.au/record=b2111053</v>
      </c>
      <c r="C3324" s="1" t="str">
        <f>HYPERLINK("https://www.catalog.slsa.sa.gov.au/xrecord=b2111053")</f>
        <v>https://www.catalog.slsa.sa.gov.au/xrecord=b2111053</v>
      </c>
      <c r="D3324" t="s">
        <v>66</v>
      </c>
      <c r="E3324" t="s">
        <v>11601</v>
      </c>
      <c r="F3324">
        <v>1962</v>
      </c>
      <c r="G3324" t="s">
        <v>121</v>
      </c>
      <c r="H3324" t="s">
        <v>11602</v>
      </c>
      <c r="I3324" t="s">
        <v>11603</v>
      </c>
      <c r="J3324" t="s">
        <v>71</v>
      </c>
      <c r="K3324" s="2" t="str">
        <f>HYPERLINK("http://collections.slsa.sa.gov.au/arthur/01750/BRG347_1735.htm")</f>
        <v>http://collections.slsa.sa.gov.au/arthur/01750/BRG347_1735.htm</v>
      </c>
    </row>
    <row r="3325" spans="1:11" x14ac:dyDescent="0.25">
      <c r="A3325" t="s">
        <v>11604</v>
      </c>
      <c r="B3325" s="1" t="str">
        <f>HYPERLINK("https://www.catalog.slsa.sa.gov.au/record=b2111054")</f>
        <v>https://www.catalog.slsa.sa.gov.au/record=b2111054</v>
      </c>
      <c r="C3325" s="1" t="str">
        <f>HYPERLINK("https://www.catalog.slsa.sa.gov.au/xrecord=b2111054")</f>
        <v>https://www.catalog.slsa.sa.gov.au/xrecord=b2111054</v>
      </c>
      <c r="D3325" t="s">
        <v>66</v>
      </c>
      <c r="E3325" t="s">
        <v>11605</v>
      </c>
      <c r="F3325">
        <v>1962</v>
      </c>
      <c r="G3325" t="s">
        <v>121</v>
      </c>
      <c r="H3325" t="s">
        <v>11606</v>
      </c>
      <c r="I3325" t="s">
        <v>11607</v>
      </c>
      <c r="J3325" t="s">
        <v>71</v>
      </c>
      <c r="K3325" s="2" t="str">
        <f>HYPERLINK("http://collections.slsa.sa.gov.au/arthur/01750/BRG347_1736.htm")</f>
        <v>http://collections.slsa.sa.gov.au/arthur/01750/BRG347_1736.htm</v>
      </c>
    </row>
    <row r="3326" spans="1:11" x14ac:dyDescent="0.25">
      <c r="A3326" t="s">
        <v>11608</v>
      </c>
      <c r="B3326" s="1" t="str">
        <f>HYPERLINK("https://www.catalog.slsa.sa.gov.au/record=b2111055")</f>
        <v>https://www.catalog.slsa.sa.gov.au/record=b2111055</v>
      </c>
      <c r="C3326" s="1" t="str">
        <f>HYPERLINK("https://www.catalog.slsa.sa.gov.au/xrecord=b2111055")</f>
        <v>https://www.catalog.slsa.sa.gov.au/xrecord=b2111055</v>
      </c>
      <c r="D3326" t="s">
        <v>66</v>
      </c>
      <c r="E3326" t="s">
        <v>11609</v>
      </c>
      <c r="F3326">
        <v>1962</v>
      </c>
      <c r="G3326" t="s">
        <v>121</v>
      </c>
      <c r="H3326" t="s">
        <v>11610</v>
      </c>
      <c r="I3326" t="s">
        <v>11611</v>
      </c>
      <c r="J3326" t="s">
        <v>71</v>
      </c>
      <c r="K3326" s="2" t="str">
        <f>HYPERLINK("http://collections.slsa.sa.gov.au/arthur/01750/BRG347_1737.htm")</f>
        <v>http://collections.slsa.sa.gov.au/arthur/01750/BRG347_1737.htm</v>
      </c>
    </row>
    <row r="3327" spans="1:11" x14ac:dyDescent="0.25">
      <c r="A3327" t="s">
        <v>11612</v>
      </c>
      <c r="B3327" s="1" t="str">
        <f>HYPERLINK("https://www.catalog.slsa.sa.gov.au/record=b2111056")</f>
        <v>https://www.catalog.slsa.sa.gov.au/record=b2111056</v>
      </c>
      <c r="C3327" s="1" t="str">
        <f>HYPERLINK("https://www.catalog.slsa.sa.gov.au/xrecord=b2111056")</f>
        <v>https://www.catalog.slsa.sa.gov.au/xrecord=b2111056</v>
      </c>
      <c r="D3327" t="s">
        <v>66</v>
      </c>
      <c r="E3327" t="s">
        <v>7662</v>
      </c>
      <c r="F3327">
        <v>1962</v>
      </c>
      <c r="G3327" t="s">
        <v>121</v>
      </c>
      <c r="H3327" t="s">
        <v>11613</v>
      </c>
      <c r="I3327" t="s">
        <v>11614</v>
      </c>
      <c r="J3327" t="s">
        <v>71</v>
      </c>
      <c r="K3327" s="2" t="str">
        <f>HYPERLINK("http://collections.slsa.sa.gov.au/arthur/01750/BRG347_1738.htm")</f>
        <v>http://collections.slsa.sa.gov.au/arthur/01750/BRG347_1738.htm</v>
      </c>
    </row>
    <row r="3328" spans="1:11" x14ac:dyDescent="0.25">
      <c r="A3328" t="s">
        <v>11615</v>
      </c>
      <c r="B3328" s="1" t="str">
        <f>HYPERLINK("https://www.catalog.slsa.sa.gov.au/record=b2111083")</f>
        <v>https://www.catalog.slsa.sa.gov.au/record=b2111083</v>
      </c>
      <c r="C3328" s="1" t="str">
        <f>HYPERLINK("https://www.catalog.slsa.sa.gov.au/xrecord=b2111083")</f>
        <v>https://www.catalog.slsa.sa.gov.au/xrecord=b2111083</v>
      </c>
      <c r="D3328" t="s">
        <v>66</v>
      </c>
      <c r="E3328" t="s">
        <v>9635</v>
      </c>
      <c r="F3328">
        <v>1962</v>
      </c>
      <c r="G3328" t="s">
        <v>121</v>
      </c>
      <c r="H3328" t="s">
        <v>11616</v>
      </c>
      <c r="I3328" t="s">
        <v>6335</v>
      </c>
      <c r="J3328" t="s">
        <v>71</v>
      </c>
      <c r="K3328" s="2" t="str">
        <f>HYPERLINK("http://collections.slsa.sa.gov.au/arthur/02000/BRG347_1764.htm")</f>
        <v>http://collections.slsa.sa.gov.au/arthur/02000/BRG347_1764.htm</v>
      </c>
    </row>
    <row r="3329" spans="1:11" x14ac:dyDescent="0.25">
      <c r="A3329" t="s">
        <v>11617</v>
      </c>
      <c r="B3329" s="1" t="str">
        <f>HYPERLINK("https://www.catalog.slsa.sa.gov.au/record=b2111167")</f>
        <v>https://www.catalog.slsa.sa.gov.au/record=b2111167</v>
      </c>
      <c r="C3329" s="1" t="str">
        <f>HYPERLINK("https://www.catalog.slsa.sa.gov.au/xrecord=b2111167")</f>
        <v>https://www.catalog.slsa.sa.gov.au/xrecord=b2111167</v>
      </c>
      <c r="D3329" t="s">
        <v>66</v>
      </c>
      <c r="E3329" t="s">
        <v>7188</v>
      </c>
      <c r="F3329">
        <v>1962</v>
      </c>
      <c r="G3329" t="s">
        <v>121</v>
      </c>
      <c r="H3329" t="s">
        <v>11618</v>
      </c>
      <c r="I3329" t="s">
        <v>4581</v>
      </c>
      <c r="J3329" t="s">
        <v>71</v>
      </c>
      <c r="K3329" s="2" t="str">
        <f>HYPERLINK("http://collections.slsa.sa.gov.au/arthur/02000/BRG347_1855.htm")</f>
        <v>http://collections.slsa.sa.gov.au/arthur/02000/BRG347_1855.htm</v>
      </c>
    </row>
    <row r="3330" spans="1:11" x14ac:dyDescent="0.25">
      <c r="A3330" t="s">
        <v>11619</v>
      </c>
      <c r="B3330" s="1" t="str">
        <f>HYPERLINK("https://www.catalog.slsa.sa.gov.au/record=b2117886")</f>
        <v>https://www.catalog.slsa.sa.gov.au/record=b2117886</v>
      </c>
      <c r="C3330" s="1" t="str">
        <f>HYPERLINK("https://www.catalog.slsa.sa.gov.au/xrecord=b2117886")</f>
        <v>https://www.catalog.slsa.sa.gov.au/xrecord=b2117886</v>
      </c>
      <c r="D3330" t="s">
        <v>66</v>
      </c>
      <c r="E3330" t="s">
        <v>11620</v>
      </c>
      <c r="F3330">
        <v>1962</v>
      </c>
      <c r="G3330" t="s">
        <v>121</v>
      </c>
      <c r="H3330" t="s">
        <v>11621</v>
      </c>
      <c r="I3330" t="s">
        <v>11169</v>
      </c>
      <c r="J3330" t="s">
        <v>71</v>
      </c>
      <c r="K3330" s="2" t="str">
        <f>HYPERLINK("http://collections.slsa.sa.gov.au/arthur/02000/BRG347_1856.htm")</f>
        <v>http://collections.slsa.sa.gov.au/arthur/02000/BRG347_1856.htm</v>
      </c>
    </row>
    <row r="3331" spans="1:11" x14ac:dyDescent="0.25">
      <c r="A3331" t="s">
        <v>11622</v>
      </c>
      <c r="B3331" s="1" t="str">
        <f>HYPERLINK("https://www.catalog.slsa.sa.gov.au/record=b2111168")</f>
        <v>https://www.catalog.slsa.sa.gov.au/record=b2111168</v>
      </c>
      <c r="C3331" s="1" t="str">
        <f>HYPERLINK("https://www.catalog.slsa.sa.gov.au/xrecord=b2111168")</f>
        <v>https://www.catalog.slsa.sa.gov.au/xrecord=b2111168</v>
      </c>
      <c r="D3331" t="s">
        <v>66</v>
      </c>
      <c r="E3331" t="s">
        <v>6388</v>
      </c>
      <c r="F3331">
        <v>1962</v>
      </c>
      <c r="G3331" t="s">
        <v>121</v>
      </c>
      <c r="H3331" t="s">
        <v>11623</v>
      </c>
      <c r="I3331" t="s">
        <v>6390</v>
      </c>
      <c r="J3331" t="s">
        <v>71</v>
      </c>
      <c r="K3331" s="2" t="str">
        <f>HYPERLINK("http://collections.slsa.sa.gov.au/arthur/02000/BRG347_1857.htm")</f>
        <v>http://collections.slsa.sa.gov.au/arthur/02000/BRG347_1857.htm</v>
      </c>
    </row>
    <row r="3332" spans="1:11" x14ac:dyDescent="0.25">
      <c r="A3332" t="s">
        <v>11624</v>
      </c>
      <c r="B3332" s="1" t="str">
        <f>HYPERLINK("https://www.catalog.slsa.sa.gov.au/record=b2111572")</f>
        <v>https://www.catalog.slsa.sa.gov.au/record=b2111572</v>
      </c>
      <c r="C3332" s="1" t="str">
        <f>HYPERLINK("https://www.catalog.slsa.sa.gov.au/xrecord=b2111572")</f>
        <v>https://www.catalog.slsa.sa.gov.au/xrecord=b2111572</v>
      </c>
      <c r="D3332" t="s">
        <v>66</v>
      </c>
      <c r="E3332" t="s">
        <v>11625</v>
      </c>
      <c r="F3332">
        <v>1962</v>
      </c>
      <c r="G3332" t="s">
        <v>121</v>
      </c>
      <c r="H3332" t="s">
        <v>11626</v>
      </c>
      <c r="I3332" t="s">
        <v>10526</v>
      </c>
      <c r="J3332" t="s">
        <v>71</v>
      </c>
      <c r="K3332" s="2" t="str">
        <f>HYPERLINK("http://collections.slsa.sa.gov.au/arthur/02250/BRG347_2214.htm")</f>
        <v>http://collections.slsa.sa.gov.au/arthur/02250/BRG347_2214.htm</v>
      </c>
    </row>
    <row r="3333" spans="1:11" x14ac:dyDescent="0.25">
      <c r="A3333" t="s">
        <v>11627</v>
      </c>
      <c r="B3333" s="1" t="str">
        <f>HYPERLINK("https://www.catalog.slsa.sa.gov.au/record=b2111615")</f>
        <v>https://www.catalog.slsa.sa.gov.au/record=b2111615</v>
      </c>
      <c r="C3333" s="1" t="str">
        <f>HYPERLINK("https://www.catalog.slsa.sa.gov.au/xrecord=b2111615")</f>
        <v>https://www.catalog.slsa.sa.gov.au/xrecord=b2111615</v>
      </c>
      <c r="D3333" t="s">
        <v>66</v>
      </c>
      <c r="E3333" t="s">
        <v>6585</v>
      </c>
      <c r="F3333">
        <v>1962</v>
      </c>
      <c r="G3333" t="s">
        <v>121</v>
      </c>
      <c r="H3333" t="s">
        <v>11628</v>
      </c>
      <c r="I3333" t="s">
        <v>6629</v>
      </c>
      <c r="J3333" t="s">
        <v>71</v>
      </c>
      <c r="K3333" s="2" t="str">
        <f>HYPERLINK("http://collections.slsa.sa.gov.au/arthur/02250/BRG347_2215.htm")</f>
        <v>http://collections.slsa.sa.gov.au/arthur/02250/BRG347_2215.htm</v>
      </c>
    </row>
    <row r="3334" spans="1:11" x14ac:dyDescent="0.25">
      <c r="A3334" t="s">
        <v>11629</v>
      </c>
      <c r="B3334" s="1" t="str">
        <f>HYPERLINK("https://www.catalog.slsa.sa.gov.au/record=b2111616")</f>
        <v>https://www.catalog.slsa.sa.gov.au/record=b2111616</v>
      </c>
      <c r="C3334" s="1" t="str">
        <f>HYPERLINK("https://www.catalog.slsa.sa.gov.au/xrecord=b2111616")</f>
        <v>https://www.catalog.slsa.sa.gov.au/xrecord=b2111616</v>
      </c>
      <c r="D3334" t="s">
        <v>66</v>
      </c>
      <c r="E3334" t="s">
        <v>11630</v>
      </c>
      <c r="F3334">
        <v>1962</v>
      </c>
      <c r="G3334" t="s">
        <v>121</v>
      </c>
      <c r="H3334" t="s">
        <v>11631</v>
      </c>
      <c r="I3334" t="s">
        <v>9521</v>
      </c>
      <c r="J3334" t="s">
        <v>71</v>
      </c>
      <c r="K3334" s="2" t="str">
        <f>HYPERLINK("http://collections.slsa.sa.gov.au/arthur/02250/BRG347_2216.htm")</f>
        <v>http://collections.slsa.sa.gov.au/arthur/02250/BRG347_2216.htm</v>
      </c>
    </row>
    <row r="3335" spans="1:11" x14ac:dyDescent="0.25">
      <c r="A3335" t="s">
        <v>11632</v>
      </c>
      <c r="B3335" s="1" t="str">
        <f>HYPERLINK("https://www.catalog.slsa.sa.gov.au/record=b2111617")</f>
        <v>https://www.catalog.slsa.sa.gov.au/record=b2111617</v>
      </c>
      <c r="C3335" s="1" t="str">
        <f>HYPERLINK("https://www.catalog.slsa.sa.gov.au/xrecord=b2111617")</f>
        <v>https://www.catalog.slsa.sa.gov.au/xrecord=b2111617</v>
      </c>
      <c r="D3335" t="s">
        <v>66</v>
      </c>
      <c r="E3335" t="s">
        <v>9432</v>
      </c>
      <c r="F3335">
        <v>1962</v>
      </c>
      <c r="G3335" t="s">
        <v>121</v>
      </c>
      <c r="H3335" t="s">
        <v>11633</v>
      </c>
      <c r="I3335" t="s">
        <v>9434</v>
      </c>
      <c r="J3335" t="s">
        <v>71</v>
      </c>
      <c r="K3335" s="2" t="str">
        <f>HYPERLINK("http://collections.slsa.sa.gov.au/arthur/02250/BRG347_2217.htm")</f>
        <v>http://collections.slsa.sa.gov.au/arthur/02250/BRG347_2217.htm</v>
      </c>
    </row>
    <row r="3336" spans="1:11" x14ac:dyDescent="0.25">
      <c r="A3336" t="s">
        <v>11634</v>
      </c>
      <c r="B3336" s="1" t="str">
        <f>HYPERLINK("https://www.catalog.slsa.sa.gov.au/record=b2111618")</f>
        <v>https://www.catalog.slsa.sa.gov.au/record=b2111618</v>
      </c>
      <c r="C3336" s="1" t="str">
        <f>HYPERLINK("https://www.catalog.slsa.sa.gov.au/xrecord=b2111618")</f>
        <v>https://www.catalog.slsa.sa.gov.au/xrecord=b2111618</v>
      </c>
      <c r="D3336" t="s">
        <v>66</v>
      </c>
      <c r="E3336" t="s">
        <v>11635</v>
      </c>
      <c r="F3336">
        <v>1962</v>
      </c>
      <c r="G3336" t="s">
        <v>121</v>
      </c>
      <c r="H3336" t="s">
        <v>11636</v>
      </c>
      <c r="I3336" t="s">
        <v>8344</v>
      </c>
      <c r="J3336" t="s">
        <v>71</v>
      </c>
      <c r="K3336" s="2" t="str">
        <f>HYPERLINK("http://collections.slsa.sa.gov.au/arthur/02250/BRG347_2218.htm")</f>
        <v>http://collections.slsa.sa.gov.au/arthur/02250/BRG347_2218.htm</v>
      </c>
    </row>
    <row r="3337" spans="1:11" x14ac:dyDescent="0.25">
      <c r="A3337" t="s">
        <v>11637</v>
      </c>
      <c r="B3337" s="1" t="str">
        <f>HYPERLINK("https://www.catalog.slsa.sa.gov.au/record=b2111619")</f>
        <v>https://www.catalog.slsa.sa.gov.au/record=b2111619</v>
      </c>
      <c r="C3337" s="1" t="str">
        <f>HYPERLINK("https://www.catalog.slsa.sa.gov.au/xrecord=b2111619")</f>
        <v>https://www.catalog.slsa.sa.gov.au/xrecord=b2111619</v>
      </c>
      <c r="D3337" t="s">
        <v>66</v>
      </c>
      <c r="E3337" t="s">
        <v>11635</v>
      </c>
      <c r="F3337">
        <v>1962</v>
      </c>
      <c r="G3337" t="s">
        <v>121</v>
      </c>
      <c r="H3337" t="s">
        <v>11638</v>
      </c>
      <c r="I3337" t="s">
        <v>8344</v>
      </c>
      <c r="J3337" t="s">
        <v>71</v>
      </c>
      <c r="K3337" s="2" t="str">
        <f>HYPERLINK("http://collections.slsa.sa.gov.au/arthur/02250/BRG347_2219.htm")</f>
        <v>http://collections.slsa.sa.gov.au/arthur/02250/BRG347_2219.htm</v>
      </c>
    </row>
    <row r="3338" spans="1:11" x14ac:dyDescent="0.25">
      <c r="A3338" t="s">
        <v>11639</v>
      </c>
      <c r="B3338" s="1" t="str">
        <f>HYPERLINK("https://www.catalog.slsa.sa.gov.au/record=b2111620")</f>
        <v>https://www.catalog.slsa.sa.gov.au/record=b2111620</v>
      </c>
      <c r="C3338" s="1" t="str">
        <f>HYPERLINK("https://www.catalog.slsa.sa.gov.au/xrecord=b2111620")</f>
        <v>https://www.catalog.slsa.sa.gov.au/xrecord=b2111620</v>
      </c>
      <c r="D3338" t="s">
        <v>66</v>
      </c>
      <c r="E3338" t="s">
        <v>11640</v>
      </c>
      <c r="F3338">
        <v>1962</v>
      </c>
      <c r="G3338" t="s">
        <v>121</v>
      </c>
      <c r="H3338" t="s">
        <v>11641</v>
      </c>
      <c r="I3338" t="s">
        <v>8145</v>
      </c>
      <c r="J3338" t="s">
        <v>71</v>
      </c>
      <c r="K3338" s="2" t="str">
        <f>HYPERLINK("http://collections.slsa.sa.gov.au/arthur/02250/BRG347_2220.htm")</f>
        <v>http://collections.slsa.sa.gov.au/arthur/02250/BRG347_2220.htm</v>
      </c>
    </row>
    <row r="3339" spans="1:11" x14ac:dyDescent="0.25">
      <c r="A3339" t="s">
        <v>11642</v>
      </c>
      <c r="B3339" s="1" t="str">
        <f>HYPERLINK("https://www.catalog.slsa.sa.gov.au/record=b2111621")</f>
        <v>https://www.catalog.slsa.sa.gov.au/record=b2111621</v>
      </c>
      <c r="C3339" s="1" t="str">
        <f>HYPERLINK("https://www.catalog.slsa.sa.gov.au/xrecord=b2111621")</f>
        <v>https://www.catalog.slsa.sa.gov.au/xrecord=b2111621</v>
      </c>
      <c r="D3339" t="s">
        <v>66</v>
      </c>
      <c r="E3339" t="s">
        <v>11643</v>
      </c>
      <c r="F3339">
        <v>1962</v>
      </c>
      <c r="G3339" t="s">
        <v>121</v>
      </c>
      <c r="H3339" t="s">
        <v>11644</v>
      </c>
      <c r="I3339" t="s">
        <v>7454</v>
      </c>
      <c r="J3339" t="s">
        <v>71</v>
      </c>
      <c r="K3339" s="2" t="str">
        <f>HYPERLINK("http://collections.slsa.sa.gov.au/arthur/02250/BRG347_2221.htm")</f>
        <v>http://collections.slsa.sa.gov.au/arthur/02250/BRG347_2221.htm</v>
      </c>
    </row>
    <row r="3340" spans="1:11" x14ac:dyDescent="0.25">
      <c r="A3340" t="s">
        <v>11645</v>
      </c>
      <c r="B3340" s="1" t="str">
        <f>HYPERLINK("https://www.catalog.slsa.sa.gov.au/record=b2111623")</f>
        <v>https://www.catalog.slsa.sa.gov.au/record=b2111623</v>
      </c>
      <c r="C3340" s="1" t="str">
        <f>HYPERLINK("https://www.catalog.slsa.sa.gov.au/xrecord=b2111623")</f>
        <v>https://www.catalog.slsa.sa.gov.au/xrecord=b2111623</v>
      </c>
      <c r="D3340" t="s">
        <v>66</v>
      </c>
      <c r="E3340" t="s">
        <v>9432</v>
      </c>
      <c r="F3340">
        <v>1962</v>
      </c>
      <c r="G3340" t="s">
        <v>121</v>
      </c>
      <c r="H3340" t="s">
        <v>11646</v>
      </c>
      <c r="I3340" t="s">
        <v>7394</v>
      </c>
      <c r="J3340" t="s">
        <v>71</v>
      </c>
      <c r="K3340" s="2" t="str">
        <f>HYPERLINK("http://collections.slsa.sa.gov.au/arthur/02250/BRG347_2223.htm")</f>
        <v>http://collections.slsa.sa.gov.au/arthur/02250/BRG347_2223.htm</v>
      </c>
    </row>
    <row r="3341" spans="1:11" x14ac:dyDescent="0.25">
      <c r="A3341" t="s">
        <v>11647</v>
      </c>
      <c r="B3341" s="1" t="str">
        <f>HYPERLINK("https://www.catalog.slsa.sa.gov.au/record=b2111624")</f>
        <v>https://www.catalog.slsa.sa.gov.au/record=b2111624</v>
      </c>
      <c r="C3341" s="1" t="str">
        <f>HYPERLINK("https://www.catalog.slsa.sa.gov.au/xrecord=b2111624")</f>
        <v>https://www.catalog.slsa.sa.gov.au/xrecord=b2111624</v>
      </c>
      <c r="D3341" t="s">
        <v>66</v>
      </c>
      <c r="E3341" t="s">
        <v>6585</v>
      </c>
      <c r="F3341">
        <v>1962</v>
      </c>
      <c r="G3341" t="s">
        <v>121</v>
      </c>
      <c r="H3341" t="s">
        <v>11648</v>
      </c>
      <c r="I3341" t="s">
        <v>6587</v>
      </c>
      <c r="J3341" t="s">
        <v>71</v>
      </c>
      <c r="K3341" s="2" t="str">
        <f>HYPERLINK("http://collections.slsa.sa.gov.au/arthur/02250/BRG347_2224.htm")</f>
        <v>http://collections.slsa.sa.gov.au/arthur/02250/BRG347_2224.htm</v>
      </c>
    </row>
    <row r="3342" spans="1:11" x14ac:dyDescent="0.25">
      <c r="A3342" t="s">
        <v>11649</v>
      </c>
      <c r="B3342" s="1" t="str">
        <f>HYPERLINK("https://www.catalog.slsa.sa.gov.au/record=b2111625")</f>
        <v>https://www.catalog.slsa.sa.gov.au/record=b2111625</v>
      </c>
      <c r="C3342" s="1" t="str">
        <f>HYPERLINK("https://www.catalog.slsa.sa.gov.au/xrecord=b2111625")</f>
        <v>https://www.catalog.slsa.sa.gov.au/xrecord=b2111625</v>
      </c>
      <c r="D3342" t="s">
        <v>66</v>
      </c>
      <c r="E3342" t="s">
        <v>11650</v>
      </c>
      <c r="F3342">
        <v>1962</v>
      </c>
      <c r="G3342" t="s">
        <v>121</v>
      </c>
      <c r="H3342" t="s">
        <v>11651</v>
      </c>
      <c r="I3342" t="s">
        <v>7454</v>
      </c>
      <c r="J3342" t="s">
        <v>71</v>
      </c>
      <c r="K3342" s="2" t="str">
        <f>HYPERLINK("http://collections.slsa.sa.gov.au/arthur/02250/BRG347_2225.htm")</f>
        <v>http://collections.slsa.sa.gov.au/arthur/02250/BRG347_2225.htm</v>
      </c>
    </row>
    <row r="3343" spans="1:11" x14ac:dyDescent="0.25">
      <c r="A3343" t="s">
        <v>11652</v>
      </c>
      <c r="B3343" s="1" t="str">
        <f>HYPERLINK("https://www.catalog.slsa.sa.gov.au/record=b2111627")</f>
        <v>https://www.catalog.slsa.sa.gov.au/record=b2111627</v>
      </c>
      <c r="C3343" s="1" t="str">
        <f>HYPERLINK("https://www.catalog.slsa.sa.gov.au/xrecord=b2111627")</f>
        <v>https://www.catalog.slsa.sa.gov.au/xrecord=b2111627</v>
      </c>
      <c r="D3343" t="s">
        <v>66</v>
      </c>
      <c r="E3343" t="s">
        <v>11653</v>
      </c>
      <c r="F3343">
        <v>1962</v>
      </c>
      <c r="G3343" t="s">
        <v>121</v>
      </c>
      <c r="H3343" t="s">
        <v>11654</v>
      </c>
      <c r="I3343" t="s">
        <v>7454</v>
      </c>
      <c r="J3343" t="s">
        <v>71</v>
      </c>
      <c r="K3343" s="2" t="str">
        <f>HYPERLINK("http://collections.slsa.sa.gov.au/arthur/02250/BRG347_2227.htm")</f>
        <v>http://collections.slsa.sa.gov.au/arthur/02250/BRG347_2227.htm</v>
      </c>
    </row>
    <row r="3344" spans="1:11" x14ac:dyDescent="0.25">
      <c r="A3344" t="s">
        <v>11655</v>
      </c>
      <c r="B3344" s="1" t="str">
        <f>HYPERLINK("https://www.catalog.slsa.sa.gov.au/record=b2111628")</f>
        <v>https://www.catalog.slsa.sa.gov.au/record=b2111628</v>
      </c>
      <c r="C3344" s="1" t="str">
        <f>HYPERLINK("https://www.catalog.slsa.sa.gov.au/xrecord=b2111628")</f>
        <v>https://www.catalog.slsa.sa.gov.au/xrecord=b2111628</v>
      </c>
      <c r="D3344" t="s">
        <v>66</v>
      </c>
      <c r="E3344" t="s">
        <v>9519</v>
      </c>
      <c r="F3344">
        <v>1962</v>
      </c>
      <c r="G3344" t="s">
        <v>121</v>
      </c>
      <c r="H3344" t="s">
        <v>11656</v>
      </c>
      <c r="I3344" t="s">
        <v>9521</v>
      </c>
      <c r="J3344" t="s">
        <v>71</v>
      </c>
      <c r="K3344" s="2" t="str">
        <f>HYPERLINK("http://collections.slsa.sa.gov.au/arthur/02250/BRG347_2228.htm")</f>
        <v>http://collections.slsa.sa.gov.au/arthur/02250/BRG347_2228.htm</v>
      </c>
    </row>
    <row r="3345" spans="1:11" x14ac:dyDescent="0.25">
      <c r="A3345" t="s">
        <v>11657</v>
      </c>
      <c r="B3345" s="1" t="str">
        <f>HYPERLINK("https://www.catalog.slsa.sa.gov.au/record=b2111629")</f>
        <v>https://www.catalog.slsa.sa.gov.au/record=b2111629</v>
      </c>
      <c r="C3345" s="1" t="str">
        <f>HYPERLINK("https://www.catalog.slsa.sa.gov.au/xrecord=b2111629")</f>
        <v>https://www.catalog.slsa.sa.gov.au/xrecord=b2111629</v>
      </c>
      <c r="D3345" t="s">
        <v>66</v>
      </c>
      <c r="E3345" t="s">
        <v>11640</v>
      </c>
      <c r="F3345">
        <v>1962</v>
      </c>
      <c r="G3345" t="s">
        <v>121</v>
      </c>
      <c r="H3345" t="s">
        <v>11658</v>
      </c>
      <c r="I3345" t="s">
        <v>8145</v>
      </c>
      <c r="J3345" t="s">
        <v>71</v>
      </c>
      <c r="K3345" s="2" t="str">
        <f>HYPERLINK("http://collections.slsa.sa.gov.au/arthur/02250/BRG347_2229.htm")</f>
        <v>http://collections.slsa.sa.gov.au/arthur/02250/BRG347_2229.htm</v>
      </c>
    </row>
    <row r="3346" spans="1:11" x14ac:dyDescent="0.25">
      <c r="A3346" t="s">
        <v>11659</v>
      </c>
      <c r="B3346" s="1" t="str">
        <f>HYPERLINK("https://www.catalog.slsa.sa.gov.au/record=b2111630")</f>
        <v>https://www.catalog.slsa.sa.gov.au/record=b2111630</v>
      </c>
      <c r="C3346" s="1" t="str">
        <f>HYPERLINK("https://www.catalog.slsa.sa.gov.au/xrecord=b2111630")</f>
        <v>https://www.catalog.slsa.sa.gov.au/xrecord=b2111630</v>
      </c>
      <c r="D3346" t="s">
        <v>66</v>
      </c>
      <c r="E3346" t="s">
        <v>11630</v>
      </c>
      <c r="F3346">
        <v>1962</v>
      </c>
      <c r="G3346" t="s">
        <v>121</v>
      </c>
      <c r="H3346" t="s">
        <v>11660</v>
      </c>
      <c r="I3346" t="s">
        <v>9521</v>
      </c>
      <c r="J3346" t="s">
        <v>71</v>
      </c>
      <c r="K3346" s="2" t="str">
        <f>HYPERLINK("http://collections.slsa.sa.gov.au/arthur/02250/BRG347_2230.htm")</f>
        <v>http://collections.slsa.sa.gov.au/arthur/02250/BRG347_2230.htm</v>
      </c>
    </row>
    <row r="3347" spans="1:11" x14ac:dyDescent="0.25">
      <c r="A3347" t="s">
        <v>11661</v>
      </c>
      <c r="B3347" s="1" t="str">
        <f>HYPERLINK("https://www.catalog.slsa.sa.gov.au/record=b2111631")</f>
        <v>https://www.catalog.slsa.sa.gov.au/record=b2111631</v>
      </c>
      <c r="C3347" s="1" t="str">
        <f>HYPERLINK("https://www.catalog.slsa.sa.gov.au/xrecord=b2111631")</f>
        <v>https://www.catalog.slsa.sa.gov.au/xrecord=b2111631</v>
      </c>
      <c r="D3347" t="s">
        <v>66</v>
      </c>
      <c r="E3347" t="s">
        <v>9432</v>
      </c>
      <c r="F3347">
        <v>1962</v>
      </c>
      <c r="G3347" t="s">
        <v>121</v>
      </c>
      <c r="H3347" t="s">
        <v>11662</v>
      </c>
      <c r="I3347" t="s">
        <v>7394</v>
      </c>
      <c r="J3347" t="s">
        <v>71</v>
      </c>
      <c r="K3347" s="2" t="str">
        <f>HYPERLINK("http://collections.slsa.sa.gov.au/arthur/02250/BRG347_2231.htm")</f>
        <v>http://collections.slsa.sa.gov.au/arthur/02250/BRG347_2231.htm</v>
      </c>
    </row>
    <row r="3348" spans="1:11" x14ac:dyDescent="0.25">
      <c r="A3348" t="s">
        <v>11663</v>
      </c>
      <c r="B3348" s="1" t="str">
        <f>HYPERLINK("https://www.catalog.slsa.sa.gov.au/record=b2111632")</f>
        <v>https://www.catalog.slsa.sa.gov.au/record=b2111632</v>
      </c>
      <c r="C3348" s="1" t="str">
        <f>HYPERLINK("https://www.catalog.slsa.sa.gov.au/xrecord=b2111632")</f>
        <v>https://www.catalog.slsa.sa.gov.au/xrecord=b2111632</v>
      </c>
      <c r="D3348" t="s">
        <v>66</v>
      </c>
      <c r="E3348" t="s">
        <v>11664</v>
      </c>
      <c r="F3348">
        <v>1962</v>
      </c>
      <c r="G3348" t="s">
        <v>121</v>
      </c>
      <c r="H3348" t="s">
        <v>11665</v>
      </c>
      <c r="I3348" t="s">
        <v>10526</v>
      </c>
      <c r="J3348" t="s">
        <v>71</v>
      </c>
      <c r="K3348" s="2" t="str">
        <f>HYPERLINK("http://collections.slsa.sa.gov.au/arthur/02250/BRG347_2232.htm")</f>
        <v>http://collections.slsa.sa.gov.au/arthur/02250/BRG347_2232.htm</v>
      </c>
    </row>
    <row r="3349" spans="1:11" x14ac:dyDescent="0.25">
      <c r="A3349" t="s">
        <v>11666</v>
      </c>
      <c r="B3349" s="1" t="str">
        <f>HYPERLINK("https://www.catalog.slsa.sa.gov.au/record=b2111633")</f>
        <v>https://www.catalog.slsa.sa.gov.au/record=b2111633</v>
      </c>
      <c r="C3349" s="1" t="str">
        <f>HYPERLINK("https://www.catalog.slsa.sa.gov.au/xrecord=b2111633")</f>
        <v>https://www.catalog.slsa.sa.gov.au/xrecord=b2111633</v>
      </c>
      <c r="D3349" t="s">
        <v>66</v>
      </c>
      <c r="E3349" t="s">
        <v>11664</v>
      </c>
      <c r="F3349">
        <v>1962</v>
      </c>
      <c r="G3349" t="s">
        <v>121</v>
      </c>
      <c r="H3349" t="s">
        <v>11667</v>
      </c>
      <c r="I3349" t="s">
        <v>10526</v>
      </c>
      <c r="J3349" t="s">
        <v>71</v>
      </c>
      <c r="K3349" s="2" t="str">
        <f>HYPERLINK("http://collections.slsa.sa.gov.au/arthur/02250/BRG347_2233.htm")</f>
        <v>http://collections.slsa.sa.gov.au/arthur/02250/BRG347_2233.htm</v>
      </c>
    </row>
    <row r="3350" spans="1:11" x14ac:dyDescent="0.25">
      <c r="A3350" t="s">
        <v>11668</v>
      </c>
      <c r="B3350" s="1" t="str">
        <f>HYPERLINK("https://www.catalog.slsa.sa.gov.au/record=b2111634")</f>
        <v>https://www.catalog.slsa.sa.gov.au/record=b2111634</v>
      </c>
      <c r="C3350" s="1" t="str">
        <f>HYPERLINK("https://www.catalog.slsa.sa.gov.au/xrecord=b2111634")</f>
        <v>https://www.catalog.slsa.sa.gov.au/xrecord=b2111634</v>
      </c>
      <c r="D3350" t="s">
        <v>66</v>
      </c>
      <c r="E3350" t="s">
        <v>10524</v>
      </c>
      <c r="F3350">
        <v>1962</v>
      </c>
      <c r="G3350" t="s">
        <v>121</v>
      </c>
      <c r="H3350" t="s">
        <v>11669</v>
      </c>
      <c r="I3350" t="s">
        <v>10526</v>
      </c>
      <c r="J3350" t="s">
        <v>71</v>
      </c>
      <c r="K3350" s="2" t="str">
        <f>HYPERLINK("http://collections.slsa.sa.gov.au/arthur/02250/BRG347_2234.htm")</f>
        <v>http://collections.slsa.sa.gov.au/arthur/02250/BRG347_2234.htm</v>
      </c>
    </row>
    <row r="3351" spans="1:11" x14ac:dyDescent="0.25">
      <c r="A3351" t="s">
        <v>11670</v>
      </c>
      <c r="B3351" s="1" t="str">
        <f>HYPERLINK("https://www.catalog.slsa.sa.gov.au/record=b2111635")</f>
        <v>https://www.catalog.slsa.sa.gov.au/record=b2111635</v>
      </c>
      <c r="C3351" s="1" t="str">
        <f>HYPERLINK("https://www.catalog.slsa.sa.gov.au/xrecord=b2111635")</f>
        <v>https://www.catalog.slsa.sa.gov.au/xrecord=b2111635</v>
      </c>
      <c r="D3351" t="s">
        <v>66</v>
      </c>
      <c r="E3351" t="s">
        <v>10524</v>
      </c>
      <c r="F3351">
        <v>1962</v>
      </c>
      <c r="G3351" t="s">
        <v>121</v>
      </c>
      <c r="H3351" t="s">
        <v>11671</v>
      </c>
      <c r="I3351" t="s">
        <v>10526</v>
      </c>
      <c r="J3351" t="s">
        <v>71</v>
      </c>
      <c r="K3351" s="2" t="str">
        <f>HYPERLINK("http://collections.slsa.sa.gov.au/arthur/02250/BRG347_2235.htm")</f>
        <v>http://collections.slsa.sa.gov.au/arthur/02250/BRG347_2235.htm</v>
      </c>
    </row>
    <row r="3352" spans="1:11" x14ac:dyDescent="0.25">
      <c r="A3352" t="s">
        <v>11672</v>
      </c>
      <c r="B3352" s="1" t="str">
        <f>HYPERLINK("https://www.catalog.slsa.sa.gov.au/record=b2111636")</f>
        <v>https://www.catalog.slsa.sa.gov.au/record=b2111636</v>
      </c>
      <c r="C3352" s="1" t="str">
        <f>HYPERLINK("https://www.catalog.slsa.sa.gov.au/xrecord=b2111636")</f>
        <v>https://www.catalog.slsa.sa.gov.au/xrecord=b2111636</v>
      </c>
      <c r="D3352" t="s">
        <v>66</v>
      </c>
      <c r="E3352" t="s">
        <v>11664</v>
      </c>
      <c r="F3352">
        <v>1962</v>
      </c>
      <c r="G3352" t="s">
        <v>121</v>
      </c>
      <c r="H3352" t="s">
        <v>11673</v>
      </c>
      <c r="I3352" t="s">
        <v>10526</v>
      </c>
      <c r="J3352" t="s">
        <v>71</v>
      </c>
      <c r="K3352" s="2" t="str">
        <f>HYPERLINK("http://collections.slsa.sa.gov.au/arthur/02250/BRG347_2236.htm")</f>
        <v>http://collections.slsa.sa.gov.au/arthur/02250/BRG347_2236.htm</v>
      </c>
    </row>
    <row r="3353" spans="1:11" x14ac:dyDescent="0.25">
      <c r="A3353" t="s">
        <v>11674</v>
      </c>
      <c r="B3353" s="1" t="str">
        <f>HYPERLINK("https://www.catalog.slsa.sa.gov.au/record=b2111637")</f>
        <v>https://www.catalog.slsa.sa.gov.au/record=b2111637</v>
      </c>
      <c r="C3353" s="1" t="str">
        <f>HYPERLINK("https://www.catalog.slsa.sa.gov.au/xrecord=b2111637")</f>
        <v>https://www.catalog.slsa.sa.gov.au/xrecord=b2111637</v>
      </c>
      <c r="D3353" t="s">
        <v>66</v>
      </c>
      <c r="E3353" t="s">
        <v>11664</v>
      </c>
      <c r="F3353">
        <v>1962</v>
      </c>
      <c r="G3353" t="s">
        <v>121</v>
      </c>
      <c r="H3353" t="s">
        <v>11675</v>
      </c>
      <c r="I3353" t="s">
        <v>10526</v>
      </c>
      <c r="J3353" t="s">
        <v>71</v>
      </c>
      <c r="K3353" s="2" t="str">
        <f>HYPERLINK("http://collections.slsa.sa.gov.au/arthur/02250/BRG347_2237.htm")</f>
        <v>http://collections.slsa.sa.gov.au/arthur/02250/BRG347_2237.htm</v>
      </c>
    </row>
    <row r="3354" spans="1:11" x14ac:dyDescent="0.25">
      <c r="A3354" t="s">
        <v>11676</v>
      </c>
      <c r="B3354" s="1" t="str">
        <f>HYPERLINK("https://www.catalog.slsa.sa.gov.au/record=b2111638")</f>
        <v>https://www.catalog.slsa.sa.gov.au/record=b2111638</v>
      </c>
      <c r="C3354" s="1" t="str">
        <f>HYPERLINK("https://www.catalog.slsa.sa.gov.au/xrecord=b2111638")</f>
        <v>https://www.catalog.slsa.sa.gov.au/xrecord=b2111638</v>
      </c>
      <c r="D3354" t="s">
        <v>66</v>
      </c>
      <c r="E3354" t="s">
        <v>11677</v>
      </c>
      <c r="F3354">
        <v>1962</v>
      </c>
      <c r="G3354" t="s">
        <v>121</v>
      </c>
      <c r="H3354" t="s">
        <v>11678</v>
      </c>
      <c r="I3354" t="s">
        <v>7394</v>
      </c>
      <c r="J3354" t="s">
        <v>71</v>
      </c>
      <c r="K3354" s="2" t="str">
        <f>HYPERLINK("http://collections.slsa.sa.gov.au/arthur/02250/BRG347_2238.htm")</f>
        <v>http://collections.slsa.sa.gov.au/arthur/02250/BRG347_2238.htm</v>
      </c>
    </row>
    <row r="3355" spans="1:11" x14ac:dyDescent="0.25">
      <c r="A3355" t="s">
        <v>11679</v>
      </c>
      <c r="B3355" s="1" t="str">
        <f>HYPERLINK("https://www.catalog.slsa.sa.gov.au/record=b2111639")</f>
        <v>https://www.catalog.slsa.sa.gov.au/record=b2111639</v>
      </c>
      <c r="C3355" s="1" t="str">
        <f>HYPERLINK("https://www.catalog.slsa.sa.gov.au/xrecord=b2111639")</f>
        <v>https://www.catalog.slsa.sa.gov.au/xrecord=b2111639</v>
      </c>
      <c r="D3355" t="s">
        <v>66</v>
      </c>
      <c r="E3355" t="s">
        <v>11664</v>
      </c>
      <c r="F3355">
        <v>1962</v>
      </c>
      <c r="G3355" t="s">
        <v>121</v>
      </c>
      <c r="H3355" t="s">
        <v>11680</v>
      </c>
      <c r="I3355" t="s">
        <v>10526</v>
      </c>
      <c r="J3355" t="s">
        <v>71</v>
      </c>
      <c r="K3355" s="2" t="str">
        <f>HYPERLINK("http://collections.slsa.sa.gov.au/arthur/02250/BRG347_2239.htm")</f>
        <v>http://collections.slsa.sa.gov.au/arthur/02250/BRG347_2239.htm</v>
      </c>
    </row>
    <row r="3356" spans="1:11" x14ac:dyDescent="0.25">
      <c r="A3356" t="s">
        <v>11681</v>
      </c>
      <c r="B3356" s="1" t="str">
        <f>HYPERLINK("https://www.catalog.slsa.sa.gov.au/record=b2117985")</f>
        <v>https://www.catalog.slsa.sa.gov.au/record=b2117985</v>
      </c>
      <c r="C3356" s="1" t="str">
        <f>HYPERLINK("https://www.catalog.slsa.sa.gov.au/xrecord=b2117985")</f>
        <v>https://www.catalog.slsa.sa.gov.au/xrecord=b2117985</v>
      </c>
      <c r="D3356" t="s">
        <v>66</v>
      </c>
      <c r="E3356" t="s">
        <v>6523</v>
      </c>
      <c r="F3356">
        <v>1962</v>
      </c>
      <c r="G3356" t="s">
        <v>121</v>
      </c>
      <c r="H3356" t="s">
        <v>11682</v>
      </c>
      <c r="I3356" t="s">
        <v>7454</v>
      </c>
      <c r="J3356" t="s">
        <v>71</v>
      </c>
      <c r="K3356" s="2" t="str">
        <f>HYPERLINK("http://collections.slsa.sa.gov.au/arthur/02250/BRG347_2242.htm")</f>
        <v>http://collections.slsa.sa.gov.au/arthur/02250/BRG347_2242.htm</v>
      </c>
    </row>
    <row r="3357" spans="1:11" x14ac:dyDescent="0.25">
      <c r="A3357" t="s">
        <v>11683</v>
      </c>
      <c r="B3357" s="1" t="str">
        <f>HYPERLINK("https://www.catalog.slsa.sa.gov.au/record=b2111641")</f>
        <v>https://www.catalog.slsa.sa.gov.au/record=b2111641</v>
      </c>
      <c r="C3357" s="1" t="str">
        <f>HYPERLINK("https://www.catalog.slsa.sa.gov.au/xrecord=b2111641")</f>
        <v>https://www.catalog.slsa.sa.gov.au/xrecord=b2111641</v>
      </c>
      <c r="D3357" t="s">
        <v>66</v>
      </c>
      <c r="E3357" t="s">
        <v>6523</v>
      </c>
      <c r="F3357">
        <v>1962</v>
      </c>
      <c r="G3357" t="s">
        <v>121</v>
      </c>
      <c r="H3357" t="s">
        <v>11684</v>
      </c>
      <c r="I3357" t="s">
        <v>7454</v>
      </c>
      <c r="J3357" t="s">
        <v>71</v>
      </c>
      <c r="K3357" s="2" t="str">
        <f>HYPERLINK("http://collections.slsa.sa.gov.au/arthur/02250/BRG347_2243.htm")</f>
        <v>http://collections.slsa.sa.gov.au/arthur/02250/BRG347_2243.htm</v>
      </c>
    </row>
    <row r="3358" spans="1:11" x14ac:dyDescent="0.25">
      <c r="A3358" t="s">
        <v>11685</v>
      </c>
      <c r="B3358" s="1" t="str">
        <f>HYPERLINK("https://www.catalog.slsa.sa.gov.au/record=b2111642")</f>
        <v>https://www.catalog.slsa.sa.gov.au/record=b2111642</v>
      </c>
      <c r="C3358" s="1" t="str">
        <f>HYPERLINK("https://www.catalog.slsa.sa.gov.au/xrecord=b2111642")</f>
        <v>https://www.catalog.slsa.sa.gov.au/xrecord=b2111642</v>
      </c>
      <c r="D3358" t="s">
        <v>66</v>
      </c>
      <c r="E3358" t="s">
        <v>11653</v>
      </c>
      <c r="F3358">
        <v>1962</v>
      </c>
      <c r="G3358" t="s">
        <v>121</v>
      </c>
      <c r="H3358" t="s">
        <v>11686</v>
      </c>
      <c r="I3358" t="s">
        <v>7454</v>
      </c>
      <c r="J3358" t="s">
        <v>71</v>
      </c>
      <c r="K3358" s="2" t="str">
        <f>HYPERLINK("http://collections.slsa.sa.gov.au/arthur/02250/BRG347_2244.htm")</f>
        <v>http://collections.slsa.sa.gov.au/arthur/02250/BRG347_2244.htm</v>
      </c>
    </row>
    <row r="3359" spans="1:11" x14ac:dyDescent="0.25">
      <c r="A3359" t="s">
        <v>11687</v>
      </c>
      <c r="B3359" s="1" t="str">
        <f>HYPERLINK("https://www.catalog.slsa.sa.gov.au/record=b2111643")</f>
        <v>https://www.catalog.slsa.sa.gov.au/record=b2111643</v>
      </c>
      <c r="C3359" s="1" t="str">
        <f>HYPERLINK("https://www.catalog.slsa.sa.gov.au/xrecord=b2111643")</f>
        <v>https://www.catalog.slsa.sa.gov.au/xrecord=b2111643</v>
      </c>
      <c r="D3359" t="s">
        <v>66</v>
      </c>
      <c r="E3359" t="s">
        <v>11653</v>
      </c>
      <c r="F3359">
        <v>1962</v>
      </c>
      <c r="G3359" t="s">
        <v>121</v>
      </c>
      <c r="H3359" t="s">
        <v>11686</v>
      </c>
      <c r="I3359" t="s">
        <v>7454</v>
      </c>
      <c r="J3359" t="s">
        <v>71</v>
      </c>
      <c r="K3359" s="2" t="str">
        <f>HYPERLINK("http://collections.slsa.sa.gov.au/arthur/02250/BRG347_2245.htm")</f>
        <v>http://collections.slsa.sa.gov.au/arthur/02250/BRG347_2245.htm</v>
      </c>
    </row>
    <row r="3360" spans="1:11" x14ac:dyDescent="0.25">
      <c r="A3360" t="s">
        <v>11688</v>
      </c>
      <c r="B3360" s="1" t="str">
        <f>HYPERLINK("https://www.catalog.slsa.sa.gov.au/record=b2111644")</f>
        <v>https://www.catalog.slsa.sa.gov.au/record=b2111644</v>
      </c>
      <c r="C3360" s="1" t="str">
        <f>HYPERLINK("https://www.catalog.slsa.sa.gov.au/xrecord=b2111644")</f>
        <v>https://www.catalog.slsa.sa.gov.au/xrecord=b2111644</v>
      </c>
      <c r="D3360" t="s">
        <v>66</v>
      </c>
      <c r="E3360" t="s">
        <v>11689</v>
      </c>
      <c r="F3360">
        <v>1962</v>
      </c>
      <c r="G3360" t="s">
        <v>121</v>
      </c>
      <c r="H3360" t="s">
        <v>11690</v>
      </c>
      <c r="I3360" t="s">
        <v>7454</v>
      </c>
      <c r="J3360" t="s">
        <v>71</v>
      </c>
      <c r="K3360" s="2" t="str">
        <f>HYPERLINK("http://collections.slsa.sa.gov.au/arthur/02250/BRG347_2246.htm")</f>
        <v>http://collections.slsa.sa.gov.au/arthur/02250/BRG347_2246.htm</v>
      </c>
    </row>
    <row r="3361" spans="1:11" x14ac:dyDescent="0.25">
      <c r="A3361" t="s">
        <v>11691</v>
      </c>
      <c r="B3361" s="1" t="str">
        <f>HYPERLINK("https://www.catalog.slsa.sa.gov.au/record=b2111645")</f>
        <v>https://www.catalog.slsa.sa.gov.au/record=b2111645</v>
      </c>
      <c r="C3361" s="1" t="str">
        <f>HYPERLINK("https://www.catalog.slsa.sa.gov.au/xrecord=b2111645")</f>
        <v>https://www.catalog.slsa.sa.gov.au/xrecord=b2111645</v>
      </c>
      <c r="D3361" t="s">
        <v>66</v>
      </c>
      <c r="E3361" t="s">
        <v>11692</v>
      </c>
      <c r="F3361">
        <v>1962</v>
      </c>
      <c r="G3361" t="s">
        <v>121</v>
      </c>
      <c r="H3361" t="s">
        <v>11693</v>
      </c>
      <c r="I3361" t="s">
        <v>11694</v>
      </c>
      <c r="J3361" t="s">
        <v>71</v>
      </c>
      <c r="K3361" s="2" t="str">
        <f>HYPERLINK("http://collections.slsa.sa.gov.au/arthur/02250/BRG347_2247.htm")</f>
        <v>http://collections.slsa.sa.gov.au/arthur/02250/BRG347_2247.htm</v>
      </c>
    </row>
    <row r="3362" spans="1:11" x14ac:dyDescent="0.25">
      <c r="A3362" t="s">
        <v>11695</v>
      </c>
      <c r="B3362" s="1" t="str">
        <f>HYPERLINK("https://www.catalog.slsa.sa.gov.au/record=b2111646")</f>
        <v>https://www.catalog.slsa.sa.gov.au/record=b2111646</v>
      </c>
      <c r="C3362" s="1" t="str">
        <f>HYPERLINK("https://www.catalog.slsa.sa.gov.au/xrecord=b2111646")</f>
        <v>https://www.catalog.slsa.sa.gov.au/xrecord=b2111646</v>
      </c>
      <c r="D3362" t="s">
        <v>66</v>
      </c>
      <c r="E3362" t="s">
        <v>9432</v>
      </c>
      <c r="F3362">
        <v>1962</v>
      </c>
      <c r="G3362" t="s">
        <v>121</v>
      </c>
      <c r="H3362" t="s">
        <v>11696</v>
      </c>
      <c r="I3362" t="s">
        <v>1216</v>
      </c>
      <c r="J3362" t="s">
        <v>71</v>
      </c>
      <c r="K3362" s="2" t="str">
        <f>HYPERLINK("http://collections.slsa.sa.gov.au/arthur/02250/BRG347_2248.htm")</f>
        <v>http://collections.slsa.sa.gov.au/arthur/02250/BRG347_2248.htm</v>
      </c>
    </row>
    <row r="3363" spans="1:11" x14ac:dyDescent="0.25">
      <c r="A3363" t="s">
        <v>11697</v>
      </c>
      <c r="B3363" s="1" t="str">
        <f>HYPERLINK("https://www.catalog.slsa.sa.gov.au/record=b2111647")</f>
        <v>https://www.catalog.slsa.sa.gov.au/record=b2111647</v>
      </c>
      <c r="C3363" s="1" t="str">
        <f>HYPERLINK("https://www.catalog.slsa.sa.gov.au/xrecord=b2111647")</f>
        <v>https://www.catalog.slsa.sa.gov.au/xrecord=b2111647</v>
      </c>
      <c r="D3363" t="s">
        <v>66</v>
      </c>
      <c r="E3363" t="s">
        <v>11698</v>
      </c>
      <c r="F3363">
        <v>1962</v>
      </c>
      <c r="G3363" t="s">
        <v>121</v>
      </c>
      <c r="H3363" t="s">
        <v>11699</v>
      </c>
      <c r="I3363" t="s">
        <v>7394</v>
      </c>
      <c r="J3363" t="s">
        <v>71</v>
      </c>
      <c r="K3363" s="2" t="str">
        <f>HYPERLINK("http://collections.slsa.sa.gov.au/arthur/02250/BRG347_2249.htm")</f>
        <v>http://collections.slsa.sa.gov.au/arthur/02250/BRG347_2249.htm</v>
      </c>
    </row>
    <row r="3364" spans="1:11" x14ac:dyDescent="0.25">
      <c r="A3364" t="s">
        <v>11700</v>
      </c>
      <c r="B3364" s="1" t="str">
        <f>HYPERLINK("https://www.catalog.slsa.sa.gov.au/record=b2111649")</f>
        <v>https://www.catalog.slsa.sa.gov.au/record=b2111649</v>
      </c>
      <c r="C3364" s="1" t="str">
        <f>HYPERLINK("https://www.catalog.slsa.sa.gov.au/xrecord=b2111649")</f>
        <v>https://www.catalog.slsa.sa.gov.au/xrecord=b2111649</v>
      </c>
      <c r="D3364" t="s">
        <v>66</v>
      </c>
      <c r="E3364" t="s">
        <v>11701</v>
      </c>
      <c r="F3364">
        <v>1962</v>
      </c>
      <c r="G3364" t="s">
        <v>121</v>
      </c>
      <c r="H3364" t="s">
        <v>11702</v>
      </c>
      <c r="I3364" t="s">
        <v>11703</v>
      </c>
      <c r="J3364" t="s">
        <v>71</v>
      </c>
      <c r="K3364" s="2" t="str">
        <f>HYPERLINK("http://collections.slsa.sa.gov.au/arthur/02500/BRG347_2251.htm")</f>
        <v>http://collections.slsa.sa.gov.au/arthur/02500/BRG347_2251.htm</v>
      </c>
    </row>
    <row r="3365" spans="1:11" x14ac:dyDescent="0.25">
      <c r="A3365" t="s">
        <v>11704</v>
      </c>
      <c r="B3365" s="1" t="str">
        <f>HYPERLINK("https://www.catalog.slsa.sa.gov.au/record=b2111650")</f>
        <v>https://www.catalog.slsa.sa.gov.au/record=b2111650</v>
      </c>
      <c r="C3365" s="1" t="str">
        <f>HYPERLINK("https://www.catalog.slsa.sa.gov.au/xrecord=b2111650")</f>
        <v>https://www.catalog.slsa.sa.gov.au/xrecord=b2111650</v>
      </c>
      <c r="D3365" t="s">
        <v>66</v>
      </c>
      <c r="E3365" t="s">
        <v>9432</v>
      </c>
      <c r="F3365">
        <v>1962</v>
      </c>
      <c r="G3365" t="s">
        <v>121</v>
      </c>
      <c r="H3365" t="s">
        <v>11705</v>
      </c>
      <c r="I3365" t="s">
        <v>11706</v>
      </c>
      <c r="J3365" t="s">
        <v>71</v>
      </c>
      <c r="K3365" s="2" t="str">
        <f>HYPERLINK("http://collections.slsa.sa.gov.au/arthur/02500/BRG347_2252.htm")</f>
        <v>http://collections.slsa.sa.gov.au/arthur/02500/BRG347_2252.htm</v>
      </c>
    </row>
    <row r="3366" spans="1:11" x14ac:dyDescent="0.25">
      <c r="A3366" t="s">
        <v>11707</v>
      </c>
      <c r="B3366" s="1" t="str">
        <f>HYPERLINK("https://www.catalog.slsa.sa.gov.au/record=b2111651")</f>
        <v>https://www.catalog.slsa.sa.gov.au/record=b2111651</v>
      </c>
      <c r="C3366" s="1" t="str">
        <f>HYPERLINK("https://www.catalog.slsa.sa.gov.au/xrecord=b2111651")</f>
        <v>https://www.catalog.slsa.sa.gov.au/xrecord=b2111651</v>
      </c>
      <c r="D3366" t="s">
        <v>66</v>
      </c>
      <c r="E3366" t="s">
        <v>11708</v>
      </c>
      <c r="F3366">
        <v>1962</v>
      </c>
      <c r="G3366" t="s">
        <v>121</v>
      </c>
      <c r="H3366" t="s">
        <v>11709</v>
      </c>
      <c r="I3366" t="s">
        <v>1615</v>
      </c>
      <c r="J3366" t="s">
        <v>71</v>
      </c>
      <c r="K3366" s="2" t="str">
        <f>HYPERLINK("http://collections.slsa.sa.gov.au/arthur/02500/BRG347_2253.htm")</f>
        <v>http://collections.slsa.sa.gov.au/arthur/02500/BRG347_2253.htm</v>
      </c>
    </row>
    <row r="3367" spans="1:11" x14ac:dyDescent="0.25">
      <c r="A3367" t="s">
        <v>11710</v>
      </c>
      <c r="B3367" s="1" t="str">
        <f>HYPERLINK("https://www.catalog.slsa.sa.gov.au/record=b2111652")</f>
        <v>https://www.catalog.slsa.sa.gov.au/record=b2111652</v>
      </c>
      <c r="C3367" s="1" t="str">
        <f>HYPERLINK("https://www.catalog.slsa.sa.gov.au/xrecord=b2111652")</f>
        <v>https://www.catalog.slsa.sa.gov.au/xrecord=b2111652</v>
      </c>
      <c r="D3367" t="s">
        <v>66</v>
      </c>
      <c r="E3367" t="s">
        <v>7882</v>
      </c>
      <c r="F3367">
        <v>1962</v>
      </c>
      <c r="G3367" t="s">
        <v>121</v>
      </c>
      <c r="H3367" t="s">
        <v>11711</v>
      </c>
      <c r="I3367" t="s">
        <v>8304</v>
      </c>
      <c r="J3367" t="s">
        <v>71</v>
      </c>
      <c r="K3367" s="2" t="str">
        <f>HYPERLINK("http://collections.slsa.sa.gov.au/arthur/02500/BRG347_2254.htm")</f>
        <v>http://collections.slsa.sa.gov.au/arthur/02500/BRG347_2254.htm</v>
      </c>
    </row>
    <row r="3368" spans="1:11" x14ac:dyDescent="0.25">
      <c r="A3368" t="s">
        <v>11712</v>
      </c>
      <c r="B3368" s="1" t="str">
        <f>HYPERLINK("https://www.catalog.slsa.sa.gov.au/record=b2111653")</f>
        <v>https://www.catalog.slsa.sa.gov.au/record=b2111653</v>
      </c>
      <c r="C3368" s="1" t="str">
        <f>HYPERLINK("https://www.catalog.slsa.sa.gov.au/xrecord=b2111653")</f>
        <v>https://www.catalog.slsa.sa.gov.au/xrecord=b2111653</v>
      </c>
      <c r="D3368" t="s">
        <v>66</v>
      </c>
      <c r="E3368" t="s">
        <v>11542</v>
      </c>
      <c r="F3368">
        <v>1962</v>
      </c>
      <c r="G3368" t="s">
        <v>121</v>
      </c>
      <c r="H3368" t="s">
        <v>11713</v>
      </c>
      <c r="I3368" t="s">
        <v>8304</v>
      </c>
      <c r="J3368" t="s">
        <v>71</v>
      </c>
      <c r="K3368" s="2" t="str">
        <f>HYPERLINK("http://collections.slsa.sa.gov.au/arthur/02500/BRG347_2255.htm")</f>
        <v>http://collections.slsa.sa.gov.au/arthur/02500/BRG347_2255.htm</v>
      </c>
    </row>
    <row r="3369" spans="1:11" x14ac:dyDescent="0.25">
      <c r="A3369" t="s">
        <v>11714</v>
      </c>
      <c r="B3369" s="1" t="str">
        <f>HYPERLINK("https://www.catalog.slsa.sa.gov.au/record=b2111654")</f>
        <v>https://www.catalog.slsa.sa.gov.au/record=b2111654</v>
      </c>
      <c r="C3369" s="1" t="str">
        <f>HYPERLINK("https://www.catalog.slsa.sa.gov.au/xrecord=b2111654")</f>
        <v>https://www.catalog.slsa.sa.gov.au/xrecord=b2111654</v>
      </c>
      <c r="D3369" t="s">
        <v>66</v>
      </c>
      <c r="E3369" t="s">
        <v>11715</v>
      </c>
      <c r="F3369">
        <v>1962</v>
      </c>
      <c r="G3369" t="s">
        <v>121</v>
      </c>
      <c r="H3369" t="s">
        <v>11716</v>
      </c>
      <c r="I3369" t="s">
        <v>8145</v>
      </c>
      <c r="J3369" t="s">
        <v>71</v>
      </c>
      <c r="K3369" s="2" t="str">
        <f>HYPERLINK("http://collections.slsa.sa.gov.au/arthur/02500/BRG347_2256.htm")</f>
        <v>http://collections.slsa.sa.gov.au/arthur/02500/BRG347_2256.htm</v>
      </c>
    </row>
    <row r="3370" spans="1:11" x14ac:dyDescent="0.25">
      <c r="A3370" t="s">
        <v>11717</v>
      </c>
      <c r="B3370" s="1" t="str">
        <f>HYPERLINK("https://www.catalog.slsa.sa.gov.au/record=b2111655")</f>
        <v>https://www.catalog.slsa.sa.gov.au/record=b2111655</v>
      </c>
      <c r="C3370" s="1" t="str">
        <f>HYPERLINK("https://www.catalog.slsa.sa.gov.au/xrecord=b2111655")</f>
        <v>https://www.catalog.slsa.sa.gov.au/xrecord=b2111655</v>
      </c>
      <c r="D3370" t="s">
        <v>66</v>
      </c>
      <c r="E3370" t="s">
        <v>11715</v>
      </c>
      <c r="F3370">
        <v>1962</v>
      </c>
      <c r="G3370" t="s">
        <v>121</v>
      </c>
      <c r="H3370" t="s">
        <v>11716</v>
      </c>
      <c r="I3370" t="s">
        <v>8145</v>
      </c>
      <c r="J3370" t="s">
        <v>71</v>
      </c>
      <c r="K3370" s="2" t="str">
        <f>HYPERLINK("http://collections.slsa.sa.gov.au/arthur/02500/BRG347_2257.htm")</f>
        <v>http://collections.slsa.sa.gov.au/arthur/02500/BRG347_2257.htm</v>
      </c>
    </row>
    <row r="3371" spans="1:11" x14ac:dyDescent="0.25">
      <c r="A3371" t="s">
        <v>11718</v>
      </c>
      <c r="B3371" s="1" t="str">
        <f>HYPERLINK("https://www.catalog.slsa.sa.gov.au/record=b2111656")</f>
        <v>https://www.catalog.slsa.sa.gov.au/record=b2111656</v>
      </c>
      <c r="C3371" s="1" t="str">
        <f>HYPERLINK("https://www.catalog.slsa.sa.gov.au/xrecord=b2111656")</f>
        <v>https://www.catalog.slsa.sa.gov.au/xrecord=b2111656</v>
      </c>
      <c r="D3371" t="s">
        <v>66</v>
      </c>
      <c r="E3371" t="s">
        <v>11719</v>
      </c>
      <c r="F3371">
        <v>1962</v>
      </c>
      <c r="G3371" t="s">
        <v>121</v>
      </c>
      <c r="H3371" t="s">
        <v>11720</v>
      </c>
      <c r="I3371" t="s">
        <v>8145</v>
      </c>
      <c r="J3371" t="s">
        <v>71</v>
      </c>
      <c r="K3371" s="2" t="str">
        <f>HYPERLINK("http://collections.slsa.sa.gov.au/arthur/02500/BRG347_2258.htm")</f>
        <v>http://collections.slsa.sa.gov.au/arthur/02500/BRG347_2258.htm</v>
      </c>
    </row>
    <row r="3372" spans="1:11" x14ac:dyDescent="0.25">
      <c r="A3372" t="s">
        <v>11721</v>
      </c>
      <c r="B3372" s="1" t="str">
        <f>HYPERLINK("https://www.catalog.slsa.sa.gov.au/record=b2111657")</f>
        <v>https://www.catalog.slsa.sa.gov.au/record=b2111657</v>
      </c>
      <c r="C3372" s="1" t="str">
        <f>HYPERLINK("https://www.catalog.slsa.sa.gov.au/xrecord=b2111657")</f>
        <v>https://www.catalog.slsa.sa.gov.au/xrecord=b2111657</v>
      </c>
      <c r="D3372" t="s">
        <v>66</v>
      </c>
      <c r="E3372" t="s">
        <v>11708</v>
      </c>
      <c r="F3372">
        <v>1962</v>
      </c>
      <c r="G3372" t="s">
        <v>121</v>
      </c>
      <c r="H3372" t="s">
        <v>11722</v>
      </c>
      <c r="I3372" t="s">
        <v>1615</v>
      </c>
      <c r="J3372" t="s">
        <v>71</v>
      </c>
      <c r="K3372" s="2" t="str">
        <f>HYPERLINK("http://collections.slsa.sa.gov.au/arthur/02500/BRG347_2259.htm")</f>
        <v>http://collections.slsa.sa.gov.au/arthur/02500/BRG347_2259.htm</v>
      </c>
    </row>
    <row r="3373" spans="1:11" x14ac:dyDescent="0.25">
      <c r="A3373" t="s">
        <v>11723</v>
      </c>
      <c r="B3373" s="1" t="str">
        <f>HYPERLINK("https://www.catalog.slsa.sa.gov.au/record=b2111658")</f>
        <v>https://www.catalog.slsa.sa.gov.au/record=b2111658</v>
      </c>
      <c r="C3373" s="1" t="str">
        <f>HYPERLINK("https://www.catalog.slsa.sa.gov.au/xrecord=b2111658")</f>
        <v>https://www.catalog.slsa.sa.gov.au/xrecord=b2111658</v>
      </c>
      <c r="D3373" t="s">
        <v>66</v>
      </c>
      <c r="E3373" t="s">
        <v>9530</v>
      </c>
      <c r="F3373">
        <v>1962</v>
      </c>
      <c r="G3373" t="s">
        <v>121</v>
      </c>
      <c r="H3373" t="s">
        <v>11724</v>
      </c>
      <c r="I3373" t="s">
        <v>11725</v>
      </c>
      <c r="J3373" t="s">
        <v>71</v>
      </c>
      <c r="K3373" s="2" t="str">
        <f>HYPERLINK("http://collections.slsa.sa.gov.au/arthur/02500/BRG347_2260.htm")</f>
        <v>http://collections.slsa.sa.gov.au/arthur/02500/BRG347_2260.htm</v>
      </c>
    </row>
    <row r="3374" spans="1:11" x14ac:dyDescent="0.25">
      <c r="A3374" t="s">
        <v>11726</v>
      </c>
      <c r="B3374" s="1" t="str">
        <f>HYPERLINK("https://www.catalog.slsa.sa.gov.au/record=b2111659")</f>
        <v>https://www.catalog.slsa.sa.gov.au/record=b2111659</v>
      </c>
      <c r="C3374" s="1" t="str">
        <f>HYPERLINK("https://www.catalog.slsa.sa.gov.au/xrecord=b2111659")</f>
        <v>https://www.catalog.slsa.sa.gov.au/xrecord=b2111659</v>
      </c>
      <c r="D3374" t="s">
        <v>66</v>
      </c>
      <c r="E3374" t="s">
        <v>11548</v>
      </c>
      <c r="F3374">
        <v>1962</v>
      </c>
      <c r="G3374" t="s">
        <v>121</v>
      </c>
      <c r="H3374" t="s">
        <v>11727</v>
      </c>
      <c r="I3374" t="s">
        <v>11728</v>
      </c>
      <c r="J3374" t="s">
        <v>71</v>
      </c>
      <c r="K3374" s="2" t="str">
        <f>HYPERLINK("http://collections.slsa.sa.gov.au/arthur/02500/BRG347_2261.htm")</f>
        <v>http://collections.slsa.sa.gov.au/arthur/02500/BRG347_2261.htm</v>
      </c>
    </row>
    <row r="3375" spans="1:11" x14ac:dyDescent="0.25">
      <c r="A3375" t="s">
        <v>11729</v>
      </c>
      <c r="B3375" s="1" t="str">
        <f>HYPERLINK("https://www.catalog.slsa.sa.gov.au/record=b2111660")</f>
        <v>https://www.catalog.slsa.sa.gov.au/record=b2111660</v>
      </c>
      <c r="C3375" s="1" t="str">
        <f>HYPERLINK("https://www.catalog.slsa.sa.gov.au/xrecord=b2111660")</f>
        <v>https://www.catalog.slsa.sa.gov.au/xrecord=b2111660</v>
      </c>
      <c r="D3375" t="s">
        <v>66</v>
      </c>
      <c r="E3375" t="s">
        <v>9530</v>
      </c>
      <c r="F3375">
        <v>1962</v>
      </c>
      <c r="G3375" t="s">
        <v>121</v>
      </c>
      <c r="H3375" t="s">
        <v>11730</v>
      </c>
      <c r="I3375" t="s">
        <v>11731</v>
      </c>
      <c r="J3375" t="s">
        <v>71</v>
      </c>
      <c r="K3375" s="2" t="str">
        <f>HYPERLINK("http://collections.slsa.sa.gov.au/arthur/02500/BRG347_2262.htm")</f>
        <v>http://collections.slsa.sa.gov.au/arthur/02500/BRG347_2262.htm</v>
      </c>
    </row>
    <row r="3376" spans="1:11" x14ac:dyDescent="0.25">
      <c r="A3376" t="s">
        <v>11732</v>
      </c>
      <c r="B3376" s="1" t="str">
        <f>HYPERLINK("https://www.catalog.slsa.sa.gov.au/record=b2111661")</f>
        <v>https://www.catalog.slsa.sa.gov.au/record=b2111661</v>
      </c>
      <c r="C3376" s="1" t="str">
        <f>HYPERLINK("https://www.catalog.slsa.sa.gov.au/xrecord=b2111661")</f>
        <v>https://www.catalog.slsa.sa.gov.au/xrecord=b2111661</v>
      </c>
      <c r="D3376" t="s">
        <v>66</v>
      </c>
      <c r="E3376" t="s">
        <v>11548</v>
      </c>
      <c r="F3376">
        <v>1962</v>
      </c>
      <c r="G3376" t="s">
        <v>121</v>
      </c>
      <c r="H3376" t="s">
        <v>11733</v>
      </c>
      <c r="I3376" t="s">
        <v>11734</v>
      </c>
      <c r="J3376" t="s">
        <v>71</v>
      </c>
      <c r="K3376" s="2" t="str">
        <f>HYPERLINK("http://collections.slsa.sa.gov.au/arthur/02500/BRG347_2263.htm")</f>
        <v>http://collections.slsa.sa.gov.au/arthur/02500/BRG347_2263.htm</v>
      </c>
    </row>
    <row r="3377" spans="1:11" x14ac:dyDescent="0.25">
      <c r="A3377" t="s">
        <v>11735</v>
      </c>
      <c r="B3377" s="1" t="str">
        <f>HYPERLINK("https://www.catalog.slsa.sa.gov.au/record=b2111663")</f>
        <v>https://www.catalog.slsa.sa.gov.au/record=b2111663</v>
      </c>
      <c r="C3377" s="1" t="str">
        <f>HYPERLINK("https://www.catalog.slsa.sa.gov.au/xrecord=b2111663")</f>
        <v>https://www.catalog.slsa.sa.gov.au/xrecord=b2111663</v>
      </c>
      <c r="D3377" t="s">
        <v>66</v>
      </c>
      <c r="E3377" t="s">
        <v>11736</v>
      </c>
      <c r="F3377">
        <v>1962</v>
      </c>
      <c r="G3377" t="s">
        <v>121</v>
      </c>
      <c r="H3377" t="s">
        <v>11737</v>
      </c>
      <c r="I3377" t="s">
        <v>6516</v>
      </c>
      <c r="J3377" t="s">
        <v>71</v>
      </c>
      <c r="K3377" s="2" t="str">
        <f>HYPERLINK("http://collections.slsa.sa.gov.au/arthur/02500/BRG347_2265.htm")</f>
        <v>http://collections.slsa.sa.gov.au/arthur/02500/BRG347_2265.htm</v>
      </c>
    </row>
    <row r="3378" spans="1:11" x14ac:dyDescent="0.25">
      <c r="A3378" t="s">
        <v>11738</v>
      </c>
      <c r="B3378" s="1" t="str">
        <f>HYPERLINK("https://www.catalog.slsa.sa.gov.au/record=b2111664")</f>
        <v>https://www.catalog.slsa.sa.gov.au/record=b2111664</v>
      </c>
      <c r="C3378" s="1" t="str">
        <f>HYPERLINK("https://www.catalog.slsa.sa.gov.au/xrecord=b2111664")</f>
        <v>https://www.catalog.slsa.sa.gov.au/xrecord=b2111664</v>
      </c>
      <c r="D3378" t="s">
        <v>66</v>
      </c>
      <c r="E3378" t="s">
        <v>11736</v>
      </c>
      <c r="F3378">
        <v>1962</v>
      </c>
      <c r="G3378" t="s">
        <v>121</v>
      </c>
      <c r="H3378" t="s">
        <v>11739</v>
      </c>
      <c r="I3378" t="s">
        <v>11740</v>
      </c>
      <c r="J3378" t="s">
        <v>71</v>
      </c>
      <c r="K3378" s="2" t="str">
        <f>HYPERLINK("http://collections.slsa.sa.gov.au/arthur/02500/BRG347_2266.htm")</f>
        <v>http://collections.slsa.sa.gov.au/arthur/02500/BRG347_2266.htm</v>
      </c>
    </row>
    <row r="3379" spans="1:11" x14ac:dyDescent="0.25">
      <c r="A3379" t="s">
        <v>11741</v>
      </c>
      <c r="B3379" s="1" t="str">
        <f>HYPERLINK("https://www.catalog.slsa.sa.gov.au/record=b2111665")</f>
        <v>https://www.catalog.slsa.sa.gov.au/record=b2111665</v>
      </c>
      <c r="C3379" s="1" t="str">
        <f>HYPERLINK("https://www.catalog.slsa.sa.gov.au/xrecord=b2111665")</f>
        <v>https://www.catalog.slsa.sa.gov.au/xrecord=b2111665</v>
      </c>
      <c r="D3379" t="s">
        <v>66</v>
      </c>
      <c r="E3379" t="s">
        <v>11742</v>
      </c>
      <c r="F3379">
        <v>1962</v>
      </c>
      <c r="G3379" t="s">
        <v>121</v>
      </c>
      <c r="H3379" t="s">
        <v>11743</v>
      </c>
      <c r="I3379" t="s">
        <v>8327</v>
      </c>
      <c r="J3379" t="s">
        <v>71</v>
      </c>
      <c r="K3379" s="2" t="str">
        <f>HYPERLINK("http://collections.slsa.sa.gov.au/arthur/02500/BRG347_2267.htm")</f>
        <v>http://collections.slsa.sa.gov.au/arthur/02500/BRG347_2267.htm</v>
      </c>
    </row>
    <row r="3380" spans="1:11" x14ac:dyDescent="0.25">
      <c r="A3380" t="s">
        <v>11744</v>
      </c>
      <c r="B3380" s="1" t="str">
        <f>HYPERLINK("https://www.catalog.slsa.sa.gov.au/record=b2111666")</f>
        <v>https://www.catalog.slsa.sa.gov.au/record=b2111666</v>
      </c>
      <c r="C3380" s="1" t="str">
        <f>HYPERLINK("https://www.catalog.slsa.sa.gov.au/xrecord=b2111666")</f>
        <v>https://www.catalog.slsa.sa.gov.au/xrecord=b2111666</v>
      </c>
      <c r="D3380" t="s">
        <v>66</v>
      </c>
      <c r="E3380" t="s">
        <v>11745</v>
      </c>
      <c r="F3380">
        <v>1962</v>
      </c>
      <c r="G3380" t="s">
        <v>121</v>
      </c>
      <c r="H3380" t="s">
        <v>11746</v>
      </c>
      <c r="I3380" t="s">
        <v>10127</v>
      </c>
      <c r="J3380" t="s">
        <v>71</v>
      </c>
      <c r="K3380" s="2" t="str">
        <f>HYPERLINK("http://collections.slsa.sa.gov.au/arthur/02500/BRG347_2268.htm")</f>
        <v>http://collections.slsa.sa.gov.au/arthur/02500/BRG347_2268.htm</v>
      </c>
    </row>
    <row r="3381" spans="1:11" x14ac:dyDescent="0.25">
      <c r="A3381" t="s">
        <v>11747</v>
      </c>
      <c r="B3381" s="1" t="str">
        <f>HYPERLINK("https://www.catalog.slsa.sa.gov.au/record=b2111667")</f>
        <v>https://www.catalog.slsa.sa.gov.au/record=b2111667</v>
      </c>
      <c r="C3381" s="1" t="str">
        <f>HYPERLINK("https://www.catalog.slsa.sa.gov.au/xrecord=b2111667")</f>
        <v>https://www.catalog.slsa.sa.gov.au/xrecord=b2111667</v>
      </c>
      <c r="D3381" t="s">
        <v>66</v>
      </c>
      <c r="E3381" t="s">
        <v>11748</v>
      </c>
      <c r="F3381">
        <v>1962</v>
      </c>
      <c r="G3381" t="s">
        <v>121</v>
      </c>
      <c r="H3381" t="s">
        <v>11749</v>
      </c>
      <c r="I3381" t="s">
        <v>11750</v>
      </c>
      <c r="J3381" t="s">
        <v>71</v>
      </c>
      <c r="K3381" s="2" t="str">
        <f>HYPERLINK("http://collections.slsa.sa.gov.au/arthur/02500/BRG347_2269.htm")</f>
        <v>http://collections.slsa.sa.gov.au/arthur/02500/BRG347_2269.htm</v>
      </c>
    </row>
    <row r="3382" spans="1:11" x14ac:dyDescent="0.25">
      <c r="A3382" t="s">
        <v>11751</v>
      </c>
      <c r="B3382" s="1" t="str">
        <f>HYPERLINK("https://www.catalog.slsa.sa.gov.au/record=b2111668")</f>
        <v>https://www.catalog.slsa.sa.gov.au/record=b2111668</v>
      </c>
      <c r="C3382" s="1" t="str">
        <f>HYPERLINK("https://www.catalog.slsa.sa.gov.au/xrecord=b2111668")</f>
        <v>https://www.catalog.slsa.sa.gov.au/xrecord=b2111668</v>
      </c>
      <c r="D3382" t="s">
        <v>66</v>
      </c>
      <c r="E3382" t="s">
        <v>11745</v>
      </c>
      <c r="F3382">
        <v>1962</v>
      </c>
      <c r="G3382" t="s">
        <v>121</v>
      </c>
      <c r="H3382" t="s">
        <v>11752</v>
      </c>
      <c r="I3382" t="s">
        <v>10127</v>
      </c>
      <c r="J3382" t="s">
        <v>71</v>
      </c>
      <c r="K3382" s="2" t="str">
        <f>HYPERLINK("http://collections.slsa.sa.gov.au/arthur/02500/BRG347_2270.htm")</f>
        <v>http://collections.slsa.sa.gov.au/arthur/02500/BRG347_2270.htm</v>
      </c>
    </row>
    <row r="3383" spans="1:11" x14ac:dyDescent="0.25">
      <c r="A3383" t="s">
        <v>11753</v>
      </c>
      <c r="B3383" s="1" t="str">
        <f>HYPERLINK("https://www.catalog.slsa.sa.gov.au/record=b2111671")</f>
        <v>https://www.catalog.slsa.sa.gov.au/record=b2111671</v>
      </c>
      <c r="C3383" s="1" t="str">
        <f>HYPERLINK("https://www.catalog.slsa.sa.gov.au/xrecord=b2111671")</f>
        <v>https://www.catalog.slsa.sa.gov.au/xrecord=b2111671</v>
      </c>
      <c r="D3383" t="s">
        <v>66</v>
      </c>
      <c r="E3383" t="s">
        <v>11754</v>
      </c>
      <c r="F3383">
        <v>1962</v>
      </c>
      <c r="G3383" t="s">
        <v>121</v>
      </c>
      <c r="H3383" t="s">
        <v>11755</v>
      </c>
      <c r="I3383" t="s">
        <v>11756</v>
      </c>
      <c r="J3383" t="s">
        <v>71</v>
      </c>
      <c r="K3383" s="2" t="str">
        <f>HYPERLINK("http://collections.slsa.sa.gov.au/arthur/02500/BRG347_2273.htm")</f>
        <v>http://collections.slsa.sa.gov.au/arthur/02500/BRG347_2273.htm</v>
      </c>
    </row>
    <row r="3384" spans="1:11" x14ac:dyDescent="0.25">
      <c r="A3384" t="s">
        <v>11757</v>
      </c>
      <c r="B3384" s="1" t="str">
        <f>HYPERLINK("https://www.catalog.slsa.sa.gov.au/record=b2111672")</f>
        <v>https://www.catalog.slsa.sa.gov.au/record=b2111672</v>
      </c>
      <c r="C3384" s="1" t="str">
        <f>HYPERLINK("https://www.catalog.slsa.sa.gov.au/xrecord=b2111672")</f>
        <v>https://www.catalog.slsa.sa.gov.au/xrecord=b2111672</v>
      </c>
      <c r="D3384" t="s">
        <v>66</v>
      </c>
      <c r="E3384" t="s">
        <v>11758</v>
      </c>
      <c r="F3384">
        <v>1962</v>
      </c>
      <c r="G3384" t="s">
        <v>121</v>
      </c>
      <c r="H3384" t="s">
        <v>11759</v>
      </c>
      <c r="I3384" t="s">
        <v>8327</v>
      </c>
      <c r="J3384" t="s">
        <v>71</v>
      </c>
      <c r="K3384" s="2" t="str">
        <f>HYPERLINK("http://collections.slsa.sa.gov.au/arthur/02500/BRG347_2274.htm")</f>
        <v>http://collections.slsa.sa.gov.au/arthur/02500/BRG347_2274.htm</v>
      </c>
    </row>
    <row r="3385" spans="1:11" x14ac:dyDescent="0.25">
      <c r="A3385" t="s">
        <v>11760</v>
      </c>
      <c r="B3385" s="1" t="str">
        <f>HYPERLINK("https://www.catalog.slsa.sa.gov.au/record=b2111673")</f>
        <v>https://www.catalog.slsa.sa.gov.au/record=b2111673</v>
      </c>
      <c r="C3385" s="1" t="str">
        <f>HYPERLINK("https://www.catalog.slsa.sa.gov.au/xrecord=b2111673")</f>
        <v>https://www.catalog.slsa.sa.gov.au/xrecord=b2111673</v>
      </c>
      <c r="D3385" t="s">
        <v>66</v>
      </c>
      <c r="E3385" t="s">
        <v>11761</v>
      </c>
      <c r="F3385">
        <v>1962</v>
      </c>
      <c r="G3385" t="s">
        <v>121</v>
      </c>
      <c r="H3385" t="s">
        <v>11762</v>
      </c>
      <c r="I3385" t="s">
        <v>6525</v>
      </c>
      <c r="J3385" t="s">
        <v>71</v>
      </c>
      <c r="K3385" s="2" t="str">
        <f>HYPERLINK("http://collections.slsa.sa.gov.au/arthur/02500/BRG347_2275.htm")</f>
        <v>http://collections.slsa.sa.gov.au/arthur/02500/BRG347_2275.htm</v>
      </c>
    </row>
    <row r="3386" spans="1:11" x14ac:dyDescent="0.25">
      <c r="A3386" t="s">
        <v>11763</v>
      </c>
      <c r="B3386" s="1" t="str">
        <f>HYPERLINK("https://www.catalog.slsa.sa.gov.au/record=b2111674")</f>
        <v>https://www.catalog.slsa.sa.gov.au/record=b2111674</v>
      </c>
      <c r="C3386" s="1" t="str">
        <f>HYPERLINK("https://www.catalog.slsa.sa.gov.au/xrecord=b2111674")</f>
        <v>https://www.catalog.slsa.sa.gov.au/xrecord=b2111674</v>
      </c>
      <c r="D3386" t="s">
        <v>66</v>
      </c>
      <c r="E3386" t="s">
        <v>11745</v>
      </c>
      <c r="F3386">
        <v>1962</v>
      </c>
      <c r="G3386" t="s">
        <v>121</v>
      </c>
      <c r="H3386" t="s">
        <v>11764</v>
      </c>
      <c r="I3386" t="s">
        <v>10127</v>
      </c>
      <c r="J3386" t="s">
        <v>71</v>
      </c>
      <c r="K3386" s="2" t="str">
        <f>HYPERLINK("http://collections.slsa.sa.gov.au/arthur/02500/BRG347_2276.htm")</f>
        <v>http://collections.slsa.sa.gov.au/arthur/02500/BRG347_2276.htm</v>
      </c>
    </row>
    <row r="3387" spans="1:11" x14ac:dyDescent="0.25">
      <c r="A3387" t="s">
        <v>11765</v>
      </c>
      <c r="B3387" s="1" t="str">
        <f>HYPERLINK("https://www.catalog.slsa.sa.gov.au/record=b2117892")</f>
        <v>https://www.catalog.slsa.sa.gov.au/record=b2117892</v>
      </c>
      <c r="C3387" s="1" t="str">
        <f>HYPERLINK("https://www.catalog.slsa.sa.gov.au/xrecord=b2117892")</f>
        <v>https://www.catalog.slsa.sa.gov.au/xrecord=b2117892</v>
      </c>
      <c r="D3387" t="s">
        <v>66</v>
      </c>
      <c r="E3387" t="s">
        <v>6523</v>
      </c>
      <c r="F3387">
        <v>1962</v>
      </c>
      <c r="G3387" t="s">
        <v>121</v>
      </c>
      <c r="H3387" t="s">
        <v>11766</v>
      </c>
      <c r="I3387" t="s">
        <v>7454</v>
      </c>
      <c r="J3387" t="s">
        <v>71</v>
      </c>
      <c r="K3387" s="2" t="str">
        <f>HYPERLINK("http://collections.slsa.sa.gov.au/arthur/02500/BRG347_2277.htm")</f>
        <v>http://collections.slsa.sa.gov.au/arthur/02500/BRG347_2277.htm</v>
      </c>
    </row>
    <row r="3388" spans="1:11" x14ac:dyDescent="0.25">
      <c r="A3388" t="s">
        <v>11767</v>
      </c>
      <c r="B3388" s="1" t="str">
        <f>HYPERLINK("https://www.catalog.slsa.sa.gov.au/record=b2111675")</f>
        <v>https://www.catalog.slsa.sa.gov.au/record=b2111675</v>
      </c>
      <c r="C3388" s="1" t="str">
        <f>HYPERLINK("https://www.catalog.slsa.sa.gov.au/xrecord=b2111675")</f>
        <v>https://www.catalog.slsa.sa.gov.au/xrecord=b2111675</v>
      </c>
      <c r="D3388" t="s">
        <v>66</v>
      </c>
      <c r="E3388" t="s">
        <v>9724</v>
      </c>
      <c r="F3388">
        <v>1962</v>
      </c>
      <c r="G3388" t="s">
        <v>121</v>
      </c>
      <c r="H3388" t="s">
        <v>11768</v>
      </c>
      <c r="I3388" t="s">
        <v>11769</v>
      </c>
      <c r="J3388" t="s">
        <v>71</v>
      </c>
      <c r="K3388" s="2" t="str">
        <f>HYPERLINK("http://collections.slsa.sa.gov.au/arthur/02500/BRG347_2278.htm")</f>
        <v>http://collections.slsa.sa.gov.au/arthur/02500/BRG347_2278.htm</v>
      </c>
    </row>
    <row r="3389" spans="1:11" x14ac:dyDescent="0.25">
      <c r="A3389" t="s">
        <v>11770</v>
      </c>
      <c r="B3389" s="1" t="str">
        <f>HYPERLINK("https://www.catalog.slsa.sa.gov.au/record=b2111676")</f>
        <v>https://www.catalog.slsa.sa.gov.au/record=b2111676</v>
      </c>
      <c r="C3389" s="1" t="str">
        <f>HYPERLINK("https://www.catalog.slsa.sa.gov.au/xrecord=b2111676")</f>
        <v>https://www.catalog.slsa.sa.gov.au/xrecord=b2111676</v>
      </c>
      <c r="D3389" t="s">
        <v>66</v>
      </c>
      <c r="E3389" t="s">
        <v>11758</v>
      </c>
      <c r="F3389">
        <v>1962</v>
      </c>
      <c r="G3389" t="s">
        <v>121</v>
      </c>
      <c r="H3389" t="s">
        <v>11771</v>
      </c>
      <c r="I3389" t="s">
        <v>8327</v>
      </c>
      <c r="J3389" t="s">
        <v>71</v>
      </c>
      <c r="K3389" s="2" t="str">
        <f>HYPERLINK("http://collections.slsa.sa.gov.au/arthur/02500/BRG347_2279.htm")</f>
        <v>http://collections.slsa.sa.gov.au/arthur/02500/BRG347_2279.htm</v>
      </c>
    </row>
    <row r="3390" spans="1:11" x14ac:dyDescent="0.25">
      <c r="A3390" t="s">
        <v>11772</v>
      </c>
      <c r="B3390" s="1" t="str">
        <f>HYPERLINK("https://www.catalog.slsa.sa.gov.au/record=b2111677")</f>
        <v>https://www.catalog.slsa.sa.gov.au/record=b2111677</v>
      </c>
      <c r="C3390" s="1" t="str">
        <f>HYPERLINK("https://www.catalog.slsa.sa.gov.au/xrecord=b2111677")</f>
        <v>https://www.catalog.slsa.sa.gov.au/xrecord=b2111677</v>
      </c>
      <c r="D3390" t="s">
        <v>66</v>
      </c>
      <c r="E3390" t="s">
        <v>11758</v>
      </c>
      <c r="F3390">
        <v>1962</v>
      </c>
      <c r="G3390" t="s">
        <v>121</v>
      </c>
      <c r="H3390" t="s">
        <v>11773</v>
      </c>
      <c r="I3390" t="s">
        <v>8327</v>
      </c>
      <c r="J3390" t="s">
        <v>71</v>
      </c>
      <c r="K3390" s="2" t="str">
        <f>HYPERLINK("http://collections.slsa.sa.gov.au/arthur/02500/BRG347_2280.htm")</f>
        <v>http://collections.slsa.sa.gov.au/arthur/02500/BRG347_2280.htm</v>
      </c>
    </row>
    <row r="3391" spans="1:11" x14ac:dyDescent="0.25">
      <c r="A3391" t="s">
        <v>11774</v>
      </c>
      <c r="B3391" s="1" t="str">
        <f>HYPERLINK("https://www.catalog.slsa.sa.gov.au/record=b2111678")</f>
        <v>https://www.catalog.slsa.sa.gov.au/record=b2111678</v>
      </c>
      <c r="C3391" s="1" t="str">
        <f>HYPERLINK("https://www.catalog.slsa.sa.gov.au/xrecord=b2111678")</f>
        <v>https://www.catalog.slsa.sa.gov.au/xrecord=b2111678</v>
      </c>
      <c r="D3391" t="s">
        <v>66</v>
      </c>
      <c r="E3391" t="s">
        <v>11640</v>
      </c>
      <c r="F3391">
        <v>1962</v>
      </c>
      <c r="G3391" t="s">
        <v>121</v>
      </c>
      <c r="H3391" t="s">
        <v>11775</v>
      </c>
      <c r="I3391" t="s">
        <v>8145</v>
      </c>
      <c r="J3391" t="s">
        <v>71</v>
      </c>
      <c r="K3391" s="2" t="str">
        <f>HYPERLINK("http://collections.slsa.sa.gov.au/arthur/02500/BRG347_2281.htm")</f>
        <v>http://collections.slsa.sa.gov.au/arthur/02500/BRG347_2281.htm</v>
      </c>
    </row>
    <row r="3392" spans="1:11" x14ac:dyDescent="0.25">
      <c r="A3392" t="s">
        <v>11776</v>
      </c>
      <c r="B3392" s="1" t="str">
        <f>HYPERLINK("https://www.catalog.slsa.sa.gov.au/record=b2111679")</f>
        <v>https://www.catalog.slsa.sa.gov.au/record=b2111679</v>
      </c>
      <c r="C3392" s="1" t="str">
        <f>HYPERLINK("https://www.catalog.slsa.sa.gov.au/xrecord=b2111679")</f>
        <v>https://www.catalog.slsa.sa.gov.au/xrecord=b2111679</v>
      </c>
      <c r="D3392" t="s">
        <v>66</v>
      </c>
      <c r="E3392" t="s">
        <v>11640</v>
      </c>
      <c r="F3392">
        <v>1962</v>
      </c>
      <c r="G3392" t="s">
        <v>121</v>
      </c>
      <c r="H3392" t="s">
        <v>11777</v>
      </c>
      <c r="I3392" t="s">
        <v>8145</v>
      </c>
      <c r="J3392" t="s">
        <v>71</v>
      </c>
      <c r="K3392" s="2" t="str">
        <f>HYPERLINK("http://collections.slsa.sa.gov.au/arthur/02500/BRG347_2282.htm")</f>
        <v>http://collections.slsa.sa.gov.au/arthur/02500/BRG347_2282.htm</v>
      </c>
    </row>
    <row r="3393" spans="1:11" x14ac:dyDescent="0.25">
      <c r="A3393" t="s">
        <v>11778</v>
      </c>
      <c r="B3393" s="1" t="str">
        <f>HYPERLINK("https://www.catalog.slsa.sa.gov.au/record=b2111681")</f>
        <v>https://www.catalog.slsa.sa.gov.au/record=b2111681</v>
      </c>
      <c r="C3393" s="1" t="str">
        <f>HYPERLINK("https://www.catalog.slsa.sa.gov.au/xrecord=b2111681")</f>
        <v>https://www.catalog.slsa.sa.gov.au/xrecord=b2111681</v>
      </c>
      <c r="D3393" t="s">
        <v>66</v>
      </c>
      <c r="E3393" t="s">
        <v>11779</v>
      </c>
      <c r="F3393">
        <v>1962</v>
      </c>
      <c r="G3393" t="s">
        <v>121</v>
      </c>
      <c r="H3393" t="s">
        <v>11780</v>
      </c>
      <c r="I3393" t="s">
        <v>11781</v>
      </c>
      <c r="J3393" t="s">
        <v>71</v>
      </c>
      <c r="K3393" s="2" t="str">
        <f>HYPERLINK("http://collections.slsa.sa.gov.au/arthur/02500/BRG347_2284.htm")</f>
        <v>http://collections.slsa.sa.gov.au/arthur/02500/BRG347_2284.htm</v>
      </c>
    </row>
    <row r="3394" spans="1:11" x14ac:dyDescent="0.25">
      <c r="A3394" t="s">
        <v>11782</v>
      </c>
      <c r="B3394" s="1" t="str">
        <f>HYPERLINK("https://www.catalog.slsa.sa.gov.au/record=b2111719")</f>
        <v>https://www.catalog.slsa.sa.gov.au/record=b2111719</v>
      </c>
      <c r="C3394" s="1" t="str">
        <f>HYPERLINK("https://www.catalog.slsa.sa.gov.au/xrecord=b2111719")</f>
        <v>https://www.catalog.slsa.sa.gov.au/xrecord=b2111719</v>
      </c>
      <c r="D3394" t="s">
        <v>66</v>
      </c>
      <c r="E3394" t="s">
        <v>11783</v>
      </c>
      <c r="F3394">
        <v>1962</v>
      </c>
      <c r="G3394" t="s">
        <v>121</v>
      </c>
      <c r="H3394" t="s">
        <v>11784</v>
      </c>
      <c r="I3394" t="s">
        <v>11785</v>
      </c>
      <c r="J3394" t="s">
        <v>71</v>
      </c>
      <c r="K3394" s="2" t="str">
        <f>HYPERLINK("http://collections.slsa.sa.gov.au/arthur/02500/BRG347_2322.htm")</f>
        <v>http://collections.slsa.sa.gov.au/arthur/02500/BRG347_2322.htm</v>
      </c>
    </row>
    <row r="3395" spans="1:11" x14ac:dyDescent="0.25">
      <c r="A3395" t="s">
        <v>11786</v>
      </c>
      <c r="B3395" s="1" t="str">
        <f>HYPERLINK("https://www.catalog.slsa.sa.gov.au/record=b2111721")</f>
        <v>https://www.catalog.slsa.sa.gov.au/record=b2111721</v>
      </c>
      <c r="C3395" s="1" t="str">
        <f>HYPERLINK("https://www.catalog.slsa.sa.gov.au/xrecord=b2111721")</f>
        <v>https://www.catalog.slsa.sa.gov.au/xrecord=b2111721</v>
      </c>
      <c r="D3395" t="s">
        <v>66</v>
      </c>
      <c r="E3395" t="s">
        <v>11787</v>
      </c>
      <c r="F3395">
        <v>1962</v>
      </c>
      <c r="G3395" t="s">
        <v>121</v>
      </c>
      <c r="H3395" t="s">
        <v>11788</v>
      </c>
      <c r="I3395" t="s">
        <v>11789</v>
      </c>
      <c r="J3395" t="s">
        <v>71</v>
      </c>
      <c r="K3395" s="2" t="str">
        <f>HYPERLINK("http://collections.slsa.sa.gov.au/arthur/02500/BRG347_2323.htm")</f>
        <v>http://collections.slsa.sa.gov.au/arthur/02500/BRG347_2323.htm</v>
      </c>
    </row>
    <row r="3396" spans="1:11" x14ac:dyDescent="0.25">
      <c r="A3396" t="s">
        <v>11790</v>
      </c>
      <c r="B3396" s="1" t="str">
        <f>HYPERLINK("https://www.catalog.slsa.sa.gov.au/record=b2111724")</f>
        <v>https://www.catalog.slsa.sa.gov.au/record=b2111724</v>
      </c>
      <c r="C3396" s="1" t="str">
        <f>HYPERLINK("https://www.catalog.slsa.sa.gov.au/xrecord=b2111724")</f>
        <v>https://www.catalog.slsa.sa.gov.au/xrecord=b2111724</v>
      </c>
      <c r="D3396" t="s">
        <v>66</v>
      </c>
      <c r="E3396" t="s">
        <v>11791</v>
      </c>
      <c r="F3396">
        <v>1962</v>
      </c>
      <c r="G3396" t="s">
        <v>121</v>
      </c>
      <c r="H3396" t="s">
        <v>11792</v>
      </c>
      <c r="I3396" t="s">
        <v>10986</v>
      </c>
      <c r="J3396" t="s">
        <v>71</v>
      </c>
      <c r="K3396" s="2" t="str">
        <f>HYPERLINK("http://collections.slsa.sa.gov.au/arthur/02500/BRG347_2325.htm")</f>
        <v>http://collections.slsa.sa.gov.au/arthur/02500/BRG347_2325.htm</v>
      </c>
    </row>
    <row r="3397" spans="1:11" x14ac:dyDescent="0.25">
      <c r="A3397" t="s">
        <v>11793</v>
      </c>
      <c r="B3397" s="1" t="str">
        <f>HYPERLINK("https://www.catalog.slsa.sa.gov.au/record=b2111728")</f>
        <v>https://www.catalog.slsa.sa.gov.au/record=b2111728</v>
      </c>
      <c r="C3397" s="1" t="str">
        <f>HYPERLINK("https://www.catalog.slsa.sa.gov.au/xrecord=b2111728")</f>
        <v>https://www.catalog.slsa.sa.gov.au/xrecord=b2111728</v>
      </c>
      <c r="D3397" t="s">
        <v>66</v>
      </c>
      <c r="E3397" t="s">
        <v>11794</v>
      </c>
      <c r="F3397">
        <v>1962</v>
      </c>
      <c r="G3397" t="s">
        <v>121</v>
      </c>
      <c r="H3397" t="s">
        <v>11795</v>
      </c>
      <c r="I3397" t="s">
        <v>11796</v>
      </c>
      <c r="J3397" t="s">
        <v>71</v>
      </c>
      <c r="K3397" s="2" t="str">
        <f>HYPERLINK("http://collections.slsa.sa.gov.au/arthur/02500/BRG347_2327.htm")</f>
        <v>http://collections.slsa.sa.gov.au/arthur/02500/BRG347_2327.htm</v>
      </c>
    </row>
    <row r="3398" spans="1:11" x14ac:dyDescent="0.25">
      <c r="A3398" t="s">
        <v>11797</v>
      </c>
      <c r="B3398" s="1" t="str">
        <f>HYPERLINK("https://www.catalog.slsa.sa.gov.au/record=b2111729")</f>
        <v>https://www.catalog.slsa.sa.gov.au/record=b2111729</v>
      </c>
      <c r="C3398" s="1" t="str">
        <f>HYPERLINK("https://www.catalog.slsa.sa.gov.au/xrecord=b2111729")</f>
        <v>https://www.catalog.slsa.sa.gov.au/xrecord=b2111729</v>
      </c>
      <c r="D3398" t="s">
        <v>66</v>
      </c>
      <c r="E3398" t="s">
        <v>11794</v>
      </c>
      <c r="F3398">
        <v>1962</v>
      </c>
      <c r="G3398" t="s">
        <v>121</v>
      </c>
      <c r="H3398" t="s">
        <v>11795</v>
      </c>
      <c r="I3398" t="s">
        <v>11796</v>
      </c>
      <c r="J3398" t="s">
        <v>71</v>
      </c>
      <c r="K3398" s="2" t="str">
        <f>HYPERLINK("http://collections.slsa.sa.gov.au/arthur/02500/BRG347_2328.htm")</f>
        <v>http://collections.slsa.sa.gov.au/arthur/02500/BRG347_2328.htm</v>
      </c>
    </row>
    <row r="3399" spans="1:11" x14ac:dyDescent="0.25">
      <c r="A3399" t="s">
        <v>11798</v>
      </c>
      <c r="B3399" s="1" t="str">
        <f>HYPERLINK("https://www.catalog.slsa.sa.gov.au/record=b2111731")</f>
        <v>https://www.catalog.slsa.sa.gov.au/record=b2111731</v>
      </c>
      <c r="C3399" s="1" t="str">
        <f>HYPERLINK("https://www.catalog.slsa.sa.gov.au/xrecord=b2111731")</f>
        <v>https://www.catalog.slsa.sa.gov.au/xrecord=b2111731</v>
      </c>
      <c r="D3399" t="s">
        <v>66</v>
      </c>
      <c r="E3399" t="s">
        <v>11794</v>
      </c>
      <c r="F3399">
        <v>1962</v>
      </c>
      <c r="G3399" t="s">
        <v>121</v>
      </c>
      <c r="H3399" t="s">
        <v>11799</v>
      </c>
      <c r="I3399" t="s">
        <v>11800</v>
      </c>
      <c r="J3399" t="s">
        <v>71</v>
      </c>
      <c r="K3399" s="2" t="str">
        <f>HYPERLINK("http://collections.slsa.sa.gov.au/arthur/02500/BRG347_2330.htm")</f>
        <v>http://collections.slsa.sa.gov.au/arthur/02500/BRG347_2330.htm</v>
      </c>
    </row>
    <row r="3400" spans="1:11" x14ac:dyDescent="0.25">
      <c r="A3400" t="s">
        <v>11801</v>
      </c>
      <c r="B3400" s="1" t="str">
        <f>HYPERLINK("https://www.catalog.slsa.sa.gov.au/record=b2111732")</f>
        <v>https://www.catalog.slsa.sa.gov.au/record=b2111732</v>
      </c>
      <c r="C3400" s="1" t="str">
        <f>HYPERLINK("https://www.catalog.slsa.sa.gov.au/xrecord=b2111732")</f>
        <v>https://www.catalog.slsa.sa.gov.au/xrecord=b2111732</v>
      </c>
      <c r="D3400" t="s">
        <v>66</v>
      </c>
      <c r="E3400" t="s">
        <v>11101</v>
      </c>
      <c r="F3400">
        <v>1962</v>
      </c>
      <c r="G3400" t="s">
        <v>121</v>
      </c>
      <c r="H3400" t="s">
        <v>11802</v>
      </c>
      <c r="I3400" t="s">
        <v>10986</v>
      </c>
      <c r="J3400" t="s">
        <v>71</v>
      </c>
      <c r="K3400" s="2" t="str">
        <f>HYPERLINK("http://collections.slsa.sa.gov.au/arthur/02500/BRG347_2331.htm")</f>
        <v>http://collections.slsa.sa.gov.au/arthur/02500/BRG347_2331.htm</v>
      </c>
    </row>
    <row r="3401" spans="1:11" x14ac:dyDescent="0.25">
      <c r="A3401" t="s">
        <v>11803</v>
      </c>
      <c r="B3401" s="1" t="str">
        <f>HYPERLINK("https://www.catalog.slsa.sa.gov.au/record=b2111735")</f>
        <v>https://www.catalog.slsa.sa.gov.au/record=b2111735</v>
      </c>
      <c r="C3401" s="1" t="str">
        <f>HYPERLINK("https://www.catalog.slsa.sa.gov.au/xrecord=b2111735")</f>
        <v>https://www.catalog.slsa.sa.gov.au/xrecord=b2111735</v>
      </c>
      <c r="D3401" t="s">
        <v>66</v>
      </c>
      <c r="E3401" t="s">
        <v>11804</v>
      </c>
      <c r="F3401">
        <v>1962</v>
      </c>
      <c r="G3401" t="s">
        <v>121</v>
      </c>
      <c r="H3401" t="s">
        <v>11805</v>
      </c>
      <c r="I3401" t="s">
        <v>11806</v>
      </c>
      <c r="J3401" t="s">
        <v>71</v>
      </c>
      <c r="K3401" s="2" t="str">
        <f>HYPERLINK("http://collections.slsa.sa.gov.au/arthur/02500/BRG347_2333.htm")</f>
        <v>http://collections.slsa.sa.gov.au/arthur/02500/BRG347_2333.htm</v>
      </c>
    </row>
    <row r="3402" spans="1:11" x14ac:dyDescent="0.25">
      <c r="A3402" t="s">
        <v>11807</v>
      </c>
      <c r="B3402" s="1" t="str">
        <f>HYPERLINK("https://www.catalog.slsa.sa.gov.au/record=b2111736")</f>
        <v>https://www.catalog.slsa.sa.gov.au/record=b2111736</v>
      </c>
      <c r="C3402" s="1" t="str">
        <f>HYPERLINK("https://www.catalog.slsa.sa.gov.au/xrecord=b2111736")</f>
        <v>https://www.catalog.slsa.sa.gov.au/xrecord=b2111736</v>
      </c>
      <c r="D3402" t="s">
        <v>66</v>
      </c>
      <c r="E3402" t="s">
        <v>11808</v>
      </c>
      <c r="F3402">
        <v>1962</v>
      </c>
      <c r="G3402" t="s">
        <v>121</v>
      </c>
      <c r="H3402" t="s">
        <v>11809</v>
      </c>
      <c r="I3402" t="s">
        <v>11810</v>
      </c>
      <c r="J3402" t="s">
        <v>71</v>
      </c>
      <c r="K3402" s="2" t="str">
        <f>HYPERLINK("http://collections.slsa.sa.gov.au/arthur/02500/BRG347_2334.htm")</f>
        <v>http://collections.slsa.sa.gov.au/arthur/02500/BRG347_2334.htm</v>
      </c>
    </row>
    <row r="3403" spans="1:11" x14ac:dyDescent="0.25">
      <c r="A3403" t="s">
        <v>11811</v>
      </c>
      <c r="B3403" s="1" t="str">
        <f>HYPERLINK("https://www.catalog.slsa.sa.gov.au/record=b2111737")</f>
        <v>https://www.catalog.slsa.sa.gov.au/record=b2111737</v>
      </c>
      <c r="C3403" s="1" t="str">
        <f>HYPERLINK("https://www.catalog.slsa.sa.gov.au/xrecord=b2111737")</f>
        <v>https://www.catalog.slsa.sa.gov.au/xrecord=b2111737</v>
      </c>
      <c r="D3403" t="s">
        <v>66</v>
      </c>
      <c r="E3403" t="s">
        <v>11812</v>
      </c>
      <c r="F3403">
        <v>1962</v>
      </c>
      <c r="G3403" t="s">
        <v>121</v>
      </c>
      <c r="H3403" t="s">
        <v>11813</v>
      </c>
      <c r="I3403" t="s">
        <v>11814</v>
      </c>
      <c r="J3403" t="s">
        <v>71</v>
      </c>
      <c r="K3403" s="2" t="str">
        <f>HYPERLINK("http://collections.slsa.sa.gov.au/arthur/02500/BRG347_2335.htm")</f>
        <v>http://collections.slsa.sa.gov.au/arthur/02500/BRG347_2335.htm</v>
      </c>
    </row>
    <row r="3404" spans="1:11" x14ac:dyDescent="0.25">
      <c r="A3404" t="s">
        <v>11815</v>
      </c>
      <c r="B3404" s="1" t="str">
        <f>HYPERLINK("https://www.catalog.slsa.sa.gov.au/record=b2111738")</f>
        <v>https://www.catalog.slsa.sa.gov.au/record=b2111738</v>
      </c>
      <c r="C3404" s="1" t="str">
        <f>HYPERLINK("https://www.catalog.slsa.sa.gov.au/xrecord=b2111738")</f>
        <v>https://www.catalog.slsa.sa.gov.au/xrecord=b2111738</v>
      </c>
      <c r="D3404" t="s">
        <v>66</v>
      </c>
      <c r="E3404" t="s">
        <v>11816</v>
      </c>
      <c r="F3404">
        <v>1962</v>
      </c>
      <c r="G3404" t="s">
        <v>121</v>
      </c>
      <c r="H3404" t="s">
        <v>11817</v>
      </c>
      <c r="I3404" t="s">
        <v>8690</v>
      </c>
      <c r="J3404" t="s">
        <v>71</v>
      </c>
      <c r="K3404" s="2" t="str">
        <f>HYPERLINK("http://collections.slsa.sa.gov.au/arthur/02500/BRG347_2336.htm")</f>
        <v>http://collections.slsa.sa.gov.au/arthur/02500/BRG347_2336.htm</v>
      </c>
    </row>
    <row r="3405" spans="1:11" x14ac:dyDescent="0.25">
      <c r="A3405" t="s">
        <v>11818</v>
      </c>
      <c r="B3405" s="1" t="str">
        <f>HYPERLINK("https://www.catalog.slsa.sa.gov.au/record=b2111840")</f>
        <v>https://www.catalog.slsa.sa.gov.au/record=b2111840</v>
      </c>
      <c r="C3405" s="1" t="str">
        <f>HYPERLINK("https://www.catalog.slsa.sa.gov.au/xrecord=b2111840")</f>
        <v>https://www.catalog.slsa.sa.gov.au/xrecord=b2111840</v>
      </c>
      <c r="D3405" t="s">
        <v>66</v>
      </c>
      <c r="E3405" t="s">
        <v>11819</v>
      </c>
      <c r="F3405">
        <v>1962</v>
      </c>
      <c r="G3405" t="s">
        <v>121</v>
      </c>
      <c r="H3405" t="s">
        <v>11820</v>
      </c>
      <c r="I3405" t="s">
        <v>11821</v>
      </c>
      <c r="J3405" t="s">
        <v>71</v>
      </c>
      <c r="K3405" s="2" t="str">
        <f>HYPERLINK("http://collections.slsa.sa.gov.au/arthur/02500/BRG347_2337.htm")</f>
        <v>http://collections.slsa.sa.gov.au/arthur/02500/BRG347_2337.htm</v>
      </c>
    </row>
    <row r="3406" spans="1:11" x14ac:dyDescent="0.25">
      <c r="A3406" t="s">
        <v>11822</v>
      </c>
      <c r="B3406" s="1" t="str">
        <f>HYPERLINK("https://www.catalog.slsa.sa.gov.au/record=b2111841")</f>
        <v>https://www.catalog.slsa.sa.gov.au/record=b2111841</v>
      </c>
      <c r="C3406" s="1" t="str">
        <f>HYPERLINK("https://www.catalog.slsa.sa.gov.au/xrecord=b2111841")</f>
        <v>https://www.catalog.slsa.sa.gov.au/xrecord=b2111841</v>
      </c>
      <c r="D3406" t="s">
        <v>66</v>
      </c>
      <c r="E3406" t="s">
        <v>11823</v>
      </c>
      <c r="F3406">
        <v>1962</v>
      </c>
      <c r="G3406" t="s">
        <v>121</v>
      </c>
      <c r="H3406" t="s">
        <v>11824</v>
      </c>
      <c r="I3406" t="s">
        <v>11789</v>
      </c>
      <c r="J3406" t="s">
        <v>71</v>
      </c>
      <c r="K3406" s="2" t="str">
        <f>HYPERLINK("http://collections.slsa.sa.gov.au/arthur/02500/BRG347_2338.htm")</f>
        <v>http://collections.slsa.sa.gov.au/arthur/02500/BRG347_2338.htm</v>
      </c>
    </row>
    <row r="3407" spans="1:11" x14ac:dyDescent="0.25">
      <c r="A3407" t="s">
        <v>11825</v>
      </c>
      <c r="B3407" s="1" t="str">
        <f>HYPERLINK("https://www.catalog.slsa.sa.gov.au/record=b2111842")</f>
        <v>https://www.catalog.slsa.sa.gov.au/record=b2111842</v>
      </c>
      <c r="C3407" s="1" t="str">
        <f>HYPERLINK("https://www.catalog.slsa.sa.gov.au/xrecord=b2111842")</f>
        <v>https://www.catalog.slsa.sa.gov.au/xrecord=b2111842</v>
      </c>
      <c r="D3407" t="s">
        <v>66</v>
      </c>
      <c r="E3407" t="s">
        <v>11791</v>
      </c>
      <c r="F3407">
        <v>1962</v>
      </c>
      <c r="G3407" t="s">
        <v>121</v>
      </c>
      <c r="H3407" t="s">
        <v>11826</v>
      </c>
      <c r="I3407" t="s">
        <v>10986</v>
      </c>
      <c r="J3407" t="s">
        <v>71</v>
      </c>
      <c r="K3407" s="2" t="str">
        <f>HYPERLINK("http://collections.slsa.sa.gov.au/arthur/02500/BRG347_2339.htm")</f>
        <v>http://collections.slsa.sa.gov.au/arthur/02500/BRG347_2339.htm</v>
      </c>
    </row>
    <row r="3408" spans="1:11" x14ac:dyDescent="0.25">
      <c r="A3408" t="s">
        <v>11827</v>
      </c>
      <c r="B3408" s="1" t="str">
        <f>HYPERLINK("https://www.catalog.slsa.sa.gov.au/record=b2112233")</f>
        <v>https://www.catalog.slsa.sa.gov.au/record=b2112233</v>
      </c>
      <c r="C3408" s="1" t="str">
        <f>HYPERLINK("https://www.catalog.slsa.sa.gov.au/xrecord=b2112233")</f>
        <v>https://www.catalog.slsa.sa.gov.au/xrecord=b2112233</v>
      </c>
      <c r="D3408" t="s">
        <v>66</v>
      </c>
      <c r="E3408" t="s">
        <v>11828</v>
      </c>
      <c r="F3408">
        <v>1962</v>
      </c>
      <c r="G3408" t="s">
        <v>121</v>
      </c>
      <c r="H3408" t="s">
        <v>11829</v>
      </c>
      <c r="I3408" t="s">
        <v>11830</v>
      </c>
      <c r="J3408" t="s">
        <v>71</v>
      </c>
      <c r="K3408" s="2" t="str">
        <f>HYPERLINK("http://collections.slsa.sa.gov.au/arthur/02750/BRG347_2666.htm")</f>
        <v>http://collections.slsa.sa.gov.au/arthur/02750/BRG347_2666.htm</v>
      </c>
    </row>
    <row r="3409" spans="1:11" x14ac:dyDescent="0.25">
      <c r="A3409" t="s">
        <v>11831</v>
      </c>
      <c r="B3409" s="1" t="str">
        <f>HYPERLINK("https://www.catalog.slsa.sa.gov.au/record=b2112234")</f>
        <v>https://www.catalog.slsa.sa.gov.au/record=b2112234</v>
      </c>
      <c r="C3409" s="1" t="str">
        <f>HYPERLINK("https://www.catalog.slsa.sa.gov.au/xrecord=b2112234")</f>
        <v>https://www.catalog.slsa.sa.gov.au/xrecord=b2112234</v>
      </c>
      <c r="D3409" t="s">
        <v>66</v>
      </c>
      <c r="E3409" t="s">
        <v>11832</v>
      </c>
      <c r="F3409">
        <v>1962</v>
      </c>
      <c r="G3409" t="s">
        <v>121</v>
      </c>
      <c r="H3409" t="s">
        <v>11833</v>
      </c>
      <c r="I3409" t="s">
        <v>11834</v>
      </c>
      <c r="J3409" t="s">
        <v>71</v>
      </c>
      <c r="K3409" s="2" t="str">
        <f>HYPERLINK("http://collections.slsa.sa.gov.au/arthur/02750/BRG347_2667.htm")</f>
        <v>http://collections.slsa.sa.gov.au/arthur/02750/BRG347_2667.htm</v>
      </c>
    </row>
    <row r="3410" spans="1:11" x14ac:dyDescent="0.25">
      <c r="A3410" t="s">
        <v>11835</v>
      </c>
      <c r="B3410" s="1" t="str">
        <f>HYPERLINK("https://www.catalog.slsa.sa.gov.au/record=b2112235")</f>
        <v>https://www.catalog.slsa.sa.gov.au/record=b2112235</v>
      </c>
      <c r="C3410" s="1" t="str">
        <f>HYPERLINK("https://www.catalog.slsa.sa.gov.au/xrecord=b2112235")</f>
        <v>https://www.catalog.slsa.sa.gov.au/xrecord=b2112235</v>
      </c>
      <c r="D3410" t="s">
        <v>66</v>
      </c>
      <c r="E3410" t="s">
        <v>11832</v>
      </c>
      <c r="F3410">
        <v>1962</v>
      </c>
      <c r="G3410" t="s">
        <v>121</v>
      </c>
      <c r="H3410" t="s">
        <v>11836</v>
      </c>
      <c r="I3410" t="s">
        <v>11834</v>
      </c>
      <c r="J3410" t="s">
        <v>71</v>
      </c>
      <c r="K3410" s="2" t="str">
        <f>HYPERLINK("http://collections.slsa.sa.gov.au/arthur/02750/BRG347_2668.htm")</f>
        <v>http://collections.slsa.sa.gov.au/arthur/02750/BRG347_2668.htm</v>
      </c>
    </row>
    <row r="3411" spans="1:11" x14ac:dyDescent="0.25">
      <c r="A3411" t="s">
        <v>11837</v>
      </c>
      <c r="B3411" s="1" t="str">
        <f>HYPERLINK("https://www.catalog.slsa.sa.gov.au/record=b2112238")</f>
        <v>https://www.catalog.slsa.sa.gov.au/record=b2112238</v>
      </c>
      <c r="C3411" s="1" t="str">
        <f>HYPERLINK("https://www.catalog.slsa.sa.gov.au/xrecord=b2112238")</f>
        <v>https://www.catalog.slsa.sa.gov.au/xrecord=b2112238</v>
      </c>
      <c r="D3411" t="s">
        <v>66</v>
      </c>
      <c r="E3411" t="s">
        <v>8547</v>
      </c>
      <c r="F3411">
        <v>1962</v>
      </c>
      <c r="G3411" t="s">
        <v>121</v>
      </c>
      <c r="H3411" t="s">
        <v>11838</v>
      </c>
      <c r="I3411" t="s">
        <v>11583</v>
      </c>
      <c r="J3411" t="s">
        <v>71</v>
      </c>
      <c r="K3411" s="2" t="str">
        <f>HYPERLINK("http://collections.slsa.sa.gov.au/arthur/02750/BRG347_2671.htm")</f>
        <v>http://collections.slsa.sa.gov.au/arthur/02750/BRG347_2671.htm</v>
      </c>
    </row>
    <row r="3412" spans="1:11" x14ac:dyDescent="0.25">
      <c r="A3412" t="s">
        <v>11839</v>
      </c>
      <c r="B3412" s="1" t="str">
        <f>HYPERLINK("https://www.catalog.slsa.sa.gov.au/record=b2118028")</f>
        <v>https://www.catalog.slsa.sa.gov.au/record=b2118028</v>
      </c>
      <c r="C3412" s="1" t="str">
        <f>HYPERLINK("https://www.catalog.slsa.sa.gov.au/xrecord=b2118028")</f>
        <v>https://www.catalog.slsa.sa.gov.au/xrecord=b2118028</v>
      </c>
      <c r="D3412" t="s">
        <v>66</v>
      </c>
      <c r="E3412" t="s">
        <v>11840</v>
      </c>
      <c r="F3412">
        <v>1962</v>
      </c>
      <c r="G3412" t="s">
        <v>121</v>
      </c>
      <c r="H3412" t="s">
        <v>11841</v>
      </c>
      <c r="I3412" t="s">
        <v>11842</v>
      </c>
      <c r="J3412" t="s">
        <v>71</v>
      </c>
      <c r="K3412" s="2" t="str">
        <f>HYPERLINK("http://collections.slsa.sa.gov.au/arthur/02750/BRG347_2672.htm")</f>
        <v>http://collections.slsa.sa.gov.au/arthur/02750/BRG347_2672.htm</v>
      </c>
    </row>
    <row r="3413" spans="1:11" x14ac:dyDescent="0.25">
      <c r="A3413" t="s">
        <v>11843</v>
      </c>
      <c r="B3413" s="1" t="str">
        <f>HYPERLINK("https://www.catalog.slsa.sa.gov.au/record=b2112539")</f>
        <v>https://www.catalog.slsa.sa.gov.au/record=b2112539</v>
      </c>
      <c r="C3413" s="1" t="str">
        <f>HYPERLINK("https://www.catalog.slsa.sa.gov.au/xrecord=b2112539")</f>
        <v>https://www.catalog.slsa.sa.gov.au/xrecord=b2112539</v>
      </c>
      <c r="D3413" t="s">
        <v>66</v>
      </c>
      <c r="E3413" t="s">
        <v>11844</v>
      </c>
      <c r="F3413">
        <v>1962</v>
      </c>
      <c r="G3413" t="s">
        <v>121</v>
      </c>
      <c r="H3413" t="s">
        <v>11845</v>
      </c>
      <c r="I3413" t="s">
        <v>11846</v>
      </c>
      <c r="J3413" t="s">
        <v>71</v>
      </c>
      <c r="K3413" s="2" t="str">
        <f>HYPERLINK("http://collections.slsa.sa.gov.au/arthur/03000/BRG347_2807.htm")</f>
        <v>http://collections.slsa.sa.gov.au/arthur/03000/BRG347_2807.htm</v>
      </c>
    </row>
    <row r="3414" spans="1:11" x14ac:dyDescent="0.25">
      <c r="A3414" t="s">
        <v>11847</v>
      </c>
      <c r="B3414" s="1" t="str">
        <f>HYPERLINK("https://www.catalog.slsa.sa.gov.au/record=b2112540")</f>
        <v>https://www.catalog.slsa.sa.gov.au/record=b2112540</v>
      </c>
      <c r="C3414" s="1" t="str">
        <f>HYPERLINK("https://www.catalog.slsa.sa.gov.au/xrecord=b2112540")</f>
        <v>https://www.catalog.slsa.sa.gov.au/xrecord=b2112540</v>
      </c>
      <c r="D3414" t="s">
        <v>66</v>
      </c>
      <c r="E3414" t="s">
        <v>11454</v>
      </c>
      <c r="F3414">
        <v>1962</v>
      </c>
      <c r="G3414" t="s">
        <v>121</v>
      </c>
      <c r="H3414" t="s">
        <v>11848</v>
      </c>
      <c r="I3414" t="s">
        <v>11456</v>
      </c>
      <c r="J3414" t="s">
        <v>71</v>
      </c>
      <c r="K3414" s="2" t="str">
        <f>HYPERLINK("http://collections.slsa.sa.gov.au/arthur/03000/BRG347_2808.htm")</f>
        <v>http://collections.slsa.sa.gov.au/arthur/03000/BRG347_2808.htm</v>
      </c>
    </row>
    <row r="3415" spans="1:11" x14ac:dyDescent="0.25">
      <c r="A3415" t="s">
        <v>11849</v>
      </c>
      <c r="B3415" s="1" t="str">
        <f>HYPERLINK("https://www.catalog.slsa.sa.gov.au/record=b2112542")</f>
        <v>https://www.catalog.slsa.sa.gov.au/record=b2112542</v>
      </c>
      <c r="C3415" s="1" t="str">
        <f>HYPERLINK("https://www.catalog.slsa.sa.gov.au/xrecord=b2112542")</f>
        <v>https://www.catalog.slsa.sa.gov.au/xrecord=b2112542</v>
      </c>
      <c r="D3415" t="s">
        <v>66</v>
      </c>
      <c r="E3415" t="s">
        <v>11850</v>
      </c>
      <c r="F3415">
        <v>1962</v>
      </c>
      <c r="G3415" t="s">
        <v>121</v>
      </c>
      <c r="H3415" t="s">
        <v>11851</v>
      </c>
      <c r="I3415" t="s">
        <v>11852</v>
      </c>
      <c r="J3415" t="s">
        <v>71</v>
      </c>
      <c r="K3415" s="2" t="str">
        <f>HYPERLINK("http://collections.slsa.sa.gov.au/arthur/03000/BRG347_2810.htm")</f>
        <v>http://collections.slsa.sa.gov.au/arthur/03000/BRG347_2810.htm</v>
      </c>
    </row>
    <row r="3416" spans="1:11" x14ac:dyDescent="0.25">
      <c r="A3416" t="s">
        <v>11853</v>
      </c>
      <c r="B3416" s="1" t="str">
        <f>HYPERLINK("https://www.catalog.slsa.sa.gov.au/record=b2112543")</f>
        <v>https://www.catalog.slsa.sa.gov.au/record=b2112543</v>
      </c>
      <c r="C3416" s="1" t="str">
        <f>HYPERLINK("https://www.catalog.slsa.sa.gov.au/xrecord=b2112543")</f>
        <v>https://www.catalog.slsa.sa.gov.au/xrecord=b2112543</v>
      </c>
      <c r="D3416" t="s">
        <v>66</v>
      </c>
      <c r="E3416" t="s">
        <v>11854</v>
      </c>
      <c r="F3416">
        <v>1962</v>
      </c>
      <c r="G3416" t="s">
        <v>121</v>
      </c>
      <c r="H3416" t="s">
        <v>11855</v>
      </c>
      <c r="I3416" t="s">
        <v>11856</v>
      </c>
      <c r="J3416" t="s">
        <v>71</v>
      </c>
      <c r="K3416" s="2" t="str">
        <f>HYPERLINK("http://collections.slsa.sa.gov.au/arthur/03000/BRG347_2811.htm")</f>
        <v>http://collections.slsa.sa.gov.au/arthur/03000/BRG347_2811.htm</v>
      </c>
    </row>
    <row r="3417" spans="1:11" x14ac:dyDescent="0.25">
      <c r="A3417" t="s">
        <v>11857</v>
      </c>
      <c r="B3417" s="1" t="str">
        <f>HYPERLINK("https://www.catalog.slsa.sa.gov.au/record=b2112544")</f>
        <v>https://www.catalog.slsa.sa.gov.au/record=b2112544</v>
      </c>
      <c r="C3417" s="1" t="str">
        <f>HYPERLINK("https://www.catalog.slsa.sa.gov.au/xrecord=b2112544")</f>
        <v>https://www.catalog.slsa.sa.gov.au/xrecord=b2112544</v>
      </c>
      <c r="D3417" t="s">
        <v>66</v>
      </c>
      <c r="E3417" t="s">
        <v>11858</v>
      </c>
      <c r="F3417">
        <v>1962</v>
      </c>
      <c r="G3417" t="s">
        <v>121</v>
      </c>
      <c r="H3417" t="s">
        <v>11859</v>
      </c>
      <c r="I3417" t="s">
        <v>11860</v>
      </c>
      <c r="J3417" t="s">
        <v>71</v>
      </c>
      <c r="K3417" s="2" t="str">
        <f>HYPERLINK("http://collections.slsa.sa.gov.au/arthur/03000/BRG347_2812.htm")</f>
        <v>http://collections.slsa.sa.gov.au/arthur/03000/BRG347_2812.htm</v>
      </c>
    </row>
    <row r="3418" spans="1:11" x14ac:dyDescent="0.25">
      <c r="A3418" t="s">
        <v>11861</v>
      </c>
      <c r="B3418" s="1" t="str">
        <f>HYPERLINK("https://www.catalog.slsa.sa.gov.au/record=b2112545")</f>
        <v>https://www.catalog.slsa.sa.gov.au/record=b2112545</v>
      </c>
      <c r="C3418" s="1" t="str">
        <f>HYPERLINK("https://www.catalog.slsa.sa.gov.au/xrecord=b2112545")</f>
        <v>https://www.catalog.slsa.sa.gov.au/xrecord=b2112545</v>
      </c>
      <c r="D3418" t="s">
        <v>66</v>
      </c>
      <c r="E3418" t="s">
        <v>11862</v>
      </c>
      <c r="F3418">
        <v>1962</v>
      </c>
      <c r="G3418" t="s">
        <v>121</v>
      </c>
      <c r="H3418" t="s">
        <v>11863</v>
      </c>
      <c r="I3418" t="s">
        <v>11864</v>
      </c>
      <c r="J3418" t="s">
        <v>71</v>
      </c>
      <c r="K3418" s="2" t="str">
        <f>HYPERLINK("http://collections.slsa.sa.gov.au/arthur/03000/BRG347_2813.htm")</f>
        <v>http://collections.slsa.sa.gov.au/arthur/03000/BRG347_2813.htm</v>
      </c>
    </row>
    <row r="3419" spans="1:11" x14ac:dyDescent="0.25">
      <c r="A3419" t="s">
        <v>11865</v>
      </c>
      <c r="B3419" s="1" t="str">
        <f>HYPERLINK("https://www.catalog.slsa.sa.gov.au/record=b2112546")</f>
        <v>https://www.catalog.slsa.sa.gov.au/record=b2112546</v>
      </c>
      <c r="C3419" s="1" t="str">
        <f>HYPERLINK("https://www.catalog.slsa.sa.gov.au/xrecord=b2112546")</f>
        <v>https://www.catalog.slsa.sa.gov.au/xrecord=b2112546</v>
      </c>
      <c r="D3419" t="s">
        <v>66</v>
      </c>
      <c r="E3419" t="s">
        <v>11866</v>
      </c>
      <c r="F3419">
        <v>1962</v>
      </c>
      <c r="G3419" t="s">
        <v>121</v>
      </c>
      <c r="H3419" t="s">
        <v>11867</v>
      </c>
      <c r="I3419" t="s">
        <v>11868</v>
      </c>
      <c r="J3419" t="s">
        <v>71</v>
      </c>
      <c r="K3419" s="2" t="str">
        <f>HYPERLINK("http://collections.slsa.sa.gov.au/arthur/03000/BRG347_2814.htm")</f>
        <v>http://collections.slsa.sa.gov.au/arthur/03000/BRG347_2814.htm</v>
      </c>
    </row>
    <row r="3420" spans="1:11" x14ac:dyDescent="0.25">
      <c r="A3420" t="s">
        <v>11869</v>
      </c>
      <c r="B3420" s="1" t="str">
        <f>HYPERLINK("https://www.catalog.slsa.sa.gov.au/record=b2112547")</f>
        <v>https://www.catalog.slsa.sa.gov.au/record=b2112547</v>
      </c>
      <c r="C3420" s="1" t="str">
        <f>HYPERLINK("https://www.catalog.slsa.sa.gov.au/xrecord=b2112547")</f>
        <v>https://www.catalog.slsa.sa.gov.au/xrecord=b2112547</v>
      </c>
      <c r="D3420" t="s">
        <v>66</v>
      </c>
      <c r="E3420" t="s">
        <v>11870</v>
      </c>
      <c r="F3420">
        <v>1962</v>
      </c>
      <c r="G3420" t="s">
        <v>121</v>
      </c>
      <c r="H3420" t="s">
        <v>11871</v>
      </c>
      <c r="I3420" t="s">
        <v>11872</v>
      </c>
      <c r="J3420" t="s">
        <v>71</v>
      </c>
      <c r="K3420" s="2" t="str">
        <f>HYPERLINK("http://collections.slsa.sa.gov.au/arthur/03000/BRG347_2815.htm")</f>
        <v>http://collections.slsa.sa.gov.au/arthur/03000/BRG347_2815.htm</v>
      </c>
    </row>
    <row r="3421" spans="1:11" x14ac:dyDescent="0.25">
      <c r="A3421" t="s">
        <v>11873</v>
      </c>
      <c r="B3421" s="1" t="str">
        <f>HYPERLINK("https://www.catalog.slsa.sa.gov.au/record=b2112548")</f>
        <v>https://www.catalog.slsa.sa.gov.au/record=b2112548</v>
      </c>
      <c r="C3421" s="1" t="str">
        <f>HYPERLINK("https://www.catalog.slsa.sa.gov.au/xrecord=b2112548")</f>
        <v>https://www.catalog.slsa.sa.gov.au/xrecord=b2112548</v>
      </c>
      <c r="D3421" t="s">
        <v>66</v>
      </c>
      <c r="E3421" t="s">
        <v>11870</v>
      </c>
      <c r="F3421">
        <v>1962</v>
      </c>
      <c r="G3421" t="s">
        <v>121</v>
      </c>
      <c r="H3421" t="s">
        <v>11874</v>
      </c>
      <c r="I3421" t="s">
        <v>11872</v>
      </c>
      <c r="J3421" t="s">
        <v>71</v>
      </c>
      <c r="K3421" s="2" t="str">
        <f>HYPERLINK("http://collections.slsa.sa.gov.au/arthur/03000/BRG347_2816.htm")</f>
        <v>http://collections.slsa.sa.gov.au/arthur/03000/BRG347_2816.htm</v>
      </c>
    </row>
    <row r="3422" spans="1:11" x14ac:dyDescent="0.25">
      <c r="A3422" t="s">
        <v>11875</v>
      </c>
      <c r="B3422" s="1" t="str">
        <f>HYPERLINK("https://www.catalog.slsa.sa.gov.au/record=b2112549")</f>
        <v>https://www.catalog.slsa.sa.gov.au/record=b2112549</v>
      </c>
      <c r="C3422" s="1" t="str">
        <f>HYPERLINK("https://www.catalog.slsa.sa.gov.au/xrecord=b2112549")</f>
        <v>https://www.catalog.slsa.sa.gov.au/xrecord=b2112549</v>
      </c>
      <c r="D3422" t="s">
        <v>66</v>
      </c>
      <c r="E3422" t="s">
        <v>11862</v>
      </c>
      <c r="F3422">
        <v>1962</v>
      </c>
      <c r="G3422" t="s">
        <v>121</v>
      </c>
      <c r="H3422" t="s">
        <v>11876</v>
      </c>
      <c r="I3422" t="s">
        <v>11864</v>
      </c>
      <c r="J3422" t="s">
        <v>71</v>
      </c>
      <c r="K3422" s="2" t="str">
        <f>HYPERLINK("http://collections.slsa.sa.gov.au/arthur/03000/BRG347_2817.htm")</f>
        <v>http://collections.slsa.sa.gov.au/arthur/03000/BRG347_2817.htm</v>
      </c>
    </row>
    <row r="3423" spans="1:11" x14ac:dyDescent="0.25">
      <c r="A3423" t="s">
        <v>11877</v>
      </c>
      <c r="B3423" s="1" t="str">
        <f>HYPERLINK("https://www.catalog.slsa.sa.gov.au/record=b2112818")</f>
        <v>https://www.catalog.slsa.sa.gov.au/record=b2112818</v>
      </c>
      <c r="C3423" s="1" t="str">
        <f>HYPERLINK("https://www.catalog.slsa.sa.gov.au/xrecord=b2112818")</f>
        <v>https://www.catalog.slsa.sa.gov.au/xrecord=b2112818</v>
      </c>
      <c r="D3423" t="s">
        <v>66</v>
      </c>
      <c r="E3423" t="s">
        <v>11878</v>
      </c>
      <c r="F3423">
        <v>1962</v>
      </c>
      <c r="G3423" t="s">
        <v>121</v>
      </c>
      <c r="H3423" t="s">
        <v>11879</v>
      </c>
      <c r="I3423" t="s">
        <v>11880</v>
      </c>
      <c r="J3423" t="s">
        <v>71</v>
      </c>
      <c r="K3423" s="2" t="str">
        <f>HYPERLINK("http://collections.slsa.sa.gov.au/arthur/03250/BRG347_3054.htm")</f>
        <v>http://collections.slsa.sa.gov.au/arthur/03250/BRG347_3054.htm</v>
      </c>
    </row>
    <row r="3424" spans="1:11" x14ac:dyDescent="0.25">
      <c r="A3424" t="s">
        <v>11881</v>
      </c>
      <c r="B3424" s="1" t="str">
        <f>HYPERLINK("https://www.catalog.slsa.sa.gov.au/record=b2112822")</f>
        <v>https://www.catalog.slsa.sa.gov.au/record=b2112822</v>
      </c>
      <c r="C3424" s="1" t="str">
        <f>HYPERLINK("https://www.catalog.slsa.sa.gov.au/xrecord=b2112822")</f>
        <v>https://www.catalog.slsa.sa.gov.au/xrecord=b2112822</v>
      </c>
      <c r="D3424" t="s">
        <v>66</v>
      </c>
      <c r="E3424" t="s">
        <v>11882</v>
      </c>
      <c r="F3424">
        <v>1962</v>
      </c>
      <c r="G3424" t="s">
        <v>121</v>
      </c>
      <c r="H3424" t="s">
        <v>11883</v>
      </c>
      <c r="I3424" t="s">
        <v>11884</v>
      </c>
      <c r="J3424" t="s">
        <v>71</v>
      </c>
      <c r="K3424" s="2" t="str">
        <f>HYPERLINK("http://collections.slsa.sa.gov.au/arthur/03250/BRG347_3058.htm")</f>
        <v>http://collections.slsa.sa.gov.au/arthur/03250/BRG347_3058.htm</v>
      </c>
    </row>
    <row r="3425" spans="1:11" x14ac:dyDescent="0.25">
      <c r="A3425" t="s">
        <v>11885</v>
      </c>
      <c r="B3425" s="1" t="str">
        <f>HYPERLINK("https://www.catalog.slsa.sa.gov.au/record=b2112832")</f>
        <v>https://www.catalog.slsa.sa.gov.au/record=b2112832</v>
      </c>
      <c r="C3425" s="1" t="str">
        <f>HYPERLINK("https://www.catalog.slsa.sa.gov.au/xrecord=b2112832")</f>
        <v>https://www.catalog.slsa.sa.gov.au/xrecord=b2112832</v>
      </c>
      <c r="D3425" t="s">
        <v>66</v>
      </c>
      <c r="E3425" t="s">
        <v>11886</v>
      </c>
      <c r="F3425">
        <v>1962</v>
      </c>
      <c r="G3425" t="s">
        <v>121</v>
      </c>
      <c r="H3425" t="s">
        <v>11887</v>
      </c>
      <c r="I3425" t="s">
        <v>11888</v>
      </c>
      <c r="J3425" t="s">
        <v>71</v>
      </c>
      <c r="K3425" s="2" t="str">
        <f>HYPERLINK("http://collections.slsa.sa.gov.au/arthur/03250/BRG347_3068.htm")</f>
        <v>http://collections.slsa.sa.gov.au/arthur/03250/BRG347_3068.htm</v>
      </c>
    </row>
    <row r="3426" spans="1:11" x14ac:dyDescent="0.25">
      <c r="A3426" t="s">
        <v>11889</v>
      </c>
      <c r="B3426" s="1" t="str">
        <f>HYPERLINK("https://www.catalog.slsa.sa.gov.au/record=b2114078")</f>
        <v>https://www.catalog.slsa.sa.gov.au/record=b2114078</v>
      </c>
      <c r="C3426" s="1" t="str">
        <f>HYPERLINK("https://www.catalog.slsa.sa.gov.au/xrecord=b2114078")</f>
        <v>https://www.catalog.slsa.sa.gov.au/xrecord=b2114078</v>
      </c>
      <c r="D3426" t="s">
        <v>66</v>
      </c>
      <c r="E3426" t="s">
        <v>11890</v>
      </c>
      <c r="F3426">
        <v>1962</v>
      </c>
      <c r="G3426" t="s">
        <v>121</v>
      </c>
      <c r="H3426" t="s">
        <v>11891</v>
      </c>
      <c r="I3426" t="s">
        <v>11892</v>
      </c>
      <c r="J3426" t="s">
        <v>71</v>
      </c>
      <c r="K3426" s="2" t="str">
        <f>HYPERLINK("http://collections.slsa.sa.gov.au/arthur/04000/BRG347_3912.htm")</f>
        <v>http://collections.slsa.sa.gov.au/arthur/04000/BRG347_3912.htm</v>
      </c>
    </row>
    <row r="3427" spans="1:11" x14ac:dyDescent="0.25">
      <c r="A3427" t="s">
        <v>11893</v>
      </c>
      <c r="B3427" s="1" t="str">
        <f>HYPERLINK("https://www.catalog.slsa.sa.gov.au/record=b2116732")</f>
        <v>https://www.catalog.slsa.sa.gov.au/record=b2116732</v>
      </c>
      <c r="C3427" s="1" t="str">
        <f>HYPERLINK("https://www.catalog.slsa.sa.gov.au/xrecord=b2116732")</f>
        <v>https://www.catalog.slsa.sa.gov.au/xrecord=b2116732</v>
      </c>
      <c r="D3427" t="s">
        <v>66</v>
      </c>
      <c r="E3427" t="s">
        <v>11894</v>
      </c>
      <c r="F3427">
        <v>1962</v>
      </c>
      <c r="G3427" t="s">
        <v>121</v>
      </c>
      <c r="H3427" t="s">
        <v>11895</v>
      </c>
      <c r="I3427" t="s">
        <v>4536</v>
      </c>
      <c r="J3427" t="s">
        <v>71</v>
      </c>
      <c r="K3427" s="2" t="str">
        <f>HYPERLINK("http://collections.slsa.sa.gov.au/arthur/05750/BRG347_5629.htm")</f>
        <v>http://collections.slsa.sa.gov.au/arthur/05750/BRG347_5629.htm</v>
      </c>
    </row>
    <row r="3428" spans="1:11" x14ac:dyDescent="0.25">
      <c r="A3428" t="s">
        <v>11896</v>
      </c>
      <c r="B3428" s="1" t="str">
        <f>HYPERLINK("https://www.catalog.slsa.sa.gov.au/record=b2116733")</f>
        <v>https://www.catalog.slsa.sa.gov.au/record=b2116733</v>
      </c>
      <c r="C3428" s="1" t="str">
        <f>HYPERLINK("https://www.catalog.slsa.sa.gov.au/xrecord=b2116733")</f>
        <v>https://www.catalog.slsa.sa.gov.au/xrecord=b2116733</v>
      </c>
      <c r="D3428" t="s">
        <v>66</v>
      </c>
      <c r="E3428" t="s">
        <v>11897</v>
      </c>
      <c r="F3428">
        <v>1962</v>
      </c>
      <c r="G3428" t="s">
        <v>121</v>
      </c>
      <c r="H3428" t="s">
        <v>11898</v>
      </c>
      <c r="I3428" t="s">
        <v>4536</v>
      </c>
      <c r="J3428" t="s">
        <v>71</v>
      </c>
      <c r="K3428" s="2" t="str">
        <f>HYPERLINK("http://collections.slsa.sa.gov.au/arthur/05750/BRG347_5630.htm")</f>
        <v>http://collections.slsa.sa.gov.au/arthur/05750/BRG347_5630.htm</v>
      </c>
    </row>
    <row r="3429" spans="1:11" x14ac:dyDescent="0.25">
      <c r="A3429" t="s">
        <v>11899</v>
      </c>
      <c r="B3429" s="1" t="str">
        <f>HYPERLINK("https://www.catalog.slsa.sa.gov.au/record=b2119547")</f>
        <v>https://www.catalog.slsa.sa.gov.au/record=b2119547</v>
      </c>
      <c r="C3429" s="1" t="str">
        <f>HYPERLINK("https://www.catalog.slsa.sa.gov.au/xrecord=b2119547")</f>
        <v>https://www.catalog.slsa.sa.gov.au/xrecord=b2119547</v>
      </c>
      <c r="D3429" t="s">
        <v>66</v>
      </c>
      <c r="E3429" t="s">
        <v>6467</v>
      </c>
      <c r="F3429">
        <v>1962</v>
      </c>
      <c r="G3429" t="s">
        <v>121</v>
      </c>
      <c r="H3429" t="s">
        <v>11900</v>
      </c>
      <c r="I3429" t="s">
        <v>1743</v>
      </c>
      <c r="J3429" t="s">
        <v>71</v>
      </c>
      <c r="K3429" s="2" t="str">
        <f>HYPERLINK("http://collections.slsa.sa.gov.au/arthur/07000/BRG347_6881.htm")</f>
        <v>http://collections.slsa.sa.gov.au/arthur/07000/BRG347_6881.htm</v>
      </c>
    </row>
    <row r="3430" spans="1:11" x14ac:dyDescent="0.25">
      <c r="A3430" t="s">
        <v>11901</v>
      </c>
      <c r="B3430" s="1" t="str">
        <f>HYPERLINK("https://www.catalog.slsa.sa.gov.au/record=b2119548")</f>
        <v>https://www.catalog.slsa.sa.gov.au/record=b2119548</v>
      </c>
      <c r="C3430" s="1" t="str">
        <f>HYPERLINK("https://www.catalog.slsa.sa.gov.au/xrecord=b2119548")</f>
        <v>https://www.catalog.slsa.sa.gov.au/xrecord=b2119548</v>
      </c>
      <c r="D3430" t="s">
        <v>66</v>
      </c>
      <c r="E3430" t="s">
        <v>6467</v>
      </c>
      <c r="F3430">
        <v>1962</v>
      </c>
      <c r="G3430" t="s">
        <v>121</v>
      </c>
      <c r="H3430" t="s">
        <v>11900</v>
      </c>
      <c r="I3430" t="s">
        <v>1743</v>
      </c>
      <c r="J3430" t="s">
        <v>71</v>
      </c>
      <c r="K3430" s="2" t="str">
        <f>HYPERLINK("http://collections.slsa.sa.gov.au/arthur/07000/BRG347_6882.htm")</f>
        <v>http://collections.slsa.sa.gov.au/arthur/07000/BRG347_6882.htm</v>
      </c>
    </row>
    <row r="3431" spans="1:11" x14ac:dyDescent="0.25">
      <c r="A3431" t="s">
        <v>11902</v>
      </c>
      <c r="B3431" s="1" t="str">
        <f>HYPERLINK("https://www.catalog.slsa.sa.gov.au/record=b2110603")</f>
        <v>https://www.catalog.slsa.sa.gov.au/record=b2110603</v>
      </c>
      <c r="C3431" s="1" t="str">
        <f>HYPERLINK("https://www.catalog.slsa.sa.gov.au/xrecord=b2110603")</f>
        <v>https://www.catalog.slsa.sa.gov.au/xrecord=b2110603</v>
      </c>
      <c r="D3431" t="s">
        <v>66</v>
      </c>
      <c r="E3431" t="s">
        <v>11042</v>
      </c>
      <c r="F3431" t="s">
        <v>11903</v>
      </c>
      <c r="G3431" t="s">
        <v>121</v>
      </c>
      <c r="H3431" t="s">
        <v>11904</v>
      </c>
      <c r="I3431" t="s">
        <v>7803</v>
      </c>
      <c r="J3431" t="s">
        <v>71</v>
      </c>
      <c r="K3431" s="2" t="str">
        <f>HYPERLINK("http://collections.slsa.sa.gov.au/arthur/01500/BRG347_1321.htm")</f>
        <v>http://collections.slsa.sa.gov.au/arthur/01500/BRG347_1321.htm</v>
      </c>
    </row>
    <row r="3432" spans="1:11" x14ac:dyDescent="0.25">
      <c r="A3432" t="s">
        <v>11905</v>
      </c>
      <c r="B3432" s="1" t="str">
        <f>HYPERLINK("https://www.catalog.slsa.sa.gov.au/record=b2110604")</f>
        <v>https://www.catalog.slsa.sa.gov.au/record=b2110604</v>
      </c>
      <c r="C3432" s="1" t="str">
        <f>HYPERLINK("https://www.catalog.slsa.sa.gov.au/xrecord=b2110604")</f>
        <v>https://www.catalog.slsa.sa.gov.au/xrecord=b2110604</v>
      </c>
      <c r="D3432" t="s">
        <v>66</v>
      </c>
      <c r="E3432" t="s">
        <v>11042</v>
      </c>
      <c r="F3432" t="s">
        <v>11903</v>
      </c>
      <c r="G3432" t="s">
        <v>121</v>
      </c>
      <c r="H3432" t="s">
        <v>11906</v>
      </c>
      <c r="I3432" t="s">
        <v>7803</v>
      </c>
      <c r="J3432" t="s">
        <v>71</v>
      </c>
      <c r="K3432" s="2" t="str">
        <f>HYPERLINK("http://collections.slsa.sa.gov.au/arthur/01500/BRG347_1322.htm")</f>
        <v>http://collections.slsa.sa.gov.au/arthur/01500/BRG347_1322.htm</v>
      </c>
    </row>
    <row r="3433" spans="1:11" x14ac:dyDescent="0.25">
      <c r="A3433" t="s">
        <v>11907</v>
      </c>
      <c r="B3433" s="1" t="str">
        <f>HYPERLINK("https://www.catalog.slsa.sa.gov.au/record=b2110605")</f>
        <v>https://www.catalog.slsa.sa.gov.au/record=b2110605</v>
      </c>
      <c r="C3433" s="1" t="str">
        <f>HYPERLINK("https://www.catalog.slsa.sa.gov.au/xrecord=b2110605")</f>
        <v>https://www.catalog.slsa.sa.gov.au/xrecord=b2110605</v>
      </c>
      <c r="D3433" t="s">
        <v>66</v>
      </c>
      <c r="E3433" t="s">
        <v>11042</v>
      </c>
      <c r="F3433" t="s">
        <v>11903</v>
      </c>
      <c r="G3433" t="s">
        <v>121</v>
      </c>
      <c r="H3433" t="s">
        <v>11908</v>
      </c>
      <c r="I3433" t="s">
        <v>7803</v>
      </c>
      <c r="J3433" t="s">
        <v>71</v>
      </c>
      <c r="K3433" s="2" t="str">
        <f>HYPERLINK("http://collections.slsa.sa.gov.au/arthur/01500/BRG347_1323.htm")</f>
        <v>http://collections.slsa.sa.gov.au/arthur/01500/BRG347_1323.htm</v>
      </c>
    </row>
    <row r="3434" spans="1:11" x14ac:dyDescent="0.25">
      <c r="A3434" t="s">
        <v>11909</v>
      </c>
      <c r="B3434" s="1" t="str">
        <f>HYPERLINK("https://www.catalog.slsa.sa.gov.au/record=b2111309")</f>
        <v>https://www.catalog.slsa.sa.gov.au/record=b2111309</v>
      </c>
      <c r="C3434" s="1" t="str">
        <f>HYPERLINK("https://www.catalog.slsa.sa.gov.au/xrecord=b2111309")</f>
        <v>https://www.catalog.slsa.sa.gov.au/xrecord=b2111309</v>
      </c>
      <c r="D3434" t="s">
        <v>66</v>
      </c>
      <c r="E3434" t="s">
        <v>7882</v>
      </c>
      <c r="F3434" t="s">
        <v>11903</v>
      </c>
      <c r="G3434" t="s">
        <v>121</v>
      </c>
      <c r="H3434" t="s">
        <v>11910</v>
      </c>
      <c r="I3434" t="s">
        <v>11911</v>
      </c>
      <c r="J3434" t="s">
        <v>71</v>
      </c>
      <c r="K3434" s="2" t="str">
        <f>HYPERLINK("http://collections.slsa.sa.gov.au/arthur/02000/BRG347_1980.htm")</f>
        <v>http://collections.slsa.sa.gov.au/arthur/02000/BRG347_1980.htm</v>
      </c>
    </row>
    <row r="3435" spans="1:11" x14ac:dyDescent="0.25">
      <c r="A3435" t="s">
        <v>11912</v>
      </c>
      <c r="B3435" s="1" t="str">
        <f>HYPERLINK("https://www.catalog.slsa.sa.gov.au/record=b2111640")</f>
        <v>https://www.catalog.slsa.sa.gov.au/record=b2111640</v>
      </c>
      <c r="C3435" s="1" t="str">
        <f>HYPERLINK("https://www.catalog.slsa.sa.gov.au/xrecord=b2111640")</f>
        <v>https://www.catalog.slsa.sa.gov.au/xrecord=b2111640</v>
      </c>
      <c r="D3435" t="s">
        <v>66</v>
      </c>
      <c r="E3435" t="s">
        <v>9432</v>
      </c>
      <c r="F3435" t="s">
        <v>11903</v>
      </c>
      <c r="G3435" t="s">
        <v>121</v>
      </c>
      <c r="H3435" t="s">
        <v>11913</v>
      </c>
      <c r="I3435" t="s">
        <v>11706</v>
      </c>
      <c r="J3435" t="s">
        <v>71</v>
      </c>
      <c r="K3435" s="2" t="str">
        <f>HYPERLINK("http://collections.slsa.sa.gov.au/arthur/02250/BRG347_2240.htm")</f>
        <v>http://collections.slsa.sa.gov.au/arthur/02250/BRG347_2240.htm</v>
      </c>
    </row>
    <row r="3436" spans="1:11" x14ac:dyDescent="0.25">
      <c r="A3436" t="s">
        <v>11914</v>
      </c>
      <c r="B3436" s="1" t="str">
        <f>HYPERLINK("https://www.catalog.slsa.sa.gov.au/record=b2117984")</f>
        <v>https://www.catalog.slsa.sa.gov.au/record=b2117984</v>
      </c>
      <c r="C3436" s="1" t="str">
        <f>HYPERLINK("https://www.catalog.slsa.sa.gov.au/xrecord=b2117984")</f>
        <v>https://www.catalog.slsa.sa.gov.au/xrecord=b2117984</v>
      </c>
      <c r="D3436" t="s">
        <v>66</v>
      </c>
      <c r="E3436" t="s">
        <v>9432</v>
      </c>
      <c r="F3436" t="s">
        <v>11903</v>
      </c>
      <c r="G3436" t="s">
        <v>121</v>
      </c>
      <c r="H3436" t="s">
        <v>11915</v>
      </c>
      <c r="I3436" t="s">
        <v>11706</v>
      </c>
      <c r="J3436" t="s">
        <v>71</v>
      </c>
      <c r="K3436" s="2" t="str">
        <f>HYPERLINK("http://collections.slsa.sa.gov.au/arthur/02250/BRG347_2241.htm")</f>
        <v>http://collections.slsa.sa.gov.au/arthur/02250/BRG347_2241.htm</v>
      </c>
    </row>
    <row r="3437" spans="1:11" x14ac:dyDescent="0.25">
      <c r="A3437" t="s">
        <v>11916</v>
      </c>
      <c r="B3437" s="1" t="str">
        <f>HYPERLINK("https://www.catalog.slsa.sa.gov.au/record=b2111662")</f>
        <v>https://www.catalog.slsa.sa.gov.au/record=b2111662</v>
      </c>
      <c r="C3437" s="1" t="str">
        <f>HYPERLINK("https://www.catalog.slsa.sa.gov.au/xrecord=b2111662")</f>
        <v>https://www.catalog.slsa.sa.gov.au/xrecord=b2111662</v>
      </c>
      <c r="D3437" t="s">
        <v>66</v>
      </c>
      <c r="E3437" t="s">
        <v>11736</v>
      </c>
      <c r="F3437" t="s">
        <v>11903</v>
      </c>
      <c r="G3437" t="s">
        <v>121</v>
      </c>
      <c r="H3437" t="s">
        <v>11917</v>
      </c>
      <c r="I3437" t="s">
        <v>6516</v>
      </c>
      <c r="J3437" t="s">
        <v>71</v>
      </c>
      <c r="K3437" s="2" t="str">
        <f>HYPERLINK("http://collections.slsa.sa.gov.au/arthur/02500/BRG347_2264.htm")</f>
        <v>http://collections.slsa.sa.gov.au/arthur/02500/BRG347_2264.htm</v>
      </c>
    </row>
    <row r="3438" spans="1:11" x14ac:dyDescent="0.25">
      <c r="A3438" t="s">
        <v>11918</v>
      </c>
      <c r="B3438" s="1" t="str">
        <f>HYPERLINK("https://www.catalog.slsa.sa.gov.au/record=b2085946")</f>
        <v>https://www.catalog.slsa.sa.gov.au/record=b2085946</v>
      </c>
      <c r="C3438" s="1" t="str">
        <f>HYPERLINK("https://www.catalog.slsa.sa.gov.au/xrecord=b2085946")</f>
        <v>https://www.catalog.slsa.sa.gov.au/xrecord=b2085946</v>
      </c>
      <c r="E3438" t="s">
        <v>11919</v>
      </c>
      <c r="F3438" t="s">
        <v>11903</v>
      </c>
      <c r="G3438" t="s">
        <v>2094</v>
      </c>
      <c r="H3438" t="s">
        <v>11920</v>
      </c>
      <c r="I3438" t="s">
        <v>11921</v>
      </c>
      <c r="J3438" t="s">
        <v>1757</v>
      </c>
      <c r="K3438" s="2" t="str">
        <f>HYPERLINK("http://collections.slsa.sa.gov.au/godson/2/02250/PRG1258_2_2102.htm")</f>
        <v>http://collections.slsa.sa.gov.au/godson/2/02250/PRG1258_2_2102.htm</v>
      </c>
    </row>
    <row r="3439" spans="1:11" x14ac:dyDescent="0.25">
      <c r="A3439" t="s">
        <v>11922</v>
      </c>
      <c r="B3439" s="1" t="str">
        <f>HYPERLINK("https://www.catalog.slsa.sa.gov.au/record=b2110064")</f>
        <v>https://www.catalog.slsa.sa.gov.au/record=b2110064</v>
      </c>
      <c r="C3439" s="1" t="str">
        <f>HYPERLINK("https://www.catalog.slsa.sa.gov.au/xrecord=b2110064")</f>
        <v>https://www.catalog.slsa.sa.gov.au/xrecord=b2110064</v>
      </c>
      <c r="D3439" t="s">
        <v>66</v>
      </c>
      <c r="E3439" t="s">
        <v>11923</v>
      </c>
      <c r="F3439">
        <v>1963</v>
      </c>
      <c r="G3439" t="s">
        <v>121</v>
      </c>
      <c r="H3439" t="s">
        <v>11924</v>
      </c>
      <c r="I3439" t="s">
        <v>11925</v>
      </c>
      <c r="J3439" t="s">
        <v>71</v>
      </c>
      <c r="K3439" s="2" t="str">
        <f>HYPERLINK("http://collections.slsa.sa.gov.au/arthur/01000/BRG347_869.htm")</f>
        <v>http://collections.slsa.sa.gov.au/arthur/01000/BRG347_869.htm</v>
      </c>
    </row>
    <row r="3440" spans="1:11" x14ac:dyDescent="0.25">
      <c r="A3440" t="s">
        <v>11926</v>
      </c>
      <c r="B3440" s="1" t="str">
        <f>HYPERLINK("https://www.catalog.slsa.sa.gov.au/record=b2110066")</f>
        <v>https://www.catalog.slsa.sa.gov.au/record=b2110066</v>
      </c>
      <c r="C3440" s="1" t="str">
        <f>HYPERLINK("https://www.catalog.slsa.sa.gov.au/xrecord=b2110066")</f>
        <v>https://www.catalog.slsa.sa.gov.au/xrecord=b2110066</v>
      </c>
      <c r="D3440" t="s">
        <v>66</v>
      </c>
      <c r="E3440" t="s">
        <v>11927</v>
      </c>
      <c r="F3440">
        <v>1963</v>
      </c>
      <c r="G3440" t="s">
        <v>121</v>
      </c>
      <c r="H3440" t="s">
        <v>11928</v>
      </c>
      <c r="I3440" t="s">
        <v>11929</v>
      </c>
      <c r="J3440" t="s">
        <v>71</v>
      </c>
      <c r="K3440" s="2" t="str">
        <f>HYPERLINK("http://collections.slsa.sa.gov.au/arthur/01000/BRG347_871.htm")</f>
        <v>http://collections.slsa.sa.gov.au/arthur/01000/BRG347_871.htm</v>
      </c>
    </row>
    <row r="3441" spans="1:11" x14ac:dyDescent="0.25">
      <c r="A3441" t="s">
        <v>11930</v>
      </c>
      <c r="B3441" s="1" t="str">
        <f>HYPERLINK("https://www.catalog.slsa.sa.gov.au/record=b2110069")</f>
        <v>https://www.catalog.slsa.sa.gov.au/record=b2110069</v>
      </c>
      <c r="C3441" s="1" t="str">
        <f>HYPERLINK("https://www.catalog.slsa.sa.gov.au/xrecord=b2110069")</f>
        <v>https://www.catalog.slsa.sa.gov.au/xrecord=b2110069</v>
      </c>
      <c r="D3441" t="s">
        <v>66</v>
      </c>
      <c r="E3441" t="s">
        <v>11931</v>
      </c>
      <c r="F3441">
        <v>1963</v>
      </c>
      <c r="G3441" t="s">
        <v>121</v>
      </c>
      <c r="H3441" t="s">
        <v>11932</v>
      </c>
      <c r="I3441" t="s">
        <v>11933</v>
      </c>
      <c r="J3441" t="s">
        <v>71</v>
      </c>
      <c r="K3441" s="2" t="str">
        <f>HYPERLINK("http://collections.slsa.sa.gov.au/arthur/01000/BRG347_872.htm")</f>
        <v>http://collections.slsa.sa.gov.au/arthur/01000/BRG347_872.htm</v>
      </c>
    </row>
    <row r="3442" spans="1:11" x14ac:dyDescent="0.25">
      <c r="A3442" t="s">
        <v>11934</v>
      </c>
      <c r="B3442" s="1" t="str">
        <f>HYPERLINK("https://www.catalog.slsa.sa.gov.au/record=b2110070")</f>
        <v>https://www.catalog.slsa.sa.gov.au/record=b2110070</v>
      </c>
      <c r="C3442" s="1" t="str">
        <f>HYPERLINK("https://www.catalog.slsa.sa.gov.au/xrecord=b2110070")</f>
        <v>https://www.catalog.slsa.sa.gov.au/xrecord=b2110070</v>
      </c>
      <c r="D3442" t="s">
        <v>66</v>
      </c>
      <c r="E3442" t="s">
        <v>11935</v>
      </c>
      <c r="F3442">
        <v>1963</v>
      </c>
      <c r="G3442" t="s">
        <v>121</v>
      </c>
      <c r="H3442" t="s">
        <v>11936</v>
      </c>
      <c r="I3442" t="s">
        <v>11937</v>
      </c>
      <c r="J3442" t="s">
        <v>71</v>
      </c>
      <c r="K3442" s="2" t="str">
        <f>HYPERLINK("http://collections.slsa.sa.gov.au/arthur/01000/BRG347_873.htm")</f>
        <v>http://collections.slsa.sa.gov.au/arthur/01000/BRG347_873.htm</v>
      </c>
    </row>
    <row r="3443" spans="1:11" x14ac:dyDescent="0.25">
      <c r="A3443" t="s">
        <v>11938</v>
      </c>
      <c r="B3443" s="1" t="str">
        <f>HYPERLINK("https://www.catalog.slsa.sa.gov.au/record=b2110074")</f>
        <v>https://www.catalog.slsa.sa.gov.au/record=b2110074</v>
      </c>
      <c r="C3443" s="1" t="str">
        <f>HYPERLINK("https://www.catalog.slsa.sa.gov.au/xrecord=b2110074")</f>
        <v>https://www.catalog.slsa.sa.gov.au/xrecord=b2110074</v>
      </c>
      <c r="D3443" t="s">
        <v>66</v>
      </c>
      <c r="E3443" t="s">
        <v>11939</v>
      </c>
      <c r="F3443">
        <v>1963</v>
      </c>
      <c r="G3443" t="s">
        <v>121</v>
      </c>
      <c r="H3443" t="s">
        <v>11940</v>
      </c>
      <c r="I3443" t="s">
        <v>11937</v>
      </c>
      <c r="J3443" t="s">
        <v>71</v>
      </c>
      <c r="K3443" s="2" t="str">
        <f>HYPERLINK("http://collections.slsa.sa.gov.au/arthur/01000/BRG347_877.htm")</f>
        <v>http://collections.slsa.sa.gov.au/arthur/01000/BRG347_877.htm</v>
      </c>
    </row>
    <row r="3444" spans="1:11" x14ac:dyDescent="0.25">
      <c r="A3444" t="s">
        <v>11941</v>
      </c>
      <c r="B3444" s="1" t="str">
        <f>HYPERLINK("https://www.catalog.slsa.sa.gov.au/record=b2110131")</f>
        <v>https://www.catalog.slsa.sa.gov.au/record=b2110131</v>
      </c>
      <c r="C3444" s="1" t="str">
        <f>HYPERLINK("https://www.catalog.slsa.sa.gov.au/xrecord=b2110131")</f>
        <v>https://www.catalog.slsa.sa.gov.au/xrecord=b2110131</v>
      </c>
      <c r="D3444" t="s">
        <v>66</v>
      </c>
      <c r="E3444" t="s">
        <v>11942</v>
      </c>
      <c r="F3444">
        <v>1963</v>
      </c>
      <c r="G3444" t="s">
        <v>121</v>
      </c>
      <c r="H3444" t="s">
        <v>11943</v>
      </c>
      <c r="I3444" t="s">
        <v>11944</v>
      </c>
      <c r="J3444" t="s">
        <v>71</v>
      </c>
      <c r="K3444" s="2" t="str">
        <f>HYPERLINK("http://collections.slsa.sa.gov.au/arthur/01000/BRG347_936.htm")</f>
        <v>http://collections.slsa.sa.gov.au/arthur/01000/BRG347_936.htm</v>
      </c>
    </row>
    <row r="3445" spans="1:11" x14ac:dyDescent="0.25">
      <c r="A3445" t="s">
        <v>11945</v>
      </c>
      <c r="B3445" s="1" t="str">
        <f>HYPERLINK("https://www.catalog.slsa.sa.gov.au/record=b2110132")</f>
        <v>https://www.catalog.slsa.sa.gov.au/record=b2110132</v>
      </c>
      <c r="C3445" s="1" t="str">
        <f>HYPERLINK("https://www.catalog.slsa.sa.gov.au/xrecord=b2110132")</f>
        <v>https://www.catalog.slsa.sa.gov.au/xrecord=b2110132</v>
      </c>
      <c r="D3445" t="s">
        <v>66</v>
      </c>
      <c r="E3445" t="s">
        <v>11942</v>
      </c>
      <c r="F3445">
        <v>1963</v>
      </c>
      <c r="G3445" t="s">
        <v>121</v>
      </c>
      <c r="H3445" t="s">
        <v>11946</v>
      </c>
      <c r="I3445" t="s">
        <v>11944</v>
      </c>
      <c r="J3445" t="s">
        <v>71</v>
      </c>
      <c r="K3445" s="2" t="str">
        <f>HYPERLINK("http://collections.slsa.sa.gov.au/arthur/01000/BRG347_937.htm")</f>
        <v>http://collections.slsa.sa.gov.au/arthur/01000/BRG347_937.htm</v>
      </c>
    </row>
    <row r="3446" spans="1:11" x14ac:dyDescent="0.25">
      <c r="A3446" t="s">
        <v>11947</v>
      </c>
      <c r="B3446" s="1" t="str">
        <f>HYPERLINK("https://www.catalog.slsa.sa.gov.au/record=b2110133")</f>
        <v>https://www.catalog.slsa.sa.gov.au/record=b2110133</v>
      </c>
      <c r="C3446" s="1" t="str">
        <f>HYPERLINK("https://www.catalog.slsa.sa.gov.au/xrecord=b2110133")</f>
        <v>https://www.catalog.slsa.sa.gov.au/xrecord=b2110133</v>
      </c>
      <c r="D3446" t="s">
        <v>66</v>
      </c>
      <c r="E3446" t="s">
        <v>11942</v>
      </c>
      <c r="F3446">
        <v>1963</v>
      </c>
      <c r="G3446" t="s">
        <v>121</v>
      </c>
      <c r="H3446" t="s">
        <v>11948</v>
      </c>
      <c r="I3446" t="s">
        <v>11944</v>
      </c>
      <c r="J3446" t="s">
        <v>71</v>
      </c>
      <c r="K3446" s="2" t="str">
        <f>HYPERLINK("http://collections.slsa.sa.gov.au/arthur/01000/BRG347_938.htm")</f>
        <v>http://collections.slsa.sa.gov.au/arthur/01000/BRG347_938.htm</v>
      </c>
    </row>
    <row r="3447" spans="1:11" x14ac:dyDescent="0.25">
      <c r="A3447" t="s">
        <v>11949</v>
      </c>
      <c r="B3447" s="1" t="str">
        <f>HYPERLINK("https://www.catalog.slsa.sa.gov.au/record=b2110134")</f>
        <v>https://www.catalog.slsa.sa.gov.au/record=b2110134</v>
      </c>
      <c r="C3447" s="1" t="str">
        <f>HYPERLINK("https://www.catalog.slsa.sa.gov.au/xrecord=b2110134")</f>
        <v>https://www.catalog.slsa.sa.gov.au/xrecord=b2110134</v>
      </c>
      <c r="D3447" t="s">
        <v>66</v>
      </c>
      <c r="E3447" t="s">
        <v>11942</v>
      </c>
      <c r="F3447">
        <v>1963</v>
      </c>
      <c r="G3447" t="s">
        <v>121</v>
      </c>
      <c r="H3447" t="s">
        <v>11946</v>
      </c>
      <c r="I3447" t="s">
        <v>11944</v>
      </c>
      <c r="J3447" t="s">
        <v>71</v>
      </c>
      <c r="K3447" s="2" t="str">
        <f>HYPERLINK("http://collections.slsa.sa.gov.au/arthur/01000/BRG347_939.htm")</f>
        <v>http://collections.slsa.sa.gov.au/arthur/01000/BRG347_939.htm</v>
      </c>
    </row>
    <row r="3448" spans="1:11" x14ac:dyDescent="0.25">
      <c r="A3448" t="s">
        <v>11950</v>
      </c>
      <c r="B3448" s="1" t="str">
        <f>HYPERLINK("https://www.catalog.slsa.sa.gov.au/record=b2110136")</f>
        <v>https://www.catalog.slsa.sa.gov.au/record=b2110136</v>
      </c>
      <c r="C3448" s="1" t="str">
        <f>HYPERLINK("https://www.catalog.slsa.sa.gov.au/xrecord=b2110136")</f>
        <v>https://www.catalog.slsa.sa.gov.au/xrecord=b2110136</v>
      </c>
      <c r="D3448" t="s">
        <v>66</v>
      </c>
      <c r="E3448" t="s">
        <v>11942</v>
      </c>
      <c r="F3448">
        <v>1963</v>
      </c>
      <c r="G3448" t="s">
        <v>121</v>
      </c>
      <c r="H3448" t="s">
        <v>11951</v>
      </c>
      <c r="I3448" t="s">
        <v>11944</v>
      </c>
      <c r="J3448" t="s">
        <v>71</v>
      </c>
      <c r="K3448" s="2" t="str">
        <f>HYPERLINK("http://collections.slsa.sa.gov.au/arthur/01000/BRG347_941.htm")</f>
        <v>http://collections.slsa.sa.gov.au/arthur/01000/BRG347_941.htm</v>
      </c>
    </row>
    <row r="3449" spans="1:11" x14ac:dyDescent="0.25">
      <c r="A3449" t="s">
        <v>11952</v>
      </c>
      <c r="B3449" s="1" t="str">
        <f>HYPERLINK("https://www.catalog.slsa.sa.gov.au/record=b2110486")</f>
        <v>https://www.catalog.slsa.sa.gov.au/record=b2110486</v>
      </c>
      <c r="C3449" s="1" t="str">
        <f>HYPERLINK("https://www.catalog.slsa.sa.gov.au/xrecord=b2110486")</f>
        <v>https://www.catalog.slsa.sa.gov.au/xrecord=b2110486</v>
      </c>
      <c r="D3449" t="s">
        <v>66</v>
      </c>
      <c r="E3449" t="s">
        <v>11953</v>
      </c>
      <c r="F3449">
        <v>1963</v>
      </c>
      <c r="G3449" t="s">
        <v>121</v>
      </c>
      <c r="H3449" t="s">
        <v>11954</v>
      </c>
      <c r="I3449" t="s">
        <v>11955</v>
      </c>
      <c r="J3449" t="s">
        <v>71</v>
      </c>
      <c r="K3449" s="2" t="str">
        <f>HYPERLINK("http://collections.slsa.sa.gov.au/arthur/01500/BRG347_1261.htm")</f>
        <v>http://collections.slsa.sa.gov.au/arthur/01500/BRG347_1261.htm</v>
      </c>
    </row>
    <row r="3450" spans="1:11" x14ac:dyDescent="0.25">
      <c r="A3450" t="s">
        <v>11956</v>
      </c>
      <c r="B3450" s="1" t="str">
        <f>HYPERLINK("https://www.catalog.slsa.sa.gov.au/record=b2110596")</f>
        <v>https://www.catalog.slsa.sa.gov.au/record=b2110596</v>
      </c>
      <c r="C3450" s="1" t="str">
        <f>HYPERLINK("https://www.catalog.slsa.sa.gov.au/xrecord=b2110596")</f>
        <v>https://www.catalog.slsa.sa.gov.au/xrecord=b2110596</v>
      </c>
      <c r="D3450" t="s">
        <v>66</v>
      </c>
      <c r="E3450" t="s">
        <v>11957</v>
      </c>
      <c r="F3450">
        <v>1963</v>
      </c>
      <c r="G3450" t="s">
        <v>121</v>
      </c>
      <c r="H3450" t="s">
        <v>11958</v>
      </c>
      <c r="I3450" t="s">
        <v>11959</v>
      </c>
      <c r="J3450" t="s">
        <v>71</v>
      </c>
      <c r="K3450" s="2" t="str">
        <f>HYPERLINK("http://collections.slsa.sa.gov.au/arthur/01500/BRG347_1313.htm")</f>
        <v>http://collections.slsa.sa.gov.au/arthur/01500/BRG347_1313.htm</v>
      </c>
    </row>
    <row r="3451" spans="1:11" x14ac:dyDescent="0.25">
      <c r="A3451" t="s">
        <v>11960</v>
      </c>
      <c r="B3451" s="1" t="str">
        <f>HYPERLINK("https://www.catalog.slsa.sa.gov.au/record=b2110597")</f>
        <v>https://www.catalog.slsa.sa.gov.au/record=b2110597</v>
      </c>
      <c r="C3451" s="1" t="str">
        <f>HYPERLINK("https://www.catalog.slsa.sa.gov.au/xrecord=b2110597")</f>
        <v>https://www.catalog.slsa.sa.gov.au/xrecord=b2110597</v>
      </c>
      <c r="D3451" t="s">
        <v>66</v>
      </c>
      <c r="E3451" t="s">
        <v>11961</v>
      </c>
      <c r="F3451">
        <v>1963</v>
      </c>
      <c r="G3451" t="s">
        <v>121</v>
      </c>
      <c r="H3451" t="s">
        <v>11962</v>
      </c>
      <c r="I3451" t="s">
        <v>11963</v>
      </c>
      <c r="J3451" t="s">
        <v>71</v>
      </c>
      <c r="K3451" s="2" t="str">
        <f>HYPERLINK("http://collections.slsa.sa.gov.au/arthur/01500/BRG347_1314.htm")</f>
        <v>http://collections.slsa.sa.gov.au/arthur/01500/BRG347_1314.htm</v>
      </c>
    </row>
    <row r="3452" spans="1:11" x14ac:dyDescent="0.25">
      <c r="A3452" t="s">
        <v>11964</v>
      </c>
      <c r="B3452" s="1" t="str">
        <f>HYPERLINK("https://www.catalog.slsa.sa.gov.au/record=b2110927")</f>
        <v>https://www.catalog.slsa.sa.gov.au/record=b2110927</v>
      </c>
      <c r="C3452" s="1" t="str">
        <f>HYPERLINK("https://www.catalog.slsa.sa.gov.au/xrecord=b2110927")</f>
        <v>https://www.catalog.slsa.sa.gov.au/xrecord=b2110927</v>
      </c>
      <c r="D3452" t="s">
        <v>66</v>
      </c>
      <c r="E3452" t="s">
        <v>11965</v>
      </c>
      <c r="F3452">
        <v>1963</v>
      </c>
      <c r="G3452" t="s">
        <v>121</v>
      </c>
      <c r="H3452" t="s">
        <v>11966</v>
      </c>
      <c r="I3452" t="s">
        <v>11967</v>
      </c>
      <c r="J3452" t="s">
        <v>71</v>
      </c>
      <c r="K3452" s="2" t="str">
        <f>HYPERLINK("http://collections.slsa.sa.gov.au/arthur/01750/BRG347_1608.htm")</f>
        <v>http://collections.slsa.sa.gov.au/arthur/01750/BRG347_1608.htm</v>
      </c>
    </row>
    <row r="3453" spans="1:11" x14ac:dyDescent="0.25">
      <c r="A3453" t="s">
        <v>11968</v>
      </c>
      <c r="B3453" s="1" t="str">
        <f>HYPERLINK("https://www.catalog.slsa.sa.gov.au/record=b2110928")</f>
        <v>https://www.catalog.slsa.sa.gov.au/record=b2110928</v>
      </c>
      <c r="C3453" s="1" t="str">
        <f>HYPERLINK("https://www.catalog.slsa.sa.gov.au/xrecord=b2110928")</f>
        <v>https://www.catalog.slsa.sa.gov.au/xrecord=b2110928</v>
      </c>
      <c r="D3453" t="s">
        <v>66</v>
      </c>
      <c r="E3453" t="s">
        <v>11969</v>
      </c>
      <c r="F3453">
        <v>1963</v>
      </c>
      <c r="G3453" t="s">
        <v>121</v>
      </c>
      <c r="H3453" t="s">
        <v>11970</v>
      </c>
      <c r="I3453" t="s">
        <v>11971</v>
      </c>
      <c r="J3453" t="s">
        <v>71</v>
      </c>
      <c r="K3453" s="2" t="str">
        <f>HYPERLINK("http://collections.slsa.sa.gov.au/arthur/01750/BRG347_1609.htm")</f>
        <v>http://collections.slsa.sa.gov.au/arthur/01750/BRG347_1609.htm</v>
      </c>
    </row>
    <row r="3454" spans="1:11" x14ac:dyDescent="0.25">
      <c r="A3454" t="s">
        <v>11972</v>
      </c>
      <c r="B3454" s="1" t="str">
        <f>HYPERLINK("https://www.catalog.slsa.sa.gov.au/record=b2110929")</f>
        <v>https://www.catalog.slsa.sa.gov.au/record=b2110929</v>
      </c>
      <c r="C3454" s="1" t="str">
        <f>HYPERLINK("https://www.catalog.slsa.sa.gov.au/xrecord=b2110929")</f>
        <v>https://www.catalog.slsa.sa.gov.au/xrecord=b2110929</v>
      </c>
      <c r="D3454" t="s">
        <v>66</v>
      </c>
      <c r="E3454" t="s">
        <v>11101</v>
      </c>
      <c r="F3454">
        <v>1963</v>
      </c>
      <c r="G3454" t="s">
        <v>121</v>
      </c>
      <c r="H3454" t="s">
        <v>11973</v>
      </c>
      <c r="I3454" t="s">
        <v>11974</v>
      </c>
      <c r="J3454" t="s">
        <v>71</v>
      </c>
      <c r="K3454" s="2" t="str">
        <f>HYPERLINK("http://collections.slsa.sa.gov.au/arthur/01750/BRG347_1610.htm")</f>
        <v>http://collections.slsa.sa.gov.au/arthur/01750/BRG347_1610.htm</v>
      </c>
    </row>
    <row r="3455" spans="1:11" x14ac:dyDescent="0.25">
      <c r="A3455" t="s">
        <v>11975</v>
      </c>
      <c r="B3455" s="1" t="str">
        <f>HYPERLINK("https://www.catalog.slsa.sa.gov.au/record=b2110931")</f>
        <v>https://www.catalog.slsa.sa.gov.au/record=b2110931</v>
      </c>
      <c r="C3455" s="1" t="str">
        <f>HYPERLINK("https://www.catalog.slsa.sa.gov.au/xrecord=b2110931")</f>
        <v>https://www.catalog.slsa.sa.gov.au/xrecord=b2110931</v>
      </c>
      <c r="D3455" t="s">
        <v>66</v>
      </c>
      <c r="E3455" t="s">
        <v>11976</v>
      </c>
      <c r="F3455">
        <v>1963</v>
      </c>
      <c r="G3455" t="s">
        <v>121</v>
      </c>
      <c r="H3455" t="s">
        <v>11977</v>
      </c>
      <c r="I3455" t="s">
        <v>11978</v>
      </c>
      <c r="J3455" t="s">
        <v>71</v>
      </c>
      <c r="K3455" s="2" t="str">
        <f>HYPERLINK("http://collections.slsa.sa.gov.au/arthur/01750/BRG347_1612.htm")</f>
        <v>http://collections.slsa.sa.gov.au/arthur/01750/BRG347_1612.htm</v>
      </c>
    </row>
    <row r="3456" spans="1:11" x14ac:dyDescent="0.25">
      <c r="A3456" t="s">
        <v>11979</v>
      </c>
      <c r="B3456" s="1" t="str">
        <f>HYPERLINK("https://www.catalog.slsa.sa.gov.au/record=b2110932")</f>
        <v>https://www.catalog.slsa.sa.gov.au/record=b2110932</v>
      </c>
      <c r="C3456" s="1" t="str">
        <f>HYPERLINK("https://www.catalog.slsa.sa.gov.au/xrecord=b2110932")</f>
        <v>https://www.catalog.slsa.sa.gov.au/xrecord=b2110932</v>
      </c>
      <c r="D3456" t="s">
        <v>66</v>
      </c>
      <c r="E3456" t="s">
        <v>11980</v>
      </c>
      <c r="F3456">
        <v>1963</v>
      </c>
      <c r="G3456" t="s">
        <v>121</v>
      </c>
      <c r="H3456" t="s">
        <v>11981</v>
      </c>
      <c r="I3456" t="s">
        <v>11982</v>
      </c>
      <c r="J3456" t="s">
        <v>71</v>
      </c>
      <c r="K3456" s="2" t="str">
        <f>HYPERLINK("http://collections.slsa.sa.gov.au/arthur/01750/BRG347_1613.htm")</f>
        <v>http://collections.slsa.sa.gov.au/arthur/01750/BRG347_1613.htm</v>
      </c>
    </row>
    <row r="3457" spans="1:11" x14ac:dyDescent="0.25">
      <c r="A3457" t="s">
        <v>11983</v>
      </c>
      <c r="B3457" s="1" t="str">
        <f>HYPERLINK("https://www.catalog.slsa.sa.gov.au/record=b2110933")</f>
        <v>https://www.catalog.slsa.sa.gov.au/record=b2110933</v>
      </c>
      <c r="C3457" s="1" t="str">
        <f>HYPERLINK("https://www.catalog.slsa.sa.gov.au/xrecord=b2110933")</f>
        <v>https://www.catalog.slsa.sa.gov.au/xrecord=b2110933</v>
      </c>
      <c r="D3457" t="s">
        <v>66</v>
      </c>
      <c r="E3457" t="s">
        <v>11984</v>
      </c>
      <c r="F3457">
        <v>1963</v>
      </c>
      <c r="G3457" t="s">
        <v>121</v>
      </c>
      <c r="H3457" t="s">
        <v>11985</v>
      </c>
      <c r="I3457" t="s">
        <v>11986</v>
      </c>
      <c r="J3457" t="s">
        <v>71</v>
      </c>
      <c r="K3457" s="2" t="str">
        <f>HYPERLINK("http://collections.slsa.sa.gov.au/arthur/01750/BRG347_1614.htm")</f>
        <v>http://collections.slsa.sa.gov.au/arthur/01750/BRG347_1614.htm</v>
      </c>
    </row>
    <row r="3458" spans="1:11" x14ac:dyDescent="0.25">
      <c r="A3458" t="s">
        <v>11987</v>
      </c>
      <c r="B3458" s="1" t="str">
        <f>HYPERLINK("https://www.catalog.slsa.sa.gov.au/record=b2110934")</f>
        <v>https://www.catalog.slsa.sa.gov.au/record=b2110934</v>
      </c>
      <c r="C3458" s="1" t="str">
        <f>HYPERLINK("https://www.catalog.slsa.sa.gov.au/xrecord=b2110934")</f>
        <v>https://www.catalog.slsa.sa.gov.au/xrecord=b2110934</v>
      </c>
      <c r="D3458" t="s">
        <v>66</v>
      </c>
      <c r="E3458" t="s">
        <v>11988</v>
      </c>
      <c r="F3458">
        <v>1963</v>
      </c>
      <c r="G3458" t="s">
        <v>121</v>
      </c>
      <c r="H3458" t="s">
        <v>11989</v>
      </c>
      <c r="I3458" t="s">
        <v>11990</v>
      </c>
      <c r="J3458" t="s">
        <v>71</v>
      </c>
      <c r="K3458" s="2" t="str">
        <f>HYPERLINK("http://collections.slsa.sa.gov.au/arthur/01750/BRG347_1615.htm")</f>
        <v>http://collections.slsa.sa.gov.au/arthur/01750/BRG347_1615.htm</v>
      </c>
    </row>
    <row r="3459" spans="1:11" x14ac:dyDescent="0.25">
      <c r="A3459" t="s">
        <v>11991</v>
      </c>
      <c r="B3459" s="1" t="str">
        <f>HYPERLINK("https://www.catalog.slsa.sa.gov.au/record=b2110940")</f>
        <v>https://www.catalog.slsa.sa.gov.au/record=b2110940</v>
      </c>
      <c r="C3459" s="1" t="str">
        <f>HYPERLINK("https://www.catalog.slsa.sa.gov.au/xrecord=b2110940")</f>
        <v>https://www.catalog.slsa.sa.gov.au/xrecord=b2110940</v>
      </c>
      <c r="D3459" t="s">
        <v>66</v>
      </c>
      <c r="E3459" t="s">
        <v>11992</v>
      </c>
      <c r="F3459">
        <v>1963</v>
      </c>
      <c r="G3459" t="s">
        <v>121</v>
      </c>
      <c r="H3459" t="s">
        <v>11993</v>
      </c>
      <c r="I3459" t="s">
        <v>11994</v>
      </c>
      <c r="J3459" t="s">
        <v>71</v>
      </c>
      <c r="K3459" s="2" t="str">
        <f>HYPERLINK("http://collections.slsa.sa.gov.au/arthur/01750/BRG347_1621.htm")</f>
        <v>http://collections.slsa.sa.gov.au/arthur/01750/BRG347_1621.htm</v>
      </c>
    </row>
    <row r="3460" spans="1:11" x14ac:dyDescent="0.25">
      <c r="A3460" t="s">
        <v>11995</v>
      </c>
      <c r="B3460" s="1" t="str">
        <f>HYPERLINK("https://www.catalog.slsa.sa.gov.au/record=b2110941")</f>
        <v>https://www.catalog.slsa.sa.gov.au/record=b2110941</v>
      </c>
      <c r="C3460" s="1" t="str">
        <f>HYPERLINK("https://www.catalog.slsa.sa.gov.au/xrecord=b2110941")</f>
        <v>https://www.catalog.slsa.sa.gov.au/xrecord=b2110941</v>
      </c>
      <c r="D3460" t="s">
        <v>66</v>
      </c>
      <c r="E3460" t="s">
        <v>11996</v>
      </c>
      <c r="F3460">
        <v>1963</v>
      </c>
      <c r="G3460" t="s">
        <v>121</v>
      </c>
      <c r="H3460" t="s">
        <v>11997</v>
      </c>
      <c r="I3460" t="s">
        <v>11998</v>
      </c>
      <c r="J3460" t="s">
        <v>71</v>
      </c>
      <c r="K3460" s="2" t="str">
        <f>HYPERLINK("http://collections.slsa.sa.gov.au/arthur/01750/BRG347_1622.htm")</f>
        <v>http://collections.slsa.sa.gov.au/arthur/01750/BRG347_1622.htm</v>
      </c>
    </row>
    <row r="3461" spans="1:11" x14ac:dyDescent="0.25">
      <c r="A3461" t="s">
        <v>11999</v>
      </c>
      <c r="B3461" s="1" t="str">
        <f>HYPERLINK("https://www.catalog.slsa.sa.gov.au/record=b2110942")</f>
        <v>https://www.catalog.slsa.sa.gov.au/record=b2110942</v>
      </c>
      <c r="C3461" s="1" t="str">
        <f>HYPERLINK("https://www.catalog.slsa.sa.gov.au/xrecord=b2110942")</f>
        <v>https://www.catalog.slsa.sa.gov.au/xrecord=b2110942</v>
      </c>
      <c r="D3461" t="s">
        <v>66</v>
      </c>
      <c r="E3461" t="s">
        <v>12000</v>
      </c>
      <c r="F3461">
        <v>1963</v>
      </c>
      <c r="G3461" t="s">
        <v>121</v>
      </c>
      <c r="H3461" t="s">
        <v>12001</v>
      </c>
      <c r="I3461" t="s">
        <v>12002</v>
      </c>
      <c r="J3461" t="s">
        <v>71</v>
      </c>
      <c r="K3461" s="2" t="str">
        <f>HYPERLINK("http://collections.slsa.sa.gov.au/arthur/01750/BRG347_1623.htm")</f>
        <v>http://collections.slsa.sa.gov.au/arthur/01750/BRG347_1623.htm</v>
      </c>
    </row>
    <row r="3462" spans="1:11" x14ac:dyDescent="0.25">
      <c r="A3462" t="s">
        <v>12003</v>
      </c>
      <c r="B3462" s="1" t="str">
        <f>HYPERLINK("https://www.catalog.slsa.sa.gov.au/record=b2110943")</f>
        <v>https://www.catalog.slsa.sa.gov.au/record=b2110943</v>
      </c>
      <c r="C3462" s="1" t="str">
        <f>HYPERLINK("https://www.catalog.slsa.sa.gov.au/xrecord=b2110943")</f>
        <v>https://www.catalog.slsa.sa.gov.au/xrecord=b2110943</v>
      </c>
      <c r="D3462" t="s">
        <v>66</v>
      </c>
      <c r="E3462" t="s">
        <v>12004</v>
      </c>
      <c r="F3462">
        <v>1963</v>
      </c>
      <c r="G3462" t="s">
        <v>121</v>
      </c>
      <c r="H3462" t="s">
        <v>12005</v>
      </c>
      <c r="I3462" t="s">
        <v>12006</v>
      </c>
      <c r="J3462" t="s">
        <v>71</v>
      </c>
      <c r="K3462" s="2" t="str">
        <f>HYPERLINK("http://collections.slsa.sa.gov.au/arthur/01750/BRG347_1624.htm")</f>
        <v>http://collections.slsa.sa.gov.au/arthur/01750/BRG347_1624.htm</v>
      </c>
    </row>
    <row r="3463" spans="1:11" x14ac:dyDescent="0.25">
      <c r="A3463" t="s">
        <v>12007</v>
      </c>
      <c r="B3463" s="1" t="str">
        <f>HYPERLINK("https://www.catalog.slsa.sa.gov.au/record=b2110999")</f>
        <v>https://www.catalog.slsa.sa.gov.au/record=b2110999</v>
      </c>
      <c r="C3463" s="1" t="str">
        <f>HYPERLINK("https://www.catalog.slsa.sa.gov.au/xrecord=b2110999")</f>
        <v>https://www.catalog.slsa.sa.gov.au/xrecord=b2110999</v>
      </c>
      <c r="D3463" t="s">
        <v>66</v>
      </c>
      <c r="E3463" t="s">
        <v>12008</v>
      </c>
      <c r="F3463">
        <v>1963</v>
      </c>
      <c r="G3463" t="s">
        <v>121</v>
      </c>
      <c r="H3463" t="s">
        <v>12009</v>
      </c>
      <c r="I3463" t="s">
        <v>12010</v>
      </c>
      <c r="J3463" t="s">
        <v>71</v>
      </c>
      <c r="K3463" s="2" t="str">
        <f>HYPERLINK("http://collections.slsa.sa.gov.au/arthur/01750/BRG347_1678.htm")</f>
        <v>http://collections.slsa.sa.gov.au/arthur/01750/BRG347_1678.htm</v>
      </c>
    </row>
    <row r="3464" spans="1:11" x14ac:dyDescent="0.25">
      <c r="A3464" t="s">
        <v>12011</v>
      </c>
      <c r="B3464" s="1" t="str">
        <f>HYPERLINK("https://www.catalog.slsa.sa.gov.au/record=b2111007")</f>
        <v>https://www.catalog.slsa.sa.gov.au/record=b2111007</v>
      </c>
      <c r="C3464" s="1" t="str">
        <f>HYPERLINK("https://www.catalog.slsa.sa.gov.au/xrecord=b2111007")</f>
        <v>https://www.catalog.slsa.sa.gov.au/xrecord=b2111007</v>
      </c>
      <c r="D3464" t="s">
        <v>66</v>
      </c>
      <c r="E3464" t="s">
        <v>9631</v>
      </c>
      <c r="F3464">
        <v>1963</v>
      </c>
      <c r="G3464" t="s">
        <v>121</v>
      </c>
      <c r="H3464" t="s">
        <v>12012</v>
      </c>
      <c r="I3464" t="s">
        <v>12013</v>
      </c>
      <c r="J3464" t="s">
        <v>71</v>
      </c>
      <c r="K3464" s="2" t="str">
        <f>HYPERLINK("http://collections.slsa.sa.gov.au/arthur/01750/BRG347_1687.htm")</f>
        <v>http://collections.slsa.sa.gov.au/arthur/01750/BRG347_1687.htm</v>
      </c>
    </row>
    <row r="3465" spans="1:11" x14ac:dyDescent="0.25">
      <c r="A3465" t="s">
        <v>12014</v>
      </c>
      <c r="B3465" s="1" t="str">
        <f>HYPERLINK("https://www.catalog.slsa.sa.gov.au/record=b2111008")</f>
        <v>https://www.catalog.slsa.sa.gov.au/record=b2111008</v>
      </c>
      <c r="C3465" s="1" t="str">
        <f>HYPERLINK("https://www.catalog.slsa.sa.gov.au/xrecord=b2111008")</f>
        <v>https://www.catalog.slsa.sa.gov.au/xrecord=b2111008</v>
      </c>
      <c r="D3465" t="s">
        <v>66</v>
      </c>
      <c r="E3465" t="s">
        <v>9631</v>
      </c>
      <c r="F3465">
        <v>1963</v>
      </c>
      <c r="G3465" t="s">
        <v>121</v>
      </c>
      <c r="H3465" t="s">
        <v>12012</v>
      </c>
      <c r="I3465" t="s">
        <v>9633</v>
      </c>
      <c r="J3465" t="s">
        <v>71</v>
      </c>
      <c r="K3465" s="2" t="str">
        <f>HYPERLINK("http://collections.slsa.sa.gov.au/arthur/01750/BRG347_1688.htm")</f>
        <v>http://collections.slsa.sa.gov.au/arthur/01750/BRG347_1688.htm</v>
      </c>
    </row>
    <row r="3466" spans="1:11" x14ac:dyDescent="0.25">
      <c r="A3466" t="s">
        <v>12015</v>
      </c>
      <c r="B3466" s="1" t="str">
        <f>HYPERLINK("https://www.catalog.slsa.sa.gov.au/record=b2111057")</f>
        <v>https://www.catalog.slsa.sa.gov.au/record=b2111057</v>
      </c>
      <c r="C3466" s="1" t="str">
        <f>HYPERLINK("https://www.catalog.slsa.sa.gov.au/xrecord=b2111057")</f>
        <v>https://www.catalog.slsa.sa.gov.au/xrecord=b2111057</v>
      </c>
      <c r="D3466" t="s">
        <v>66</v>
      </c>
      <c r="E3466" t="s">
        <v>12016</v>
      </c>
      <c r="F3466">
        <v>1963</v>
      </c>
      <c r="G3466" t="s">
        <v>121</v>
      </c>
      <c r="H3466" t="s">
        <v>12017</v>
      </c>
      <c r="I3466" t="s">
        <v>12018</v>
      </c>
      <c r="J3466" t="s">
        <v>71</v>
      </c>
      <c r="K3466" s="2" t="str">
        <f>HYPERLINK("http://collections.slsa.sa.gov.au/arthur/01750/BRG347_1739.htm")</f>
        <v>http://collections.slsa.sa.gov.au/arthur/01750/BRG347_1739.htm</v>
      </c>
    </row>
    <row r="3467" spans="1:11" x14ac:dyDescent="0.25">
      <c r="A3467" t="s">
        <v>12019</v>
      </c>
      <c r="B3467" s="1" t="str">
        <f>HYPERLINK("https://www.catalog.slsa.sa.gov.au/record=b2111058")</f>
        <v>https://www.catalog.slsa.sa.gov.au/record=b2111058</v>
      </c>
      <c r="C3467" s="1" t="str">
        <f>HYPERLINK("https://www.catalog.slsa.sa.gov.au/xrecord=b2111058")</f>
        <v>https://www.catalog.slsa.sa.gov.au/xrecord=b2111058</v>
      </c>
      <c r="D3467" t="s">
        <v>66</v>
      </c>
      <c r="E3467" t="s">
        <v>12020</v>
      </c>
      <c r="F3467">
        <v>1963</v>
      </c>
      <c r="G3467" t="s">
        <v>121</v>
      </c>
      <c r="H3467" t="s">
        <v>12021</v>
      </c>
      <c r="I3467" t="s">
        <v>12022</v>
      </c>
      <c r="J3467" t="s">
        <v>71</v>
      </c>
      <c r="K3467" s="2" t="str">
        <f>HYPERLINK("http://collections.slsa.sa.gov.au/arthur/01750/BRG347_1740.htm")</f>
        <v>http://collections.slsa.sa.gov.au/arthur/01750/BRG347_1740.htm</v>
      </c>
    </row>
    <row r="3468" spans="1:11" x14ac:dyDescent="0.25">
      <c r="A3468" t="s">
        <v>12023</v>
      </c>
      <c r="B3468" s="1" t="str">
        <f>HYPERLINK("https://www.catalog.slsa.sa.gov.au/record=b2111059")</f>
        <v>https://www.catalog.slsa.sa.gov.au/record=b2111059</v>
      </c>
      <c r="C3468" s="1" t="str">
        <f>HYPERLINK("https://www.catalog.slsa.sa.gov.au/xrecord=b2111059")</f>
        <v>https://www.catalog.slsa.sa.gov.au/xrecord=b2111059</v>
      </c>
      <c r="D3468" t="s">
        <v>66</v>
      </c>
      <c r="E3468" t="s">
        <v>12024</v>
      </c>
      <c r="F3468">
        <v>1963</v>
      </c>
      <c r="G3468" t="s">
        <v>121</v>
      </c>
      <c r="H3468" t="s">
        <v>12025</v>
      </c>
      <c r="I3468" t="s">
        <v>12026</v>
      </c>
      <c r="J3468" t="s">
        <v>71</v>
      </c>
      <c r="K3468" s="2" t="str">
        <f>HYPERLINK("http://collections.slsa.sa.gov.au/arthur/01750/BRG347_1741.htm")</f>
        <v>http://collections.slsa.sa.gov.au/arthur/01750/BRG347_1741.htm</v>
      </c>
    </row>
    <row r="3469" spans="1:11" x14ac:dyDescent="0.25">
      <c r="A3469" t="s">
        <v>12027</v>
      </c>
      <c r="B3469" s="1" t="str">
        <f>HYPERLINK("https://www.catalog.slsa.sa.gov.au/record=b2111060")</f>
        <v>https://www.catalog.slsa.sa.gov.au/record=b2111060</v>
      </c>
      <c r="C3469" s="1" t="str">
        <f>HYPERLINK("https://www.catalog.slsa.sa.gov.au/xrecord=b2111060")</f>
        <v>https://www.catalog.slsa.sa.gov.au/xrecord=b2111060</v>
      </c>
      <c r="D3469" t="s">
        <v>66</v>
      </c>
      <c r="E3469" t="s">
        <v>12028</v>
      </c>
      <c r="F3469">
        <v>1963</v>
      </c>
      <c r="G3469" t="s">
        <v>121</v>
      </c>
      <c r="H3469" t="s">
        <v>12029</v>
      </c>
      <c r="I3469" t="s">
        <v>6208</v>
      </c>
      <c r="J3469" t="s">
        <v>71</v>
      </c>
      <c r="K3469" s="2" t="str">
        <f>HYPERLINK("http://collections.slsa.sa.gov.au/arthur/01750/BRG347_1742.htm")</f>
        <v>http://collections.slsa.sa.gov.au/arthur/01750/BRG347_1742.htm</v>
      </c>
    </row>
    <row r="3470" spans="1:11" x14ac:dyDescent="0.25">
      <c r="A3470" t="s">
        <v>12030</v>
      </c>
      <c r="B3470" s="1" t="str">
        <f>HYPERLINK("https://www.catalog.slsa.sa.gov.au/record=b2111062")</f>
        <v>https://www.catalog.slsa.sa.gov.au/record=b2111062</v>
      </c>
      <c r="C3470" s="1" t="str">
        <f>HYPERLINK("https://www.catalog.slsa.sa.gov.au/xrecord=b2111062")</f>
        <v>https://www.catalog.slsa.sa.gov.au/xrecord=b2111062</v>
      </c>
      <c r="D3470" t="s">
        <v>66</v>
      </c>
      <c r="E3470" t="s">
        <v>12020</v>
      </c>
      <c r="F3470">
        <v>1963</v>
      </c>
      <c r="G3470" t="s">
        <v>121</v>
      </c>
      <c r="H3470" t="s">
        <v>12031</v>
      </c>
      <c r="I3470" t="s">
        <v>12032</v>
      </c>
      <c r="J3470" t="s">
        <v>71</v>
      </c>
      <c r="K3470" s="2" t="str">
        <f>HYPERLINK("http://collections.slsa.sa.gov.au/arthur/01750/BRG347_1743.htm")</f>
        <v>http://collections.slsa.sa.gov.au/arthur/01750/BRG347_1743.htm</v>
      </c>
    </row>
    <row r="3471" spans="1:11" x14ac:dyDescent="0.25">
      <c r="A3471" t="s">
        <v>12033</v>
      </c>
      <c r="B3471" s="1" t="str">
        <f>HYPERLINK("https://www.catalog.slsa.sa.gov.au/record=b2111063")</f>
        <v>https://www.catalog.slsa.sa.gov.au/record=b2111063</v>
      </c>
      <c r="C3471" s="1" t="str">
        <f>HYPERLINK("https://www.catalog.slsa.sa.gov.au/xrecord=b2111063")</f>
        <v>https://www.catalog.slsa.sa.gov.au/xrecord=b2111063</v>
      </c>
      <c r="D3471" t="s">
        <v>66</v>
      </c>
      <c r="E3471" t="s">
        <v>12034</v>
      </c>
      <c r="F3471">
        <v>1963</v>
      </c>
      <c r="G3471" t="s">
        <v>121</v>
      </c>
      <c r="H3471" t="s">
        <v>12035</v>
      </c>
      <c r="I3471" t="s">
        <v>12036</v>
      </c>
      <c r="J3471" t="s">
        <v>71</v>
      </c>
      <c r="K3471" s="2" t="str">
        <f>HYPERLINK("http://collections.slsa.sa.gov.au/arthur/01750/BRG347_1744.htm")</f>
        <v>http://collections.slsa.sa.gov.au/arthur/01750/BRG347_1744.htm</v>
      </c>
    </row>
    <row r="3472" spans="1:11" x14ac:dyDescent="0.25">
      <c r="A3472" t="s">
        <v>12037</v>
      </c>
      <c r="B3472" s="1" t="str">
        <f>HYPERLINK("https://www.catalog.slsa.sa.gov.au/record=b2111064")</f>
        <v>https://www.catalog.slsa.sa.gov.au/record=b2111064</v>
      </c>
      <c r="C3472" s="1" t="str">
        <f>HYPERLINK("https://www.catalog.slsa.sa.gov.au/xrecord=b2111064")</f>
        <v>https://www.catalog.slsa.sa.gov.au/xrecord=b2111064</v>
      </c>
      <c r="D3472" t="s">
        <v>66</v>
      </c>
      <c r="E3472" t="s">
        <v>12038</v>
      </c>
      <c r="F3472">
        <v>1963</v>
      </c>
      <c r="G3472" t="s">
        <v>121</v>
      </c>
      <c r="H3472" t="s">
        <v>12039</v>
      </c>
      <c r="I3472" t="s">
        <v>12040</v>
      </c>
      <c r="J3472" t="s">
        <v>71</v>
      </c>
      <c r="K3472" s="2" t="str">
        <f>HYPERLINK("http://collections.slsa.sa.gov.au/arthur/01750/BRG347_1745.htm")</f>
        <v>http://collections.slsa.sa.gov.au/arthur/01750/BRG347_1745.htm</v>
      </c>
    </row>
    <row r="3473" spans="1:11" x14ac:dyDescent="0.25">
      <c r="A3473" t="s">
        <v>12041</v>
      </c>
      <c r="B3473" s="1" t="str">
        <f>HYPERLINK("https://www.catalog.slsa.sa.gov.au/record=b2111065")</f>
        <v>https://www.catalog.slsa.sa.gov.au/record=b2111065</v>
      </c>
      <c r="C3473" s="1" t="str">
        <f>HYPERLINK("https://www.catalog.slsa.sa.gov.au/xrecord=b2111065")</f>
        <v>https://www.catalog.slsa.sa.gov.au/xrecord=b2111065</v>
      </c>
      <c r="D3473" t="s">
        <v>66</v>
      </c>
      <c r="E3473" t="s">
        <v>12038</v>
      </c>
      <c r="F3473">
        <v>1963</v>
      </c>
      <c r="G3473" t="s">
        <v>121</v>
      </c>
      <c r="H3473" t="s">
        <v>12039</v>
      </c>
      <c r="I3473" t="s">
        <v>12040</v>
      </c>
      <c r="J3473" t="s">
        <v>71</v>
      </c>
      <c r="K3473" s="2" t="str">
        <f>HYPERLINK("http://collections.slsa.sa.gov.au/arthur/01750/BRG347_1746.htm")</f>
        <v>http://collections.slsa.sa.gov.au/arthur/01750/BRG347_1746.htm</v>
      </c>
    </row>
    <row r="3474" spans="1:11" x14ac:dyDescent="0.25">
      <c r="A3474" t="s">
        <v>12042</v>
      </c>
      <c r="B3474" s="1" t="str">
        <f>HYPERLINK("https://www.catalog.slsa.sa.gov.au/record=b2111066")</f>
        <v>https://www.catalog.slsa.sa.gov.au/record=b2111066</v>
      </c>
      <c r="C3474" s="1" t="str">
        <f>HYPERLINK("https://www.catalog.slsa.sa.gov.au/xrecord=b2111066")</f>
        <v>https://www.catalog.slsa.sa.gov.au/xrecord=b2111066</v>
      </c>
      <c r="D3474" t="s">
        <v>66</v>
      </c>
      <c r="E3474" t="s">
        <v>12043</v>
      </c>
      <c r="F3474">
        <v>1963</v>
      </c>
      <c r="G3474" t="s">
        <v>121</v>
      </c>
      <c r="H3474" t="s">
        <v>12044</v>
      </c>
      <c r="I3474" t="s">
        <v>12045</v>
      </c>
      <c r="J3474" t="s">
        <v>71</v>
      </c>
      <c r="K3474" s="2" t="str">
        <f>HYPERLINK("http://collections.slsa.sa.gov.au/arthur/01750/BRG347_1747.htm")</f>
        <v>http://collections.slsa.sa.gov.au/arthur/01750/BRG347_1747.htm</v>
      </c>
    </row>
    <row r="3475" spans="1:11" x14ac:dyDescent="0.25">
      <c r="A3475" t="s">
        <v>12046</v>
      </c>
      <c r="B3475" s="1" t="str">
        <f>HYPERLINK("https://www.catalog.slsa.sa.gov.au/record=b2111067")</f>
        <v>https://www.catalog.slsa.sa.gov.au/record=b2111067</v>
      </c>
      <c r="C3475" s="1" t="str">
        <f>HYPERLINK("https://www.catalog.slsa.sa.gov.au/xrecord=b2111067")</f>
        <v>https://www.catalog.slsa.sa.gov.au/xrecord=b2111067</v>
      </c>
      <c r="D3475" t="s">
        <v>66</v>
      </c>
      <c r="E3475" t="s">
        <v>12047</v>
      </c>
      <c r="F3475">
        <v>1963</v>
      </c>
      <c r="G3475" t="s">
        <v>121</v>
      </c>
      <c r="H3475" t="s">
        <v>12048</v>
      </c>
      <c r="I3475" t="s">
        <v>12040</v>
      </c>
      <c r="J3475" t="s">
        <v>71</v>
      </c>
      <c r="K3475" s="2" t="str">
        <f>HYPERLINK("http://collections.slsa.sa.gov.au/arthur/01750/BRG347_1748.htm")</f>
        <v>http://collections.slsa.sa.gov.au/arthur/01750/BRG347_1748.htm</v>
      </c>
    </row>
    <row r="3476" spans="1:11" x14ac:dyDescent="0.25">
      <c r="A3476" t="s">
        <v>12049</v>
      </c>
      <c r="B3476" s="1" t="str">
        <f>HYPERLINK("https://www.catalog.slsa.sa.gov.au/record=b2111068")</f>
        <v>https://www.catalog.slsa.sa.gov.au/record=b2111068</v>
      </c>
      <c r="C3476" s="1" t="str">
        <f>HYPERLINK("https://www.catalog.slsa.sa.gov.au/xrecord=b2111068")</f>
        <v>https://www.catalog.slsa.sa.gov.au/xrecord=b2111068</v>
      </c>
      <c r="D3476" t="s">
        <v>66</v>
      </c>
      <c r="E3476" t="s">
        <v>12050</v>
      </c>
      <c r="F3476">
        <v>1963</v>
      </c>
      <c r="G3476" t="s">
        <v>121</v>
      </c>
      <c r="H3476" t="s">
        <v>12051</v>
      </c>
      <c r="I3476" t="s">
        <v>12052</v>
      </c>
      <c r="J3476" t="s">
        <v>71</v>
      </c>
      <c r="K3476" s="2" t="str">
        <f>HYPERLINK("http://collections.slsa.sa.gov.au/arthur/01750/BRG347_1749.htm")</f>
        <v>http://collections.slsa.sa.gov.au/arthur/01750/BRG347_1749.htm</v>
      </c>
    </row>
    <row r="3477" spans="1:11" x14ac:dyDescent="0.25">
      <c r="A3477" t="s">
        <v>12053</v>
      </c>
      <c r="B3477" s="1" t="str">
        <f>HYPERLINK("https://www.catalog.slsa.sa.gov.au/record=b2111069")</f>
        <v>https://www.catalog.slsa.sa.gov.au/record=b2111069</v>
      </c>
      <c r="C3477" s="1" t="str">
        <f>HYPERLINK("https://www.catalog.slsa.sa.gov.au/xrecord=b2111069")</f>
        <v>https://www.catalog.slsa.sa.gov.au/xrecord=b2111069</v>
      </c>
      <c r="D3477" t="s">
        <v>66</v>
      </c>
      <c r="E3477" t="s">
        <v>12054</v>
      </c>
      <c r="F3477">
        <v>1963</v>
      </c>
      <c r="G3477" t="s">
        <v>121</v>
      </c>
      <c r="H3477" t="s">
        <v>12055</v>
      </c>
      <c r="I3477" t="s">
        <v>12056</v>
      </c>
      <c r="J3477" t="s">
        <v>71</v>
      </c>
      <c r="K3477" s="2" t="str">
        <f>HYPERLINK("http://collections.slsa.sa.gov.au/arthur/01750/BRG347_1750.htm")</f>
        <v>http://collections.slsa.sa.gov.au/arthur/01750/BRG347_1750.htm</v>
      </c>
    </row>
    <row r="3478" spans="1:11" x14ac:dyDescent="0.25">
      <c r="A3478" t="s">
        <v>12057</v>
      </c>
      <c r="B3478" s="1" t="str">
        <f>HYPERLINK("https://www.catalog.slsa.sa.gov.au/record=b2111070")</f>
        <v>https://www.catalog.slsa.sa.gov.au/record=b2111070</v>
      </c>
      <c r="C3478" s="1" t="str">
        <f>HYPERLINK("https://www.catalog.slsa.sa.gov.au/xrecord=b2111070")</f>
        <v>https://www.catalog.slsa.sa.gov.au/xrecord=b2111070</v>
      </c>
      <c r="D3478" t="s">
        <v>66</v>
      </c>
      <c r="E3478" t="s">
        <v>12058</v>
      </c>
      <c r="F3478">
        <v>1963</v>
      </c>
      <c r="G3478" t="s">
        <v>121</v>
      </c>
      <c r="H3478" t="s">
        <v>12059</v>
      </c>
      <c r="I3478" t="s">
        <v>12060</v>
      </c>
      <c r="J3478" t="s">
        <v>71</v>
      </c>
      <c r="K3478" s="2" t="str">
        <f>HYPERLINK("http://collections.slsa.sa.gov.au/arthur/02000/BRG347_1751.htm")</f>
        <v>http://collections.slsa.sa.gov.au/arthur/02000/BRG347_1751.htm</v>
      </c>
    </row>
    <row r="3479" spans="1:11" x14ac:dyDescent="0.25">
      <c r="A3479" t="s">
        <v>12061</v>
      </c>
      <c r="B3479" s="1" t="str">
        <f>HYPERLINK("https://www.catalog.slsa.sa.gov.au/record=b2111071")</f>
        <v>https://www.catalog.slsa.sa.gov.au/record=b2111071</v>
      </c>
      <c r="C3479" s="1" t="str">
        <f>HYPERLINK("https://www.catalog.slsa.sa.gov.au/xrecord=b2111071")</f>
        <v>https://www.catalog.slsa.sa.gov.au/xrecord=b2111071</v>
      </c>
      <c r="D3479" t="s">
        <v>66</v>
      </c>
      <c r="E3479" t="s">
        <v>12062</v>
      </c>
      <c r="F3479">
        <v>1963</v>
      </c>
      <c r="G3479" t="s">
        <v>121</v>
      </c>
      <c r="H3479" t="s">
        <v>12063</v>
      </c>
      <c r="I3479" t="s">
        <v>12064</v>
      </c>
      <c r="J3479" t="s">
        <v>71</v>
      </c>
      <c r="K3479" s="2" t="str">
        <f>HYPERLINK("http://collections.slsa.sa.gov.au/arthur/02000/BRG347_1752.htm")</f>
        <v>http://collections.slsa.sa.gov.au/arthur/02000/BRG347_1752.htm</v>
      </c>
    </row>
    <row r="3480" spans="1:11" x14ac:dyDescent="0.25">
      <c r="A3480" t="s">
        <v>12065</v>
      </c>
      <c r="B3480" s="1" t="str">
        <f>HYPERLINK("https://www.catalog.slsa.sa.gov.au/record=b2111072")</f>
        <v>https://www.catalog.slsa.sa.gov.au/record=b2111072</v>
      </c>
      <c r="C3480" s="1" t="str">
        <f>HYPERLINK("https://www.catalog.slsa.sa.gov.au/xrecord=b2111072")</f>
        <v>https://www.catalog.slsa.sa.gov.au/xrecord=b2111072</v>
      </c>
      <c r="D3480" t="s">
        <v>66</v>
      </c>
      <c r="E3480" t="s">
        <v>12066</v>
      </c>
      <c r="F3480">
        <v>1963</v>
      </c>
      <c r="G3480" t="s">
        <v>121</v>
      </c>
      <c r="H3480" t="s">
        <v>12067</v>
      </c>
      <c r="I3480" t="s">
        <v>12068</v>
      </c>
      <c r="J3480" t="s">
        <v>71</v>
      </c>
      <c r="K3480" s="2" t="str">
        <f>HYPERLINK("http://collections.slsa.sa.gov.au/arthur/02000/BRG347_1753.htm")</f>
        <v>http://collections.slsa.sa.gov.au/arthur/02000/BRG347_1753.htm</v>
      </c>
    </row>
    <row r="3481" spans="1:11" x14ac:dyDescent="0.25">
      <c r="A3481" t="s">
        <v>12069</v>
      </c>
      <c r="B3481" s="1" t="str">
        <f>HYPERLINK("https://www.catalog.slsa.sa.gov.au/record=b2111073")</f>
        <v>https://www.catalog.slsa.sa.gov.au/record=b2111073</v>
      </c>
      <c r="C3481" s="1" t="str">
        <f>HYPERLINK("https://www.catalog.slsa.sa.gov.au/xrecord=b2111073")</f>
        <v>https://www.catalog.slsa.sa.gov.au/xrecord=b2111073</v>
      </c>
      <c r="D3481" t="s">
        <v>66</v>
      </c>
      <c r="E3481" t="s">
        <v>12070</v>
      </c>
      <c r="F3481">
        <v>1963</v>
      </c>
      <c r="G3481" t="s">
        <v>121</v>
      </c>
      <c r="H3481" t="s">
        <v>12071</v>
      </c>
      <c r="I3481" t="s">
        <v>12072</v>
      </c>
      <c r="J3481" t="s">
        <v>71</v>
      </c>
      <c r="K3481" s="2" t="str">
        <f>HYPERLINK("http://collections.slsa.sa.gov.au/arthur/02000/BRG347_1754.htm")</f>
        <v>http://collections.slsa.sa.gov.au/arthur/02000/BRG347_1754.htm</v>
      </c>
    </row>
    <row r="3482" spans="1:11" x14ac:dyDescent="0.25">
      <c r="A3482" t="s">
        <v>12073</v>
      </c>
      <c r="B3482" s="1" t="str">
        <f>HYPERLINK("https://www.catalog.slsa.sa.gov.au/record=b2111074")</f>
        <v>https://www.catalog.slsa.sa.gov.au/record=b2111074</v>
      </c>
      <c r="C3482" s="1" t="str">
        <f>HYPERLINK("https://www.catalog.slsa.sa.gov.au/xrecord=b2111074")</f>
        <v>https://www.catalog.slsa.sa.gov.au/xrecord=b2111074</v>
      </c>
      <c r="D3482" t="s">
        <v>66</v>
      </c>
      <c r="E3482" t="s">
        <v>12074</v>
      </c>
      <c r="F3482">
        <v>1963</v>
      </c>
      <c r="G3482" t="s">
        <v>121</v>
      </c>
      <c r="H3482" t="s">
        <v>12075</v>
      </c>
      <c r="I3482" t="s">
        <v>12076</v>
      </c>
      <c r="J3482" t="s">
        <v>71</v>
      </c>
      <c r="K3482" s="2" t="str">
        <f>HYPERLINK("http://collections.slsa.sa.gov.au/arthur/02000/BRG347_1755.htm")</f>
        <v>http://collections.slsa.sa.gov.au/arthur/02000/BRG347_1755.htm</v>
      </c>
    </row>
    <row r="3483" spans="1:11" x14ac:dyDescent="0.25">
      <c r="A3483" t="s">
        <v>12077</v>
      </c>
      <c r="B3483" s="1" t="str">
        <f>HYPERLINK("https://www.catalog.slsa.sa.gov.au/record=b2111153")</f>
        <v>https://www.catalog.slsa.sa.gov.au/record=b2111153</v>
      </c>
      <c r="C3483" s="1" t="str">
        <f>HYPERLINK("https://www.catalog.slsa.sa.gov.au/xrecord=b2111153")</f>
        <v>https://www.catalog.slsa.sa.gov.au/xrecord=b2111153</v>
      </c>
      <c r="D3483" t="s">
        <v>66</v>
      </c>
      <c r="E3483" t="s">
        <v>12078</v>
      </c>
      <c r="F3483">
        <v>1963</v>
      </c>
      <c r="G3483" t="s">
        <v>121</v>
      </c>
      <c r="H3483" t="s">
        <v>12079</v>
      </c>
      <c r="I3483" t="s">
        <v>12080</v>
      </c>
      <c r="J3483" t="s">
        <v>71</v>
      </c>
      <c r="K3483" s="2" t="str">
        <f>HYPERLINK("http://collections.slsa.sa.gov.au/arthur/02000/BRG347_1839.htm")</f>
        <v>http://collections.slsa.sa.gov.au/arthur/02000/BRG347_1839.htm</v>
      </c>
    </row>
    <row r="3484" spans="1:11" x14ac:dyDescent="0.25">
      <c r="A3484" t="s">
        <v>12081</v>
      </c>
      <c r="B3484" s="1" t="str">
        <f>HYPERLINK("https://www.catalog.slsa.sa.gov.au/record=b2111158")</f>
        <v>https://www.catalog.slsa.sa.gov.au/record=b2111158</v>
      </c>
      <c r="C3484" s="1" t="str">
        <f>HYPERLINK("https://www.catalog.slsa.sa.gov.au/xrecord=b2111158")</f>
        <v>https://www.catalog.slsa.sa.gov.au/xrecord=b2111158</v>
      </c>
      <c r="D3484" t="s">
        <v>66</v>
      </c>
      <c r="E3484" t="s">
        <v>7662</v>
      </c>
      <c r="F3484">
        <v>1963</v>
      </c>
      <c r="G3484" t="s">
        <v>121</v>
      </c>
      <c r="H3484" t="s">
        <v>12082</v>
      </c>
      <c r="I3484" t="s">
        <v>12083</v>
      </c>
      <c r="J3484" t="s">
        <v>71</v>
      </c>
      <c r="K3484" s="2" t="str">
        <f>HYPERLINK("http://collections.slsa.sa.gov.au/arthur/02000/BRG347_1845.htm")</f>
        <v>http://collections.slsa.sa.gov.au/arthur/02000/BRG347_1845.htm</v>
      </c>
    </row>
    <row r="3485" spans="1:11" x14ac:dyDescent="0.25">
      <c r="A3485" t="s">
        <v>12084</v>
      </c>
      <c r="B3485" s="1" t="str">
        <f>HYPERLINK("https://www.catalog.slsa.sa.gov.au/record=b2111159")</f>
        <v>https://www.catalog.slsa.sa.gov.au/record=b2111159</v>
      </c>
      <c r="C3485" s="1" t="str">
        <f>HYPERLINK("https://www.catalog.slsa.sa.gov.au/xrecord=b2111159")</f>
        <v>https://www.catalog.slsa.sa.gov.au/xrecord=b2111159</v>
      </c>
      <c r="D3485" t="s">
        <v>66</v>
      </c>
      <c r="E3485" t="s">
        <v>12085</v>
      </c>
      <c r="F3485">
        <v>1963</v>
      </c>
      <c r="G3485" t="s">
        <v>121</v>
      </c>
      <c r="H3485" t="s">
        <v>12086</v>
      </c>
      <c r="I3485" t="s">
        <v>12087</v>
      </c>
      <c r="J3485" t="s">
        <v>71</v>
      </c>
      <c r="K3485" s="2" t="str">
        <f>HYPERLINK("http://collections.slsa.sa.gov.au/arthur/02000/BRG347_1847.htm")</f>
        <v>http://collections.slsa.sa.gov.au/arthur/02000/BRG347_1847.htm</v>
      </c>
    </row>
    <row r="3486" spans="1:11" x14ac:dyDescent="0.25">
      <c r="A3486" t="s">
        <v>12088</v>
      </c>
      <c r="B3486" s="1" t="str">
        <f>HYPERLINK("https://www.catalog.slsa.sa.gov.au/record=b2111160")</f>
        <v>https://www.catalog.slsa.sa.gov.au/record=b2111160</v>
      </c>
      <c r="C3486" s="1" t="str">
        <f>HYPERLINK("https://www.catalog.slsa.sa.gov.au/xrecord=b2111160")</f>
        <v>https://www.catalog.slsa.sa.gov.au/xrecord=b2111160</v>
      </c>
      <c r="D3486" t="s">
        <v>66</v>
      </c>
      <c r="E3486" t="s">
        <v>12085</v>
      </c>
      <c r="F3486">
        <v>1963</v>
      </c>
      <c r="G3486" t="s">
        <v>121</v>
      </c>
      <c r="H3486" t="s">
        <v>12086</v>
      </c>
      <c r="I3486" t="s">
        <v>12087</v>
      </c>
      <c r="J3486" t="s">
        <v>71</v>
      </c>
      <c r="K3486" s="2" t="str">
        <f>HYPERLINK("http://collections.slsa.sa.gov.au/arthur/02000/BRG347_1848.htm")</f>
        <v>http://collections.slsa.sa.gov.au/arthur/02000/BRG347_1848.htm</v>
      </c>
    </row>
    <row r="3487" spans="1:11" x14ac:dyDescent="0.25">
      <c r="A3487" t="s">
        <v>12089</v>
      </c>
      <c r="B3487" s="1" t="str">
        <f>HYPERLINK("https://www.catalog.slsa.sa.gov.au/record=b2111161")</f>
        <v>https://www.catalog.slsa.sa.gov.au/record=b2111161</v>
      </c>
      <c r="C3487" s="1" t="str">
        <f>HYPERLINK("https://www.catalog.slsa.sa.gov.au/xrecord=b2111161")</f>
        <v>https://www.catalog.slsa.sa.gov.au/xrecord=b2111161</v>
      </c>
      <c r="D3487" t="s">
        <v>66</v>
      </c>
      <c r="E3487" t="s">
        <v>12085</v>
      </c>
      <c r="F3487">
        <v>1963</v>
      </c>
      <c r="G3487" t="s">
        <v>121</v>
      </c>
      <c r="H3487" t="s">
        <v>12090</v>
      </c>
      <c r="I3487" t="s">
        <v>12087</v>
      </c>
      <c r="J3487" t="s">
        <v>71</v>
      </c>
      <c r="K3487" s="2" t="str">
        <f>HYPERLINK("http://collections.slsa.sa.gov.au/arthur/02000/BRG347_1849.htm")</f>
        <v>http://collections.slsa.sa.gov.au/arthur/02000/BRG347_1849.htm</v>
      </c>
    </row>
    <row r="3488" spans="1:11" x14ac:dyDescent="0.25">
      <c r="A3488" t="s">
        <v>12091</v>
      </c>
      <c r="B3488" s="1" t="str">
        <f>HYPERLINK("https://www.catalog.slsa.sa.gov.au/record=b2111162")</f>
        <v>https://www.catalog.slsa.sa.gov.au/record=b2111162</v>
      </c>
      <c r="C3488" s="1" t="str">
        <f>HYPERLINK("https://www.catalog.slsa.sa.gov.au/xrecord=b2111162")</f>
        <v>https://www.catalog.slsa.sa.gov.au/xrecord=b2111162</v>
      </c>
      <c r="D3488" t="s">
        <v>66</v>
      </c>
      <c r="E3488" t="s">
        <v>12085</v>
      </c>
      <c r="F3488">
        <v>1963</v>
      </c>
      <c r="G3488" t="s">
        <v>121</v>
      </c>
      <c r="H3488" t="s">
        <v>12092</v>
      </c>
      <c r="I3488" t="s">
        <v>12093</v>
      </c>
      <c r="J3488" t="s">
        <v>71</v>
      </c>
      <c r="K3488" s="2" t="str">
        <f>HYPERLINK("http://collections.slsa.sa.gov.au/arthur/02000/BRG347_1850.htm")</f>
        <v>http://collections.slsa.sa.gov.au/arthur/02000/BRG347_1850.htm</v>
      </c>
    </row>
    <row r="3489" spans="1:11" x14ac:dyDescent="0.25">
      <c r="A3489" t="s">
        <v>12094</v>
      </c>
      <c r="B3489" s="1" t="str">
        <f>HYPERLINK("https://www.catalog.slsa.sa.gov.au/record=b2111163")</f>
        <v>https://www.catalog.slsa.sa.gov.au/record=b2111163</v>
      </c>
      <c r="C3489" s="1" t="str">
        <f>HYPERLINK("https://www.catalog.slsa.sa.gov.au/xrecord=b2111163")</f>
        <v>https://www.catalog.slsa.sa.gov.au/xrecord=b2111163</v>
      </c>
      <c r="D3489" t="s">
        <v>66</v>
      </c>
      <c r="E3489" t="s">
        <v>12085</v>
      </c>
      <c r="F3489">
        <v>1963</v>
      </c>
      <c r="G3489" t="s">
        <v>121</v>
      </c>
      <c r="H3489" t="s">
        <v>12086</v>
      </c>
      <c r="I3489" t="s">
        <v>12087</v>
      </c>
      <c r="J3489" t="s">
        <v>71</v>
      </c>
      <c r="K3489" s="2" t="str">
        <f>HYPERLINK("http://collections.slsa.sa.gov.au/arthur/02000/BRG347_1851.htm")</f>
        <v>http://collections.slsa.sa.gov.au/arthur/02000/BRG347_1851.htm</v>
      </c>
    </row>
    <row r="3490" spans="1:11" x14ac:dyDescent="0.25">
      <c r="A3490" t="s">
        <v>12095</v>
      </c>
      <c r="B3490" s="1" t="str">
        <f>HYPERLINK("https://www.catalog.slsa.sa.gov.au/record=b2111164")</f>
        <v>https://www.catalog.slsa.sa.gov.au/record=b2111164</v>
      </c>
      <c r="C3490" s="1" t="str">
        <f>HYPERLINK("https://www.catalog.slsa.sa.gov.au/xrecord=b2111164")</f>
        <v>https://www.catalog.slsa.sa.gov.au/xrecord=b2111164</v>
      </c>
      <c r="D3490" t="s">
        <v>66</v>
      </c>
      <c r="E3490" t="s">
        <v>12085</v>
      </c>
      <c r="F3490">
        <v>1963</v>
      </c>
      <c r="G3490" t="s">
        <v>121</v>
      </c>
      <c r="H3490" t="s">
        <v>12086</v>
      </c>
      <c r="I3490" t="s">
        <v>12087</v>
      </c>
      <c r="J3490" t="s">
        <v>71</v>
      </c>
      <c r="K3490" s="2" t="str">
        <f>HYPERLINK("http://collections.slsa.sa.gov.au/arthur/02000/BRG347_1852.htm")</f>
        <v>http://collections.slsa.sa.gov.au/arthur/02000/BRG347_1852.htm</v>
      </c>
    </row>
    <row r="3491" spans="1:11" x14ac:dyDescent="0.25">
      <c r="A3491" t="s">
        <v>12096</v>
      </c>
      <c r="B3491" s="1" t="str">
        <f>HYPERLINK("https://www.catalog.slsa.sa.gov.au/record=b2111165")</f>
        <v>https://www.catalog.slsa.sa.gov.au/record=b2111165</v>
      </c>
      <c r="C3491" s="1" t="str">
        <f>HYPERLINK("https://www.catalog.slsa.sa.gov.au/xrecord=b2111165")</f>
        <v>https://www.catalog.slsa.sa.gov.au/xrecord=b2111165</v>
      </c>
      <c r="D3491" t="s">
        <v>66</v>
      </c>
      <c r="E3491" t="s">
        <v>12085</v>
      </c>
      <c r="F3491">
        <v>1963</v>
      </c>
      <c r="G3491" t="s">
        <v>121</v>
      </c>
      <c r="H3491" t="s">
        <v>12086</v>
      </c>
      <c r="I3491" t="s">
        <v>12097</v>
      </c>
      <c r="J3491" t="s">
        <v>71</v>
      </c>
      <c r="K3491" s="2" t="str">
        <f>HYPERLINK("http://collections.slsa.sa.gov.au/arthur/02000/BRG347_1853.htm")</f>
        <v>http://collections.slsa.sa.gov.au/arthur/02000/BRG347_1853.htm</v>
      </c>
    </row>
    <row r="3492" spans="1:11" x14ac:dyDescent="0.25">
      <c r="A3492" t="s">
        <v>12098</v>
      </c>
      <c r="B3492" s="1" t="str">
        <f>HYPERLINK("https://www.catalog.slsa.sa.gov.au/record=b2111166")</f>
        <v>https://www.catalog.slsa.sa.gov.au/record=b2111166</v>
      </c>
      <c r="C3492" s="1" t="str">
        <f>HYPERLINK("https://www.catalog.slsa.sa.gov.au/xrecord=b2111166")</f>
        <v>https://www.catalog.slsa.sa.gov.au/xrecord=b2111166</v>
      </c>
      <c r="D3492" t="s">
        <v>66</v>
      </c>
      <c r="E3492" t="s">
        <v>12085</v>
      </c>
      <c r="F3492">
        <v>1963</v>
      </c>
      <c r="G3492" t="s">
        <v>121</v>
      </c>
      <c r="H3492" t="s">
        <v>12086</v>
      </c>
      <c r="I3492" t="s">
        <v>12097</v>
      </c>
      <c r="J3492" t="s">
        <v>71</v>
      </c>
      <c r="K3492" s="2" t="str">
        <f>HYPERLINK("http://collections.slsa.sa.gov.au/arthur/02000/BRG347_1854.htm")</f>
        <v>http://collections.slsa.sa.gov.au/arthur/02000/BRG347_1854.htm</v>
      </c>
    </row>
    <row r="3493" spans="1:11" x14ac:dyDescent="0.25">
      <c r="A3493" t="s">
        <v>12099</v>
      </c>
      <c r="B3493" s="1" t="str">
        <f>HYPERLINK("https://www.catalog.slsa.sa.gov.au/record=b2111622")</f>
        <v>https://www.catalog.slsa.sa.gov.au/record=b2111622</v>
      </c>
      <c r="C3493" s="1" t="str">
        <f>HYPERLINK("https://www.catalog.slsa.sa.gov.au/xrecord=b2111622")</f>
        <v>https://www.catalog.slsa.sa.gov.au/xrecord=b2111622</v>
      </c>
      <c r="D3493" t="s">
        <v>66</v>
      </c>
      <c r="E3493" t="s">
        <v>12100</v>
      </c>
      <c r="F3493">
        <v>1963</v>
      </c>
      <c r="G3493" t="s">
        <v>121</v>
      </c>
      <c r="H3493" t="s">
        <v>12101</v>
      </c>
      <c r="I3493" t="s">
        <v>12102</v>
      </c>
      <c r="J3493" t="s">
        <v>71</v>
      </c>
      <c r="K3493" s="2" t="str">
        <f>HYPERLINK("http://collections.slsa.sa.gov.au/arthur/02250/BRG347_2222.htm")</f>
        <v>http://collections.slsa.sa.gov.au/arthur/02250/BRG347_2222.htm</v>
      </c>
    </row>
    <row r="3494" spans="1:11" x14ac:dyDescent="0.25">
      <c r="A3494" t="s">
        <v>12103</v>
      </c>
      <c r="B3494" s="1" t="str">
        <f>HYPERLINK("https://www.catalog.slsa.sa.gov.au/record=b2111626")</f>
        <v>https://www.catalog.slsa.sa.gov.au/record=b2111626</v>
      </c>
      <c r="C3494" s="1" t="str">
        <f>HYPERLINK("https://www.catalog.slsa.sa.gov.au/xrecord=b2111626")</f>
        <v>https://www.catalog.slsa.sa.gov.au/xrecord=b2111626</v>
      </c>
      <c r="D3494" t="s">
        <v>66</v>
      </c>
      <c r="E3494" t="s">
        <v>12104</v>
      </c>
      <c r="F3494">
        <v>1963</v>
      </c>
      <c r="G3494" t="s">
        <v>121</v>
      </c>
      <c r="H3494" t="s">
        <v>12105</v>
      </c>
      <c r="I3494" t="s">
        <v>5556</v>
      </c>
      <c r="J3494" t="s">
        <v>71</v>
      </c>
      <c r="K3494" s="2" t="str">
        <f>HYPERLINK("http://collections.slsa.sa.gov.au/arthur/02250/BRG347_2226.htm")</f>
        <v>http://collections.slsa.sa.gov.au/arthur/02250/BRG347_2226.htm</v>
      </c>
    </row>
    <row r="3495" spans="1:11" x14ac:dyDescent="0.25">
      <c r="A3495" t="s">
        <v>12106</v>
      </c>
      <c r="B3495" s="1" t="str">
        <f>HYPERLINK("https://www.catalog.slsa.sa.gov.au/record=b2111669")</f>
        <v>https://www.catalog.slsa.sa.gov.au/record=b2111669</v>
      </c>
      <c r="C3495" s="1" t="str">
        <f>HYPERLINK("https://www.catalog.slsa.sa.gov.au/xrecord=b2111669")</f>
        <v>https://www.catalog.slsa.sa.gov.au/xrecord=b2111669</v>
      </c>
      <c r="D3495" t="s">
        <v>66</v>
      </c>
      <c r="E3495" t="s">
        <v>12107</v>
      </c>
      <c r="F3495">
        <v>1963</v>
      </c>
      <c r="G3495" t="s">
        <v>121</v>
      </c>
      <c r="H3495" t="s">
        <v>12108</v>
      </c>
      <c r="I3495" t="s">
        <v>12109</v>
      </c>
      <c r="J3495" t="s">
        <v>71</v>
      </c>
      <c r="K3495" s="2" t="str">
        <f>HYPERLINK("http://collections.slsa.sa.gov.au/arthur/02500/BRG347_2271.htm")</f>
        <v>http://collections.slsa.sa.gov.au/arthur/02500/BRG347_2271.htm</v>
      </c>
    </row>
    <row r="3496" spans="1:11" x14ac:dyDescent="0.25">
      <c r="A3496" t="s">
        <v>12110</v>
      </c>
      <c r="B3496" s="1" t="str">
        <f>HYPERLINK("https://www.catalog.slsa.sa.gov.au/record=b2111670")</f>
        <v>https://www.catalog.slsa.sa.gov.au/record=b2111670</v>
      </c>
      <c r="C3496" s="1" t="str">
        <f>HYPERLINK("https://www.catalog.slsa.sa.gov.au/xrecord=b2111670")</f>
        <v>https://www.catalog.slsa.sa.gov.au/xrecord=b2111670</v>
      </c>
      <c r="D3496" t="s">
        <v>66</v>
      </c>
      <c r="E3496" t="s">
        <v>7417</v>
      </c>
      <c r="F3496">
        <v>1963</v>
      </c>
      <c r="G3496" t="s">
        <v>121</v>
      </c>
      <c r="H3496" t="s">
        <v>12111</v>
      </c>
      <c r="I3496" t="s">
        <v>7419</v>
      </c>
      <c r="J3496" t="s">
        <v>71</v>
      </c>
      <c r="K3496" s="2" t="str">
        <f>HYPERLINK("http://collections.slsa.sa.gov.au/arthur/02500/BRG347_2272.htm")</f>
        <v>http://collections.slsa.sa.gov.au/arthur/02500/BRG347_2272.htm</v>
      </c>
    </row>
    <row r="3497" spans="1:11" x14ac:dyDescent="0.25">
      <c r="A3497" t="s">
        <v>12112</v>
      </c>
      <c r="B3497" s="1" t="str">
        <f>HYPERLINK("https://www.catalog.slsa.sa.gov.au/record=b2111680")</f>
        <v>https://www.catalog.slsa.sa.gov.au/record=b2111680</v>
      </c>
      <c r="C3497" s="1" t="str">
        <f>HYPERLINK("https://www.catalog.slsa.sa.gov.au/xrecord=b2111680")</f>
        <v>https://www.catalog.slsa.sa.gov.au/xrecord=b2111680</v>
      </c>
      <c r="D3497" t="s">
        <v>66</v>
      </c>
      <c r="E3497" t="s">
        <v>6523</v>
      </c>
      <c r="F3497">
        <v>1963</v>
      </c>
      <c r="G3497" t="s">
        <v>121</v>
      </c>
      <c r="H3497" t="s">
        <v>12113</v>
      </c>
      <c r="I3497" t="s">
        <v>6525</v>
      </c>
      <c r="J3497" t="s">
        <v>71</v>
      </c>
      <c r="K3497" s="2" t="str">
        <f>HYPERLINK("http://collections.slsa.sa.gov.au/arthur/02500/BRG347_2283.htm")</f>
        <v>http://collections.slsa.sa.gov.au/arthur/02500/BRG347_2283.htm</v>
      </c>
    </row>
    <row r="3498" spans="1:11" x14ac:dyDescent="0.25">
      <c r="A3498" t="s">
        <v>12114</v>
      </c>
      <c r="B3498" s="1" t="str">
        <f>HYPERLINK("https://www.catalog.slsa.sa.gov.au/record=b2111682")</f>
        <v>https://www.catalog.slsa.sa.gov.au/record=b2111682</v>
      </c>
      <c r="C3498" s="1" t="str">
        <f>HYPERLINK("https://www.catalog.slsa.sa.gov.au/xrecord=b2111682")</f>
        <v>https://www.catalog.slsa.sa.gov.au/xrecord=b2111682</v>
      </c>
      <c r="D3498" t="s">
        <v>66</v>
      </c>
      <c r="E3498" t="s">
        <v>12115</v>
      </c>
      <c r="F3498">
        <v>1963</v>
      </c>
      <c r="G3498" t="s">
        <v>121</v>
      </c>
      <c r="H3498" t="s">
        <v>12116</v>
      </c>
      <c r="I3498" t="s">
        <v>12117</v>
      </c>
      <c r="J3498" t="s">
        <v>71</v>
      </c>
      <c r="K3498" s="2" t="str">
        <f>HYPERLINK("http://collections.slsa.sa.gov.au/arthur/02500/BRG347_2285.htm")</f>
        <v>http://collections.slsa.sa.gov.au/arthur/02500/BRG347_2285.htm</v>
      </c>
    </row>
    <row r="3499" spans="1:11" x14ac:dyDescent="0.25">
      <c r="A3499" t="s">
        <v>12118</v>
      </c>
      <c r="B3499" s="1" t="str">
        <f>HYPERLINK("https://www.catalog.slsa.sa.gov.au/record=b2111683")</f>
        <v>https://www.catalog.slsa.sa.gov.au/record=b2111683</v>
      </c>
      <c r="C3499" s="1" t="str">
        <f>HYPERLINK("https://www.catalog.slsa.sa.gov.au/xrecord=b2111683")</f>
        <v>https://www.catalog.slsa.sa.gov.au/xrecord=b2111683</v>
      </c>
      <c r="D3499" t="s">
        <v>66</v>
      </c>
      <c r="E3499" t="s">
        <v>12119</v>
      </c>
      <c r="F3499">
        <v>1963</v>
      </c>
      <c r="G3499" t="s">
        <v>121</v>
      </c>
      <c r="H3499" t="s">
        <v>12120</v>
      </c>
      <c r="I3499" t="s">
        <v>8145</v>
      </c>
      <c r="J3499" t="s">
        <v>71</v>
      </c>
      <c r="K3499" s="2" t="str">
        <f>HYPERLINK("http://collections.slsa.sa.gov.au/arthur/02500/BRG347_2286.htm")</f>
        <v>http://collections.slsa.sa.gov.au/arthur/02500/BRG347_2286.htm</v>
      </c>
    </row>
    <row r="3500" spans="1:11" x14ac:dyDescent="0.25">
      <c r="A3500" t="s">
        <v>12121</v>
      </c>
      <c r="B3500" s="1" t="str">
        <f>HYPERLINK("https://www.catalog.slsa.sa.gov.au/record=b2111684")</f>
        <v>https://www.catalog.slsa.sa.gov.au/record=b2111684</v>
      </c>
      <c r="C3500" s="1" t="str">
        <f>HYPERLINK("https://www.catalog.slsa.sa.gov.au/xrecord=b2111684")</f>
        <v>https://www.catalog.slsa.sa.gov.au/xrecord=b2111684</v>
      </c>
      <c r="D3500" t="s">
        <v>66</v>
      </c>
      <c r="E3500" t="s">
        <v>12122</v>
      </c>
      <c r="F3500">
        <v>1963</v>
      </c>
      <c r="G3500" t="s">
        <v>121</v>
      </c>
      <c r="H3500" t="s">
        <v>12123</v>
      </c>
      <c r="I3500" t="s">
        <v>6607</v>
      </c>
      <c r="J3500" t="s">
        <v>71</v>
      </c>
      <c r="K3500" s="2" t="str">
        <f>HYPERLINK("http://collections.slsa.sa.gov.au/arthur/02500/BRG347_2287.htm")</f>
        <v>http://collections.slsa.sa.gov.au/arthur/02500/BRG347_2287.htm</v>
      </c>
    </row>
    <row r="3501" spans="1:11" x14ac:dyDescent="0.25">
      <c r="A3501" t="s">
        <v>12124</v>
      </c>
      <c r="B3501" s="1" t="str">
        <f>HYPERLINK("https://www.catalog.slsa.sa.gov.au/record=b2111685")</f>
        <v>https://www.catalog.slsa.sa.gov.au/record=b2111685</v>
      </c>
      <c r="C3501" s="1" t="str">
        <f>HYPERLINK("https://www.catalog.slsa.sa.gov.au/xrecord=b2111685")</f>
        <v>https://www.catalog.slsa.sa.gov.au/xrecord=b2111685</v>
      </c>
      <c r="D3501" t="s">
        <v>66</v>
      </c>
      <c r="E3501" t="s">
        <v>11650</v>
      </c>
      <c r="F3501">
        <v>1963</v>
      </c>
      <c r="G3501" t="s">
        <v>121</v>
      </c>
      <c r="H3501" t="s">
        <v>12125</v>
      </c>
      <c r="I3501" t="s">
        <v>6525</v>
      </c>
      <c r="J3501" t="s">
        <v>71</v>
      </c>
      <c r="K3501" s="2" t="str">
        <f>HYPERLINK("http://collections.slsa.sa.gov.au/arthur/02500/BRG347_2288.htm")</f>
        <v>http://collections.slsa.sa.gov.au/arthur/02500/BRG347_2288.htm</v>
      </c>
    </row>
    <row r="3502" spans="1:11" x14ac:dyDescent="0.25">
      <c r="A3502" t="s">
        <v>12126</v>
      </c>
      <c r="B3502" s="1" t="str">
        <f>HYPERLINK("https://www.catalog.slsa.sa.gov.au/record=b2111686")</f>
        <v>https://www.catalog.slsa.sa.gov.au/record=b2111686</v>
      </c>
      <c r="C3502" s="1" t="str">
        <f>HYPERLINK("https://www.catalog.slsa.sa.gov.au/xrecord=b2111686")</f>
        <v>https://www.catalog.slsa.sa.gov.au/xrecord=b2111686</v>
      </c>
      <c r="D3502" t="s">
        <v>66</v>
      </c>
      <c r="E3502" t="s">
        <v>12127</v>
      </c>
      <c r="F3502">
        <v>1963</v>
      </c>
      <c r="G3502" t="s">
        <v>121</v>
      </c>
      <c r="H3502" t="s">
        <v>12128</v>
      </c>
      <c r="I3502" t="s">
        <v>10473</v>
      </c>
      <c r="J3502" t="s">
        <v>71</v>
      </c>
      <c r="K3502" s="2" t="str">
        <f>HYPERLINK("http://collections.slsa.sa.gov.au/arthur/02500/BRG347_2289.htm")</f>
        <v>http://collections.slsa.sa.gov.au/arthur/02500/BRG347_2289.htm</v>
      </c>
    </row>
    <row r="3503" spans="1:11" x14ac:dyDescent="0.25">
      <c r="A3503" t="s">
        <v>12129</v>
      </c>
      <c r="B3503" s="1" t="str">
        <f>HYPERLINK("https://www.catalog.slsa.sa.gov.au/record=b2111687")</f>
        <v>https://www.catalog.slsa.sa.gov.au/record=b2111687</v>
      </c>
      <c r="C3503" s="1" t="str">
        <f>HYPERLINK("https://www.catalog.slsa.sa.gov.au/xrecord=b2111687")</f>
        <v>https://www.catalog.slsa.sa.gov.au/xrecord=b2111687</v>
      </c>
      <c r="D3503" t="s">
        <v>66</v>
      </c>
      <c r="E3503" t="s">
        <v>12127</v>
      </c>
      <c r="F3503">
        <v>1963</v>
      </c>
      <c r="G3503" t="s">
        <v>121</v>
      </c>
      <c r="H3503" t="s">
        <v>12130</v>
      </c>
      <c r="I3503" t="s">
        <v>11933</v>
      </c>
      <c r="J3503" t="s">
        <v>71</v>
      </c>
      <c r="K3503" s="2" t="str">
        <f>HYPERLINK("http://collections.slsa.sa.gov.au/arthur/02500/BRG347_2290.htm")</f>
        <v>http://collections.slsa.sa.gov.au/arthur/02500/BRG347_2290.htm</v>
      </c>
    </row>
    <row r="3504" spans="1:11" x14ac:dyDescent="0.25">
      <c r="A3504" t="s">
        <v>12131</v>
      </c>
      <c r="B3504" s="1" t="str">
        <f>HYPERLINK("https://www.catalog.slsa.sa.gov.au/record=b2111688")</f>
        <v>https://www.catalog.slsa.sa.gov.au/record=b2111688</v>
      </c>
      <c r="C3504" s="1" t="str">
        <f>HYPERLINK("https://www.catalog.slsa.sa.gov.au/xrecord=b2111688")</f>
        <v>https://www.catalog.slsa.sa.gov.au/xrecord=b2111688</v>
      </c>
      <c r="D3504" t="s">
        <v>66</v>
      </c>
      <c r="E3504" t="s">
        <v>11650</v>
      </c>
      <c r="F3504">
        <v>1963</v>
      </c>
      <c r="G3504" t="s">
        <v>121</v>
      </c>
      <c r="H3504" t="s">
        <v>12132</v>
      </c>
      <c r="I3504" t="s">
        <v>7454</v>
      </c>
      <c r="J3504" t="s">
        <v>71</v>
      </c>
      <c r="K3504" s="2" t="str">
        <f>HYPERLINK("http://collections.slsa.sa.gov.au/arthur/02500/BRG347_2291.htm")</f>
        <v>http://collections.slsa.sa.gov.au/arthur/02500/BRG347_2291.htm</v>
      </c>
    </row>
    <row r="3505" spans="1:11" x14ac:dyDescent="0.25">
      <c r="A3505" t="s">
        <v>12133</v>
      </c>
      <c r="B3505" s="1" t="str">
        <f>HYPERLINK("https://www.catalog.slsa.sa.gov.au/record=b2111689")</f>
        <v>https://www.catalog.slsa.sa.gov.au/record=b2111689</v>
      </c>
      <c r="C3505" s="1" t="str">
        <f>HYPERLINK("https://www.catalog.slsa.sa.gov.au/xrecord=b2111689")</f>
        <v>https://www.catalog.slsa.sa.gov.au/xrecord=b2111689</v>
      </c>
      <c r="D3505" t="s">
        <v>66</v>
      </c>
      <c r="E3505" t="s">
        <v>12134</v>
      </c>
      <c r="F3505">
        <v>1963</v>
      </c>
      <c r="G3505" t="s">
        <v>121</v>
      </c>
      <c r="H3505" t="s">
        <v>12135</v>
      </c>
      <c r="I3505" t="s">
        <v>12136</v>
      </c>
      <c r="J3505" t="s">
        <v>71</v>
      </c>
      <c r="K3505" s="2" t="str">
        <f>HYPERLINK("http://collections.slsa.sa.gov.au/arthur/02500/BRG347_2292.htm")</f>
        <v>http://collections.slsa.sa.gov.au/arthur/02500/BRG347_2292.htm</v>
      </c>
    </row>
    <row r="3506" spans="1:11" x14ac:dyDescent="0.25">
      <c r="A3506" t="s">
        <v>12137</v>
      </c>
      <c r="B3506" s="1" t="str">
        <f>HYPERLINK("https://www.catalog.slsa.sa.gov.au/record=b2111690")</f>
        <v>https://www.catalog.slsa.sa.gov.au/record=b2111690</v>
      </c>
      <c r="C3506" s="1" t="str">
        <f>HYPERLINK("https://www.catalog.slsa.sa.gov.au/xrecord=b2111690")</f>
        <v>https://www.catalog.slsa.sa.gov.au/xrecord=b2111690</v>
      </c>
      <c r="D3506" t="s">
        <v>66</v>
      </c>
      <c r="E3506" t="s">
        <v>12138</v>
      </c>
      <c r="F3506">
        <v>1963</v>
      </c>
      <c r="G3506" t="s">
        <v>121</v>
      </c>
      <c r="H3506" t="s">
        <v>12139</v>
      </c>
      <c r="I3506" t="s">
        <v>12140</v>
      </c>
      <c r="J3506" t="s">
        <v>71</v>
      </c>
      <c r="K3506" s="2" t="str">
        <f>HYPERLINK("http://collections.slsa.sa.gov.au/arthur/02500/BRG347_2293.htm")</f>
        <v>http://collections.slsa.sa.gov.au/arthur/02500/BRG347_2293.htm</v>
      </c>
    </row>
    <row r="3507" spans="1:11" x14ac:dyDescent="0.25">
      <c r="A3507" t="s">
        <v>12141</v>
      </c>
      <c r="B3507" s="1" t="str">
        <f>HYPERLINK("https://www.catalog.slsa.sa.gov.au/record=b2111691")</f>
        <v>https://www.catalog.slsa.sa.gov.au/record=b2111691</v>
      </c>
      <c r="C3507" s="1" t="str">
        <f>HYPERLINK("https://www.catalog.slsa.sa.gov.au/xrecord=b2111691")</f>
        <v>https://www.catalog.slsa.sa.gov.au/xrecord=b2111691</v>
      </c>
      <c r="D3507" t="s">
        <v>66</v>
      </c>
      <c r="E3507" t="s">
        <v>12142</v>
      </c>
      <c r="F3507">
        <v>1963</v>
      </c>
      <c r="G3507" t="s">
        <v>121</v>
      </c>
      <c r="H3507" t="s">
        <v>12143</v>
      </c>
      <c r="I3507" t="s">
        <v>11781</v>
      </c>
      <c r="J3507" t="s">
        <v>71</v>
      </c>
      <c r="K3507" s="2" t="str">
        <f>HYPERLINK("http://collections.slsa.sa.gov.au/arthur/02500/BRG347_2294.htm")</f>
        <v>http://collections.slsa.sa.gov.au/arthur/02500/BRG347_2294.htm</v>
      </c>
    </row>
    <row r="3508" spans="1:11" x14ac:dyDescent="0.25">
      <c r="A3508" t="s">
        <v>12144</v>
      </c>
      <c r="B3508" s="1" t="str">
        <f>HYPERLINK("https://www.catalog.slsa.sa.gov.au/record=b2111693")</f>
        <v>https://www.catalog.slsa.sa.gov.au/record=b2111693</v>
      </c>
      <c r="C3508" s="1" t="str">
        <f>HYPERLINK("https://www.catalog.slsa.sa.gov.au/xrecord=b2111693")</f>
        <v>https://www.catalog.slsa.sa.gov.au/xrecord=b2111693</v>
      </c>
      <c r="D3508" t="s">
        <v>66</v>
      </c>
      <c r="E3508" t="s">
        <v>12127</v>
      </c>
      <c r="F3508">
        <v>1963</v>
      </c>
      <c r="G3508" t="s">
        <v>121</v>
      </c>
      <c r="H3508" t="s">
        <v>12145</v>
      </c>
      <c r="I3508" t="s">
        <v>12146</v>
      </c>
      <c r="J3508" t="s">
        <v>71</v>
      </c>
      <c r="K3508" s="2" t="str">
        <f>HYPERLINK("http://collections.slsa.sa.gov.au/arthur/02500/BRG347_2296.htm")</f>
        <v>http://collections.slsa.sa.gov.au/arthur/02500/BRG347_2296.htm</v>
      </c>
    </row>
    <row r="3509" spans="1:11" x14ac:dyDescent="0.25">
      <c r="A3509" t="s">
        <v>12147</v>
      </c>
      <c r="B3509" s="1" t="str">
        <f>HYPERLINK("https://www.catalog.slsa.sa.gov.au/record=b2111694")</f>
        <v>https://www.catalog.slsa.sa.gov.au/record=b2111694</v>
      </c>
      <c r="C3509" s="1" t="str">
        <f>HYPERLINK("https://www.catalog.slsa.sa.gov.au/xrecord=b2111694")</f>
        <v>https://www.catalog.slsa.sa.gov.au/xrecord=b2111694</v>
      </c>
      <c r="D3509" t="s">
        <v>66</v>
      </c>
      <c r="E3509" t="s">
        <v>12148</v>
      </c>
      <c r="F3509">
        <v>1963</v>
      </c>
      <c r="G3509" t="s">
        <v>121</v>
      </c>
      <c r="H3509" t="s">
        <v>12149</v>
      </c>
      <c r="I3509" t="s">
        <v>11781</v>
      </c>
      <c r="J3509" t="s">
        <v>71</v>
      </c>
      <c r="K3509" s="2" t="str">
        <f>HYPERLINK("http://collections.slsa.sa.gov.au/arthur/02500/BRG347_2297.htm")</f>
        <v>http://collections.slsa.sa.gov.au/arthur/02500/BRG347_2297.htm</v>
      </c>
    </row>
    <row r="3510" spans="1:11" x14ac:dyDescent="0.25">
      <c r="A3510" t="s">
        <v>12150</v>
      </c>
      <c r="B3510" s="1" t="str">
        <f>HYPERLINK("https://www.catalog.slsa.sa.gov.au/record=b2111696")</f>
        <v>https://www.catalog.slsa.sa.gov.au/record=b2111696</v>
      </c>
      <c r="C3510" s="1" t="str">
        <f>HYPERLINK("https://www.catalog.slsa.sa.gov.au/xrecord=b2111696")</f>
        <v>https://www.catalog.slsa.sa.gov.au/xrecord=b2111696</v>
      </c>
      <c r="D3510" t="s">
        <v>66</v>
      </c>
      <c r="E3510" t="s">
        <v>12151</v>
      </c>
      <c r="F3510">
        <v>1963</v>
      </c>
      <c r="G3510" t="s">
        <v>121</v>
      </c>
      <c r="H3510" t="s">
        <v>12152</v>
      </c>
      <c r="I3510" t="s">
        <v>12153</v>
      </c>
      <c r="J3510" t="s">
        <v>71</v>
      </c>
      <c r="K3510" s="2" t="str">
        <f>HYPERLINK("http://collections.slsa.sa.gov.au/arthur/02500/BRG347_2299.htm")</f>
        <v>http://collections.slsa.sa.gov.au/arthur/02500/BRG347_2299.htm</v>
      </c>
    </row>
    <row r="3511" spans="1:11" x14ac:dyDescent="0.25">
      <c r="A3511" t="s">
        <v>12154</v>
      </c>
      <c r="B3511" s="1" t="str">
        <f>HYPERLINK("https://www.catalog.slsa.sa.gov.au/record=b2111697")</f>
        <v>https://www.catalog.slsa.sa.gov.au/record=b2111697</v>
      </c>
      <c r="C3511" s="1" t="str">
        <f>HYPERLINK("https://www.catalog.slsa.sa.gov.au/xrecord=b2111697")</f>
        <v>https://www.catalog.slsa.sa.gov.au/xrecord=b2111697</v>
      </c>
      <c r="D3511" t="s">
        <v>66</v>
      </c>
      <c r="E3511" t="s">
        <v>10377</v>
      </c>
      <c r="F3511">
        <v>1963</v>
      </c>
      <c r="G3511" t="s">
        <v>121</v>
      </c>
      <c r="H3511" t="s">
        <v>12155</v>
      </c>
      <c r="I3511" t="s">
        <v>11236</v>
      </c>
      <c r="J3511" t="s">
        <v>71</v>
      </c>
      <c r="K3511" s="2" t="str">
        <f>HYPERLINK("http://collections.slsa.sa.gov.au/arthur/02500/BRG347_2300.htm")</f>
        <v>http://collections.slsa.sa.gov.au/arthur/02500/BRG347_2300.htm</v>
      </c>
    </row>
    <row r="3512" spans="1:11" x14ac:dyDescent="0.25">
      <c r="A3512" t="s">
        <v>12156</v>
      </c>
      <c r="B3512" s="1" t="str">
        <f>HYPERLINK("https://www.catalog.slsa.sa.gov.au/record=b2111699")</f>
        <v>https://www.catalog.slsa.sa.gov.au/record=b2111699</v>
      </c>
      <c r="C3512" s="1" t="str">
        <f>HYPERLINK("https://www.catalog.slsa.sa.gov.au/xrecord=b2111699")</f>
        <v>https://www.catalog.slsa.sa.gov.au/xrecord=b2111699</v>
      </c>
      <c r="D3512" t="s">
        <v>66</v>
      </c>
      <c r="E3512" t="s">
        <v>12151</v>
      </c>
      <c r="F3512">
        <v>1963</v>
      </c>
      <c r="G3512" t="s">
        <v>121</v>
      </c>
      <c r="H3512" t="s">
        <v>12157</v>
      </c>
      <c r="I3512" t="s">
        <v>7401</v>
      </c>
      <c r="J3512" t="s">
        <v>71</v>
      </c>
      <c r="K3512" s="2" t="str">
        <f>HYPERLINK("http://collections.slsa.sa.gov.au/arthur/02500/BRG347_2302.htm")</f>
        <v>http://collections.slsa.sa.gov.au/arthur/02500/BRG347_2302.htm</v>
      </c>
    </row>
    <row r="3513" spans="1:11" x14ac:dyDescent="0.25">
      <c r="A3513" t="s">
        <v>12158</v>
      </c>
      <c r="B3513" s="1" t="str">
        <f>HYPERLINK("https://www.catalog.slsa.sa.gov.au/record=b2111700")</f>
        <v>https://www.catalog.slsa.sa.gov.au/record=b2111700</v>
      </c>
      <c r="C3513" s="1" t="str">
        <f>HYPERLINK("https://www.catalog.slsa.sa.gov.au/xrecord=b2111700")</f>
        <v>https://www.catalog.slsa.sa.gov.au/xrecord=b2111700</v>
      </c>
      <c r="D3513" t="s">
        <v>66</v>
      </c>
      <c r="E3513" t="s">
        <v>9519</v>
      </c>
      <c r="F3513">
        <v>1963</v>
      </c>
      <c r="G3513" t="s">
        <v>121</v>
      </c>
      <c r="H3513" t="s">
        <v>12159</v>
      </c>
      <c r="I3513" t="s">
        <v>11197</v>
      </c>
      <c r="J3513" t="s">
        <v>71</v>
      </c>
      <c r="K3513" s="2" t="str">
        <f>HYPERLINK("http://collections.slsa.sa.gov.au/arthur/02500/BRG347_2303.htm")</f>
        <v>http://collections.slsa.sa.gov.au/arthur/02500/BRG347_2303.htm</v>
      </c>
    </row>
    <row r="3514" spans="1:11" x14ac:dyDescent="0.25">
      <c r="A3514" t="s">
        <v>12160</v>
      </c>
      <c r="B3514" s="1" t="str">
        <f>HYPERLINK("https://www.catalog.slsa.sa.gov.au/record=b2111701")</f>
        <v>https://www.catalog.slsa.sa.gov.au/record=b2111701</v>
      </c>
      <c r="C3514" s="1" t="str">
        <f>HYPERLINK("https://www.catalog.slsa.sa.gov.au/xrecord=b2111701")</f>
        <v>https://www.catalog.slsa.sa.gov.au/xrecord=b2111701</v>
      </c>
      <c r="D3514" t="s">
        <v>66</v>
      </c>
      <c r="E3514" t="s">
        <v>6585</v>
      </c>
      <c r="F3514">
        <v>1963</v>
      </c>
      <c r="G3514" t="s">
        <v>121</v>
      </c>
      <c r="H3514" t="s">
        <v>12161</v>
      </c>
      <c r="I3514" t="s">
        <v>6587</v>
      </c>
      <c r="J3514" t="s">
        <v>71</v>
      </c>
      <c r="K3514" s="2" t="str">
        <f>HYPERLINK("http://collections.slsa.sa.gov.au/arthur/02500/BRG347_2304.htm")</f>
        <v>http://collections.slsa.sa.gov.au/arthur/02500/BRG347_2304.htm</v>
      </c>
    </row>
    <row r="3515" spans="1:11" x14ac:dyDescent="0.25">
      <c r="A3515" t="s">
        <v>12162</v>
      </c>
      <c r="B3515" s="1" t="str">
        <f>HYPERLINK("https://www.catalog.slsa.sa.gov.au/record=b2111702")</f>
        <v>https://www.catalog.slsa.sa.gov.au/record=b2111702</v>
      </c>
      <c r="C3515" s="1" t="str">
        <f>HYPERLINK("https://www.catalog.slsa.sa.gov.au/xrecord=b2111702")</f>
        <v>https://www.catalog.slsa.sa.gov.au/xrecord=b2111702</v>
      </c>
      <c r="D3515" t="s">
        <v>66</v>
      </c>
      <c r="E3515" t="s">
        <v>6585</v>
      </c>
      <c r="F3515">
        <v>1963</v>
      </c>
      <c r="G3515" t="s">
        <v>121</v>
      </c>
      <c r="H3515" t="s">
        <v>12163</v>
      </c>
      <c r="I3515" t="s">
        <v>6587</v>
      </c>
      <c r="J3515" t="s">
        <v>71</v>
      </c>
      <c r="K3515" s="2" t="str">
        <f>HYPERLINK("http://collections.slsa.sa.gov.au/arthur/02500/BRG347_2305.htm")</f>
        <v>http://collections.slsa.sa.gov.au/arthur/02500/BRG347_2305.htm</v>
      </c>
    </row>
    <row r="3516" spans="1:11" x14ac:dyDescent="0.25">
      <c r="A3516" t="s">
        <v>12164</v>
      </c>
      <c r="B3516" s="1" t="str">
        <f>HYPERLINK("https://www.catalog.slsa.sa.gov.au/record=b2111703")</f>
        <v>https://www.catalog.slsa.sa.gov.au/record=b2111703</v>
      </c>
      <c r="C3516" s="1" t="str">
        <f>HYPERLINK("https://www.catalog.slsa.sa.gov.au/xrecord=b2111703")</f>
        <v>https://www.catalog.slsa.sa.gov.au/xrecord=b2111703</v>
      </c>
      <c r="D3516" t="s">
        <v>66</v>
      </c>
      <c r="E3516" t="s">
        <v>12165</v>
      </c>
      <c r="F3516">
        <v>1963</v>
      </c>
      <c r="G3516" t="s">
        <v>121</v>
      </c>
      <c r="H3516" t="s">
        <v>12166</v>
      </c>
      <c r="I3516" t="s">
        <v>12136</v>
      </c>
      <c r="J3516" t="s">
        <v>71</v>
      </c>
      <c r="K3516" s="2" t="str">
        <f>HYPERLINK("http://collections.slsa.sa.gov.au/arthur/02500/BRG347_2306.htm")</f>
        <v>http://collections.slsa.sa.gov.au/arthur/02500/BRG347_2306.htm</v>
      </c>
    </row>
    <row r="3517" spans="1:11" x14ac:dyDescent="0.25">
      <c r="A3517" t="s">
        <v>12167</v>
      </c>
      <c r="B3517" s="1" t="str">
        <f>HYPERLINK("https://www.catalog.slsa.sa.gov.au/record=b2118122")</f>
        <v>https://www.catalog.slsa.sa.gov.au/record=b2118122</v>
      </c>
      <c r="C3517" s="1" t="str">
        <f>HYPERLINK("https://www.catalog.slsa.sa.gov.au/xrecord=b2118122")</f>
        <v>https://www.catalog.slsa.sa.gov.au/xrecord=b2118122</v>
      </c>
      <c r="D3517" t="s">
        <v>66</v>
      </c>
      <c r="E3517" t="s">
        <v>6560</v>
      </c>
      <c r="F3517">
        <v>1963</v>
      </c>
      <c r="G3517" t="s">
        <v>121</v>
      </c>
      <c r="H3517" t="s">
        <v>12168</v>
      </c>
      <c r="I3517" t="s">
        <v>11112</v>
      </c>
      <c r="J3517" t="s">
        <v>71</v>
      </c>
      <c r="K3517" s="2" t="str">
        <f>HYPERLINK("http://collections.slsa.sa.gov.au/arthur/02500/BRG347_2307.htm")</f>
        <v>http://collections.slsa.sa.gov.au/arthur/02500/BRG347_2307.htm</v>
      </c>
    </row>
    <row r="3518" spans="1:11" x14ac:dyDescent="0.25">
      <c r="A3518" t="s">
        <v>12169</v>
      </c>
      <c r="B3518" s="1" t="str">
        <f>HYPERLINK("https://www.catalog.slsa.sa.gov.au/record=b2111704")</f>
        <v>https://www.catalog.slsa.sa.gov.au/record=b2111704</v>
      </c>
      <c r="C3518" s="1" t="str">
        <f>HYPERLINK("https://www.catalog.slsa.sa.gov.au/xrecord=b2111704")</f>
        <v>https://www.catalog.slsa.sa.gov.au/xrecord=b2111704</v>
      </c>
      <c r="D3518" t="s">
        <v>66</v>
      </c>
      <c r="E3518" t="s">
        <v>12127</v>
      </c>
      <c r="F3518">
        <v>1963</v>
      </c>
      <c r="G3518" t="s">
        <v>121</v>
      </c>
      <c r="H3518" t="s">
        <v>12170</v>
      </c>
      <c r="I3518" t="s">
        <v>10473</v>
      </c>
      <c r="J3518" t="s">
        <v>71</v>
      </c>
      <c r="K3518" s="2" t="str">
        <f>HYPERLINK("http://collections.slsa.sa.gov.au/arthur/02500/BRG347_2308.htm")</f>
        <v>http://collections.slsa.sa.gov.au/arthur/02500/BRG347_2308.htm</v>
      </c>
    </row>
    <row r="3519" spans="1:11" x14ac:dyDescent="0.25">
      <c r="A3519" t="s">
        <v>12171</v>
      </c>
      <c r="B3519" s="1" t="str">
        <f>HYPERLINK("https://www.catalog.slsa.sa.gov.au/record=b2111705")</f>
        <v>https://www.catalog.slsa.sa.gov.au/record=b2111705</v>
      </c>
      <c r="C3519" s="1" t="str">
        <f>HYPERLINK("https://www.catalog.slsa.sa.gov.au/xrecord=b2111705")</f>
        <v>https://www.catalog.slsa.sa.gov.au/xrecord=b2111705</v>
      </c>
      <c r="D3519" t="s">
        <v>66</v>
      </c>
      <c r="E3519" t="s">
        <v>12172</v>
      </c>
      <c r="F3519">
        <v>1963</v>
      </c>
      <c r="G3519" t="s">
        <v>121</v>
      </c>
      <c r="H3519" t="s">
        <v>12173</v>
      </c>
      <c r="I3519" t="s">
        <v>10473</v>
      </c>
      <c r="J3519" t="s">
        <v>71</v>
      </c>
      <c r="K3519" s="2" t="str">
        <f>HYPERLINK("http://collections.slsa.sa.gov.au/arthur/02500/BRG347_2309.htm")</f>
        <v>http://collections.slsa.sa.gov.au/arthur/02500/BRG347_2309.htm</v>
      </c>
    </row>
    <row r="3520" spans="1:11" x14ac:dyDescent="0.25">
      <c r="A3520" t="s">
        <v>12174</v>
      </c>
      <c r="B3520" s="1" t="str">
        <f>HYPERLINK("https://www.catalog.slsa.sa.gov.au/record=b2111706")</f>
        <v>https://www.catalog.slsa.sa.gov.au/record=b2111706</v>
      </c>
      <c r="C3520" s="1" t="str">
        <f>HYPERLINK("https://www.catalog.slsa.sa.gov.au/xrecord=b2111706")</f>
        <v>https://www.catalog.slsa.sa.gov.au/xrecord=b2111706</v>
      </c>
      <c r="D3520" t="s">
        <v>66</v>
      </c>
      <c r="E3520" t="s">
        <v>12172</v>
      </c>
      <c r="F3520">
        <v>1963</v>
      </c>
      <c r="G3520" t="s">
        <v>121</v>
      </c>
      <c r="H3520" t="s">
        <v>12175</v>
      </c>
      <c r="I3520" t="s">
        <v>10473</v>
      </c>
      <c r="J3520" t="s">
        <v>71</v>
      </c>
      <c r="K3520" s="2" t="str">
        <f>HYPERLINK("http://collections.slsa.sa.gov.au/arthur/02500/BRG347_2310.htm")</f>
        <v>http://collections.slsa.sa.gov.au/arthur/02500/BRG347_2310.htm</v>
      </c>
    </row>
    <row r="3521" spans="1:11" x14ac:dyDescent="0.25">
      <c r="A3521" t="s">
        <v>12176</v>
      </c>
      <c r="B3521" s="1" t="str">
        <f>HYPERLINK("https://www.catalog.slsa.sa.gov.au/record=b2111707")</f>
        <v>https://www.catalog.slsa.sa.gov.au/record=b2111707</v>
      </c>
      <c r="C3521" s="1" t="str">
        <f>HYPERLINK("https://www.catalog.slsa.sa.gov.au/xrecord=b2111707")</f>
        <v>https://www.catalog.slsa.sa.gov.au/xrecord=b2111707</v>
      </c>
      <c r="D3521" t="s">
        <v>66</v>
      </c>
      <c r="E3521" t="s">
        <v>12172</v>
      </c>
      <c r="F3521">
        <v>1963</v>
      </c>
      <c r="G3521" t="s">
        <v>121</v>
      </c>
      <c r="H3521" t="s">
        <v>12177</v>
      </c>
      <c r="I3521" t="s">
        <v>10473</v>
      </c>
      <c r="J3521" t="s">
        <v>71</v>
      </c>
      <c r="K3521" s="2" t="str">
        <f>HYPERLINK("http://collections.slsa.sa.gov.au/arthur/02500/BRG347_2311.htm")</f>
        <v>http://collections.slsa.sa.gov.au/arthur/02500/BRG347_2311.htm</v>
      </c>
    </row>
    <row r="3522" spans="1:11" x14ac:dyDescent="0.25">
      <c r="A3522" t="s">
        <v>12178</v>
      </c>
      <c r="B3522" s="1" t="str">
        <f>HYPERLINK("https://www.catalog.slsa.sa.gov.au/record=b2111708")</f>
        <v>https://www.catalog.slsa.sa.gov.au/record=b2111708</v>
      </c>
      <c r="C3522" s="1" t="str">
        <f>HYPERLINK("https://www.catalog.slsa.sa.gov.au/xrecord=b2111708")</f>
        <v>https://www.catalog.slsa.sa.gov.au/xrecord=b2111708</v>
      </c>
      <c r="D3522" t="s">
        <v>66</v>
      </c>
      <c r="E3522" t="s">
        <v>12151</v>
      </c>
      <c r="F3522">
        <v>1963</v>
      </c>
      <c r="G3522" t="s">
        <v>121</v>
      </c>
      <c r="H3522" t="s">
        <v>12179</v>
      </c>
      <c r="I3522" t="s">
        <v>7401</v>
      </c>
      <c r="J3522" t="s">
        <v>71</v>
      </c>
      <c r="K3522" s="2" t="str">
        <f>HYPERLINK("http://collections.slsa.sa.gov.au/arthur/02500/BRG347_2312.htm")</f>
        <v>http://collections.slsa.sa.gov.au/arthur/02500/BRG347_2312.htm</v>
      </c>
    </row>
    <row r="3523" spans="1:11" x14ac:dyDescent="0.25">
      <c r="A3523" t="s">
        <v>12180</v>
      </c>
      <c r="B3523" s="1" t="str">
        <f>HYPERLINK("https://www.catalog.slsa.sa.gov.au/record=b2111709")</f>
        <v>https://www.catalog.slsa.sa.gov.au/record=b2111709</v>
      </c>
      <c r="C3523" s="1" t="str">
        <f>HYPERLINK("https://www.catalog.slsa.sa.gov.au/xrecord=b2111709")</f>
        <v>https://www.catalog.slsa.sa.gov.au/xrecord=b2111709</v>
      </c>
      <c r="D3523" t="s">
        <v>66</v>
      </c>
      <c r="E3523" t="s">
        <v>11650</v>
      </c>
      <c r="F3523">
        <v>1963</v>
      </c>
      <c r="G3523" t="s">
        <v>121</v>
      </c>
      <c r="H3523" t="s">
        <v>12181</v>
      </c>
      <c r="I3523" t="s">
        <v>6525</v>
      </c>
      <c r="J3523" t="s">
        <v>71</v>
      </c>
      <c r="K3523" s="2" t="str">
        <f>HYPERLINK("http://collections.slsa.sa.gov.au/arthur/02500/BRG347_2313.htm")</f>
        <v>http://collections.slsa.sa.gov.au/arthur/02500/BRG347_2313.htm</v>
      </c>
    </row>
    <row r="3524" spans="1:11" x14ac:dyDescent="0.25">
      <c r="A3524" t="s">
        <v>12182</v>
      </c>
      <c r="B3524" s="1" t="str">
        <f>HYPERLINK("https://www.catalog.slsa.sa.gov.au/record=b2111710")</f>
        <v>https://www.catalog.slsa.sa.gov.au/record=b2111710</v>
      </c>
      <c r="C3524" s="1" t="str">
        <f>HYPERLINK("https://www.catalog.slsa.sa.gov.au/xrecord=b2111710")</f>
        <v>https://www.catalog.slsa.sa.gov.au/xrecord=b2111710</v>
      </c>
      <c r="D3524" t="s">
        <v>66</v>
      </c>
      <c r="E3524" t="s">
        <v>11650</v>
      </c>
      <c r="F3524">
        <v>1963</v>
      </c>
      <c r="G3524" t="s">
        <v>121</v>
      </c>
      <c r="H3524" t="s">
        <v>12183</v>
      </c>
      <c r="I3524" t="s">
        <v>6525</v>
      </c>
      <c r="J3524" t="s">
        <v>71</v>
      </c>
      <c r="K3524" s="2" t="str">
        <f>HYPERLINK("http://collections.slsa.sa.gov.au/arthur/02500/BRG347_2314.htm")</f>
        <v>http://collections.slsa.sa.gov.au/arthur/02500/BRG347_2314.htm</v>
      </c>
    </row>
    <row r="3525" spans="1:11" x14ac:dyDescent="0.25">
      <c r="A3525" t="s">
        <v>12184</v>
      </c>
      <c r="B3525" s="1" t="str">
        <f>HYPERLINK("https://www.catalog.slsa.sa.gov.au/record=b2111711")</f>
        <v>https://www.catalog.slsa.sa.gov.au/record=b2111711</v>
      </c>
      <c r="C3525" s="1" t="str">
        <f>HYPERLINK("https://www.catalog.slsa.sa.gov.au/xrecord=b2111711")</f>
        <v>https://www.catalog.slsa.sa.gov.au/xrecord=b2111711</v>
      </c>
      <c r="D3525" t="s">
        <v>66</v>
      </c>
      <c r="E3525" t="s">
        <v>11650</v>
      </c>
      <c r="F3525">
        <v>1963</v>
      </c>
      <c r="G3525" t="s">
        <v>121</v>
      </c>
      <c r="H3525" t="s">
        <v>12183</v>
      </c>
      <c r="I3525" t="s">
        <v>6525</v>
      </c>
      <c r="J3525" t="s">
        <v>71</v>
      </c>
      <c r="K3525" s="2" t="str">
        <f>HYPERLINK("http://collections.slsa.sa.gov.au/arthur/02500/BRG347_2315.htm")</f>
        <v>http://collections.slsa.sa.gov.au/arthur/02500/BRG347_2315.htm</v>
      </c>
    </row>
    <row r="3526" spans="1:11" x14ac:dyDescent="0.25">
      <c r="A3526" t="s">
        <v>12185</v>
      </c>
      <c r="B3526" s="1" t="str">
        <f>HYPERLINK("https://www.catalog.slsa.sa.gov.au/record=b2111734")</f>
        <v>https://www.catalog.slsa.sa.gov.au/record=b2111734</v>
      </c>
      <c r="C3526" s="1" t="str">
        <f>HYPERLINK("https://www.catalog.slsa.sa.gov.au/xrecord=b2111734")</f>
        <v>https://www.catalog.slsa.sa.gov.au/xrecord=b2111734</v>
      </c>
      <c r="D3526" t="s">
        <v>66</v>
      </c>
      <c r="E3526" t="s">
        <v>12186</v>
      </c>
      <c r="F3526">
        <v>1963</v>
      </c>
      <c r="G3526" t="s">
        <v>121</v>
      </c>
      <c r="H3526" t="s">
        <v>12187</v>
      </c>
      <c r="I3526" t="s">
        <v>12188</v>
      </c>
      <c r="J3526" t="s">
        <v>71</v>
      </c>
      <c r="K3526" s="2" t="str">
        <f>HYPERLINK("http://collections.slsa.sa.gov.au/arthur/02500/BRG347_2332.htm")</f>
        <v>http://collections.slsa.sa.gov.au/arthur/02500/BRG347_2332.htm</v>
      </c>
    </row>
    <row r="3527" spans="1:11" x14ac:dyDescent="0.25">
      <c r="A3527" t="s">
        <v>12189</v>
      </c>
      <c r="B3527" s="1" t="str">
        <f>HYPERLINK("https://www.catalog.slsa.sa.gov.au/record=b2111843")</f>
        <v>https://www.catalog.slsa.sa.gov.au/record=b2111843</v>
      </c>
      <c r="C3527" s="1" t="str">
        <f>HYPERLINK("https://www.catalog.slsa.sa.gov.au/xrecord=b2111843")</f>
        <v>https://www.catalog.slsa.sa.gov.au/xrecord=b2111843</v>
      </c>
      <c r="D3527" t="s">
        <v>66</v>
      </c>
      <c r="E3527" t="s">
        <v>12190</v>
      </c>
      <c r="F3527">
        <v>1963</v>
      </c>
      <c r="G3527" t="s">
        <v>121</v>
      </c>
      <c r="H3527" t="s">
        <v>12191</v>
      </c>
      <c r="I3527" t="s">
        <v>4502</v>
      </c>
      <c r="J3527" t="s">
        <v>71</v>
      </c>
      <c r="K3527" s="2" t="str">
        <f>HYPERLINK("http://collections.slsa.sa.gov.au/arthur/02500/BRG347_2340.htm")</f>
        <v>http://collections.slsa.sa.gov.au/arthur/02500/BRG347_2340.htm</v>
      </c>
    </row>
    <row r="3528" spans="1:11" x14ac:dyDescent="0.25">
      <c r="A3528" t="s">
        <v>12192</v>
      </c>
      <c r="B3528" s="1" t="str">
        <f>HYPERLINK("https://www.catalog.slsa.sa.gov.au/record=b2111844")</f>
        <v>https://www.catalog.slsa.sa.gov.au/record=b2111844</v>
      </c>
      <c r="C3528" s="1" t="str">
        <f>HYPERLINK("https://www.catalog.slsa.sa.gov.au/xrecord=b2111844")</f>
        <v>https://www.catalog.slsa.sa.gov.au/xrecord=b2111844</v>
      </c>
      <c r="D3528" t="s">
        <v>66</v>
      </c>
      <c r="E3528" t="s">
        <v>12186</v>
      </c>
      <c r="F3528">
        <v>1963</v>
      </c>
      <c r="G3528" t="s">
        <v>121</v>
      </c>
      <c r="H3528" t="s">
        <v>12193</v>
      </c>
      <c r="I3528" t="s">
        <v>12188</v>
      </c>
      <c r="J3528" t="s">
        <v>71</v>
      </c>
      <c r="K3528" s="2" t="str">
        <f>HYPERLINK("http://collections.slsa.sa.gov.au/arthur/02500/BRG347_2341.htm")</f>
        <v>http://collections.slsa.sa.gov.au/arthur/02500/BRG347_2341.htm</v>
      </c>
    </row>
    <row r="3529" spans="1:11" x14ac:dyDescent="0.25">
      <c r="A3529" t="s">
        <v>12194</v>
      </c>
      <c r="B3529" s="1" t="str">
        <f>HYPERLINK("https://www.catalog.slsa.sa.gov.au/record=b2111845")</f>
        <v>https://www.catalog.slsa.sa.gov.au/record=b2111845</v>
      </c>
      <c r="C3529" s="1" t="str">
        <f>HYPERLINK("https://www.catalog.slsa.sa.gov.au/xrecord=b2111845")</f>
        <v>https://www.catalog.slsa.sa.gov.au/xrecord=b2111845</v>
      </c>
      <c r="D3529" t="s">
        <v>66</v>
      </c>
      <c r="E3529" t="s">
        <v>12195</v>
      </c>
      <c r="F3529">
        <v>1963</v>
      </c>
      <c r="G3529" t="s">
        <v>121</v>
      </c>
      <c r="H3529" t="s">
        <v>12196</v>
      </c>
      <c r="I3529" t="s">
        <v>12197</v>
      </c>
      <c r="J3529" t="s">
        <v>71</v>
      </c>
      <c r="K3529" s="2" t="str">
        <f>HYPERLINK("http://collections.slsa.sa.gov.au/arthur/02500/BRG347_2342.htm")</f>
        <v>http://collections.slsa.sa.gov.au/arthur/02500/BRG347_2342.htm</v>
      </c>
    </row>
    <row r="3530" spans="1:11" x14ac:dyDescent="0.25">
      <c r="A3530" t="s">
        <v>12198</v>
      </c>
      <c r="B3530" s="1" t="str">
        <f>HYPERLINK("https://www.catalog.slsa.sa.gov.au/record=b2111846")</f>
        <v>https://www.catalog.slsa.sa.gov.au/record=b2111846</v>
      </c>
      <c r="C3530" s="1" t="str">
        <f>HYPERLINK("https://www.catalog.slsa.sa.gov.au/xrecord=b2111846")</f>
        <v>https://www.catalog.slsa.sa.gov.au/xrecord=b2111846</v>
      </c>
      <c r="D3530" t="s">
        <v>66</v>
      </c>
      <c r="E3530" t="s">
        <v>11819</v>
      </c>
      <c r="F3530">
        <v>1963</v>
      </c>
      <c r="G3530" t="s">
        <v>121</v>
      </c>
      <c r="H3530" t="s">
        <v>12199</v>
      </c>
      <c r="I3530" t="s">
        <v>11821</v>
      </c>
      <c r="J3530" t="s">
        <v>71</v>
      </c>
      <c r="K3530" s="2" t="str">
        <f>HYPERLINK("http://collections.slsa.sa.gov.au/arthur/02500/BRG347_2343.htm")</f>
        <v>http://collections.slsa.sa.gov.au/arthur/02500/BRG347_2343.htm</v>
      </c>
    </row>
    <row r="3531" spans="1:11" x14ac:dyDescent="0.25">
      <c r="A3531" t="s">
        <v>12200</v>
      </c>
      <c r="B3531" s="1" t="str">
        <f>HYPERLINK("https://www.catalog.slsa.sa.gov.au/record=b2111847")</f>
        <v>https://www.catalog.slsa.sa.gov.au/record=b2111847</v>
      </c>
      <c r="C3531" s="1" t="str">
        <f>HYPERLINK("https://www.catalog.slsa.sa.gov.au/xrecord=b2111847")</f>
        <v>https://www.catalog.slsa.sa.gov.au/xrecord=b2111847</v>
      </c>
      <c r="D3531" t="s">
        <v>66</v>
      </c>
      <c r="E3531" t="s">
        <v>12201</v>
      </c>
      <c r="F3531">
        <v>1963</v>
      </c>
      <c r="G3531" t="s">
        <v>121</v>
      </c>
      <c r="H3531" t="s">
        <v>12202</v>
      </c>
      <c r="I3531" t="s">
        <v>11296</v>
      </c>
      <c r="J3531" t="s">
        <v>71</v>
      </c>
      <c r="K3531" s="2" t="str">
        <f>HYPERLINK("http://collections.slsa.sa.gov.au/arthur/02500/BRG347_2344.htm")</f>
        <v>http://collections.slsa.sa.gov.au/arthur/02500/BRG347_2344.htm</v>
      </c>
    </row>
    <row r="3532" spans="1:11" x14ac:dyDescent="0.25">
      <c r="A3532" t="s">
        <v>12203</v>
      </c>
      <c r="B3532" s="1" t="str">
        <f>HYPERLINK("https://www.catalog.slsa.sa.gov.au/record=b2111848")</f>
        <v>https://www.catalog.slsa.sa.gov.au/record=b2111848</v>
      </c>
      <c r="C3532" s="1" t="str">
        <f>HYPERLINK("https://www.catalog.slsa.sa.gov.au/xrecord=b2111848")</f>
        <v>https://www.catalog.slsa.sa.gov.au/xrecord=b2111848</v>
      </c>
      <c r="D3532" t="s">
        <v>66</v>
      </c>
      <c r="E3532" t="s">
        <v>12204</v>
      </c>
      <c r="F3532">
        <v>1963</v>
      </c>
      <c r="G3532" t="s">
        <v>121</v>
      </c>
      <c r="H3532" t="s">
        <v>12205</v>
      </c>
      <c r="I3532" t="s">
        <v>12206</v>
      </c>
      <c r="J3532" t="s">
        <v>71</v>
      </c>
      <c r="K3532" s="2" t="str">
        <f>HYPERLINK("http://collections.slsa.sa.gov.au/arthur/02500/BRG347_2345.htm")</f>
        <v>http://collections.slsa.sa.gov.au/arthur/02500/BRG347_2345.htm</v>
      </c>
    </row>
    <row r="3533" spans="1:11" x14ac:dyDescent="0.25">
      <c r="A3533" t="s">
        <v>12207</v>
      </c>
      <c r="B3533" s="1" t="str">
        <f>HYPERLINK("https://www.catalog.slsa.sa.gov.au/record=b2111849")</f>
        <v>https://www.catalog.slsa.sa.gov.au/record=b2111849</v>
      </c>
      <c r="C3533" s="1" t="str">
        <f>HYPERLINK("https://www.catalog.slsa.sa.gov.au/xrecord=b2111849")</f>
        <v>https://www.catalog.slsa.sa.gov.au/xrecord=b2111849</v>
      </c>
      <c r="D3533" t="s">
        <v>66</v>
      </c>
      <c r="E3533" t="s">
        <v>11101</v>
      </c>
      <c r="F3533">
        <v>1963</v>
      </c>
      <c r="G3533" t="s">
        <v>121</v>
      </c>
      <c r="H3533" t="s">
        <v>12208</v>
      </c>
      <c r="I3533" t="s">
        <v>12209</v>
      </c>
      <c r="J3533" t="s">
        <v>71</v>
      </c>
      <c r="K3533" s="2" t="str">
        <f>HYPERLINK("http://collections.slsa.sa.gov.au/arthur/02500/BRG347_2346.htm")</f>
        <v>http://collections.slsa.sa.gov.au/arthur/02500/BRG347_2346.htm</v>
      </c>
    </row>
    <row r="3534" spans="1:11" x14ac:dyDescent="0.25">
      <c r="A3534" t="s">
        <v>12210</v>
      </c>
      <c r="B3534" s="1" t="str">
        <f>HYPERLINK("https://www.catalog.slsa.sa.gov.au/record=b2111850")</f>
        <v>https://www.catalog.slsa.sa.gov.au/record=b2111850</v>
      </c>
      <c r="C3534" s="1" t="str">
        <f>HYPERLINK("https://www.catalog.slsa.sa.gov.au/xrecord=b2111850")</f>
        <v>https://www.catalog.slsa.sa.gov.au/xrecord=b2111850</v>
      </c>
      <c r="D3534" t="s">
        <v>66</v>
      </c>
      <c r="E3534" t="s">
        <v>12211</v>
      </c>
      <c r="F3534">
        <v>1963</v>
      </c>
      <c r="G3534" t="s">
        <v>121</v>
      </c>
      <c r="H3534" t="s">
        <v>12212</v>
      </c>
      <c r="I3534" t="s">
        <v>12209</v>
      </c>
      <c r="J3534" t="s">
        <v>71</v>
      </c>
      <c r="K3534" s="2" t="str">
        <f>HYPERLINK("http://collections.slsa.sa.gov.au/arthur/02500/BRG347_2347.htm")</f>
        <v>http://collections.slsa.sa.gov.au/arthur/02500/BRG347_2347.htm</v>
      </c>
    </row>
    <row r="3535" spans="1:11" x14ac:dyDescent="0.25">
      <c r="A3535" t="s">
        <v>12213</v>
      </c>
      <c r="B3535" s="1" t="str">
        <f>HYPERLINK("https://www.catalog.slsa.sa.gov.au/record=b2111851")</f>
        <v>https://www.catalog.slsa.sa.gov.au/record=b2111851</v>
      </c>
      <c r="C3535" s="1" t="str">
        <f>HYPERLINK("https://www.catalog.slsa.sa.gov.au/xrecord=b2111851")</f>
        <v>https://www.catalog.slsa.sa.gov.au/xrecord=b2111851</v>
      </c>
      <c r="D3535" t="s">
        <v>66</v>
      </c>
      <c r="E3535" t="s">
        <v>12214</v>
      </c>
      <c r="F3535">
        <v>1963</v>
      </c>
      <c r="G3535" t="s">
        <v>121</v>
      </c>
      <c r="H3535" t="s">
        <v>12215</v>
      </c>
      <c r="I3535" t="s">
        <v>12216</v>
      </c>
      <c r="J3535" t="s">
        <v>71</v>
      </c>
      <c r="K3535" s="2" t="str">
        <f>HYPERLINK("http://collections.slsa.sa.gov.au/arthur/02500/BRG347_2348.htm")</f>
        <v>http://collections.slsa.sa.gov.au/arthur/02500/BRG347_2348.htm</v>
      </c>
    </row>
    <row r="3536" spans="1:11" x14ac:dyDescent="0.25">
      <c r="A3536" t="s">
        <v>12217</v>
      </c>
      <c r="B3536" s="1" t="str">
        <f>HYPERLINK("https://www.catalog.slsa.sa.gov.au/record=b2111853")</f>
        <v>https://www.catalog.slsa.sa.gov.au/record=b2111853</v>
      </c>
      <c r="C3536" s="1" t="str">
        <f>HYPERLINK("https://www.catalog.slsa.sa.gov.au/xrecord=b2111853")</f>
        <v>https://www.catalog.slsa.sa.gov.au/xrecord=b2111853</v>
      </c>
      <c r="D3536" t="s">
        <v>66</v>
      </c>
      <c r="E3536" t="s">
        <v>12218</v>
      </c>
      <c r="F3536">
        <v>1963</v>
      </c>
      <c r="G3536" t="s">
        <v>121</v>
      </c>
      <c r="H3536" t="s">
        <v>12219</v>
      </c>
      <c r="I3536" t="s">
        <v>12220</v>
      </c>
      <c r="J3536" t="s">
        <v>71</v>
      </c>
      <c r="K3536" s="2" t="str">
        <f>HYPERLINK("http://collections.slsa.sa.gov.au/arthur/02500/BRG347_2350.htm")</f>
        <v>http://collections.slsa.sa.gov.au/arthur/02500/BRG347_2350.htm</v>
      </c>
    </row>
    <row r="3537" spans="1:11" x14ac:dyDescent="0.25">
      <c r="A3537" t="s">
        <v>12221</v>
      </c>
      <c r="B3537" s="1" t="str">
        <f>HYPERLINK("https://www.catalog.slsa.sa.gov.au/record=b2111855")</f>
        <v>https://www.catalog.slsa.sa.gov.au/record=b2111855</v>
      </c>
      <c r="C3537" s="1" t="str">
        <f>HYPERLINK("https://www.catalog.slsa.sa.gov.au/xrecord=b2111855")</f>
        <v>https://www.catalog.slsa.sa.gov.au/xrecord=b2111855</v>
      </c>
      <c r="D3537" t="s">
        <v>66</v>
      </c>
      <c r="E3537" t="s">
        <v>12222</v>
      </c>
      <c r="F3537">
        <v>1963</v>
      </c>
      <c r="G3537" t="s">
        <v>121</v>
      </c>
      <c r="H3537" t="s">
        <v>12223</v>
      </c>
      <c r="I3537" t="s">
        <v>12224</v>
      </c>
      <c r="J3537" t="s">
        <v>71</v>
      </c>
      <c r="K3537" s="2" t="str">
        <f>HYPERLINK("http://collections.slsa.sa.gov.au/arthur/02500/BRG347_2352.htm")</f>
        <v>http://collections.slsa.sa.gov.au/arthur/02500/BRG347_2352.htm</v>
      </c>
    </row>
    <row r="3538" spans="1:11" x14ac:dyDescent="0.25">
      <c r="A3538" t="s">
        <v>12225</v>
      </c>
      <c r="B3538" s="1" t="str">
        <f>HYPERLINK("https://www.catalog.slsa.sa.gov.au/record=b2111857")</f>
        <v>https://www.catalog.slsa.sa.gov.au/record=b2111857</v>
      </c>
      <c r="C3538" s="1" t="str">
        <f>HYPERLINK("https://www.catalog.slsa.sa.gov.au/xrecord=b2111857")</f>
        <v>https://www.catalog.slsa.sa.gov.au/xrecord=b2111857</v>
      </c>
      <c r="D3538" t="s">
        <v>66</v>
      </c>
      <c r="E3538" t="s">
        <v>12226</v>
      </c>
      <c r="F3538">
        <v>1963</v>
      </c>
      <c r="G3538" t="s">
        <v>121</v>
      </c>
      <c r="H3538" t="s">
        <v>12227</v>
      </c>
      <c r="I3538" t="s">
        <v>4562</v>
      </c>
      <c r="J3538" t="s">
        <v>71</v>
      </c>
      <c r="K3538" s="2" t="str">
        <f>HYPERLINK("http://collections.slsa.sa.gov.au/arthur/02500/BRG347_2354.htm")</f>
        <v>http://collections.slsa.sa.gov.au/arthur/02500/BRG347_2354.htm</v>
      </c>
    </row>
    <row r="3539" spans="1:11" x14ac:dyDescent="0.25">
      <c r="A3539" t="s">
        <v>12228</v>
      </c>
      <c r="B3539" s="1" t="str">
        <f>HYPERLINK("https://www.catalog.slsa.sa.gov.au/record=b2112231")</f>
        <v>https://www.catalog.slsa.sa.gov.au/record=b2112231</v>
      </c>
      <c r="C3539" s="1" t="str">
        <f>HYPERLINK("https://www.catalog.slsa.sa.gov.au/xrecord=b2112231")</f>
        <v>https://www.catalog.slsa.sa.gov.au/xrecord=b2112231</v>
      </c>
      <c r="D3539" t="s">
        <v>66</v>
      </c>
      <c r="E3539" t="s">
        <v>6489</v>
      </c>
      <c r="F3539">
        <v>1963</v>
      </c>
      <c r="G3539" t="s">
        <v>121</v>
      </c>
      <c r="H3539" t="s">
        <v>12229</v>
      </c>
      <c r="I3539" t="s">
        <v>6410</v>
      </c>
      <c r="J3539" t="s">
        <v>71</v>
      </c>
      <c r="K3539" s="2" t="str">
        <f>HYPERLINK("http://collections.slsa.sa.gov.au/arthur/02750/BRG347_2664.htm")</f>
        <v>http://collections.slsa.sa.gov.au/arthur/02750/BRG347_2664.htm</v>
      </c>
    </row>
    <row r="3540" spans="1:11" x14ac:dyDescent="0.25">
      <c r="A3540" t="s">
        <v>12230</v>
      </c>
      <c r="B3540" s="1" t="str">
        <f>HYPERLINK("https://www.catalog.slsa.sa.gov.au/record=b2112232")</f>
        <v>https://www.catalog.slsa.sa.gov.au/record=b2112232</v>
      </c>
      <c r="C3540" s="1" t="str">
        <f>HYPERLINK("https://www.catalog.slsa.sa.gov.au/xrecord=b2112232")</f>
        <v>https://www.catalog.slsa.sa.gov.au/xrecord=b2112232</v>
      </c>
      <c r="D3540" t="s">
        <v>66</v>
      </c>
      <c r="E3540" t="s">
        <v>6489</v>
      </c>
      <c r="F3540">
        <v>1963</v>
      </c>
      <c r="G3540" t="s">
        <v>121</v>
      </c>
      <c r="H3540" t="s">
        <v>12231</v>
      </c>
      <c r="I3540" t="s">
        <v>6410</v>
      </c>
      <c r="J3540" t="s">
        <v>71</v>
      </c>
      <c r="K3540" s="2" t="str">
        <f>HYPERLINK("http://collections.slsa.sa.gov.au/arthur/02750/BRG347_2665.htm")</f>
        <v>http://collections.slsa.sa.gov.au/arthur/02750/BRG347_2665.htm</v>
      </c>
    </row>
    <row r="3541" spans="1:11" x14ac:dyDescent="0.25">
      <c r="A3541" t="s">
        <v>12232</v>
      </c>
      <c r="B3541" s="1" t="str">
        <f>HYPERLINK("https://www.catalog.slsa.sa.gov.au/record=b2112244")</f>
        <v>https://www.catalog.slsa.sa.gov.au/record=b2112244</v>
      </c>
      <c r="C3541" s="1" t="str">
        <f>HYPERLINK("https://www.catalog.slsa.sa.gov.au/xrecord=b2112244")</f>
        <v>https://www.catalog.slsa.sa.gov.au/xrecord=b2112244</v>
      </c>
      <c r="D3541" t="s">
        <v>66</v>
      </c>
      <c r="E3541" t="s">
        <v>12233</v>
      </c>
      <c r="F3541">
        <v>1963</v>
      </c>
      <c r="G3541" t="s">
        <v>121</v>
      </c>
      <c r="H3541" t="s">
        <v>12234</v>
      </c>
      <c r="I3541" t="s">
        <v>12235</v>
      </c>
      <c r="J3541" t="s">
        <v>71</v>
      </c>
      <c r="K3541" s="2" t="str">
        <f>HYPERLINK("http://collections.slsa.sa.gov.au/arthur/02750/BRG347_2678.htm")</f>
        <v>http://collections.slsa.sa.gov.au/arthur/02750/BRG347_2678.htm</v>
      </c>
    </row>
    <row r="3542" spans="1:11" x14ac:dyDescent="0.25">
      <c r="A3542" t="s">
        <v>12236</v>
      </c>
      <c r="B3542" s="1" t="str">
        <f>HYPERLINK("https://www.catalog.slsa.sa.gov.au/record=b2112531")</f>
        <v>https://www.catalog.slsa.sa.gov.au/record=b2112531</v>
      </c>
      <c r="C3542" s="1" t="str">
        <f>HYPERLINK("https://www.catalog.slsa.sa.gov.au/xrecord=b2112531")</f>
        <v>https://www.catalog.slsa.sa.gov.au/xrecord=b2112531</v>
      </c>
      <c r="D3542" t="s">
        <v>66</v>
      </c>
      <c r="E3542" t="s">
        <v>12237</v>
      </c>
      <c r="F3542">
        <v>1963</v>
      </c>
      <c r="G3542" t="s">
        <v>121</v>
      </c>
      <c r="H3542" t="s">
        <v>12238</v>
      </c>
      <c r="I3542" t="s">
        <v>12239</v>
      </c>
      <c r="J3542" t="s">
        <v>71</v>
      </c>
      <c r="K3542" s="2" t="str">
        <f>HYPERLINK("http://collections.slsa.sa.gov.au/arthur/03000/BRG347_2799.htm")</f>
        <v>http://collections.slsa.sa.gov.au/arthur/03000/BRG347_2799.htm</v>
      </c>
    </row>
    <row r="3543" spans="1:11" x14ac:dyDescent="0.25">
      <c r="A3543" t="s">
        <v>12240</v>
      </c>
      <c r="B3543" s="1" t="str">
        <f>HYPERLINK("https://www.catalog.slsa.sa.gov.au/record=b2112532")</f>
        <v>https://www.catalog.slsa.sa.gov.au/record=b2112532</v>
      </c>
      <c r="C3543" s="1" t="str">
        <f>HYPERLINK("https://www.catalog.slsa.sa.gov.au/xrecord=b2112532")</f>
        <v>https://www.catalog.slsa.sa.gov.au/xrecord=b2112532</v>
      </c>
      <c r="D3543" t="s">
        <v>66</v>
      </c>
      <c r="E3543" t="s">
        <v>12241</v>
      </c>
      <c r="F3543">
        <v>1963</v>
      </c>
      <c r="G3543" t="s">
        <v>121</v>
      </c>
      <c r="H3543" t="s">
        <v>12242</v>
      </c>
      <c r="I3543" t="s">
        <v>12243</v>
      </c>
      <c r="J3543" t="s">
        <v>71</v>
      </c>
      <c r="K3543" s="2" t="str">
        <f>HYPERLINK("http://collections.slsa.sa.gov.au/arthur/03000/BRG347_2800.htm")</f>
        <v>http://collections.slsa.sa.gov.au/arthur/03000/BRG347_2800.htm</v>
      </c>
    </row>
    <row r="3544" spans="1:11" x14ac:dyDescent="0.25">
      <c r="A3544" t="s">
        <v>12244</v>
      </c>
      <c r="B3544" s="1" t="str">
        <f>HYPERLINK("https://www.catalog.slsa.sa.gov.au/record=b2112533")</f>
        <v>https://www.catalog.slsa.sa.gov.au/record=b2112533</v>
      </c>
      <c r="C3544" s="1" t="str">
        <f>HYPERLINK("https://www.catalog.slsa.sa.gov.au/xrecord=b2112533")</f>
        <v>https://www.catalog.slsa.sa.gov.au/xrecord=b2112533</v>
      </c>
      <c r="D3544" t="s">
        <v>66</v>
      </c>
      <c r="E3544" t="s">
        <v>12245</v>
      </c>
      <c r="F3544">
        <v>1963</v>
      </c>
      <c r="G3544" t="s">
        <v>121</v>
      </c>
      <c r="H3544" t="s">
        <v>12246</v>
      </c>
      <c r="I3544" t="s">
        <v>12247</v>
      </c>
      <c r="J3544" t="s">
        <v>71</v>
      </c>
      <c r="K3544" s="2" t="str">
        <f>HYPERLINK("http://collections.slsa.sa.gov.au/arthur/03000/BRG347_2801.htm")</f>
        <v>http://collections.slsa.sa.gov.au/arthur/03000/BRG347_2801.htm</v>
      </c>
    </row>
    <row r="3545" spans="1:11" x14ac:dyDescent="0.25">
      <c r="A3545" t="s">
        <v>12248</v>
      </c>
      <c r="B3545" s="1" t="str">
        <f>HYPERLINK("https://www.catalog.slsa.sa.gov.au/record=b2112534")</f>
        <v>https://www.catalog.slsa.sa.gov.au/record=b2112534</v>
      </c>
      <c r="C3545" s="1" t="str">
        <f>HYPERLINK("https://www.catalog.slsa.sa.gov.au/xrecord=b2112534")</f>
        <v>https://www.catalog.slsa.sa.gov.au/xrecord=b2112534</v>
      </c>
      <c r="D3545" t="s">
        <v>66</v>
      </c>
      <c r="E3545" t="s">
        <v>9814</v>
      </c>
      <c r="F3545">
        <v>1963</v>
      </c>
      <c r="G3545" t="s">
        <v>121</v>
      </c>
      <c r="H3545" t="s">
        <v>12249</v>
      </c>
      <c r="I3545" t="s">
        <v>12250</v>
      </c>
      <c r="J3545" t="s">
        <v>71</v>
      </c>
      <c r="K3545" s="2" t="str">
        <f>HYPERLINK("http://collections.slsa.sa.gov.au/arthur/03000/BRG347_2802.htm")</f>
        <v>http://collections.slsa.sa.gov.au/arthur/03000/BRG347_2802.htm</v>
      </c>
    </row>
    <row r="3546" spans="1:11" x14ac:dyDescent="0.25">
      <c r="A3546" t="s">
        <v>12251</v>
      </c>
      <c r="B3546" s="1" t="str">
        <f>HYPERLINK("https://www.catalog.slsa.sa.gov.au/record=b2112535")</f>
        <v>https://www.catalog.slsa.sa.gov.au/record=b2112535</v>
      </c>
      <c r="C3546" s="1" t="str">
        <f>HYPERLINK("https://www.catalog.slsa.sa.gov.au/xrecord=b2112535")</f>
        <v>https://www.catalog.slsa.sa.gov.au/xrecord=b2112535</v>
      </c>
      <c r="D3546" t="s">
        <v>66</v>
      </c>
      <c r="E3546" t="s">
        <v>7662</v>
      </c>
      <c r="F3546">
        <v>1963</v>
      </c>
      <c r="G3546" t="s">
        <v>121</v>
      </c>
      <c r="H3546" t="s">
        <v>12252</v>
      </c>
      <c r="I3546" t="s">
        <v>12253</v>
      </c>
      <c r="J3546" t="s">
        <v>71</v>
      </c>
      <c r="K3546" s="2" t="str">
        <f>HYPERLINK("http://collections.slsa.sa.gov.au/arthur/03000/BRG347_2803.htm")</f>
        <v>http://collections.slsa.sa.gov.au/arthur/03000/BRG347_2803.htm</v>
      </c>
    </row>
    <row r="3547" spans="1:11" x14ac:dyDescent="0.25">
      <c r="A3547" t="s">
        <v>12254</v>
      </c>
      <c r="B3547" s="1" t="str">
        <f>HYPERLINK("https://www.catalog.slsa.sa.gov.au/record=b2112536")</f>
        <v>https://www.catalog.slsa.sa.gov.au/record=b2112536</v>
      </c>
      <c r="C3547" s="1" t="str">
        <f>HYPERLINK("https://www.catalog.slsa.sa.gov.au/xrecord=b2112536")</f>
        <v>https://www.catalog.slsa.sa.gov.au/xrecord=b2112536</v>
      </c>
      <c r="D3547" t="s">
        <v>66</v>
      </c>
      <c r="E3547" t="s">
        <v>12255</v>
      </c>
      <c r="F3547">
        <v>1963</v>
      </c>
      <c r="G3547" t="s">
        <v>121</v>
      </c>
      <c r="H3547" t="s">
        <v>12256</v>
      </c>
      <c r="I3547" t="s">
        <v>12257</v>
      </c>
      <c r="J3547" t="s">
        <v>71</v>
      </c>
      <c r="K3547" s="2" t="str">
        <f>HYPERLINK("http://collections.slsa.sa.gov.au/arthur/03000/BRG347_2804.htm")</f>
        <v>http://collections.slsa.sa.gov.au/arthur/03000/BRG347_2804.htm</v>
      </c>
    </row>
    <row r="3548" spans="1:11" x14ac:dyDescent="0.25">
      <c r="A3548" t="s">
        <v>12258</v>
      </c>
      <c r="B3548" s="1" t="str">
        <f>HYPERLINK("https://www.catalog.slsa.sa.gov.au/record=b2112835")</f>
        <v>https://www.catalog.slsa.sa.gov.au/record=b2112835</v>
      </c>
      <c r="C3548" s="1" t="str">
        <f>HYPERLINK("https://www.catalog.slsa.sa.gov.au/xrecord=b2112835")</f>
        <v>https://www.catalog.slsa.sa.gov.au/xrecord=b2112835</v>
      </c>
      <c r="D3548" t="s">
        <v>66</v>
      </c>
      <c r="E3548" t="s">
        <v>12259</v>
      </c>
      <c r="F3548">
        <v>1963</v>
      </c>
      <c r="G3548" t="s">
        <v>121</v>
      </c>
      <c r="H3548" t="s">
        <v>12260</v>
      </c>
      <c r="I3548" t="s">
        <v>12261</v>
      </c>
      <c r="J3548" t="s">
        <v>71</v>
      </c>
      <c r="K3548" s="2" t="str">
        <f>HYPERLINK("http://collections.slsa.sa.gov.au/arthur/03250/BRG347_3071.htm")</f>
        <v>http://collections.slsa.sa.gov.au/arthur/03250/BRG347_3071.htm</v>
      </c>
    </row>
    <row r="3549" spans="1:11" x14ac:dyDescent="0.25">
      <c r="A3549" t="s">
        <v>12262</v>
      </c>
      <c r="B3549" s="1" t="str">
        <f>HYPERLINK("https://www.catalog.slsa.sa.gov.au/record=b2112836")</f>
        <v>https://www.catalog.slsa.sa.gov.au/record=b2112836</v>
      </c>
      <c r="C3549" s="1" t="str">
        <f>HYPERLINK("https://www.catalog.slsa.sa.gov.au/xrecord=b2112836")</f>
        <v>https://www.catalog.slsa.sa.gov.au/xrecord=b2112836</v>
      </c>
      <c r="D3549" t="s">
        <v>66</v>
      </c>
      <c r="E3549" t="s">
        <v>11372</v>
      </c>
      <c r="F3549">
        <v>1963</v>
      </c>
      <c r="G3549" t="s">
        <v>121</v>
      </c>
      <c r="H3549" t="s">
        <v>12263</v>
      </c>
      <c r="I3549" t="s">
        <v>11374</v>
      </c>
      <c r="J3549" t="s">
        <v>71</v>
      </c>
      <c r="K3549" s="2" t="str">
        <f>HYPERLINK("http://collections.slsa.sa.gov.au/arthur/03250/BRG347_3072.htm")</f>
        <v>http://collections.slsa.sa.gov.au/arthur/03250/BRG347_3072.htm</v>
      </c>
    </row>
    <row r="3550" spans="1:11" x14ac:dyDescent="0.25">
      <c r="A3550" t="s">
        <v>12264</v>
      </c>
      <c r="B3550" s="1" t="str">
        <f>HYPERLINK("https://www.catalog.slsa.sa.gov.au/record=b2114067")</f>
        <v>https://www.catalog.slsa.sa.gov.au/record=b2114067</v>
      </c>
      <c r="C3550" s="1" t="str">
        <f>HYPERLINK("https://www.catalog.slsa.sa.gov.au/xrecord=b2114067")</f>
        <v>https://www.catalog.slsa.sa.gov.au/xrecord=b2114067</v>
      </c>
      <c r="D3550" t="s">
        <v>66</v>
      </c>
      <c r="E3550" t="s">
        <v>12265</v>
      </c>
      <c r="F3550">
        <v>1963</v>
      </c>
      <c r="G3550" t="s">
        <v>121</v>
      </c>
      <c r="H3550" t="s">
        <v>12266</v>
      </c>
      <c r="I3550" t="s">
        <v>12267</v>
      </c>
      <c r="J3550" t="s">
        <v>71</v>
      </c>
      <c r="K3550" s="2" t="str">
        <f>HYPERLINK("http://collections.slsa.sa.gov.au/arthur/04000/BRG347_3901.htm")</f>
        <v>http://collections.slsa.sa.gov.au/arthur/04000/BRG347_3901.htm</v>
      </c>
    </row>
    <row r="3551" spans="1:11" x14ac:dyDescent="0.25">
      <c r="A3551" t="s">
        <v>12268</v>
      </c>
      <c r="B3551" s="1" t="str">
        <f>HYPERLINK("https://www.catalog.slsa.sa.gov.au/record=b2114068")</f>
        <v>https://www.catalog.slsa.sa.gov.au/record=b2114068</v>
      </c>
      <c r="C3551" s="1" t="str">
        <f>HYPERLINK("https://www.catalog.slsa.sa.gov.au/xrecord=b2114068")</f>
        <v>https://www.catalog.slsa.sa.gov.au/xrecord=b2114068</v>
      </c>
      <c r="D3551" t="s">
        <v>66</v>
      </c>
      <c r="E3551" t="s">
        <v>12269</v>
      </c>
      <c r="F3551">
        <v>1963</v>
      </c>
      <c r="G3551" t="s">
        <v>121</v>
      </c>
      <c r="H3551" t="s">
        <v>12270</v>
      </c>
      <c r="I3551" t="s">
        <v>12271</v>
      </c>
      <c r="J3551" t="s">
        <v>71</v>
      </c>
      <c r="K3551" s="2" t="str">
        <f>HYPERLINK("http://collections.slsa.sa.gov.au/arthur/04000/BRG347_3902.htm")</f>
        <v>http://collections.slsa.sa.gov.au/arthur/04000/BRG347_3902.htm</v>
      </c>
    </row>
    <row r="3552" spans="1:11" x14ac:dyDescent="0.25">
      <c r="A3552" t="s">
        <v>12272</v>
      </c>
      <c r="B3552" s="1" t="str">
        <f>HYPERLINK("https://www.catalog.slsa.sa.gov.au/record=b2111695")</f>
        <v>https://www.catalog.slsa.sa.gov.au/record=b2111695</v>
      </c>
      <c r="C3552" s="1" t="str">
        <f>HYPERLINK("https://www.catalog.slsa.sa.gov.au/xrecord=b2111695")</f>
        <v>https://www.catalog.slsa.sa.gov.au/xrecord=b2111695</v>
      </c>
      <c r="D3552" t="s">
        <v>66</v>
      </c>
      <c r="E3552" t="s">
        <v>12273</v>
      </c>
      <c r="F3552" t="s">
        <v>12274</v>
      </c>
      <c r="G3552" t="s">
        <v>121</v>
      </c>
      <c r="H3552" t="s">
        <v>12275</v>
      </c>
      <c r="I3552" t="s">
        <v>8327</v>
      </c>
      <c r="J3552" t="s">
        <v>71</v>
      </c>
      <c r="K3552" s="2" t="str">
        <f>HYPERLINK("http://collections.slsa.sa.gov.au/arthur/02500/BRG347_2298.htm")</f>
        <v>http://collections.slsa.sa.gov.au/arthur/02500/BRG347_2298.htm</v>
      </c>
    </row>
    <row r="3553" spans="1:11" x14ac:dyDescent="0.25">
      <c r="A3553" t="s">
        <v>12276</v>
      </c>
      <c r="B3553" s="1" t="str">
        <f>HYPERLINK("https://www.catalog.slsa.sa.gov.au/record=b2110058")</f>
        <v>https://www.catalog.slsa.sa.gov.au/record=b2110058</v>
      </c>
      <c r="C3553" s="1" t="str">
        <f>HYPERLINK("https://www.catalog.slsa.sa.gov.au/xrecord=b2110058")</f>
        <v>https://www.catalog.slsa.sa.gov.au/xrecord=b2110058</v>
      </c>
      <c r="D3553" t="s">
        <v>66</v>
      </c>
      <c r="E3553" t="s">
        <v>12277</v>
      </c>
      <c r="F3553">
        <v>1964</v>
      </c>
      <c r="G3553" t="s">
        <v>121</v>
      </c>
      <c r="H3553" t="s">
        <v>12278</v>
      </c>
      <c r="I3553" t="s">
        <v>12279</v>
      </c>
      <c r="J3553" t="s">
        <v>71</v>
      </c>
      <c r="K3553" s="2" t="str">
        <f>HYPERLINK("http://collections.slsa.sa.gov.au/arthur/01000/BRG347_864.htm")</f>
        <v>http://collections.slsa.sa.gov.au/arthur/01000/BRG347_864.htm</v>
      </c>
    </row>
    <row r="3554" spans="1:11" x14ac:dyDescent="0.25">
      <c r="A3554" t="s">
        <v>12280</v>
      </c>
      <c r="B3554" s="1" t="str">
        <f>HYPERLINK("https://www.catalog.slsa.sa.gov.au/record=b2110062")</f>
        <v>https://www.catalog.slsa.sa.gov.au/record=b2110062</v>
      </c>
      <c r="C3554" s="1" t="str">
        <f>HYPERLINK("https://www.catalog.slsa.sa.gov.au/xrecord=b2110062")</f>
        <v>https://www.catalog.slsa.sa.gov.au/xrecord=b2110062</v>
      </c>
      <c r="D3554" t="s">
        <v>66</v>
      </c>
      <c r="E3554" t="s">
        <v>12281</v>
      </c>
      <c r="F3554">
        <v>1964</v>
      </c>
      <c r="G3554" t="s">
        <v>121</v>
      </c>
      <c r="H3554" t="s">
        <v>12282</v>
      </c>
      <c r="I3554" t="s">
        <v>11929</v>
      </c>
      <c r="J3554" t="s">
        <v>71</v>
      </c>
      <c r="K3554" s="2" t="str">
        <f>HYPERLINK("http://collections.slsa.sa.gov.au/arthur/01000/BRG347_868.htm")</f>
        <v>http://collections.slsa.sa.gov.au/arthur/01000/BRG347_868.htm</v>
      </c>
    </row>
    <row r="3555" spans="1:11" x14ac:dyDescent="0.25">
      <c r="A3555" t="s">
        <v>12283</v>
      </c>
      <c r="B3555" s="1" t="str">
        <f>HYPERLINK("https://www.catalog.slsa.sa.gov.au/record=b2110063")</f>
        <v>https://www.catalog.slsa.sa.gov.au/record=b2110063</v>
      </c>
      <c r="C3555" s="1" t="str">
        <f>HYPERLINK("https://www.catalog.slsa.sa.gov.au/xrecord=b2110063")</f>
        <v>https://www.catalog.slsa.sa.gov.au/xrecord=b2110063</v>
      </c>
      <c r="D3555" t="s">
        <v>66</v>
      </c>
      <c r="E3555" t="s">
        <v>12284</v>
      </c>
      <c r="F3555">
        <v>1964</v>
      </c>
      <c r="G3555" t="s">
        <v>121</v>
      </c>
      <c r="H3555" t="s">
        <v>12285</v>
      </c>
      <c r="I3555" t="s">
        <v>1728</v>
      </c>
      <c r="J3555" t="s">
        <v>71</v>
      </c>
      <c r="K3555" s="2" t="str">
        <f>HYPERLINK("http://collections.slsa.sa.gov.au/arthur/01000/BRG347_868A.htm")</f>
        <v>http://collections.slsa.sa.gov.au/arthur/01000/BRG347_868A.htm</v>
      </c>
    </row>
    <row r="3556" spans="1:11" x14ac:dyDescent="0.25">
      <c r="A3556" t="s">
        <v>12286</v>
      </c>
      <c r="B3556" s="1" t="str">
        <f>HYPERLINK("https://www.catalog.slsa.sa.gov.au/record=b2110125")</f>
        <v>https://www.catalog.slsa.sa.gov.au/record=b2110125</v>
      </c>
      <c r="C3556" s="1" t="str">
        <f>HYPERLINK("https://www.catalog.slsa.sa.gov.au/xrecord=b2110125")</f>
        <v>https://www.catalog.slsa.sa.gov.au/xrecord=b2110125</v>
      </c>
      <c r="D3556" t="s">
        <v>66</v>
      </c>
      <c r="E3556" t="s">
        <v>12287</v>
      </c>
      <c r="F3556">
        <v>1964</v>
      </c>
      <c r="G3556" t="s">
        <v>121</v>
      </c>
      <c r="H3556" t="s">
        <v>12288</v>
      </c>
      <c r="I3556" t="s">
        <v>12289</v>
      </c>
      <c r="J3556" t="s">
        <v>71</v>
      </c>
      <c r="K3556" s="2" t="str">
        <f>HYPERLINK("http://collections.slsa.sa.gov.au/arthur/01000/BRG347_930.htm")</f>
        <v>http://collections.slsa.sa.gov.au/arthur/01000/BRG347_930.htm</v>
      </c>
    </row>
    <row r="3557" spans="1:11" x14ac:dyDescent="0.25">
      <c r="A3557" t="s">
        <v>12290</v>
      </c>
      <c r="B3557" s="1" t="str">
        <f>HYPERLINK("https://www.catalog.slsa.sa.gov.au/record=b2110126")</f>
        <v>https://www.catalog.slsa.sa.gov.au/record=b2110126</v>
      </c>
      <c r="C3557" s="1" t="str">
        <f>HYPERLINK("https://www.catalog.slsa.sa.gov.au/xrecord=b2110126")</f>
        <v>https://www.catalog.slsa.sa.gov.au/xrecord=b2110126</v>
      </c>
      <c r="D3557" t="s">
        <v>66</v>
      </c>
      <c r="E3557" t="s">
        <v>10636</v>
      </c>
      <c r="F3557">
        <v>1964</v>
      </c>
      <c r="G3557" t="s">
        <v>121</v>
      </c>
      <c r="H3557" t="s">
        <v>12291</v>
      </c>
      <c r="I3557" t="s">
        <v>12292</v>
      </c>
      <c r="J3557" t="s">
        <v>71</v>
      </c>
      <c r="K3557" s="2" t="str">
        <f>HYPERLINK("http://collections.slsa.sa.gov.au/arthur/01000/BRG347_931.htm")</f>
        <v>http://collections.slsa.sa.gov.au/arthur/01000/BRG347_931.htm</v>
      </c>
    </row>
    <row r="3558" spans="1:11" x14ac:dyDescent="0.25">
      <c r="A3558" t="s">
        <v>12293</v>
      </c>
      <c r="B3558" s="1" t="str">
        <f>HYPERLINK("https://www.catalog.slsa.sa.gov.au/record=b2110504")</f>
        <v>https://www.catalog.slsa.sa.gov.au/record=b2110504</v>
      </c>
      <c r="C3558" s="1" t="str">
        <f>HYPERLINK("https://www.catalog.slsa.sa.gov.au/xrecord=b2110504")</f>
        <v>https://www.catalog.slsa.sa.gov.au/xrecord=b2110504</v>
      </c>
      <c r="D3558" t="s">
        <v>66</v>
      </c>
      <c r="E3558" t="s">
        <v>12294</v>
      </c>
      <c r="F3558">
        <v>1964</v>
      </c>
      <c r="G3558" t="s">
        <v>121</v>
      </c>
      <c r="H3558" t="s">
        <v>12295</v>
      </c>
      <c r="I3558" t="s">
        <v>12296</v>
      </c>
      <c r="J3558" t="s">
        <v>71</v>
      </c>
      <c r="K3558" s="2" t="str">
        <f>HYPERLINK("http://collections.slsa.sa.gov.au/arthur/01500/BRG347_1279.htm")</f>
        <v>http://collections.slsa.sa.gov.au/arthur/01500/BRG347_1279.htm</v>
      </c>
    </row>
    <row r="3559" spans="1:11" x14ac:dyDescent="0.25">
      <c r="A3559" t="s">
        <v>12297</v>
      </c>
      <c r="B3559" s="1" t="str">
        <f>HYPERLINK("https://www.catalog.slsa.sa.gov.au/record=b2110507")</f>
        <v>https://www.catalog.slsa.sa.gov.au/record=b2110507</v>
      </c>
      <c r="C3559" s="1" t="str">
        <f>HYPERLINK("https://www.catalog.slsa.sa.gov.au/xrecord=b2110507")</f>
        <v>https://www.catalog.slsa.sa.gov.au/xrecord=b2110507</v>
      </c>
      <c r="D3559" t="s">
        <v>66</v>
      </c>
      <c r="E3559" t="s">
        <v>12298</v>
      </c>
      <c r="F3559">
        <v>1964</v>
      </c>
      <c r="G3559" t="s">
        <v>121</v>
      </c>
      <c r="H3559" t="s">
        <v>12299</v>
      </c>
      <c r="I3559" t="s">
        <v>12300</v>
      </c>
      <c r="J3559" t="s">
        <v>71</v>
      </c>
      <c r="K3559" s="2" t="str">
        <f>HYPERLINK("http://collections.slsa.sa.gov.au/arthur/01500/BRG347_1282.htm")</f>
        <v>http://collections.slsa.sa.gov.au/arthur/01500/BRG347_1282.htm</v>
      </c>
    </row>
    <row r="3560" spans="1:11" x14ac:dyDescent="0.25">
      <c r="A3560" t="s">
        <v>12301</v>
      </c>
      <c r="B3560" s="1" t="str">
        <f>HYPERLINK("https://www.catalog.slsa.sa.gov.au/record=b2117735")</f>
        <v>https://www.catalog.slsa.sa.gov.au/record=b2117735</v>
      </c>
      <c r="C3560" s="1" t="str">
        <f>HYPERLINK("https://www.catalog.slsa.sa.gov.au/xrecord=b2117735")</f>
        <v>https://www.catalog.slsa.sa.gov.au/xrecord=b2117735</v>
      </c>
      <c r="D3560" t="s">
        <v>66</v>
      </c>
      <c r="E3560" t="s">
        <v>12302</v>
      </c>
      <c r="F3560">
        <v>1964</v>
      </c>
      <c r="G3560" t="s">
        <v>5597</v>
      </c>
      <c r="H3560" t="s">
        <v>12303</v>
      </c>
      <c r="I3560" t="s">
        <v>12304</v>
      </c>
      <c r="J3560" t="s">
        <v>71</v>
      </c>
      <c r="K3560" s="2" t="str">
        <f>HYPERLINK("http://collections.slsa.sa.gov.au/arthur/01500/BRG347_1315.htm")</f>
        <v>http://collections.slsa.sa.gov.au/arthur/01500/BRG347_1315.htm</v>
      </c>
    </row>
    <row r="3561" spans="1:11" x14ac:dyDescent="0.25">
      <c r="A3561" t="s">
        <v>12305</v>
      </c>
      <c r="B3561" s="1" t="str">
        <f>HYPERLINK("https://www.catalog.slsa.sa.gov.au/record=b2110916")</f>
        <v>https://www.catalog.slsa.sa.gov.au/record=b2110916</v>
      </c>
      <c r="C3561" s="1" t="str">
        <f>HYPERLINK("https://www.catalog.slsa.sa.gov.au/xrecord=b2110916")</f>
        <v>https://www.catalog.slsa.sa.gov.au/xrecord=b2110916</v>
      </c>
      <c r="D3561" t="s">
        <v>66</v>
      </c>
      <c r="E3561" t="s">
        <v>12306</v>
      </c>
      <c r="F3561">
        <v>1964</v>
      </c>
      <c r="G3561" t="s">
        <v>121</v>
      </c>
      <c r="H3561" t="s">
        <v>12307</v>
      </c>
      <c r="I3561" t="s">
        <v>12308</v>
      </c>
      <c r="J3561" t="s">
        <v>71</v>
      </c>
      <c r="K3561" s="2" t="str">
        <f>HYPERLINK("http://collections.slsa.sa.gov.au/arthur/01750/BRG347_1596.htm")</f>
        <v>http://collections.slsa.sa.gov.au/arthur/01750/BRG347_1596.htm</v>
      </c>
    </row>
    <row r="3562" spans="1:11" x14ac:dyDescent="0.25">
      <c r="A3562" t="s">
        <v>12309</v>
      </c>
      <c r="B3562" s="1" t="str">
        <f>HYPERLINK("https://www.catalog.slsa.sa.gov.au/record=b2110917")</f>
        <v>https://www.catalog.slsa.sa.gov.au/record=b2110917</v>
      </c>
      <c r="C3562" s="1" t="str">
        <f>HYPERLINK("https://www.catalog.slsa.sa.gov.au/xrecord=b2110917")</f>
        <v>https://www.catalog.slsa.sa.gov.au/xrecord=b2110917</v>
      </c>
      <c r="D3562" t="s">
        <v>66</v>
      </c>
      <c r="E3562" t="s">
        <v>12310</v>
      </c>
      <c r="F3562">
        <v>1964</v>
      </c>
      <c r="G3562" t="s">
        <v>121</v>
      </c>
      <c r="H3562" t="s">
        <v>12311</v>
      </c>
      <c r="I3562" t="s">
        <v>12312</v>
      </c>
      <c r="J3562" t="s">
        <v>71</v>
      </c>
      <c r="K3562" s="2" t="str">
        <f>HYPERLINK("http://collections.slsa.sa.gov.au/arthur/01750/BRG347_1597.htm")</f>
        <v>http://collections.slsa.sa.gov.au/arthur/01750/BRG347_1597.htm</v>
      </c>
    </row>
    <row r="3563" spans="1:11" x14ac:dyDescent="0.25">
      <c r="A3563" t="s">
        <v>12313</v>
      </c>
      <c r="B3563" s="1" t="str">
        <f>HYPERLINK("https://www.catalog.slsa.sa.gov.au/record=b2110919")</f>
        <v>https://www.catalog.slsa.sa.gov.au/record=b2110919</v>
      </c>
      <c r="C3563" s="1" t="str">
        <f>HYPERLINK("https://www.catalog.slsa.sa.gov.au/xrecord=b2110919")</f>
        <v>https://www.catalog.slsa.sa.gov.au/xrecord=b2110919</v>
      </c>
      <c r="D3563" t="s">
        <v>66</v>
      </c>
      <c r="E3563" t="s">
        <v>12314</v>
      </c>
      <c r="F3563">
        <v>1964</v>
      </c>
      <c r="G3563" t="s">
        <v>121</v>
      </c>
      <c r="H3563" t="s">
        <v>12315</v>
      </c>
      <c r="I3563" t="s">
        <v>12316</v>
      </c>
      <c r="J3563" t="s">
        <v>71</v>
      </c>
      <c r="K3563" s="2" t="str">
        <f>HYPERLINK("http://collections.slsa.sa.gov.au/arthur/01750/BRG347_1599.htm")</f>
        <v>http://collections.slsa.sa.gov.au/arthur/01750/BRG347_1599.htm</v>
      </c>
    </row>
    <row r="3564" spans="1:11" x14ac:dyDescent="0.25">
      <c r="A3564" t="s">
        <v>12317</v>
      </c>
      <c r="B3564" s="1" t="str">
        <f>HYPERLINK("https://www.catalog.slsa.sa.gov.au/record=b2110920")</f>
        <v>https://www.catalog.slsa.sa.gov.au/record=b2110920</v>
      </c>
      <c r="C3564" s="1" t="str">
        <f>HYPERLINK("https://www.catalog.slsa.sa.gov.au/xrecord=b2110920")</f>
        <v>https://www.catalog.slsa.sa.gov.au/xrecord=b2110920</v>
      </c>
      <c r="D3564" t="s">
        <v>66</v>
      </c>
      <c r="E3564" t="s">
        <v>12318</v>
      </c>
      <c r="F3564">
        <v>1964</v>
      </c>
      <c r="G3564" t="s">
        <v>121</v>
      </c>
      <c r="H3564" t="s">
        <v>12319</v>
      </c>
      <c r="I3564" t="s">
        <v>12320</v>
      </c>
      <c r="J3564" t="s">
        <v>71</v>
      </c>
      <c r="K3564" s="2" t="str">
        <f>HYPERLINK("http://collections.slsa.sa.gov.au/arthur/01750/BRG347_1600.htm")</f>
        <v>http://collections.slsa.sa.gov.au/arthur/01750/BRG347_1600.htm</v>
      </c>
    </row>
    <row r="3565" spans="1:11" x14ac:dyDescent="0.25">
      <c r="A3565" t="s">
        <v>12321</v>
      </c>
      <c r="B3565" s="1" t="str">
        <f>HYPERLINK("https://www.catalog.slsa.sa.gov.au/record=b2110921")</f>
        <v>https://www.catalog.slsa.sa.gov.au/record=b2110921</v>
      </c>
      <c r="C3565" s="1" t="str">
        <f>HYPERLINK("https://www.catalog.slsa.sa.gov.au/xrecord=b2110921")</f>
        <v>https://www.catalog.slsa.sa.gov.au/xrecord=b2110921</v>
      </c>
      <c r="D3565" t="s">
        <v>66</v>
      </c>
      <c r="E3565" t="s">
        <v>11101</v>
      </c>
      <c r="F3565">
        <v>1964</v>
      </c>
      <c r="G3565" t="s">
        <v>121</v>
      </c>
      <c r="H3565" t="s">
        <v>12322</v>
      </c>
      <c r="I3565" t="s">
        <v>12323</v>
      </c>
      <c r="J3565" t="s">
        <v>71</v>
      </c>
      <c r="K3565" s="2" t="str">
        <f>HYPERLINK("http://collections.slsa.sa.gov.au/arthur/01750/BRG347_1601.htm")</f>
        <v>http://collections.slsa.sa.gov.au/arthur/01750/BRG347_1601.htm</v>
      </c>
    </row>
    <row r="3566" spans="1:11" x14ac:dyDescent="0.25">
      <c r="A3566" t="s">
        <v>12324</v>
      </c>
      <c r="B3566" s="1" t="str">
        <f>HYPERLINK("https://www.catalog.slsa.sa.gov.au/record=b2110922")</f>
        <v>https://www.catalog.slsa.sa.gov.au/record=b2110922</v>
      </c>
      <c r="C3566" s="1" t="str">
        <f>HYPERLINK("https://www.catalog.slsa.sa.gov.au/xrecord=b2110922")</f>
        <v>https://www.catalog.slsa.sa.gov.au/xrecord=b2110922</v>
      </c>
      <c r="D3566" t="s">
        <v>66</v>
      </c>
      <c r="E3566" t="s">
        <v>11101</v>
      </c>
      <c r="F3566">
        <v>1964</v>
      </c>
      <c r="G3566" t="s">
        <v>121</v>
      </c>
      <c r="H3566" t="s">
        <v>12325</v>
      </c>
      <c r="I3566" t="s">
        <v>12326</v>
      </c>
      <c r="J3566" t="s">
        <v>71</v>
      </c>
      <c r="K3566" s="2" t="str">
        <f>HYPERLINK("http://collections.slsa.sa.gov.au/arthur/01750/BRG347_1602.htm")</f>
        <v>http://collections.slsa.sa.gov.au/arthur/01750/BRG347_1602.htm</v>
      </c>
    </row>
    <row r="3567" spans="1:11" x14ac:dyDescent="0.25">
      <c r="A3567" t="s">
        <v>12327</v>
      </c>
      <c r="B3567" s="1" t="str">
        <f>HYPERLINK("https://www.catalog.slsa.sa.gov.au/record=b2110851")</f>
        <v>https://www.catalog.slsa.sa.gov.au/record=b2110851</v>
      </c>
      <c r="C3567" s="1" t="str">
        <f>HYPERLINK("https://www.catalog.slsa.sa.gov.au/xrecord=b2110851")</f>
        <v>https://www.catalog.slsa.sa.gov.au/xrecord=b2110851</v>
      </c>
      <c r="D3567" t="s">
        <v>66</v>
      </c>
      <c r="E3567" t="s">
        <v>11101</v>
      </c>
      <c r="F3567">
        <v>1964</v>
      </c>
      <c r="G3567" t="s">
        <v>121</v>
      </c>
      <c r="H3567" t="s">
        <v>12328</v>
      </c>
      <c r="I3567" t="s">
        <v>12329</v>
      </c>
      <c r="J3567" t="s">
        <v>71</v>
      </c>
      <c r="K3567" s="2" t="str">
        <f>HYPERLINK("http://collections.slsa.sa.gov.au/arthur/01750/BRG347_1603.htm")</f>
        <v>http://collections.slsa.sa.gov.au/arthur/01750/BRG347_1603.htm</v>
      </c>
    </row>
    <row r="3568" spans="1:11" x14ac:dyDescent="0.25">
      <c r="A3568" t="s">
        <v>12330</v>
      </c>
      <c r="B3568" s="1" t="str">
        <f>HYPERLINK("https://www.catalog.slsa.sa.gov.au/record=b2110923")</f>
        <v>https://www.catalog.slsa.sa.gov.au/record=b2110923</v>
      </c>
      <c r="C3568" s="1" t="str">
        <f>HYPERLINK("https://www.catalog.slsa.sa.gov.au/xrecord=b2110923")</f>
        <v>https://www.catalog.slsa.sa.gov.au/xrecord=b2110923</v>
      </c>
      <c r="D3568" t="s">
        <v>66</v>
      </c>
      <c r="E3568" t="s">
        <v>6272</v>
      </c>
      <c r="F3568">
        <v>1964</v>
      </c>
      <c r="G3568" t="s">
        <v>121</v>
      </c>
      <c r="H3568" t="s">
        <v>12331</v>
      </c>
      <c r="I3568" t="s">
        <v>12332</v>
      </c>
      <c r="J3568" t="s">
        <v>71</v>
      </c>
      <c r="K3568" s="2" t="str">
        <f>HYPERLINK("http://collections.slsa.sa.gov.au/arthur/01750/BRG347_1604.htm")</f>
        <v>http://collections.slsa.sa.gov.au/arthur/01750/BRG347_1604.htm</v>
      </c>
    </row>
    <row r="3569" spans="1:11" x14ac:dyDescent="0.25">
      <c r="A3569" t="s">
        <v>12333</v>
      </c>
      <c r="B3569" s="1" t="str">
        <f>HYPERLINK("https://www.catalog.slsa.sa.gov.au/record=b2110924")</f>
        <v>https://www.catalog.slsa.sa.gov.au/record=b2110924</v>
      </c>
      <c r="C3569" s="1" t="str">
        <f>HYPERLINK("https://www.catalog.slsa.sa.gov.au/xrecord=b2110924")</f>
        <v>https://www.catalog.slsa.sa.gov.au/xrecord=b2110924</v>
      </c>
      <c r="D3569" t="s">
        <v>66</v>
      </c>
      <c r="E3569" t="s">
        <v>12334</v>
      </c>
      <c r="F3569">
        <v>1964</v>
      </c>
      <c r="G3569" t="s">
        <v>121</v>
      </c>
      <c r="H3569" t="s">
        <v>12335</v>
      </c>
      <c r="I3569" t="s">
        <v>12336</v>
      </c>
      <c r="J3569" t="s">
        <v>71</v>
      </c>
      <c r="K3569" s="2" t="str">
        <f>HYPERLINK("http://collections.slsa.sa.gov.au/arthur/01750/BRG347_1605.htm")</f>
        <v>http://collections.slsa.sa.gov.au/arthur/01750/BRG347_1605.htm</v>
      </c>
    </row>
    <row r="3570" spans="1:11" x14ac:dyDescent="0.25">
      <c r="A3570" t="s">
        <v>12337</v>
      </c>
      <c r="B3570" s="1" t="str">
        <f>HYPERLINK("https://www.catalog.slsa.sa.gov.au/record=b2110925")</f>
        <v>https://www.catalog.slsa.sa.gov.au/record=b2110925</v>
      </c>
      <c r="C3570" s="1" t="str">
        <f>HYPERLINK("https://www.catalog.slsa.sa.gov.au/xrecord=b2110925")</f>
        <v>https://www.catalog.slsa.sa.gov.au/xrecord=b2110925</v>
      </c>
      <c r="D3570" t="s">
        <v>66</v>
      </c>
      <c r="E3570" t="s">
        <v>11101</v>
      </c>
      <c r="F3570">
        <v>1964</v>
      </c>
      <c r="G3570" t="s">
        <v>121</v>
      </c>
      <c r="H3570" t="s">
        <v>12338</v>
      </c>
      <c r="I3570" t="s">
        <v>12339</v>
      </c>
      <c r="J3570" t="s">
        <v>71</v>
      </c>
      <c r="K3570" s="2" t="str">
        <f>HYPERLINK("http://collections.slsa.sa.gov.au/arthur/01750/BRG347_1606.htm")</f>
        <v>http://collections.slsa.sa.gov.au/arthur/01750/BRG347_1606.htm</v>
      </c>
    </row>
    <row r="3571" spans="1:11" x14ac:dyDescent="0.25">
      <c r="A3571" t="s">
        <v>12340</v>
      </c>
      <c r="B3571" s="1" t="str">
        <f>HYPERLINK("https://www.catalog.slsa.sa.gov.au/record=b2110926")</f>
        <v>https://www.catalog.slsa.sa.gov.au/record=b2110926</v>
      </c>
      <c r="C3571" s="1" t="str">
        <f>HYPERLINK("https://www.catalog.slsa.sa.gov.au/xrecord=b2110926")</f>
        <v>https://www.catalog.slsa.sa.gov.au/xrecord=b2110926</v>
      </c>
      <c r="D3571" t="s">
        <v>66</v>
      </c>
      <c r="E3571" t="s">
        <v>12334</v>
      </c>
      <c r="F3571">
        <v>1964</v>
      </c>
      <c r="G3571" t="s">
        <v>121</v>
      </c>
      <c r="H3571" t="s">
        <v>12341</v>
      </c>
      <c r="I3571" t="s">
        <v>12336</v>
      </c>
      <c r="J3571" t="s">
        <v>71</v>
      </c>
      <c r="K3571" s="2" t="str">
        <f>HYPERLINK("http://collections.slsa.sa.gov.au/arthur/01750/BRG347_1607.htm")</f>
        <v>http://collections.slsa.sa.gov.au/arthur/01750/BRG347_1607.htm</v>
      </c>
    </row>
    <row r="3572" spans="1:11" x14ac:dyDescent="0.25">
      <c r="A3572" t="s">
        <v>12342</v>
      </c>
      <c r="B3572" s="1" t="str">
        <f>HYPERLINK("https://www.catalog.slsa.sa.gov.au/record=b2110930")</f>
        <v>https://www.catalog.slsa.sa.gov.au/record=b2110930</v>
      </c>
      <c r="C3572" s="1" t="str">
        <f>HYPERLINK("https://www.catalog.slsa.sa.gov.au/xrecord=b2110930")</f>
        <v>https://www.catalog.slsa.sa.gov.au/xrecord=b2110930</v>
      </c>
      <c r="D3572" t="s">
        <v>66</v>
      </c>
      <c r="E3572" t="s">
        <v>12343</v>
      </c>
      <c r="F3572">
        <v>1964</v>
      </c>
      <c r="G3572" t="s">
        <v>121</v>
      </c>
      <c r="H3572" t="s">
        <v>12344</v>
      </c>
      <c r="I3572" t="s">
        <v>12345</v>
      </c>
      <c r="J3572" t="s">
        <v>71</v>
      </c>
      <c r="K3572" s="2" t="str">
        <f>HYPERLINK("http://collections.slsa.sa.gov.au/arthur/01750/BRG347_1611.htm")</f>
        <v>http://collections.slsa.sa.gov.au/arthur/01750/BRG347_1611.htm</v>
      </c>
    </row>
    <row r="3573" spans="1:11" x14ac:dyDescent="0.25">
      <c r="A3573" t="s">
        <v>12346</v>
      </c>
      <c r="B3573" s="1" t="str">
        <f>HYPERLINK("https://www.catalog.slsa.sa.gov.au/record=b2110935")</f>
        <v>https://www.catalog.slsa.sa.gov.au/record=b2110935</v>
      </c>
      <c r="C3573" s="1" t="str">
        <f>HYPERLINK("https://www.catalog.slsa.sa.gov.au/xrecord=b2110935")</f>
        <v>https://www.catalog.slsa.sa.gov.au/xrecord=b2110935</v>
      </c>
      <c r="D3573" t="s">
        <v>66</v>
      </c>
      <c r="E3573" t="s">
        <v>12347</v>
      </c>
      <c r="F3573">
        <v>1964</v>
      </c>
      <c r="G3573" t="s">
        <v>121</v>
      </c>
      <c r="H3573" t="s">
        <v>12348</v>
      </c>
      <c r="I3573" t="s">
        <v>12349</v>
      </c>
      <c r="J3573" t="s">
        <v>71</v>
      </c>
      <c r="K3573" s="2" t="str">
        <f>HYPERLINK("http://collections.slsa.sa.gov.au/arthur/01750/BRG347_1616.htm")</f>
        <v>http://collections.slsa.sa.gov.au/arthur/01750/BRG347_1616.htm</v>
      </c>
    </row>
    <row r="3574" spans="1:11" x14ac:dyDescent="0.25">
      <c r="A3574" t="s">
        <v>12350</v>
      </c>
      <c r="B3574" s="1" t="str">
        <f>HYPERLINK("https://www.catalog.slsa.sa.gov.au/record=b2110936")</f>
        <v>https://www.catalog.slsa.sa.gov.au/record=b2110936</v>
      </c>
      <c r="C3574" s="1" t="str">
        <f>HYPERLINK("https://www.catalog.slsa.sa.gov.au/xrecord=b2110936")</f>
        <v>https://www.catalog.slsa.sa.gov.au/xrecord=b2110936</v>
      </c>
      <c r="D3574" t="s">
        <v>66</v>
      </c>
      <c r="E3574" t="s">
        <v>12351</v>
      </c>
      <c r="F3574">
        <v>1964</v>
      </c>
      <c r="G3574" t="s">
        <v>121</v>
      </c>
      <c r="H3574" t="s">
        <v>12352</v>
      </c>
      <c r="I3574" t="s">
        <v>12353</v>
      </c>
      <c r="J3574" t="s">
        <v>71</v>
      </c>
      <c r="K3574" s="2" t="str">
        <f>HYPERLINK("http://collections.slsa.sa.gov.au/arthur/01750/BRG347_1617.htm")</f>
        <v>http://collections.slsa.sa.gov.au/arthur/01750/BRG347_1617.htm</v>
      </c>
    </row>
    <row r="3575" spans="1:11" x14ac:dyDescent="0.25">
      <c r="A3575" t="s">
        <v>12354</v>
      </c>
      <c r="B3575" s="1" t="str">
        <f>HYPERLINK("https://www.catalog.slsa.sa.gov.au/record=b2110938")</f>
        <v>https://www.catalog.slsa.sa.gov.au/record=b2110938</v>
      </c>
      <c r="C3575" s="1" t="str">
        <f>HYPERLINK("https://www.catalog.slsa.sa.gov.au/xrecord=b2110938")</f>
        <v>https://www.catalog.slsa.sa.gov.au/xrecord=b2110938</v>
      </c>
      <c r="D3575" t="s">
        <v>66</v>
      </c>
      <c r="E3575" t="s">
        <v>10404</v>
      </c>
      <c r="F3575">
        <v>1964</v>
      </c>
      <c r="G3575" t="s">
        <v>121</v>
      </c>
      <c r="H3575" t="s">
        <v>12355</v>
      </c>
      <c r="I3575" t="s">
        <v>11252</v>
      </c>
      <c r="J3575" t="s">
        <v>71</v>
      </c>
      <c r="K3575" s="2" t="str">
        <f>HYPERLINK("http://collections.slsa.sa.gov.au/arthur/01750/BRG347_1619.htm")</f>
        <v>http://collections.slsa.sa.gov.au/arthur/01750/BRG347_1619.htm</v>
      </c>
    </row>
    <row r="3576" spans="1:11" x14ac:dyDescent="0.25">
      <c r="A3576" t="s">
        <v>12356</v>
      </c>
      <c r="B3576" s="1" t="str">
        <f>HYPERLINK("https://www.catalog.slsa.sa.gov.au/record=b2111015")</f>
        <v>https://www.catalog.slsa.sa.gov.au/record=b2111015</v>
      </c>
      <c r="C3576" s="1" t="str">
        <f>HYPERLINK("https://www.catalog.slsa.sa.gov.au/xrecord=b2111015")</f>
        <v>https://www.catalog.slsa.sa.gov.au/xrecord=b2111015</v>
      </c>
      <c r="D3576" t="s">
        <v>66</v>
      </c>
      <c r="E3576" t="s">
        <v>12357</v>
      </c>
      <c r="F3576">
        <v>1964</v>
      </c>
      <c r="G3576" t="s">
        <v>121</v>
      </c>
      <c r="H3576" t="s">
        <v>12358</v>
      </c>
      <c r="I3576" t="s">
        <v>12359</v>
      </c>
      <c r="J3576" t="s">
        <v>71</v>
      </c>
      <c r="K3576" s="2" t="str">
        <f>HYPERLINK("http://collections.slsa.sa.gov.au/arthur/01750/BRG347_1696.htm")</f>
        <v>http://collections.slsa.sa.gov.au/arthur/01750/BRG347_1696.htm</v>
      </c>
    </row>
    <row r="3577" spans="1:11" x14ac:dyDescent="0.25">
      <c r="A3577" t="s">
        <v>12360</v>
      </c>
      <c r="B3577" s="1" t="str">
        <f>HYPERLINK("https://www.catalog.slsa.sa.gov.au/record=b2111016")</f>
        <v>https://www.catalog.slsa.sa.gov.au/record=b2111016</v>
      </c>
      <c r="C3577" s="1" t="str">
        <f>HYPERLINK("https://www.catalog.slsa.sa.gov.au/xrecord=b2111016")</f>
        <v>https://www.catalog.slsa.sa.gov.au/xrecord=b2111016</v>
      </c>
      <c r="D3577" t="s">
        <v>66</v>
      </c>
      <c r="E3577" t="s">
        <v>12361</v>
      </c>
      <c r="F3577">
        <v>1964</v>
      </c>
      <c r="G3577" t="s">
        <v>121</v>
      </c>
      <c r="H3577" t="s">
        <v>12362</v>
      </c>
      <c r="I3577" t="s">
        <v>12363</v>
      </c>
      <c r="J3577" t="s">
        <v>71</v>
      </c>
      <c r="K3577" s="2" t="str">
        <f>HYPERLINK("http://collections.slsa.sa.gov.au/arthur/01750/BRG347_1697.htm")</f>
        <v>http://collections.slsa.sa.gov.au/arthur/01750/BRG347_1697.htm</v>
      </c>
    </row>
    <row r="3578" spans="1:11" x14ac:dyDescent="0.25">
      <c r="A3578" t="s">
        <v>12364</v>
      </c>
      <c r="B3578" s="1" t="str">
        <f>HYPERLINK("https://www.catalog.slsa.sa.gov.au/record=b2111017")</f>
        <v>https://www.catalog.slsa.sa.gov.au/record=b2111017</v>
      </c>
      <c r="C3578" s="1" t="str">
        <f>HYPERLINK("https://www.catalog.slsa.sa.gov.au/xrecord=b2111017")</f>
        <v>https://www.catalog.slsa.sa.gov.au/xrecord=b2111017</v>
      </c>
      <c r="D3578" t="s">
        <v>66</v>
      </c>
      <c r="E3578" t="s">
        <v>12365</v>
      </c>
      <c r="F3578">
        <v>1964</v>
      </c>
      <c r="G3578" t="s">
        <v>121</v>
      </c>
      <c r="H3578" t="s">
        <v>12366</v>
      </c>
      <c r="I3578" t="s">
        <v>12367</v>
      </c>
      <c r="J3578" t="s">
        <v>71</v>
      </c>
      <c r="K3578" s="2" t="str">
        <f>HYPERLINK("http://collections.slsa.sa.gov.au/arthur/01750/BRG347_1698.htm")</f>
        <v>http://collections.slsa.sa.gov.au/arthur/01750/BRG347_1698.htm</v>
      </c>
    </row>
    <row r="3579" spans="1:11" x14ac:dyDescent="0.25">
      <c r="A3579" t="s">
        <v>12368</v>
      </c>
      <c r="B3579" s="1" t="str">
        <f>HYPERLINK("https://www.catalog.slsa.sa.gov.au/record=b2111018")</f>
        <v>https://www.catalog.slsa.sa.gov.au/record=b2111018</v>
      </c>
      <c r="C3579" s="1" t="str">
        <f>HYPERLINK("https://www.catalog.slsa.sa.gov.au/xrecord=b2111018")</f>
        <v>https://www.catalog.slsa.sa.gov.au/xrecord=b2111018</v>
      </c>
      <c r="D3579" t="s">
        <v>66</v>
      </c>
      <c r="E3579" t="s">
        <v>10636</v>
      </c>
      <c r="F3579">
        <v>1964</v>
      </c>
      <c r="G3579" t="s">
        <v>121</v>
      </c>
      <c r="H3579" t="s">
        <v>12369</v>
      </c>
      <c r="I3579" t="s">
        <v>11088</v>
      </c>
      <c r="J3579" t="s">
        <v>71</v>
      </c>
      <c r="K3579" s="2" t="str">
        <f>HYPERLINK("http://collections.slsa.sa.gov.au/arthur/01750/BRG347_1699.htm")</f>
        <v>http://collections.slsa.sa.gov.au/arthur/01750/BRG347_1699.htm</v>
      </c>
    </row>
    <row r="3580" spans="1:11" x14ac:dyDescent="0.25">
      <c r="A3580" t="s">
        <v>12370</v>
      </c>
      <c r="B3580" s="1" t="str">
        <f>HYPERLINK("https://www.catalog.slsa.sa.gov.au/record=b2111019")</f>
        <v>https://www.catalog.slsa.sa.gov.au/record=b2111019</v>
      </c>
      <c r="C3580" s="1" t="str">
        <f>HYPERLINK("https://www.catalog.slsa.sa.gov.au/xrecord=b2111019")</f>
        <v>https://www.catalog.slsa.sa.gov.au/xrecord=b2111019</v>
      </c>
      <c r="D3580" t="s">
        <v>66</v>
      </c>
      <c r="E3580" t="s">
        <v>12371</v>
      </c>
      <c r="F3580">
        <v>1964</v>
      </c>
      <c r="G3580" t="s">
        <v>121</v>
      </c>
      <c r="H3580" t="s">
        <v>12372</v>
      </c>
      <c r="I3580" t="s">
        <v>12373</v>
      </c>
      <c r="J3580" t="s">
        <v>71</v>
      </c>
      <c r="K3580" s="2" t="str">
        <f>HYPERLINK("http://collections.slsa.sa.gov.au/arthur/01750/BRG347_1700.htm")</f>
        <v>http://collections.slsa.sa.gov.au/arthur/01750/BRG347_1700.htm</v>
      </c>
    </row>
    <row r="3581" spans="1:11" x14ac:dyDescent="0.25">
      <c r="A3581" t="s">
        <v>12374</v>
      </c>
      <c r="B3581" s="1" t="str">
        <f>HYPERLINK("https://www.catalog.slsa.sa.gov.au/record=b2111075")</f>
        <v>https://www.catalog.slsa.sa.gov.au/record=b2111075</v>
      </c>
      <c r="C3581" s="1" t="str">
        <f>HYPERLINK("https://www.catalog.slsa.sa.gov.au/xrecord=b2111075")</f>
        <v>https://www.catalog.slsa.sa.gov.au/xrecord=b2111075</v>
      </c>
      <c r="D3581" t="s">
        <v>66</v>
      </c>
      <c r="E3581" t="s">
        <v>10386</v>
      </c>
      <c r="F3581">
        <v>1964</v>
      </c>
      <c r="G3581" t="s">
        <v>121</v>
      </c>
      <c r="H3581" t="s">
        <v>12375</v>
      </c>
      <c r="I3581" t="s">
        <v>12376</v>
      </c>
      <c r="J3581" t="s">
        <v>71</v>
      </c>
      <c r="K3581" s="2" t="str">
        <f>HYPERLINK("http://collections.slsa.sa.gov.au/arthur/02000/BRG347_1756.htm")</f>
        <v>http://collections.slsa.sa.gov.au/arthur/02000/BRG347_1756.htm</v>
      </c>
    </row>
    <row r="3582" spans="1:11" x14ac:dyDescent="0.25">
      <c r="A3582" t="s">
        <v>12377</v>
      </c>
      <c r="B3582" s="1" t="str">
        <f>HYPERLINK("https://www.catalog.slsa.sa.gov.au/record=b2111076")</f>
        <v>https://www.catalog.slsa.sa.gov.au/record=b2111076</v>
      </c>
      <c r="C3582" s="1" t="str">
        <f>HYPERLINK("https://www.catalog.slsa.sa.gov.au/xrecord=b2111076")</f>
        <v>https://www.catalog.slsa.sa.gov.au/xrecord=b2111076</v>
      </c>
      <c r="D3582" t="s">
        <v>66</v>
      </c>
      <c r="E3582" t="s">
        <v>10386</v>
      </c>
      <c r="F3582">
        <v>1964</v>
      </c>
      <c r="G3582" t="s">
        <v>121</v>
      </c>
      <c r="H3582" t="s">
        <v>12375</v>
      </c>
      <c r="I3582" t="s">
        <v>12376</v>
      </c>
      <c r="J3582" t="s">
        <v>71</v>
      </c>
      <c r="K3582" s="2" t="str">
        <f>HYPERLINK("http://collections.slsa.sa.gov.au/arthur/02000/BRG347_1757.htm")</f>
        <v>http://collections.slsa.sa.gov.au/arthur/02000/BRG347_1757.htm</v>
      </c>
    </row>
    <row r="3583" spans="1:11" x14ac:dyDescent="0.25">
      <c r="A3583" t="s">
        <v>12378</v>
      </c>
      <c r="B3583" s="1" t="str">
        <f>HYPERLINK("https://www.catalog.slsa.sa.gov.au/record=b2111077")</f>
        <v>https://www.catalog.slsa.sa.gov.au/record=b2111077</v>
      </c>
      <c r="C3583" s="1" t="str">
        <f>HYPERLINK("https://www.catalog.slsa.sa.gov.au/xrecord=b2111077")</f>
        <v>https://www.catalog.slsa.sa.gov.au/xrecord=b2111077</v>
      </c>
      <c r="D3583" t="s">
        <v>66</v>
      </c>
      <c r="E3583" t="s">
        <v>12379</v>
      </c>
      <c r="F3583">
        <v>1964</v>
      </c>
      <c r="G3583" t="s">
        <v>121</v>
      </c>
      <c r="H3583" t="s">
        <v>12380</v>
      </c>
      <c r="I3583" t="s">
        <v>12381</v>
      </c>
      <c r="J3583" t="s">
        <v>71</v>
      </c>
      <c r="K3583" s="2" t="str">
        <f>HYPERLINK("http://collections.slsa.sa.gov.au/arthur/02000/BRG347_1758.htm")</f>
        <v>http://collections.slsa.sa.gov.au/arthur/02000/BRG347_1758.htm</v>
      </c>
    </row>
    <row r="3584" spans="1:11" x14ac:dyDescent="0.25">
      <c r="A3584" t="s">
        <v>12382</v>
      </c>
      <c r="B3584" s="1" t="str">
        <f>HYPERLINK("https://www.catalog.slsa.sa.gov.au/record=b2111078")</f>
        <v>https://www.catalog.slsa.sa.gov.au/record=b2111078</v>
      </c>
      <c r="C3584" s="1" t="str">
        <f>HYPERLINK("https://www.catalog.slsa.sa.gov.au/xrecord=b2111078")</f>
        <v>https://www.catalog.slsa.sa.gov.au/xrecord=b2111078</v>
      </c>
      <c r="D3584" t="s">
        <v>66</v>
      </c>
      <c r="E3584" t="s">
        <v>12383</v>
      </c>
      <c r="F3584">
        <v>1964</v>
      </c>
      <c r="G3584" t="s">
        <v>121</v>
      </c>
      <c r="H3584" t="s">
        <v>12384</v>
      </c>
      <c r="I3584" t="s">
        <v>12385</v>
      </c>
      <c r="J3584" t="s">
        <v>71</v>
      </c>
      <c r="K3584" s="2" t="str">
        <f>HYPERLINK("http://collections.slsa.sa.gov.au/arthur/02000/BRG347_1759.htm")</f>
        <v>http://collections.slsa.sa.gov.au/arthur/02000/BRG347_1759.htm</v>
      </c>
    </row>
    <row r="3585" spans="1:11" x14ac:dyDescent="0.25">
      <c r="A3585" t="s">
        <v>12386</v>
      </c>
      <c r="B3585" s="1" t="str">
        <f>HYPERLINK("https://www.catalog.slsa.sa.gov.au/record=b2111852")</f>
        <v>https://www.catalog.slsa.sa.gov.au/record=b2111852</v>
      </c>
      <c r="C3585" s="1" t="str">
        <f>HYPERLINK("https://www.catalog.slsa.sa.gov.au/xrecord=b2111852")</f>
        <v>https://www.catalog.slsa.sa.gov.au/xrecord=b2111852</v>
      </c>
      <c r="D3585" t="s">
        <v>66</v>
      </c>
      <c r="E3585" t="s">
        <v>12387</v>
      </c>
      <c r="F3585">
        <v>1964</v>
      </c>
      <c r="G3585" t="s">
        <v>121</v>
      </c>
      <c r="H3585" t="s">
        <v>12388</v>
      </c>
      <c r="I3585" t="s">
        <v>12389</v>
      </c>
      <c r="J3585" t="s">
        <v>71</v>
      </c>
      <c r="K3585" s="2" t="str">
        <f>HYPERLINK("http://collections.slsa.sa.gov.au/arthur/02500/BRG347_2349.htm")</f>
        <v>http://collections.slsa.sa.gov.au/arthur/02500/BRG347_2349.htm</v>
      </c>
    </row>
    <row r="3586" spans="1:11" x14ac:dyDescent="0.25">
      <c r="A3586" t="s">
        <v>12390</v>
      </c>
      <c r="B3586" s="1" t="str">
        <f>HYPERLINK("https://www.catalog.slsa.sa.gov.au/record=b2111854")</f>
        <v>https://www.catalog.slsa.sa.gov.au/record=b2111854</v>
      </c>
      <c r="C3586" s="1" t="str">
        <f>HYPERLINK("https://www.catalog.slsa.sa.gov.au/xrecord=b2111854")</f>
        <v>https://www.catalog.slsa.sa.gov.au/xrecord=b2111854</v>
      </c>
      <c r="D3586" t="s">
        <v>66</v>
      </c>
      <c r="E3586" t="s">
        <v>12391</v>
      </c>
      <c r="F3586">
        <v>1964</v>
      </c>
      <c r="G3586" t="s">
        <v>121</v>
      </c>
      <c r="H3586" t="s">
        <v>12392</v>
      </c>
      <c r="I3586" t="s">
        <v>12393</v>
      </c>
      <c r="J3586" t="s">
        <v>71</v>
      </c>
      <c r="K3586" s="2" t="str">
        <f>HYPERLINK("http://collections.slsa.sa.gov.au/arthur/02500/BRG347_2351.htm")</f>
        <v>http://collections.slsa.sa.gov.au/arthur/02500/BRG347_2351.htm</v>
      </c>
    </row>
    <row r="3587" spans="1:11" x14ac:dyDescent="0.25">
      <c r="A3587" t="s">
        <v>12394</v>
      </c>
      <c r="B3587" s="1" t="str">
        <f>HYPERLINK("https://www.catalog.slsa.sa.gov.au/record=b2111856")</f>
        <v>https://www.catalog.slsa.sa.gov.au/record=b2111856</v>
      </c>
      <c r="C3587" s="1" t="str">
        <f>HYPERLINK("https://www.catalog.slsa.sa.gov.au/xrecord=b2111856")</f>
        <v>https://www.catalog.slsa.sa.gov.au/xrecord=b2111856</v>
      </c>
      <c r="D3587" t="s">
        <v>66</v>
      </c>
      <c r="E3587" t="s">
        <v>12395</v>
      </c>
      <c r="F3587">
        <v>1964</v>
      </c>
      <c r="G3587" t="s">
        <v>121</v>
      </c>
      <c r="H3587" t="s">
        <v>12396</v>
      </c>
      <c r="I3587" t="s">
        <v>4562</v>
      </c>
      <c r="J3587" t="s">
        <v>71</v>
      </c>
      <c r="K3587" s="2" t="str">
        <f>HYPERLINK("http://collections.slsa.sa.gov.au/arthur/02500/BRG347_2353.htm")</f>
        <v>http://collections.slsa.sa.gov.au/arthur/02500/BRG347_2353.htm</v>
      </c>
    </row>
    <row r="3588" spans="1:11" x14ac:dyDescent="0.25">
      <c r="A3588" t="s">
        <v>12397</v>
      </c>
      <c r="B3588" s="1" t="str">
        <f>HYPERLINK("https://www.catalog.slsa.sa.gov.au/record=b2111858")</f>
        <v>https://www.catalog.slsa.sa.gov.au/record=b2111858</v>
      </c>
      <c r="C3588" s="1" t="str">
        <f>HYPERLINK("https://www.catalog.slsa.sa.gov.au/xrecord=b2111858")</f>
        <v>https://www.catalog.slsa.sa.gov.au/xrecord=b2111858</v>
      </c>
      <c r="D3588" t="s">
        <v>66</v>
      </c>
      <c r="E3588" t="s">
        <v>12398</v>
      </c>
      <c r="F3588">
        <v>1964</v>
      </c>
      <c r="G3588" t="s">
        <v>121</v>
      </c>
      <c r="H3588" t="s">
        <v>12399</v>
      </c>
      <c r="I3588" t="s">
        <v>8661</v>
      </c>
      <c r="J3588" t="s">
        <v>71</v>
      </c>
      <c r="K3588" s="2" t="str">
        <f>HYPERLINK("http://collections.slsa.sa.gov.au/arthur/02500/BRG347_2355.htm")</f>
        <v>http://collections.slsa.sa.gov.au/arthur/02500/BRG347_2355.htm</v>
      </c>
    </row>
    <row r="3589" spans="1:11" x14ac:dyDescent="0.25">
      <c r="A3589" t="s">
        <v>12400</v>
      </c>
      <c r="B3589" s="1" t="str">
        <f>HYPERLINK("https://www.catalog.slsa.sa.gov.au/record=b2111863")</f>
        <v>https://www.catalog.slsa.sa.gov.au/record=b2111863</v>
      </c>
      <c r="C3589" s="1" t="str">
        <f>HYPERLINK("https://www.catalog.slsa.sa.gov.au/xrecord=b2111863")</f>
        <v>https://www.catalog.slsa.sa.gov.au/xrecord=b2111863</v>
      </c>
      <c r="D3589" t="s">
        <v>66</v>
      </c>
      <c r="E3589" t="s">
        <v>12401</v>
      </c>
      <c r="F3589">
        <v>1964</v>
      </c>
      <c r="G3589" t="s">
        <v>121</v>
      </c>
      <c r="H3589" t="s">
        <v>12402</v>
      </c>
      <c r="I3589" t="s">
        <v>12403</v>
      </c>
      <c r="J3589" t="s">
        <v>71</v>
      </c>
      <c r="K3589" s="2" t="str">
        <f>HYPERLINK("http://collections.slsa.sa.gov.au/arthur/02500/BRG347_2356.htm")</f>
        <v>http://collections.slsa.sa.gov.au/arthur/02500/BRG347_2356.htm</v>
      </c>
    </row>
    <row r="3590" spans="1:11" x14ac:dyDescent="0.25">
      <c r="A3590" t="s">
        <v>12404</v>
      </c>
      <c r="B3590" s="1" t="str">
        <f>HYPERLINK("https://www.catalog.slsa.sa.gov.au/record=b2111864")</f>
        <v>https://www.catalog.slsa.sa.gov.au/record=b2111864</v>
      </c>
      <c r="C3590" s="1" t="str">
        <f>HYPERLINK("https://www.catalog.slsa.sa.gov.au/xrecord=b2111864")</f>
        <v>https://www.catalog.slsa.sa.gov.au/xrecord=b2111864</v>
      </c>
      <c r="D3590" t="s">
        <v>66</v>
      </c>
      <c r="E3590" t="s">
        <v>5607</v>
      </c>
      <c r="F3590">
        <v>1964</v>
      </c>
      <c r="G3590" t="s">
        <v>121</v>
      </c>
      <c r="H3590" t="s">
        <v>12405</v>
      </c>
      <c r="I3590" t="s">
        <v>11296</v>
      </c>
      <c r="J3590" t="s">
        <v>71</v>
      </c>
      <c r="K3590" s="2" t="str">
        <f>HYPERLINK("http://collections.slsa.sa.gov.au/arthur/02500/BRG347_2357.htm")</f>
        <v>http://collections.slsa.sa.gov.au/arthur/02500/BRG347_2357.htm</v>
      </c>
    </row>
    <row r="3591" spans="1:11" x14ac:dyDescent="0.25">
      <c r="A3591" t="s">
        <v>12406</v>
      </c>
      <c r="B3591" s="1" t="str">
        <f>HYPERLINK("https://www.catalog.slsa.sa.gov.au/record=b2111865")</f>
        <v>https://www.catalog.slsa.sa.gov.au/record=b2111865</v>
      </c>
      <c r="C3591" s="1" t="str">
        <f>HYPERLINK("https://www.catalog.slsa.sa.gov.au/xrecord=b2111865")</f>
        <v>https://www.catalog.slsa.sa.gov.au/xrecord=b2111865</v>
      </c>
      <c r="D3591" t="s">
        <v>66</v>
      </c>
      <c r="E3591" t="s">
        <v>12407</v>
      </c>
      <c r="F3591">
        <v>1964</v>
      </c>
      <c r="G3591" t="s">
        <v>121</v>
      </c>
      <c r="H3591" t="s">
        <v>12408</v>
      </c>
      <c r="I3591" t="s">
        <v>12409</v>
      </c>
      <c r="J3591" t="s">
        <v>71</v>
      </c>
      <c r="K3591" s="2" t="str">
        <f>HYPERLINK("http://collections.slsa.sa.gov.au/arthur/02500/BRG347_2358.htm")</f>
        <v>http://collections.slsa.sa.gov.au/arthur/02500/BRG347_2358.htm</v>
      </c>
    </row>
    <row r="3592" spans="1:11" x14ac:dyDescent="0.25">
      <c r="A3592" t="s">
        <v>12410</v>
      </c>
      <c r="B3592" s="1" t="str">
        <f>HYPERLINK("https://www.catalog.slsa.sa.gov.au/record=b2118026")</f>
        <v>https://www.catalog.slsa.sa.gov.au/record=b2118026</v>
      </c>
      <c r="C3592" s="1" t="str">
        <f>HYPERLINK("https://www.catalog.slsa.sa.gov.au/xrecord=b2118026")</f>
        <v>https://www.catalog.slsa.sa.gov.au/xrecord=b2118026</v>
      </c>
      <c r="D3592" t="s">
        <v>66</v>
      </c>
      <c r="E3592" t="s">
        <v>12411</v>
      </c>
      <c r="F3592">
        <v>1964</v>
      </c>
      <c r="G3592" t="s">
        <v>121</v>
      </c>
      <c r="H3592" t="s">
        <v>12412</v>
      </c>
      <c r="I3592" t="s">
        <v>12413</v>
      </c>
      <c r="J3592" t="s">
        <v>71</v>
      </c>
      <c r="K3592" s="2" t="str">
        <f>HYPERLINK("http://collections.slsa.sa.gov.au/arthur/02500/BRG347_2359.htm")</f>
        <v>http://collections.slsa.sa.gov.au/arthur/02500/BRG347_2359.htm</v>
      </c>
    </row>
    <row r="3593" spans="1:11" x14ac:dyDescent="0.25">
      <c r="A3593" t="s">
        <v>12414</v>
      </c>
      <c r="B3593" s="1" t="str">
        <f>HYPERLINK("https://www.catalog.slsa.sa.gov.au/record=b2118238")</f>
        <v>https://www.catalog.slsa.sa.gov.au/record=b2118238</v>
      </c>
      <c r="C3593" s="1" t="str">
        <f>HYPERLINK("https://www.catalog.slsa.sa.gov.au/xrecord=b2118238")</f>
        <v>https://www.catalog.slsa.sa.gov.au/xrecord=b2118238</v>
      </c>
      <c r="D3593" t="s">
        <v>66</v>
      </c>
      <c r="E3593" t="s">
        <v>12415</v>
      </c>
      <c r="F3593">
        <v>1964</v>
      </c>
      <c r="G3593" t="s">
        <v>12416</v>
      </c>
      <c r="H3593" t="s">
        <v>12417</v>
      </c>
      <c r="I3593" t="s">
        <v>12418</v>
      </c>
      <c r="J3593" t="s">
        <v>71</v>
      </c>
      <c r="K3593" s="2" t="str">
        <f>HYPERLINK("http://collections.slsa.sa.gov.au/arthur/02500/BRG347_2360.htm")</f>
        <v>http://collections.slsa.sa.gov.au/arthur/02500/BRG347_2360.htm</v>
      </c>
    </row>
    <row r="3594" spans="1:11" x14ac:dyDescent="0.25">
      <c r="A3594" t="s">
        <v>12419</v>
      </c>
      <c r="B3594" s="1" t="str">
        <f>HYPERLINK("https://www.catalog.slsa.sa.gov.au/record=b2118031")</f>
        <v>https://www.catalog.slsa.sa.gov.au/record=b2118031</v>
      </c>
      <c r="C3594" s="1" t="str">
        <f>HYPERLINK("https://www.catalog.slsa.sa.gov.au/xrecord=b2118031")</f>
        <v>https://www.catalog.slsa.sa.gov.au/xrecord=b2118031</v>
      </c>
      <c r="D3594" t="s">
        <v>66</v>
      </c>
      <c r="E3594" t="s">
        <v>12420</v>
      </c>
      <c r="F3594">
        <v>1964</v>
      </c>
      <c r="G3594" t="s">
        <v>121</v>
      </c>
      <c r="H3594" t="s">
        <v>12421</v>
      </c>
      <c r="I3594" t="s">
        <v>4562</v>
      </c>
      <c r="J3594" t="s">
        <v>71</v>
      </c>
      <c r="K3594" s="2" t="str">
        <f>HYPERLINK("http://collections.slsa.sa.gov.au/arthur/02500/BRG347_2361.htm")</f>
        <v>http://collections.slsa.sa.gov.au/arthur/02500/BRG347_2361.htm</v>
      </c>
    </row>
    <row r="3595" spans="1:11" x14ac:dyDescent="0.25">
      <c r="A3595" t="s">
        <v>12422</v>
      </c>
      <c r="B3595" s="1" t="str">
        <f>HYPERLINK("https://www.catalog.slsa.sa.gov.au/record=b2111867")</f>
        <v>https://www.catalog.slsa.sa.gov.au/record=b2111867</v>
      </c>
      <c r="C3595" s="1" t="str">
        <f>HYPERLINK("https://www.catalog.slsa.sa.gov.au/xrecord=b2111867")</f>
        <v>https://www.catalog.slsa.sa.gov.au/xrecord=b2111867</v>
      </c>
      <c r="D3595" t="s">
        <v>66</v>
      </c>
      <c r="E3595" t="s">
        <v>12423</v>
      </c>
      <c r="F3595">
        <v>1964</v>
      </c>
      <c r="G3595" t="s">
        <v>121</v>
      </c>
      <c r="H3595" t="s">
        <v>12424</v>
      </c>
      <c r="I3595" t="s">
        <v>12425</v>
      </c>
      <c r="J3595" t="s">
        <v>71</v>
      </c>
      <c r="K3595" s="2" t="str">
        <f>HYPERLINK("http://collections.slsa.sa.gov.au/arthur/02500/BRG347_2363.htm")</f>
        <v>http://collections.slsa.sa.gov.au/arthur/02500/BRG347_2363.htm</v>
      </c>
    </row>
    <row r="3596" spans="1:11" x14ac:dyDescent="0.25">
      <c r="A3596" t="s">
        <v>12426</v>
      </c>
      <c r="B3596" s="1" t="str">
        <f>HYPERLINK("https://www.catalog.slsa.sa.gov.au/record=b2111942")</f>
        <v>https://www.catalog.slsa.sa.gov.au/record=b2111942</v>
      </c>
      <c r="C3596" s="1" t="str">
        <f>HYPERLINK("https://www.catalog.slsa.sa.gov.au/xrecord=b2111942")</f>
        <v>https://www.catalog.slsa.sa.gov.au/xrecord=b2111942</v>
      </c>
      <c r="D3596" t="s">
        <v>66</v>
      </c>
      <c r="E3596" t="s">
        <v>12391</v>
      </c>
      <c r="F3596">
        <v>1964</v>
      </c>
      <c r="G3596" t="s">
        <v>121</v>
      </c>
      <c r="H3596" t="s">
        <v>12427</v>
      </c>
      <c r="I3596" t="s">
        <v>12428</v>
      </c>
      <c r="J3596" t="s">
        <v>71</v>
      </c>
      <c r="K3596" s="2" t="str">
        <f>HYPERLINK("http://collections.slsa.sa.gov.au/arthur/02500/BRG347_2387.htm")</f>
        <v>http://collections.slsa.sa.gov.au/arthur/02500/BRG347_2387.htm</v>
      </c>
    </row>
    <row r="3597" spans="1:11" x14ac:dyDescent="0.25">
      <c r="A3597" t="s">
        <v>12429</v>
      </c>
      <c r="B3597" s="1" t="str">
        <f>HYPERLINK("https://www.catalog.slsa.sa.gov.au/record=b2111946")</f>
        <v>https://www.catalog.slsa.sa.gov.au/record=b2111946</v>
      </c>
      <c r="C3597" s="1" t="str">
        <f>HYPERLINK("https://www.catalog.slsa.sa.gov.au/xrecord=b2111946")</f>
        <v>https://www.catalog.slsa.sa.gov.au/xrecord=b2111946</v>
      </c>
      <c r="D3597" t="s">
        <v>66</v>
      </c>
      <c r="E3597" t="s">
        <v>12430</v>
      </c>
      <c r="F3597">
        <v>1964</v>
      </c>
      <c r="G3597" t="s">
        <v>121</v>
      </c>
      <c r="H3597" t="s">
        <v>12431</v>
      </c>
      <c r="I3597" t="s">
        <v>10986</v>
      </c>
      <c r="J3597" t="s">
        <v>71</v>
      </c>
      <c r="K3597" s="2" t="str">
        <f>HYPERLINK("http://collections.slsa.sa.gov.au/arthur/02500/BRG347_2391.htm")</f>
        <v>http://collections.slsa.sa.gov.au/arthur/02500/BRG347_2391.htm</v>
      </c>
    </row>
    <row r="3598" spans="1:11" x14ac:dyDescent="0.25">
      <c r="A3598" t="s">
        <v>12432</v>
      </c>
      <c r="B3598" s="1" t="str">
        <f>HYPERLINK("https://www.catalog.slsa.sa.gov.au/record=b2111974")</f>
        <v>https://www.catalog.slsa.sa.gov.au/record=b2111974</v>
      </c>
      <c r="C3598" s="1" t="str">
        <f>HYPERLINK("https://www.catalog.slsa.sa.gov.au/xrecord=b2111974")</f>
        <v>https://www.catalog.slsa.sa.gov.au/xrecord=b2111974</v>
      </c>
      <c r="D3598" t="s">
        <v>66</v>
      </c>
      <c r="E3598" t="s">
        <v>6523</v>
      </c>
      <c r="F3598">
        <v>1964</v>
      </c>
      <c r="G3598" t="s">
        <v>121</v>
      </c>
      <c r="H3598" t="s">
        <v>12433</v>
      </c>
      <c r="I3598" t="s">
        <v>6525</v>
      </c>
      <c r="J3598" t="s">
        <v>71</v>
      </c>
      <c r="K3598" s="2" t="str">
        <f>HYPERLINK("http://collections.slsa.sa.gov.au/arthur/02500/BRG347_2392.htm")</f>
        <v>http://collections.slsa.sa.gov.au/arthur/02500/BRG347_2392.htm</v>
      </c>
    </row>
    <row r="3599" spans="1:11" x14ac:dyDescent="0.25">
      <c r="A3599" t="s">
        <v>12434</v>
      </c>
      <c r="B3599" s="1" t="str">
        <f>HYPERLINK("https://www.catalog.slsa.sa.gov.au/record=b2111975")</f>
        <v>https://www.catalog.slsa.sa.gov.au/record=b2111975</v>
      </c>
      <c r="C3599" s="1" t="str">
        <f>HYPERLINK("https://www.catalog.slsa.sa.gov.au/xrecord=b2111975")</f>
        <v>https://www.catalog.slsa.sa.gov.au/xrecord=b2111975</v>
      </c>
      <c r="D3599" t="s">
        <v>66</v>
      </c>
      <c r="E3599" t="s">
        <v>11179</v>
      </c>
      <c r="F3599">
        <v>1964</v>
      </c>
      <c r="G3599" t="s">
        <v>121</v>
      </c>
      <c r="H3599" t="s">
        <v>12435</v>
      </c>
      <c r="I3599" t="s">
        <v>8344</v>
      </c>
      <c r="J3599" t="s">
        <v>71</v>
      </c>
      <c r="K3599" s="2" t="str">
        <f>HYPERLINK("http://collections.slsa.sa.gov.au/arthur/02500/BRG347_2393.htm")</f>
        <v>http://collections.slsa.sa.gov.au/arthur/02500/BRG347_2393.htm</v>
      </c>
    </row>
    <row r="3600" spans="1:11" x14ac:dyDescent="0.25">
      <c r="A3600" t="s">
        <v>12436</v>
      </c>
      <c r="B3600" s="1" t="str">
        <f>HYPERLINK("https://www.catalog.slsa.sa.gov.au/record=b2118120")</f>
        <v>https://www.catalog.slsa.sa.gov.au/record=b2118120</v>
      </c>
      <c r="C3600" s="1" t="str">
        <f>HYPERLINK("https://www.catalog.slsa.sa.gov.au/xrecord=b2118120")</f>
        <v>https://www.catalog.slsa.sa.gov.au/xrecord=b2118120</v>
      </c>
      <c r="D3600" t="s">
        <v>66</v>
      </c>
      <c r="E3600" t="s">
        <v>6523</v>
      </c>
      <c r="F3600">
        <v>1964</v>
      </c>
      <c r="G3600" t="s">
        <v>121</v>
      </c>
      <c r="H3600" t="s">
        <v>12437</v>
      </c>
      <c r="I3600" t="s">
        <v>6525</v>
      </c>
      <c r="J3600" t="s">
        <v>71</v>
      </c>
      <c r="K3600" s="2" t="str">
        <f>HYPERLINK("http://collections.slsa.sa.gov.au/arthur/02500/BRG347_2394.htm")</f>
        <v>http://collections.slsa.sa.gov.au/arthur/02500/BRG347_2394.htm</v>
      </c>
    </row>
    <row r="3601" spans="1:11" x14ac:dyDescent="0.25">
      <c r="A3601" t="s">
        <v>12438</v>
      </c>
      <c r="B3601" s="1" t="str">
        <f>HYPERLINK("https://www.catalog.slsa.sa.gov.au/record=b2111976")</f>
        <v>https://www.catalog.slsa.sa.gov.au/record=b2111976</v>
      </c>
      <c r="C3601" s="1" t="str">
        <f>HYPERLINK("https://www.catalog.slsa.sa.gov.au/xrecord=b2111976")</f>
        <v>https://www.catalog.slsa.sa.gov.au/xrecord=b2111976</v>
      </c>
      <c r="D3601" t="s">
        <v>66</v>
      </c>
      <c r="E3601" t="s">
        <v>11179</v>
      </c>
      <c r="F3601">
        <v>1964</v>
      </c>
      <c r="G3601" t="s">
        <v>121</v>
      </c>
      <c r="H3601" t="s">
        <v>12439</v>
      </c>
      <c r="I3601" t="s">
        <v>8344</v>
      </c>
      <c r="J3601" t="s">
        <v>71</v>
      </c>
      <c r="K3601" s="2" t="str">
        <f>HYPERLINK("http://collections.slsa.sa.gov.au/arthur/02500/BRG347_2395.htm")</f>
        <v>http://collections.slsa.sa.gov.au/arthur/02500/BRG347_2395.htm</v>
      </c>
    </row>
    <row r="3602" spans="1:11" x14ac:dyDescent="0.25">
      <c r="A3602" t="s">
        <v>12440</v>
      </c>
      <c r="B3602" s="1" t="str">
        <f>HYPERLINK("https://www.catalog.slsa.sa.gov.au/record=b2111977")</f>
        <v>https://www.catalog.slsa.sa.gov.au/record=b2111977</v>
      </c>
      <c r="C3602" s="1" t="str">
        <f>HYPERLINK("https://www.catalog.slsa.sa.gov.au/xrecord=b2111977")</f>
        <v>https://www.catalog.slsa.sa.gov.au/xrecord=b2111977</v>
      </c>
      <c r="D3602" t="s">
        <v>66</v>
      </c>
      <c r="E3602" t="s">
        <v>9432</v>
      </c>
      <c r="F3602">
        <v>1964</v>
      </c>
      <c r="G3602" t="s">
        <v>121</v>
      </c>
      <c r="H3602" t="s">
        <v>12441</v>
      </c>
      <c r="I3602" t="s">
        <v>7401</v>
      </c>
      <c r="J3602" t="s">
        <v>71</v>
      </c>
      <c r="K3602" s="2" t="str">
        <f>HYPERLINK("http://collections.slsa.sa.gov.au/arthur/02500/BRG347_2396.htm")</f>
        <v>http://collections.slsa.sa.gov.au/arthur/02500/BRG347_2396.htm</v>
      </c>
    </row>
    <row r="3603" spans="1:11" x14ac:dyDescent="0.25">
      <c r="A3603" t="s">
        <v>12442</v>
      </c>
      <c r="B3603" s="1" t="str">
        <f>HYPERLINK("https://www.catalog.slsa.sa.gov.au/record=b2111978")</f>
        <v>https://www.catalog.slsa.sa.gov.au/record=b2111978</v>
      </c>
      <c r="C3603" s="1" t="str">
        <f>HYPERLINK("https://www.catalog.slsa.sa.gov.au/xrecord=b2111978")</f>
        <v>https://www.catalog.slsa.sa.gov.au/xrecord=b2111978</v>
      </c>
      <c r="D3603" t="s">
        <v>66</v>
      </c>
      <c r="E3603" t="s">
        <v>12443</v>
      </c>
      <c r="F3603">
        <v>1964</v>
      </c>
      <c r="G3603" t="s">
        <v>121</v>
      </c>
      <c r="H3603" t="s">
        <v>12444</v>
      </c>
      <c r="I3603" t="s">
        <v>12445</v>
      </c>
      <c r="J3603" t="s">
        <v>71</v>
      </c>
      <c r="K3603" s="2" t="str">
        <f>HYPERLINK("http://collections.slsa.sa.gov.au/arthur/02500/BRG347_2397.htm")</f>
        <v>http://collections.slsa.sa.gov.au/arthur/02500/BRG347_2397.htm</v>
      </c>
    </row>
    <row r="3604" spans="1:11" x14ac:dyDescent="0.25">
      <c r="A3604" t="s">
        <v>12446</v>
      </c>
      <c r="B3604" s="1" t="str">
        <f>HYPERLINK("https://www.catalog.slsa.sa.gov.au/record=b2118029")</f>
        <v>https://www.catalog.slsa.sa.gov.au/record=b2118029</v>
      </c>
      <c r="C3604" s="1" t="str">
        <f>HYPERLINK("https://www.catalog.slsa.sa.gov.au/xrecord=b2118029")</f>
        <v>https://www.catalog.slsa.sa.gov.au/xrecord=b2118029</v>
      </c>
      <c r="D3604" t="s">
        <v>66</v>
      </c>
      <c r="E3604" t="s">
        <v>12447</v>
      </c>
      <c r="F3604">
        <v>1964</v>
      </c>
      <c r="G3604" t="s">
        <v>121</v>
      </c>
      <c r="H3604" t="s">
        <v>12448</v>
      </c>
      <c r="I3604" t="s">
        <v>12449</v>
      </c>
      <c r="J3604" t="s">
        <v>71</v>
      </c>
      <c r="K3604" s="2" t="str">
        <f>HYPERLINK("http://collections.slsa.sa.gov.au/arthur/02500/BRG347_2398.htm")</f>
        <v>http://collections.slsa.sa.gov.au/arthur/02500/BRG347_2398.htm</v>
      </c>
    </row>
    <row r="3605" spans="1:11" x14ac:dyDescent="0.25">
      <c r="A3605" t="s">
        <v>12450</v>
      </c>
      <c r="B3605" s="1" t="str">
        <f>HYPERLINK("https://www.catalog.slsa.sa.gov.au/record=b2118030")</f>
        <v>https://www.catalog.slsa.sa.gov.au/record=b2118030</v>
      </c>
      <c r="C3605" s="1" t="str">
        <f>HYPERLINK("https://www.catalog.slsa.sa.gov.au/xrecord=b2118030")</f>
        <v>https://www.catalog.slsa.sa.gov.au/xrecord=b2118030</v>
      </c>
      <c r="D3605" t="s">
        <v>66</v>
      </c>
      <c r="E3605" t="s">
        <v>12451</v>
      </c>
      <c r="F3605">
        <v>1964</v>
      </c>
      <c r="G3605" t="s">
        <v>121</v>
      </c>
      <c r="H3605" t="s">
        <v>12452</v>
      </c>
      <c r="I3605" t="s">
        <v>7454</v>
      </c>
      <c r="J3605" t="s">
        <v>71</v>
      </c>
      <c r="K3605" s="2" t="str">
        <f>HYPERLINK("http://collections.slsa.sa.gov.au/arthur/02500/BRG347_2399.htm")</f>
        <v>http://collections.slsa.sa.gov.au/arthur/02500/BRG347_2399.htm</v>
      </c>
    </row>
    <row r="3606" spans="1:11" x14ac:dyDescent="0.25">
      <c r="A3606" t="s">
        <v>12453</v>
      </c>
      <c r="B3606" s="1" t="str">
        <f>HYPERLINK("https://www.catalog.slsa.sa.gov.au/record=b2111979")</f>
        <v>https://www.catalog.slsa.sa.gov.au/record=b2111979</v>
      </c>
      <c r="C3606" s="1" t="str">
        <f>HYPERLINK("https://www.catalog.slsa.sa.gov.au/xrecord=b2111979")</f>
        <v>https://www.catalog.slsa.sa.gov.au/xrecord=b2111979</v>
      </c>
      <c r="D3606" t="s">
        <v>66</v>
      </c>
      <c r="E3606" t="s">
        <v>11179</v>
      </c>
      <c r="F3606">
        <v>1964</v>
      </c>
      <c r="G3606" t="s">
        <v>121</v>
      </c>
      <c r="H3606" t="s">
        <v>12454</v>
      </c>
      <c r="I3606" t="s">
        <v>8344</v>
      </c>
      <c r="J3606" t="s">
        <v>71</v>
      </c>
      <c r="K3606" s="2" t="str">
        <f>HYPERLINK("http://collections.slsa.sa.gov.au/arthur/02500/BRG347_2400.htm")</f>
        <v>http://collections.slsa.sa.gov.au/arthur/02500/BRG347_2400.htm</v>
      </c>
    </row>
    <row r="3607" spans="1:11" x14ac:dyDescent="0.25">
      <c r="A3607" t="s">
        <v>12455</v>
      </c>
      <c r="B3607" s="1" t="str">
        <f>HYPERLINK("https://www.catalog.slsa.sa.gov.au/record=b2111980")</f>
        <v>https://www.catalog.slsa.sa.gov.au/record=b2111980</v>
      </c>
      <c r="C3607" s="1" t="str">
        <f>HYPERLINK("https://www.catalog.slsa.sa.gov.au/xrecord=b2111980")</f>
        <v>https://www.catalog.slsa.sa.gov.au/xrecord=b2111980</v>
      </c>
      <c r="D3607" t="s">
        <v>66</v>
      </c>
      <c r="E3607" t="s">
        <v>12451</v>
      </c>
      <c r="F3607">
        <v>1964</v>
      </c>
      <c r="G3607" t="s">
        <v>121</v>
      </c>
      <c r="H3607" t="s">
        <v>12456</v>
      </c>
      <c r="I3607" t="s">
        <v>7454</v>
      </c>
      <c r="J3607" t="s">
        <v>71</v>
      </c>
      <c r="K3607" s="2" t="str">
        <f>HYPERLINK("http://collections.slsa.sa.gov.au/arthur/02500/BRG347_2401.htm")</f>
        <v>http://collections.slsa.sa.gov.au/arthur/02500/BRG347_2401.htm</v>
      </c>
    </row>
    <row r="3608" spans="1:11" x14ac:dyDescent="0.25">
      <c r="A3608" t="s">
        <v>12457</v>
      </c>
      <c r="B3608" s="1" t="str">
        <f>HYPERLINK("https://www.catalog.slsa.sa.gov.au/record=b2111981")</f>
        <v>https://www.catalog.slsa.sa.gov.au/record=b2111981</v>
      </c>
      <c r="C3608" s="1" t="str">
        <f>HYPERLINK("https://www.catalog.slsa.sa.gov.au/xrecord=b2111981")</f>
        <v>https://www.catalog.slsa.sa.gov.au/xrecord=b2111981</v>
      </c>
      <c r="D3608" t="s">
        <v>66</v>
      </c>
      <c r="E3608" t="s">
        <v>9432</v>
      </c>
      <c r="F3608">
        <v>1964</v>
      </c>
      <c r="G3608" t="s">
        <v>121</v>
      </c>
      <c r="H3608" t="s">
        <v>12458</v>
      </c>
      <c r="I3608" t="s">
        <v>12459</v>
      </c>
      <c r="J3608" t="s">
        <v>71</v>
      </c>
      <c r="K3608" s="2" t="str">
        <f>HYPERLINK("http://collections.slsa.sa.gov.au/arthur/02500/BRG347_2402.htm")</f>
        <v>http://collections.slsa.sa.gov.au/arthur/02500/BRG347_2402.htm</v>
      </c>
    </row>
    <row r="3609" spans="1:11" x14ac:dyDescent="0.25">
      <c r="A3609" t="s">
        <v>12460</v>
      </c>
      <c r="B3609" s="1" t="str">
        <f>HYPERLINK("https://www.catalog.slsa.sa.gov.au/record=b2111982")</f>
        <v>https://www.catalog.slsa.sa.gov.au/record=b2111982</v>
      </c>
      <c r="C3609" s="1" t="str">
        <f>HYPERLINK("https://www.catalog.slsa.sa.gov.au/xrecord=b2111982")</f>
        <v>https://www.catalog.slsa.sa.gov.au/xrecord=b2111982</v>
      </c>
      <c r="D3609" t="s">
        <v>66</v>
      </c>
      <c r="E3609" t="s">
        <v>12443</v>
      </c>
      <c r="F3609">
        <v>1964</v>
      </c>
      <c r="G3609" t="s">
        <v>121</v>
      </c>
      <c r="H3609" t="s">
        <v>12461</v>
      </c>
      <c r="I3609" t="s">
        <v>12445</v>
      </c>
      <c r="J3609" t="s">
        <v>71</v>
      </c>
      <c r="K3609" s="2" t="str">
        <f>HYPERLINK("http://collections.slsa.sa.gov.au/arthur/02500/BRG347_2403.htm")</f>
        <v>http://collections.slsa.sa.gov.au/arthur/02500/BRG347_2403.htm</v>
      </c>
    </row>
    <row r="3610" spans="1:11" x14ac:dyDescent="0.25">
      <c r="A3610" t="s">
        <v>12462</v>
      </c>
      <c r="B3610" s="1" t="str">
        <f>HYPERLINK("https://www.catalog.slsa.sa.gov.au/record=b2111983")</f>
        <v>https://www.catalog.slsa.sa.gov.au/record=b2111983</v>
      </c>
      <c r="C3610" s="1" t="str">
        <f>HYPERLINK("https://www.catalog.slsa.sa.gov.au/xrecord=b2111983")</f>
        <v>https://www.catalog.slsa.sa.gov.au/xrecord=b2111983</v>
      </c>
      <c r="D3610" t="s">
        <v>66</v>
      </c>
      <c r="E3610" t="s">
        <v>8283</v>
      </c>
      <c r="F3610">
        <v>1964</v>
      </c>
      <c r="G3610" t="s">
        <v>121</v>
      </c>
      <c r="H3610" t="s">
        <v>12463</v>
      </c>
      <c r="I3610" t="s">
        <v>8285</v>
      </c>
      <c r="J3610" t="s">
        <v>71</v>
      </c>
      <c r="K3610" s="2" t="str">
        <f>HYPERLINK("http://collections.slsa.sa.gov.au/arthur/02500/BRG347_2404.htm")</f>
        <v>http://collections.slsa.sa.gov.au/arthur/02500/BRG347_2404.htm</v>
      </c>
    </row>
    <row r="3611" spans="1:11" x14ac:dyDescent="0.25">
      <c r="A3611" t="s">
        <v>12464</v>
      </c>
      <c r="B3611" s="1" t="str">
        <f>HYPERLINK("https://www.catalog.slsa.sa.gov.au/record=b2111984")</f>
        <v>https://www.catalog.slsa.sa.gov.au/record=b2111984</v>
      </c>
      <c r="C3611" s="1" t="str">
        <f>HYPERLINK("https://www.catalog.slsa.sa.gov.au/xrecord=b2111984")</f>
        <v>https://www.catalog.slsa.sa.gov.au/xrecord=b2111984</v>
      </c>
      <c r="D3611" t="s">
        <v>66</v>
      </c>
      <c r="E3611" t="s">
        <v>8143</v>
      </c>
      <c r="F3611">
        <v>1964</v>
      </c>
      <c r="G3611" t="s">
        <v>121</v>
      </c>
      <c r="H3611" t="s">
        <v>12465</v>
      </c>
      <c r="I3611" t="s">
        <v>8145</v>
      </c>
      <c r="J3611" t="s">
        <v>71</v>
      </c>
      <c r="K3611" s="2" t="str">
        <f>HYPERLINK("http://collections.slsa.sa.gov.au/arthur/02500/BRG347_2405.htm")</f>
        <v>http://collections.slsa.sa.gov.au/arthur/02500/BRG347_2405.htm</v>
      </c>
    </row>
    <row r="3612" spans="1:11" x14ac:dyDescent="0.25">
      <c r="A3612" t="s">
        <v>12466</v>
      </c>
      <c r="B3612" s="1" t="str">
        <f>HYPERLINK("https://www.catalog.slsa.sa.gov.au/record=b2111985")</f>
        <v>https://www.catalog.slsa.sa.gov.au/record=b2111985</v>
      </c>
      <c r="C3612" s="1" t="str">
        <f>HYPERLINK("https://www.catalog.slsa.sa.gov.au/xrecord=b2111985")</f>
        <v>https://www.catalog.slsa.sa.gov.au/xrecord=b2111985</v>
      </c>
      <c r="D3612" t="s">
        <v>66</v>
      </c>
      <c r="E3612" t="s">
        <v>12467</v>
      </c>
      <c r="F3612">
        <v>1964</v>
      </c>
      <c r="G3612" t="s">
        <v>121</v>
      </c>
      <c r="H3612" t="s">
        <v>12468</v>
      </c>
      <c r="I3612" t="s">
        <v>12469</v>
      </c>
      <c r="J3612" t="s">
        <v>71</v>
      </c>
      <c r="K3612" s="2" t="str">
        <f>HYPERLINK("http://collections.slsa.sa.gov.au/arthur/02500/BRG347_2406.htm")</f>
        <v>http://collections.slsa.sa.gov.au/arthur/02500/BRG347_2406.htm</v>
      </c>
    </row>
    <row r="3613" spans="1:11" x14ac:dyDescent="0.25">
      <c r="A3613" t="s">
        <v>12470</v>
      </c>
      <c r="B3613" s="1" t="str">
        <f>HYPERLINK("https://www.catalog.slsa.sa.gov.au/record=b2111986")</f>
        <v>https://www.catalog.slsa.sa.gov.au/record=b2111986</v>
      </c>
      <c r="C3613" s="1" t="str">
        <f>HYPERLINK("https://www.catalog.slsa.sa.gov.au/xrecord=b2111986")</f>
        <v>https://www.catalog.slsa.sa.gov.au/xrecord=b2111986</v>
      </c>
      <c r="D3613" t="s">
        <v>66</v>
      </c>
      <c r="E3613" t="s">
        <v>7396</v>
      </c>
      <c r="F3613">
        <v>1964</v>
      </c>
      <c r="G3613" t="s">
        <v>121</v>
      </c>
      <c r="H3613" t="s">
        <v>12471</v>
      </c>
      <c r="I3613" t="s">
        <v>12472</v>
      </c>
      <c r="J3613" t="s">
        <v>71</v>
      </c>
      <c r="K3613" s="2" t="str">
        <f>HYPERLINK("http://collections.slsa.sa.gov.au/arthur/02500/BRG347_2407.htm")</f>
        <v>http://collections.slsa.sa.gov.au/arthur/02500/BRG347_2407.htm</v>
      </c>
    </row>
    <row r="3614" spans="1:11" x14ac:dyDescent="0.25">
      <c r="A3614" t="s">
        <v>12473</v>
      </c>
      <c r="B3614" s="1" t="str">
        <f>HYPERLINK("https://www.catalog.slsa.sa.gov.au/record=b2111987")</f>
        <v>https://www.catalog.slsa.sa.gov.au/record=b2111987</v>
      </c>
      <c r="C3614" s="1" t="str">
        <f>HYPERLINK("https://www.catalog.slsa.sa.gov.au/xrecord=b2111987")</f>
        <v>https://www.catalog.slsa.sa.gov.au/xrecord=b2111987</v>
      </c>
      <c r="D3614" t="s">
        <v>66</v>
      </c>
      <c r="E3614" t="s">
        <v>9382</v>
      </c>
      <c r="F3614">
        <v>1964</v>
      </c>
      <c r="G3614" t="s">
        <v>121</v>
      </c>
      <c r="H3614" t="s">
        <v>12474</v>
      </c>
      <c r="I3614" t="s">
        <v>8327</v>
      </c>
      <c r="J3614" t="s">
        <v>71</v>
      </c>
      <c r="K3614" s="2" t="str">
        <f>HYPERLINK("http://collections.slsa.sa.gov.au/arthur/02500/BRG347_2408.htm")</f>
        <v>http://collections.slsa.sa.gov.au/arthur/02500/BRG347_2408.htm</v>
      </c>
    </row>
    <row r="3615" spans="1:11" x14ac:dyDescent="0.25">
      <c r="A3615" t="s">
        <v>12475</v>
      </c>
      <c r="B3615" s="1" t="str">
        <f>HYPERLINK("https://www.catalog.slsa.sa.gov.au/record=b2111988")</f>
        <v>https://www.catalog.slsa.sa.gov.au/record=b2111988</v>
      </c>
      <c r="C3615" s="1" t="str">
        <f>HYPERLINK("https://www.catalog.slsa.sa.gov.au/xrecord=b2111988")</f>
        <v>https://www.catalog.slsa.sa.gov.au/xrecord=b2111988</v>
      </c>
      <c r="D3615" t="s">
        <v>66</v>
      </c>
      <c r="E3615" t="s">
        <v>6523</v>
      </c>
      <c r="F3615">
        <v>1964</v>
      </c>
      <c r="G3615" t="s">
        <v>121</v>
      </c>
      <c r="H3615" t="s">
        <v>12476</v>
      </c>
      <c r="I3615" t="s">
        <v>6525</v>
      </c>
      <c r="J3615" t="s">
        <v>71</v>
      </c>
      <c r="K3615" s="2" t="str">
        <f>HYPERLINK("http://collections.slsa.sa.gov.au/arthur/02500/BRG347_2409.htm")</f>
        <v>http://collections.slsa.sa.gov.au/arthur/02500/BRG347_2409.htm</v>
      </c>
    </row>
    <row r="3616" spans="1:11" x14ac:dyDescent="0.25">
      <c r="A3616" t="s">
        <v>12477</v>
      </c>
      <c r="B3616" s="1" t="str">
        <f>HYPERLINK("https://www.catalog.slsa.sa.gov.au/record=b2111989")</f>
        <v>https://www.catalog.slsa.sa.gov.au/record=b2111989</v>
      </c>
      <c r="C3616" s="1" t="str">
        <f>HYPERLINK("https://www.catalog.slsa.sa.gov.au/xrecord=b2111989")</f>
        <v>https://www.catalog.slsa.sa.gov.au/xrecord=b2111989</v>
      </c>
      <c r="D3616" t="s">
        <v>66</v>
      </c>
      <c r="E3616" t="s">
        <v>8143</v>
      </c>
      <c r="F3616">
        <v>1964</v>
      </c>
      <c r="G3616" t="s">
        <v>121</v>
      </c>
      <c r="H3616" t="s">
        <v>12478</v>
      </c>
      <c r="I3616" t="s">
        <v>8145</v>
      </c>
      <c r="J3616" t="s">
        <v>71</v>
      </c>
      <c r="K3616" s="2" t="str">
        <f>HYPERLINK("http://collections.slsa.sa.gov.au/arthur/02500/BRG347_2410.htm")</f>
        <v>http://collections.slsa.sa.gov.au/arthur/02500/BRG347_2410.htm</v>
      </c>
    </row>
    <row r="3617" spans="1:11" x14ac:dyDescent="0.25">
      <c r="A3617" t="s">
        <v>12479</v>
      </c>
      <c r="B3617" s="1" t="str">
        <f>HYPERLINK("https://www.catalog.slsa.sa.gov.au/record=b2111990")</f>
        <v>https://www.catalog.slsa.sa.gov.au/record=b2111990</v>
      </c>
      <c r="C3617" s="1" t="str">
        <f>HYPERLINK("https://www.catalog.slsa.sa.gov.au/xrecord=b2111990")</f>
        <v>https://www.catalog.slsa.sa.gov.au/xrecord=b2111990</v>
      </c>
      <c r="D3617" t="s">
        <v>66</v>
      </c>
      <c r="E3617" t="s">
        <v>6523</v>
      </c>
      <c r="F3617">
        <v>1964</v>
      </c>
      <c r="G3617" t="s">
        <v>121</v>
      </c>
      <c r="H3617" t="s">
        <v>12480</v>
      </c>
      <c r="I3617" t="s">
        <v>6525</v>
      </c>
      <c r="J3617" t="s">
        <v>71</v>
      </c>
      <c r="K3617" s="2" t="str">
        <f>HYPERLINK("http://collections.slsa.sa.gov.au/arthur/02500/BRG347_2411.htm")</f>
        <v>http://collections.slsa.sa.gov.au/arthur/02500/BRG347_2411.htm</v>
      </c>
    </row>
    <row r="3618" spans="1:11" x14ac:dyDescent="0.25">
      <c r="A3618" t="s">
        <v>12481</v>
      </c>
      <c r="B3618" s="1" t="str">
        <f>HYPERLINK("https://www.catalog.slsa.sa.gov.au/record=b2118121")</f>
        <v>https://www.catalog.slsa.sa.gov.au/record=b2118121</v>
      </c>
      <c r="C3618" s="1" t="str">
        <f>HYPERLINK("https://www.catalog.slsa.sa.gov.au/xrecord=b2118121")</f>
        <v>https://www.catalog.slsa.sa.gov.au/xrecord=b2118121</v>
      </c>
      <c r="D3618" t="s">
        <v>66</v>
      </c>
      <c r="E3618" t="s">
        <v>6523</v>
      </c>
      <c r="F3618">
        <v>1964</v>
      </c>
      <c r="G3618" t="s">
        <v>121</v>
      </c>
      <c r="H3618" t="s">
        <v>12482</v>
      </c>
      <c r="I3618" t="s">
        <v>6525</v>
      </c>
      <c r="J3618" t="s">
        <v>71</v>
      </c>
      <c r="K3618" s="2" t="str">
        <f>HYPERLINK("http://collections.slsa.sa.gov.au/arthur/02500/BRG347_2412.htm")</f>
        <v>http://collections.slsa.sa.gov.au/arthur/02500/BRG347_2412.htm</v>
      </c>
    </row>
    <row r="3619" spans="1:11" x14ac:dyDescent="0.25">
      <c r="A3619" t="s">
        <v>12483</v>
      </c>
      <c r="B3619" s="1" t="str">
        <f>HYPERLINK("https://www.catalog.slsa.sa.gov.au/record=b2111991")</f>
        <v>https://www.catalog.slsa.sa.gov.au/record=b2111991</v>
      </c>
      <c r="C3619" s="1" t="str">
        <f>HYPERLINK("https://www.catalog.slsa.sa.gov.au/xrecord=b2111991")</f>
        <v>https://www.catalog.slsa.sa.gov.au/xrecord=b2111991</v>
      </c>
      <c r="D3619" t="s">
        <v>66</v>
      </c>
      <c r="E3619" t="s">
        <v>12484</v>
      </c>
      <c r="F3619">
        <v>1964</v>
      </c>
      <c r="G3619" t="s">
        <v>121</v>
      </c>
      <c r="H3619" t="s">
        <v>12485</v>
      </c>
      <c r="I3619" t="s">
        <v>12486</v>
      </c>
      <c r="J3619" t="s">
        <v>71</v>
      </c>
      <c r="K3619" s="2" t="str">
        <f>HYPERLINK("http://collections.slsa.sa.gov.au/arthur/02500/BRG347_2413.htm")</f>
        <v>http://collections.slsa.sa.gov.au/arthur/02500/BRG347_2413.htm</v>
      </c>
    </row>
    <row r="3620" spans="1:11" x14ac:dyDescent="0.25">
      <c r="A3620" t="s">
        <v>12487</v>
      </c>
      <c r="B3620" s="1" t="str">
        <f>HYPERLINK("https://www.catalog.slsa.sa.gov.au/record=b2111992")</f>
        <v>https://www.catalog.slsa.sa.gov.au/record=b2111992</v>
      </c>
      <c r="C3620" s="1" t="str">
        <f>HYPERLINK("https://www.catalog.slsa.sa.gov.au/xrecord=b2111992")</f>
        <v>https://www.catalog.slsa.sa.gov.au/xrecord=b2111992</v>
      </c>
      <c r="D3620" t="s">
        <v>66</v>
      </c>
      <c r="E3620" t="s">
        <v>12467</v>
      </c>
      <c r="F3620">
        <v>1964</v>
      </c>
      <c r="G3620" t="s">
        <v>121</v>
      </c>
      <c r="H3620" t="s">
        <v>12488</v>
      </c>
      <c r="I3620" t="s">
        <v>12469</v>
      </c>
      <c r="J3620" t="s">
        <v>71</v>
      </c>
      <c r="K3620" s="2" t="str">
        <f>HYPERLINK("http://collections.slsa.sa.gov.au/arthur/02500/BRG347_2414.htm")</f>
        <v>http://collections.slsa.sa.gov.au/arthur/02500/BRG347_2414.htm</v>
      </c>
    </row>
    <row r="3621" spans="1:11" x14ac:dyDescent="0.25">
      <c r="A3621" t="s">
        <v>12489</v>
      </c>
      <c r="B3621" s="1" t="str">
        <f>HYPERLINK("https://www.catalog.slsa.sa.gov.au/record=b2111993")</f>
        <v>https://www.catalog.slsa.sa.gov.au/record=b2111993</v>
      </c>
      <c r="C3621" s="1" t="str">
        <f>HYPERLINK("https://www.catalog.slsa.sa.gov.au/xrecord=b2111993")</f>
        <v>https://www.catalog.slsa.sa.gov.au/xrecord=b2111993</v>
      </c>
      <c r="D3621" t="s">
        <v>66</v>
      </c>
      <c r="E3621" t="s">
        <v>7396</v>
      </c>
      <c r="F3621">
        <v>1964</v>
      </c>
      <c r="G3621" t="s">
        <v>121</v>
      </c>
      <c r="H3621" t="s">
        <v>12490</v>
      </c>
      <c r="I3621" t="s">
        <v>9395</v>
      </c>
      <c r="J3621" t="s">
        <v>71</v>
      </c>
      <c r="K3621" s="2" t="str">
        <f>HYPERLINK("http://collections.slsa.sa.gov.au/arthur/02500/BRG347_2415.htm")</f>
        <v>http://collections.slsa.sa.gov.au/arthur/02500/BRG347_2415.htm</v>
      </c>
    </row>
    <row r="3622" spans="1:11" x14ac:dyDescent="0.25">
      <c r="A3622" t="s">
        <v>12491</v>
      </c>
      <c r="B3622" s="1" t="str">
        <f>HYPERLINK("https://www.catalog.slsa.sa.gov.au/record=b2111994")</f>
        <v>https://www.catalog.slsa.sa.gov.au/record=b2111994</v>
      </c>
      <c r="C3622" s="1" t="str">
        <f>HYPERLINK("https://www.catalog.slsa.sa.gov.au/xrecord=b2111994")</f>
        <v>https://www.catalog.slsa.sa.gov.au/xrecord=b2111994</v>
      </c>
      <c r="D3622" t="s">
        <v>66</v>
      </c>
      <c r="E3622" t="s">
        <v>7396</v>
      </c>
      <c r="F3622">
        <v>1964</v>
      </c>
      <c r="G3622" t="s">
        <v>121</v>
      </c>
      <c r="H3622" t="s">
        <v>12492</v>
      </c>
      <c r="I3622" t="s">
        <v>9404</v>
      </c>
      <c r="J3622" t="s">
        <v>71</v>
      </c>
      <c r="K3622" s="2" t="str">
        <f>HYPERLINK("http://collections.slsa.sa.gov.au/arthur/02500/BRG347_2416.htm")</f>
        <v>http://collections.slsa.sa.gov.au/arthur/02500/BRG347_2416.htm</v>
      </c>
    </row>
    <row r="3623" spans="1:11" x14ac:dyDescent="0.25">
      <c r="A3623" t="s">
        <v>12493</v>
      </c>
      <c r="B3623" s="1" t="str">
        <f>HYPERLINK("https://www.catalog.slsa.sa.gov.au/record=b2111995")</f>
        <v>https://www.catalog.slsa.sa.gov.au/record=b2111995</v>
      </c>
      <c r="C3623" s="1" t="str">
        <f>HYPERLINK("https://www.catalog.slsa.sa.gov.au/xrecord=b2111995")</f>
        <v>https://www.catalog.slsa.sa.gov.au/xrecord=b2111995</v>
      </c>
      <c r="D3623" t="s">
        <v>66</v>
      </c>
      <c r="E3623" t="s">
        <v>12494</v>
      </c>
      <c r="F3623">
        <v>1964</v>
      </c>
      <c r="G3623" t="s">
        <v>121</v>
      </c>
      <c r="H3623" t="s">
        <v>12495</v>
      </c>
      <c r="I3623" t="s">
        <v>10406</v>
      </c>
      <c r="J3623" t="s">
        <v>71</v>
      </c>
      <c r="K3623" s="2" t="str">
        <f>HYPERLINK("http://collections.slsa.sa.gov.au/arthur/02500/BRG347_2417.htm")</f>
        <v>http://collections.slsa.sa.gov.au/arthur/02500/BRG347_2417.htm</v>
      </c>
    </row>
    <row r="3624" spans="1:11" x14ac:dyDescent="0.25">
      <c r="A3624" t="s">
        <v>12496</v>
      </c>
      <c r="B3624" s="1" t="str">
        <f>HYPERLINK("https://www.catalog.slsa.sa.gov.au/record=b2111996")</f>
        <v>https://www.catalog.slsa.sa.gov.au/record=b2111996</v>
      </c>
      <c r="C3624" s="1" t="str">
        <f>HYPERLINK("https://www.catalog.slsa.sa.gov.au/xrecord=b2111996")</f>
        <v>https://www.catalog.slsa.sa.gov.au/xrecord=b2111996</v>
      </c>
      <c r="D3624" t="s">
        <v>66</v>
      </c>
      <c r="E3624" t="s">
        <v>10404</v>
      </c>
      <c r="F3624">
        <v>1964</v>
      </c>
      <c r="G3624" t="s">
        <v>121</v>
      </c>
      <c r="H3624" t="s">
        <v>12497</v>
      </c>
      <c r="I3624" t="s">
        <v>11252</v>
      </c>
      <c r="J3624" t="s">
        <v>71</v>
      </c>
      <c r="K3624" s="2" t="str">
        <f>HYPERLINK("http://collections.slsa.sa.gov.au/arthur/02500/BRG347_2418.htm")</f>
        <v>http://collections.slsa.sa.gov.au/arthur/02500/BRG347_2418.htm</v>
      </c>
    </row>
    <row r="3625" spans="1:11" x14ac:dyDescent="0.25">
      <c r="A3625" t="s">
        <v>12498</v>
      </c>
      <c r="B3625" s="1" t="str">
        <f>HYPERLINK("https://www.catalog.slsa.sa.gov.au/record=b2111997")</f>
        <v>https://www.catalog.slsa.sa.gov.au/record=b2111997</v>
      </c>
      <c r="C3625" s="1" t="str">
        <f>HYPERLINK("https://www.catalog.slsa.sa.gov.au/xrecord=b2111997")</f>
        <v>https://www.catalog.slsa.sa.gov.au/xrecord=b2111997</v>
      </c>
      <c r="D3625" t="s">
        <v>66</v>
      </c>
      <c r="E3625" t="s">
        <v>9724</v>
      </c>
      <c r="F3625">
        <v>1964</v>
      </c>
      <c r="G3625" t="s">
        <v>121</v>
      </c>
      <c r="H3625" t="s">
        <v>12499</v>
      </c>
      <c r="I3625" t="s">
        <v>9407</v>
      </c>
      <c r="J3625" t="s">
        <v>71</v>
      </c>
      <c r="K3625" s="2" t="str">
        <f>HYPERLINK("http://collections.slsa.sa.gov.au/arthur/02500/BRG347_2419.htm")</f>
        <v>http://collections.slsa.sa.gov.au/arthur/02500/BRG347_2419.htm</v>
      </c>
    </row>
    <row r="3626" spans="1:11" x14ac:dyDescent="0.25">
      <c r="A3626" t="s">
        <v>12500</v>
      </c>
      <c r="B3626" s="1" t="str">
        <f>HYPERLINK("https://www.catalog.slsa.sa.gov.au/record=b2111998")</f>
        <v>https://www.catalog.slsa.sa.gov.au/record=b2111998</v>
      </c>
      <c r="C3626" s="1" t="str">
        <f>HYPERLINK("https://www.catalog.slsa.sa.gov.au/xrecord=b2111998")</f>
        <v>https://www.catalog.slsa.sa.gov.au/xrecord=b2111998</v>
      </c>
      <c r="D3626" t="s">
        <v>66</v>
      </c>
      <c r="E3626" t="s">
        <v>12501</v>
      </c>
      <c r="F3626">
        <v>1964</v>
      </c>
      <c r="G3626" t="s">
        <v>121</v>
      </c>
      <c r="H3626" t="s">
        <v>12502</v>
      </c>
      <c r="I3626" t="s">
        <v>8145</v>
      </c>
      <c r="J3626" t="s">
        <v>71</v>
      </c>
      <c r="K3626" s="2" t="str">
        <f>HYPERLINK("http://collections.slsa.sa.gov.au/arthur/02500/BRG347_2420.htm")</f>
        <v>http://collections.slsa.sa.gov.au/arthur/02500/BRG347_2420.htm</v>
      </c>
    </row>
    <row r="3627" spans="1:11" x14ac:dyDescent="0.25">
      <c r="A3627" t="s">
        <v>12503</v>
      </c>
      <c r="B3627" s="1" t="str">
        <f>HYPERLINK("https://www.catalog.slsa.sa.gov.au/record=b2111999")</f>
        <v>https://www.catalog.slsa.sa.gov.au/record=b2111999</v>
      </c>
      <c r="C3627" s="1" t="str">
        <f>HYPERLINK("https://www.catalog.slsa.sa.gov.au/xrecord=b2111999")</f>
        <v>https://www.catalog.slsa.sa.gov.au/xrecord=b2111999</v>
      </c>
      <c r="D3627" t="s">
        <v>66</v>
      </c>
      <c r="E3627" t="s">
        <v>12501</v>
      </c>
      <c r="F3627">
        <v>1964</v>
      </c>
      <c r="G3627" t="s">
        <v>121</v>
      </c>
      <c r="H3627" t="s">
        <v>12504</v>
      </c>
      <c r="I3627" t="s">
        <v>8145</v>
      </c>
      <c r="J3627" t="s">
        <v>71</v>
      </c>
      <c r="K3627" s="2" t="str">
        <f>HYPERLINK("http://collections.slsa.sa.gov.au/arthur/02500/BRG347_2421.htm")</f>
        <v>http://collections.slsa.sa.gov.au/arthur/02500/BRG347_2421.htm</v>
      </c>
    </row>
    <row r="3628" spans="1:11" x14ac:dyDescent="0.25">
      <c r="A3628" t="s">
        <v>12505</v>
      </c>
      <c r="B3628" s="1" t="str">
        <f>HYPERLINK("https://www.catalog.slsa.sa.gov.au/record=b2112000")</f>
        <v>https://www.catalog.slsa.sa.gov.au/record=b2112000</v>
      </c>
      <c r="C3628" s="1" t="str">
        <f>HYPERLINK("https://www.catalog.slsa.sa.gov.au/xrecord=b2112000")</f>
        <v>https://www.catalog.slsa.sa.gov.au/xrecord=b2112000</v>
      </c>
      <c r="D3628" t="s">
        <v>66</v>
      </c>
      <c r="E3628" t="s">
        <v>9519</v>
      </c>
      <c r="F3628">
        <v>1964</v>
      </c>
      <c r="G3628" t="s">
        <v>121</v>
      </c>
      <c r="H3628" t="s">
        <v>12506</v>
      </c>
      <c r="I3628" t="s">
        <v>9521</v>
      </c>
      <c r="J3628" t="s">
        <v>71</v>
      </c>
      <c r="K3628" s="2" t="str">
        <f>HYPERLINK("http://collections.slsa.sa.gov.au/arthur/02500/BRG347_2422.htm")</f>
        <v>http://collections.slsa.sa.gov.au/arthur/02500/BRG347_2422.htm</v>
      </c>
    </row>
    <row r="3629" spans="1:11" x14ac:dyDescent="0.25">
      <c r="A3629" t="s">
        <v>12507</v>
      </c>
      <c r="B3629" s="1" t="str">
        <f>HYPERLINK("https://www.catalog.slsa.sa.gov.au/record=b2112001")</f>
        <v>https://www.catalog.slsa.sa.gov.au/record=b2112001</v>
      </c>
      <c r="C3629" s="1" t="str">
        <f>HYPERLINK("https://www.catalog.slsa.sa.gov.au/xrecord=b2112001")</f>
        <v>https://www.catalog.slsa.sa.gov.au/xrecord=b2112001</v>
      </c>
      <c r="D3629" t="s">
        <v>66</v>
      </c>
      <c r="E3629" t="s">
        <v>12508</v>
      </c>
      <c r="F3629">
        <v>1964</v>
      </c>
      <c r="G3629" t="s">
        <v>121</v>
      </c>
      <c r="H3629" t="s">
        <v>12509</v>
      </c>
      <c r="I3629" t="s">
        <v>8145</v>
      </c>
      <c r="J3629" t="s">
        <v>71</v>
      </c>
      <c r="K3629" s="2" t="str">
        <f>HYPERLINK("http://collections.slsa.sa.gov.au/arthur/02500/BRG347_2423.htm")</f>
        <v>http://collections.slsa.sa.gov.au/arthur/02500/BRG347_2423.htm</v>
      </c>
    </row>
    <row r="3630" spans="1:11" x14ac:dyDescent="0.25">
      <c r="A3630" t="s">
        <v>12510</v>
      </c>
      <c r="B3630" s="1" t="str">
        <f>HYPERLINK("https://www.catalog.slsa.sa.gov.au/record=b2112002")</f>
        <v>https://www.catalog.slsa.sa.gov.au/record=b2112002</v>
      </c>
      <c r="C3630" s="1" t="str">
        <f>HYPERLINK("https://www.catalog.slsa.sa.gov.au/xrecord=b2112002")</f>
        <v>https://www.catalog.slsa.sa.gov.au/xrecord=b2112002</v>
      </c>
      <c r="D3630" t="s">
        <v>66</v>
      </c>
      <c r="E3630" t="s">
        <v>12508</v>
      </c>
      <c r="F3630">
        <v>1964</v>
      </c>
      <c r="G3630" t="s">
        <v>121</v>
      </c>
      <c r="H3630" t="s">
        <v>12511</v>
      </c>
      <c r="I3630" t="s">
        <v>8145</v>
      </c>
      <c r="J3630" t="s">
        <v>71</v>
      </c>
      <c r="K3630" s="2" t="str">
        <f>HYPERLINK("http://collections.slsa.sa.gov.au/arthur/02500/BRG347_2424.htm")</f>
        <v>http://collections.slsa.sa.gov.au/arthur/02500/BRG347_2424.htm</v>
      </c>
    </row>
    <row r="3631" spans="1:11" x14ac:dyDescent="0.25">
      <c r="A3631" t="s">
        <v>12512</v>
      </c>
      <c r="B3631" s="1" t="str">
        <f>HYPERLINK("https://www.catalog.slsa.sa.gov.au/record=b2112003")</f>
        <v>https://www.catalog.slsa.sa.gov.au/record=b2112003</v>
      </c>
      <c r="C3631" s="1" t="str">
        <f>HYPERLINK("https://www.catalog.slsa.sa.gov.au/xrecord=b2112003")</f>
        <v>https://www.catalog.slsa.sa.gov.au/xrecord=b2112003</v>
      </c>
      <c r="D3631" t="s">
        <v>66</v>
      </c>
      <c r="E3631" t="s">
        <v>9519</v>
      </c>
      <c r="F3631">
        <v>1964</v>
      </c>
      <c r="G3631" t="s">
        <v>121</v>
      </c>
      <c r="H3631" t="s">
        <v>12513</v>
      </c>
      <c r="I3631" t="s">
        <v>11197</v>
      </c>
      <c r="J3631" t="s">
        <v>71</v>
      </c>
      <c r="K3631" s="2" t="str">
        <f>HYPERLINK("http://collections.slsa.sa.gov.au/arthur/02500/BRG347_2425.htm")</f>
        <v>http://collections.slsa.sa.gov.au/arthur/02500/BRG347_2425.htm</v>
      </c>
    </row>
    <row r="3632" spans="1:11" x14ac:dyDescent="0.25">
      <c r="A3632" t="s">
        <v>12514</v>
      </c>
      <c r="B3632" s="1" t="str">
        <f>HYPERLINK("https://www.catalog.slsa.sa.gov.au/record=b2112004")</f>
        <v>https://www.catalog.slsa.sa.gov.au/record=b2112004</v>
      </c>
      <c r="C3632" s="1" t="str">
        <f>HYPERLINK("https://www.catalog.slsa.sa.gov.au/xrecord=b2112004")</f>
        <v>https://www.catalog.slsa.sa.gov.au/xrecord=b2112004</v>
      </c>
      <c r="D3632" t="s">
        <v>66</v>
      </c>
      <c r="E3632" t="s">
        <v>8283</v>
      </c>
      <c r="F3632">
        <v>1964</v>
      </c>
      <c r="G3632" t="s">
        <v>121</v>
      </c>
      <c r="H3632" t="s">
        <v>12515</v>
      </c>
      <c r="I3632" t="s">
        <v>8285</v>
      </c>
      <c r="J3632" t="s">
        <v>71</v>
      </c>
      <c r="K3632" s="2" t="str">
        <f>HYPERLINK("http://collections.slsa.sa.gov.au/arthur/02500/BRG347_2426.htm")</f>
        <v>http://collections.slsa.sa.gov.au/arthur/02500/BRG347_2426.htm</v>
      </c>
    </row>
    <row r="3633" spans="1:11" x14ac:dyDescent="0.25">
      <c r="A3633" t="s">
        <v>12516</v>
      </c>
      <c r="B3633" s="1" t="str">
        <f>HYPERLINK("https://www.catalog.slsa.sa.gov.au/record=b2112091")</f>
        <v>https://www.catalog.slsa.sa.gov.au/record=b2112091</v>
      </c>
      <c r="C3633" s="1" t="str">
        <f>HYPERLINK("https://www.catalog.slsa.sa.gov.au/xrecord=b2112091")</f>
        <v>https://www.catalog.slsa.sa.gov.au/xrecord=b2112091</v>
      </c>
      <c r="D3633" t="s">
        <v>66</v>
      </c>
      <c r="E3633" t="s">
        <v>6467</v>
      </c>
      <c r="F3633">
        <v>1964</v>
      </c>
      <c r="G3633" t="s">
        <v>121</v>
      </c>
      <c r="H3633" t="s">
        <v>12517</v>
      </c>
      <c r="I3633" t="s">
        <v>7350</v>
      </c>
      <c r="J3633" t="s">
        <v>71</v>
      </c>
      <c r="K3633" s="2" t="str">
        <f>HYPERLINK("http://collections.slsa.sa.gov.au/arthur/02750/BRG347_2521.htm")</f>
        <v>http://collections.slsa.sa.gov.au/arthur/02750/BRG347_2521.htm</v>
      </c>
    </row>
    <row r="3634" spans="1:11" x14ac:dyDescent="0.25">
      <c r="A3634" t="s">
        <v>12518</v>
      </c>
      <c r="B3634" s="1" t="str">
        <f>HYPERLINK("https://www.catalog.slsa.sa.gov.au/record=b2118051")</f>
        <v>https://www.catalog.slsa.sa.gov.au/record=b2118051</v>
      </c>
      <c r="C3634" s="1" t="str">
        <f>HYPERLINK("https://www.catalog.slsa.sa.gov.au/xrecord=b2118051")</f>
        <v>https://www.catalog.slsa.sa.gov.au/xrecord=b2118051</v>
      </c>
      <c r="D3634" t="s">
        <v>66</v>
      </c>
      <c r="E3634" t="s">
        <v>12519</v>
      </c>
      <c r="F3634">
        <v>1964</v>
      </c>
      <c r="G3634" t="s">
        <v>121</v>
      </c>
      <c r="H3634" t="s">
        <v>12520</v>
      </c>
      <c r="I3634" t="s">
        <v>12521</v>
      </c>
      <c r="J3634" t="s">
        <v>71</v>
      </c>
      <c r="K3634" s="2" t="str">
        <f>HYPERLINK("http://collections.slsa.sa.gov.au/arthur/03000/BRG347_2785.htm")</f>
        <v>http://collections.slsa.sa.gov.au/arthur/03000/BRG347_2785.htm</v>
      </c>
    </row>
    <row r="3635" spans="1:11" x14ac:dyDescent="0.25">
      <c r="A3635" t="s">
        <v>12522</v>
      </c>
      <c r="B3635" s="1" t="str">
        <f>HYPERLINK("https://www.catalog.slsa.sa.gov.au/record=b2112518")</f>
        <v>https://www.catalog.slsa.sa.gov.au/record=b2112518</v>
      </c>
      <c r="C3635" s="1" t="str">
        <f>HYPERLINK("https://www.catalog.slsa.sa.gov.au/xrecord=b2112518")</f>
        <v>https://www.catalog.slsa.sa.gov.au/xrecord=b2112518</v>
      </c>
      <c r="D3635" t="s">
        <v>66</v>
      </c>
      <c r="E3635" t="s">
        <v>12523</v>
      </c>
      <c r="F3635">
        <v>1964</v>
      </c>
      <c r="G3635" t="s">
        <v>121</v>
      </c>
      <c r="H3635" t="s">
        <v>12524</v>
      </c>
      <c r="I3635" t="s">
        <v>12525</v>
      </c>
      <c r="J3635" t="s">
        <v>71</v>
      </c>
      <c r="K3635" s="2" t="str">
        <f>HYPERLINK("http://collections.slsa.sa.gov.au/arthur/03000/BRG347_2786.htm")</f>
        <v>http://collections.slsa.sa.gov.au/arthur/03000/BRG347_2786.htm</v>
      </c>
    </row>
    <row r="3636" spans="1:11" x14ac:dyDescent="0.25">
      <c r="A3636" t="s">
        <v>12526</v>
      </c>
      <c r="B3636" s="1" t="str">
        <f>HYPERLINK("https://www.catalog.slsa.sa.gov.au/record=b2112519")</f>
        <v>https://www.catalog.slsa.sa.gov.au/record=b2112519</v>
      </c>
      <c r="C3636" s="1" t="str">
        <f>HYPERLINK("https://www.catalog.slsa.sa.gov.au/xrecord=b2112519")</f>
        <v>https://www.catalog.slsa.sa.gov.au/xrecord=b2112519</v>
      </c>
      <c r="D3636" t="s">
        <v>66</v>
      </c>
      <c r="E3636" t="s">
        <v>12527</v>
      </c>
      <c r="F3636">
        <v>1964</v>
      </c>
      <c r="G3636" t="s">
        <v>121</v>
      </c>
      <c r="H3636" t="s">
        <v>12528</v>
      </c>
      <c r="I3636" t="s">
        <v>12529</v>
      </c>
      <c r="J3636" t="s">
        <v>71</v>
      </c>
      <c r="K3636" s="2" t="str">
        <f>HYPERLINK("http://collections.slsa.sa.gov.au/arthur/03000/BRG347_2787.htm")</f>
        <v>http://collections.slsa.sa.gov.au/arthur/03000/BRG347_2787.htm</v>
      </c>
    </row>
    <row r="3637" spans="1:11" x14ac:dyDescent="0.25">
      <c r="A3637" t="s">
        <v>12530</v>
      </c>
      <c r="B3637" s="1" t="str">
        <f>HYPERLINK("https://www.catalog.slsa.sa.gov.au/record=b2112520")</f>
        <v>https://www.catalog.slsa.sa.gov.au/record=b2112520</v>
      </c>
      <c r="C3637" s="1" t="str">
        <f>HYPERLINK("https://www.catalog.slsa.sa.gov.au/xrecord=b2112520")</f>
        <v>https://www.catalog.slsa.sa.gov.au/xrecord=b2112520</v>
      </c>
      <c r="D3637" t="s">
        <v>66</v>
      </c>
      <c r="E3637" t="s">
        <v>12531</v>
      </c>
      <c r="F3637">
        <v>1964</v>
      </c>
      <c r="G3637" t="s">
        <v>121</v>
      </c>
      <c r="H3637" t="s">
        <v>12532</v>
      </c>
      <c r="I3637" t="s">
        <v>12533</v>
      </c>
      <c r="J3637" t="s">
        <v>71</v>
      </c>
      <c r="K3637" s="2" t="str">
        <f>HYPERLINK("http://collections.slsa.sa.gov.au/arthur/03000/BRG347_2788.htm")</f>
        <v>http://collections.slsa.sa.gov.au/arthur/03000/BRG347_2788.htm</v>
      </c>
    </row>
    <row r="3638" spans="1:11" x14ac:dyDescent="0.25">
      <c r="A3638" t="s">
        <v>12534</v>
      </c>
      <c r="B3638" s="1" t="str">
        <f>HYPERLINK("https://www.catalog.slsa.sa.gov.au/record=b2112522")</f>
        <v>https://www.catalog.slsa.sa.gov.au/record=b2112522</v>
      </c>
      <c r="C3638" s="1" t="str">
        <f>HYPERLINK("https://www.catalog.slsa.sa.gov.au/xrecord=b2112522")</f>
        <v>https://www.catalog.slsa.sa.gov.au/xrecord=b2112522</v>
      </c>
      <c r="D3638" t="s">
        <v>66</v>
      </c>
      <c r="E3638" t="s">
        <v>12535</v>
      </c>
      <c r="F3638">
        <v>1964</v>
      </c>
      <c r="G3638" t="s">
        <v>121</v>
      </c>
      <c r="H3638" t="s">
        <v>12536</v>
      </c>
      <c r="I3638" t="s">
        <v>12537</v>
      </c>
      <c r="J3638" t="s">
        <v>71</v>
      </c>
      <c r="K3638" s="2" t="str">
        <f>HYPERLINK("http://collections.slsa.sa.gov.au/arthur/03000/BRG347_2790.htm")</f>
        <v>http://collections.slsa.sa.gov.au/arthur/03000/BRG347_2790.htm</v>
      </c>
    </row>
    <row r="3639" spans="1:11" x14ac:dyDescent="0.25">
      <c r="A3639" t="s">
        <v>12538</v>
      </c>
      <c r="B3639" s="1" t="str">
        <f>HYPERLINK("https://www.catalog.slsa.sa.gov.au/record=b2112523")</f>
        <v>https://www.catalog.slsa.sa.gov.au/record=b2112523</v>
      </c>
      <c r="C3639" s="1" t="str">
        <f>HYPERLINK("https://www.catalog.slsa.sa.gov.au/xrecord=b2112523")</f>
        <v>https://www.catalog.slsa.sa.gov.au/xrecord=b2112523</v>
      </c>
      <c r="D3639" t="s">
        <v>66</v>
      </c>
      <c r="E3639" t="s">
        <v>12539</v>
      </c>
      <c r="F3639">
        <v>1964</v>
      </c>
      <c r="G3639" t="s">
        <v>121</v>
      </c>
      <c r="H3639" t="s">
        <v>12540</v>
      </c>
      <c r="I3639" t="s">
        <v>12541</v>
      </c>
      <c r="J3639" t="s">
        <v>71</v>
      </c>
      <c r="K3639" s="2" t="str">
        <f>HYPERLINK("http://collections.slsa.sa.gov.au/arthur/03000/BRG347_2791.htm")</f>
        <v>http://collections.slsa.sa.gov.au/arthur/03000/BRG347_2791.htm</v>
      </c>
    </row>
    <row r="3640" spans="1:11" x14ac:dyDescent="0.25">
      <c r="A3640" t="s">
        <v>12542</v>
      </c>
      <c r="B3640" s="1" t="str">
        <f>HYPERLINK("https://www.catalog.slsa.sa.gov.au/record=b2112527")</f>
        <v>https://www.catalog.slsa.sa.gov.au/record=b2112527</v>
      </c>
      <c r="C3640" s="1" t="str">
        <f>HYPERLINK("https://www.catalog.slsa.sa.gov.au/xrecord=b2112527")</f>
        <v>https://www.catalog.slsa.sa.gov.au/xrecord=b2112527</v>
      </c>
      <c r="D3640" t="s">
        <v>66</v>
      </c>
      <c r="E3640" t="s">
        <v>12543</v>
      </c>
      <c r="F3640">
        <v>1964</v>
      </c>
      <c r="G3640" t="s">
        <v>121</v>
      </c>
      <c r="H3640" t="s">
        <v>12544</v>
      </c>
      <c r="I3640" t="s">
        <v>12545</v>
      </c>
      <c r="J3640" t="s">
        <v>71</v>
      </c>
      <c r="K3640" s="2" t="str">
        <f>HYPERLINK("http://collections.slsa.sa.gov.au/arthur/03000/BRG347_2795.htm")</f>
        <v>http://collections.slsa.sa.gov.au/arthur/03000/BRG347_2795.htm</v>
      </c>
    </row>
    <row r="3641" spans="1:11" x14ac:dyDescent="0.25">
      <c r="A3641" t="s">
        <v>12546</v>
      </c>
      <c r="B3641" s="1" t="str">
        <f>HYPERLINK("https://www.catalog.slsa.sa.gov.au/record=b2112528")</f>
        <v>https://www.catalog.slsa.sa.gov.au/record=b2112528</v>
      </c>
      <c r="C3641" s="1" t="str">
        <f>HYPERLINK("https://www.catalog.slsa.sa.gov.au/xrecord=b2112528")</f>
        <v>https://www.catalog.slsa.sa.gov.au/xrecord=b2112528</v>
      </c>
      <c r="D3641" t="s">
        <v>66</v>
      </c>
      <c r="E3641" t="s">
        <v>10221</v>
      </c>
      <c r="F3641">
        <v>1964</v>
      </c>
      <c r="G3641" t="s">
        <v>121</v>
      </c>
      <c r="H3641" t="s">
        <v>12547</v>
      </c>
      <c r="I3641" t="s">
        <v>12548</v>
      </c>
      <c r="J3641" t="s">
        <v>71</v>
      </c>
      <c r="K3641" s="2" t="str">
        <f>HYPERLINK("http://collections.slsa.sa.gov.au/arthur/03000/BRG347_2796.htm")</f>
        <v>http://collections.slsa.sa.gov.au/arthur/03000/BRG347_2796.htm</v>
      </c>
    </row>
    <row r="3642" spans="1:11" x14ac:dyDescent="0.25">
      <c r="A3642" t="s">
        <v>12549</v>
      </c>
      <c r="B3642" s="1" t="str">
        <f>HYPERLINK("https://www.catalog.slsa.sa.gov.au/record=b2112529")</f>
        <v>https://www.catalog.slsa.sa.gov.au/record=b2112529</v>
      </c>
      <c r="C3642" s="1" t="str">
        <f>HYPERLINK("https://www.catalog.slsa.sa.gov.au/xrecord=b2112529")</f>
        <v>https://www.catalog.slsa.sa.gov.au/xrecord=b2112529</v>
      </c>
      <c r="D3642" t="s">
        <v>66</v>
      </c>
      <c r="E3642" t="s">
        <v>12550</v>
      </c>
      <c r="F3642">
        <v>1964</v>
      </c>
      <c r="G3642" t="s">
        <v>121</v>
      </c>
      <c r="H3642" t="s">
        <v>12551</v>
      </c>
      <c r="I3642" t="s">
        <v>12552</v>
      </c>
      <c r="J3642" t="s">
        <v>71</v>
      </c>
      <c r="K3642" s="2" t="str">
        <f>HYPERLINK("http://collections.slsa.sa.gov.au/arthur/03000/BRG347_2797.htm")</f>
        <v>http://collections.slsa.sa.gov.au/arthur/03000/BRG347_2797.htm</v>
      </c>
    </row>
    <row r="3643" spans="1:11" x14ac:dyDescent="0.25">
      <c r="A3643" t="s">
        <v>12553</v>
      </c>
      <c r="B3643" s="1" t="str">
        <f>HYPERLINK("https://www.catalog.slsa.sa.gov.au/record=b2112823")</f>
        <v>https://www.catalog.slsa.sa.gov.au/record=b2112823</v>
      </c>
      <c r="C3643" s="1" t="str">
        <f>HYPERLINK("https://www.catalog.slsa.sa.gov.au/xrecord=b2112823")</f>
        <v>https://www.catalog.slsa.sa.gov.au/xrecord=b2112823</v>
      </c>
      <c r="D3643" t="s">
        <v>66</v>
      </c>
      <c r="E3643" t="s">
        <v>12554</v>
      </c>
      <c r="F3643">
        <v>1964</v>
      </c>
      <c r="G3643" t="s">
        <v>121</v>
      </c>
      <c r="H3643" t="s">
        <v>12555</v>
      </c>
      <c r="I3643" t="s">
        <v>12556</v>
      </c>
      <c r="J3643" t="s">
        <v>71</v>
      </c>
      <c r="K3643" s="2" t="str">
        <f>HYPERLINK("http://collections.slsa.sa.gov.au/arthur/03250/BRG347_3059.htm")</f>
        <v>http://collections.slsa.sa.gov.au/arthur/03250/BRG347_3059.htm</v>
      </c>
    </row>
    <row r="3644" spans="1:11" x14ac:dyDescent="0.25">
      <c r="A3644" t="s">
        <v>12557</v>
      </c>
      <c r="B3644" s="1" t="str">
        <f>HYPERLINK("https://www.catalog.slsa.sa.gov.au/record=b2112833")</f>
        <v>https://www.catalog.slsa.sa.gov.au/record=b2112833</v>
      </c>
      <c r="C3644" s="1" t="str">
        <f>HYPERLINK("https://www.catalog.slsa.sa.gov.au/xrecord=b2112833")</f>
        <v>https://www.catalog.slsa.sa.gov.au/xrecord=b2112833</v>
      </c>
      <c r="D3644" t="s">
        <v>66</v>
      </c>
      <c r="E3644" t="s">
        <v>12558</v>
      </c>
      <c r="F3644">
        <v>1964</v>
      </c>
      <c r="G3644" t="s">
        <v>121</v>
      </c>
      <c r="H3644" t="s">
        <v>12559</v>
      </c>
      <c r="I3644" t="s">
        <v>12560</v>
      </c>
      <c r="J3644" t="s">
        <v>71</v>
      </c>
      <c r="K3644" s="2" t="str">
        <f>HYPERLINK("http://collections.slsa.sa.gov.au/arthur/03250/BRG347_3069.htm")</f>
        <v>http://collections.slsa.sa.gov.au/arthur/03250/BRG347_3069.htm</v>
      </c>
    </row>
    <row r="3645" spans="1:11" x14ac:dyDescent="0.25">
      <c r="A3645" t="s">
        <v>12561</v>
      </c>
      <c r="B3645" s="1" t="str">
        <f>HYPERLINK("https://www.catalog.slsa.sa.gov.au/record=b2112834")</f>
        <v>https://www.catalog.slsa.sa.gov.au/record=b2112834</v>
      </c>
      <c r="C3645" s="1" t="str">
        <f>HYPERLINK("https://www.catalog.slsa.sa.gov.au/xrecord=b2112834")</f>
        <v>https://www.catalog.slsa.sa.gov.au/xrecord=b2112834</v>
      </c>
      <c r="D3645" t="s">
        <v>66</v>
      </c>
      <c r="E3645" t="s">
        <v>1358</v>
      </c>
      <c r="F3645">
        <v>1964</v>
      </c>
      <c r="G3645" t="s">
        <v>121</v>
      </c>
      <c r="H3645" t="s">
        <v>12562</v>
      </c>
      <c r="I3645" t="s">
        <v>1360</v>
      </c>
      <c r="J3645" t="s">
        <v>71</v>
      </c>
      <c r="K3645" s="2" t="str">
        <f>HYPERLINK("http://collections.slsa.sa.gov.au/arthur/03250/BRG347_3070.htm")</f>
        <v>http://collections.slsa.sa.gov.au/arthur/03250/BRG347_3070.htm</v>
      </c>
    </row>
    <row r="3646" spans="1:11" x14ac:dyDescent="0.25">
      <c r="A3646" t="s">
        <v>12563</v>
      </c>
      <c r="B3646" s="1" t="str">
        <f>HYPERLINK("https://www.catalog.slsa.sa.gov.au/record=b2114066")</f>
        <v>https://www.catalog.slsa.sa.gov.au/record=b2114066</v>
      </c>
      <c r="C3646" s="1" t="str">
        <f>HYPERLINK("https://www.catalog.slsa.sa.gov.au/xrecord=b2114066")</f>
        <v>https://www.catalog.slsa.sa.gov.au/xrecord=b2114066</v>
      </c>
      <c r="D3646" t="s">
        <v>66</v>
      </c>
      <c r="E3646" t="s">
        <v>12564</v>
      </c>
      <c r="F3646">
        <v>1964</v>
      </c>
      <c r="G3646" t="s">
        <v>121</v>
      </c>
      <c r="H3646" t="s">
        <v>12565</v>
      </c>
      <c r="I3646" t="s">
        <v>12566</v>
      </c>
      <c r="J3646" t="s">
        <v>71</v>
      </c>
      <c r="K3646" s="2" t="str">
        <f>HYPERLINK("http://collections.slsa.sa.gov.au/arthur/04000/BRG347_3900.htm")</f>
        <v>http://collections.slsa.sa.gov.au/arthur/04000/BRG347_3900.htm</v>
      </c>
    </row>
    <row r="3647" spans="1:11" x14ac:dyDescent="0.25">
      <c r="A3647" t="s">
        <v>12567</v>
      </c>
      <c r="B3647" s="1" t="str">
        <f>HYPERLINK("https://www.catalog.slsa.sa.gov.au/record=b2114072")</f>
        <v>https://www.catalog.slsa.sa.gov.au/record=b2114072</v>
      </c>
      <c r="C3647" s="1" t="str">
        <f>HYPERLINK("https://www.catalog.slsa.sa.gov.au/xrecord=b2114072")</f>
        <v>https://www.catalog.slsa.sa.gov.au/xrecord=b2114072</v>
      </c>
      <c r="D3647" t="s">
        <v>66</v>
      </c>
      <c r="E3647" t="s">
        <v>10837</v>
      </c>
      <c r="F3647">
        <v>1964</v>
      </c>
      <c r="G3647" t="s">
        <v>121</v>
      </c>
      <c r="H3647" t="s">
        <v>12568</v>
      </c>
      <c r="I3647" t="s">
        <v>12569</v>
      </c>
      <c r="J3647" t="s">
        <v>71</v>
      </c>
      <c r="K3647" s="2" t="str">
        <f>HYPERLINK("http://collections.slsa.sa.gov.au/arthur/04000/BRG347_3906.htm")</f>
        <v>http://collections.slsa.sa.gov.au/arthur/04000/BRG347_3906.htm</v>
      </c>
    </row>
    <row r="3648" spans="1:11" x14ac:dyDescent="0.25">
      <c r="A3648" t="s">
        <v>12570</v>
      </c>
      <c r="B3648" s="1" t="str">
        <f>HYPERLINK("https://www.catalog.slsa.sa.gov.au/record=b3013814")</f>
        <v>https://www.catalog.slsa.sa.gov.au/record=b3013814</v>
      </c>
      <c r="C3648" s="1" t="str">
        <f>HYPERLINK("https://www.catalog.slsa.sa.gov.au/xrecord=b3013814")</f>
        <v>https://www.catalog.slsa.sa.gov.au/xrecord=b3013814</v>
      </c>
      <c r="E3648" t="s">
        <v>2556</v>
      </c>
      <c r="F3648">
        <v>1964</v>
      </c>
      <c r="G3648" t="s">
        <v>12571</v>
      </c>
      <c r="H3648" t="s">
        <v>12572</v>
      </c>
      <c r="I3648" t="s">
        <v>2549</v>
      </c>
      <c r="J3648" t="s">
        <v>2550</v>
      </c>
      <c r="K3648" s="2" t="str">
        <f>HYPERLINK("http://collections.slsa.sa.gov.au/resource/PRG+1642/13/113")</f>
        <v>http://collections.slsa.sa.gov.au/resource/PRG+1642/13/113</v>
      </c>
    </row>
    <row r="3649" spans="1:11" x14ac:dyDescent="0.25">
      <c r="A3649" t="s">
        <v>12573</v>
      </c>
      <c r="B3649" s="1" t="str">
        <f>HYPERLINK("https://www.catalog.slsa.sa.gov.au/record=b3013818")</f>
        <v>https://www.catalog.slsa.sa.gov.au/record=b3013818</v>
      </c>
      <c r="C3649" s="1" t="str">
        <f>HYPERLINK("https://www.catalog.slsa.sa.gov.au/xrecord=b3013818")</f>
        <v>https://www.catalog.slsa.sa.gov.au/xrecord=b3013818</v>
      </c>
      <c r="E3649" t="s">
        <v>12574</v>
      </c>
      <c r="F3649">
        <v>1964</v>
      </c>
      <c r="G3649" t="s">
        <v>12575</v>
      </c>
      <c r="H3649" t="s">
        <v>12576</v>
      </c>
      <c r="I3649" t="s">
        <v>12577</v>
      </c>
      <c r="J3649" t="s">
        <v>12578</v>
      </c>
      <c r="K3649" s="2" t="str">
        <f>HYPERLINK("http://collections.slsa.sa.gov.au/resource/PRG+1642/13/115")</f>
        <v>http://collections.slsa.sa.gov.au/resource/PRG+1642/13/115</v>
      </c>
    </row>
    <row r="3650" spans="1:11" x14ac:dyDescent="0.25">
      <c r="A3650" t="s">
        <v>12579</v>
      </c>
      <c r="B3650" s="1" t="str">
        <f>HYPERLINK("https://www.catalog.slsa.sa.gov.au/record=b3013821")</f>
        <v>https://www.catalog.slsa.sa.gov.au/record=b3013821</v>
      </c>
      <c r="C3650" s="1" t="str">
        <f>HYPERLINK("https://www.catalog.slsa.sa.gov.au/xrecord=b3013821")</f>
        <v>https://www.catalog.slsa.sa.gov.au/xrecord=b3013821</v>
      </c>
      <c r="E3650" t="s">
        <v>12574</v>
      </c>
      <c r="F3650">
        <v>1964</v>
      </c>
      <c r="G3650" t="s">
        <v>12580</v>
      </c>
      <c r="H3650" t="s">
        <v>12581</v>
      </c>
      <c r="I3650" t="s">
        <v>12582</v>
      </c>
      <c r="J3650" t="s">
        <v>12578</v>
      </c>
      <c r="K3650" s="2" t="str">
        <f>HYPERLINK("http://collections.slsa.sa.gov.au/resource/PRG+1642/13/116")</f>
        <v>http://collections.slsa.sa.gov.au/resource/PRG+1642/13/116</v>
      </c>
    </row>
    <row r="3651" spans="1:11" x14ac:dyDescent="0.25">
      <c r="A3651" t="s">
        <v>12583</v>
      </c>
      <c r="B3651" s="1" t="str">
        <f>HYPERLINK("https://www.catalog.slsa.sa.gov.au/record=b2939866")</f>
        <v>https://www.catalog.slsa.sa.gov.au/record=b2939866</v>
      </c>
      <c r="C3651" s="1" t="str">
        <f>HYPERLINK("https://www.catalog.slsa.sa.gov.au/xrecord=b2939866")</f>
        <v>https://www.catalog.slsa.sa.gov.au/xrecord=b2939866</v>
      </c>
      <c r="E3651" t="s">
        <v>12584</v>
      </c>
      <c r="F3651">
        <v>1964</v>
      </c>
      <c r="G3651" t="s">
        <v>12585</v>
      </c>
      <c r="H3651" t="s">
        <v>12586</v>
      </c>
      <c r="I3651" t="s">
        <v>12587</v>
      </c>
      <c r="J3651" t="s">
        <v>12588</v>
      </c>
      <c r="K3651" s="2" t="str">
        <f>HYPERLINK("http://collections.slsa.sa.gov.au/resource/SRG+94/A69/34/15")</f>
        <v>http://collections.slsa.sa.gov.au/resource/SRG+94/A69/34/15</v>
      </c>
    </row>
    <row r="3652" spans="1:11" x14ac:dyDescent="0.25">
      <c r="A3652" t="s">
        <v>12589</v>
      </c>
      <c r="B3652" s="1" t="str">
        <f>HYPERLINK("https://www.catalog.slsa.sa.gov.au/record=b2924123")</f>
        <v>https://www.catalog.slsa.sa.gov.au/record=b2924123</v>
      </c>
      <c r="C3652" s="1" t="str">
        <f>HYPERLINK("https://www.catalog.slsa.sa.gov.au/xrecord=b2924123")</f>
        <v>https://www.catalog.slsa.sa.gov.au/xrecord=b2924123</v>
      </c>
      <c r="D3652" t="s">
        <v>3775</v>
      </c>
      <c r="E3652" t="s">
        <v>12590</v>
      </c>
      <c r="F3652">
        <v>1964</v>
      </c>
      <c r="G3652" t="s">
        <v>12591</v>
      </c>
      <c r="H3652" t="s">
        <v>12592</v>
      </c>
      <c r="I3652" t="s">
        <v>12593</v>
      </c>
      <c r="J3652" t="s">
        <v>3780</v>
      </c>
      <c r="K3652" s="2" t="str">
        <f>HYPERLINK("http://collections.slsa.sa.gov.au/srg/94/A1/SRG94_A1_71_27.htm")</f>
        <v>http://collections.slsa.sa.gov.au/srg/94/A1/SRG94_A1_71_27.htm</v>
      </c>
    </row>
    <row r="3653" spans="1:11" x14ac:dyDescent="0.25">
      <c r="A3653" t="s">
        <v>12594</v>
      </c>
      <c r="B3653" s="1" t="str">
        <f>HYPERLINK("https://www.catalog.slsa.sa.gov.au/record=b2111316")</f>
        <v>https://www.catalog.slsa.sa.gov.au/record=b2111316</v>
      </c>
      <c r="C3653" s="1" t="str">
        <f>HYPERLINK("https://www.catalog.slsa.sa.gov.au/xrecord=b2111316")</f>
        <v>https://www.catalog.slsa.sa.gov.au/xrecord=b2111316</v>
      </c>
      <c r="D3653" t="s">
        <v>66</v>
      </c>
      <c r="E3653" t="s">
        <v>12595</v>
      </c>
      <c r="F3653" t="s">
        <v>12596</v>
      </c>
      <c r="G3653" t="s">
        <v>121</v>
      </c>
      <c r="H3653" t="s">
        <v>12597</v>
      </c>
      <c r="I3653" t="s">
        <v>12598</v>
      </c>
      <c r="J3653" t="s">
        <v>71</v>
      </c>
      <c r="K3653" s="2" t="str">
        <f>HYPERLINK("http://collections.slsa.sa.gov.au/arthur/02000/BRG347_1987.htm")</f>
        <v>http://collections.slsa.sa.gov.au/arthur/02000/BRG347_1987.htm</v>
      </c>
    </row>
    <row r="3654" spans="1:11" x14ac:dyDescent="0.25">
      <c r="A3654" t="s">
        <v>12599</v>
      </c>
      <c r="B3654" s="1" t="str">
        <f>HYPERLINK("https://www.catalog.slsa.sa.gov.au/record=b2112038")</f>
        <v>https://www.catalog.slsa.sa.gov.au/record=b2112038</v>
      </c>
      <c r="C3654" s="1" t="str">
        <f>HYPERLINK("https://www.catalog.slsa.sa.gov.au/xrecord=b2112038")</f>
        <v>https://www.catalog.slsa.sa.gov.au/xrecord=b2112038</v>
      </c>
      <c r="D3654" t="s">
        <v>66</v>
      </c>
      <c r="E3654" t="s">
        <v>12600</v>
      </c>
      <c r="F3654" t="s">
        <v>12596</v>
      </c>
      <c r="G3654" t="s">
        <v>121</v>
      </c>
      <c r="H3654" t="s">
        <v>12601</v>
      </c>
      <c r="I3654" t="s">
        <v>12602</v>
      </c>
      <c r="J3654" t="s">
        <v>71</v>
      </c>
      <c r="K3654" s="2" t="str">
        <f>HYPERLINK("http://collections.slsa.sa.gov.au/arthur/02500/BRG347_2464.htm")</f>
        <v>http://collections.slsa.sa.gov.au/arthur/02500/BRG347_2464.htm</v>
      </c>
    </row>
    <row r="3655" spans="1:11" x14ac:dyDescent="0.25">
      <c r="A3655" t="s">
        <v>12603</v>
      </c>
      <c r="B3655" s="1" t="str">
        <f>HYPERLINK("https://www.catalog.slsa.sa.gov.au/record=b2112521")</f>
        <v>https://www.catalog.slsa.sa.gov.au/record=b2112521</v>
      </c>
      <c r="C3655" s="1" t="str">
        <f>HYPERLINK("https://www.catalog.slsa.sa.gov.au/xrecord=b2112521")</f>
        <v>https://www.catalog.slsa.sa.gov.au/xrecord=b2112521</v>
      </c>
      <c r="D3655" t="s">
        <v>66</v>
      </c>
      <c r="E3655" t="s">
        <v>12604</v>
      </c>
      <c r="F3655" t="s">
        <v>12596</v>
      </c>
      <c r="G3655" t="s">
        <v>121</v>
      </c>
      <c r="H3655" t="s">
        <v>12605</v>
      </c>
      <c r="I3655" t="s">
        <v>9834</v>
      </c>
      <c r="J3655" t="s">
        <v>71</v>
      </c>
      <c r="K3655" s="2" t="str">
        <f>HYPERLINK("http://collections.slsa.sa.gov.au/arthur/03000/BRG347_2789.htm")</f>
        <v>http://collections.slsa.sa.gov.au/arthur/03000/BRG347_2789.htm</v>
      </c>
    </row>
    <row r="3656" spans="1:11" x14ac:dyDescent="0.25">
      <c r="A3656" t="s">
        <v>12606</v>
      </c>
      <c r="B3656" s="1" t="str">
        <f>HYPERLINK("https://www.catalog.slsa.sa.gov.au/record=b2112524")</f>
        <v>https://www.catalog.slsa.sa.gov.au/record=b2112524</v>
      </c>
      <c r="C3656" s="1" t="str">
        <f>HYPERLINK("https://www.catalog.slsa.sa.gov.au/xrecord=b2112524")</f>
        <v>https://www.catalog.slsa.sa.gov.au/xrecord=b2112524</v>
      </c>
      <c r="D3656" t="s">
        <v>66</v>
      </c>
      <c r="E3656" t="s">
        <v>12607</v>
      </c>
      <c r="F3656" t="s">
        <v>12596</v>
      </c>
      <c r="G3656" t="s">
        <v>121</v>
      </c>
      <c r="H3656" t="s">
        <v>12608</v>
      </c>
      <c r="I3656" t="s">
        <v>12609</v>
      </c>
      <c r="J3656" t="s">
        <v>71</v>
      </c>
      <c r="K3656" s="2" t="str">
        <f>HYPERLINK("http://collections.slsa.sa.gov.au/arthur/03000/BRG347_2792.htm")</f>
        <v>http://collections.slsa.sa.gov.au/arthur/03000/BRG347_2792.htm</v>
      </c>
    </row>
    <row r="3657" spans="1:11" x14ac:dyDescent="0.25">
      <c r="A3657" t="s">
        <v>12610</v>
      </c>
      <c r="B3657" s="1" t="str">
        <f>HYPERLINK("https://www.catalog.slsa.sa.gov.au/record=b3027611")</f>
        <v>https://www.catalog.slsa.sa.gov.au/record=b3027611</v>
      </c>
      <c r="C3657" s="1" t="str">
        <f>HYPERLINK("https://www.catalog.slsa.sa.gov.au/xrecord=b3027611")</f>
        <v>https://www.catalog.slsa.sa.gov.au/xrecord=b3027611</v>
      </c>
      <c r="E3657" t="s">
        <v>12611</v>
      </c>
      <c r="F3657" t="s">
        <v>12596</v>
      </c>
      <c r="G3657" t="s">
        <v>12612</v>
      </c>
      <c r="H3657" t="s">
        <v>12613</v>
      </c>
      <c r="I3657" t="s">
        <v>12614</v>
      </c>
      <c r="J3657" t="s">
        <v>1809</v>
      </c>
      <c r="K3657" s="2" t="str">
        <f>HYPERLINK("http://collections.slsa.sa.gov.au/resource/PRG+1664/2/5")</f>
        <v>http://collections.slsa.sa.gov.au/resource/PRG+1664/2/5</v>
      </c>
    </row>
    <row r="3658" spans="1:11" x14ac:dyDescent="0.25">
      <c r="A3658" t="s">
        <v>12615</v>
      </c>
      <c r="B3658" s="1" t="str">
        <f>HYPERLINK("https://www.catalog.slsa.sa.gov.au/record=b2107205")</f>
        <v>https://www.catalog.slsa.sa.gov.au/record=b2107205</v>
      </c>
      <c r="C3658" s="1" t="str">
        <f>HYPERLINK("https://www.catalog.slsa.sa.gov.au/xrecord=b2107205")</f>
        <v>https://www.catalog.slsa.sa.gov.au/xrecord=b2107205</v>
      </c>
      <c r="E3658" t="s">
        <v>12616</v>
      </c>
      <c r="F3658">
        <v>1965</v>
      </c>
      <c r="G3658" t="s">
        <v>12617</v>
      </c>
      <c r="H3658" t="s">
        <v>14</v>
      </c>
      <c r="I3658" t="s">
        <v>12618</v>
      </c>
      <c r="J3658" t="s">
        <v>16</v>
      </c>
      <c r="K3658" s="2" t="str">
        <f>HYPERLINK("http://collections.slsa.sa.gov.au/arbonlem/00250/PRG1324_104.htm")</f>
        <v>http://collections.slsa.sa.gov.au/arbonlem/00250/PRG1324_104.htm</v>
      </c>
    </row>
    <row r="3659" spans="1:11" x14ac:dyDescent="0.25">
      <c r="A3659" t="s">
        <v>12619</v>
      </c>
      <c r="B3659" s="1" t="str">
        <f>HYPERLINK("https://www.catalog.slsa.sa.gov.au/record=b2110059")</f>
        <v>https://www.catalog.slsa.sa.gov.au/record=b2110059</v>
      </c>
      <c r="C3659" s="1" t="str">
        <f>HYPERLINK("https://www.catalog.slsa.sa.gov.au/xrecord=b2110059")</f>
        <v>https://www.catalog.slsa.sa.gov.au/xrecord=b2110059</v>
      </c>
      <c r="D3659" t="s">
        <v>66</v>
      </c>
      <c r="E3659" t="s">
        <v>12620</v>
      </c>
      <c r="F3659">
        <v>1965</v>
      </c>
      <c r="G3659" t="s">
        <v>121</v>
      </c>
      <c r="H3659" t="s">
        <v>12621</v>
      </c>
      <c r="I3659" t="s">
        <v>1728</v>
      </c>
      <c r="J3659" t="s">
        <v>71</v>
      </c>
      <c r="K3659" s="2" t="str">
        <f>HYPERLINK("http://collections.slsa.sa.gov.au/arthur/01000/BRG347_865.htm")</f>
        <v>http://collections.slsa.sa.gov.au/arthur/01000/BRG347_865.htm</v>
      </c>
    </row>
    <row r="3660" spans="1:11" x14ac:dyDescent="0.25">
      <c r="A3660" t="s">
        <v>12622</v>
      </c>
      <c r="B3660" s="1" t="str">
        <f>HYPERLINK("https://www.catalog.slsa.sa.gov.au/record=b2110060")</f>
        <v>https://www.catalog.slsa.sa.gov.au/record=b2110060</v>
      </c>
      <c r="C3660" s="1" t="str">
        <f>HYPERLINK("https://www.catalog.slsa.sa.gov.au/xrecord=b2110060")</f>
        <v>https://www.catalog.slsa.sa.gov.au/xrecord=b2110060</v>
      </c>
      <c r="D3660" t="s">
        <v>66</v>
      </c>
      <c r="E3660" t="s">
        <v>12623</v>
      </c>
      <c r="F3660">
        <v>1965</v>
      </c>
      <c r="G3660" t="s">
        <v>121</v>
      </c>
      <c r="H3660" t="s">
        <v>12624</v>
      </c>
      <c r="I3660" t="s">
        <v>12625</v>
      </c>
      <c r="J3660" t="s">
        <v>71</v>
      </c>
      <c r="K3660" s="2" t="str">
        <f>HYPERLINK("http://collections.slsa.sa.gov.au/arthur/01000/BRG347_866.htm")</f>
        <v>http://collections.slsa.sa.gov.au/arthur/01000/BRG347_866.htm</v>
      </c>
    </row>
    <row r="3661" spans="1:11" x14ac:dyDescent="0.25">
      <c r="A3661" t="s">
        <v>12626</v>
      </c>
      <c r="B3661" s="1" t="str">
        <f>HYPERLINK("https://www.catalog.slsa.sa.gov.au/record=b2110061")</f>
        <v>https://www.catalog.slsa.sa.gov.au/record=b2110061</v>
      </c>
      <c r="C3661" s="1" t="str">
        <f>HYPERLINK("https://www.catalog.slsa.sa.gov.au/xrecord=b2110061")</f>
        <v>https://www.catalog.slsa.sa.gov.au/xrecord=b2110061</v>
      </c>
      <c r="D3661" t="s">
        <v>66</v>
      </c>
      <c r="E3661" t="s">
        <v>12627</v>
      </c>
      <c r="F3661">
        <v>1965</v>
      </c>
      <c r="G3661" t="s">
        <v>121</v>
      </c>
      <c r="H3661" t="s">
        <v>12628</v>
      </c>
      <c r="I3661" t="s">
        <v>12629</v>
      </c>
      <c r="J3661" t="s">
        <v>71</v>
      </c>
      <c r="K3661" s="2" t="str">
        <f>HYPERLINK("http://collections.slsa.sa.gov.au/arthur/01000/BRG347_867.htm")</f>
        <v>http://collections.slsa.sa.gov.au/arthur/01000/BRG347_867.htm</v>
      </c>
    </row>
    <row r="3662" spans="1:11" x14ac:dyDescent="0.25">
      <c r="A3662" t="s">
        <v>12630</v>
      </c>
      <c r="B3662" s="1" t="str">
        <f>HYPERLINK("https://www.catalog.slsa.sa.gov.au/record=b2110065")</f>
        <v>https://www.catalog.slsa.sa.gov.au/record=b2110065</v>
      </c>
      <c r="C3662" s="1" t="str">
        <f>HYPERLINK("https://www.catalog.slsa.sa.gov.au/xrecord=b2110065")</f>
        <v>https://www.catalog.slsa.sa.gov.au/xrecord=b2110065</v>
      </c>
      <c r="D3662" t="s">
        <v>66</v>
      </c>
      <c r="E3662" t="s">
        <v>12631</v>
      </c>
      <c r="F3662">
        <v>1965</v>
      </c>
      <c r="G3662" t="s">
        <v>121</v>
      </c>
      <c r="H3662" t="s">
        <v>12632</v>
      </c>
      <c r="I3662" t="s">
        <v>1619</v>
      </c>
      <c r="J3662" t="s">
        <v>71</v>
      </c>
      <c r="K3662" s="2" t="str">
        <f>HYPERLINK("http://collections.slsa.sa.gov.au/arthur/01000/BRG347_870.htm")</f>
        <v>http://collections.slsa.sa.gov.au/arthur/01000/BRG347_870.htm</v>
      </c>
    </row>
    <row r="3663" spans="1:11" x14ac:dyDescent="0.25">
      <c r="A3663" t="s">
        <v>12633</v>
      </c>
      <c r="B3663" s="1" t="str">
        <f>HYPERLINK("https://www.catalog.slsa.sa.gov.au/record=b2110592")</f>
        <v>https://www.catalog.slsa.sa.gov.au/record=b2110592</v>
      </c>
      <c r="C3663" s="1" t="str">
        <f>HYPERLINK("https://www.catalog.slsa.sa.gov.au/xrecord=b2110592")</f>
        <v>https://www.catalog.slsa.sa.gov.au/xrecord=b2110592</v>
      </c>
      <c r="D3663" t="s">
        <v>66</v>
      </c>
      <c r="E3663" t="s">
        <v>10636</v>
      </c>
      <c r="F3663">
        <v>1965</v>
      </c>
      <c r="G3663" t="s">
        <v>121</v>
      </c>
      <c r="H3663" t="s">
        <v>12634</v>
      </c>
      <c r="I3663" t="s">
        <v>12635</v>
      </c>
      <c r="J3663" t="s">
        <v>71</v>
      </c>
      <c r="K3663" s="2" t="str">
        <f>HYPERLINK("http://collections.slsa.sa.gov.au/arthur/01500/BRG347_1309.htm")</f>
        <v>http://collections.slsa.sa.gov.au/arthur/01500/BRG347_1309.htm</v>
      </c>
    </row>
    <row r="3664" spans="1:11" x14ac:dyDescent="0.25">
      <c r="A3664" t="s">
        <v>12636</v>
      </c>
      <c r="B3664" s="1" t="str">
        <f>HYPERLINK("https://www.catalog.slsa.sa.gov.au/record=b2110593")</f>
        <v>https://www.catalog.slsa.sa.gov.au/record=b2110593</v>
      </c>
      <c r="C3664" s="1" t="str">
        <f>HYPERLINK("https://www.catalog.slsa.sa.gov.au/xrecord=b2110593")</f>
        <v>https://www.catalog.slsa.sa.gov.au/xrecord=b2110593</v>
      </c>
      <c r="D3664" t="s">
        <v>66</v>
      </c>
      <c r="E3664" t="s">
        <v>12637</v>
      </c>
      <c r="F3664">
        <v>1965</v>
      </c>
      <c r="G3664" t="s">
        <v>121</v>
      </c>
      <c r="H3664" t="s">
        <v>12638</v>
      </c>
      <c r="I3664" t="s">
        <v>12639</v>
      </c>
      <c r="J3664" t="s">
        <v>71</v>
      </c>
      <c r="K3664" s="2" t="str">
        <f>HYPERLINK("http://collections.slsa.sa.gov.au/arthur/01500/BRG347_1310.htm")</f>
        <v>http://collections.slsa.sa.gov.au/arthur/01500/BRG347_1310.htm</v>
      </c>
    </row>
    <row r="3665" spans="1:11" x14ac:dyDescent="0.25">
      <c r="A3665" t="s">
        <v>12640</v>
      </c>
      <c r="B3665" s="1" t="str">
        <f>HYPERLINK("https://www.catalog.slsa.sa.gov.au/record=b2110594")</f>
        <v>https://www.catalog.slsa.sa.gov.au/record=b2110594</v>
      </c>
      <c r="C3665" s="1" t="str">
        <f>HYPERLINK("https://www.catalog.slsa.sa.gov.au/xrecord=b2110594")</f>
        <v>https://www.catalog.slsa.sa.gov.au/xrecord=b2110594</v>
      </c>
      <c r="D3665" t="s">
        <v>66</v>
      </c>
      <c r="E3665" t="s">
        <v>10606</v>
      </c>
      <c r="F3665">
        <v>1965</v>
      </c>
      <c r="G3665" t="s">
        <v>121</v>
      </c>
      <c r="H3665" t="s">
        <v>12641</v>
      </c>
      <c r="I3665" t="s">
        <v>10606</v>
      </c>
      <c r="J3665" t="s">
        <v>71</v>
      </c>
      <c r="K3665" s="2" t="str">
        <f>HYPERLINK("http://collections.slsa.sa.gov.au/arthur/01500/BRG347_1311.htm")</f>
        <v>http://collections.slsa.sa.gov.au/arthur/01500/BRG347_1311.htm</v>
      </c>
    </row>
    <row r="3666" spans="1:11" x14ac:dyDescent="0.25">
      <c r="A3666" t="s">
        <v>12642</v>
      </c>
      <c r="B3666" s="1" t="str">
        <f>HYPERLINK("https://www.catalog.slsa.sa.gov.au/record=b2110595")</f>
        <v>https://www.catalog.slsa.sa.gov.au/record=b2110595</v>
      </c>
      <c r="C3666" s="1" t="str">
        <f>HYPERLINK("https://www.catalog.slsa.sa.gov.au/xrecord=b2110595")</f>
        <v>https://www.catalog.slsa.sa.gov.au/xrecord=b2110595</v>
      </c>
      <c r="D3666" t="s">
        <v>66</v>
      </c>
      <c r="E3666" t="s">
        <v>12637</v>
      </c>
      <c r="F3666">
        <v>1965</v>
      </c>
      <c r="G3666" t="s">
        <v>121</v>
      </c>
      <c r="H3666" t="s">
        <v>12643</v>
      </c>
      <c r="I3666" t="s">
        <v>7803</v>
      </c>
      <c r="J3666" t="s">
        <v>71</v>
      </c>
      <c r="K3666" s="2" t="str">
        <f>HYPERLINK("http://collections.slsa.sa.gov.au/arthur/01500/BRG347_1312.htm")</f>
        <v>http://collections.slsa.sa.gov.au/arthur/01500/BRG347_1312.htm</v>
      </c>
    </row>
    <row r="3667" spans="1:11" x14ac:dyDescent="0.25">
      <c r="A3667" t="s">
        <v>12644</v>
      </c>
      <c r="B3667" s="1" t="str">
        <f>HYPERLINK("https://www.catalog.slsa.sa.gov.au/record=b2110598")</f>
        <v>https://www.catalog.slsa.sa.gov.au/record=b2110598</v>
      </c>
      <c r="C3667" s="1" t="str">
        <f>HYPERLINK("https://www.catalog.slsa.sa.gov.au/xrecord=b2110598")</f>
        <v>https://www.catalog.slsa.sa.gov.au/xrecord=b2110598</v>
      </c>
      <c r="D3667" t="s">
        <v>66</v>
      </c>
      <c r="E3667" t="s">
        <v>8599</v>
      </c>
      <c r="F3667">
        <v>1965</v>
      </c>
      <c r="G3667" t="s">
        <v>121</v>
      </c>
      <c r="H3667" t="s">
        <v>12645</v>
      </c>
      <c r="I3667" t="s">
        <v>12646</v>
      </c>
      <c r="J3667" t="s">
        <v>71</v>
      </c>
      <c r="K3667" s="2" t="str">
        <f>HYPERLINK("http://collections.slsa.sa.gov.au/arthur/01500/BRG347_1316.htm")</f>
        <v>http://collections.slsa.sa.gov.au/arthur/01500/BRG347_1316.htm</v>
      </c>
    </row>
    <row r="3668" spans="1:11" x14ac:dyDescent="0.25">
      <c r="A3668" t="s">
        <v>12647</v>
      </c>
      <c r="B3668" s="1" t="str">
        <f>HYPERLINK("https://www.catalog.slsa.sa.gov.au/record=b2110910")</f>
        <v>https://www.catalog.slsa.sa.gov.au/record=b2110910</v>
      </c>
      <c r="C3668" s="1" t="str">
        <f>HYPERLINK("https://www.catalog.slsa.sa.gov.au/xrecord=b2110910")</f>
        <v>https://www.catalog.slsa.sa.gov.au/xrecord=b2110910</v>
      </c>
      <c r="D3668" t="s">
        <v>66</v>
      </c>
      <c r="E3668" t="s">
        <v>12648</v>
      </c>
      <c r="F3668">
        <v>1965</v>
      </c>
      <c r="G3668" t="s">
        <v>121</v>
      </c>
      <c r="H3668" t="s">
        <v>12649</v>
      </c>
      <c r="I3668" t="s">
        <v>12650</v>
      </c>
      <c r="J3668" t="s">
        <v>71</v>
      </c>
      <c r="K3668" s="2" t="str">
        <f>HYPERLINK("http://collections.slsa.sa.gov.au/arthur/01750/BRG347_1590.htm")</f>
        <v>http://collections.slsa.sa.gov.au/arthur/01750/BRG347_1590.htm</v>
      </c>
    </row>
    <row r="3669" spans="1:11" x14ac:dyDescent="0.25">
      <c r="A3669" t="s">
        <v>12651</v>
      </c>
      <c r="B3669" s="1" t="str">
        <f>HYPERLINK("https://www.catalog.slsa.sa.gov.au/record=b2110911")</f>
        <v>https://www.catalog.slsa.sa.gov.au/record=b2110911</v>
      </c>
      <c r="C3669" s="1" t="str">
        <f>HYPERLINK("https://www.catalog.slsa.sa.gov.au/xrecord=b2110911")</f>
        <v>https://www.catalog.slsa.sa.gov.au/xrecord=b2110911</v>
      </c>
      <c r="D3669" t="s">
        <v>66</v>
      </c>
      <c r="E3669" t="s">
        <v>12652</v>
      </c>
      <c r="F3669">
        <v>1965</v>
      </c>
      <c r="G3669" t="s">
        <v>121</v>
      </c>
      <c r="H3669" t="s">
        <v>12653</v>
      </c>
      <c r="I3669" t="s">
        <v>12654</v>
      </c>
      <c r="J3669" t="s">
        <v>71</v>
      </c>
      <c r="K3669" s="2" t="str">
        <f>HYPERLINK("http://collections.slsa.sa.gov.au/arthur/01750/BRG347_1591.htm")</f>
        <v>http://collections.slsa.sa.gov.au/arthur/01750/BRG347_1591.htm</v>
      </c>
    </row>
    <row r="3670" spans="1:11" x14ac:dyDescent="0.25">
      <c r="A3670" t="s">
        <v>12655</v>
      </c>
      <c r="B3670" s="1" t="str">
        <f>HYPERLINK("https://www.catalog.slsa.sa.gov.au/record=b2110912")</f>
        <v>https://www.catalog.slsa.sa.gov.au/record=b2110912</v>
      </c>
      <c r="C3670" s="1" t="str">
        <f>HYPERLINK("https://www.catalog.slsa.sa.gov.au/xrecord=b2110912")</f>
        <v>https://www.catalog.slsa.sa.gov.au/xrecord=b2110912</v>
      </c>
      <c r="D3670" t="s">
        <v>66</v>
      </c>
      <c r="E3670" t="s">
        <v>12656</v>
      </c>
      <c r="F3670">
        <v>1965</v>
      </c>
      <c r="G3670" t="s">
        <v>121</v>
      </c>
      <c r="H3670" t="s">
        <v>12657</v>
      </c>
      <c r="I3670" t="s">
        <v>12658</v>
      </c>
      <c r="J3670" t="s">
        <v>71</v>
      </c>
      <c r="K3670" s="2" t="str">
        <f>HYPERLINK("http://collections.slsa.sa.gov.au/arthur/01750/BRG347_1592.htm")</f>
        <v>http://collections.slsa.sa.gov.au/arthur/01750/BRG347_1592.htm</v>
      </c>
    </row>
    <row r="3671" spans="1:11" x14ac:dyDescent="0.25">
      <c r="A3671" t="s">
        <v>12659</v>
      </c>
      <c r="B3671" s="1" t="str">
        <f>HYPERLINK("https://www.catalog.slsa.sa.gov.au/record=b2110913")</f>
        <v>https://www.catalog.slsa.sa.gov.au/record=b2110913</v>
      </c>
      <c r="C3671" s="1" t="str">
        <f>HYPERLINK("https://www.catalog.slsa.sa.gov.au/xrecord=b2110913")</f>
        <v>https://www.catalog.slsa.sa.gov.au/xrecord=b2110913</v>
      </c>
      <c r="D3671" t="s">
        <v>66</v>
      </c>
      <c r="E3671" t="s">
        <v>12660</v>
      </c>
      <c r="F3671">
        <v>1965</v>
      </c>
      <c r="G3671" t="s">
        <v>121</v>
      </c>
      <c r="H3671" t="s">
        <v>12661</v>
      </c>
      <c r="I3671" t="s">
        <v>12662</v>
      </c>
      <c r="J3671" t="s">
        <v>71</v>
      </c>
      <c r="K3671" s="2" t="str">
        <f>HYPERLINK("http://collections.slsa.sa.gov.au/arthur/01750/BRG347_1593.htm")</f>
        <v>http://collections.slsa.sa.gov.au/arthur/01750/BRG347_1593.htm</v>
      </c>
    </row>
    <row r="3672" spans="1:11" x14ac:dyDescent="0.25">
      <c r="A3672" t="s">
        <v>12663</v>
      </c>
      <c r="B3672" s="1" t="str">
        <f>HYPERLINK("https://www.catalog.slsa.sa.gov.au/record=b2110914")</f>
        <v>https://www.catalog.slsa.sa.gov.au/record=b2110914</v>
      </c>
      <c r="C3672" s="1" t="str">
        <f>HYPERLINK("https://www.catalog.slsa.sa.gov.au/xrecord=b2110914")</f>
        <v>https://www.catalog.slsa.sa.gov.au/xrecord=b2110914</v>
      </c>
      <c r="D3672" t="s">
        <v>66</v>
      </c>
      <c r="E3672" t="s">
        <v>12664</v>
      </c>
      <c r="F3672">
        <v>1965</v>
      </c>
      <c r="G3672" t="s">
        <v>121</v>
      </c>
      <c r="H3672" t="s">
        <v>12665</v>
      </c>
      <c r="I3672" t="s">
        <v>12666</v>
      </c>
      <c r="J3672" t="s">
        <v>71</v>
      </c>
      <c r="K3672" s="2" t="str">
        <f>HYPERLINK("http://collections.slsa.sa.gov.au/arthur/01750/BRG347_1594.htm")</f>
        <v>http://collections.slsa.sa.gov.au/arthur/01750/BRG347_1594.htm</v>
      </c>
    </row>
    <row r="3673" spans="1:11" x14ac:dyDescent="0.25">
      <c r="A3673" t="s">
        <v>12667</v>
      </c>
      <c r="B3673" s="1" t="str">
        <f>HYPERLINK("https://www.catalog.slsa.sa.gov.au/record=b2110915")</f>
        <v>https://www.catalog.slsa.sa.gov.au/record=b2110915</v>
      </c>
      <c r="C3673" s="1" t="str">
        <f>HYPERLINK("https://www.catalog.slsa.sa.gov.au/xrecord=b2110915")</f>
        <v>https://www.catalog.slsa.sa.gov.au/xrecord=b2110915</v>
      </c>
      <c r="D3673" t="s">
        <v>66</v>
      </c>
      <c r="E3673" t="s">
        <v>12664</v>
      </c>
      <c r="F3673">
        <v>1965</v>
      </c>
      <c r="G3673" t="s">
        <v>121</v>
      </c>
      <c r="H3673" t="s">
        <v>12668</v>
      </c>
      <c r="I3673" t="s">
        <v>12669</v>
      </c>
      <c r="J3673" t="s">
        <v>71</v>
      </c>
      <c r="K3673" s="2" t="str">
        <f>HYPERLINK("http://collections.slsa.sa.gov.au/arthur/01750/BRG347_1595.htm")</f>
        <v>http://collections.slsa.sa.gov.au/arthur/01750/BRG347_1595.htm</v>
      </c>
    </row>
    <row r="3674" spans="1:11" x14ac:dyDescent="0.25">
      <c r="A3674" t="s">
        <v>12670</v>
      </c>
      <c r="B3674" s="1" t="str">
        <f>HYPERLINK("https://www.catalog.slsa.sa.gov.au/record=b2110918")</f>
        <v>https://www.catalog.slsa.sa.gov.au/record=b2110918</v>
      </c>
      <c r="C3674" s="1" t="str">
        <f>HYPERLINK("https://www.catalog.slsa.sa.gov.au/xrecord=b2110918")</f>
        <v>https://www.catalog.slsa.sa.gov.au/xrecord=b2110918</v>
      </c>
      <c r="D3674" t="s">
        <v>66</v>
      </c>
      <c r="E3674" t="s">
        <v>12334</v>
      </c>
      <c r="F3674">
        <v>1965</v>
      </c>
      <c r="G3674" t="s">
        <v>121</v>
      </c>
      <c r="H3674" t="s">
        <v>12671</v>
      </c>
      <c r="I3674" t="s">
        <v>12672</v>
      </c>
      <c r="J3674" t="s">
        <v>71</v>
      </c>
      <c r="K3674" s="2" t="str">
        <f>HYPERLINK("http://collections.slsa.sa.gov.au/arthur/01750/BRG347_1598.htm")</f>
        <v>http://collections.slsa.sa.gov.au/arthur/01750/BRG347_1598.htm</v>
      </c>
    </row>
    <row r="3675" spans="1:11" x14ac:dyDescent="0.25">
      <c r="A3675" t="s">
        <v>12673</v>
      </c>
      <c r="B3675" s="1" t="str">
        <f>HYPERLINK("https://www.catalog.slsa.sa.gov.au/record=b2111020")</f>
        <v>https://www.catalog.slsa.sa.gov.au/record=b2111020</v>
      </c>
      <c r="C3675" s="1" t="str">
        <f>HYPERLINK("https://www.catalog.slsa.sa.gov.au/xrecord=b2111020")</f>
        <v>https://www.catalog.slsa.sa.gov.au/xrecord=b2111020</v>
      </c>
      <c r="D3675" t="s">
        <v>66</v>
      </c>
      <c r="E3675" t="s">
        <v>12674</v>
      </c>
      <c r="F3675">
        <v>1965</v>
      </c>
      <c r="G3675" t="s">
        <v>121</v>
      </c>
      <c r="H3675" t="s">
        <v>12675</v>
      </c>
      <c r="I3675" t="s">
        <v>6208</v>
      </c>
      <c r="J3675" t="s">
        <v>71</v>
      </c>
      <c r="K3675" s="2" t="str">
        <f>HYPERLINK("http://collections.slsa.sa.gov.au/arthur/01750/BRG347_1701.htm")</f>
        <v>http://collections.slsa.sa.gov.au/arthur/01750/BRG347_1701.htm</v>
      </c>
    </row>
    <row r="3676" spans="1:11" x14ac:dyDescent="0.25">
      <c r="A3676" t="s">
        <v>12676</v>
      </c>
      <c r="B3676" s="1" t="str">
        <f>HYPERLINK("https://www.catalog.slsa.sa.gov.au/record=b2111021")</f>
        <v>https://www.catalog.slsa.sa.gov.au/record=b2111021</v>
      </c>
      <c r="C3676" s="1" t="str">
        <f>HYPERLINK("https://www.catalog.slsa.sa.gov.au/xrecord=b2111021")</f>
        <v>https://www.catalog.slsa.sa.gov.au/xrecord=b2111021</v>
      </c>
      <c r="D3676" t="s">
        <v>66</v>
      </c>
      <c r="E3676" t="s">
        <v>12674</v>
      </c>
      <c r="F3676">
        <v>1965</v>
      </c>
      <c r="G3676" t="s">
        <v>121</v>
      </c>
      <c r="H3676" t="s">
        <v>12675</v>
      </c>
      <c r="I3676" t="s">
        <v>6208</v>
      </c>
      <c r="J3676" t="s">
        <v>71</v>
      </c>
      <c r="K3676" s="2" t="str">
        <f>HYPERLINK("http://collections.slsa.sa.gov.au/arthur/01750/BRG347_1702.htm")</f>
        <v>http://collections.slsa.sa.gov.au/arthur/01750/BRG347_1702.htm</v>
      </c>
    </row>
    <row r="3677" spans="1:11" x14ac:dyDescent="0.25">
      <c r="A3677" t="s">
        <v>12677</v>
      </c>
      <c r="B3677" s="1" t="str">
        <f>HYPERLINK("https://www.catalog.slsa.sa.gov.au/record=b2111022")</f>
        <v>https://www.catalog.slsa.sa.gov.au/record=b2111022</v>
      </c>
      <c r="C3677" s="1" t="str">
        <f>HYPERLINK("https://www.catalog.slsa.sa.gov.au/xrecord=b2111022")</f>
        <v>https://www.catalog.slsa.sa.gov.au/xrecord=b2111022</v>
      </c>
      <c r="D3677" t="s">
        <v>66</v>
      </c>
      <c r="E3677" t="s">
        <v>12674</v>
      </c>
      <c r="F3677">
        <v>1965</v>
      </c>
      <c r="G3677" t="s">
        <v>121</v>
      </c>
      <c r="H3677" t="s">
        <v>12675</v>
      </c>
      <c r="I3677" t="s">
        <v>6208</v>
      </c>
      <c r="J3677" t="s">
        <v>71</v>
      </c>
      <c r="K3677" s="2" t="str">
        <f>HYPERLINK("http://collections.slsa.sa.gov.au/arthur/01750/BRG347_1703.htm")</f>
        <v>http://collections.slsa.sa.gov.au/arthur/01750/BRG347_1703.htm</v>
      </c>
    </row>
    <row r="3678" spans="1:11" x14ac:dyDescent="0.25">
      <c r="A3678" t="s">
        <v>12678</v>
      </c>
      <c r="B3678" s="1" t="str">
        <f>HYPERLINK("https://www.catalog.slsa.sa.gov.au/record=b2111023")</f>
        <v>https://www.catalog.slsa.sa.gov.au/record=b2111023</v>
      </c>
      <c r="C3678" s="1" t="str">
        <f>HYPERLINK("https://www.catalog.slsa.sa.gov.au/xrecord=b2111023")</f>
        <v>https://www.catalog.slsa.sa.gov.au/xrecord=b2111023</v>
      </c>
      <c r="D3678" t="s">
        <v>66</v>
      </c>
      <c r="E3678" t="s">
        <v>12674</v>
      </c>
      <c r="F3678">
        <v>1965</v>
      </c>
      <c r="G3678" t="s">
        <v>121</v>
      </c>
      <c r="H3678" t="s">
        <v>12675</v>
      </c>
      <c r="I3678" t="s">
        <v>6208</v>
      </c>
      <c r="J3678" t="s">
        <v>71</v>
      </c>
      <c r="K3678" s="2" t="str">
        <f>HYPERLINK("http://collections.slsa.sa.gov.au/arthur/01750/BRG347_1704.htm")</f>
        <v>http://collections.slsa.sa.gov.au/arthur/01750/BRG347_1704.htm</v>
      </c>
    </row>
    <row r="3679" spans="1:11" x14ac:dyDescent="0.25">
      <c r="A3679" t="s">
        <v>12679</v>
      </c>
      <c r="B3679" s="1" t="str">
        <f>HYPERLINK("https://www.catalog.slsa.sa.gov.au/record=b2111024")</f>
        <v>https://www.catalog.slsa.sa.gov.au/record=b2111024</v>
      </c>
      <c r="C3679" s="1" t="str">
        <f>HYPERLINK("https://www.catalog.slsa.sa.gov.au/xrecord=b2111024")</f>
        <v>https://www.catalog.slsa.sa.gov.au/xrecord=b2111024</v>
      </c>
      <c r="D3679" t="s">
        <v>66</v>
      </c>
      <c r="E3679" t="s">
        <v>12680</v>
      </c>
      <c r="F3679">
        <v>1965</v>
      </c>
      <c r="G3679" t="s">
        <v>121</v>
      </c>
      <c r="H3679" t="s">
        <v>12681</v>
      </c>
      <c r="I3679" t="s">
        <v>12381</v>
      </c>
      <c r="J3679" t="s">
        <v>71</v>
      </c>
      <c r="K3679" s="2" t="str">
        <f>HYPERLINK("http://collections.slsa.sa.gov.au/arthur/01750/BRG347_1705.htm")</f>
        <v>http://collections.slsa.sa.gov.au/arthur/01750/BRG347_1705.htm</v>
      </c>
    </row>
    <row r="3680" spans="1:11" x14ac:dyDescent="0.25">
      <c r="A3680" t="s">
        <v>12682</v>
      </c>
      <c r="B3680" s="1" t="str">
        <f>HYPERLINK("https://www.catalog.slsa.sa.gov.au/record=b2111025")</f>
        <v>https://www.catalog.slsa.sa.gov.au/record=b2111025</v>
      </c>
      <c r="C3680" s="1" t="str">
        <f>HYPERLINK("https://www.catalog.slsa.sa.gov.au/xrecord=b2111025")</f>
        <v>https://www.catalog.slsa.sa.gov.au/xrecord=b2111025</v>
      </c>
      <c r="D3680" t="s">
        <v>66</v>
      </c>
      <c r="E3680" t="s">
        <v>12683</v>
      </c>
      <c r="F3680">
        <v>1965</v>
      </c>
      <c r="G3680" t="s">
        <v>121</v>
      </c>
      <c r="H3680" t="s">
        <v>12684</v>
      </c>
      <c r="I3680" t="s">
        <v>12685</v>
      </c>
      <c r="J3680" t="s">
        <v>71</v>
      </c>
      <c r="K3680" s="2" t="str">
        <f>HYPERLINK("http://collections.slsa.sa.gov.au/arthur/01750/BRG347_1706.htm")</f>
        <v>http://collections.slsa.sa.gov.au/arthur/01750/BRG347_1706.htm</v>
      </c>
    </row>
    <row r="3681" spans="1:11" x14ac:dyDescent="0.25">
      <c r="A3681" t="s">
        <v>12686</v>
      </c>
      <c r="B3681" s="1" t="str">
        <f>HYPERLINK("https://www.catalog.slsa.sa.gov.au/record=b2111026")</f>
        <v>https://www.catalog.slsa.sa.gov.au/record=b2111026</v>
      </c>
      <c r="C3681" s="1" t="str">
        <f>HYPERLINK("https://www.catalog.slsa.sa.gov.au/xrecord=b2111026")</f>
        <v>https://www.catalog.slsa.sa.gov.au/xrecord=b2111026</v>
      </c>
      <c r="D3681" t="s">
        <v>66</v>
      </c>
      <c r="E3681" t="s">
        <v>12687</v>
      </c>
      <c r="F3681">
        <v>1965</v>
      </c>
      <c r="G3681" t="s">
        <v>121</v>
      </c>
      <c r="H3681" t="s">
        <v>12688</v>
      </c>
      <c r="I3681" t="s">
        <v>12689</v>
      </c>
      <c r="J3681" t="s">
        <v>71</v>
      </c>
      <c r="K3681" s="2" t="str">
        <f>HYPERLINK("http://collections.slsa.sa.gov.au/arthur/01750/BRG347_1707.htm")</f>
        <v>http://collections.slsa.sa.gov.au/arthur/01750/BRG347_1707.htm</v>
      </c>
    </row>
    <row r="3682" spans="1:11" x14ac:dyDescent="0.25">
      <c r="A3682" t="s">
        <v>12690</v>
      </c>
      <c r="B3682" s="1" t="str">
        <f>HYPERLINK("https://www.catalog.slsa.sa.gov.au/record=b2111027")</f>
        <v>https://www.catalog.slsa.sa.gov.au/record=b2111027</v>
      </c>
      <c r="C3682" s="1" t="str">
        <f>HYPERLINK("https://www.catalog.slsa.sa.gov.au/xrecord=b2111027")</f>
        <v>https://www.catalog.slsa.sa.gov.au/xrecord=b2111027</v>
      </c>
      <c r="D3682" t="s">
        <v>66</v>
      </c>
      <c r="E3682" t="s">
        <v>12687</v>
      </c>
      <c r="F3682">
        <v>1965</v>
      </c>
      <c r="G3682" t="s">
        <v>121</v>
      </c>
      <c r="H3682" t="s">
        <v>12691</v>
      </c>
      <c r="I3682" t="s">
        <v>5559</v>
      </c>
      <c r="J3682" t="s">
        <v>71</v>
      </c>
      <c r="K3682" s="2" t="str">
        <f>HYPERLINK("http://collections.slsa.sa.gov.au/arthur/01750/BRG347_1708.htm")</f>
        <v>http://collections.slsa.sa.gov.au/arthur/01750/BRG347_1708.htm</v>
      </c>
    </row>
    <row r="3683" spans="1:11" x14ac:dyDescent="0.25">
      <c r="A3683" t="s">
        <v>12692</v>
      </c>
      <c r="B3683" s="1" t="str">
        <f>HYPERLINK("https://www.catalog.slsa.sa.gov.au/record=b2111028")</f>
        <v>https://www.catalog.slsa.sa.gov.au/record=b2111028</v>
      </c>
      <c r="C3683" s="1" t="str">
        <f>HYPERLINK("https://www.catalog.slsa.sa.gov.au/xrecord=b2111028")</f>
        <v>https://www.catalog.slsa.sa.gov.au/xrecord=b2111028</v>
      </c>
      <c r="D3683" t="s">
        <v>66</v>
      </c>
      <c r="E3683" t="s">
        <v>12379</v>
      </c>
      <c r="F3683">
        <v>1965</v>
      </c>
      <c r="G3683" t="s">
        <v>121</v>
      </c>
      <c r="H3683" t="s">
        <v>12693</v>
      </c>
      <c r="I3683" t="s">
        <v>12381</v>
      </c>
      <c r="J3683" t="s">
        <v>71</v>
      </c>
      <c r="K3683" s="2" t="str">
        <f>HYPERLINK("http://collections.slsa.sa.gov.au/arthur/01750/BRG347_1709.htm")</f>
        <v>http://collections.slsa.sa.gov.au/arthur/01750/BRG347_1709.htm</v>
      </c>
    </row>
    <row r="3684" spans="1:11" x14ac:dyDescent="0.25">
      <c r="A3684" t="s">
        <v>12694</v>
      </c>
      <c r="B3684" s="1" t="str">
        <f>HYPERLINK("https://www.catalog.slsa.sa.gov.au/record=b2111030")</f>
        <v>https://www.catalog.slsa.sa.gov.au/record=b2111030</v>
      </c>
      <c r="C3684" s="1" t="str">
        <f>HYPERLINK("https://www.catalog.slsa.sa.gov.au/xrecord=b2111030")</f>
        <v>https://www.catalog.slsa.sa.gov.au/xrecord=b2111030</v>
      </c>
      <c r="D3684" t="s">
        <v>66</v>
      </c>
      <c r="E3684" t="s">
        <v>12695</v>
      </c>
      <c r="F3684">
        <v>1965</v>
      </c>
      <c r="G3684" t="s">
        <v>121</v>
      </c>
      <c r="H3684" t="s">
        <v>12696</v>
      </c>
      <c r="I3684" t="s">
        <v>12697</v>
      </c>
      <c r="J3684" t="s">
        <v>71</v>
      </c>
      <c r="K3684" s="2" t="str">
        <f>HYPERLINK("http://collections.slsa.sa.gov.au/arthur/01750/BRG347_1712.htm")</f>
        <v>http://collections.slsa.sa.gov.au/arthur/01750/BRG347_1712.htm</v>
      </c>
    </row>
    <row r="3685" spans="1:11" x14ac:dyDescent="0.25">
      <c r="A3685" t="s">
        <v>12698</v>
      </c>
      <c r="B3685" s="1" t="str">
        <f>HYPERLINK("https://www.catalog.slsa.sa.gov.au/record=b2111046")</f>
        <v>https://www.catalog.slsa.sa.gov.au/record=b2111046</v>
      </c>
      <c r="C3685" s="1" t="str">
        <f>HYPERLINK("https://www.catalog.slsa.sa.gov.au/xrecord=b2111046")</f>
        <v>https://www.catalog.slsa.sa.gov.au/xrecord=b2111046</v>
      </c>
      <c r="D3685" t="s">
        <v>66</v>
      </c>
      <c r="E3685" t="s">
        <v>12699</v>
      </c>
      <c r="F3685">
        <v>1965</v>
      </c>
      <c r="G3685" t="s">
        <v>121</v>
      </c>
      <c r="H3685" t="s">
        <v>12700</v>
      </c>
      <c r="I3685" t="s">
        <v>12701</v>
      </c>
      <c r="J3685" t="s">
        <v>71</v>
      </c>
      <c r="K3685" s="2" t="str">
        <f>HYPERLINK("http://collections.slsa.sa.gov.au/arthur/01750/BRG347_1728.htm")</f>
        <v>http://collections.slsa.sa.gov.au/arthur/01750/BRG347_1728.htm</v>
      </c>
    </row>
    <row r="3686" spans="1:11" x14ac:dyDescent="0.25">
      <c r="A3686" t="s">
        <v>12702</v>
      </c>
      <c r="B3686" s="1" t="str">
        <f>HYPERLINK("https://www.catalog.slsa.sa.gov.au/record=b2111047")</f>
        <v>https://www.catalog.slsa.sa.gov.au/record=b2111047</v>
      </c>
      <c r="C3686" s="1" t="str">
        <f>HYPERLINK("https://www.catalog.slsa.sa.gov.au/xrecord=b2111047")</f>
        <v>https://www.catalog.slsa.sa.gov.au/xrecord=b2111047</v>
      </c>
      <c r="D3686" t="s">
        <v>66</v>
      </c>
      <c r="E3686" t="s">
        <v>12703</v>
      </c>
      <c r="F3686">
        <v>1965</v>
      </c>
      <c r="G3686" t="s">
        <v>121</v>
      </c>
      <c r="H3686" t="s">
        <v>12704</v>
      </c>
      <c r="I3686" t="s">
        <v>12705</v>
      </c>
      <c r="J3686" t="s">
        <v>71</v>
      </c>
      <c r="K3686" s="2" t="str">
        <f>HYPERLINK("http://collections.slsa.sa.gov.au/arthur/01750/BRG347_1729.htm")</f>
        <v>http://collections.slsa.sa.gov.au/arthur/01750/BRG347_1729.htm</v>
      </c>
    </row>
    <row r="3687" spans="1:11" x14ac:dyDescent="0.25">
      <c r="A3687" t="s">
        <v>12706</v>
      </c>
      <c r="B3687" s="1" t="str">
        <f>HYPERLINK("https://www.catalog.slsa.sa.gov.au/record=b2111154")</f>
        <v>https://www.catalog.slsa.sa.gov.au/record=b2111154</v>
      </c>
      <c r="C3687" s="1" t="str">
        <f>HYPERLINK("https://www.catalog.slsa.sa.gov.au/xrecord=b2111154")</f>
        <v>https://www.catalog.slsa.sa.gov.au/xrecord=b2111154</v>
      </c>
      <c r="D3687" t="s">
        <v>66</v>
      </c>
      <c r="E3687" t="s">
        <v>12707</v>
      </c>
      <c r="F3687">
        <v>1965</v>
      </c>
      <c r="G3687" t="s">
        <v>121</v>
      </c>
      <c r="H3687" t="s">
        <v>12708</v>
      </c>
      <c r="I3687" t="s">
        <v>6583</v>
      </c>
      <c r="J3687" t="s">
        <v>71</v>
      </c>
      <c r="K3687" s="2" t="str">
        <f>HYPERLINK("http://collections.slsa.sa.gov.au/arthur/02000/BRG347_1840.htm")</f>
        <v>http://collections.slsa.sa.gov.au/arthur/02000/BRG347_1840.htm</v>
      </c>
    </row>
    <row r="3688" spans="1:11" x14ac:dyDescent="0.25">
      <c r="A3688" t="s">
        <v>12709</v>
      </c>
      <c r="B3688" s="1" t="str">
        <f>HYPERLINK("https://www.catalog.slsa.sa.gov.au/record=b2111157")</f>
        <v>https://www.catalog.slsa.sa.gov.au/record=b2111157</v>
      </c>
      <c r="C3688" s="1" t="str">
        <f>HYPERLINK("https://www.catalog.slsa.sa.gov.au/xrecord=b2111157")</f>
        <v>https://www.catalog.slsa.sa.gov.au/xrecord=b2111157</v>
      </c>
      <c r="D3688" t="s">
        <v>66</v>
      </c>
      <c r="E3688" t="s">
        <v>12710</v>
      </c>
      <c r="F3688">
        <v>1965</v>
      </c>
      <c r="G3688" t="s">
        <v>121</v>
      </c>
      <c r="H3688" t="s">
        <v>12711</v>
      </c>
      <c r="I3688" t="s">
        <v>12712</v>
      </c>
      <c r="J3688" t="s">
        <v>71</v>
      </c>
      <c r="K3688" s="2" t="str">
        <f>HYPERLINK("http://collections.slsa.sa.gov.au/arthur/02000/BRG347_1844.htm")</f>
        <v>http://collections.slsa.sa.gov.au/arthur/02000/BRG347_1844.htm</v>
      </c>
    </row>
    <row r="3689" spans="1:11" x14ac:dyDescent="0.25">
      <c r="A3689" t="s">
        <v>12713</v>
      </c>
      <c r="B3689" s="1" t="str">
        <f>HYPERLINK("https://www.catalog.slsa.sa.gov.au/record=b2111185")</f>
        <v>https://www.catalog.slsa.sa.gov.au/record=b2111185</v>
      </c>
      <c r="C3689" s="1" t="str">
        <f>HYPERLINK("https://www.catalog.slsa.sa.gov.au/xrecord=b2111185")</f>
        <v>https://www.catalog.slsa.sa.gov.au/xrecord=b2111185</v>
      </c>
      <c r="D3689" t="s">
        <v>66</v>
      </c>
      <c r="E3689" t="s">
        <v>12714</v>
      </c>
      <c r="F3689">
        <v>1965</v>
      </c>
      <c r="G3689" t="s">
        <v>121</v>
      </c>
      <c r="H3689" t="s">
        <v>12715</v>
      </c>
      <c r="I3689" t="s">
        <v>12716</v>
      </c>
      <c r="J3689" t="s">
        <v>71</v>
      </c>
      <c r="K3689" s="2" t="str">
        <f>HYPERLINK("http://collections.slsa.sa.gov.au/arthur/02000/BRG347_1874.htm")</f>
        <v>http://collections.slsa.sa.gov.au/arthur/02000/BRG347_1874.htm</v>
      </c>
    </row>
    <row r="3690" spans="1:11" x14ac:dyDescent="0.25">
      <c r="A3690" t="s">
        <v>12717</v>
      </c>
      <c r="B3690" s="1" t="str">
        <f>HYPERLINK("https://www.catalog.slsa.sa.gov.au/record=b2111866")</f>
        <v>https://www.catalog.slsa.sa.gov.au/record=b2111866</v>
      </c>
      <c r="C3690" s="1" t="str">
        <f>HYPERLINK("https://www.catalog.slsa.sa.gov.au/xrecord=b2111866")</f>
        <v>https://www.catalog.slsa.sa.gov.au/xrecord=b2111866</v>
      </c>
      <c r="D3690" t="s">
        <v>66</v>
      </c>
      <c r="E3690" t="s">
        <v>12718</v>
      </c>
      <c r="F3690">
        <v>1965</v>
      </c>
      <c r="G3690" t="s">
        <v>121</v>
      </c>
      <c r="H3690" t="s">
        <v>12719</v>
      </c>
      <c r="I3690" t="s">
        <v>12720</v>
      </c>
      <c r="J3690" t="s">
        <v>71</v>
      </c>
      <c r="K3690" s="2" t="str">
        <f>HYPERLINK("http://collections.slsa.sa.gov.au/arthur/02500/BRG347_2362.htm")</f>
        <v>http://collections.slsa.sa.gov.au/arthur/02500/BRG347_2362.htm</v>
      </c>
    </row>
    <row r="3691" spans="1:11" x14ac:dyDescent="0.25">
      <c r="A3691" t="s">
        <v>12721</v>
      </c>
      <c r="B3691" s="1" t="str">
        <f>HYPERLINK("https://www.catalog.slsa.sa.gov.au/record=b2111868")</f>
        <v>https://www.catalog.slsa.sa.gov.au/record=b2111868</v>
      </c>
      <c r="C3691" s="1" t="str">
        <f>HYPERLINK("https://www.catalog.slsa.sa.gov.au/xrecord=b2111868")</f>
        <v>https://www.catalog.slsa.sa.gov.au/xrecord=b2111868</v>
      </c>
      <c r="D3691" t="s">
        <v>66</v>
      </c>
      <c r="E3691" t="s">
        <v>12722</v>
      </c>
      <c r="F3691">
        <v>1965</v>
      </c>
      <c r="G3691" t="s">
        <v>121</v>
      </c>
      <c r="H3691" t="s">
        <v>12723</v>
      </c>
      <c r="I3691" t="s">
        <v>12724</v>
      </c>
      <c r="J3691" t="s">
        <v>71</v>
      </c>
      <c r="K3691" s="2" t="str">
        <f>HYPERLINK("http://collections.slsa.sa.gov.au/arthur/02500/BRG347_2364.htm")</f>
        <v>http://collections.slsa.sa.gov.au/arthur/02500/BRG347_2364.htm</v>
      </c>
    </row>
    <row r="3692" spans="1:11" x14ac:dyDescent="0.25">
      <c r="A3692" t="s">
        <v>12725</v>
      </c>
      <c r="B3692" s="1" t="str">
        <f>HYPERLINK("https://www.catalog.slsa.sa.gov.au/record=b2111869")</f>
        <v>https://www.catalog.slsa.sa.gov.au/record=b2111869</v>
      </c>
      <c r="C3692" s="1" t="str">
        <f>HYPERLINK("https://www.catalog.slsa.sa.gov.au/xrecord=b2111869")</f>
        <v>https://www.catalog.slsa.sa.gov.au/xrecord=b2111869</v>
      </c>
      <c r="D3692" t="s">
        <v>66</v>
      </c>
      <c r="E3692" t="s">
        <v>12726</v>
      </c>
      <c r="F3692">
        <v>1965</v>
      </c>
      <c r="G3692" t="s">
        <v>121</v>
      </c>
      <c r="H3692" t="s">
        <v>12727</v>
      </c>
      <c r="I3692" t="s">
        <v>12728</v>
      </c>
      <c r="J3692" t="s">
        <v>71</v>
      </c>
      <c r="K3692" s="2" t="str">
        <f>HYPERLINK("http://collections.slsa.sa.gov.au/arthur/02500/BRG347_2365.htm")</f>
        <v>http://collections.slsa.sa.gov.au/arthur/02500/BRG347_2365.htm</v>
      </c>
    </row>
    <row r="3693" spans="1:11" x14ac:dyDescent="0.25">
      <c r="A3693" t="s">
        <v>12729</v>
      </c>
      <c r="B3693" s="1" t="str">
        <f>HYPERLINK("https://www.catalog.slsa.sa.gov.au/record=b2111871")</f>
        <v>https://www.catalog.slsa.sa.gov.au/record=b2111871</v>
      </c>
      <c r="C3693" s="1" t="str">
        <f>HYPERLINK("https://www.catalog.slsa.sa.gov.au/xrecord=b2111871")</f>
        <v>https://www.catalog.slsa.sa.gov.au/xrecord=b2111871</v>
      </c>
      <c r="D3693" t="s">
        <v>66</v>
      </c>
      <c r="E3693" t="s">
        <v>12722</v>
      </c>
      <c r="F3693">
        <v>1965</v>
      </c>
      <c r="G3693" t="s">
        <v>121</v>
      </c>
      <c r="H3693" t="s">
        <v>12730</v>
      </c>
      <c r="I3693" t="s">
        <v>12724</v>
      </c>
      <c r="J3693" t="s">
        <v>71</v>
      </c>
      <c r="K3693" s="2" t="str">
        <f>HYPERLINK("http://collections.slsa.sa.gov.au/arthur/02500/BRG347_2366.htm")</f>
        <v>http://collections.slsa.sa.gov.au/arthur/02500/BRG347_2366.htm</v>
      </c>
    </row>
    <row r="3694" spans="1:11" x14ac:dyDescent="0.25">
      <c r="A3694" t="s">
        <v>12731</v>
      </c>
      <c r="B3694" s="1" t="str">
        <f>HYPERLINK("https://www.catalog.slsa.sa.gov.au/record=b2111872")</f>
        <v>https://www.catalog.slsa.sa.gov.au/record=b2111872</v>
      </c>
      <c r="C3694" s="1" t="str">
        <f>HYPERLINK("https://www.catalog.slsa.sa.gov.au/xrecord=b2111872")</f>
        <v>https://www.catalog.slsa.sa.gov.au/xrecord=b2111872</v>
      </c>
      <c r="D3694" t="s">
        <v>66</v>
      </c>
      <c r="E3694" t="s">
        <v>12732</v>
      </c>
      <c r="F3694">
        <v>1965</v>
      </c>
      <c r="G3694" t="s">
        <v>121</v>
      </c>
      <c r="H3694" t="s">
        <v>12733</v>
      </c>
      <c r="I3694" t="s">
        <v>12720</v>
      </c>
      <c r="J3694" t="s">
        <v>71</v>
      </c>
      <c r="K3694" s="2" t="str">
        <f>HYPERLINK("http://collections.slsa.sa.gov.au/arthur/02500/BRG347_2367.htm")</f>
        <v>http://collections.slsa.sa.gov.au/arthur/02500/BRG347_2367.htm</v>
      </c>
    </row>
    <row r="3695" spans="1:11" x14ac:dyDescent="0.25">
      <c r="A3695" t="s">
        <v>12734</v>
      </c>
      <c r="B3695" s="1" t="str">
        <f>HYPERLINK("https://www.catalog.slsa.sa.gov.au/record=b2111873")</f>
        <v>https://www.catalog.slsa.sa.gov.au/record=b2111873</v>
      </c>
      <c r="C3695" s="1" t="str">
        <f>HYPERLINK("https://www.catalog.slsa.sa.gov.au/xrecord=b2111873")</f>
        <v>https://www.catalog.slsa.sa.gov.au/xrecord=b2111873</v>
      </c>
      <c r="D3695" t="s">
        <v>66</v>
      </c>
      <c r="E3695" t="s">
        <v>12732</v>
      </c>
      <c r="F3695">
        <v>1965</v>
      </c>
      <c r="G3695" t="s">
        <v>121</v>
      </c>
      <c r="H3695" t="s">
        <v>12733</v>
      </c>
      <c r="I3695" t="s">
        <v>12720</v>
      </c>
      <c r="J3695" t="s">
        <v>71</v>
      </c>
      <c r="K3695" s="2" t="str">
        <f>HYPERLINK("http://collections.slsa.sa.gov.au/arthur/02500/BRG347_2368.htm")</f>
        <v>http://collections.slsa.sa.gov.au/arthur/02500/BRG347_2368.htm</v>
      </c>
    </row>
    <row r="3696" spans="1:11" x14ac:dyDescent="0.25">
      <c r="A3696" t="s">
        <v>12735</v>
      </c>
      <c r="B3696" s="1" t="str">
        <f>HYPERLINK("https://www.catalog.slsa.sa.gov.au/record=b2111874")</f>
        <v>https://www.catalog.slsa.sa.gov.au/record=b2111874</v>
      </c>
      <c r="C3696" s="1" t="str">
        <f>HYPERLINK("https://www.catalog.slsa.sa.gov.au/xrecord=b2111874")</f>
        <v>https://www.catalog.slsa.sa.gov.au/xrecord=b2111874</v>
      </c>
      <c r="D3696" t="s">
        <v>66</v>
      </c>
      <c r="E3696" t="s">
        <v>12732</v>
      </c>
      <c r="F3696">
        <v>1965</v>
      </c>
      <c r="G3696" t="s">
        <v>121</v>
      </c>
      <c r="H3696" t="s">
        <v>12736</v>
      </c>
      <c r="I3696" t="s">
        <v>12720</v>
      </c>
      <c r="J3696" t="s">
        <v>71</v>
      </c>
      <c r="K3696" s="2" t="str">
        <f>HYPERLINK("http://collections.slsa.sa.gov.au/arthur/02500/BRG347_2369.htm")</f>
        <v>http://collections.slsa.sa.gov.au/arthur/02500/BRG347_2369.htm</v>
      </c>
    </row>
    <row r="3697" spans="1:11" x14ac:dyDescent="0.25">
      <c r="A3697" t="s">
        <v>12737</v>
      </c>
      <c r="B3697" s="1" t="str">
        <f>HYPERLINK("https://www.catalog.slsa.sa.gov.au/record=b2111875")</f>
        <v>https://www.catalog.slsa.sa.gov.au/record=b2111875</v>
      </c>
      <c r="C3697" s="1" t="str">
        <f>HYPERLINK("https://www.catalog.slsa.sa.gov.au/xrecord=b2111875")</f>
        <v>https://www.catalog.slsa.sa.gov.au/xrecord=b2111875</v>
      </c>
      <c r="D3697" t="s">
        <v>66</v>
      </c>
      <c r="E3697" t="s">
        <v>12732</v>
      </c>
      <c r="F3697">
        <v>1965</v>
      </c>
      <c r="G3697" t="s">
        <v>121</v>
      </c>
      <c r="H3697" t="s">
        <v>12738</v>
      </c>
      <c r="I3697" t="s">
        <v>12720</v>
      </c>
      <c r="J3697" t="s">
        <v>71</v>
      </c>
      <c r="K3697" s="2" t="str">
        <f>HYPERLINK("http://collections.slsa.sa.gov.au/arthur/02500/BRG347_2370.htm")</f>
        <v>http://collections.slsa.sa.gov.au/arthur/02500/BRG347_2370.htm</v>
      </c>
    </row>
    <row r="3698" spans="1:11" x14ac:dyDescent="0.25">
      <c r="A3698" t="s">
        <v>12739</v>
      </c>
      <c r="B3698" s="1" t="str">
        <f>HYPERLINK("https://www.catalog.slsa.sa.gov.au/record=b2111883")</f>
        <v>https://www.catalog.slsa.sa.gov.au/record=b2111883</v>
      </c>
      <c r="C3698" s="1" t="str">
        <f>HYPERLINK("https://www.catalog.slsa.sa.gov.au/xrecord=b2111883")</f>
        <v>https://www.catalog.slsa.sa.gov.au/xrecord=b2111883</v>
      </c>
      <c r="D3698" t="s">
        <v>66</v>
      </c>
      <c r="E3698" t="s">
        <v>12732</v>
      </c>
      <c r="F3698">
        <v>1965</v>
      </c>
      <c r="G3698" t="s">
        <v>121</v>
      </c>
      <c r="H3698" t="s">
        <v>12740</v>
      </c>
      <c r="I3698" t="s">
        <v>12720</v>
      </c>
      <c r="J3698" t="s">
        <v>71</v>
      </c>
      <c r="K3698" s="2" t="str">
        <f>HYPERLINK("http://collections.slsa.sa.gov.au/arthur/02500/BRG347_2371.htm")</f>
        <v>http://collections.slsa.sa.gov.au/arthur/02500/BRG347_2371.htm</v>
      </c>
    </row>
    <row r="3699" spans="1:11" x14ac:dyDescent="0.25">
      <c r="A3699" t="s">
        <v>12741</v>
      </c>
      <c r="B3699" s="1" t="str">
        <f>HYPERLINK("https://www.catalog.slsa.sa.gov.au/record=b2111876")</f>
        <v>https://www.catalog.slsa.sa.gov.au/record=b2111876</v>
      </c>
      <c r="C3699" s="1" t="str">
        <f>HYPERLINK("https://www.catalog.slsa.sa.gov.au/xrecord=b2111876")</f>
        <v>https://www.catalog.slsa.sa.gov.au/xrecord=b2111876</v>
      </c>
      <c r="D3699" t="s">
        <v>66</v>
      </c>
      <c r="E3699" t="s">
        <v>12732</v>
      </c>
      <c r="F3699">
        <v>1965</v>
      </c>
      <c r="G3699" t="s">
        <v>121</v>
      </c>
      <c r="H3699" t="s">
        <v>12742</v>
      </c>
      <c r="I3699" t="s">
        <v>12743</v>
      </c>
      <c r="J3699" t="s">
        <v>71</v>
      </c>
      <c r="K3699" s="2" t="str">
        <f>HYPERLINK("http://collections.slsa.sa.gov.au/arthur/02500/BRG347_2372.htm")</f>
        <v>http://collections.slsa.sa.gov.au/arthur/02500/BRG347_2372.htm</v>
      </c>
    </row>
    <row r="3700" spans="1:11" x14ac:dyDescent="0.25">
      <c r="A3700" t="s">
        <v>12744</v>
      </c>
      <c r="B3700" s="1" t="str">
        <f>HYPERLINK("https://www.catalog.slsa.sa.gov.au/record=b2111884")</f>
        <v>https://www.catalog.slsa.sa.gov.au/record=b2111884</v>
      </c>
      <c r="C3700" s="1" t="str">
        <f>HYPERLINK("https://www.catalog.slsa.sa.gov.au/xrecord=b2111884")</f>
        <v>https://www.catalog.slsa.sa.gov.au/xrecord=b2111884</v>
      </c>
      <c r="D3700" t="s">
        <v>66</v>
      </c>
      <c r="E3700" t="s">
        <v>12732</v>
      </c>
      <c r="F3700">
        <v>1965</v>
      </c>
      <c r="G3700" t="s">
        <v>121</v>
      </c>
      <c r="H3700" t="s">
        <v>12745</v>
      </c>
      <c r="I3700" t="s">
        <v>12720</v>
      </c>
      <c r="J3700" t="s">
        <v>71</v>
      </c>
      <c r="K3700" s="2" t="str">
        <f>HYPERLINK("http://collections.slsa.sa.gov.au/arthur/02500/BRG347_2373.htm")</f>
        <v>http://collections.slsa.sa.gov.au/arthur/02500/BRG347_2373.htm</v>
      </c>
    </row>
    <row r="3701" spans="1:11" x14ac:dyDescent="0.25">
      <c r="A3701" t="s">
        <v>12746</v>
      </c>
      <c r="B3701" s="1" t="str">
        <f>HYPERLINK("https://www.catalog.slsa.sa.gov.au/record=b2118125")</f>
        <v>https://www.catalog.slsa.sa.gov.au/record=b2118125</v>
      </c>
      <c r="C3701" s="1" t="str">
        <f>HYPERLINK("https://www.catalog.slsa.sa.gov.au/xrecord=b2118125")</f>
        <v>https://www.catalog.slsa.sa.gov.au/xrecord=b2118125</v>
      </c>
      <c r="D3701" t="s">
        <v>66</v>
      </c>
      <c r="E3701" t="s">
        <v>7841</v>
      </c>
      <c r="F3701">
        <v>1965</v>
      </c>
      <c r="G3701" t="s">
        <v>121</v>
      </c>
      <c r="H3701" t="s">
        <v>12747</v>
      </c>
      <c r="I3701" t="s">
        <v>4562</v>
      </c>
      <c r="J3701" t="s">
        <v>71</v>
      </c>
      <c r="K3701" s="2" t="str">
        <f>HYPERLINK("http://collections.slsa.sa.gov.au/arthur/02500/BRG347_2374.htm")</f>
        <v>http://collections.slsa.sa.gov.au/arthur/02500/BRG347_2374.htm</v>
      </c>
    </row>
    <row r="3702" spans="1:11" x14ac:dyDescent="0.25">
      <c r="A3702" t="s">
        <v>12748</v>
      </c>
      <c r="B3702" s="1" t="str">
        <f>HYPERLINK("https://www.catalog.slsa.sa.gov.au/record=b2111885")</f>
        <v>https://www.catalog.slsa.sa.gov.au/record=b2111885</v>
      </c>
      <c r="C3702" s="1" t="str">
        <f>HYPERLINK("https://www.catalog.slsa.sa.gov.au/xrecord=b2111885")</f>
        <v>https://www.catalog.slsa.sa.gov.au/xrecord=b2111885</v>
      </c>
      <c r="D3702" t="s">
        <v>66</v>
      </c>
      <c r="E3702" t="s">
        <v>7841</v>
      </c>
      <c r="F3702">
        <v>1965</v>
      </c>
      <c r="G3702" t="s">
        <v>121</v>
      </c>
      <c r="H3702" t="s">
        <v>12749</v>
      </c>
      <c r="I3702" t="s">
        <v>4562</v>
      </c>
      <c r="J3702" t="s">
        <v>71</v>
      </c>
      <c r="K3702" s="2" t="str">
        <f>HYPERLINK("http://collections.slsa.sa.gov.au/arthur/02500/BRG347_2375.htm")</f>
        <v>http://collections.slsa.sa.gov.au/arthur/02500/BRG347_2375.htm</v>
      </c>
    </row>
    <row r="3703" spans="1:11" x14ac:dyDescent="0.25">
      <c r="A3703" t="s">
        <v>12750</v>
      </c>
      <c r="B3703" s="1" t="str">
        <f>HYPERLINK("https://www.catalog.slsa.sa.gov.au/record=b2111886")</f>
        <v>https://www.catalog.slsa.sa.gov.au/record=b2111886</v>
      </c>
      <c r="C3703" s="1" t="str">
        <f>HYPERLINK("https://www.catalog.slsa.sa.gov.au/xrecord=b2111886")</f>
        <v>https://www.catalog.slsa.sa.gov.au/xrecord=b2111886</v>
      </c>
      <c r="D3703" t="s">
        <v>66</v>
      </c>
      <c r="E3703" t="s">
        <v>11819</v>
      </c>
      <c r="F3703">
        <v>1965</v>
      </c>
      <c r="G3703" t="s">
        <v>121</v>
      </c>
      <c r="H3703" t="s">
        <v>12751</v>
      </c>
      <c r="I3703" t="s">
        <v>11821</v>
      </c>
      <c r="J3703" t="s">
        <v>71</v>
      </c>
      <c r="K3703" s="2" t="str">
        <f>HYPERLINK("http://collections.slsa.sa.gov.au/arthur/02500/BRG347_2376.htm")</f>
        <v>http://collections.slsa.sa.gov.au/arthur/02500/BRG347_2376.htm</v>
      </c>
    </row>
    <row r="3704" spans="1:11" x14ac:dyDescent="0.25">
      <c r="A3704" t="s">
        <v>12752</v>
      </c>
      <c r="B3704" s="1" t="str">
        <f>HYPERLINK("https://www.catalog.slsa.sa.gov.au/record=b2111887")</f>
        <v>https://www.catalog.slsa.sa.gov.au/record=b2111887</v>
      </c>
      <c r="C3704" s="1" t="str">
        <f>HYPERLINK("https://www.catalog.slsa.sa.gov.au/xrecord=b2111887")</f>
        <v>https://www.catalog.slsa.sa.gov.au/xrecord=b2111887</v>
      </c>
      <c r="D3704" t="s">
        <v>66</v>
      </c>
      <c r="E3704" t="s">
        <v>12753</v>
      </c>
      <c r="F3704">
        <v>1965</v>
      </c>
      <c r="G3704" t="s">
        <v>121</v>
      </c>
      <c r="H3704" t="s">
        <v>12754</v>
      </c>
      <c r="I3704" t="s">
        <v>12755</v>
      </c>
      <c r="J3704" t="s">
        <v>71</v>
      </c>
      <c r="K3704" s="2" t="str">
        <f>HYPERLINK("http://collections.slsa.sa.gov.au/arthur/02500/BRG347_2377.htm")</f>
        <v>http://collections.slsa.sa.gov.au/arthur/02500/BRG347_2377.htm</v>
      </c>
    </row>
    <row r="3705" spans="1:11" x14ac:dyDescent="0.25">
      <c r="A3705" t="s">
        <v>12756</v>
      </c>
      <c r="B3705" s="1" t="str">
        <f>HYPERLINK("https://www.catalog.slsa.sa.gov.au/record=b2111888")</f>
        <v>https://www.catalog.slsa.sa.gov.au/record=b2111888</v>
      </c>
      <c r="C3705" s="1" t="str">
        <f>HYPERLINK("https://www.catalog.slsa.sa.gov.au/xrecord=b2111888")</f>
        <v>https://www.catalog.slsa.sa.gov.au/xrecord=b2111888</v>
      </c>
      <c r="D3705" t="s">
        <v>66</v>
      </c>
      <c r="E3705" t="s">
        <v>12757</v>
      </c>
      <c r="F3705">
        <v>1965</v>
      </c>
      <c r="G3705" t="s">
        <v>121</v>
      </c>
      <c r="H3705" t="s">
        <v>12758</v>
      </c>
      <c r="I3705" t="s">
        <v>8690</v>
      </c>
      <c r="J3705" t="s">
        <v>71</v>
      </c>
      <c r="K3705" s="2" t="str">
        <f>HYPERLINK("http://collections.slsa.sa.gov.au/arthur/02500/BRG347_2378.htm")</f>
        <v>http://collections.slsa.sa.gov.au/arthur/02500/BRG347_2378.htm</v>
      </c>
    </row>
    <row r="3706" spans="1:11" x14ac:dyDescent="0.25">
      <c r="A3706" t="s">
        <v>12759</v>
      </c>
      <c r="B3706" s="1" t="str">
        <f>HYPERLINK("https://www.catalog.slsa.sa.gov.au/record=b2111889")</f>
        <v>https://www.catalog.slsa.sa.gov.au/record=b2111889</v>
      </c>
      <c r="C3706" s="1" t="str">
        <f>HYPERLINK("https://www.catalog.slsa.sa.gov.au/xrecord=b2111889")</f>
        <v>https://www.catalog.slsa.sa.gov.au/xrecord=b2111889</v>
      </c>
      <c r="D3706" t="s">
        <v>66</v>
      </c>
      <c r="E3706" t="s">
        <v>12760</v>
      </c>
      <c r="F3706">
        <v>1965</v>
      </c>
      <c r="G3706" t="s">
        <v>121</v>
      </c>
      <c r="H3706" t="s">
        <v>12761</v>
      </c>
      <c r="I3706" t="s">
        <v>12762</v>
      </c>
      <c r="J3706" t="s">
        <v>71</v>
      </c>
      <c r="K3706" s="2" t="str">
        <f>HYPERLINK("http://collections.slsa.sa.gov.au/arthur/02500/BRG347_2379.htm")</f>
        <v>http://collections.slsa.sa.gov.au/arthur/02500/BRG347_2379.htm</v>
      </c>
    </row>
    <row r="3707" spans="1:11" x14ac:dyDescent="0.25">
      <c r="A3707" t="s">
        <v>12763</v>
      </c>
      <c r="B3707" s="1" t="str">
        <f>HYPERLINK("https://www.catalog.slsa.sa.gov.au/record=b2111890")</f>
        <v>https://www.catalog.slsa.sa.gov.au/record=b2111890</v>
      </c>
      <c r="C3707" s="1" t="str">
        <f>HYPERLINK("https://www.catalog.slsa.sa.gov.au/xrecord=b2111890")</f>
        <v>https://www.catalog.slsa.sa.gov.au/xrecord=b2111890</v>
      </c>
      <c r="D3707" t="s">
        <v>66</v>
      </c>
      <c r="E3707" t="s">
        <v>12764</v>
      </c>
      <c r="F3707">
        <v>1965</v>
      </c>
      <c r="G3707" t="s">
        <v>121</v>
      </c>
      <c r="H3707" t="s">
        <v>12765</v>
      </c>
      <c r="I3707" t="s">
        <v>12755</v>
      </c>
      <c r="J3707" t="s">
        <v>71</v>
      </c>
      <c r="K3707" s="2" t="str">
        <f>HYPERLINK("http://collections.slsa.sa.gov.au/arthur/02500/BRG347_2380.htm")</f>
        <v>http://collections.slsa.sa.gov.au/arthur/02500/BRG347_2380.htm</v>
      </c>
    </row>
    <row r="3708" spans="1:11" x14ac:dyDescent="0.25">
      <c r="A3708" t="s">
        <v>12766</v>
      </c>
      <c r="B3708" s="1" t="str">
        <f>HYPERLINK("https://www.catalog.slsa.sa.gov.au/record=b2111936")</f>
        <v>https://www.catalog.slsa.sa.gov.au/record=b2111936</v>
      </c>
      <c r="C3708" s="1" t="str">
        <f>HYPERLINK("https://www.catalog.slsa.sa.gov.au/xrecord=b2111936")</f>
        <v>https://www.catalog.slsa.sa.gov.au/xrecord=b2111936</v>
      </c>
      <c r="D3708" t="s">
        <v>66</v>
      </c>
      <c r="E3708" t="s">
        <v>11101</v>
      </c>
      <c r="F3708">
        <v>1965</v>
      </c>
      <c r="G3708" t="s">
        <v>121</v>
      </c>
      <c r="H3708" t="s">
        <v>12767</v>
      </c>
      <c r="I3708" t="s">
        <v>12768</v>
      </c>
      <c r="J3708" t="s">
        <v>71</v>
      </c>
      <c r="K3708" s="2" t="str">
        <f>HYPERLINK("http://collections.slsa.sa.gov.au/arthur/02500/BRG347_2381.htm")</f>
        <v>http://collections.slsa.sa.gov.au/arthur/02500/BRG347_2381.htm</v>
      </c>
    </row>
    <row r="3709" spans="1:11" x14ac:dyDescent="0.25">
      <c r="A3709" t="s">
        <v>12769</v>
      </c>
      <c r="B3709" s="1" t="str">
        <f>HYPERLINK("https://www.catalog.slsa.sa.gov.au/record=b2111937")</f>
        <v>https://www.catalog.slsa.sa.gov.au/record=b2111937</v>
      </c>
      <c r="C3709" s="1" t="str">
        <f>HYPERLINK("https://www.catalog.slsa.sa.gov.au/xrecord=b2111937")</f>
        <v>https://www.catalog.slsa.sa.gov.au/xrecord=b2111937</v>
      </c>
      <c r="D3709" t="s">
        <v>66</v>
      </c>
      <c r="E3709" t="s">
        <v>12770</v>
      </c>
      <c r="F3709">
        <v>1965</v>
      </c>
      <c r="G3709" t="s">
        <v>121</v>
      </c>
      <c r="H3709" t="s">
        <v>12771</v>
      </c>
      <c r="I3709" t="s">
        <v>12772</v>
      </c>
      <c r="J3709" t="s">
        <v>71</v>
      </c>
      <c r="K3709" s="2" t="str">
        <f>HYPERLINK("http://collections.slsa.sa.gov.au/arthur/02500/BRG347_2382.htm")</f>
        <v>http://collections.slsa.sa.gov.au/arthur/02500/BRG347_2382.htm</v>
      </c>
    </row>
    <row r="3710" spans="1:11" x14ac:dyDescent="0.25">
      <c r="A3710" t="s">
        <v>12773</v>
      </c>
      <c r="B3710" s="1" t="str">
        <f>HYPERLINK("https://www.catalog.slsa.sa.gov.au/record=b2111938")</f>
        <v>https://www.catalog.slsa.sa.gov.au/record=b2111938</v>
      </c>
      <c r="C3710" s="1" t="str">
        <f>HYPERLINK("https://www.catalog.slsa.sa.gov.au/xrecord=b2111938")</f>
        <v>https://www.catalog.slsa.sa.gov.au/xrecord=b2111938</v>
      </c>
      <c r="D3710" t="s">
        <v>66</v>
      </c>
      <c r="E3710" t="s">
        <v>11101</v>
      </c>
      <c r="F3710">
        <v>1965</v>
      </c>
      <c r="G3710" t="s">
        <v>121</v>
      </c>
      <c r="H3710" t="s">
        <v>12774</v>
      </c>
      <c r="I3710" t="s">
        <v>12775</v>
      </c>
      <c r="J3710" t="s">
        <v>71</v>
      </c>
      <c r="K3710" s="2" t="str">
        <f>HYPERLINK("http://collections.slsa.sa.gov.au/arthur/02500/BRG347_2383.htm")</f>
        <v>http://collections.slsa.sa.gov.au/arthur/02500/BRG347_2383.htm</v>
      </c>
    </row>
    <row r="3711" spans="1:11" x14ac:dyDescent="0.25">
      <c r="A3711" t="s">
        <v>12776</v>
      </c>
      <c r="B3711" s="1" t="str">
        <f>HYPERLINK("https://www.catalog.slsa.sa.gov.au/record=b2111939")</f>
        <v>https://www.catalog.slsa.sa.gov.au/record=b2111939</v>
      </c>
      <c r="C3711" s="1" t="str">
        <f>HYPERLINK("https://www.catalog.slsa.sa.gov.au/xrecord=b2111939")</f>
        <v>https://www.catalog.slsa.sa.gov.au/xrecord=b2111939</v>
      </c>
      <c r="D3711" t="s">
        <v>66</v>
      </c>
      <c r="E3711" t="s">
        <v>11101</v>
      </c>
      <c r="F3711">
        <v>1965</v>
      </c>
      <c r="G3711" t="s">
        <v>121</v>
      </c>
      <c r="H3711" t="s">
        <v>12777</v>
      </c>
      <c r="I3711" t="s">
        <v>11974</v>
      </c>
      <c r="J3711" t="s">
        <v>71</v>
      </c>
      <c r="K3711" s="2" t="str">
        <f>HYPERLINK("http://collections.slsa.sa.gov.au/arthur/02500/BRG347_2384.htm")</f>
        <v>http://collections.slsa.sa.gov.au/arthur/02500/BRG347_2384.htm</v>
      </c>
    </row>
    <row r="3712" spans="1:11" x14ac:dyDescent="0.25">
      <c r="A3712" t="s">
        <v>12778</v>
      </c>
      <c r="B3712" s="1" t="str">
        <f>HYPERLINK("https://www.catalog.slsa.sa.gov.au/record=b2111940")</f>
        <v>https://www.catalog.slsa.sa.gov.au/record=b2111940</v>
      </c>
      <c r="C3712" s="1" t="str">
        <f>HYPERLINK("https://www.catalog.slsa.sa.gov.au/xrecord=b2111940")</f>
        <v>https://www.catalog.slsa.sa.gov.au/xrecord=b2111940</v>
      </c>
      <c r="D3712" t="s">
        <v>66</v>
      </c>
      <c r="E3712" t="s">
        <v>12779</v>
      </c>
      <c r="F3712">
        <v>1965</v>
      </c>
      <c r="G3712" t="s">
        <v>121</v>
      </c>
      <c r="H3712" t="s">
        <v>12780</v>
      </c>
      <c r="I3712" t="s">
        <v>12781</v>
      </c>
      <c r="J3712" t="s">
        <v>71</v>
      </c>
      <c r="K3712" s="2" t="str">
        <f>HYPERLINK("http://collections.slsa.sa.gov.au/arthur/02500/BRG347_2385.htm")</f>
        <v>http://collections.slsa.sa.gov.au/arthur/02500/BRG347_2385.htm</v>
      </c>
    </row>
    <row r="3713" spans="1:11" x14ac:dyDescent="0.25">
      <c r="A3713" t="s">
        <v>12782</v>
      </c>
      <c r="B3713" s="1" t="str">
        <f>HYPERLINK("https://www.catalog.slsa.sa.gov.au/record=b2111941")</f>
        <v>https://www.catalog.slsa.sa.gov.au/record=b2111941</v>
      </c>
      <c r="C3713" s="1" t="str">
        <f>HYPERLINK("https://www.catalog.slsa.sa.gov.au/xrecord=b2111941")</f>
        <v>https://www.catalog.slsa.sa.gov.au/xrecord=b2111941</v>
      </c>
      <c r="D3713" t="s">
        <v>66</v>
      </c>
      <c r="E3713" t="s">
        <v>12783</v>
      </c>
      <c r="F3713">
        <v>1965</v>
      </c>
      <c r="G3713" t="s">
        <v>121</v>
      </c>
      <c r="H3713" t="s">
        <v>12784</v>
      </c>
      <c r="I3713" t="s">
        <v>4562</v>
      </c>
      <c r="J3713" t="s">
        <v>71</v>
      </c>
      <c r="K3713" s="2" t="str">
        <f>HYPERLINK("http://collections.slsa.sa.gov.au/arthur/02500/BRG347_2386.htm")</f>
        <v>http://collections.slsa.sa.gov.au/arthur/02500/BRG347_2386.htm</v>
      </c>
    </row>
    <row r="3714" spans="1:11" x14ac:dyDescent="0.25">
      <c r="A3714" t="s">
        <v>12785</v>
      </c>
      <c r="B3714" s="1" t="str">
        <f>HYPERLINK("https://www.catalog.slsa.sa.gov.au/record=b2111943")</f>
        <v>https://www.catalog.slsa.sa.gov.au/record=b2111943</v>
      </c>
      <c r="C3714" s="1" t="str">
        <f>HYPERLINK("https://www.catalog.slsa.sa.gov.au/xrecord=b2111943")</f>
        <v>https://www.catalog.slsa.sa.gov.au/xrecord=b2111943</v>
      </c>
      <c r="D3714" t="s">
        <v>66</v>
      </c>
      <c r="E3714" t="s">
        <v>7841</v>
      </c>
      <c r="F3714">
        <v>1965</v>
      </c>
      <c r="G3714" t="s">
        <v>121</v>
      </c>
      <c r="H3714" t="s">
        <v>12786</v>
      </c>
      <c r="I3714" t="s">
        <v>4562</v>
      </c>
      <c r="J3714" t="s">
        <v>71</v>
      </c>
      <c r="K3714" s="2" t="str">
        <f>HYPERLINK("http://collections.slsa.sa.gov.au/arthur/02500/BRG347_2388.htm")</f>
        <v>http://collections.slsa.sa.gov.au/arthur/02500/BRG347_2388.htm</v>
      </c>
    </row>
    <row r="3715" spans="1:11" x14ac:dyDescent="0.25">
      <c r="A3715" t="s">
        <v>12787</v>
      </c>
      <c r="B3715" s="1" t="str">
        <f>HYPERLINK("https://www.catalog.slsa.sa.gov.au/record=b2111944")</f>
        <v>https://www.catalog.slsa.sa.gov.au/record=b2111944</v>
      </c>
      <c r="C3715" s="1" t="str">
        <f>HYPERLINK("https://www.catalog.slsa.sa.gov.au/xrecord=b2111944")</f>
        <v>https://www.catalog.slsa.sa.gov.au/xrecord=b2111944</v>
      </c>
      <c r="D3715" t="s">
        <v>66</v>
      </c>
      <c r="E3715" t="s">
        <v>11819</v>
      </c>
      <c r="F3715">
        <v>1965</v>
      </c>
      <c r="G3715" t="s">
        <v>121</v>
      </c>
      <c r="H3715" t="s">
        <v>12788</v>
      </c>
      <c r="I3715" t="s">
        <v>12789</v>
      </c>
      <c r="J3715" t="s">
        <v>71</v>
      </c>
      <c r="K3715" s="2" t="str">
        <f>HYPERLINK("http://collections.slsa.sa.gov.au/arthur/02500/BRG347_2389.htm")</f>
        <v>http://collections.slsa.sa.gov.au/arthur/02500/BRG347_2389.htm</v>
      </c>
    </row>
    <row r="3716" spans="1:11" x14ac:dyDescent="0.25">
      <c r="A3716" t="s">
        <v>12790</v>
      </c>
      <c r="B3716" s="1" t="str">
        <f>HYPERLINK("https://www.catalog.slsa.sa.gov.au/record=b2111945")</f>
        <v>https://www.catalog.slsa.sa.gov.au/record=b2111945</v>
      </c>
      <c r="C3716" s="1" t="str">
        <f>HYPERLINK("https://www.catalog.slsa.sa.gov.au/xrecord=b2111945")</f>
        <v>https://www.catalog.slsa.sa.gov.au/xrecord=b2111945</v>
      </c>
      <c r="D3716" t="s">
        <v>66</v>
      </c>
      <c r="E3716" t="s">
        <v>12791</v>
      </c>
      <c r="F3716">
        <v>1965</v>
      </c>
      <c r="G3716" t="s">
        <v>121</v>
      </c>
      <c r="H3716" t="s">
        <v>12792</v>
      </c>
      <c r="I3716" t="s">
        <v>8690</v>
      </c>
      <c r="J3716" t="s">
        <v>71</v>
      </c>
      <c r="K3716" s="2" t="str">
        <f>HYPERLINK("http://collections.slsa.sa.gov.au/arthur/02500/BRG347_2390.htm")</f>
        <v>http://collections.slsa.sa.gov.au/arthur/02500/BRG347_2390.htm</v>
      </c>
    </row>
    <row r="3717" spans="1:11" x14ac:dyDescent="0.25">
      <c r="A3717" t="s">
        <v>12793</v>
      </c>
      <c r="B3717" s="1" t="str">
        <f>HYPERLINK("https://www.catalog.slsa.sa.gov.au/record=b2112005")</f>
        <v>https://www.catalog.slsa.sa.gov.au/record=b2112005</v>
      </c>
      <c r="C3717" s="1" t="str">
        <f>HYPERLINK("https://www.catalog.slsa.sa.gov.au/xrecord=b2112005")</f>
        <v>https://www.catalog.slsa.sa.gov.au/xrecord=b2112005</v>
      </c>
      <c r="D3717" t="s">
        <v>66</v>
      </c>
      <c r="E3717" t="s">
        <v>12794</v>
      </c>
      <c r="F3717">
        <v>1965</v>
      </c>
      <c r="G3717" t="s">
        <v>121</v>
      </c>
      <c r="H3717" t="s">
        <v>12795</v>
      </c>
      <c r="I3717" t="s">
        <v>10379</v>
      </c>
      <c r="J3717" t="s">
        <v>71</v>
      </c>
      <c r="K3717" s="2" t="str">
        <f>HYPERLINK("http://collections.slsa.sa.gov.au/arthur/02500/BRG347_2427.htm")</f>
        <v>http://collections.slsa.sa.gov.au/arthur/02500/BRG347_2427.htm</v>
      </c>
    </row>
    <row r="3718" spans="1:11" x14ac:dyDescent="0.25">
      <c r="A3718" t="s">
        <v>12796</v>
      </c>
      <c r="B3718" s="1" t="str">
        <f>HYPERLINK("https://www.catalog.slsa.sa.gov.au/record=b2112006")</f>
        <v>https://www.catalog.slsa.sa.gov.au/record=b2112006</v>
      </c>
      <c r="C3718" s="1" t="str">
        <f>HYPERLINK("https://www.catalog.slsa.sa.gov.au/xrecord=b2112006")</f>
        <v>https://www.catalog.slsa.sa.gov.au/xrecord=b2112006</v>
      </c>
      <c r="D3718" t="s">
        <v>66</v>
      </c>
      <c r="E3718" t="s">
        <v>12794</v>
      </c>
      <c r="F3718">
        <v>1965</v>
      </c>
      <c r="G3718" t="s">
        <v>121</v>
      </c>
      <c r="H3718" t="s">
        <v>12797</v>
      </c>
      <c r="I3718" t="s">
        <v>12798</v>
      </c>
      <c r="J3718" t="s">
        <v>71</v>
      </c>
      <c r="K3718" s="2" t="str">
        <f>HYPERLINK("http://collections.slsa.sa.gov.au/arthur/02500/BRG347_2428.htm")</f>
        <v>http://collections.slsa.sa.gov.au/arthur/02500/BRG347_2428.htm</v>
      </c>
    </row>
    <row r="3719" spans="1:11" x14ac:dyDescent="0.25">
      <c r="A3719" t="s">
        <v>12799</v>
      </c>
      <c r="B3719" s="1" t="str">
        <f>HYPERLINK("https://www.catalog.slsa.sa.gov.au/record=b2112007")</f>
        <v>https://www.catalog.slsa.sa.gov.au/record=b2112007</v>
      </c>
      <c r="C3719" s="1" t="str">
        <f>HYPERLINK("https://www.catalog.slsa.sa.gov.au/xrecord=b2112007")</f>
        <v>https://www.catalog.slsa.sa.gov.au/xrecord=b2112007</v>
      </c>
      <c r="D3719" t="s">
        <v>66</v>
      </c>
      <c r="E3719" t="s">
        <v>12794</v>
      </c>
      <c r="F3719">
        <v>1965</v>
      </c>
      <c r="G3719" t="s">
        <v>121</v>
      </c>
      <c r="H3719" t="s">
        <v>12800</v>
      </c>
      <c r="I3719" t="s">
        <v>10379</v>
      </c>
      <c r="J3719" t="s">
        <v>71</v>
      </c>
      <c r="K3719" s="2" t="str">
        <f>HYPERLINK("http://collections.slsa.sa.gov.au/arthur/02500/BRG347_2429.htm")</f>
        <v>http://collections.slsa.sa.gov.au/arthur/02500/BRG347_2429.htm</v>
      </c>
    </row>
    <row r="3720" spans="1:11" x14ac:dyDescent="0.25">
      <c r="A3720" t="s">
        <v>12801</v>
      </c>
      <c r="B3720" s="1" t="str">
        <f>HYPERLINK("https://www.catalog.slsa.sa.gov.au/record=b2112008")</f>
        <v>https://www.catalog.slsa.sa.gov.au/record=b2112008</v>
      </c>
      <c r="C3720" s="1" t="str">
        <f>HYPERLINK("https://www.catalog.slsa.sa.gov.au/xrecord=b2112008")</f>
        <v>https://www.catalog.slsa.sa.gov.au/xrecord=b2112008</v>
      </c>
      <c r="D3720" t="s">
        <v>66</v>
      </c>
      <c r="E3720" t="s">
        <v>12802</v>
      </c>
      <c r="F3720">
        <v>1965</v>
      </c>
      <c r="G3720" t="s">
        <v>121</v>
      </c>
      <c r="H3720" t="s">
        <v>12803</v>
      </c>
      <c r="I3720" t="s">
        <v>6525</v>
      </c>
      <c r="J3720" t="s">
        <v>71</v>
      </c>
      <c r="K3720" s="2" t="str">
        <f>HYPERLINK("http://collections.slsa.sa.gov.au/arthur/02500/BRG347_2430.htm")</f>
        <v>http://collections.slsa.sa.gov.au/arthur/02500/BRG347_2430.htm</v>
      </c>
    </row>
    <row r="3721" spans="1:11" x14ac:dyDescent="0.25">
      <c r="A3721" t="s">
        <v>12804</v>
      </c>
      <c r="B3721" s="1" t="str">
        <f>HYPERLINK("https://www.catalog.slsa.sa.gov.au/record=b2112009")</f>
        <v>https://www.catalog.slsa.sa.gov.au/record=b2112009</v>
      </c>
      <c r="C3721" s="1" t="str">
        <f>HYPERLINK("https://www.catalog.slsa.sa.gov.au/xrecord=b2112009")</f>
        <v>https://www.catalog.slsa.sa.gov.au/xrecord=b2112009</v>
      </c>
      <c r="D3721" t="s">
        <v>66</v>
      </c>
      <c r="E3721" t="s">
        <v>10524</v>
      </c>
      <c r="F3721">
        <v>1965</v>
      </c>
      <c r="G3721" t="s">
        <v>121</v>
      </c>
      <c r="H3721" t="s">
        <v>12805</v>
      </c>
      <c r="I3721" t="s">
        <v>10526</v>
      </c>
      <c r="J3721" t="s">
        <v>71</v>
      </c>
      <c r="K3721" s="2" t="str">
        <f>HYPERLINK("http://collections.slsa.sa.gov.au/arthur/02500/BRG347_2431.htm")</f>
        <v>http://collections.slsa.sa.gov.au/arthur/02500/BRG347_2431.htm</v>
      </c>
    </row>
    <row r="3722" spans="1:11" x14ac:dyDescent="0.25">
      <c r="A3722" t="s">
        <v>12806</v>
      </c>
      <c r="B3722" s="1" t="str">
        <f>HYPERLINK("https://www.catalog.slsa.sa.gov.au/record=b2112010")</f>
        <v>https://www.catalog.slsa.sa.gov.au/record=b2112010</v>
      </c>
      <c r="C3722" s="1" t="str">
        <f>HYPERLINK("https://www.catalog.slsa.sa.gov.au/xrecord=b2112010")</f>
        <v>https://www.catalog.slsa.sa.gov.au/xrecord=b2112010</v>
      </c>
      <c r="D3722" t="s">
        <v>66</v>
      </c>
      <c r="E3722" t="s">
        <v>10524</v>
      </c>
      <c r="F3722">
        <v>1965</v>
      </c>
      <c r="G3722" t="s">
        <v>121</v>
      </c>
      <c r="H3722" t="s">
        <v>12807</v>
      </c>
      <c r="I3722" t="s">
        <v>10526</v>
      </c>
      <c r="J3722" t="s">
        <v>71</v>
      </c>
      <c r="K3722" s="2" t="str">
        <f>HYPERLINK("http://collections.slsa.sa.gov.au/arthur/02500/BRG347_2432.htm")</f>
        <v>http://collections.slsa.sa.gov.au/arthur/02500/BRG347_2432.htm</v>
      </c>
    </row>
    <row r="3723" spans="1:11" x14ac:dyDescent="0.25">
      <c r="A3723" t="s">
        <v>12808</v>
      </c>
      <c r="B3723" s="1" t="str">
        <f>HYPERLINK("https://www.catalog.slsa.sa.gov.au/record=b2112011")</f>
        <v>https://www.catalog.slsa.sa.gov.au/record=b2112011</v>
      </c>
      <c r="C3723" s="1" t="str">
        <f>HYPERLINK("https://www.catalog.slsa.sa.gov.au/xrecord=b2112011")</f>
        <v>https://www.catalog.slsa.sa.gov.au/xrecord=b2112011</v>
      </c>
      <c r="D3723" t="s">
        <v>66</v>
      </c>
      <c r="E3723" t="s">
        <v>12809</v>
      </c>
      <c r="F3723">
        <v>1965</v>
      </c>
      <c r="G3723" t="s">
        <v>121</v>
      </c>
      <c r="H3723" t="s">
        <v>12810</v>
      </c>
      <c r="I3723" t="s">
        <v>10526</v>
      </c>
      <c r="J3723" t="s">
        <v>71</v>
      </c>
      <c r="K3723" s="2" t="str">
        <f>HYPERLINK("http://collections.slsa.sa.gov.au/arthur/02500/BRG347_2433.htm")</f>
        <v>http://collections.slsa.sa.gov.au/arthur/02500/BRG347_2433.htm</v>
      </c>
    </row>
    <row r="3724" spans="1:11" x14ac:dyDescent="0.25">
      <c r="A3724" t="s">
        <v>12811</v>
      </c>
      <c r="B3724" s="1" t="str">
        <f>HYPERLINK("https://www.catalog.slsa.sa.gov.au/record=b2118123")</f>
        <v>https://www.catalog.slsa.sa.gov.au/record=b2118123</v>
      </c>
      <c r="C3724" s="1" t="str">
        <f>HYPERLINK("https://www.catalog.slsa.sa.gov.au/xrecord=b2118123")</f>
        <v>https://www.catalog.slsa.sa.gov.au/xrecord=b2118123</v>
      </c>
      <c r="D3724" t="s">
        <v>66</v>
      </c>
      <c r="E3724" t="s">
        <v>12812</v>
      </c>
      <c r="F3724">
        <v>1965</v>
      </c>
      <c r="G3724" t="s">
        <v>121</v>
      </c>
      <c r="H3724" t="s">
        <v>12813</v>
      </c>
      <c r="I3724" t="s">
        <v>10526</v>
      </c>
      <c r="J3724" t="s">
        <v>71</v>
      </c>
      <c r="K3724" s="2" t="str">
        <f>HYPERLINK("http://collections.slsa.sa.gov.au/arthur/02500/BRG347_2434.htm")</f>
        <v>http://collections.slsa.sa.gov.au/arthur/02500/BRG347_2434.htm</v>
      </c>
    </row>
    <row r="3725" spans="1:11" x14ac:dyDescent="0.25">
      <c r="A3725" t="s">
        <v>12814</v>
      </c>
      <c r="B3725" s="1" t="str">
        <f>HYPERLINK("https://www.catalog.slsa.sa.gov.au/record=b2112012")</f>
        <v>https://www.catalog.slsa.sa.gov.au/record=b2112012</v>
      </c>
      <c r="C3725" s="1" t="str">
        <f>HYPERLINK("https://www.catalog.slsa.sa.gov.au/xrecord=b2112012")</f>
        <v>https://www.catalog.slsa.sa.gov.au/xrecord=b2112012</v>
      </c>
      <c r="D3725" t="s">
        <v>66</v>
      </c>
      <c r="E3725" t="s">
        <v>12122</v>
      </c>
      <c r="F3725">
        <v>1965</v>
      </c>
      <c r="G3725" t="s">
        <v>121</v>
      </c>
      <c r="H3725" t="s">
        <v>12815</v>
      </c>
      <c r="I3725" t="s">
        <v>6607</v>
      </c>
      <c r="J3725" t="s">
        <v>71</v>
      </c>
      <c r="K3725" s="2" t="str">
        <f>HYPERLINK("http://collections.slsa.sa.gov.au/arthur/02500/BRG347_2435.htm")</f>
        <v>http://collections.slsa.sa.gov.au/arthur/02500/BRG347_2435.htm</v>
      </c>
    </row>
    <row r="3726" spans="1:11" x14ac:dyDescent="0.25">
      <c r="A3726" t="s">
        <v>12816</v>
      </c>
      <c r="B3726" s="1" t="str">
        <f>HYPERLINK("https://www.catalog.slsa.sa.gov.au/record=b2112013")</f>
        <v>https://www.catalog.slsa.sa.gov.au/record=b2112013</v>
      </c>
      <c r="C3726" s="1" t="str">
        <f>HYPERLINK("https://www.catalog.slsa.sa.gov.au/xrecord=b2112013")</f>
        <v>https://www.catalog.slsa.sa.gov.au/xrecord=b2112013</v>
      </c>
      <c r="D3726" t="s">
        <v>66</v>
      </c>
      <c r="E3726" t="s">
        <v>10524</v>
      </c>
      <c r="F3726">
        <v>1965</v>
      </c>
      <c r="G3726" t="s">
        <v>121</v>
      </c>
      <c r="H3726" t="s">
        <v>12817</v>
      </c>
      <c r="I3726" t="s">
        <v>10526</v>
      </c>
      <c r="J3726" t="s">
        <v>71</v>
      </c>
      <c r="K3726" s="2" t="str">
        <f>HYPERLINK("http://collections.slsa.sa.gov.au/arthur/02500/BRG347_2436.htm")</f>
        <v>http://collections.slsa.sa.gov.au/arthur/02500/BRG347_2436.htm</v>
      </c>
    </row>
    <row r="3727" spans="1:11" x14ac:dyDescent="0.25">
      <c r="A3727" t="s">
        <v>12818</v>
      </c>
      <c r="B3727" s="1" t="str">
        <f>HYPERLINK("https://www.catalog.slsa.sa.gov.au/record=b2112014")</f>
        <v>https://www.catalog.slsa.sa.gov.au/record=b2112014</v>
      </c>
      <c r="C3727" s="1" t="str">
        <f>HYPERLINK("https://www.catalog.slsa.sa.gov.au/xrecord=b2112014")</f>
        <v>https://www.catalog.slsa.sa.gov.au/xrecord=b2112014</v>
      </c>
      <c r="D3727" t="s">
        <v>66</v>
      </c>
      <c r="E3727" t="s">
        <v>12122</v>
      </c>
      <c r="F3727">
        <v>1965</v>
      </c>
      <c r="G3727" t="s">
        <v>121</v>
      </c>
      <c r="H3727" t="s">
        <v>12819</v>
      </c>
      <c r="I3727" t="s">
        <v>6607</v>
      </c>
      <c r="J3727" t="s">
        <v>71</v>
      </c>
      <c r="K3727" s="2" t="str">
        <f>HYPERLINK("http://collections.slsa.sa.gov.au/arthur/02500/BRG347_2437.htm")</f>
        <v>http://collections.slsa.sa.gov.au/arthur/02500/BRG347_2437.htm</v>
      </c>
    </row>
    <row r="3728" spans="1:11" x14ac:dyDescent="0.25">
      <c r="A3728" t="s">
        <v>12820</v>
      </c>
      <c r="B3728" s="1" t="str">
        <f>HYPERLINK("https://www.catalog.slsa.sa.gov.au/record=b2112015")</f>
        <v>https://www.catalog.slsa.sa.gov.au/record=b2112015</v>
      </c>
      <c r="C3728" s="1" t="str">
        <f>HYPERLINK("https://www.catalog.slsa.sa.gov.au/xrecord=b2112015")</f>
        <v>https://www.catalog.slsa.sa.gov.au/xrecord=b2112015</v>
      </c>
      <c r="D3728" t="s">
        <v>66</v>
      </c>
      <c r="E3728" t="s">
        <v>12122</v>
      </c>
      <c r="F3728">
        <v>1965</v>
      </c>
      <c r="G3728" t="s">
        <v>121</v>
      </c>
      <c r="H3728" t="s">
        <v>12821</v>
      </c>
      <c r="I3728" t="s">
        <v>6607</v>
      </c>
      <c r="J3728" t="s">
        <v>71</v>
      </c>
      <c r="K3728" s="2" t="str">
        <f>HYPERLINK("http://collections.slsa.sa.gov.au/arthur/02500/BRG347_2438.htm")</f>
        <v>http://collections.slsa.sa.gov.au/arthur/02500/BRG347_2438.htm</v>
      </c>
    </row>
    <row r="3729" spans="1:11" x14ac:dyDescent="0.25">
      <c r="A3729" t="s">
        <v>12822</v>
      </c>
      <c r="B3729" s="1" t="str">
        <f>HYPERLINK("https://www.catalog.slsa.sa.gov.au/record=b2112016")</f>
        <v>https://www.catalog.slsa.sa.gov.au/record=b2112016</v>
      </c>
      <c r="C3729" s="1" t="str">
        <f>HYPERLINK("https://www.catalog.slsa.sa.gov.au/xrecord=b2112016")</f>
        <v>https://www.catalog.slsa.sa.gov.au/xrecord=b2112016</v>
      </c>
      <c r="D3729" t="s">
        <v>66</v>
      </c>
      <c r="E3729" t="s">
        <v>12823</v>
      </c>
      <c r="F3729">
        <v>1965</v>
      </c>
      <c r="G3729" t="s">
        <v>121</v>
      </c>
      <c r="H3729" t="s">
        <v>12824</v>
      </c>
      <c r="I3729" t="s">
        <v>11152</v>
      </c>
      <c r="J3729" t="s">
        <v>71</v>
      </c>
      <c r="K3729" s="2" t="str">
        <f>HYPERLINK("http://collections.slsa.sa.gov.au/arthur/02500/BRG347_2439.htm")</f>
        <v>http://collections.slsa.sa.gov.au/arthur/02500/BRG347_2439.htm</v>
      </c>
    </row>
    <row r="3730" spans="1:11" x14ac:dyDescent="0.25">
      <c r="A3730" t="s">
        <v>12825</v>
      </c>
      <c r="B3730" s="1" t="str">
        <f>HYPERLINK("https://www.catalog.slsa.sa.gov.au/record=b2112017")</f>
        <v>https://www.catalog.slsa.sa.gov.au/record=b2112017</v>
      </c>
      <c r="C3730" s="1" t="str">
        <f>HYPERLINK("https://www.catalog.slsa.sa.gov.au/xrecord=b2112017")</f>
        <v>https://www.catalog.slsa.sa.gov.au/xrecord=b2112017</v>
      </c>
      <c r="D3730" t="s">
        <v>66</v>
      </c>
      <c r="E3730" t="s">
        <v>12122</v>
      </c>
      <c r="F3730">
        <v>1965</v>
      </c>
      <c r="G3730" t="s">
        <v>121</v>
      </c>
      <c r="H3730" t="s">
        <v>12826</v>
      </c>
      <c r="I3730" t="s">
        <v>6607</v>
      </c>
      <c r="J3730" t="s">
        <v>71</v>
      </c>
      <c r="K3730" s="2" t="str">
        <f>HYPERLINK("http://collections.slsa.sa.gov.au/arthur/02500/BRG347_2440.htm")</f>
        <v>http://collections.slsa.sa.gov.au/arthur/02500/BRG347_2440.htm</v>
      </c>
    </row>
    <row r="3731" spans="1:11" x14ac:dyDescent="0.25">
      <c r="A3731" t="s">
        <v>12827</v>
      </c>
      <c r="B3731" s="1" t="str">
        <f>HYPERLINK("https://www.catalog.slsa.sa.gov.au/record=b2112018")</f>
        <v>https://www.catalog.slsa.sa.gov.au/record=b2112018</v>
      </c>
      <c r="C3731" s="1" t="str">
        <f>HYPERLINK("https://www.catalog.slsa.sa.gov.au/xrecord=b2112018")</f>
        <v>https://www.catalog.slsa.sa.gov.au/xrecord=b2112018</v>
      </c>
      <c r="D3731" t="s">
        <v>66</v>
      </c>
      <c r="E3731" t="s">
        <v>7882</v>
      </c>
      <c r="F3731">
        <v>1965</v>
      </c>
      <c r="G3731" t="s">
        <v>121</v>
      </c>
      <c r="H3731" t="s">
        <v>12828</v>
      </c>
      <c r="I3731" t="s">
        <v>6583</v>
      </c>
      <c r="J3731" t="s">
        <v>71</v>
      </c>
      <c r="K3731" s="2" t="str">
        <f>HYPERLINK("http://collections.slsa.sa.gov.au/arthur/02500/BRG347_2441.htm")</f>
        <v>http://collections.slsa.sa.gov.au/arthur/02500/BRG347_2441.htm</v>
      </c>
    </row>
    <row r="3732" spans="1:11" x14ac:dyDescent="0.25">
      <c r="A3732" t="s">
        <v>12829</v>
      </c>
      <c r="B3732" s="1" t="str">
        <f>HYPERLINK("https://www.catalog.slsa.sa.gov.au/record=b2112019")</f>
        <v>https://www.catalog.slsa.sa.gov.au/record=b2112019</v>
      </c>
      <c r="C3732" s="1" t="str">
        <f>HYPERLINK("https://www.catalog.slsa.sa.gov.au/xrecord=b2112019")</f>
        <v>https://www.catalog.slsa.sa.gov.au/xrecord=b2112019</v>
      </c>
      <c r="D3732" t="s">
        <v>66</v>
      </c>
      <c r="E3732" t="s">
        <v>12830</v>
      </c>
      <c r="F3732">
        <v>1965</v>
      </c>
      <c r="G3732" t="s">
        <v>121</v>
      </c>
      <c r="H3732" t="s">
        <v>12831</v>
      </c>
      <c r="I3732" t="s">
        <v>5675</v>
      </c>
      <c r="J3732" t="s">
        <v>71</v>
      </c>
      <c r="K3732" s="2" t="str">
        <f>HYPERLINK("http://collections.slsa.sa.gov.au/arthur/02500/BRG347_2442.htm")</f>
        <v>http://collections.slsa.sa.gov.au/arthur/02500/BRG347_2442.htm</v>
      </c>
    </row>
    <row r="3733" spans="1:11" x14ac:dyDescent="0.25">
      <c r="A3733" t="s">
        <v>12832</v>
      </c>
      <c r="B3733" s="1" t="str">
        <f>HYPERLINK("https://www.catalog.slsa.sa.gov.au/record=b2118239")</f>
        <v>https://www.catalog.slsa.sa.gov.au/record=b2118239</v>
      </c>
      <c r="C3733" s="1" t="str">
        <f>HYPERLINK("https://www.catalog.slsa.sa.gov.au/xrecord=b2118239")</f>
        <v>https://www.catalog.slsa.sa.gov.au/xrecord=b2118239</v>
      </c>
      <c r="D3733" t="s">
        <v>66</v>
      </c>
      <c r="E3733" t="s">
        <v>12833</v>
      </c>
      <c r="F3733">
        <v>1965</v>
      </c>
      <c r="G3733" t="s">
        <v>121</v>
      </c>
      <c r="H3733" t="s">
        <v>12834</v>
      </c>
      <c r="I3733" t="s">
        <v>5675</v>
      </c>
      <c r="J3733" t="s">
        <v>71</v>
      </c>
      <c r="K3733" s="2" t="str">
        <f>HYPERLINK("http://collections.slsa.sa.gov.au/arthur/02500/BRG347_2443.htm")</f>
        <v>http://collections.slsa.sa.gov.au/arthur/02500/BRG347_2443.htm</v>
      </c>
    </row>
    <row r="3734" spans="1:11" x14ac:dyDescent="0.25">
      <c r="A3734" t="s">
        <v>12835</v>
      </c>
      <c r="B3734" s="1" t="str">
        <f>HYPERLINK("https://www.catalog.slsa.sa.gov.au/record=b2118240")</f>
        <v>https://www.catalog.slsa.sa.gov.au/record=b2118240</v>
      </c>
      <c r="C3734" s="1" t="str">
        <f>HYPERLINK("https://www.catalog.slsa.sa.gov.au/xrecord=b2118240")</f>
        <v>https://www.catalog.slsa.sa.gov.au/xrecord=b2118240</v>
      </c>
      <c r="D3734" t="s">
        <v>66</v>
      </c>
      <c r="E3734" t="s">
        <v>12833</v>
      </c>
      <c r="F3734">
        <v>1965</v>
      </c>
      <c r="G3734" t="s">
        <v>12836</v>
      </c>
      <c r="H3734" t="s">
        <v>12837</v>
      </c>
      <c r="I3734" t="s">
        <v>12838</v>
      </c>
      <c r="J3734" t="s">
        <v>71</v>
      </c>
      <c r="K3734" s="2" t="str">
        <f>HYPERLINK("http://collections.slsa.sa.gov.au/arthur/02500/BRG347_2444.htm")</f>
        <v>http://collections.slsa.sa.gov.au/arthur/02500/BRG347_2444.htm</v>
      </c>
    </row>
    <row r="3735" spans="1:11" x14ac:dyDescent="0.25">
      <c r="A3735" t="s">
        <v>12839</v>
      </c>
      <c r="B3735" s="1" t="str">
        <f>HYPERLINK("https://www.catalog.slsa.sa.gov.au/record=b2112020")</f>
        <v>https://www.catalog.slsa.sa.gov.au/record=b2112020</v>
      </c>
      <c r="C3735" s="1" t="str">
        <f>HYPERLINK("https://www.catalog.slsa.sa.gov.au/xrecord=b2112020")</f>
        <v>https://www.catalog.slsa.sa.gov.au/xrecord=b2112020</v>
      </c>
      <c r="D3735" t="s">
        <v>66</v>
      </c>
      <c r="E3735" t="s">
        <v>12794</v>
      </c>
      <c r="F3735">
        <v>1965</v>
      </c>
      <c r="G3735" t="s">
        <v>121</v>
      </c>
      <c r="H3735" t="s">
        <v>12840</v>
      </c>
      <c r="I3735" t="s">
        <v>12841</v>
      </c>
      <c r="J3735" t="s">
        <v>71</v>
      </c>
      <c r="K3735" s="2" t="str">
        <f>HYPERLINK("http://collections.slsa.sa.gov.au/arthur/02500/BRG347_2445.htm")</f>
        <v>http://collections.slsa.sa.gov.au/arthur/02500/BRG347_2445.htm</v>
      </c>
    </row>
    <row r="3736" spans="1:11" x14ac:dyDescent="0.25">
      <c r="A3736" t="s">
        <v>12842</v>
      </c>
      <c r="B3736" s="1" t="str">
        <f>HYPERLINK("https://www.catalog.slsa.sa.gov.au/record=b2112021")</f>
        <v>https://www.catalog.slsa.sa.gov.au/record=b2112021</v>
      </c>
      <c r="C3736" s="1" t="str">
        <f>HYPERLINK("https://www.catalog.slsa.sa.gov.au/xrecord=b2112021")</f>
        <v>https://www.catalog.slsa.sa.gov.au/xrecord=b2112021</v>
      </c>
      <c r="D3736" t="s">
        <v>66</v>
      </c>
      <c r="E3736" t="s">
        <v>12794</v>
      </c>
      <c r="F3736">
        <v>1965</v>
      </c>
      <c r="G3736" t="s">
        <v>121</v>
      </c>
      <c r="H3736" t="s">
        <v>12843</v>
      </c>
      <c r="I3736" t="s">
        <v>10379</v>
      </c>
      <c r="J3736" t="s">
        <v>71</v>
      </c>
      <c r="K3736" s="2" t="str">
        <f>HYPERLINK("http://collections.slsa.sa.gov.au/arthur/02500/BRG347_2446.htm")</f>
        <v>http://collections.slsa.sa.gov.au/arthur/02500/BRG347_2446.htm</v>
      </c>
    </row>
    <row r="3737" spans="1:11" x14ac:dyDescent="0.25">
      <c r="A3737" t="s">
        <v>12844</v>
      </c>
      <c r="B3737" s="1" t="str">
        <f>HYPERLINK("https://www.catalog.slsa.sa.gov.au/record=b2112022")</f>
        <v>https://www.catalog.slsa.sa.gov.au/record=b2112022</v>
      </c>
      <c r="C3737" s="1" t="str">
        <f>HYPERLINK("https://www.catalog.slsa.sa.gov.au/xrecord=b2112022")</f>
        <v>https://www.catalog.slsa.sa.gov.au/xrecord=b2112022</v>
      </c>
      <c r="D3737" t="s">
        <v>66</v>
      </c>
      <c r="E3737" t="s">
        <v>6523</v>
      </c>
      <c r="F3737">
        <v>1965</v>
      </c>
      <c r="G3737" t="s">
        <v>121</v>
      </c>
      <c r="H3737" t="s">
        <v>12845</v>
      </c>
      <c r="I3737" t="s">
        <v>6525</v>
      </c>
      <c r="J3737" t="s">
        <v>71</v>
      </c>
      <c r="K3737" s="2" t="str">
        <f>HYPERLINK("http://collections.slsa.sa.gov.au/arthur/02500/BRG347_2447.htm")</f>
        <v>http://collections.slsa.sa.gov.au/arthur/02500/BRG347_2447.htm</v>
      </c>
    </row>
    <row r="3738" spans="1:11" x14ac:dyDescent="0.25">
      <c r="A3738" t="s">
        <v>12846</v>
      </c>
      <c r="B3738" s="1" t="str">
        <f>HYPERLINK("https://www.catalog.slsa.sa.gov.au/record=b2112023")</f>
        <v>https://www.catalog.slsa.sa.gov.au/record=b2112023</v>
      </c>
      <c r="C3738" s="1" t="str">
        <f>HYPERLINK("https://www.catalog.slsa.sa.gov.au/xrecord=b2112023")</f>
        <v>https://www.catalog.slsa.sa.gov.au/xrecord=b2112023</v>
      </c>
      <c r="D3738" t="s">
        <v>66</v>
      </c>
      <c r="E3738" t="s">
        <v>12794</v>
      </c>
      <c r="F3738">
        <v>1965</v>
      </c>
      <c r="G3738" t="s">
        <v>121</v>
      </c>
      <c r="H3738" t="s">
        <v>12847</v>
      </c>
      <c r="I3738" t="s">
        <v>10379</v>
      </c>
      <c r="J3738" t="s">
        <v>71</v>
      </c>
      <c r="K3738" s="2" t="str">
        <f>HYPERLINK("http://collections.slsa.sa.gov.au/arthur/02500/BRG347_2448.htm")</f>
        <v>http://collections.slsa.sa.gov.au/arthur/02500/BRG347_2448.htm</v>
      </c>
    </row>
    <row r="3739" spans="1:11" x14ac:dyDescent="0.25">
      <c r="A3739" t="s">
        <v>12848</v>
      </c>
      <c r="B3739" s="1" t="str">
        <f>HYPERLINK("https://www.catalog.slsa.sa.gov.au/record=b2112024")</f>
        <v>https://www.catalog.slsa.sa.gov.au/record=b2112024</v>
      </c>
      <c r="C3739" s="1" t="str">
        <f>HYPERLINK("https://www.catalog.slsa.sa.gov.au/xrecord=b2112024")</f>
        <v>https://www.catalog.slsa.sa.gov.au/xrecord=b2112024</v>
      </c>
      <c r="D3739" t="s">
        <v>66</v>
      </c>
      <c r="E3739" t="s">
        <v>12802</v>
      </c>
      <c r="F3739">
        <v>1965</v>
      </c>
      <c r="G3739" t="s">
        <v>121</v>
      </c>
      <c r="H3739" t="s">
        <v>12849</v>
      </c>
      <c r="I3739" t="s">
        <v>6525</v>
      </c>
      <c r="J3739" t="s">
        <v>71</v>
      </c>
      <c r="K3739" s="2" t="str">
        <f>HYPERLINK("http://collections.slsa.sa.gov.au/arthur/02500/BRG347_2449.htm")</f>
        <v>http://collections.slsa.sa.gov.au/arthur/02500/BRG347_2449.htm</v>
      </c>
    </row>
    <row r="3740" spans="1:11" x14ac:dyDescent="0.25">
      <c r="A3740" t="s">
        <v>12850</v>
      </c>
      <c r="B3740" s="1" t="str">
        <f>HYPERLINK("https://www.catalog.slsa.sa.gov.au/record=b2112025")</f>
        <v>https://www.catalog.slsa.sa.gov.au/record=b2112025</v>
      </c>
      <c r="C3740" s="1" t="str">
        <f>HYPERLINK("https://www.catalog.slsa.sa.gov.au/xrecord=b2112025")</f>
        <v>https://www.catalog.slsa.sa.gov.au/xrecord=b2112025</v>
      </c>
      <c r="D3740" t="s">
        <v>66</v>
      </c>
      <c r="E3740" t="s">
        <v>12802</v>
      </c>
      <c r="F3740">
        <v>1965</v>
      </c>
      <c r="G3740" t="s">
        <v>121</v>
      </c>
      <c r="H3740" t="s">
        <v>12851</v>
      </c>
      <c r="I3740" t="s">
        <v>7454</v>
      </c>
      <c r="J3740" t="s">
        <v>71</v>
      </c>
      <c r="K3740" s="2" t="str">
        <f>HYPERLINK("http://collections.slsa.sa.gov.au/arthur/02500/BRG347_2450.htm")</f>
        <v>http://collections.slsa.sa.gov.au/arthur/02500/BRG347_2450.htm</v>
      </c>
    </row>
    <row r="3741" spans="1:11" x14ac:dyDescent="0.25">
      <c r="A3741" t="s">
        <v>12852</v>
      </c>
      <c r="B3741" s="1" t="str">
        <f>HYPERLINK("https://www.catalog.slsa.sa.gov.au/record=b2112026")</f>
        <v>https://www.catalog.slsa.sa.gov.au/record=b2112026</v>
      </c>
      <c r="C3741" s="1" t="str">
        <f>HYPERLINK("https://www.catalog.slsa.sa.gov.au/xrecord=b2112026")</f>
        <v>https://www.catalog.slsa.sa.gov.au/xrecord=b2112026</v>
      </c>
      <c r="D3741" t="s">
        <v>66</v>
      </c>
      <c r="E3741" t="s">
        <v>12830</v>
      </c>
      <c r="F3741">
        <v>1965</v>
      </c>
      <c r="G3741" t="s">
        <v>121</v>
      </c>
      <c r="H3741" t="s">
        <v>12853</v>
      </c>
      <c r="I3741" t="s">
        <v>12854</v>
      </c>
      <c r="J3741" t="s">
        <v>71</v>
      </c>
      <c r="K3741" s="2" t="str">
        <f>HYPERLINK("http://collections.slsa.sa.gov.au/arthur/02500/BRG347_2451.htm")</f>
        <v>http://collections.slsa.sa.gov.au/arthur/02500/BRG347_2451.htm</v>
      </c>
    </row>
    <row r="3742" spans="1:11" x14ac:dyDescent="0.25">
      <c r="A3742" t="s">
        <v>12855</v>
      </c>
      <c r="B3742" s="1" t="str">
        <f>HYPERLINK("https://www.catalog.slsa.sa.gov.au/record=b2112027")</f>
        <v>https://www.catalog.slsa.sa.gov.au/record=b2112027</v>
      </c>
      <c r="C3742" s="1" t="str">
        <f>HYPERLINK("https://www.catalog.slsa.sa.gov.au/xrecord=b2112027")</f>
        <v>https://www.catalog.slsa.sa.gov.au/xrecord=b2112027</v>
      </c>
      <c r="D3742" t="s">
        <v>66</v>
      </c>
      <c r="E3742" t="s">
        <v>9382</v>
      </c>
      <c r="F3742">
        <v>1965</v>
      </c>
      <c r="G3742" t="s">
        <v>121</v>
      </c>
      <c r="H3742" t="s">
        <v>12856</v>
      </c>
      <c r="I3742" t="s">
        <v>8327</v>
      </c>
      <c r="J3742" t="s">
        <v>71</v>
      </c>
      <c r="K3742" s="2" t="str">
        <f>HYPERLINK("http://collections.slsa.sa.gov.au/arthur/02500/BRG347_2452.htm")</f>
        <v>http://collections.slsa.sa.gov.au/arthur/02500/BRG347_2452.htm</v>
      </c>
    </row>
    <row r="3743" spans="1:11" x14ac:dyDescent="0.25">
      <c r="A3743" t="s">
        <v>12857</v>
      </c>
      <c r="B3743" s="1" t="str">
        <f>HYPERLINK("https://www.catalog.slsa.sa.gov.au/record=b2118069")</f>
        <v>https://www.catalog.slsa.sa.gov.au/record=b2118069</v>
      </c>
      <c r="C3743" s="1" t="str">
        <f>HYPERLINK("https://www.catalog.slsa.sa.gov.au/xrecord=b2118069")</f>
        <v>https://www.catalog.slsa.sa.gov.au/xrecord=b2118069</v>
      </c>
      <c r="D3743" t="s">
        <v>66</v>
      </c>
      <c r="E3743" t="s">
        <v>9382</v>
      </c>
      <c r="F3743">
        <v>1965</v>
      </c>
      <c r="G3743" t="s">
        <v>121</v>
      </c>
      <c r="H3743" t="s">
        <v>12858</v>
      </c>
      <c r="I3743" t="s">
        <v>8327</v>
      </c>
      <c r="J3743" t="s">
        <v>71</v>
      </c>
      <c r="K3743" s="2" t="str">
        <f>HYPERLINK("http://collections.slsa.sa.gov.au/arthur/02500/BRG347_2453.htm")</f>
        <v>http://collections.slsa.sa.gov.au/arthur/02500/BRG347_2453.htm</v>
      </c>
    </row>
    <row r="3744" spans="1:11" x14ac:dyDescent="0.25">
      <c r="A3744" t="s">
        <v>12859</v>
      </c>
      <c r="B3744" s="1" t="str">
        <f>HYPERLINK("https://www.catalog.slsa.sa.gov.au/record=b2112028")</f>
        <v>https://www.catalog.slsa.sa.gov.au/record=b2112028</v>
      </c>
      <c r="C3744" s="1" t="str">
        <f>HYPERLINK("https://www.catalog.slsa.sa.gov.au/xrecord=b2112028")</f>
        <v>https://www.catalog.slsa.sa.gov.au/xrecord=b2112028</v>
      </c>
      <c r="D3744" t="s">
        <v>66</v>
      </c>
      <c r="E3744" t="s">
        <v>11640</v>
      </c>
      <c r="F3744">
        <v>1965</v>
      </c>
      <c r="G3744" t="s">
        <v>121</v>
      </c>
      <c r="H3744" t="s">
        <v>12860</v>
      </c>
      <c r="I3744" t="s">
        <v>8145</v>
      </c>
      <c r="J3744" t="s">
        <v>71</v>
      </c>
      <c r="K3744" s="2" t="str">
        <f>HYPERLINK("http://collections.slsa.sa.gov.au/arthur/02500/BRG347_2454.htm")</f>
        <v>http://collections.slsa.sa.gov.au/arthur/02500/BRG347_2454.htm</v>
      </c>
    </row>
    <row r="3745" spans="1:11" x14ac:dyDescent="0.25">
      <c r="A3745" t="s">
        <v>12861</v>
      </c>
      <c r="B3745" s="1" t="str">
        <f>HYPERLINK("https://www.catalog.slsa.sa.gov.au/record=b2112029")</f>
        <v>https://www.catalog.slsa.sa.gov.au/record=b2112029</v>
      </c>
      <c r="C3745" s="1" t="str">
        <f>HYPERLINK("https://www.catalog.slsa.sa.gov.au/xrecord=b2112029")</f>
        <v>https://www.catalog.slsa.sa.gov.au/xrecord=b2112029</v>
      </c>
      <c r="D3745" t="s">
        <v>66</v>
      </c>
      <c r="E3745" t="s">
        <v>12443</v>
      </c>
      <c r="F3745">
        <v>1965</v>
      </c>
      <c r="G3745" t="s">
        <v>121</v>
      </c>
      <c r="H3745" t="s">
        <v>12862</v>
      </c>
      <c r="I3745" t="s">
        <v>8145</v>
      </c>
      <c r="J3745" t="s">
        <v>71</v>
      </c>
      <c r="K3745" s="2" t="str">
        <f>HYPERLINK("http://collections.slsa.sa.gov.au/arthur/02500/BRG347_2455.htm")</f>
        <v>http://collections.slsa.sa.gov.au/arthur/02500/BRG347_2455.htm</v>
      </c>
    </row>
    <row r="3746" spans="1:11" x14ac:dyDescent="0.25">
      <c r="A3746" t="s">
        <v>12863</v>
      </c>
      <c r="B3746" s="1" t="str">
        <f>HYPERLINK("https://www.catalog.slsa.sa.gov.au/record=b2112030")</f>
        <v>https://www.catalog.slsa.sa.gov.au/record=b2112030</v>
      </c>
      <c r="C3746" s="1" t="str">
        <f>HYPERLINK("https://www.catalog.slsa.sa.gov.au/xrecord=b2112030")</f>
        <v>https://www.catalog.slsa.sa.gov.au/xrecord=b2112030</v>
      </c>
      <c r="D3746" t="s">
        <v>66</v>
      </c>
      <c r="E3746" t="s">
        <v>8254</v>
      </c>
      <c r="F3746">
        <v>1965</v>
      </c>
      <c r="G3746" t="s">
        <v>121</v>
      </c>
      <c r="H3746" t="s">
        <v>12864</v>
      </c>
      <c r="I3746" t="s">
        <v>8145</v>
      </c>
      <c r="J3746" t="s">
        <v>71</v>
      </c>
      <c r="K3746" s="2" t="str">
        <f>HYPERLINK("http://collections.slsa.sa.gov.au/arthur/02500/BRG347_2456.htm")</f>
        <v>http://collections.slsa.sa.gov.au/arthur/02500/BRG347_2456.htm</v>
      </c>
    </row>
    <row r="3747" spans="1:11" x14ac:dyDescent="0.25">
      <c r="A3747" t="s">
        <v>12865</v>
      </c>
      <c r="B3747" s="1" t="str">
        <f>HYPERLINK("https://www.catalog.slsa.sa.gov.au/record=b2112031")</f>
        <v>https://www.catalog.slsa.sa.gov.au/record=b2112031</v>
      </c>
      <c r="C3747" s="1" t="str">
        <f>HYPERLINK("https://www.catalog.slsa.sa.gov.au/xrecord=b2112031")</f>
        <v>https://www.catalog.slsa.sa.gov.au/xrecord=b2112031</v>
      </c>
      <c r="D3747" t="s">
        <v>66</v>
      </c>
      <c r="E3747" t="s">
        <v>12833</v>
      </c>
      <c r="F3747">
        <v>1965</v>
      </c>
      <c r="G3747" t="s">
        <v>121</v>
      </c>
      <c r="H3747" t="s">
        <v>12866</v>
      </c>
      <c r="I3747" t="s">
        <v>5675</v>
      </c>
      <c r="J3747" t="s">
        <v>71</v>
      </c>
      <c r="K3747" s="2" t="str">
        <f>HYPERLINK("http://collections.slsa.sa.gov.au/arthur/02500/BRG347_2457.htm")</f>
        <v>http://collections.slsa.sa.gov.au/arthur/02500/BRG347_2457.htm</v>
      </c>
    </row>
    <row r="3748" spans="1:11" x14ac:dyDescent="0.25">
      <c r="A3748" t="s">
        <v>12867</v>
      </c>
      <c r="B3748" s="1" t="str">
        <f>HYPERLINK("https://www.catalog.slsa.sa.gov.au/record=b2112032")</f>
        <v>https://www.catalog.slsa.sa.gov.au/record=b2112032</v>
      </c>
      <c r="C3748" s="1" t="str">
        <f>HYPERLINK("https://www.catalog.slsa.sa.gov.au/xrecord=b2112032")</f>
        <v>https://www.catalog.slsa.sa.gov.au/xrecord=b2112032</v>
      </c>
      <c r="D3748" t="s">
        <v>66</v>
      </c>
      <c r="E3748" t="s">
        <v>12833</v>
      </c>
      <c r="F3748">
        <v>1965</v>
      </c>
      <c r="G3748" t="s">
        <v>121</v>
      </c>
      <c r="H3748" t="s">
        <v>12868</v>
      </c>
      <c r="I3748" t="s">
        <v>12869</v>
      </c>
      <c r="J3748" t="s">
        <v>71</v>
      </c>
      <c r="K3748" s="2" t="str">
        <f>HYPERLINK("http://collections.slsa.sa.gov.au/arthur/02500/BRG347_2458.htm")</f>
        <v>http://collections.slsa.sa.gov.au/arthur/02500/BRG347_2458.htm</v>
      </c>
    </row>
    <row r="3749" spans="1:11" x14ac:dyDescent="0.25">
      <c r="A3749" t="s">
        <v>12870</v>
      </c>
      <c r="B3749" s="1" t="str">
        <f>HYPERLINK("https://www.catalog.slsa.sa.gov.au/record=b2112033")</f>
        <v>https://www.catalog.slsa.sa.gov.au/record=b2112033</v>
      </c>
      <c r="C3749" s="1" t="str">
        <f>HYPERLINK("https://www.catalog.slsa.sa.gov.au/xrecord=b2112033")</f>
        <v>https://www.catalog.slsa.sa.gov.au/xrecord=b2112033</v>
      </c>
      <c r="D3749" t="s">
        <v>66</v>
      </c>
      <c r="E3749" t="s">
        <v>12871</v>
      </c>
      <c r="F3749">
        <v>1965</v>
      </c>
      <c r="G3749" t="s">
        <v>121</v>
      </c>
      <c r="H3749" t="s">
        <v>12872</v>
      </c>
      <c r="I3749" t="s">
        <v>8304</v>
      </c>
      <c r="J3749" t="s">
        <v>71</v>
      </c>
      <c r="K3749" s="2" t="str">
        <f>HYPERLINK("http://collections.slsa.sa.gov.au/arthur/02500/BRG347_2459.htm")</f>
        <v>http://collections.slsa.sa.gov.au/arthur/02500/BRG347_2459.htm</v>
      </c>
    </row>
    <row r="3750" spans="1:11" x14ac:dyDescent="0.25">
      <c r="A3750" t="s">
        <v>12873</v>
      </c>
      <c r="B3750" s="1" t="str">
        <f>HYPERLINK("https://www.catalog.slsa.sa.gov.au/record=b2112034")</f>
        <v>https://www.catalog.slsa.sa.gov.au/record=b2112034</v>
      </c>
      <c r="C3750" s="1" t="str">
        <f>HYPERLINK("https://www.catalog.slsa.sa.gov.au/xrecord=b2112034")</f>
        <v>https://www.catalog.slsa.sa.gov.au/xrecord=b2112034</v>
      </c>
      <c r="D3750" t="s">
        <v>66</v>
      </c>
      <c r="E3750" t="s">
        <v>6499</v>
      </c>
      <c r="F3750">
        <v>1965</v>
      </c>
      <c r="G3750" t="s">
        <v>121</v>
      </c>
      <c r="H3750" t="s">
        <v>12874</v>
      </c>
      <c r="I3750" t="s">
        <v>12875</v>
      </c>
      <c r="J3750" t="s">
        <v>71</v>
      </c>
      <c r="K3750" s="2" t="str">
        <f>HYPERLINK("http://collections.slsa.sa.gov.au/arthur/02500/BRG347_2460.htm")</f>
        <v>http://collections.slsa.sa.gov.au/arthur/02500/BRG347_2460.htm</v>
      </c>
    </row>
    <row r="3751" spans="1:11" x14ac:dyDescent="0.25">
      <c r="A3751" t="s">
        <v>12876</v>
      </c>
      <c r="B3751" s="1" t="str">
        <f>HYPERLINK("https://www.catalog.slsa.sa.gov.au/record=b2112035")</f>
        <v>https://www.catalog.slsa.sa.gov.au/record=b2112035</v>
      </c>
      <c r="C3751" s="1" t="str">
        <f>HYPERLINK("https://www.catalog.slsa.sa.gov.au/xrecord=b2112035")</f>
        <v>https://www.catalog.slsa.sa.gov.au/xrecord=b2112035</v>
      </c>
      <c r="D3751" t="s">
        <v>66</v>
      </c>
      <c r="E3751" t="s">
        <v>12877</v>
      </c>
      <c r="F3751">
        <v>1965</v>
      </c>
      <c r="G3751" t="s">
        <v>121</v>
      </c>
      <c r="H3751" t="s">
        <v>12878</v>
      </c>
      <c r="I3751" t="s">
        <v>12879</v>
      </c>
      <c r="J3751" t="s">
        <v>71</v>
      </c>
      <c r="K3751" s="2" t="str">
        <f>HYPERLINK("http://collections.slsa.sa.gov.au/arthur/02500/BRG347_2461.htm")</f>
        <v>http://collections.slsa.sa.gov.au/arthur/02500/BRG347_2461.htm</v>
      </c>
    </row>
    <row r="3752" spans="1:11" x14ac:dyDescent="0.25">
      <c r="A3752" t="s">
        <v>12880</v>
      </c>
      <c r="B3752" s="1" t="str">
        <f>HYPERLINK("https://www.catalog.slsa.sa.gov.au/record=b2112036")</f>
        <v>https://www.catalog.slsa.sa.gov.au/record=b2112036</v>
      </c>
      <c r="C3752" s="1" t="str">
        <f>HYPERLINK("https://www.catalog.slsa.sa.gov.au/xrecord=b2112036")</f>
        <v>https://www.catalog.slsa.sa.gov.au/xrecord=b2112036</v>
      </c>
      <c r="D3752" t="s">
        <v>66</v>
      </c>
      <c r="E3752" t="s">
        <v>12443</v>
      </c>
      <c r="F3752">
        <v>1965</v>
      </c>
      <c r="G3752" t="s">
        <v>121</v>
      </c>
      <c r="H3752" t="s">
        <v>12881</v>
      </c>
      <c r="I3752" t="s">
        <v>8145</v>
      </c>
      <c r="J3752" t="s">
        <v>71</v>
      </c>
      <c r="K3752" s="2" t="str">
        <f>HYPERLINK("http://collections.slsa.sa.gov.au/arthur/02500/BRG347_2462.htm")</f>
        <v>http://collections.slsa.sa.gov.au/arthur/02500/BRG347_2462.htm</v>
      </c>
    </row>
    <row r="3753" spans="1:11" x14ac:dyDescent="0.25">
      <c r="A3753" t="s">
        <v>12882</v>
      </c>
      <c r="B3753" s="1" t="str">
        <f>HYPERLINK("https://www.catalog.slsa.sa.gov.au/record=b2112037")</f>
        <v>https://www.catalog.slsa.sa.gov.au/record=b2112037</v>
      </c>
      <c r="C3753" s="1" t="str">
        <f>HYPERLINK("https://www.catalog.slsa.sa.gov.au/xrecord=b2112037")</f>
        <v>https://www.catalog.slsa.sa.gov.au/xrecord=b2112037</v>
      </c>
      <c r="D3753" t="s">
        <v>66</v>
      </c>
      <c r="E3753" t="s">
        <v>12443</v>
      </c>
      <c r="F3753">
        <v>1965</v>
      </c>
      <c r="G3753" t="s">
        <v>121</v>
      </c>
      <c r="H3753" t="s">
        <v>12883</v>
      </c>
      <c r="I3753" t="s">
        <v>8145</v>
      </c>
      <c r="J3753" t="s">
        <v>71</v>
      </c>
      <c r="K3753" s="2" t="str">
        <f>HYPERLINK("http://collections.slsa.sa.gov.au/arthur/02500/BRG347_2463.htm")</f>
        <v>http://collections.slsa.sa.gov.au/arthur/02500/BRG347_2463.htm</v>
      </c>
    </row>
    <row r="3754" spans="1:11" x14ac:dyDescent="0.25">
      <c r="A3754" t="s">
        <v>12884</v>
      </c>
      <c r="B3754" s="1" t="str">
        <f>HYPERLINK("https://www.catalog.slsa.sa.gov.au/record=b2112087")</f>
        <v>https://www.catalog.slsa.sa.gov.au/record=b2112087</v>
      </c>
      <c r="C3754" s="1" t="str">
        <f>HYPERLINK("https://www.catalog.slsa.sa.gov.au/xrecord=b2112087")</f>
        <v>https://www.catalog.slsa.sa.gov.au/xrecord=b2112087</v>
      </c>
      <c r="D3754" t="s">
        <v>66</v>
      </c>
      <c r="E3754" t="s">
        <v>6467</v>
      </c>
      <c r="F3754">
        <v>1965</v>
      </c>
      <c r="G3754" t="s">
        <v>121</v>
      </c>
      <c r="H3754" t="s">
        <v>12885</v>
      </c>
      <c r="I3754" t="s">
        <v>12886</v>
      </c>
      <c r="J3754" t="s">
        <v>71</v>
      </c>
      <c r="K3754" s="2" t="str">
        <f>HYPERLINK("http://collections.slsa.sa.gov.au/arthur/02750/BRG347_2517.htm")</f>
        <v>http://collections.slsa.sa.gov.au/arthur/02750/BRG347_2517.htm</v>
      </c>
    </row>
    <row r="3755" spans="1:11" x14ac:dyDescent="0.25">
      <c r="A3755" t="s">
        <v>12887</v>
      </c>
      <c r="B3755" s="1" t="str">
        <f>HYPERLINK("https://www.catalog.slsa.sa.gov.au/record=b2112241")</f>
        <v>https://www.catalog.slsa.sa.gov.au/record=b2112241</v>
      </c>
      <c r="C3755" s="1" t="str">
        <f>HYPERLINK("https://www.catalog.slsa.sa.gov.au/xrecord=b2112241")</f>
        <v>https://www.catalog.slsa.sa.gov.au/xrecord=b2112241</v>
      </c>
      <c r="D3755" t="s">
        <v>66</v>
      </c>
      <c r="E3755" t="s">
        <v>7848</v>
      </c>
      <c r="F3755">
        <v>1965</v>
      </c>
      <c r="G3755" t="s">
        <v>121</v>
      </c>
      <c r="H3755" t="s">
        <v>12888</v>
      </c>
      <c r="I3755" t="s">
        <v>7850</v>
      </c>
      <c r="J3755" t="s">
        <v>71</v>
      </c>
      <c r="K3755" s="2" t="str">
        <f>HYPERLINK("http://collections.slsa.sa.gov.au/arthur/02750/BRG347_2675.htm")</f>
        <v>http://collections.slsa.sa.gov.au/arthur/02750/BRG347_2675.htm</v>
      </c>
    </row>
    <row r="3756" spans="1:11" x14ac:dyDescent="0.25">
      <c r="A3756" t="s">
        <v>12889</v>
      </c>
      <c r="B3756" s="1" t="str">
        <f>HYPERLINK("https://www.catalog.slsa.sa.gov.au/record=b2112242")</f>
        <v>https://www.catalog.slsa.sa.gov.au/record=b2112242</v>
      </c>
      <c r="C3756" s="1" t="str">
        <f>HYPERLINK("https://www.catalog.slsa.sa.gov.au/xrecord=b2112242")</f>
        <v>https://www.catalog.slsa.sa.gov.au/xrecord=b2112242</v>
      </c>
      <c r="D3756" t="s">
        <v>66</v>
      </c>
      <c r="E3756" t="s">
        <v>7848</v>
      </c>
      <c r="F3756">
        <v>1965</v>
      </c>
      <c r="G3756" t="s">
        <v>121</v>
      </c>
      <c r="H3756" t="s">
        <v>12890</v>
      </c>
      <c r="I3756" t="s">
        <v>12891</v>
      </c>
      <c r="J3756" t="s">
        <v>71</v>
      </c>
      <c r="K3756" s="2" t="str">
        <f>HYPERLINK("http://collections.slsa.sa.gov.au/arthur/02750/BRG347_2676.htm")</f>
        <v>http://collections.slsa.sa.gov.au/arthur/02750/BRG347_2676.htm</v>
      </c>
    </row>
    <row r="3757" spans="1:11" x14ac:dyDescent="0.25">
      <c r="A3757" t="s">
        <v>12892</v>
      </c>
      <c r="B3757" s="1" t="str">
        <f>HYPERLINK("https://www.catalog.slsa.sa.gov.au/record=b2112246")</f>
        <v>https://www.catalog.slsa.sa.gov.au/record=b2112246</v>
      </c>
      <c r="C3757" s="1" t="str">
        <f>HYPERLINK("https://www.catalog.slsa.sa.gov.au/xrecord=b2112246")</f>
        <v>https://www.catalog.slsa.sa.gov.au/xrecord=b2112246</v>
      </c>
      <c r="D3757" t="s">
        <v>66</v>
      </c>
      <c r="E3757" t="s">
        <v>7882</v>
      </c>
      <c r="F3757">
        <v>1965</v>
      </c>
      <c r="G3757" t="s">
        <v>121</v>
      </c>
      <c r="H3757" t="s">
        <v>12893</v>
      </c>
      <c r="I3757" t="s">
        <v>8307</v>
      </c>
      <c r="J3757" t="s">
        <v>71</v>
      </c>
      <c r="K3757" s="2" t="str">
        <f>HYPERLINK("http://collections.slsa.sa.gov.au/arthur/02750/BRG347_2680.htm")</f>
        <v>http://collections.slsa.sa.gov.au/arthur/02750/BRG347_2680.htm</v>
      </c>
    </row>
    <row r="3758" spans="1:11" x14ac:dyDescent="0.25">
      <c r="A3758" t="s">
        <v>12894</v>
      </c>
      <c r="B3758" s="1" t="str">
        <f>HYPERLINK("https://www.catalog.slsa.sa.gov.au/record=b2118050")</f>
        <v>https://www.catalog.slsa.sa.gov.au/record=b2118050</v>
      </c>
      <c r="C3758" s="1" t="str">
        <f>HYPERLINK("https://www.catalog.slsa.sa.gov.au/xrecord=b2118050")</f>
        <v>https://www.catalog.slsa.sa.gov.au/xrecord=b2118050</v>
      </c>
      <c r="D3758" t="s">
        <v>66</v>
      </c>
      <c r="E3758" t="s">
        <v>12895</v>
      </c>
      <c r="F3758">
        <v>1965</v>
      </c>
      <c r="G3758" t="s">
        <v>121</v>
      </c>
      <c r="H3758" t="s">
        <v>12896</v>
      </c>
      <c r="I3758" t="s">
        <v>12897</v>
      </c>
      <c r="J3758" t="s">
        <v>71</v>
      </c>
      <c r="K3758" s="2" t="str">
        <f>HYPERLINK("http://collections.slsa.sa.gov.au/arthur/03000/BRG347_2779.htm")</f>
        <v>http://collections.slsa.sa.gov.au/arthur/03000/BRG347_2779.htm</v>
      </c>
    </row>
    <row r="3759" spans="1:11" x14ac:dyDescent="0.25">
      <c r="A3759" t="s">
        <v>12898</v>
      </c>
      <c r="B3759" s="1" t="str">
        <f>HYPERLINK("https://www.catalog.slsa.sa.gov.au/record=b2112513")</f>
        <v>https://www.catalog.slsa.sa.gov.au/record=b2112513</v>
      </c>
      <c r="C3759" s="1" t="str">
        <f>HYPERLINK("https://www.catalog.slsa.sa.gov.au/xrecord=b2112513")</f>
        <v>https://www.catalog.slsa.sa.gov.au/xrecord=b2112513</v>
      </c>
      <c r="D3759" t="s">
        <v>66</v>
      </c>
      <c r="E3759" t="s">
        <v>12899</v>
      </c>
      <c r="F3759">
        <v>1965</v>
      </c>
      <c r="G3759" t="s">
        <v>121</v>
      </c>
      <c r="H3759" t="s">
        <v>12900</v>
      </c>
      <c r="I3759" t="s">
        <v>12901</v>
      </c>
      <c r="J3759" t="s">
        <v>71</v>
      </c>
      <c r="K3759" s="2" t="str">
        <f>HYPERLINK("http://collections.slsa.sa.gov.au/arthur/03000/BRG347_2780.htm")</f>
        <v>http://collections.slsa.sa.gov.au/arthur/03000/BRG347_2780.htm</v>
      </c>
    </row>
    <row r="3760" spans="1:11" x14ac:dyDescent="0.25">
      <c r="A3760" t="s">
        <v>12902</v>
      </c>
      <c r="B3760" s="1" t="str">
        <f>HYPERLINK("https://www.catalog.slsa.sa.gov.au/record=b2112514")</f>
        <v>https://www.catalog.slsa.sa.gov.au/record=b2112514</v>
      </c>
      <c r="C3760" s="1" t="str">
        <f>HYPERLINK("https://www.catalog.slsa.sa.gov.au/xrecord=b2112514")</f>
        <v>https://www.catalog.slsa.sa.gov.au/xrecord=b2112514</v>
      </c>
      <c r="D3760" t="s">
        <v>66</v>
      </c>
      <c r="E3760" t="s">
        <v>12903</v>
      </c>
      <c r="F3760">
        <v>1965</v>
      </c>
      <c r="G3760" t="s">
        <v>121</v>
      </c>
      <c r="H3760" t="s">
        <v>12904</v>
      </c>
      <c r="I3760" t="s">
        <v>12905</v>
      </c>
      <c r="J3760" t="s">
        <v>71</v>
      </c>
      <c r="K3760" s="2" t="str">
        <f>HYPERLINK("http://collections.slsa.sa.gov.au/arthur/03000/BRG347_2781.htm")</f>
        <v>http://collections.slsa.sa.gov.au/arthur/03000/BRG347_2781.htm</v>
      </c>
    </row>
    <row r="3761" spans="1:11" x14ac:dyDescent="0.25">
      <c r="A3761" t="s">
        <v>12906</v>
      </c>
      <c r="B3761" s="1" t="str">
        <f>HYPERLINK("https://www.catalog.slsa.sa.gov.au/record=b2112515")</f>
        <v>https://www.catalog.slsa.sa.gov.au/record=b2112515</v>
      </c>
      <c r="C3761" s="1" t="str">
        <f>HYPERLINK("https://www.catalog.slsa.sa.gov.au/xrecord=b2112515")</f>
        <v>https://www.catalog.slsa.sa.gov.au/xrecord=b2112515</v>
      </c>
      <c r="D3761" t="s">
        <v>66</v>
      </c>
      <c r="E3761" t="s">
        <v>12907</v>
      </c>
      <c r="F3761">
        <v>1965</v>
      </c>
      <c r="G3761" t="s">
        <v>121</v>
      </c>
      <c r="H3761" t="s">
        <v>12908</v>
      </c>
      <c r="I3761" t="s">
        <v>12909</v>
      </c>
      <c r="J3761" t="s">
        <v>71</v>
      </c>
      <c r="K3761" s="2" t="str">
        <f>HYPERLINK("http://collections.slsa.sa.gov.au/arthur/03000/BRG347_2782.htm")</f>
        <v>http://collections.slsa.sa.gov.au/arthur/03000/BRG347_2782.htm</v>
      </c>
    </row>
    <row r="3762" spans="1:11" x14ac:dyDescent="0.25">
      <c r="A3762" t="s">
        <v>12910</v>
      </c>
      <c r="B3762" s="1" t="str">
        <f>HYPERLINK("https://www.catalog.slsa.sa.gov.au/record=b2112526")</f>
        <v>https://www.catalog.slsa.sa.gov.au/record=b2112526</v>
      </c>
      <c r="C3762" s="1" t="str">
        <f>HYPERLINK("https://www.catalog.slsa.sa.gov.au/xrecord=b2112526")</f>
        <v>https://www.catalog.slsa.sa.gov.au/xrecord=b2112526</v>
      </c>
      <c r="D3762" t="s">
        <v>66</v>
      </c>
      <c r="E3762" t="s">
        <v>10636</v>
      </c>
      <c r="F3762">
        <v>1965</v>
      </c>
      <c r="G3762" t="s">
        <v>121</v>
      </c>
      <c r="H3762" t="s">
        <v>12911</v>
      </c>
      <c r="I3762" t="s">
        <v>11088</v>
      </c>
      <c r="J3762" t="s">
        <v>71</v>
      </c>
      <c r="K3762" s="2" t="str">
        <f>HYPERLINK("http://collections.slsa.sa.gov.au/arthur/03000/BRG347_2794.htm")</f>
        <v>http://collections.slsa.sa.gov.au/arthur/03000/BRG347_2794.htm</v>
      </c>
    </row>
    <row r="3763" spans="1:11" x14ac:dyDescent="0.25">
      <c r="A3763" t="s">
        <v>12912</v>
      </c>
      <c r="B3763" s="1" t="str">
        <f>HYPERLINK("https://www.catalog.slsa.sa.gov.au/record=b2112530")</f>
        <v>https://www.catalog.slsa.sa.gov.au/record=b2112530</v>
      </c>
      <c r="C3763" s="1" t="str">
        <f>HYPERLINK("https://www.catalog.slsa.sa.gov.au/xrecord=b2112530")</f>
        <v>https://www.catalog.slsa.sa.gov.au/xrecord=b2112530</v>
      </c>
      <c r="D3763" t="s">
        <v>66</v>
      </c>
      <c r="E3763" t="s">
        <v>12913</v>
      </c>
      <c r="F3763">
        <v>1965</v>
      </c>
      <c r="G3763" t="s">
        <v>121</v>
      </c>
      <c r="H3763" t="s">
        <v>12914</v>
      </c>
      <c r="I3763" t="s">
        <v>12915</v>
      </c>
      <c r="J3763" t="s">
        <v>71</v>
      </c>
      <c r="K3763" s="2" t="str">
        <f>HYPERLINK("http://collections.slsa.sa.gov.au/arthur/03000/BRG347_2798.htm")</f>
        <v>http://collections.slsa.sa.gov.au/arthur/03000/BRG347_2798.htm</v>
      </c>
    </row>
    <row r="3764" spans="1:11" x14ac:dyDescent="0.25">
      <c r="A3764" t="s">
        <v>12916</v>
      </c>
      <c r="B3764" s="1" t="str">
        <f>HYPERLINK("https://www.catalog.slsa.sa.gov.au/record=b3139427")</f>
        <v>https://www.catalog.slsa.sa.gov.au/record=b3139427</v>
      </c>
      <c r="C3764" s="1" t="str">
        <f>HYPERLINK("https://www.catalog.slsa.sa.gov.au/xrecord=b3139427")</f>
        <v>https://www.catalog.slsa.sa.gov.au/xrecord=b3139427</v>
      </c>
      <c r="D3764" t="s">
        <v>12917</v>
      </c>
      <c r="E3764" t="s">
        <v>12918</v>
      </c>
      <c r="F3764" t="s">
        <v>12919</v>
      </c>
      <c r="G3764" t="s">
        <v>12920</v>
      </c>
      <c r="H3764" t="s">
        <v>12918</v>
      </c>
      <c r="I3764" t="s">
        <v>12921</v>
      </c>
      <c r="J3764" t="s">
        <v>12922</v>
      </c>
      <c r="K3764" s="2" t="str">
        <f>HYPERLINK("http://collections.slsa.sa.gov.au/resource/PRG+1720/1/59")</f>
        <v>http://collections.slsa.sa.gov.au/resource/PRG+1720/1/59</v>
      </c>
    </row>
    <row r="3765" spans="1:11" x14ac:dyDescent="0.25">
      <c r="A3765" t="s">
        <v>12923</v>
      </c>
      <c r="B3765" s="1" t="str">
        <f>HYPERLINK("https://www.catalog.slsa.sa.gov.au/record=b2111327")</f>
        <v>https://www.catalog.slsa.sa.gov.au/record=b2111327</v>
      </c>
      <c r="C3765" s="1" t="str">
        <f>HYPERLINK("https://www.catalog.slsa.sa.gov.au/xrecord=b2111327")</f>
        <v>https://www.catalog.slsa.sa.gov.au/xrecord=b2111327</v>
      </c>
      <c r="D3765" t="s">
        <v>66</v>
      </c>
      <c r="E3765" t="s">
        <v>12924</v>
      </c>
      <c r="F3765" t="s">
        <v>12919</v>
      </c>
      <c r="G3765" t="s">
        <v>121</v>
      </c>
      <c r="H3765" t="s">
        <v>12925</v>
      </c>
      <c r="I3765" t="s">
        <v>12926</v>
      </c>
      <c r="J3765" t="s">
        <v>71</v>
      </c>
      <c r="K3765" s="2" t="str">
        <f>HYPERLINK("http://collections.slsa.sa.gov.au/arthur/02000/BRG347_1998.htm")</f>
        <v>http://collections.slsa.sa.gov.au/arthur/02000/BRG347_1998.htm</v>
      </c>
    </row>
    <row r="3766" spans="1:11" x14ac:dyDescent="0.25">
      <c r="A3766" t="s">
        <v>12927</v>
      </c>
      <c r="B3766" s="1" t="str">
        <f>HYPERLINK("https://www.catalog.slsa.sa.gov.au/record=b2107855")</f>
        <v>https://www.catalog.slsa.sa.gov.au/record=b2107855</v>
      </c>
      <c r="C3766" s="1" t="str">
        <f>HYPERLINK("https://www.catalog.slsa.sa.gov.au/xrecord=b2107855")</f>
        <v>https://www.catalog.slsa.sa.gov.au/xrecord=b2107855</v>
      </c>
      <c r="E3766" t="s">
        <v>12928</v>
      </c>
      <c r="F3766">
        <v>1966</v>
      </c>
      <c r="G3766" t="s">
        <v>12929</v>
      </c>
      <c r="H3766" t="s">
        <v>14</v>
      </c>
      <c r="I3766" t="s">
        <v>12930</v>
      </c>
      <c r="J3766" t="s">
        <v>16</v>
      </c>
      <c r="K3766" s="2" t="str">
        <f>HYPERLINK("http://collections.slsa.sa.gov.au/arbonlem/01500/PRG1324_1281a.htm")</f>
        <v>http://collections.slsa.sa.gov.au/arbonlem/01500/PRG1324_1281a.htm</v>
      </c>
    </row>
    <row r="3767" spans="1:11" x14ac:dyDescent="0.25">
      <c r="A3767" t="s">
        <v>12931</v>
      </c>
      <c r="B3767" s="1" t="str">
        <f>HYPERLINK("https://www.catalog.slsa.sa.gov.au/record=b2110443")</f>
        <v>https://www.catalog.slsa.sa.gov.au/record=b2110443</v>
      </c>
      <c r="C3767" s="1" t="str">
        <f>HYPERLINK("https://www.catalog.slsa.sa.gov.au/xrecord=b2110443")</f>
        <v>https://www.catalog.slsa.sa.gov.au/xrecord=b2110443</v>
      </c>
      <c r="D3767" t="s">
        <v>66</v>
      </c>
      <c r="E3767" t="s">
        <v>12722</v>
      </c>
      <c r="F3767">
        <v>1966</v>
      </c>
      <c r="G3767" t="s">
        <v>121</v>
      </c>
      <c r="H3767" t="s">
        <v>12932</v>
      </c>
      <c r="I3767" t="s">
        <v>12724</v>
      </c>
      <c r="J3767" t="s">
        <v>71</v>
      </c>
      <c r="K3767" s="2" t="str">
        <f>HYPERLINK("http://collections.slsa.sa.gov.au/arthur/01250/BRG347_1221.htm")</f>
        <v>http://collections.slsa.sa.gov.au/arthur/01250/BRG347_1221.htm</v>
      </c>
    </row>
    <row r="3768" spans="1:11" x14ac:dyDescent="0.25">
      <c r="A3768" t="s">
        <v>12933</v>
      </c>
      <c r="B3768" s="1" t="str">
        <f>HYPERLINK("https://www.catalog.slsa.sa.gov.au/record=b2110444")</f>
        <v>https://www.catalog.slsa.sa.gov.au/record=b2110444</v>
      </c>
      <c r="C3768" s="1" t="str">
        <f>HYPERLINK("https://www.catalog.slsa.sa.gov.au/xrecord=b2110444")</f>
        <v>https://www.catalog.slsa.sa.gov.au/xrecord=b2110444</v>
      </c>
      <c r="D3768" t="s">
        <v>66</v>
      </c>
      <c r="E3768" t="s">
        <v>12722</v>
      </c>
      <c r="F3768">
        <v>1966</v>
      </c>
      <c r="G3768" t="s">
        <v>121</v>
      </c>
      <c r="H3768" t="s">
        <v>12934</v>
      </c>
      <c r="I3768" t="s">
        <v>12724</v>
      </c>
      <c r="J3768" t="s">
        <v>71</v>
      </c>
      <c r="K3768" s="2" t="str">
        <f>HYPERLINK("http://collections.slsa.sa.gov.au/arthur/01250/BRG347_1222.htm")</f>
        <v>http://collections.slsa.sa.gov.au/arthur/01250/BRG347_1222.htm</v>
      </c>
    </row>
    <row r="3769" spans="1:11" x14ac:dyDescent="0.25">
      <c r="A3769" t="s">
        <v>12935</v>
      </c>
      <c r="B3769" s="1" t="str">
        <f>HYPERLINK("https://www.catalog.slsa.sa.gov.au/record=b2110445")</f>
        <v>https://www.catalog.slsa.sa.gov.au/record=b2110445</v>
      </c>
      <c r="C3769" s="1" t="str">
        <f>HYPERLINK("https://www.catalog.slsa.sa.gov.au/xrecord=b2110445")</f>
        <v>https://www.catalog.slsa.sa.gov.au/xrecord=b2110445</v>
      </c>
      <c r="D3769" t="s">
        <v>66</v>
      </c>
      <c r="E3769" t="s">
        <v>10628</v>
      </c>
      <c r="F3769">
        <v>1966</v>
      </c>
      <c r="G3769" t="s">
        <v>121</v>
      </c>
      <c r="H3769" t="s">
        <v>12936</v>
      </c>
      <c r="I3769" t="s">
        <v>4562</v>
      </c>
      <c r="J3769" t="s">
        <v>71</v>
      </c>
      <c r="K3769" s="2" t="str">
        <f>HYPERLINK("http://collections.slsa.sa.gov.au/arthur/01250/BRG347_1223.htm")</f>
        <v>http://collections.slsa.sa.gov.au/arthur/01250/BRG347_1223.htm</v>
      </c>
    </row>
    <row r="3770" spans="1:11" x14ac:dyDescent="0.25">
      <c r="A3770" t="s">
        <v>12937</v>
      </c>
      <c r="B3770" s="1" t="str">
        <f>HYPERLINK("https://www.catalog.slsa.sa.gov.au/record=b2110446")</f>
        <v>https://www.catalog.slsa.sa.gov.au/record=b2110446</v>
      </c>
      <c r="C3770" s="1" t="str">
        <f>HYPERLINK("https://www.catalog.slsa.sa.gov.au/xrecord=b2110446")</f>
        <v>https://www.catalog.slsa.sa.gov.au/xrecord=b2110446</v>
      </c>
      <c r="D3770" t="s">
        <v>66</v>
      </c>
      <c r="E3770" t="s">
        <v>12722</v>
      </c>
      <c r="F3770">
        <v>1966</v>
      </c>
      <c r="G3770" t="s">
        <v>121</v>
      </c>
      <c r="H3770" t="s">
        <v>12938</v>
      </c>
      <c r="I3770" t="s">
        <v>12939</v>
      </c>
      <c r="J3770" t="s">
        <v>71</v>
      </c>
      <c r="K3770" s="2" t="str">
        <f>HYPERLINK("http://collections.slsa.sa.gov.au/arthur/01250/BRG347_1224.htm")</f>
        <v>http://collections.slsa.sa.gov.au/arthur/01250/BRG347_1224.htm</v>
      </c>
    </row>
    <row r="3771" spans="1:11" x14ac:dyDescent="0.25">
      <c r="A3771" t="s">
        <v>12940</v>
      </c>
      <c r="B3771" s="1" t="str">
        <f>HYPERLINK("https://www.catalog.slsa.sa.gov.au/record=b2110447")</f>
        <v>https://www.catalog.slsa.sa.gov.au/record=b2110447</v>
      </c>
      <c r="C3771" s="1" t="str">
        <f>HYPERLINK("https://www.catalog.slsa.sa.gov.au/xrecord=b2110447")</f>
        <v>https://www.catalog.slsa.sa.gov.au/xrecord=b2110447</v>
      </c>
      <c r="D3771" t="s">
        <v>66</v>
      </c>
      <c r="E3771" t="s">
        <v>12941</v>
      </c>
      <c r="F3771">
        <v>1966</v>
      </c>
      <c r="G3771" t="s">
        <v>121</v>
      </c>
      <c r="H3771" t="s">
        <v>12942</v>
      </c>
      <c r="I3771" t="s">
        <v>8690</v>
      </c>
      <c r="J3771" t="s">
        <v>71</v>
      </c>
      <c r="K3771" s="2" t="str">
        <f>HYPERLINK("http://collections.slsa.sa.gov.au/arthur/01250/BRG347_1225.htm")</f>
        <v>http://collections.slsa.sa.gov.au/arthur/01250/BRG347_1225.htm</v>
      </c>
    </row>
    <row r="3772" spans="1:11" x14ac:dyDescent="0.25">
      <c r="A3772" t="s">
        <v>12943</v>
      </c>
      <c r="B3772" s="1" t="str">
        <f>HYPERLINK("https://www.catalog.slsa.sa.gov.au/record=b2110448")</f>
        <v>https://www.catalog.slsa.sa.gov.au/record=b2110448</v>
      </c>
      <c r="C3772" s="1" t="str">
        <f>HYPERLINK("https://www.catalog.slsa.sa.gov.au/xrecord=b2110448")</f>
        <v>https://www.catalog.slsa.sa.gov.au/xrecord=b2110448</v>
      </c>
      <c r="D3772" t="s">
        <v>66</v>
      </c>
      <c r="E3772" t="s">
        <v>12722</v>
      </c>
      <c r="F3772">
        <v>1966</v>
      </c>
      <c r="G3772" t="s">
        <v>121</v>
      </c>
      <c r="H3772" t="s">
        <v>12944</v>
      </c>
      <c r="I3772" t="s">
        <v>12945</v>
      </c>
      <c r="J3772" t="s">
        <v>71</v>
      </c>
      <c r="K3772" s="2" t="str">
        <f>HYPERLINK("http://collections.slsa.sa.gov.au/arthur/01250/BRG347_1226.htm")</f>
        <v>http://collections.slsa.sa.gov.au/arthur/01250/BRG347_1226.htm</v>
      </c>
    </row>
    <row r="3773" spans="1:11" x14ac:dyDescent="0.25">
      <c r="A3773" t="s">
        <v>12946</v>
      </c>
      <c r="B3773" s="1" t="str">
        <f>HYPERLINK("https://www.catalog.slsa.sa.gov.au/record=b2110454")</f>
        <v>https://www.catalog.slsa.sa.gov.au/record=b2110454</v>
      </c>
      <c r="C3773" s="1" t="str">
        <f>HYPERLINK("https://www.catalog.slsa.sa.gov.au/xrecord=b2110454")</f>
        <v>https://www.catalog.slsa.sa.gov.au/xrecord=b2110454</v>
      </c>
      <c r="D3773" t="s">
        <v>66</v>
      </c>
      <c r="E3773" t="s">
        <v>12947</v>
      </c>
      <c r="F3773">
        <v>1966</v>
      </c>
      <c r="G3773" t="s">
        <v>121</v>
      </c>
      <c r="H3773" t="s">
        <v>12948</v>
      </c>
      <c r="I3773" t="s">
        <v>12949</v>
      </c>
      <c r="J3773" t="s">
        <v>71</v>
      </c>
      <c r="K3773" s="2" t="str">
        <f>HYPERLINK("http://collections.slsa.sa.gov.au/arthur/01250/BRG347_1232.htm")</f>
        <v>http://collections.slsa.sa.gov.au/arthur/01250/BRG347_1232.htm</v>
      </c>
    </row>
    <row r="3774" spans="1:11" x14ac:dyDescent="0.25">
      <c r="A3774" t="s">
        <v>12950</v>
      </c>
      <c r="B3774" s="1" t="str">
        <f>HYPERLINK("https://www.catalog.slsa.sa.gov.au/record=b2110455")</f>
        <v>https://www.catalog.slsa.sa.gov.au/record=b2110455</v>
      </c>
      <c r="C3774" s="1" t="str">
        <f>HYPERLINK("https://www.catalog.slsa.sa.gov.au/xrecord=b2110455")</f>
        <v>https://www.catalog.slsa.sa.gov.au/xrecord=b2110455</v>
      </c>
      <c r="D3774" t="s">
        <v>66</v>
      </c>
      <c r="E3774" t="s">
        <v>12941</v>
      </c>
      <c r="F3774">
        <v>1966</v>
      </c>
      <c r="G3774" t="s">
        <v>121</v>
      </c>
      <c r="H3774" t="s">
        <v>12951</v>
      </c>
      <c r="I3774" t="s">
        <v>8690</v>
      </c>
      <c r="J3774" t="s">
        <v>71</v>
      </c>
      <c r="K3774" s="2" t="str">
        <f>HYPERLINK("http://collections.slsa.sa.gov.au/arthur/01250/BRG347_1233.htm")</f>
        <v>http://collections.slsa.sa.gov.au/arthur/01250/BRG347_1233.htm</v>
      </c>
    </row>
    <row r="3775" spans="1:11" x14ac:dyDescent="0.25">
      <c r="A3775" t="s">
        <v>12952</v>
      </c>
      <c r="B3775" s="1" t="str">
        <f>HYPERLINK("https://www.catalog.slsa.sa.gov.au/record=b2110456")</f>
        <v>https://www.catalog.slsa.sa.gov.au/record=b2110456</v>
      </c>
      <c r="C3775" s="1" t="str">
        <f>HYPERLINK("https://www.catalog.slsa.sa.gov.au/xrecord=b2110456")</f>
        <v>https://www.catalog.slsa.sa.gov.au/xrecord=b2110456</v>
      </c>
      <c r="D3775" t="s">
        <v>66</v>
      </c>
      <c r="E3775" t="s">
        <v>12953</v>
      </c>
      <c r="F3775">
        <v>1966</v>
      </c>
      <c r="G3775" t="s">
        <v>121</v>
      </c>
      <c r="H3775" t="s">
        <v>12954</v>
      </c>
      <c r="I3775" t="s">
        <v>12955</v>
      </c>
      <c r="J3775" t="s">
        <v>71</v>
      </c>
      <c r="K3775" s="2" t="str">
        <f>HYPERLINK("http://collections.slsa.sa.gov.au/arthur/01250/BRG347_1234.htm")</f>
        <v>http://collections.slsa.sa.gov.au/arthur/01250/BRG347_1234.htm</v>
      </c>
    </row>
    <row r="3776" spans="1:11" x14ac:dyDescent="0.25">
      <c r="A3776" t="s">
        <v>12956</v>
      </c>
      <c r="B3776" s="1" t="str">
        <f>HYPERLINK("https://www.catalog.slsa.sa.gov.au/record=b2110457")</f>
        <v>https://www.catalog.slsa.sa.gov.au/record=b2110457</v>
      </c>
      <c r="C3776" s="1" t="str">
        <f>HYPERLINK("https://www.catalog.slsa.sa.gov.au/xrecord=b2110457")</f>
        <v>https://www.catalog.slsa.sa.gov.au/xrecord=b2110457</v>
      </c>
      <c r="D3776" t="s">
        <v>66</v>
      </c>
      <c r="E3776" t="s">
        <v>12947</v>
      </c>
      <c r="F3776">
        <v>1966</v>
      </c>
      <c r="G3776" t="s">
        <v>121</v>
      </c>
      <c r="H3776" t="s">
        <v>12957</v>
      </c>
      <c r="I3776" t="s">
        <v>12958</v>
      </c>
      <c r="J3776" t="s">
        <v>71</v>
      </c>
      <c r="K3776" s="2" t="str">
        <f>HYPERLINK("http://collections.slsa.sa.gov.au/arthur/01250/BRG347_1235.htm")</f>
        <v>http://collections.slsa.sa.gov.au/arthur/01250/BRG347_1235.htm</v>
      </c>
    </row>
    <row r="3777" spans="1:11" x14ac:dyDescent="0.25">
      <c r="A3777" t="s">
        <v>12959</v>
      </c>
      <c r="B3777" s="1" t="str">
        <f>HYPERLINK("https://www.catalog.slsa.sa.gov.au/record=b2110458")</f>
        <v>https://www.catalog.slsa.sa.gov.au/record=b2110458</v>
      </c>
      <c r="C3777" s="1" t="str">
        <f>HYPERLINK("https://www.catalog.slsa.sa.gov.au/xrecord=b2110458")</f>
        <v>https://www.catalog.slsa.sa.gov.au/xrecord=b2110458</v>
      </c>
      <c r="D3777" t="s">
        <v>66</v>
      </c>
      <c r="E3777" t="s">
        <v>12947</v>
      </c>
      <c r="F3777">
        <v>1966</v>
      </c>
      <c r="G3777" t="s">
        <v>121</v>
      </c>
      <c r="H3777" t="s">
        <v>12960</v>
      </c>
      <c r="I3777" t="s">
        <v>12958</v>
      </c>
      <c r="J3777" t="s">
        <v>71</v>
      </c>
      <c r="K3777" s="2" t="str">
        <f>HYPERLINK("http://collections.slsa.sa.gov.au/arthur/01250/BRG347_1236.htm")</f>
        <v>http://collections.slsa.sa.gov.au/arthur/01250/BRG347_1236.htm</v>
      </c>
    </row>
    <row r="3778" spans="1:11" x14ac:dyDescent="0.25">
      <c r="A3778" t="s">
        <v>12961</v>
      </c>
      <c r="B3778" s="1" t="str">
        <f>HYPERLINK("https://www.catalog.slsa.sa.gov.au/record=b2110459")</f>
        <v>https://www.catalog.slsa.sa.gov.au/record=b2110459</v>
      </c>
      <c r="C3778" s="1" t="str">
        <f>HYPERLINK("https://www.catalog.slsa.sa.gov.au/xrecord=b2110459")</f>
        <v>https://www.catalog.slsa.sa.gov.au/xrecord=b2110459</v>
      </c>
      <c r="D3778" t="s">
        <v>66</v>
      </c>
      <c r="E3778" t="s">
        <v>12962</v>
      </c>
      <c r="F3778">
        <v>1966</v>
      </c>
      <c r="G3778" t="s">
        <v>121</v>
      </c>
      <c r="H3778" t="s">
        <v>12963</v>
      </c>
      <c r="I3778" t="s">
        <v>4562</v>
      </c>
      <c r="J3778" t="s">
        <v>71</v>
      </c>
      <c r="K3778" s="2" t="str">
        <f>HYPERLINK("http://collections.slsa.sa.gov.au/arthur/01250/BRG347_1237.htm")</f>
        <v>http://collections.slsa.sa.gov.au/arthur/01250/BRG347_1237.htm</v>
      </c>
    </row>
    <row r="3779" spans="1:11" x14ac:dyDescent="0.25">
      <c r="A3779" t="s">
        <v>12964</v>
      </c>
      <c r="B3779" s="1" t="str">
        <f>HYPERLINK("https://www.catalog.slsa.sa.gov.au/record=b2110586")</f>
        <v>https://www.catalog.slsa.sa.gov.au/record=b2110586</v>
      </c>
      <c r="C3779" s="1" t="str">
        <f>HYPERLINK("https://www.catalog.slsa.sa.gov.au/xrecord=b2110586")</f>
        <v>https://www.catalog.slsa.sa.gov.au/xrecord=b2110586</v>
      </c>
      <c r="D3779" t="s">
        <v>66</v>
      </c>
      <c r="E3779" t="s">
        <v>12965</v>
      </c>
      <c r="F3779">
        <v>1966</v>
      </c>
      <c r="G3779" t="s">
        <v>121</v>
      </c>
      <c r="H3779" t="s">
        <v>12966</v>
      </c>
      <c r="I3779" t="s">
        <v>5556</v>
      </c>
      <c r="J3779" t="s">
        <v>71</v>
      </c>
      <c r="K3779" s="2" t="str">
        <f>HYPERLINK("http://collections.slsa.sa.gov.au/arthur/01500/BRG347_1303.htm")</f>
        <v>http://collections.slsa.sa.gov.au/arthur/01500/BRG347_1303.htm</v>
      </c>
    </row>
    <row r="3780" spans="1:11" x14ac:dyDescent="0.25">
      <c r="A3780" t="s">
        <v>12967</v>
      </c>
      <c r="B3780" s="1" t="str">
        <f>HYPERLINK("https://www.catalog.slsa.sa.gov.au/record=b2110588")</f>
        <v>https://www.catalog.slsa.sa.gov.au/record=b2110588</v>
      </c>
      <c r="C3780" s="1" t="str">
        <f>HYPERLINK("https://www.catalog.slsa.sa.gov.au/xrecord=b2110588")</f>
        <v>https://www.catalog.slsa.sa.gov.au/xrecord=b2110588</v>
      </c>
      <c r="D3780" t="s">
        <v>66</v>
      </c>
      <c r="E3780" t="s">
        <v>12968</v>
      </c>
      <c r="F3780">
        <v>1966</v>
      </c>
      <c r="G3780" t="s">
        <v>121</v>
      </c>
      <c r="H3780" t="s">
        <v>12969</v>
      </c>
      <c r="I3780" t="s">
        <v>12970</v>
      </c>
      <c r="J3780" t="s">
        <v>71</v>
      </c>
      <c r="K3780" s="2" t="str">
        <f>HYPERLINK("http://collections.slsa.sa.gov.au/arthur/01500/BRG347_1305.htm")</f>
        <v>http://collections.slsa.sa.gov.au/arthur/01500/BRG347_1305.htm</v>
      </c>
    </row>
    <row r="3781" spans="1:11" x14ac:dyDescent="0.25">
      <c r="A3781" t="s">
        <v>12971</v>
      </c>
      <c r="B3781" s="1" t="str">
        <f>HYPERLINK("https://www.catalog.slsa.sa.gov.au/record=b2110589")</f>
        <v>https://www.catalog.slsa.sa.gov.au/record=b2110589</v>
      </c>
      <c r="C3781" s="1" t="str">
        <f>HYPERLINK("https://www.catalog.slsa.sa.gov.au/xrecord=b2110589")</f>
        <v>https://www.catalog.slsa.sa.gov.au/xrecord=b2110589</v>
      </c>
      <c r="D3781" t="s">
        <v>66</v>
      </c>
      <c r="E3781" t="s">
        <v>12972</v>
      </c>
      <c r="F3781">
        <v>1966</v>
      </c>
      <c r="G3781" t="s">
        <v>121</v>
      </c>
      <c r="H3781" t="s">
        <v>12973</v>
      </c>
      <c r="I3781" t="s">
        <v>12974</v>
      </c>
      <c r="J3781" t="s">
        <v>71</v>
      </c>
      <c r="K3781" s="2" t="str">
        <f>HYPERLINK("http://collections.slsa.sa.gov.au/arthur/01500/BRG347_1306.htm")</f>
        <v>http://collections.slsa.sa.gov.au/arthur/01500/BRG347_1306.htm</v>
      </c>
    </row>
    <row r="3782" spans="1:11" x14ac:dyDescent="0.25">
      <c r="A3782" t="s">
        <v>12975</v>
      </c>
      <c r="B3782" s="1" t="str">
        <f>HYPERLINK("https://www.catalog.slsa.sa.gov.au/record=b2110590")</f>
        <v>https://www.catalog.slsa.sa.gov.au/record=b2110590</v>
      </c>
      <c r="C3782" s="1" t="str">
        <f>HYPERLINK("https://www.catalog.slsa.sa.gov.au/xrecord=b2110590")</f>
        <v>https://www.catalog.slsa.sa.gov.au/xrecord=b2110590</v>
      </c>
      <c r="D3782" t="s">
        <v>66</v>
      </c>
      <c r="E3782" t="s">
        <v>12972</v>
      </c>
      <c r="F3782">
        <v>1966</v>
      </c>
      <c r="G3782" t="s">
        <v>121</v>
      </c>
      <c r="H3782" t="s">
        <v>12976</v>
      </c>
      <c r="I3782" t="s">
        <v>12974</v>
      </c>
      <c r="J3782" t="s">
        <v>71</v>
      </c>
      <c r="K3782" s="2" t="str">
        <f>HYPERLINK("http://collections.slsa.sa.gov.au/arthur/01500/BRG347_1307.htm")</f>
        <v>http://collections.slsa.sa.gov.au/arthur/01500/BRG347_1307.htm</v>
      </c>
    </row>
    <row r="3783" spans="1:11" x14ac:dyDescent="0.25">
      <c r="A3783" t="s">
        <v>12977</v>
      </c>
      <c r="B3783" s="1" t="str">
        <f>HYPERLINK("https://www.catalog.slsa.sa.gov.au/record=b2110591")</f>
        <v>https://www.catalog.slsa.sa.gov.au/record=b2110591</v>
      </c>
      <c r="C3783" s="1" t="str">
        <f>HYPERLINK("https://www.catalog.slsa.sa.gov.au/xrecord=b2110591")</f>
        <v>https://www.catalog.slsa.sa.gov.au/xrecord=b2110591</v>
      </c>
      <c r="D3783" t="s">
        <v>66</v>
      </c>
      <c r="E3783" t="s">
        <v>12978</v>
      </c>
      <c r="F3783">
        <v>1966</v>
      </c>
      <c r="G3783" t="s">
        <v>121</v>
      </c>
      <c r="H3783" t="s">
        <v>12979</v>
      </c>
      <c r="I3783" t="s">
        <v>12980</v>
      </c>
      <c r="J3783" t="s">
        <v>71</v>
      </c>
      <c r="K3783" s="2" t="str">
        <f>HYPERLINK("http://collections.slsa.sa.gov.au/arthur/01500/BRG347_1308.htm")</f>
        <v>http://collections.slsa.sa.gov.au/arthur/01500/BRG347_1308.htm</v>
      </c>
    </row>
    <row r="3784" spans="1:11" x14ac:dyDescent="0.25">
      <c r="A3784" t="s">
        <v>12981</v>
      </c>
      <c r="B3784" s="1" t="str">
        <f>HYPERLINK("https://www.catalog.slsa.sa.gov.au/record=b2110902")</f>
        <v>https://www.catalog.slsa.sa.gov.au/record=b2110902</v>
      </c>
      <c r="C3784" s="1" t="str">
        <f>HYPERLINK("https://www.catalog.slsa.sa.gov.au/xrecord=b2110902")</f>
        <v>https://www.catalog.slsa.sa.gov.au/xrecord=b2110902</v>
      </c>
      <c r="D3784" t="s">
        <v>66</v>
      </c>
      <c r="E3784" t="s">
        <v>12982</v>
      </c>
      <c r="F3784">
        <v>1966</v>
      </c>
      <c r="G3784" t="s">
        <v>121</v>
      </c>
      <c r="H3784" t="s">
        <v>12983</v>
      </c>
      <c r="I3784" t="s">
        <v>12984</v>
      </c>
      <c r="J3784" t="s">
        <v>71</v>
      </c>
      <c r="K3784" s="2" t="str">
        <f>HYPERLINK("http://collections.slsa.sa.gov.au/arthur/01750/BRG347_1582.htm")</f>
        <v>http://collections.slsa.sa.gov.au/arthur/01750/BRG347_1582.htm</v>
      </c>
    </row>
    <row r="3785" spans="1:11" x14ac:dyDescent="0.25">
      <c r="A3785" t="s">
        <v>12985</v>
      </c>
      <c r="B3785" s="1" t="str">
        <f>HYPERLINK("https://www.catalog.slsa.sa.gov.au/record=b2110903")</f>
        <v>https://www.catalog.slsa.sa.gov.au/record=b2110903</v>
      </c>
      <c r="C3785" s="1" t="str">
        <f>HYPERLINK("https://www.catalog.slsa.sa.gov.au/xrecord=b2110903")</f>
        <v>https://www.catalog.slsa.sa.gov.au/xrecord=b2110903</v>
      </c>
      <c r="D3785" t="s">
        <v>66</v>
      </c>
      <c r="E3785" t="s">
        <v>12986</v>
      </c>
      <c r="F3785">
        <v>1966</v>
      </c>
      <c r="G3785" t="s">
        <v>121</v>
      </c>
      <c r="H3785" t="s">
        <v>12987</v>
      </c>
      <c r="I3785" t="s">
        <v>12988</v>
      </c>
      <c r="J3785" t="s">
        <v>71</v>
      </c>
      <c r="K3785" s="2" t="str">
        <f>HYPERLINK("http://collections.slsa.sa.gov.au/arthur/01750/BRG347_1583.htm")</f>
        <v>http://collections.slsa.sa.gov.au/arthur/01750/BRG347_1583.htm</v>
      </c>
    </row>
    <row r="3786" spans="1:11" x14ac:dyDescent="0.25">
      <c r="A3786" t="s">
        <v>12989</v>
      </c>
      <c r="B3786" s="1" t="str">
        <f>HYPERLINK("https://www.catalog.slsa.sa.gov.au/record=b2110904")</f>
        <v>https://www.catalog.slsa.sa.gov.au/record=b2110904</v>
      </c>
      <c r="C3786" s="1" t="str">
        <f>HYPERLINK("https://www.catalog.slsa.sa.gov.au/xrecord=b2110904")</f>
        <v>https://www.catalog.slsa.sa.gov.au/xrecord=b2110904</v>
      </c>
      <c r="D3786" t="s">
        <v>66</v>
      </c>
      <c r="E3786" t="s">
        <v>12982</v>
      </c>
      <c r="F3786">
        <v>1966</v>
      </c>
      <c r="G3786" t="s">
        <v>121</v>
      </c>
      <c r="H3786" t="s">
        <v>12990</v>
      </c>
      <c r="I3786" t="s">
        <v>12991</v>
      </c>
      <c r="J3786" t="s">
        <v>71</v>
      </c>
      <c r="K3786" s="2" t="str">
        <f>HYPERLINK("http://collections.slsa.sa.gov.au/arthur/01750/BRG347_1584.htm")</f>
        <v>http://collections.slsa.sa.gov.au/arthur/01750/BRG347_1584.htm</v>
      </c>
    </row>
    <row r="3787" spans="1:11" x14ac:dyDescent="0.25">
      <c r="A3787" t="s">
        <v>12992</v>
      </c>
      <c r="B3787" s="1" t="str">
        <f>HYPERLINK("https://www.catalog.slsa.sa.gov.au/record=b2110905")</f>
        <v>https://www.catalog.slsa.sa.gov.au/record=b2110905</v>
      </c>
      <c r="C3787" s="1" t="str">
        <f>HYPERLINK("https://www.catalog.slsa.sa.gov.au/xrecord=b2110905")</f>
        <v>https://www.catalog.slsa.sa.gov.au/xrecord=b2110905</v>
      </c>
      <c r="D3787" t="s">
        <v>66</v>
      </c>
      <c r="E3787" t="s">
        <v>12986</v>
      </c>
      <c r="F3787">
        <v>1966</v>
      </c>
      <c r="G3787" t="s">
        <v>121</v>
      </c>
      <c r="H3787" t="s">
        <v>12993</v>
      </c>
      <c r="I3787" t="s">
        <v>12988</v>
      </c>
      <c r="J3787" t="s">
        <v>71</v>
      </c>
      <c r="K3787" s="2" t="str">
        <f>HYPERLINK("http://collections.slsa.sa.gov.au/arthur/01750/BRG347_1585.htm")</f>
        <v>http://collections.slsa.sa.gov.au/arthur/01750/BRG347_1585.htm</v>
      </c>
    </row>
    <row r="3788" spans="1:11" x14ac:dyDescent="0.25">
      <c r="A3788" t="s">
        <v>12994</v>
      </c>
      <c r="B3788" s="1" t="str">
        <f>HYPERLINK("https://www.catalog.slsa.sa.gov.au/record=b2110906")</f>
        <v>https://www.catalog.slsa.sa.gov.au/record=b2110906</v>
      </c>
      <c r="C3788" s="1" t="str">
        <f>HYPERLINK("https://www.catalog.slsa.sa.gov.au/xrecord=b2110906")</f>
        <v>https://www.catalog.slsa.sa.gov.au/xrecord=b2110906</v>
      </c>
      <c r="D3788" t="s">
        <v>66</v>
      </c>
      <c r="E3788" t="s">
        <v>6272</v>
      </c>
      <c r="F3788">
        <v>1966</v>
      </c>
      <c r="G3788" t="s">
        <v>121</v>
      </c>
      <c r="H3788" t="s">
        <v>12995</v>
      </c>
      <c r="I3788" t="s">
        <v>12996</v>
      </c>
      <c r="J3788" t="s">
        <v>71</v>
      </c>
      <c r="K3788" s="2" t="str">
        <f>HYPERLINK("http://collections.slsa.sa.gov.au/arthur/01750/BRG347_1586.htm")</f>
        <v>http://collections.slsa.sa.gov.au/arthur/01750/BRG347_1586.htm</v>
      </c>
    </row>
    <row r="3789" spans="1:11" x14ac:dyDescent="0.25">
      <c r="A3789" t="s">
        <v>12997</v>
      </c>
      <c r="B3789" s="1" t="str">
        <f>HYPERLINK("https://www.catalog.slsa.sa.gov.au/record=b2110907")</f>
        <v>https://www.catalog.slsa.sa.gov.au/record=b2110907</v>
      </c>
      <c r="C3789" s="1" t="str">
        <f>HYPERLINK("https://www.catalog.slsa.sa.gov.au/xrecord=b2110907")</f>
        <v>https://www.catalog.slsa.sa.gov.au/xrecord=b2110907</v>
      </c>
      <c r="D3789" t="s">
        <v>66</v>
      </c>
      <c r="E3789" t="s">
        <v>7239</v>
      </c>
      <c r="F3789">
        <v>1966</v>
      </c>
      <c r="G3789" t="s">
        <v>121</v>
      </c>
      <c r="H3789" t="s">
        <v>12998</v>
      </c>
      <c r="I3789" t="s">
        <v>7241</v>
      </c>
      <c r="J3789" t="s">
        <v>71</v>
      </c>
      <c r="K3789" s="2" t="str">
        <f>HYPERLINK("http://collections.slsa.sa.gov.au/arthur/01750/BRG347_1587.htm")</f>
        <v>http://collections.slsa.sa.gov.au/arthur/01750/BRG347_1587.htm</v>
      </c>
    </row>
    <row r="3790" spans="1:11" x14ac:dyDescent="0.25">
      <c r="A3790" t="s">
        <v>12999</v>
      </c>
      <c r="B3790" s="1" t="str">
        <f>HYPERLINK("https://www.catalog.slsa.sa.gov.au/record=b2110908")</f>
        <v>https://www.catalog.slsa.sa.gov.au/record=b2110908</v>
      </c>
      <c r="C3790" s="1" t="str">
        <f>HYPERLINK("https://www.catalog.slsa.sa.gov.au/xrecord=b2110908")</f>
        <v>https://www.catalog.slsa.sa.gov.au/xrecord=b2110908</v>
      </c>
      <c r="D3790" t="s">
        <v>66</v>
      </c>
      <c r="E3790" t="s">
        <v>6272</v>
      </c>
      <c r="F3790">
        <v>1966</v>
      </c>
      <c r="G3790" t="s">
        <v>121</v>
      </c>
      <c r="H3790" t="s">
        <v>13000</v>
      </c>
      <c r="I3790" t="s">
        <v>12955</v>
      </c>
      <c r="J3790" t="s">
        <v>71</v>
      </c>
      <c r="K3790" s="2" t="str">
        <f>HYPERLINK("http://collections.slsa.sa.gov.au/arthur/01750/BRG347_1588.htm")</f>
        <v>http://collections.slsa.sa.gov.au/arthur/01750/BRG347_1588.htm</v>
      </c>
    </row>
    <row r="3791" spans="1:11" x14ac:dyDescent="0.25">
      <c r="A3791" t="s">
        <v>13001</v>
      </c>
      <c r="B3791" s="1" t="str">
        <f>HYPERLINK("https://www.catalog.slsa.sa.gov.au/record=b2110909")</f>
        <v>https://www.catalog.slsa.sa.gov.au/record=b2110909</v>
      </c>
      <c r="C3791" s="1" t="str">
        <f>HYPERLINK("https://www.catalog.slsa.sa.gov.au/xrecord=b2110909")</f>
        <v>https://www.catalog.slsa.sa.gov.au/xrecord=b2110909</v>
      </c>
      <c r="D3791" t="s">
        <v>66</v>
      </c>
      <c r="E3791" t="s">
        <v>6272</v>
      </c>
      <c r="F3791">
        <v>1966</v>
      </c>
      <c r="G3791" t="s">
        <v>121</v>
      </c>
      <c r="H3791" t="s">
        <v>13002</v>
      </c>
      <c r="I3791" t="s">
        <v>12955</v>
      </c>
      <c r="J3791" t="s">
        <v>71</v>
      </c>
      <c r="K3791" s="2" t="str">
        <f>HYPERLINK("http://collections.slsa.sa.gov.au/arthur/01750/BRG347_1589.htm")</f>
        <v>http://collections.slsa.sa.gov.au/arthur/01750/BRG347_1589.htm</v>
      </c>
    </row>
    <row r="3792" spans="1:11" x14ac:dyDescent="0.25">
      <c r="A3792" t="s">
        <v>13003</v>
      </c>
      <c r="B3792" s="1" t="str">
        <f>HYPERLINK("https://www.catalog.slsa.sa.gov.au/record=b2118241")</f>
        <v>https://www.catalog.slsa.sa.gov.au/record=b2118241</v>
      </c>
      <c r="C3792" s="1" t="str">
        <f>HYPERLINK("https://www.catalog.slsa.sa.gov.au/xrecord=b2118241")</f>
        <v>https://www.catalog.slsa.sa.gov.au/xrecord=b2118241</v>
      </c>
      <c r="D3792" t="s">
        <v>66</v>
      </c>
      <c r="E3792" t="s">
        <v>13004</v>
      </c>
      <c r="F3792">
        <v>1966</v>
      </c>
      <c r="G3792" t="s">
        <v>12416</v>
      </c>
      <c r="H3792" t="s">
        <v>13005</v>
      </c>
      <c r="I3792" t="s">
        <v>13006</v>
      </c>
      <c r="J3792" t="s">
        <v>71</v>
      </c>
      <c r="K3792" s="2" t="str">
        <f>HYPERLINK("http://collections.slsa.sa.gov.au/arthur/01750/BRG347_1710.htm")</f>
        <v>http://collections.slsa.sa.gov.au/arthur/01750/BRG347_1710.htm</v>
      </c>
    </row>
    <row r="3793" spans="1:11" x14ac:dyDescent="0.25">
      <c r="A3793" t="s">
        <v>13007</v>
      </c>
      <c r="B3793" s="1" t="str">
        <f>HYPERLINK("https://www.catalog.slsa.sa.gov.au/record=b2111029")</f>
        <v>https://www.catalog.slsa.sa.gov.au/record=b2111029</v>
      </c>
      <c r="C3793" s="1" t="str">
        <f>HYPERLINK("https://www.catalog.slsa.sa.gov.au/xrecord=b2111029")</f>
        <v>https://www.catalog.slsa.sa.gov.au/xrecord=b2111029</v>
      </c>
      <c r="D3793" t="s">
        <v>66</v>
      </c>
      <c r="E3793" t="s">
        <v>13008</v>
      </c>
      <c r="F3793">
        <v>1966</v>
      </c>
      <c r="G3793" t="s">
        <v>121</v>
      </c>
      <c r="H3793" t="s">
        <v>13009</v>
      </c>
      <c r="I3793" t="s">
        <v>13010</v>
      </c>
      <c r="J3793" t="s">
        <v>71</v>
      </c>
      <c r="K3793" s="2" t="str">
        <f>HYPERLINK("http://collections.slsa.sa.gov.au/arthur/01750/BRG347_1711.htm")</f>
        <v>http://collections.slsa.sa.gov.au/arthur/01750/BRG347_1711.htm</v>
      </c>
    </row>
    <row r="3794" spans="1:11" x14ac:dyDescent="0.25">
      <c r="A3794" t="s">
        <v>13011</v>
      </c>
      <c r="B3794" s="1" t="str">
        <f>HYPERLINK("https://www.catalog.slsa.sa.gov.au/record=b2111042")</f>
        <v>https://www.catalog.slsa.sa.gov.au/record=b2111042</v>
      </c>
      <c r="C3794" s="1" t="str">
        <f>HYPERLINK("https://www.catalog.slsa.sa.gov.au/xrecord=b2111042")</f>
        <v>https://www.catalog.slsa.sa.gov.au/xrecord=b2111042</v>
      </c>
      <c r="D3794" t="s">
        <v>66</v>
      </c>
      <c r="E3794" t="s">
        <v>10221</v>
      </c>
      <c r="F3794">
        <v>1966</v>
      </c>
      <c r="G3794" t="s">
        <v>121</v>
      </c>
      <c r="H3794" t="s">
        <v>13012</v>
      </c>
      <c r="I3794" t="s">
        <v>13013</v>
      </c>
      <c r="J3794" t="s">
        <v>71</v>
      </c>
      <c r="K3794" s="2" t="str">
        <f>HYPERLINK("http://collections.slsa.sa.gov.au/arthur/01750/BRG347_1724.htm")</f>
        <v>http://collections.slsa.sa.gov.au/arthur/01750/BRG347_1724.htm</v>
      </c>
    </row>
    <row r="3795" spans="1:11" x14ac:dyDescent="0.25">
      <c r="A3795" t="s">
        <v>13014</v>
      </c>
      <c r="B3795" s="1" t="str">
        <f>HYPERLINK("https://www.catalog.slsa.sa.gov.au/record=b2111043")</f>
        <v>https://www.catalog.slsa.sa.gov.au/record=b2111043</v>
      </c>
      <c r="C3795" s="1" t="str">
        <f>HYPERLINK("https://www.catalog.slsa.sa.gov.au/xrecord=b2111043")</f>
        <v>https://www.catalog.slsa.sa.gov.au/xrecord=b2111043</v>
      </c>
      <c r="D3795" t="s">
        <v>66</v>
      </c>
      <c r="E3795" t="s">
        <v>10241</v>
      </c>
      <c r="F3795">
        <v>1966</v>
      </c>
      <c r="G3795" t="s">
        <v>121</v>
      </c>
      <c r="H3795" t="s">
        <v>13015</v>
      </c>
      <c r="I3795" t="s">
        <v>13016</v>
      </c>
      <c r="J3795" t="s">
        <v>71</v>
      </c>
      <c r="K3795" s="2" t="str">
        <f>HYPERLINK("http://collections.slsa.sa.gov.au/arthur/01750/BRG347_1725.htm")</f>
        <v>http://collections.slsa.sa.gov.au/arthur/01750/BRG347_1725.htm</v>
      </c>
    </row>
    <row r="3796" spans="1:11" x14ac:dyDescent="0.25">
      <c r="A3796" t="s">
        <v>13017</v>
      </c>
      <c r="B3796" s="1" t="str">
        <f>HYPERLINK("https://www.catalog.slsa.sa.gov.au/record=b2111044")</f>
        <v>https://www.catalog.slsa.sa.gov.au/record=b2111044</v>
      </c>
      <c r="C3796" s="1" t="str">
        <f>HYPERLINK("https://www.catalog.slsa.sa.gov.au/xrecord=b2111044")</f>
        <v>https://www.catalog.slsa.sa.gov.au/xrecord=b2111044</v>
      </c>
      <c r="D3796" t="s">
        <v>66</v>
      </c>
      <c r="E3796" t="s">
        <v>13018</v>
      </c>
      <c r="F3796">
        <v>1966</v>
      </c>
      <c r="G3796" t="s">
        <v>121</v>
      </c>
      <c r="H3796" t="s">
        <v>13019</v>
      </c>
      <c r="I3796" t="s">
        <v>4581</v>
      </c>
      <c r="J3796" t="s">
        <v>71</v>
      </c>
      <c r="K3796" s="2" t="str">
        <f>HYPERLINK("http://collections.slsa.sa.gov.au/arthur/01750/BRG347_1726.htm")</f>
        <v>http://collections.slsa.sa.gov.au/arthur/01750/BRG347_1726.htm</v>
      </c>
    </row>
    <row r="3797" spans="1:11" x14ac:dyDescent="0.25">
      <c r="A3797" t="s">
        <v>13020</v>
      </c>
      <c r="B3797" s="1" t="str">
        <f>HYPERLINK("https://www.catalog.slsa.sa.gov.au/record=b2117882")</f>
        <v>https://www.catalog.slsa.sa.gov.au/record=b2117882</v>
      </c>
      <c r="C3797" s="1" t="str">
        <f>HYPERLINK("https://www.catalog.slsa.sa.gov.au/xrecord=b2117882")</f>
        <v>https://www.catalog.slsa.sa.gov.au/xrecord=b2117882</v>
      </c>
      <c r="D3797" t="s">
        <v>66</v>
      </c>
      <c r="E3797" t="s">
        <v>5532</v>
      </c>
      <c r="F3797">
        <v>1966</v>
      </c>
      <c r="G3797" t="s">
        <v>121</v>
      </c>
      <c r="H3797" t="s">
        <v>13021</v>
      </c>
      <c r="I3797" t="s">
        <v>13022</v>
      </c>
      <c r="J3797" t="s">
        <v>71</v>
      </c>
      <c r="K3797" s="2" t="str">
        <f>HYPERLINK("http://collections.slsa.sa.gov.au/arthur/02000/BRG347_1841.htm")</f>
        <v>http://collections.slsa.sa.gov.au/arthur/02000/BRG347_1841.htm</v>
      </c>
    </row>
    <row r="3798" spans="1:11" x14ac:dyDescent="0.25">
      <c r="A3798" t="s">
        <v>13023</v>
      </c>
      <c r="B3798" s="1" t="str">
        <f>HYPERLINK("https://www.catalog.slsa.sa.gov.au/record=b2111155")</f>
        <v>https://www.catalog.slsa.sa.gov.au/record=b2111155</v>
      </c>
      <c r="C3798" s="1" t="str">
        <f>HYPERLINK("https://www.catalog.slsa.sa.gov.au/xrecord=b2111155")</f>
        <v>https://www.catalog.slsa.sa.gov.au/xrecord=b2111155</v>
      </c>
      <c r="D3798" t="s">
        <v>66</v>
      </c>
      <c r="E3798" t="s">
        <v>13024</v>
      </c>
      <c r="F3798">
        <v>1966</v>
      </c>
      <c r="G3798" t="s">
        <v>121</v>
      </c>
      <c r="H3798" t="s">
        <v>13025</v>
      </c>
      <c r="I3798" t="s">
        <v>13026</v>
      </c>
      <c r="J3798" t="s">
        <v>71</v>
      </c>
      <c r="K3798" s="2" t="str">
        <f>HYPERLINK("http://collections.slsa.sa.gov.au/arthur/02000/BRG347_1842.htm")</f>
        <v>http://collections.slsa.sa.gov.au/arthur/02000/BRG347_1842.htm</v>
      </c>
    </row>
    <row r="3799" spans="1:11" x14ac:dyDescent="0.25">
      <c r="A3799" t="s">
        <v>13027</v>
      </c>
      <c r="B3799" s="1" t="str">
        <f>HYPERLINK("https://www.catalog.slsa.sa.gov.au/record=b2111156")</f>
        <v>https://www.catalog.slsa.sa.gov.au/record=b2111156</v>
      </c>
      <c r="C3799" s="1" t="str">
        <f>HYPERLINK("https://www.catalog.slsa.sa.gov.au/xrecord=b2111156")</f>
        <v>https://www.catalog.slsa.sa.gov.au/xrecord=b2111156</v>
      </c>
      <c r="D3799" t="s">
        <v>66</v>
      </c>
      <c r="E3799" t="s">
        <v>13028</v>
      </c>
      <c r="F3799">
        <v>1966</v>
      </c>
      <c r="G3799" t="s">
        <v>121</v>
      </c>
      <c r="H3799" t="s">
        <v>13029</v>
      </c>
      <c r="I3799" t="s">
        <v>12712</v>
      </c>
      <c r="J3799" t="s">
        <v>71</v>
      </c>
      <c r="K3799" s="2" t="str">
        <f>HYPERLINK("http://collections.slsa.sa.gov.au/arthur/02000/BRG347_1843.htm")</f>
        <v>http://collections.slsa.sa.gov.au/arthur/02000/BRG347_1843.htm</v>
      </c>
    </row>
    <row r="3800" spans="1:11" x14ac:dyDescent="0.25">
      <c r="A3800" t="s">
        <v>13030</v>
      </c>
      <c r="B3800" s="1" t="str">
        <f>HYPERLINK("https://www.catalog.slsa.sa.gov.au/record=b2112055")</f>
        <v>https://www.catalog.slsa.sa.gov.au/record=b2112055</v>
      </c>
      <c r="C3800" s="1" t="str">
        <f>HYPERLINK("https://www.catalog.slsa.sa.gov.au/xrecord=b2112055")</f>
        <v>https://www.catalog.slsa.sa.gov.au/xrecord=b2112055</v>
      </c>
      <c r="D3800" t="s">
        <v>66</v>
      </c>
      <c r="E3800" t="s">
        <v>13031</v>
      </c>
      <c r="F3800">
        <v>1966</v>
      </c>
      <c r="G3800" t="s">
        <v>121</v>
      </c>
      <c r="H3800" t="s">
        <v>13032</v>
      </c>
      <c r="I3800" t="s">
        <v>13033</v>
      </c>
      <c r="J3800" t="s">
        <v>71</v>
      </c>
      <c r="K3800" s="2" t="str">
        <f>HYPERLINK("http://collections.slsa.sa.gov.au/arthur/02500/BRG347_2484.htm")</f>
        <v>http://collections.slsa.sa.gov.au/arthur/02500/BRG347_2484.htm</v>
      </c>
    </row>
    <row r="3801" spans="1:11" x14ac:dyDescent="0.25">
      <c r="A3801" t="s">
        <v>13034</v>
      </c>
      <c r="B3801" s="1" t="str">
        <f>HYPERLINK("https://www.catalog.slsa.sa.gov.au/record=b2112056")</f>
        <v>https://www.catalog.slsa.sa.gov.au/record=b2112056</v>
      </c>
      <c r="C3801" s="1" t="str">
        <f>HYPERLINK("https://www.catalog.slsa.sa.gov.au/xrecord=b2112056")</f>
        <v>https://www.catalog.slsa.sa.gov.au/xrecord=b2112056</v>
      </c>
      <c r="D3801" t="s">
        <v>66</v>
      </c>
      <c r="E3801" t="s">
        <v>13035</v>
      </c>
      <c r="F3801">
        <v>1966</v>
      </c>
      <c r="G3801" t="s">
        <v>121</v>
      </c>
      <c r="H3801" t="s">
        <v>13036</v>
      </c>
      <c r="I3801" t="s">
        <v>8145</v>
      </c>
      <c r="J3801" t="s">
        <v>71</v>
      </c>
      <c r="K3801" s="2" t="str">
        <f>HYPERLINK("http://collections.slsa.sa.gov.au/arthur/02500/BRG347_2485.htm")</f>
        <v>http://collections.slsa.sa.gov.au/arthur/02500/BRG347_2485.htm</v>
      </c>
    </row>
    <row r="3802" spans="1:11" x14ac:dyDescent="0.25">
      <c r="A3802" t="s">
        <v>13037</v>
      </c>
      <c r="B3802" s="1" t="str">
        <f>HYPERLINK("https://www.catalog.slsa.sa.gov.au/record=b2112057")</f>
        <v>https://www.catalog.slsa.sa.gov.au/record=b2112057</v>
      </c>
      <c r="C3802" s="1" t="str">
        <f>HYPERLINK("https://www.catalog.slsa.sa.gov.au/xrecord=b2112057")</f>
        <v>https://www.catalog.slsa.sa.gov.au/xrecord=b2112057</v>
      </c>
      <c r="D3802" t="s">
        <v>66</v>
      </c>
      <c r="E3802" t="s">
        <v>13038</v>
      </c>
      <c r="F3802">
        <v>1966</v>
      </c>
      <c r="G3802" t="s">
        <v>121</v>
      </c>
      <c r="H3802" t="s">
        <v>13039</v>
      </c>
      <c r="I3802" t="s">
        <v>6516</v>
      </c>
      <c r="J3802" t="s">
        <v>71</v>
      </c>
      <c r="K3802" s="2" t="str">
        <f>HYPERLINK("http://collections.slsa.sa.gov.au/arthur/02500/BRG347_2486.htm")</f>
        <v>http://collections.slsa.sa.gov.au/arthur/02500/BRG347_2486.htm</v>
      </c>
    </row>
    <row r="3803" spans="1:11" x14ac:dyDescent="0.25">
      <c r="A3803" t="s">
        <v>13040</v>
      </c>
      <c r="B3803" s="1" t="str">
        <f>HYPERLINK("https://www.catalog.slsa.sa.gov.au/record=b2112058")</f>
        <v>https://www.catalog.slsa.sa.gov.au/record=b2112058</v>
      </c>
      <c r="C3803" s="1" t="str">
        <f>HYPERLINK("https://www.catalog.slsa.sa.gov.au/xrecord=b2112058")</f>
        <v>https://www.catalog.slsa.sa.gov.au/xrecord=b2112058</v>
      </c>
      <c r="D3803" t="s">
        <v>66</v>
      </c>
      <c r="E3803" t="s">
        <v>13041</v>
      </c>
      <c r="F3803">
        <v>1966</v>
      </c>
      <c r="G3803" t="s">
        <v>121</v>
      </c>
      <c r="H3803" t="s">
        <v>13042</v>
      </c>
      <c r="I3803" t="s">
        <v>6516</v>
      </c>
      <c r="J3803" t="s">
        <v>71</v>
      </c>
      <c r="K3803" s="2" t="str">
        <f>HYPERLINK("http://collections.slsa.sa.gov.au/arthur/02500/BRG347_2487.htm")</f>
        <v>http://collections.slsa.sa.gov.au/arthur/02500/BRG347_2487.htm</v>
      </c>
    </row>
    <row r="3804" spans="1:11" x14ac:dyDescent="0.25">
      <c r="A3804" t="s">
        <v>13043</v>
      </c>
      <c r="B3804" s="1" t="str">
        <f>HYPERLINK("https://www.catalog.slsa.sa.gov.au/record=b2112059")</f>
        <v>https://www.catalog.slsa.sa.gov.au/record=b2112059</v>
      </c>
      <c r="C3804" s="1" t="str">
        <f>HYPERLINK("https://www.catalog.slsa.sa.gov.au/xrecord=b2112059")</f>
        <v>https://www.catalog.slsa.sa.gov.au/xrecord=b2112059</v>
      </c>
      <c r="D3804" t="s">
        <v>66</v>
      </c>
      <c r="E3804" t="s">
        <v>11650</v>
      </c>
      <c r="F3804">
        <v>1966</v>
      </c>
      <c r="G3804" t="s">
        <v>121</v>
      </c>
      <c r="H3804" t="s">
        <v>13044</v>
      </c>
      <c r="I3804" t="s">
        <v>6525</v>
      </c>
      <c r="J3804" t="s">
        <v>71</v>
      </c>
      <c r="K3804" s="2" t="str">
        <f>HYPERLINK("http://collections.slsa.sa.gov.au/arthur/02500/BRG347_2488.htm")</f>
        <v>http://collections.slsa.sa.gov.au/arthur/02500/BRG347_2488.htm</v>
      </c>
    </row>
    <row r="3805" spans="1:11" x14ac:dyDescent="0.25">
      <c r="A3805" t="s">
        <v>13045</v>
      </c>
      <c r="B3805" s="1" t="str">
        <f>HYPERLINK("https://www.catalog.slsa.sa.gov.au/record=b2112060")</f>
        <v>https://www.catalog.slsa.sa.gov.au/record=b2112060</v>
      </c>
      <c r="C3805" s="1" t="str">
        <f>HYPERLINK("https://www.catalog.slsa.sa.gov.au/xrecord=b2112060")</f>
        <v>https://www.catalog.slsa.sa.gov.au/xrecord=b2112060</v>
      </c>
      <c r="D3805" t="s">
        <v>66</v>
      </c>
      <c r="E3805" t="s">
        <v>12443</v>
      </c>
      <c r="F3805">
        <v>1966</v>
      </c>
      <c r="G3805" t="s">
        <v>121</v>
      </c>
      <c r="H3805" t="s">
        <v>13046</v>
      </c>
      <c r="I3805" t="s">
        <v>8145</v>
      </c>
      <c r="J3805" t="s">
        <v>71</v>
      </c>
      <c r="K3805" s="2" t="str">
        <f>HYPERLINK("http://collections.slsa.sa.gov.au/arthur/02500/BRG347_2489.htm")</f>
        <v>http://collections.slsa.sa.gov.au/arthur/02500/BRG347_2489.htm</v>
      </c>
    </row>
    <row r="3806" spans="1:11" x14ac:dyDescent="0.25">
      <c r="A3806" t="s">
        <v>13047</v>
      </c>
      <c r="B3806" s="1" t="str">
        <f>HYPERLINK("https://www.catalog.slsa.sa.gov.au/record=b2112061")</f>
        <v>https://www.catalog.slsa.sa.gov.au/record=b2112061</v>
      </c>
      <c r="C3806" s="1" t="str">
        <f>HYPERLINK("https://www.catalog.slsa.sa.gov.au/xrecord=b2112061")</f>
        <v>https://www.catalog.slsa.sa.gov.au/xrecord=b2112061</v>
      </c>
      <c r="D3806" t="s">
        <v>66</v>
      </c>
      <c r="E3806" t="s">
        <v>13048</v>
      </c>
      <c r="F3806">
        <v>1966</v>
      </c>
      <c r="G3806" t="s">
        <v>121</v>
      </c>
      <c r="H3806" t="s">
        <v>13049</v>
      </c>
      <c r="I3806" t="s">
        <v>13050</v>
      </c>
      <c r="J3806" t="s">
        <v>71</v>
      </c>
      <c r="K3806" s="2" t="str">
        <f>HYPERLINK("http://collections.slsa.sa.gov.au/arthur/02500/BRG347_2490.htm")</f>
        <v>http://collections.slsa.sa.gov.au/arthur/02500/BRG347_2490.htm</v>
      </c>
    </row>
    <row r="3807" spans="1:11" x14ac:dyDescent="0.25">
      <c r="A3807" t="s">
        <v>13051</v>
      </c>
      <c r="B3807" s="1" t="str">
        <f>HYPERLINK("https://www.catalog.slsa.sa.gov.au/record=b2112062")</f>
        <v>https://www.catalog.slsa.sa.gov.au/record=b2112062</v>
      </c>
      <c r="C3807" s="1" t="str">
        <f>HYPERLINK("https://www.catalog.slsa.sa.gov.au/xrecord=b2112062")</f>
        <v>https://www.catalog.slsa.sa.gov.au/xrecord=b2112062</v>
      </c>
      <c r="D3807" t="s">
        <v>66</v>
      </c>
      <c r="E3807" t="s">
        <v>12982</v>
      </c>
      <c r="F3807">
        <v>1966</v>
      </c>
      <c r="G3807" t="s">
        <v>121</v>
      </c>
      <c r="H3807" t="s">
        <v>13052</v>
      </c>
      <c r="I3807" t="s">
        <v>12984</v>
      </c>
      <c r="J3807" t="s">
        <v>71</v>
      </c>
      <c r="K3807" s="2" t="str">
        <f>HYPERLINK("http://collections.slsa.sa.gov.au/arthur/02500/BRG347_2491.htm")</f>
        <v>http://collections.slsa.sa.gov.au/arthur/02500/BRG347_2491.htm</v>
      </c>
    </row>
    <row r="3808" spans="1:11" x14ac:dyDescent="0.25">
      <c r="A3808" t="s">
        <v>13053</v>
      </c>
      <c r="B3808" s="1" t="str">
        <f>HYPERLINK("https://www.catalog.slsa.sa.gov.au/record=b2118128")</f>
        <v>https://www.catalog.slsa.sa.gov.au/record=b2118128</v>
      </c>
      <c r="C3808" s="1" t="str">
        <f>HYPERLINK("https://www.catalog.slsa.sa.gov.au/xrecord=b2118128")</f>
        <v>https://www.catalog.slsa.sa.gov.au/xrecord=b2118128</v>
      </c>
      <c r="D3808" t="s">
        <v>66</v>
      </c>
      <c r="E3808" t="s">
        <v>13048</v>
      </c>
      <c r="F3808">
        <v>1966</v>
      </c>
      <c r="G3808" t="s">
        <v>121</v>
      </c>
      <c r="H3808" t="s">
        <v>13054</v>
      </c>
      <c r="I3808" t="s">
        <v>13050</v>
      </c>
      <c r="J3808" t="s">
        <v>71</v>
      </c>
      <c r="K3808" s="2" t="str">
        <f>HYPERLINK("http://collections.slsa.sa.gov.au/arthur/02500/BRG347_2492.htm")</f>
        <v>http://collections.slsa.sa.gov.au/arthur/02500/BRG347_2492.htm</v>
      </c>
    </row>
    <row r="3809" spans="1:11" x14ac:dyDescent="0.25">
      <c r="A3809" t="s">
        <v>13055</v>
      </c>
      <c r="B3809" s="1" t="str">
        <f>HYPERLINK("https://www.catalog.slsa.sa.gov.au/record=b2112063")</f>
        <v>https://www.catalog.slsa.sa.gov.au/record=b2112063</v>
      </c>
      <c r="C3809" s="1" t="str">
        <f>HYPERLINK("https://www.catalog.slsa.sa.gov.au/xrecord=b2112063")</f>
        <v>https://www.catalog.slsa.sa.gov.au/xrecord=b2112063</v>
      </c>
      <c r="D3809" t="s">
        <v>66</v>
      </c>
      <c r="E3809" t="s">
        <v>13048</v>
      </c>
      <c r="F3809">
        <v>1966</v>
      </c>
      <c r="G3809" t="s">
        <v>121</v>
      </c>
      <c r="H3809" t="s">
        <v>13056</v>
      </c>
      <c r="I3809" t="s">
        <v>13050</v>
      </c>
      <c r="J3809" t="s">
        <v>71</v>
      </c>
      <c r="K3809" s="2" t="str">
        <f>HYPERLINK("http://collections.slsa.sa.gov.au/arthur/02500/BRG347_2493.htm")</f>
        <v>http://collections.slsa.sa.gov.au/arthur/02500/BRG347_2493.htm</v>
      </c>
    </row>
    <row r="3810" spans="1:11" x14ac:dyDescent="0.25">
      <c r="A3810" t="s">
        <v>13057</v>
      </c>
      <c r="B3810" s="1" t="str">
        <f>HYPERLINK("https://www.catalog.slsa.sa.gov.au/record=b2112064")</f>
        <v>https://www.catalog.slsa.sa.gov.au/record=b2112064</v>
      </c>
      <c r="C3810" s="1" t="str">
        <f>HYPERLINK("https://www.catalog.slsa.sa.gov.au/xrecord=b2112064")</f>
        <v>https://www.catalog.slsa.sa.gov.au/xrecord=b2112064</v>
      </c>
      <c r="D3810" t="s">
        <v>66</v>
      </c>
      <c r="E3810" t="s">
        <v>12982</v>
      </c>
      <c r="F3810">
        <v>1966</v>
      </c>
      <c r="G3810" t="s">
        <v>121</v>
      </c>
      <c r="H3810" t="s">
        <v>13058</v>
      </c>
      <c r="I3810" t="s">
        <v>6525</v>
      </c>
      <c r="J3810" t="s">
        <v>71</v>
      </c>
      <c r="K3810" s="2" t="str">
        <f>HYPERLINK("http://collections.slsa.sa.gov.au/arthur/02500/BRG347_2494.htm")</f>
        <v>http://collections.slsa.sa.gov.au/arthur/02500/BRG347_2494.htm</v>
      </c>
    </row>
    <row r="3811" spans="1:11" x14ac:dyDescent="0.25">
      <c r="A3811" t="s">
        <v>13059</v>
      </c>
      <c r="B3811" s="1" t="str">
        <f>HYPERLINK("https://www.catalog.slsa.sa.gov.au/record=b2112065")</f>
        <v>https://www.catalog.slsa.sa.gov.au/record=b2112065</v>
      </c>
      <c r="C3811" s="1" t="str">
        <f>HYPERLINK("https://www.catalog.slsa.sa.gov.au/xrecord=b2112065")</f>
        <v>https://www.catalog.slsa.sa.gov.au/xrecord=b2112065</v>
      </c>
      <c r="D3811" t="s">
        <v>66</v>
      </c>
      <c r="E3811" t="s">
        <v>12982</v>
      </c>
      <c r="F3811">
        <v>1966</v>
      </c>
      <c r="G3811" t="s">
        <v>121</v>
      </c>
      <c r="H3811" t="s">
        <v>13060</v>
      </c>
      <c r="I3811" t="s">
        <v>6525</v>
      </c>
      <c r="J3811" t="s">
        <v>71</v>
      </c>
      <c r="K3811" s="2" t="str">
        <f>HYPERLINK("http://collections.slsa.sa.gov.au/arthur/02500/BRG347_2495.htm")</f>
        <v>http://collections.slsa.sa.gov.au/arthur/02500/BRG347_2495.htm</v>
      </c>
    </row>
    <row r="3812" spans="1:11" x14ac:dyDescent="0.25">
      <c r="A3812" t="s">
        <v>13061</v>
      </c>
      <c r="B3812" s="1" t="str">
        <f>HYPERLINK("https://www.catalog.slsa.sa.gov.au/record=b2112066")</f>
        <v>https://www.catalog.slsa.sa.gov.au/record=b2112066</v>
      </c>
      <c r="C3812" s="1" t="str">
        <f>HYPERLINK("https://www.catalog.slsa.sa.gov.au/xrecord=b2112066")</f>
        <v>https://www.catalog.slsa.sa.gov.au/xrecord=b2112066</v>
      </c>
      <c r="D3812" t="s">
        <v>66</v>
      </c>
      <c r="E3812" t="s">
        <v>12982</v>
      </c>
      <c r="F3812">
        <v>1966</v>
      </c>
      <c r="G3812" t="s">
        <v>121</v>
      </c>
      <c r="H3812" t="s">
        <v>13062</v>
      </c>
      <c r="I3812" t="s">
        <v>6525</v>
      </c>
      <c r="J3812" t="s">
        <v>71</v>
      </c>
      <c r="K3812" s="2" t="str">
        <f>HYPERLINK("http://collections.slsa.sa.gov.au/arthur/02500/BRG347_2496.htm")</f>
        <v>http://collections.slsa.sa.gov.au/arthur/02500/BRG347_2496.htm</v>
      </c>
    </row>
    <row r="3813" spans="1:11" x14ac:dyDescent="0.25">
      <c r="A3813" t="s">
        <v>13063</v>
      </c>
      <c r="B3813" s="1" t="str">
        <f>HYPERLINK("https://www.catalog.slsa.sa.gov.au/record=b2112067")</f>
        <v>https://www.catalog.slsa.sa.gov.au/record=b2112067</v>
      </c>
      <c r="C3813" s="1" t="str">
        <f>HYPERLINK("https://www.catalog.slsa.sa.gov.au/xrecord=b2112067")</f>
        <v>https://www.catalog.slsa.sa.gov.au/xrecord=b2112067</v>
      </c>
      <c r="D3813" t="s">
        <v>66</v>
      </c>
      <c r="E3813" t="s">
        <v>13048</v>
      </c>
      <c r="F3813">
        <v>1966</v>
      </c>
      <c r="G3813" t="s">
        <v>121</v>
      </c>
      <c r="H3813" t="s">
        <v>13064</v>
      </c>
      <c r="I3813" t="s">
        <v>13050</v>
      </c>
      <c r="J3813" t="s">
        <v>71</v>
      </c>
      <c r="K3813" s="2" t="str">
        <f>HYPERLINK("http://collections.slsa.sa.gov.au/arthur/02500/BRG347_2497.htm")</f>
        <v>http://collections.slsa.sa.gov.au/arthur/02500/BRG347_2497.htm</v>
      </c>
    </row>
    <row r="3814" spans="1:11" x14ac:dyDescent="0.25">
      <c r="A3814" t="s">
        <v>13065</v>
      </c>
      <c r="B3814" s="1" t="str">
        <f>HYPERLINK("https://www.catalog.slsa.sa.gov.au/record=b2112069")</f>
        <v>https://www.catalog.slsa.sa.gov.au/record=b2112069</v>
      </c>
      <c r="C3814" s="1" t="str">
        <f>HYPERLINK("https://www.catalog.slsa.sa.gov.au/xrecord=b2112069")</f>
        <v>https://www.catalog.slsa.sa.gov.au/xrecord=b2112069</v>
      </c>
      <c r="D3814" t="s">
        <v>66</v>
      </c>
      <c r="E3814" t="s">
        <v>13066</v>
      </c>
      <c r="F3814">
        <v>1966</v>
      </c>
      <c r="G3814" t="s">
        <v>121</v>
      </c>
      <c r="H3814" t="s">
        <v>13067</v>
      </c>
      <c r="I3814" t="s">
        <v>13068</v>
      </c>
      <c r="J3814" t="s">
        <v>71</v>
      </c>
      <c r="K3814" s="2" t="str">
        <f>HYPERLINK("http://collections.slsa.sa.gov.au/arthur/02500/BRG347_2499.htm")</f>
        <v>http://collections.slsa.sa.gov.au/arthur/02500/BRG347_2499.htm</v>
      </c>
    </row>
    <row r="3815" spans="1:11" x14ac:dyDescent="0.25">
      <c r="A3815" t="s">
        <v>13069</v>
      </c>
      <c r="B3815" s="1" t="str">
        <f>HYPERLINK("https://www.catalog.slsa.sa.gov.au/record=b2112070")</f>
        <v>https://www.catalog.slsa.sa.gov.au/record=b2112070</v>
      </c>
      <c r="C3815" s="1" t="str">
        <f>HYPERLINK("https://www.catalog.slsa.sa.gov.au/xrecord=b2112070")</f>
        <v>https://www.catalog.slsa.sa.gov.au/xrecord=b2112070</v>
      </c>
      <c r="D3815" t="s">
        <v>66</v>
      </c>
      <c r="E3815" t="s">
        <v>13070</v>
      </c>
      <c r="F3815">
        <v>1966</v>
      </c>
      <c r="G3815" t="s">
        <v>13071</v>
      </c>
      <c r="H3815" t="s">
        <v>13072</v>
      </c>
      <c r="I3815" t="s">
        <v>11781</v>
      </c>
      <c r="J3815" t="s">
        <v>71</v>
      </c>
      <c r="K3815" s="2" t="str">
        <f>HYPERLINK("http://collections.slsa.sa.gov.au/arthur/02500/BRG347_2500.htm")</f>
        <v>http://collections.slsa.sa.gov.au/arthur/02500/BRG347_2500.htm</v>
      </c>
    </row>
    <row r="3816" spans="1:11" x14ac:dyDescent="0.25">
      <c r="A3816" t="s">
        <v>13073</v>
      </c>
      <c r="B3816" s="1" t="str">
        <f>HYPERLINK("https://www.catalog.slsa.sa.gov.au/record=b2112071")</f>
        <v>https://www.catalog.slsa.sa.gov.au/record=b2112071</v>
      </c>
      <c r="C3816" s="1" t="str">
        <f>HYPERLINK("https://www.catalog.slsa.sa.gov.au/xrecord=b2112071")</f>
        <v>https://www.catalog.slsa.sa.gov.au/xrecord=b2112071</v>
      </c>
      <c r="D3816" t="s">
        <v>66</v>
      </c>
      <c r="E3816" t="s">
        <v>12982</v>
      </c>
      <c r="F3816">
        <v>1966</v>
      </c>
      <c r="G3816" t="s">
        <v>121</v>
      </c>
      <c r="H3816" t="s">
        <v>13074</v>
      </c>
      <c r="I3816" t="s">
        <v>12984</v>
      </c>
      <c r="J3816" t="s">
        <v>71</v>
      </c>
      <c r="K3816" s="2" t="str">
        <f>HYPERLINK("http://collections.slsa.sa.gov.au/arthur/02750/BRG347_2501.htm")</f>
        <v>http://collections.slsa.sa.gov.au/arthur/02750/BRG347_2501.htm</v>
      </c>
    </row>
    <row r="3817" spans="1:11" x14ac:dyDescent="0.25">
      <c r="A3817" t="s">
        <v>13075</v>
      </c>
      <c r="B3817" s="1" t="str">
        <f>HYPERLINK("https://www.catalog.slsa.sa.gov.au/record=b2112088")</f>
        <v>https://www.catalog.slsa.sa.gov.au/record=b2112088</v>
      </c>
      <c r="C3817" s="1" t="str">
        <f>HYPERLINK("https://www.catalog.slsa.sa.gov.au/xrecord=b2112088")</f>
        <v>https://www.catalog.slsa.sa.gov.au/xrecord=b2112088</v>
      </c>
      <c r="D3817" t="s">
        <v>66</v>
      </c>
      <c r="E3817" t="s">
        <v>6467</v>
      </c>
      <c r="F3817">
        <v>1966</v>
      </c>
      <c r="G3817" t="s">
        <v>121</v>
      </c>
      <c r="H3817" t="s">
        <v>13076</v>
      </c>
      <c r="I3817" t="s">
        <v>12886</v>
      </c>
      <c r="J3817" t="s">
        <v>71</v>
      </c>
      <c r="K3817" s="2" t="str">
        <f>HYPERLINK("http://collections.slsa.sa.gov.au/arthur/02750/BRG347_2518.htm")</f>
        <v>http://collections.slsa.sa.gov.au/arthur/02750/BRG347_2518.htm</v>
      </c>
    </row>
    <row r="3818" spans="1:11" x14ac:dyDescent="0.25">
      <c r="A3818" t="s">
        <v>13077</v>
      </c>
      <c r="B3818" s="1" t="str">
        <f>HYPERLINK("https://www.catalog.slsa.sa.gov.au/record=b2112236")</f>
        <v>https://www.catalog.slsa.sa.gov.au/record=b2112236</v>
      </c>
      <c r="C3818" s="1" t="str">
        <f>HYPERLINK("https://www.catalog.slsa.sa.gov.au/xrecord=b2112236")</f>
        <v>https://www.catalog.slsa.sa.gov.au/xrecord=b2112236</v>
      </c>
      <c r="D3818" t="s">
        <v>66</v>
      </c>
      <c r="E3818" t="s">
        <v>6489</v>
      </c>
      <c r="F3818">
        <v>1966</v>
      </c>
      <c r="G3818" t="s">
        <v>121</v>
      </c>
      <c r="H3818" t="s">
        <v>13078</v>
      </c>
      <c r="I3818" t="s">
        <v>6410</v>
      </c>
      <c r="J3818" t="s">
        <v>71</v>
      </c>
      <c r="K3818" s="2" t="str">
        <f>HYPERLINK("http://collections.slsa.sa.gov.au/arthur/02750/BRG347_2669.htm")</f>
        <v>http://collections.slsa.sa.gov.au/arthur/02750/BRG347_2669.htm</v>
      </c>
    </row>
    <row r="3819" spans="1:11" x14ac:dyDescent="0.25">
      <c r="A3819" t="s">
        <v>13079</v>
      </c>
      <c r="B3819" s="1" t="str">
        <f>HYPERLINK("https://www.catalog.slsa.sa.gov.au/record=b2112507")</f>
        <v>https://www.catalog.slsa.sa.gov.au/record=b2112507</v>
      </c>
      <c r="C3819" s="1" t="str">
        <f>HYPERLINK("https://www.catalog.slsa.sa.gov.au/xrecord=b2112507")</f>
        <v>https://www.catalog.slsa.sa.gov.au/xrecord=b2112507</v>
      </c>
      <c r="D3819" t="s">
        <v>66</v>
      </c>
      <c r="E3819" t="s">
        <v>13080</v>
      </c>
      <c r="F3819">
        <v>1966</v>
      </c>
      <c r="G3819" t="s">
        <v>121</v>
      </c>
      <c r="H3819" t="s">
        <v>13081</v>
      </c>
      <c r="I3819" t="s">
        <v>13082</v>
      </c>
      <c r="J3819" t="s">
        <v>71</v>
      </c>
      <c r="K3819" s="2" t="str">
        <f>HYPERLINK("http://collections.slsa.sa.gov.au/arthur/03000/BRG347_2772.htm")</f>
        <v>http://collections.slsa.sa.gov.au/arthur/03000/BRG347_2772.htm</v>
      </c>
    </row>
    <row r="3820" spans="1:11" x14ac:dyDescent="0.25">
      <c r="A3820" t="s">
        <v>13083</v>
      </c>
      <c r="B3820" s="1" t="str">
        <f>HYPERLINK("https://www.catalog.slsa.sa.gov.au/record=b2112508")</f>
        <v>https://www.catalog.slsa.sa.gov.au/record=b2112508</v>
      </c>
      <c r="C3820" s="1" t="str">
        <f>HYPERLINK("https://www.catalog.slsa.sa.gov.au/xrecord=b2112508")</f>
        <v>https://www.catalog.slsa.sa.gov.au/xrecord=b2112508</v>
      </c>
      <c r="D3820" t="s">
        <v>66</v>
      </c>
      <c r="E3820" t="s">
        <v>13084</v>
      </c>
      <c r="F3820">
        <v>1966</v>
      </c>
      <c r="G3820" t="s">
        <v>121</v>
      </c>
      <c r="H3820" t="s">
        <v>13085</v>
      </c>
      <c r="I3820" t="s">
        <v>13086</v>
      </c>
      <c r="J3820" t="s">
        <v>71</v>
      </c>
      <c r="K3820" s="2" t="str">
        <f>HYPERLINK("http://collections.slsa.sa.gov.au/arthur/03000/BRG347_2773.htm")</f>
        <v>http://collections.slsa.sa.gov.au/arthur/03000/BRG347_2773.htm</v>
      </c>
    </row>
    <row r="3821" spans="1:11" x14ac:dyDescent="0.25">
      <c r="A3821" t="s">
        <v>13087</v>
      </c>
      <c r="B3821" s="1" t="str">
        <f>HYPERLINK("https://www.catalog.slsa.sa.gov.au/record=b2118049")</f>
        <v>https://www.catalog.slsa.sa.gov.au/record=b2118049</v>
      </c>
      <c r="C3821" s="1" t="str">
        <f>HYPERLINK("https://www.catalog.slsa.sa.gov.au/xrecord=b2118049")</f>
        <v>https://www.catalog.slsa.sa.gov.au/xrecord=b2118049</v>
      </c>
      <c r="D3821" t="s">
        <v>66</v>
      </c>
      <c r="E3821" t="s">
        <v>13088</v>
      </c>
      <c r="F3821">
        <v>1966</v>
      </c>
      <c r="G3821" t="s">
        <v>121</v>
      </c>
      <c r="H3821" t="s">
        <v>13089</v>
      </c>
      <c r="I3821" t="s">
        <v>12541</v>
      </c>
      <c r="J3821" t="s">
        <v>71</v>
      </c>
      <c r="K3821" s="2" t="str">
        <f>HYPERLINK("http://collections.slsa.sa.gov.au/arthur/03000/BRG347_2774.htm")</f>
        <v>http://collections.slsa.sa.gov.au/arthur/03000/BRG347_2774.htm</v>
      </c>
    </row>
    <row r="3822" spans="1:11" x14ac:dyDescent="0.25">
      <c r="A3822" t="s">
        <v>13090</v>
      </c>
      <c r="B3822" s="1" t="str">
        <f>HYPERLINK("https://www.catalog.slsa.sa.gov.au/record=b2112510")</f>
        <v>https://www.catalog.slsa.sa.gov.au/record=b2112510</v>
      </c>
      <c r="C3822" s="1" t="str">
        <f>HYPERLINK("https://www.catalog.slsa.sa.gov.au/xrecord=b2112510")</f>
        <v>https://www.catalog.slsa.sa.gov.au/xrecord=b2112510</v>
      </c>
      <c r="D3822" t="s">
        <v>66</v>
      </c>
      <c r="E3822" t="s">
        <v>13091</v>
      </c>
      <c r="F3822">
        <v>1966</v>
      </c>
      <c r="G3822" t="s">
        <v>121</v>
      </c>
      <c r="H3822" t="s">
        <v>13092</v>
      </c>
      <c r="I3822" t="s">
        <v>13093</v>
      </c>
      <c r="J3822" t="s">
        <v>71</v>
      </c>
      <c r="K3822" s="2" t="str">
        <f>HYPERLINK("http://collections.slsa.sa.gov.au/arthur/03000/BRG347_2776.htm")</f>
        <v>http://collections.slsa.sa.gov.au/arthur/03000/BRG347_2776.htm</v>
      </c>
    </row>
    <row r="3823" spans="1:11" x14ac:dyDescent="0.25">
      <c r="A3823" t="s">
        <v>13094</v>
      </c>
      <c r="B3823" s="1" t="str">
        <f>HYPERLINK("https://www.catalog.slsa.sa.gov.au/record=b2112516")</f>
        <v>https://www.catalog.slsa.sa.gov.au/record=b2112516</v>
      </c>
      <c r="C3823" s="1" t="str">
        <f>HYPERLINK("https://www.catalog.slsa.sa.gov.au/xrecord=b2112516")</f>
        <v>https://www.catalog.slsa.sa.gov.au/xrecord=b2112516</v>
      </c>
      <c r="D3823" t="s">
        <v>66</v>
      </c>
      <c r="E3823" t="s">
        <v>13095</v>
      </c>
      <c r="F3823">
        <v>1966</v>
      </c>
      <c r="G3823" t="s">
        <v>121</v>
      </c>
      <c r="H3823" t="s">
        <v>13096</v>
      </c>
      <c r="I3823" t="s">
        <v>13097</v>
      </c>
      <c r="J3823" t="s">
        <v>71</v>
      </c>
      <c r="K3823" s="2" t="str">
        <f>HYPERLINK("http://collections.slsa.sa.gov.au/arthur/03000/BRG347_2783.htm")</f>
        <v>http://collections.slsa.sa.gov.au/arthur/03000/BRG347_2783.htm</v>
      </c>
    </row>
    <row r="3824" spans="1:11" x14ac:dyDescent="0.25">
      <c r="A3824" t="s">
        <v>13098</v>
      </c>
      <c r="B3824" s="1" t="str">
        <f>HYPERLINK("https://www.catalog.slsa.sa.gov.au/record=b2112825")</f>
        <v>https://www.catalog.slsa.sa.gov.au/record=b2112825</v>
      </c>
      <c r="C3824" s="1" t="str">
        <f>HYPERLINK("https://www.catalog.slsa.sa.gov.au/xrecord=b2112825")</f>
        <v>https://www.catalog.slsa.sa.gov.au/xrecord=b2112825</v>
      </c>
      <c r="D3824" t="s">
        <v>66</v>
      </c>
      <c r="E3824" t="s">
        <v>13099</v>
      </c>
      <c r="F3824">
        <v>1966</v>
      </c>
      <c r="G3824" t="s">
        <v>121</v>
      </c>
      <c r="H3824" t="s">
        <v>13100</v>
      </c>
      <c r="I3824" t="s">
        <v>13101</v>
      </c>
      <c r="J3824" t="s">
        <v>71</v>
      </c>
      <c r="K3824" s="2" t="str">
        <f>HYPERLINK("http://collections.slsa.sa.gov.au/arthur/03250/BRG347_3061.htm")</f>
        <v>http://collections.slsa.sa.gov.au/arthur/03250/BRG347_3061.htm</v>
      </c>
    </row>
    <row r="3825" spans="1:11" x14ac:dyDescent="0.25">
      <c r="A3825" t="s">
        <v>13102</v>
      </c>
      <c r="B3825" s="1" t="str">
        <f>HYPERLINK("https://www.catalog.slsa.sa.gov.au/record=b3029500")</f>
        <v>https://www.catalog.slsa.sa.gov.au/record=b3029500</v>
      </c>
      <c r="C3825" s="1" t="str">
        <f>HYPERLINK("https://www.catalog.slsa.sa.gov.au/xrecord=b3029500")</f>
        <v>https://www.catalog.slsa.sa.gov.au/xrecord=b3029500</v>
      </c>
      <c r="E3825" t="s">
        <v>13103</v>
      </c>
      <c r="F3825">
        <v>1966</v>
      </c>
      <c r="G3825" t="s">
        <v>13104</v>
      </c>
      <c r="H3825" t="s">
        <v>13105</v>
      </c>
      <c r="I3825" t="s">
        <v>13106</v>
      </c>
      <c r="J3825" t="s">
        <v>1902</v>
      </c>
      <c r="K3825" s="2" t="str">
        <f>HYPERLINK("http://collections.slsa.sa.gov.au/resource/SRG+873/1/386")</f>
        <v>http://collections.slsa.sa.gov.au/resource/SRG+873/1/386</v>
      </c>
    </row>
    <row r="3826" spans="1:11" x14ac:dyDescent="0.25">
      <c r="A3826" t="s">
        <v>13107</v>
      </c>
      <c r="B3826" s="1" t="str">
        <f>HYPERLINK("https://www.catalog.slsa.sa.gov.au/record=b2118047")</f>
        <v>https://www.catalog.slsa.sa.gov.au/record=b2118047</v>
      </c>
      <c r="C3826" s="1" t="str">
        <f>HYPERLINK("https://www.catalog.slsa.sa.gov.au/xrecord=b2118047")</f>
        <v>https://www.catalog.slsa.sa.gov.au/xrecord=b2118047</v>
      </c>
      <c r="D3826" t="s">
        <v>66</v>
      </c>
      <c r="E3826" t="s">
        <v>13108</v>
      </c>
      <c r="F3826" t="s">
        <v>13109</v>
      </c>
      <c r="G3826" t="s">
        <v>121</v>
      </c>
      <c r="H3826" t="s">
        <v>13110</v>
      </c>
      <c r="I3826" t="s">
        <v>13111</v>
      </c>
      <c r="J3826" t="s">
        <v>71</v>
      </c>
      <c r="K3826" s="2" t="str">
        <f>HYPERLINK("http://collections.slsa.sa.gov.au/arthur/03000/BRG347_2769.htm")</f>
        <v>http://collections.slsa.sa.gov.au/arthur/03000/BRG347_2769.htm</v>
      </c>
    </row>
    <row r="3827" spans="1:11" x14ac:dyDescent="0.25">
      <c r="A3827" t="s">
        <v>13112</v>
      </c>
      <c r="B3827" s="1" t="str">
        <f>HYPERLINK("https://www.catalog.slsa.sa.gov.au/record=b2112505")</f>
        <v>https://www.catalog.slsa.sa.gov.au/record=b2112505</v>
      </c>
      <c r="C3827" s="1" t="str">
        <f>HYPERLINK("https://www.catalog.slsa.sa.gov.au/xrecord=b2112505")</f>
        <v>https://www.catalog.slsa.sa.gov.au/xrecord=b2112505</v>
      </c>
      <c r="D3827" t="s">
        <v>66</v>
      </c>
      <c r="E3827" t="s">
        <v>13113</v>
      </c>
      <c r="F3827" t="s">
        <v>13109</v>
      </c>
      <c r="G3827" t="s">
        <v>121</v>
      </c>
      <c r="H3827" t="s">
        <v>13114</v>
      </c>
      <c r="I3827" t="s">
        <v>13115</v>
      </c>
      <c r="J3827" t="s">
        <v>71</v>
      </c>
      <c r="K3827" s="2" t="str">
        <f>HYPERLINK("http://collections.slsa.sa.gov.au/arthur/03000/BRG347_2770.htm")</f>
        <v>http://collections.slsa.sa.gov.au/arthur/03000/BRG347_2770.htm</v>
      </c>
    </row>
    <row r="3828" spans="1:11" x14ac:dyDescent="0.25">
      <c r="A3828" t="s">
        <v>13116</v>
      </c>
      <c r="B3828" s="1" t="str">
        <f>HYPERLINK("https://www.catalog.slsa.sa.gov.au/record=b2112506")</f>
        <v>https://www.catalog.slsa.sa.gov.au/record=b2112506</v>
      </c>
      <c r="C3828" s="1" t="str">
        <f>HYPERLINK("https://www.catalog.slsa.sa.gov.au/xrecord=b2112506")</f>
        <v>https://www.catalog.slsa.sa.gov.au/xrecord=b2112506</v>
      </c>
      <c r="D3828" t="s">
        <v>66</v>
      </c>
      <c r="E3828" t="s">
        <v>13117</v>
      </c>
      <c r="F3828" t="s">
        <v>13109</v>
      </c>
      <c r="G3828" t="s">
        <v>121</v>
      </c>
      <c r="H3828" t="s">
        <v>13118</v>
      </c>
      <c r="I3828" t="s">
        <v>13119</v>
      </c>
      <c r="J3828" t="s">
        <v>71</v>
      </c>
      <c r="K3828" s="2" t="str">
        <f>HYPERLINK("http://collections.slsa.sa.gov.au/arthur/03000/BRG347_2771.htm")</f>
        <v>http://collections.slsa.sa.gov.au/arthur/03000/BRG347_2771.htm</v>
      </c>
    </row>
    <row r="3829" spans="1:11" x14ac:dyDescent="0.25">
      <c r="A3829" t="s">
        <v>13120</v>
      </c>
      <c r="B3829" s="1" t="str">
        <f>HYPERLINK("https://www.catalog.slsa.sa.gov.au/record=b2112509")</f>
        <v>https://www.catalog.slsa.sa.gov.au/record=b2112509</v>
      </c>
      <c r="C3829" s="1" t="str">
        <f>HYPERLINK("https://www.catalog.slsa.sa.gov.au/xrecord=b2112509")</f>
        <v>https://www.catalog.slsa.sa.gov.au/xrecord=b2112509</v>
      </c>
      <c r="D3829" t="s">
        <v>66</v>
      </c>
      <c r="E3829" t="s">
        <v>13121</v>
      </c>
      <c r="F3829" t="s">
        <v>13109</v>
      </c>
      <c r="G3829" t="s">
        <v>121</v>
      </c>
      <c r="H3829" t="s">
        <v>13122</v>
      </c>
      <c r="I3829" t="s">
        <v>13123</v>
      </c>
      <c r="J3829" t="s">
        <v>71</v>
      </c>
      <c r="K3829" s="2" t="str">
        <f>HYPERLINK("http://collections.slsa.sa.gov.au/arthur/03000/BRG347_2775.htm")</f>
        <v>http://collections.slsa.sa.gov.au/arthur/03000/BRG347_2775.htm</v>
      </c>
    </row>
    <row r="3830" spans="1:11" x14ac:dyDescent="0.25">
      <c r="A3830" t="s">
        <v>13124</v>
      </c>
      <c r="B3830" s="1" t="str">
        <f>HYPERLINK("https://www.catalog.slsa.sa.gov.au/record=b2110119")</f>
        <v>https://www.catalog.slsa.sa.gov.au/record=b2110119</v>
      </c>
      <c r="C3830" s="1" t="str">
        <f>HYPERLINK("https://www.catalog.slsa.sa.gov.au/xrecord=b2110119")</f>
        <v>https://www.catalog.slsa.sa.gov.au/xrecord=b2110119</v>
      </c>
      <c r="D3830" t="s">
        <v>66</v>
      </c>
      <c r="E3830" t="s">
        <v>7579</v>
      </c>
      <c r="F3830">
        <v>1967</v>
      </c>
      <c r="G3830" t="s">
        <v>121</v>
      </c>
      <c r="H3830" t="s">
        <v>13125</v>
      </c>
      <c r="I3830" t="s">
        <v>7581</v>
      </c>
      <c r="J3830" t="s">
        <v>71</v>
      </c>
      <c r="K3830" s="2" t="str">
        <f>HYPERLINK("http://collections.slsa.sa.gov.au/arthur/01000/BRG347_924.htm")</f>
        <v>http://collections.slsa.sa.gov.au/arthur/01000/BRG347_924.htm</v>
      </c>
    </row>
    <row r="3831" spans="1:11" x14ac:dyDescent="0.25">
      <c r="A3831" t="s">
        <v>13126</v>
      </c>
      <c r="B3831" s="1" t="str">
        <f>HYPERLINK("https://www.catalog.slsa.sa.gov.au/record=b2110129")</f>
        <v>https://www.catalog.slsa.sa.gov.au/record=b2110129</v>
      </c>
      <c r="C3831" s="1" t="str">
        <f>HYPERLINK("https://www.catalog.slsa.sa.gov.au/xrecord=b2110129")</f>
        <v>https://www.catalog.slsa.sa.gov.au/xrecord=b2110129</v>
      </c>
      <c r="D3831" t="s">
        <v>66</v>
      </c>
      <c r="E3831" t="s">
        <v>13127</v>
      </c>
      <c r="F3831">
        <v>1967</v>
      </c>
      <c r="G3831" t="s">
        <v>121</v>
      </c>
      <c r="H3831" t="s">
        <v>13128</v>
      </c>
      <c r="I3831" t="s">
        <v>13129</v>
      </c>
      <c r="J3831" t="s">
        <v>71</v>
      </c>
      <c r="K3831" s="2" t="str">
        <f>HYPERLINK("http://collections.slsa.sa.gov.au/arthur/01000/BRG347_934.htm")</f>
        <v>http://collections.slsa.sa.gov.au/arthur/01000/BRG347_934.htm</v>
      </c>
    </row>
    <row r="3832" spans="1:11" x14ac:dyDescent="0.25">
      <c r="A3832" t="s">
        <v>13130</v>
      </c>
      <c r="B3832" s="1" t="str">
        <f>HYPERLINK("https://www.catalog.slsa.sa.gov.au/record=b2110130")</f>
        <v>https://www.catalog.slsa.sa.gov.au/record=b2110130</v>
      </c>
      <c r="C3832" s="1" t="str">
        <f>HYPERLINK("https://www.catalog.slsa.sa.gov.au/xrecord=b2110130")</f>
        <v>https://www.catalog.slsa.sa.gov.au/xrecord=b2110130</v>
      </c>
      <c r="D3832" t="s">
        <v>66</v>
      </c>
      <c r="E3832" t="s">
        <v>11942</v>
      </c>
      <c r="F3832">
        <v>1967</v>
      </c>
      <c r="G3832" t="s">
        <v>121</v>
      </c>
      <c r="H3832" t="s">
        <v>13131</v>
      </c>
      <c r="I3832" t="s">
        <v>11944</v>
      </c>
      <c r="J3832" t="s">
        <v>71</v>
      </c>
      <c r="K3832" s="2" t="str">
        <f>HYPERLINK("http://collections.slsa.sa.gov.au/arthur/01000/BRG347_935.htm")</f>
        <v>http://collections.slsa.sa.gov.au/arthur/01000/BRG347_935.htm</v>
      </c>
    </row>
    <row r="3833" spans="1:11" x14ac:dyDescent="0.25">
      <c r="A3833" t="s">
        <v>13132</v>
      </c>
      <c r="B3833" s="1" t="str">
        <f>HYPERLINK("https://www.catalog.slsa.sa.gov.au/record=b2110449")</f>
        <v>https://www.catalog.slsa.sa.gov.au/record=b2110449</v>
      </c>
      <c r="C3833" s="1" t="str">
        <f>HYPERLINK("https://www.catalog.slsa.sa.gov.au/xrecord=b2110449")</f>
        <v>https://www.catalog.slsa.sa.gov.au/xrecord=b2110449</v>
      </c>
      <c r="D3833" t="s">
        <v>66</v>
      </c>
      <c r="E3833" t="s">
        <v>10628</v>
      </c>
      <c r="F3833">
        <v>1967</v>
      </c>
      <c r="G3833" t="s">
        <v>121</v>
      </c>
      <c r="H3833" t="s">
        <v>13133</v>
      </c>
      <c r="I3833" t="s">
        <v>12216</v>
      </c>
      <c r="J3833" t="s">
        <v>71</v>
      </c>
      <c r="K3833" s="2" t="str">
        <f>HYPERLINK("http://collections.slsa.sa.gov.au/arthur/01250/BRG347_1227.htm")</f>
        <v>http://collections.slsa.sa.gov.au/arthur/01250/BRG347_1227.htm</v>
      </c>
    </row>
    <row r="3834" spans="1:11" x14ac:dyDescent="0.25">
      <c r="A3834" t="s">
        <v>13134</v>
      </c>
      <c r="B3834" s="1" t="str">
        <f>HYPERLINK("https://www.catalog.slsa.sa.gov.au/record=b2110450")</f>
        <v>https://www.catalog.slsa.sa.gov.au/record=b2110450</v>
      </c>
      <c r="C3834" s="1" t="str">
        <f>HYPERLINK("https://www.catalog.slsa.sa.gov.au/xrecord=b2110450")</f>
        <v>https://www.catalog.slsa.sa.gov.au/xrecord=b2110450</v>
      </c>
      <c r="D3834" t="s">
        <v>66</v>
      </c>
      <c r="E3834" t="s">
        <v>10628</v>
      </c>
      <c r="F3834">
        <v>1967</v>
      </c>
      <c r="G3834" t="s">
        <v>121</v>
      </c>
      <c r="H3834" t="s">
        <v>13135</v>
      </c>
      <c r="I3834" t="s">
        <v>12216</v>
      </c>
      <c r="J3834" t="s">
        <v>71</v>
      </c>
      <c r="K3834" s="2" t="str">
        <f>HYPERLINK("http://collections.slsa.sa.gov.au/arthur/01250/BRG347_1228.htm")</f>
        <v>http://collections.slsa.sa.gov.au/arthur/01250/BRG347_1228.htm</v>
      </c>
    </row>
    <row r="3835" spans="1:11" x14ac:dyDescent="0.25">
      <c r="A3835" t="s">
        <v>13136</v>
      </c>
      <c r="B3835" s="1" t="str">
        <f>HYPERLINK("https://www.catalog.slsa.sa.gov.au/record=b2110451")</f>
        <v>https://www.catalog.slsa.sa.gov.au/record=b2110451</v>
      </c>
      <c r="C3835" s="1" t="str">
        <f>HYPERLINK("https://www.catalog.slsa.sa.gov.au/xrecord=b2110451")</f>
        <v>https://www.catalog.slsa.sa.gov.au/xrecord=b2110451</v>
      </c>
      <c r="D3835" t="s">
        <v>66</v>
      </c>
      <c r="E3835" t="s">
        <v>10628</v>
      </c>
      <c r="F3835">
        <v>1967</v>
      </c>
      <c r="G3835" t="s">
        <v>121</v>
      </c>
      <c r="H3835" t="s">
        <v>13135</v>
      </c>
      <c r="I3835" t="s">
        <v>12216</v>
      </c>
      <c r="J3835" t="s">
        <v>71</v>
      </c>
      <c r="K3835" s="2" t="str">
        <f>HYPERLINK("http://collections.slsa.sa.gov.au/arthur/01250/BRG347_1229.htm")</f>
        <v>http://collections.slsa.sa.gov.au/arthur/01250/BRG347_1229.htm</v>
      </c>
    </row>
    <row r="3836" spans="1:11" x14ac:dyDescent="0.25">
      <c r="A3836" t="s">
        <v>13137</v>
      </c>
      <c r="B3836" s="1" t="str">
        <f>HYPERLINK("https://www.catalog.slsa.sa.gov.au/record=b2110452")</f>
        <v>https://www.catalog.slsa.sa.gov.au/record=b2110452</v>
      </c>
      <c r="C3836" s="1" t="str">
        <f>HYPERLINK("https://www.catalog.slsa.sa.gov.au/xrecord=b2110452")</f>
        <v>https://www.catalog.slsa.sa.gov.au/xrecord=b2110452</v>
      </c>
      <c r="D3836" t="s">
        <v>66</v>
      </c>
      <c r="E3836" t="s">
        <v>13138</v>
      </c>
      <c r="F3836">
        <v>1967</v>
      </c>
      <c r="G3836" t="s">
        <v>121</v>
      </c>
      <c r="H3836" t="s">
        <v>13139</v>
      </c>
      <c r="I3836" t="s">
        <v>13140</v>
      </c>
      <c r="J3836" t="s">
        <v>71</v>
      </c>
      <c r="K3836" s="2" t="str">
        <f>HYPERLINK("http://collections.slsa.sa.gov.au/arthur/01250/BRG347_1230.htm")</f>
        <v>http://collections.slsa.sa.gov.au/arthur/01250/BRG347_1230.htm</v>
      </c>
    </row>
    <row r="3837" spans="1:11" x14ac:dyDescent="0.25">
      <c r="A3837" t="s">
        <v>13141</v>
      </c>
      <c r="B3837" s="1" t="str">
        <f>HYPERLINK("https://www.catalog.slsa.sa.gov.au/record=b2110453")</f>
        <v>https://www.catalog.slsa.sa.gov.au/record=b2110453</v>
      </c>
      <c r="C3837" s="1" t="str">
        <f>HYPERLINK("https://www.catalog.slsa.sa.gov.au/xrecord=b2110453")</f>
        <v>https://www.catalog.slsa.sa.gov.au/xrecord=b2110453</v>
      </c>
      <c r="D3837" t="s">
        <v>66</v>
      </c>
      <c r="E3837" t="s">
        <v>13138</v>
      </c>
      <c r="F3837">
        <v>1967</v>
      </c>
      <c r="G3837" t="s">
        <v>121</v>
      </c>
      <c r="H3837" t="s">
        <v>13135</v>
      </c>
      <c r="I3837" t="s">
        <v>13140</v>
      </c>
      <c r="J3837" t="s">
        <v>71</v>
      </c>
      <c r="K3837" s="2" t="str">
        <f>HYPERLINK("http://collections.slsa.sa.gov.au/arthur/01250/BRG347_1231.htm")</f>
        <v>http://collections.slsa.sa.gov.au/arthur/01250/BRG347_1231.htm</v>
      </c>
    </row>
    <row r="3838" spans="1:11" x14ac:dyDescent="0.25">
      <c r="A3838" t="s">
        <v>13142</v>
      </c>
      <c r="B3838" s="1" t="str">
        <f>HYPERLINK("https://www.catalog.slsa.sa.gov.au/record=b2110460")</f>
        <v>https://www.catalog.slsa.sa.gov.au/record=b2110460</v>
      </c>
      <c r="C3838" s="1" t="str">
        <f>HYPERLINK("https://www.catalog.slsa.sa.gov.au/xrecord=b2110460")</f>
        <v>https://www.catalog.slsa.sa.gov.au/xrecord=b2110460</v>
      </c>
      <c r="D3838" t="s">
        <v>66</v>
      </c>
      <c r="E3838" t="s">
        <v>13127</v>
      </c>
      <c r="F3838">
        <v>1967</v>
      </c>
      <c r="G3838" t="s">
        <v>121</v>
      </c>
      <c r="H3838" t="s">
        <v>13143</v>
      </c>
      <c r="I3838" t="s">
        <v>13144</v>
      </c>
      <c r="J3838" t="s">
        <v>71</v>
      </c>
      <c r="K3838" s="2" t="str">
        <f>HYPERLINK("http://collections.slsa.sa.gov.au/arthur/01250/BRG347_1238.htm")</f>
        <v>http://collections.slsa.sa.gov.au/arthur/01250/BRG347_1238.htm</v>
      </c>
    </row>
    <row r="3839" spans="1:11" x14ac:dyDescent="0.25">
      <c r="A3839" t="s">
        <v>13145</v>
      </c>
      <c r="B3839" s="1" t="str">
        <f>HYPERLINK("https://www.catalog.slsa.sa.gov.au/record=b2110461")</f>
        <v>https://www.catalog.slsa.sa.gov.au/record=b2110461</v>
      </c>
      <c r="C3839" s="1" t="str">
        <f>HYPERLINK("https://www.catalog.slsa.sa.gov.au/xrecord=b2110461")</f>
        <v>https://www.catalog.slsa.sa.gov.au/xrecord=b2110461</v>
      </c>
      <c r="D3839" t="s">
        <v>66</v>
      </c>
      <c r="E3839" t="s">
        <v>12722</v>
      </c>
      <c r="F3839">
        <v>1967</v>
      </c>
      <c r="G3839" t="s">
        <v>121</v>
      </c>
      <c r="H3839" t="s">
        <v>13146</v>
      </c>
      <c r="I3839" t="s">
        <v>13147</v>
      </c>
      <c r="J3839" t="s">
        <v>71</v>
      </c>
      <c r="K3839" s="2" t="str">
        <f>HYPERLINK("http://collections.slsa.sa.gov.au/arthur/01250/BRG347_1239.htm")</f>
        <v>http://collections.slsa.sa.gov.au/arthur/01250/BRG347_1239.htm</v>
      </c>
    </row>
    <row r="3840" spans="1:11" x14ac:dyDescent="0.25">
      <c r="A3840" t="s">
        <v>13148</v>
      </c>
      <c r="B3840" s="1" t="str">
        <f>HYPERLINK("https://www.catalog.slsa.sa.gov.au/record=b2110900")</f>
        <v>https://www.catalog.slsa.sa.gov.au/record=b2110900</v>
      </c>
      <c r="C3840" s="1" t="str">
        <f>HYPERLINK("https://www.catalog.slsa.sa.gov.au/xrecord=b2110900")</f>
        <v>https://www.catalog.slsa.sa.gov.au/xrecord=b2110900</v>
      </c>
      <c r="D3840" t="s">
        <v>66</v>
      </c>
      <c r="E3840" t="s">
        <v>13149</v>
      </c>
      <c r="F3840">
        <v>1967</v>
      </c>
      <c r="G3840" t="s">
        <v>121</v>
      </c>
      <c r="H3840" t="s">
        <v>13150</v>
      </c>
      <c r="I3840" t="s">
        <v>13151</v>
      </c>
      <c r="J3840" t="s">
        <v>71</v>
      </c>
      <c r="K3840" s="2" t="str">
        <f>HYPERLINK("http://collections.slsa.sa.gov.au/arthur/01750/BRG347_1580.htm")</f>
        <v>http://collections.slsa.sa.gov.au/arthur/01750/BRG347_1580.htm</v>
      </c>
    </row>
    <row r="3841" spans="1:11" x14ac:dyDescent="0.25">
      <c r="A3841" t="s">
        <v>13152</v>
      </c>
      <c r="B3841" s="1" t="str">
        <f>HYPERLINK("https://www.catalog.slsa.sa.gov.au/record=b2111039")</f>
        <v>https://www.catalog.slsa.sa.gov.au/record=b2111039</v>
      </c>
      <c r="C3841" s="1" t="str">
        <f>HYPERLINK("https://www.catalog.slsa.sa.gov.au/xrecord=b2111039")</f>
        <v>https://www.catalog.slsa.sa.gov.au/xrecord=b2111039</v>
      </c>
      <c r="D3841" t="s">
        <v>66</v>
      </c>
      <c r="E3841" t="s">
        <v>7658</v>
      </c>
      <c r="F3841">
        <v>1967</v>
      </c>
      <c r="G3841" t="s">
        <v>121</v>
      </c>
      <c r="H3841" t="s">
        <v>13153</v>
      </c>
      <c r="I3841" t="s">
        <v>7660</v>
      </c>
      <c r="J3841" t="s">
        <v>71</v>
      </c>
      <c r="K3841" s="2" t="str">
        <f>HYPERLINK("http://collections.slsa.sa.gov.au/arthur/01750/BRG347_1721.htm")</f>
        <v>http://collections.slsa.sa.gov.au/arthur/01750/BRG347_1721.htm</v>
      </c>
    </row>
    <row r="3842" spans="1:11" x14ac:dyDescent="0.25">
      <c r="A3842" t="s">
        <v>13154</v>
      </c>
      <c r="B3842" s="1" t="str">
        <f>HYPERLINK("https://www.catalog.slsa.sa.gov.au/record=b2111041")</f>
        <v>https://www.catalog.slsa.sa.gov.au/record=b2111041</v>
      </c>
      <c r="C3842" s="1" t="str">
        <f>HYPERLINK("https://www.catalog.slsa.sa.gov.au/xrecord=b2111041")</f>
        <v>https://www.catalog.slsa.sa.gov.au/xrecord=b2111041</v>
      </c>
      <c r="D3842" t="s">
        <v>66</v>
      </c>
      <c r="E3842" t="s">
        <v>7658</v>
      </c>
      <c r="F3842">
        <v>1967</v>
      </c>
      <c r="G3842" t="s">
        <v>121</v>
      </c>
      <c r="H3842" t="s">
        <v>13155</v>
      </c>
      <c r="I3842" t="s">
        <v>7660</v>
      </c>
      <c r="J3842" t="s">
        <v>71</v>
      </c>
      <c r="K3842" s="2" t="str">
        <f>HYPERLINK("http://collections.slsa.sa.gov.au/arthur/01750/BRG347_1723.htm")</f>
        <v>http://collections.slsa.sa.gov.au/arthur/01750/BRG347_1723.htm</v>
      </c>
    </row>
    <row r="3843" spans="1:11" x14ac:dyDescent="0.25">
      <c r="A3843" t="s">
        <v>13156</v>
      </c>
      <c r="B3843" s="1" t="str">
        <f>HYPERLINK("https://www.catalog.slsa.sa.gov.au/record=b2111151")</f>
        <v>https://www.catalog.slsa.sa.gov.au/record=b2111151</v>
      </c>
      <c r="C3843" s="1" t="str">
        <f>HYPERLINK("https://www.catalog.slsa.sa.gov.au/xrecord=b2111151")</f>
        <v>https://www.catalog.slsa.sa.gov.au/xrecord=b2111151</v>
      </c>
      <c r="D3843" t="s">
        <v>66</v>
      </c>
      <c r="E3843" t="s">
        <v>13157</v>
      </c>
      <c r="F3843">
        <v>1967</v>
      </c>
      <c r="G3843" t="s">
        <v>121</v>
      </c>
      <c r="H3843" t="s">
        <v>13158</v>
      </c>
      <c r="I3843" t="s">
        <v>12755</v>
      </c>
      <c r="J3843" t="s">
        <v>71</v>
      </c>
      <c r="K3843" s="2" t="str">
        <f>HYPERLINK("http://collections.slsa.sa.gov.au/arthur/02000/BRG347_1837.htm")</f>
        <v>http://collections.slsa.sa.gov.au/arthur/02000/BRG347_1837.htm</v>
      </c>
    </row>
    <row r="3844" spans="1:11" x14ac:dyDescent="0.25">
      <c r="A3844" t="s">
        <v>13159</v>
      </c>
      <c r="B3844" s="1" t="str">
        <f>HYPERLINK("https://www.catalog.slsa.sa.gov.au/record=b2111152")</f>
        <v>https://www.catalog.slsa.sa.gov.au/record=b2111152</v>
      </c>
      <c r="C3844" s="1" t="str">
        <f>HYPERLINK("https://www.catalog.slsa.sa.gov.au/xrecord=b2111152")</f>
        <v>https://www.catalog.slsa.sa.gov.au/xrecord=b2111152</v>
      </c>
      <c r="D3844" t="s">
        <v>66</v>
      </c>
      <c r="E3844" t="s">
        <v>13160</v>
      </c>
      <c r="F3844">
        <v>1967</v>
      </c>
      <c r="G3844" t="s">
        <v>121</v>
      </c>
      <c r="H3844" t="s">
        <v>13161</v>
      </c>
      <c r="I3844" t="s">
        <v>13162</v>
      </c>
      <c r="J3844" t="s">
        <v>71</v>
      </c>
      <c r="K3844" s="2" t="str">
        <f>HYPERLINK("http://collections.slsa.sa.gov.au/arthur/02000/BRG347_1838.htm")</f>
        <v>http://collections.slsa.sa.gov.au/arthur/02000/BRG347_1838.htm</v>
      </c>
    </row>
    <row r="3845" spans="1:11" x14ac:dyDescent="0.25">
      <c r="A3845" t="s">
        <v>13163</v>
      </c>
      <c r="B3845" s="1" t="str">
        <f>HYPERLINK("https://www.catalog.slsa.sa.gov.au/record=b2117885")</f>
        <v>https://www.catalog.slsa.sa.gov.au/record=b2117885</v>
      </c>
      <c r="C3845" s="1" t="str">
        <f>HYPERLINK("https://www.catalog.slsa.sa.gov.au/xrecord=b2117885")</f>
        <v>https://www.catalog.slsa.sa.gov.au/xrecord=b2117885</v>
      </c>
      <c r="D3845" t="s">
        <v>66</v>
      </c>
      <c r="E3845" t="s">
        <v>12085</v>
      </c>
      <c r="F3845">
        <v>1967</v>
      </c>
      <c r="G3845" t="s">
        <v>121</v>
      </c>
      <c r="H3845" t="s">
        <v>13164</v>
      </c>
      <c r="I3845" t="s">
        <v>13165</v>
      </c>
      <c r="J3845" t="s">
        <v>71</v>
      </c>
      <c r="K3845" s="2" t="str">
        <f>HYPERLINK("http://collections.slsa.sa.gov.au/arthur/02000/BRG347_1846.htm")</f>
        <v>http://collections.slsa.sa.gov.au/arthur/02000/BRG347_1846.htm</v>
      </c>
    </row>
    <row r="3846" spans="1:11" x14ac:dyDescent="0.25">
      <c r="A3846" t="s">
        <v>13166</v>
      </c>
      <c r="B3846" s="1" t="str">
        <f>HYPERLINK("https://www.catalog.slsa.sa.gov.au/record=b2111179")</f>
        <v>https://www.catalog.slsa.sa.gov.au/record=b2111179</v>
      </c>
      <c r="C3846" s="1" t="str">
        <f>HYPERLINK("https://www.catalog.slsa.sa.gov.au/xrecord=b2111179")</f>
        <v>https://www.catalog.slsa.sa.gov.au/xrecord=b2111179</v>
      </c>
      <c r="D3846" t="s">
        <v>66</v>
      </c>
      <c r="E3846" t="s">
        <v>7192</v>
      </c>
      <c r="F3846">
        <v>1967</v>
      </c>
      <c r="G3846" t="s">
        <v>121</v>
      </c>
      <c r="H3846" t="s">
        <v>13167</v>
      </c>
      <c r="I3846" t="s">
        <v>7194</v>
      </c>
      <c r="J3846" t="s">
        <v>71</v>
      </c>
      <c r="K3846" s="2" t="str">
        <f>HYPERLINK("http://collections.slsa.sa.gov.au/arthur/02000/BRG347_1868.htm")</f>
        <v>http://collections.slsa.sa.gov.au/arthur/02000/BRG347_1868.htm</v>
      </c>
    </row>
    <row r="3847" spans="1:11" x14ac:dyDescent="0.25">
      <c r="A3847" t="s">
        <v>13168</v>
      </c>
      <c r="B3847" s="1" t="str">
        <f>HYPERLINK("https://www.catalog.slsa.sa.gov.au/record=b2117887")</f>
        <v>https://www.catalog.slsa.sa.gov.au/record=b2117887</v>
      </c>
      <c r="C3847" s="1" t="str">
        <f>HYPERLINK("https://www.catalog.slsa.sa.gov.au/xrecord=b2117887")</f>
        <v>https://www.catalog.slsa.sa.gov.au/xrecord=b2117887</v>
      </c>
      <c r="D3847" t="s">
        <v>66</v>
      </c>
      <c r="E3847" t="s">
        <v>7192</v>
      </c>
      <c r="F3847">
        <v>1967</v>
      </c>
      <c r="G3847" t="s">
        <v>121</v>
      </c>
      <c r="H3847" t="s">
        <v>13167</v>
      </c>
      <c r="I3847" t="s">
        <v>7194</v>
      </c>
      <c r="J3847" t="s">
        <v>71</v>
      </c>
      <c r="K3847" s="2" t="str">
        <f>HYPERLINK("http://collections.slsa.sa.gov.au/arthur/02000/BRG347_1869.htm")</f>
        <v>http://collections.slsa.sa.gov.au/arthur/02000/BRG347_1869.htm</v>
      </c>
    </row>
    <row r="3848" spans="1:11" x14ac:dyDescent="0.25">
      <c r="A3848" t="s">
        <v>13169</v>
      </c>
      <c r="B3848" s="1" t="str">
        <f>HYPERLINK("https://www.catalog.slsa.sa.gov.au/record=b2112039")</f>
        <v>https://www.catalog.slsa.sa.gov.au/record=b2112039</v>
      </c>
      <c r="C3848" s="1" t="str">
        <f>HYPERLINK("https://www.catalog.slsa.sa.gov.au/xrecord=b2112039")</f>
        <v>https://www.catalog.slsa.sa.gov.au/xrecord=b2112039</v>
      </c>
      <c r="D3848" t="s">
        <v>66</v>
      </c>
      <c r="E3848" t="s">
        <v>9519</v>
      </c>
      <c r="F3848">
        <v>1967</v>
      </c>
      <c r="G3848" t="s">
        <v>121</v>
      </c>
      <c r="H3848" t="s">
        <v>13170</v>
      </c>
      <c r="I3848" t="s">
        <v>9521</v>
      </c>
      <c r="J3848" t="s">
        <v>71</v>
      </c>
      <c r="K3848" s="2" t="str">
        <f>HYPERLINK("http://collections.slsa.sa.gov.au/arthur/02500/BRG347_2465.htm")</f>
        <v>http://collections.slsa.sa.gov.au/arthur/02500/BRG347_2465.htm</v>
      </c>
    </row>
    <row r="3849" spans="1:11" x14ac:dyDescent="0.25">
      <c r="A3849" t="s">
        <v>13171</v>
      </c>
      <c r="B3849" s="1" t="str">
        <f>HYPERLINK("https://www.catalog.slsa.sa.gov.au/record=b2112040")</f>
        <v>https://www.catalog.slsa.sa.gov.au/record=b2112040</v>
      </c>
      <c r="C3849" s="1" t="str">
        <f>HYPERLINK("https://www.catalog.slsa.sa.gov.au/xrecord=b2112040")</f>
        <v>https://www.catalog.slsa.sa.gov.au/xrecord=b2112040</v>
      </c>
      <c r="D3849" t="s">
        <v>66</v>
      </c>
      <c r="E3849" t="s">
        <v>7396</v>
      </c>
      <c r="F3849">
        <v>1967</v>
      </c>
      <c r="G3849" t="s">
        <v>121</v>
      </c>
      <c r="H3849" t="s">
        <v>13172</v>
      </c>
      <c r="I3849" t="s">
        <v>10178</v>
      </c>
      <c r="J3849" t="s">
        <v>71</v>
      </c>
      <c r="K3849" s="2" t="str">
        <f>HYPERLINK("http://collections.slsa.sa.gov.au/arthur/02500/BRG347_2466.htm")</f>
        <v>http://collections.slsa.sa.gov.au/arthur/02500/BRG347_2466.htm</v>
      </c>
    </row>
    <row r="3850" spans="1:11" x14ac:dyDescent="0.25">
      <c r="A3850" t="s">
        <v>13173</v>
      </c>
      <c r="B3850" s="1" t="str">
        <f>HYPERLINK("https://www.catalog.slsa.sa.gov.au/record=b2112041")</f>
        <v>https://www.catalog.slsa.sa.gov.au/record=b2112041</v>
      </c>
      <c r="C3850" s="1" t="str">
        <f>HYPERLINK("https://www.catalog.slsa.sa.gov.au/xrecord=b2112041")</f>
        <v>https://www.catalog.slsa.sa.gov.au/xrecord=b2112041</v>
      </c>
      <c r="D3850" t="s">
        <v>66</v>
      </c>
      <c r="E3850" t="s">
        <v>13174</v>
      </c>
      <c r="F3850">
        <v>1967</v>
      </c>
      <c r="G3850" t="s">
        <v>121</v>
      </c>
      <c r="H3850" t="s">
        <v>13175</v>
      </c>
      <c r="I3850" t="s">
        <v>9521</v>
      </c>
      <c r="J3850" t="s">
        <v>71</v>
      </c>
      <c r="K3850" s="2" t="str">
        <f>HYPERLINK("http://collections.slsa.sa.gov.au/arthur/02500/BRG347_2467.htm")</f>
        <v>http://collections.slsa.sa.gov.au/arthur/02500/BRG347_2467.htm</v>
      </c>
    </row>
    <row r="3851" spans="1:11" x14ac:dyDescent="0.25">
      <c r="A3851" t="s">
        <v>13176</v>
      </c>
      <c r="B3851" s="1" t="str">
        <f>HYPERLINK("https://www.catalog.slsa.sa.gov.au/record=b2112042")</f>
        <v>https://www.catalog.slsa.sa.gov.au/record=b2112042</v>
      </c>
      <c r="C3851" s="1" t="str">
        <f>HYPERLINK("https://www.catalog.slsa.sa.gov.au/xrecord=b2112042")</f>
        <v>https://www.catalog.slsa.sa.gov.au/xrecord=b2112042</v>
      </c>
      <c r="D3851" t="s">
        <v>66</v>
      </c>
      <c r="E3851" t="s">
        <v>13177</v>
      </c>
      <c r="F3851">
        <v>1967</v>
      </c>
      <c r="G3851" t="s">
        <v>121</v>
      </c>
      <c r="H3851" t="s">
        <v>13178</v>
      </c>
      <c r="I3851" t="s">
        <v>12136</v>
      </c>
      <c r="J3851" t="s">
        <v>71</v>
      </c>
      <c r="K3851" s="2" t="str">
        <f>HYPERLINK("http://collections.slsa.sa.gov.au/arthur/02500/BRG347_2468.htm")</f>
        <v>http://collections.slsa.sa.gov.au/arthur/02500/BRG347_2468.htm</v>
      </c>
    </row>
    <row r="3852" spans="1:11" x14ac:dyDescent="0.25">
      <c r="A3852" t="s">
        <v>13179</v>
      </c>
      <c r="B3852" s="1" t="str">
        <f>HYPERLINK("https://www.catalog.slsa.sa.gov.au/record=b2112043")</f>
        <v>https://www.catalog.slsa.sa.gov.au/record=b2112043</v>
      </c>
      <c r="C3852" s="1" t="str">
        <f>HYPERLINK("https://www.catalog.slsa.sa.gov.au/xrecord=b2112043")</f>
        <v>https://www.catalog.slsa.sa.gov.au/xrecord=b2112043</v>
      </c>
      <c r="D3852" t="s">
        <v>66</v>
      </c>
      <c r="E3852" t="s">
        <v>13177</v>
      </c>
      <c r="F3852">
        <v>1967</v>
      </c>
      <c r="G3852" t="s">
        <v>121</v>
      </c>
      <c r="H3852" t="s">
        <v>13180</v>
      </c>
      <c r="I3852" t="s">
        <v>12136</v>
      </c>
      <c r="J3852" t="s">
        <v>71</v>
      </c>
      <c r="K3852" s="2" t="str">
        <f>HYPERLINK("http://collections.slsa.sa.gov.au/arthur/02500/BRG347_2469.htm")</f>
        <v>http://collections.slsa.sa.gov.au/arthur/02500/BRG347_2469.htm</v>
      </c>
    </row>
    <row r="3853" spans="1:11" x14ac:dyDescent="0.25">
      <c r="A3853" t="s">
        <v>13181</v>
      </c>
      <c r="B3853" s="1" t="str">
        <f>HYPERLINK("https://www.catalog.slsa.sa.gov.au/record=b2112044")</f>
        <v>https://www.catalog.slsa.sa.gov.au/record=b2112044</v>
      </c>
      <c r="C3853" s="1" t="str">
        <f>HYPERLINK("https://www.catalog.slsa.sa.gov.au/xrecord=b2112044")</f>
        <v>https://www.catalog.slsa.sa.gov.au/xrecord=b2112044</v>
      </c>
      <c r="D3853" t="s">
        <v>66</v>
      </c>
      <c r="E3853" t="s">
        <v>9519</v>
      </c>
      <c r="F3853">
        <v>1967</v>
      </c>
      <c r="G3853" t="s">
        <v>121</v>
      </c>
      <c r="H3853" t="s">
        <v>13182</v>
      </c>
      <c r="I3853" t="s">
        <v>9521</v>
      </c>
      <c r="J3853" t="s">
        <v>71</v>
      </c>
      <c r="K3853" s="2" t="str">
        <f>HYPERLINK("http://collections.slsa.sa.gov.au/arthur/02500/BRG347_2470.htm")</f>
        <v>http://collections.slsa.sa.gov.au/arthur/02500/BRG347_2470.htm</v>
      </c>
    </row>
    <row r="3854" spans="1:11" x14ac:dyDescent="0.25">
      <c r="A3854" t="s">
        <v>13183</v>
      </c>
      <c r="B3854" s="1" t="str">
        <f>HYPERLINK("https://www.catalog.slsa.sa.gov.au/record=b2112045")</f>
        <v>https://www.catalog.slsa.sa.gov.au/record=b2112045</v>
      </c>
      <c r="C3854" s="1" t="str">
        <f>HYPERLINK("https://www.catalog.slsa.sa.gov.au/xrecord=b2112045")</f>
        <v>https://www.catalog.slsa.sa.gov.au/xrecord=b2112045</v>
      </c>
      <c r="D3854" t="s">
        <v>66</v>
      </c>
      <c r="E3854" t="s">
        <v>13184</v>
      </c>
      <c r="F3854">
        <v>1967</v>
      </c>
      <c r="G3854" t="s">
        <v>121</v>
      </c>
      <c r="H3854" t="s">
        <v>13182</v>
      </c>
      <c r="I3854" t="s">
        <v>9521</v>
      </c>
      <c r="J3854" t="s">
        <v>71</v>
      </c>
      <c r="K3854" s="2" t="str">
        <f>HYPERLINK("http://collections.slsa.sa.gov.au/arthur/02500/BRG347_2471.htm")</f>
        <v>http://collections.slsa.sa.gov.au/arthur/02500/BRG347_2471.htm</v>
      </c>
    </row>
    <row r="3855" spans="1:11" x14ac:dyDescent="0.25">
      <c r="A3855" t="s">
        <v>13185</v>
      </c>
      <c r="B3855" s="1" t="str">
        <f>HYPERLINK("https://www.catalog.slsa.sa.gov.au/record=b2118126")</f>
        <v>https://www.catalog.slsa.sa.gov.au/record=b2118126</v>
      </c>
      <c r="C3855" s="1" t="str">
        <f>HYPERLINK("https://www.catalog.slsa.sa.gov.au/xrecord=b2118126")</f>
        <v>https://www.catalog.slsa.sa.gov.au/xrecord=b2118126</v>
      </c>
      <c r="D3855" t="s">
        <v>66</v>
      </c>
      <c r="E3855" t="s">
        <v>13186</v>
      </c>
      <c r="F3855">
        <v>1967</v>
      </c>
      <c r="G3855" t="s">
        <v>121</v>
      </c>
      <c r="H3855" t="s">
        <v>13187</v>
      </c>
      <c r="I3855" t="s">
        <v>13188</v>
      </c>
      <c r="J3855" t="s">
        <v>71</v>
      </c>
      <c r="K3855" s="2" t="str">
        <f>HYPERLINK("http://collections.slsa.sa.gov.au/arthur/02500/BRG347_2472.htm")</f>
        <v>http://collections.slsa.sa.gov.au/arthur/02500/BRG347_2472.htm</v>
      </c>
    </row>
    <row r="3856" spans="1:11" x14ac:dyDescent="0.25">
      <c r="A3856" t="s">
        <v>13189</v>
      </c>
      <c r="B3856" s="1" t="str">
        <f>HYPERLINK("https://www.catalog.slsa.sa.gov.au/record=b2112046")</f>
        <v>https://www.catalog.slsa.sa.gov.au/record=b2112046</v>
      </c>
      <c r="C3856" s="1" t="str">
        <f>HYPERLINK("https://www.catalog.slsa.sa.gov.au/xrecord=b2112046")</f>
        <v>https://www.catalog.slsa.sa.gov.au/xrecord=b2112046</v>
      </c>
      <c r="D3856" t="s">
        <v>66</v>
      </c>
      <c r="E3856" t="s">
        <v>13177</v>
      </c>
      <c r="F3856">
        <v>1967</v>
      </c>
      <c r="G3856" t="s">
        <v>121</v>
      </c>
      <c r="H3856" t="s">
        <v>13190</v>
      </c>
      <c r="I3856" t="s">
        <v>12136</v>
      </c>
      <c r="J3856" t="s">
        <v>71</v>
      </c>
      <c r="K3856" s="2" t="str">
        <f>HYPERLINK("http://collections.slsa.sa.gov.au/arthur/02500/BRG347_2473.htm")</f>
        <v>http://collections.slsa.sa.gov.au/arthur/02500/BRG347_2473.htm</v>
      </c>
    </row>
    <row r="3857" spans="1:11" x14ac:dyDescent="0.25">
      <c r="A3857" t="s">
        <v>13191</v>
      </c>
      <c r="B3857" s="1" t="str">
        <f>HYPERLINK("https://www.catalog.slsa.sa.gov.au/record=b2112047")</f>
        <v>https://www.catalog.slsa.sa.gov.au/record=b2112047</v>
      </c>
      <c r="C3857" s="1" t="str">
        <f>HYPERLINK("https://www.catalog.slsa.sa.gov.au/xrecord=b2112047")</f>
        <v>https://www.catalog.slsa.sa.gov.au/xrecord=b2112047</v>
      </c>
      <c r="D3857" t="s">
        <v>66</v>
      </c>
      <c r="E3857" t="s">
        <v>13192</v>
      </c>
      <c r="F3857">
        <v>1967</v>
      </c>
      <c r="G3857" t="s">
        <v>121</v>
      </c>
      <c r="H3857" t="s">
        <v>13193</v>
      </c>
      <c r="I3857" t="s">
        <v>12136</v>
      </c>
      <c r="J3857" t="s">
        <v>71</v>
      </c>
      <c r="K3857" s="2" t="str">
        <f>HYPERLINK("http://collections.slsa.sa.gov.au/arthur/02500/BRG347_2474.htm")</f>
        <v>http://collections.slsa.sa.gov.au/arthur/02500/BRG347_2474.htm</v>
      </c>
    </row>
    <row r="3858" spans="1:11" x14ac:dyDescent="0.25">
      <c r="A3858" t="s">
        <v>13194</v>
      </c>
      <c r="B3858" s="1" t="str">
        <f>HYPERLINK("https://www.catalog.slsa.sa.gov.au/record=b2112048")</f>
        <v>https://www.catalog.slsa.sa.gov.au/record=b2112048</v>
      </c>
      <c r="C3858" s="1" t="str">
        <f>HYPERLINK("https://www.catalog.slsa.sa.gov.au/xrecord=b2112048")</f>
        <v>https://www.catalog.slsa.sa.gov.au/xrecord=b2112048</v>
      </c>
      <c r="D3858" t="s">
        <v>66</v>
      </c>
      <c r="E3858" t="s">
        <v>9519</v>
      </c>
      <c r="F3858">
        <v>1967</v>
      </c>
      <c r="G3858" t="s">
        <v>121</v>
      </c>
      <c r="H3858" t="s">
        <v>13195</v>
      </c>
      <c r="I3858" t="s">
        <v>9521</v>
      </c>
      <c r="J3858" t="s">
        <v>71</v>
      </c>
      <c r="K3858" s="2" t="str">
        <f>HYPERLINK("http://collections.slsa.sa.gov.au/arthur/02500/BRG347_2475.htm")</f>
        <v>http://collections.slsa.sa.gov.au/arthur/02500/BRG347_2475.htm</v>
      </c>
    </row>
    <row r="3859" spans="1:11" x14ac:dyDescent="0.25">
      <c r="A3859" t="s">
        <v>13196</v>
      </c>
      <c r="B3859" s="1" t="str">
        <f>HYPERLINK("https://www.catalog.slsa.sa.gov.au/record=b2112049")</f>
        <v>https://www.catalog.slsa.sa.gov.au/record=b2112049</v>
      </c>
      <c r="C3859" s="1" t="str">
        <f>HYPERLINK("https://www.catalog.slsa.sa.gov.au/xrecord=b2112049")</f>
        <v>https://www.catalog.slsa.sa.gov.au/xrecord=b2112049</v>
      </c>
      <c r="D3859" t="s">
        <v>66</v>
      </c>
      <c r="E3859" t="s">
        <v>13197</v>
      </c>
      <c r="F3859">
        <v>1967</v>
      </c>
      <c r="G3859" t="s">
        <v>121</v>
      </c>
      <c r="H3859" t="s">
        <v>13198</v>
      </c>
      <c r="I3859" t="s">
        <v>13188</v>
      </c>
      <c r="J3859" t="s">
        <v>71</v>
      </c>
      <c r="K3859" s="2" t="str">
        <f>HYPERLINK("http://collections.slsa.sa.gov.au/arthur/02500/BRG347_2476.htm")</f>
        <v>http://collections.slsa.sa.gov.au/arthur/02500/BRG347_2476.htm</v>
      </c>
    </row>
    <row r="3860" spans="1:11" x14ac:dyDescent="0.25">
      <c r="A3860" t="s">
        <v>13199</v>
      </c>
      <c r="B3860" s="1" t="str">
        <f>HYPERLINK("https://www.catalog.slsa.sa.gov.au/record=b2112050")</f>
        <v>https://www.catalog.slsa.sa.gov.au/record=b2112050</v>
      </c>
      <c r="C3860" s="1" t="str">
        <f>HYPERLINK("https://www.catalog.slsa.sa.gov.au/xrecord=b2112050")</f>
        <v>https://www.catalog.slsa.sa.gov.au/xrecord=b2112050</v>
      </c>
      <c r="D3860" t="s">
        <v>66</v>
      </c>
      <c r="E3860" t="s">
        <v>13177</v>
      </c>
      <c r="F3860">
        <v>1967</v>
      </c>
      <c r="G3860" t="s">
        <v>121</v>
      </c>
      <c r="H3860" t="s">
        <v>13200</v>
      </c>
      <c r="I3860" t="s">
        <v>12136</v>
      </c>
      <c r="J3860" t="s">
        <v>71</v>
      </c>
      <c r="K3860" s="2" t="str">
        <f>HYPERLINK("http://collections.slsa.sa.gov.au/arthur/02500/BRG347_2477.htm")</f>
        <v>http://collections.slsa.sa.gov.au/arthur/02500/BRG347_2477.htm</v>
      </c>
    </row>
    <row r="3861" spans="1:11" x14ac:dyDescent="0.25">
      <c r="A3861" t="s">
        <v>13201</v>
      </c>
      <c r="B3861" s="1" t="str">
        <f>HYPERLINK("https://www.catalog.slsa.sa.gov.au/record=b2112052")</f>
        <v>https://www.catalog.slsa.sa.gov.au/record=b2112052</v>
      </c>
      <c r="C3861" s="1" t="str">
        <f>HYPERLINK("https://www.catalog.slsa.sa.gov.au/xrecord=b2112052")</f>
        <v>https://www.catalog.slsa.sa.gov.au/xrecord=b2112052</v>
      </c>
      <c r="D3861" t="s">
        <v>66</v>
      </c>
      <c r="E3861" t="s">
        <v>12104</v>
      </c>
      <c r="F3861">
        <v>1967</v>
      </c>
      <c r="G3861" t="s">
        <v>121</v>
      </c>
      <c r="H3861" t="s">
        <v>13202</v>
      </c>
      <c r="I3861" t="s">
        <v>5556</v>
      </c>
      <c r="J3861" t="s">
        <v>71</v>
      </c>
      <c r="K3861" s="2" t="str">
        <f>HYPERLINK("http://collections.slsa.sa.gov.au/arthur/02500/BRG347_2480.htm")</f>
        <v>http://collections.slsa.sa.gov.au/arthur/02500/BRG347_2480.htm</v>
      </c>
    </row>
    <row r="3862" spans="1:11" x14ac:dyDescent="0.25">
      <c r="A3862" t="s">
        <v>13203</v>
      </c>
      <c r="B3862" s="1" t="str">
        <f>HYPERLINK("https://www.catalog.slsa.sa.gov.au/record=b2112054")</f>
        <v>https://www.catalog.slsa.sa.gov.au/record=b2112054</v>
      </c>
      <c r="C3862" s="1" t="str">
        <f>HYPERLINK("https://www.catalog.slsa.sa.gov.au/xrecord=b2112054")</f>
        <v>https://www.catalog.slsa.sa.gov.au/xrecord=b2112054</v>
      </c>
      <c r="D3862" t="s">
        <v>66</v>
      </c>
      <c r="E3862" t="s">
        <v>7396</v>
      </c>
      <c r="F3862">
        <v>1967</v>
      </c>
      <c r="G3862" t="s">
        <v>121</v>
      </c>
      <c r="H3862" t="s">
        <v>13204</v>
      </c>
      <c r="I3862" t="s">
        <v>13205</v>
      </c>
      <c r="J3862" t="s">
        <v>71</v>
      </c>
      <c r="K3862" s="2" t="str">
        <f>HYPERLINK("http://collections.slsa.sa.gov.au/arthur/02500/BRG347_2483.htm")</f>
        <v>http://collections.slsa.sa.gov.au/arthur/02500/BRG347_2483.htm</v>
      </c>
    </row>
    <row r="3863" spans="1:11" x14ac:dyDescent="0.25">
      <c r="A3863" t="s">
        <v>13206</v>
      </c>
      <c r="B3863" s="1" t="str">
        <f>HYPERLINK("https://www.catalog.slsa.sa.gov.au/record=b2112076")</f>
        <v>https://www.catalog.slsa.sa.gov.au/record=b2112076</v>
      </c>
      <c r="C3863" s="1" t="str">
        <f>HYPERLINK("https://www.catalog.slsa.sa.gov.au/xrecord=b2112076")</f>
        <v>https://www.catalog.slsa.sa.gov.au/xrecord=b2112076</v>
      </c>
      <c r="D3863" t="s">
        <v>66</v>
      </c>
      <c r="E3863" t="s">
        <v>7396</v>
      </c>
      <c r="F3863">
        <v>1967</v>
      </c>
      <c r="G3863" t="s">
        <v>121</v>
      </c>
      <c r="H3863" t="s">
        <v>13207</v>
      </c>
      <c r="I3863" t="s">
        <v>13205</v>
      </c>
      <c r="J3863" t="s">
        <v>71</v>
      </c>
      <c r="K3863" s="2" t="str">
        <f>HYPERLINK("http://collections.slsa.sa.gov.au/arthur/02750/BRG347_2506.htm")</f>
        <v>http://collections.slsa.sa.gov.au/arthur/02750/BRG347_2506.htm</v>
      </c>
    </row>
    <row r="3864" spans="1:11" x14ac:dyDescent="0.25">
      <c r="A3864" t="s">
        <v>13208</v>
      </c>
      <c r="B3864" s="1" t="str">
        <f>HYPERLINK("https://www.catalog.slsa.sa.gov.au/record=b2112077")</f>
        <v>https://www.catalog.slsa.sa.gov.au/record=b2112077</v>
      </c>
      <c r="C3864" s="1" t="str">
        <f>HYPERLINK("https://www.catalog.slsa.sa.gov.au/xrecord=b2112077")</f>
        <v>https://www.catalog.slsa.sa.gov.au/xrecord=b2112077</v>
      </c>
      <c r="D3864" t="s">
        <v>66</v>
      </c>
      <c r="E3864" t="s">
        <v>13209</v>
      </c>
      <c r="F3864">
        <v>1967</v>
      </c>
      <c r="G3864" t="s">
        <v>121</v>
      </c>
      <c r="H3864" t="s">
        <v>13210</v>
      </c>
      <c r="I3864" t="s">
        <v>12136</v>
      </c>
      <c r="J3864" t="s">
        <v>71</v>
      </c>
      <c r="K3864" s="2" t="str">
        <f>HYPERLINK("http://collections.slsa.sa.gov.au/arthur/02750/BRG347_2507.htm")</f>
        <v>http://collections.slsa.sa.gov.au/arthur/02750/BRG347_2507.htm</v>
      </c>
    </row>
    <row r="3865" spans="1:11" x14ac:dyDescent="0.25">
      <c r="A3865" t="s">
        <v>13211</v>
      </c>
      <c r="B3865" s="1" t="str">
        <f>HYPERLINK("https://www.catalog.slsa.sa.gov.au/record=b2112079")</f>
        <v>https://www.catalog.slsa.sa.gov.au/record=b2112079</v>
      </c>
      <c r="C3865" s="1" t="str">
        <f>HYPERLINK("https://www.catalog.slsa.sa.gov.au/xrecord=b2112079")</f>
        <v>https://www.catalog.slsa.sa.gov.au/xrecord=b2112079</v>
      </c>
      <c r="D3865" t="s">
        <v>66</v>
      </c>
      <c r="E3865" t="s">
        <v>13177</v>
      </c>
      <c r="F3865">
        <v>1967</v>
      </c>
      <c r="G3865" t="s">
        <v>121</v>
      </c>
      <c r="H3865" t="s">
        <v>13212</v>
      </c>
      <c r="I3865" t="s">
        <v>12136</v>
      </c>
      <c r="J3865" t="s">
        <v>71</v>
      </c>
      <c r="K3865" s="2" t="str">
        <f>HYPERLINK("http://collections.slsa.sa.gov.au/arthur/02750/BRG347_2509.htm")</f>
        <v>http://collections.slsa.sa.gov.au/arthur/02750/BRG347_2509.htm</v>
      </c>
    </row>
    <row r="3866" spans="1:11" x14ac:dyDescent="0.25">
      <c r="A3866" t="s">
        <v>13213</v>
      </c>
      <c r="B3866" s="1" t="str">
        <f>HYPERLINK("https://www.catalog.slsa.sa.gov.au/record=b2112080")</f>
        <v>https://www.catalog.slsa.sa.gov.au/record=b2112080</v>
      </c>
      <c r="C3866" s="1" t="str">
        <f>HYPERLINK("https://www.catalog.slsa.sa.gov.au/xrecord=b2112080")</f>
        <v>https://www.catalog.slsa.sa.gov.au/xrecord=b2112080</v>
      </c>
      <c r="D3866" t="s">
        <v>66</v>
      </c>
      <c r="E3866" t="s">
        <v>7396</v>
      </c>
      <c r="F3866">
        <v>1967</v>
      </c>
      <c r="G3866" t="s">
        <v>121</v>
      </c>
      <c r="H3866" t="s">
        <v>13214</v>
      </c>
      <c r="I3866" t="s">
        <v>13215</v>
      </c>
      <c r="J3866" t="s">
        <v>71</v>
      </c>
      <c r="K3866" s="2" t="str">
        <f>HYPERLINK("http://collections.slsa.sa.gov.au/arthur/02750/BRG347_2510.htm")</f>
        <v>http://collections.slsa.sa.gov.au/arthur/02750/BRG347_2510.htm</v>
      </c>
    </row>
    <row r="3867" spans="1:11" x14ac:dyDescent="0.25">
      <c r="A3867" t="s">
        <v>13216</v>
      </c>
      <c r="B3867" s="1" t="str">
        <f>HYPERLINK("https://www.catalog.slsa.sa.gov.au/record=b2112082")</f>
        <v>https://www.catalog.slsa.sa.gov.au/record=b2112082</v>
      </c>
      <c r="C3867" s="1" t="str">
        <f>HYPERLINK("https://www.catalog.slsa.sa.gov.au/xrecord=b2112082")</f>
        <v>https://www.catalog.slsa.sa.gov.au/xrecord=b2112082</v>
      </c>
      <c r="D3867" t="s">
        <v>66</v>
      </c>
      <c r="E3867" t="s">
        <v>13217</v>
      </c>
      <c r="F3867">
        <v>1967</v>
      </c>
      <c r="G3867" t="s">
        <v>121</v>
      </c>
      <c r="H3867" t="s">
        <v>13218</v>
      </c>
      <c r="I3867" t="s">
        <v>13219</v>
      </c>
      <c r="J3867" t="s">
        <v>71</v>
      </c>
      <c r="K3867" s="2" t="str">
        <f>HYPERLINK("http://collections.slsa.sa.gov.au/arthur/02750/BRG347_2512.htm")</f>
        <v>http://collections.slsa.sa.gov.au/arthur/02750/BRG347_2512.htm</v>
      </c>
    </row>
    <row r="3868" spans="1:11" x14ac:dyDescent="0.25">
      <c r="A3868" t="s">
        <v>13220</v>
      </c>
      <c r="B3868" s="1" t="str">
        <f>HYPERLINK("https://www.catalog.slsa.sa.gov.au/record=b2112239")</f>
        <v>https://www.catalog.slsa.sa.gov.au/record=b2112239</v>
      </c>
      <c r="C3868" s="1" t="str">
        <f>HYPERLINK("https://www.catalog.slsa.sa.gov.au/xrecord=b2112239")</f>
        <v>https://www.catalog.slsa.sa.gov.au/xrecord=b2112239</v>
      </c>
      <c r="D3868" t="s">
        <v>66</v>
      </c>
      <c r="E3868" t="s">
        <v>13221</v>
      </c>
      <c r="F3868">
        <v>1967</v>
      </c>
      <c r="G3868" t="s">
        <v>121</v>
      </c>
      <c r="H3868" t="s">
        <v>13222</v>
      </c>
      <c r="I3868" t="s">
        <v>8594</v>
      </c>
      <c r="J3868" t="s">
        <v>71</v>
      </c>
      <c r="K3868" s="2" t="str">
        <f>HYPERLINK("http://collections.slsa.sa.gov.au/arthur/02750/BRG347_2673.htm")</f>
        <v>http://collections.slsa.sa.gov.au/arthur/02750/BRG347_2673.htm</v>
      </c>
    </row>
    <row r="3869" spans="1:11" x14ac:dyDescent="0.25">
      <c r="A3869" t="s">
        <v>13223</v>
      </c>
      <c r="B3869" s="1" t="str">
        <f>HYPERLINK("https://www.catalog.slsa.sa.gov.au/record=b2112240")</f>
        <v>https://www.catalog.slsa.sa.gov.au/record=b2112240</v>
      </c>
      <c r="C3869" s="1" t="str">
        <f>HYPERLINK("https://www.catalog.slsa.sa.gov.au/xrecord=b2112240")</f>
        <v>https://www.catalog.slsa.sa.gov.au/xrecord=b2112240</v>
      </c>
      <c r="D3869" t="s">
        <v>66</v>
      </c>
      <c r="E3869" t="s">
        <v>13221</v>
      </c>
      <c r="F3869">
        <v>1967</v>
      </c>
      <c r="G3869" t="s">
        <v>121</v>
      </c>
      <c r="H3869" t="s">
        <v>13224</v>
      </c>
      <c r="I3869" t="s">
        <v>8594</v>
      </c>
      <c r="J3869" t="s">
        <v>71</v>
      </c>
      <c r="K3869" s="2" t="str">
        <f>HYPERLINK("http://collections.slsa.sa.gov.au/arthur/02750/BRG347_2674.htm")</f>
        <v>http://collections.slsa.sa.gov.au/arthur/02750/BRG347_2674.htm</v>
      </c>
    </row>
    <row r="3870" spans="1:11" x14ac:dyDescent="0.25">
      <c r="A3870" t="s">
        <v>13225</v>
      </c>
      <c r="B3870" s="1" t="str">
        <f>HYPERLINK("https://www.catalog.slsa.sa.gov.au/record=b2112511")</f>
        <v>https://www.catalog.slsa.sa.gov.au/record=b2112511</v>
      </c>
      <c r="C3870" s="1" t="str">
        <f>HYPERLINK("https://www.catalog.slsa.sa.gov.au/xrecord=b2112511")</f>
        <v>https://www.catalog.slsa.sa.gov.au/xrecord=b2112511</v>
      </c>
      <c r="D3870" t="s">
        <v>66</v>
      </c>
      <c r="E3870" t="s">
        <v>13226</v>
      </c>
      <c r="F3870">
        <v>1967</v>
      </c>
      <c r="G3870" t="s">
        <v>121</v>
      </c>
      <c r="H3870" t="s">
        <v>13227</v>
      </c>
      <c r="I3870" t="s">
        <v>13228</v>
      </c>
      <c r="J3870" t="s">
        <v>71</v>
      </c>
      <c r="K3870" s="2" t="str">
        <f>HYPERLINK("http://collections.slsa.sa.gov.au/arthur/03000/BRG347_2777.htm")</f>
        <v>http://collections.slsa.sa.gov.au/arthur/03000/BRG347_2777.htm</v>
      </c>
    </row>
    <row r="3871" spans="1:11" x14ac:dyDescent="0.25">
      <c r="A3871" t="s">
        <v>13229</v>
      </c>
      <c r="B3871" s="1" t="str">
        <f>HYPERLINK("https://www.catalog.slsa.sa.gov.au/record=b2116528")</f>
        <v>https://www.catalog.slsa.sa.gov.au/record=b2116528</v>
      </c>
      <c r="C3871" s="1" t="str">
        <f>HYPERLINK("https://www.catalog.slsa.sa.gov.au/xrecord=b2116528")</f>
        <v>https://www.catalog.slsa.sa.gov.au/xrecord=b2116528</v>
      </c>
      <c r="D3871" t="s">
        <v>66</v>
      </c>
      <c r="E3871" t="s">
        <v>13230</v>
      </c>
      <c r="F3871">
        <v>1967</v>
      </c>
      <c r="G3871" t="s">
        <v>121</v>
      </c>
      <c r="H3871" t="s">
        <v>13231</v>
      </c>
      <c r="I3871" t="s">
        <v>614</v>
      </c>
      <c r="J3871" t="s">
        <v>71</v>
      </c>
      <c r="K3871" s="2" t="str">
        <f>HYPERLINK("http://collections.slsa.sa.gov.au/arthur/05750/BRG347_5543.htm")</f>
        <v>http://collections.slsa.sa.gov.au/arthur/05750/BRG347_5543.htm</v>
      </c>
    </row>
    <row r="3872" spans="1:11" x14ac:dyDescent="0.25">
      <c r="A3872" t="s">
        <v>13232</v>
      </c>
      <c r="B3872" s="1" t="str">
        <f>HYPERLINK("https://www.catalog.slsa.sa.gov.au/record=b2116657")</f>
        <v>https://www.catalog.slsa.sa.gov.au/record=b2116657</v>
      </c>
      <c r="C3872" s="1" t="str">
        <f>HYPERLINK("https://www.catalog.slsa.sa.gov.au/xrecord=b2116657")</f>
        <v>https://www.catalog.slsa.sa.gov.au/xrecord=b2116657</v>
      </c>
      <c r="D3872" t="s">
        <v>66</v>
      </c>
      <c r="E3872" t="s">
        <v>13233</v>
      </c>
      <c r="F3872" t="s">
        <v>13234</v>
      </c>
      <c r="G3872" t="s">
        <v>121</v>
      </c>
      <c r="H3872" t="s">
        <v>13235</v>
      </c>
      <c r="I3872" t="s">
        <v>8594</v>
      </c>
      <c r="J3872" t="s">
        <v>71</v>
      </c>
      <c r="K3872" s="2" t="str">
        <f>HYPERLINK("http://collections.slsa.sa.gov.au/arthur/05750/BRG347_5584.htm")</f>
        <v>http://collections.slsa.sa.gov.au/arthur/05750/BRG347_5584.htm</v>
      </c>
    </row>
    <row r="3873" spans="1:11" x14ac:dyDescent="0.25">
      <c r="A3873" t="s">
        <v>13236</v>
      </c>
      <c r="B3873" s="1" t="str">
        <f>HYPERLINK("https://www.catalog.slsa.sa.gov.au/record=b2102387")</f>
        <v>https://www.catalog.slsa.sa.gov.au/record=b2102387</v>
      </c>
      <c r="C3873" s="1" t="str">
        <f>HYPERLINK("https://www.catalog.slsa.sa.gov.au/xrecord=b2102387")</f>
        <v>https://www.catalog.slsa.sa.gov.au/xrecord=b2102387</v>
      </c>
      <c r="E3873" t="s">
        <v>13237</v>
      </c>
      <c r="F3873" t="s">
        <v>13234</v>
      </c>
      <c r="G3873" t="s">
        <v>13238</v>
      </c>
      <c r="H3873" t="s">
        <v>13239</v>
      </c>
      <c r="I3873" t="s">
        <v>13240</v>
      </c>
      <c r="J3873" t="s">
        <v>13241</v>
      </c>
      <c r="K3873" s="2" t="str">
        <f>HYPERLINK("http://collections.slsa.sa.gov.au/srg/32/5/SRG32_5_52.htm")</f>
        <v>http://collections.slsa.sa.gov.au/srg/32/5/SRG32_5_52.htm</v>
      </c>
    </row>
    <row r="3874" spans="1:11" x14ac:dyDescent="0.25">
      <c r="A3874" t="s">
        <v>13242</v>
      </c>
      <c r="B3874" s="1" t="str">
        <f>HYPERLINK("https://www.catalog.slsa.sa.gov.au/record=b2912609")</f>
        <v>https://www.catalog.slsa.sa.gov.au/record=b2912609</v>
      </c>
      <c r="C3874" s="1" t="str">
        <f>HYPERLINK("https://www.catalog.slsa.sa.gov.au/xrecord=b2912609")</f>
        <v>https://www.catalog.slsa.sa.gov.au/xrecord=b2912609</v>
      </c>
      <c r="D3874" t="s">
        <v>7564</v>
      </c>
      <c r="E3874" t="s">
        <v>13243</v>
      </c>
      <c r="F3874" t="s">
        <v>13244</v>
      </c>
      <c r="G3874" t="s">
        <v>7567</v>
      </c>
      <c r="H3874" t="s">
        <v>13245</v>
      </c>
      <c r="J3874" t="s">
        <v>7569</v>
      </c>
      <c r="K3874" s="2" t="str">
        <f>HYPERLINK("http://collections.slsa.sa.gov.au/prg/1562/4/PRG1562_4_182.htm")</f>
        <v>http://collections.slsa.sa.gov.au/prg/1562/4/PRG1562_4_182.htm</v>
      </c>
    </row>
    <row r="3875" spans="1:11" x14ac:dyDescent="0.25">
      <c r="A3875" t="s">
        <v>13246</v>
      </c>
      <c r="B3875" s="1" t="str">
        <f>HYPERLINK("https://www.catalog.slsa.sa.gov.au/record=b2109986")</f>
        <v>https://www.catalog.slsa.sa.gov.au/record=b2109986</v>
      </c>
      <c r="C3875" s="1" t="str">
        <f>HYPERLINK("https://www.catalog.slsa.sa.gov.au/xrecord=b2109986")</f>
        <v>https://www.catalog.slsa.sa.gov.au/xrecord=b2109986</v>
      </c>
      <c r="D3875" t="s">
        <v>66</v>
      </c>
      <c r="E3875" t="s">
        <v>13247</v>
      </c>
      <c r="F3875">
        <v>1968</v>
      </c>
      <c r="G3875" t="s">
        <v>121</v>
      </c>
      <c r="H3875" t="s">
        <v>13248</v>
      </c>
      <c r="I3875" t="s">
        <v>13249</v>
      </c>
      <c r="J3875" t="s">
        <v>71</v>
      </c>
      <c r="K3875" s="2" t="str">
        <f>HYPERLINK("http://collections.slsa.sa.gov.au/arthur/01000/BRG347_859.htm")</f>
        <v>http://collections.slsa.sa.gov.au/arthur/01000/BRG347_859.htm</v>
      </c>
    </row>
    <row r="3876" spans="1:11" x14ac:dyDescent="0.25">
      <c r="A3876" t="s">
        <v>13250</v>
      </c>
      <c r="B3876" s="1" t="str">
        <f>HYPERLINK("https://www.catalog.slsa.sa.gov.au/record=b2110055")</f>
        <v>https://www.catalog.slsa.sa.gov.au/record=b2110055</v>
      </c>
      <c r="C3876" s="1" t="str">
        <f>HYPERLINK("https://www.catalog.slsa.sa.gov.au/xrecord=b2110055")</f>
        <v>https://www.catalog.slsa.sa.gov.au/xrecord=b2110055</v>
      </c>
      <c r="D3876" t="s">
        <v>66</v>
      </c>
      <c r="E3876" t="s">
        <v>13251</v>
      </c>
      <c r="F3876">
        <v>1968</v>
      </c>
      <c r="G3876" t="s">
        <v>121</v>
      </c>
      <c r="H3876" t="s">
        <v>13252</v>
      </c>
      <c r="I3876" t="s">
        <v>13253</v>
      </c>
      <c r="J3876" t="s">
        <v>71</v>
      </c>
      <c r="K3876" s="2" t="str">
        <f>HYPERLINK("http://collections.slsa.sa.gov.au/arthur/01000/BRG347_861.htm")</f>
        <v>http://collections.slsa.sa.gov.au/arthur/01000/BRG347_861.htm</v>
      </c>
    </row>
    <row r="3877" spans="1:11" x14ac:dyDescent="0.25">
      <c r="A3877" t="s">
        <v>13254</v>
      </c>
      <c r="B3877" s="1" t="str">
        <f>HYPERLINK("https://www.catalog.slsa.sa.gov.au/record=b2110056")</f>
        <v>https://www.catalog.slsa.sa.gov.au/record=b2110056</v>
      </c>
      <c r="C3877" s="1" t="str">
        <f>HYPERLINK("https://www.catalog.slsa.sa.gov.au/xrecord=b2110056")</f>
        <v>https://www.catalog.slsa.sa.gov.au/xrecord=b2110056</v>
      </c>
      <c r="D3877" t="s">
        <v>66</v>
      </c>
      <c r="E3877" t="s">
        <v>13251</v>
      </c>
      <c r="F3877">
        <v>1968</v>
      </c>
      <c r="G3877" t="s">
        <v>121</v>
      </c>
      <c r="H3877" t="s">
        <v>13252</v>
      </c>
      <c r="I3877" t="s">
        <v>13253</v>
      </c>
      <c r="J3877" t="s">
        <v>71</v>
      </c>
      <c r="K3877" s="2" t="str">
        <f>HYPERLINK("http://collections.slsa.sa.gov.au/arthur/01000/BRG347_862.htm")</f>
        <v>http://collections.slsa.sa.gov.au/arthur/01000/BRG347_862.htm</v>
      </c>
    </row>
    <row r="3878" spans="1:11" x14ac:dyDescent="0.25">
      <c r="A3878" t="s">
        <v>13255</v>
      </c>
      <c r="B3878" s="1" t="str">
        <f>HYPERLINK("https://www.catalog.slsa.sa.gov.au/record=b2117723")</f>
        <v>https://www.catalog.slsa.sa.gov.au/record=b2117723</v>
      </c>
      <c r="C3878" s="1" t="str">
        <f>HYPERLINK("https://www.catalog.slsa.sa.gov.au/xrecord=b2117723")</f>
        <v>https://www.catalog.slsa.sa.gov.au/xrecord=b2117723</v>
      </c>
      <c r="D3878" t="s">
        <v>66</v>
      </c>
      <c r="E3878" t="s">
        <v>13256</v>
      </c>
      <c r="F3878">
        <v>1968</v>
      </c>
      <c r="G3878" t="s">
        <v>5597</v>
      </c>
      <c r="H3878" t="s">
        <v>13257</v>
      </c>
      <c r="I3878" t="s">
        <v>13258</v>
      </c>
      <c r="J3878" t="s">
        <v>71</v>
      </c>
      <c r="K3878" s="2" t="str">
        <f>HYPERLINK("http://collections.slsa.sa.gov.au/arthur/01250/BRG347_1240.htm")</f>
        <v>http://collections.slsa.sa.gov.au/arthur/01250/BRG347_1240.htm</v>
      </c>
    </row>
    <row r="3879" spans="1:11" x14ac:dyDescent="0.25">
      <c r="A3879" t="s">
        <v>13259</v>
      </c>
      <c r="B3879" s="1" t="str">
        <f>HYPERLINK("https://www.catalog.slsa.sa.gov.au/record=b2110462")</f>
        <v>https://www.catalog.slsa.sa.gov.au/record=b2110462</v>
      </c>
      <c r="C3879" s="1" t="str">
        <f>HYPERLINK("https://www.catalog.slsa.sa.gov.au/xrecord=b2110462")</f>
        <v>https://www.catalog.slsa.sa.gov.au/xrecord=b2110462</v>
      </c>
      <c r="D3879" t="s">
        <v>66</v>
      </c>
      <c r="E3879" t="s">
        <v>13256</v>
      </c>
      <c r="F3879">
        <v>1968</v>
      </c>
      <c r="G3879" t="s">
        <v>121</v>
      </c>
      <c r="H3879" t="s">
        <v>13260</v>
      </c>
      <c r="I3879" t="s">
        <v>13261</v>
      </c>
      <c r="J3879" t="s">
        <v>71</v>
      </c>
      <c r="K3879" s="2" t="str">
        <f>HYPERLINK("http://collections.slsa.sa.gov.au/arthur/01250/BRG347_1241.htm")</f>
        <v>http://collections.slsa.sa.gov.au/arthur/01250/BRG347_1241.htm</v>
      </c>
    </row>
    <row r="3880" spans="1:11" x14ac:dyDescent="0.25">
      <c r="A3880" t="s">
        <v>13262</v>
      </c>
      <c r="B3880" s="1" t="str">
        <f>HYPERLINK("https://www.catalog.slsa.sa.gov.au/record=b2110463")</f>
        <v>https://www.catalog.slsa.sa.gov.au/record=b2110463</v>
      </c>
      <c r="C3880" s="1" t="str">
        <f>HYPERLINK("https://www.catalog.slsa.sa.gov.au/xrecord=b2110463")</f>
        <v>https://www.catalog.slsa.sa.gov.au/xrecord=b2110463</v>
      </c>
      <c r="D3880" t="s">
        <v>66</v>
      </c>
      <c r="E3880" t="s">
        <v>13263</v>
      </c>
      <c r="F3880">
        <v>1968</v>
      </c>
      <c r="G3880" t="s">
        <v>121</v>
      </c>
      <c r="H3880" t="s">
        <v>13264</v>
      </c>
      <c r="I3880" t="s">
        <v>13265</v>
      </c>
      <c r="J3880" t="s">
        <v>71</v>
      </c>
      <c r="K3880" s="2" t="str">
        <f>HYPERLINK("http://collections.slsa.sa.gov.au/arthur/01250/BRG347_1242.htm")</f>
        <v>http://collections.slsa.sa.gov.au/arthur/01250/BRG347_1242.htm</v>
      </c>
    </row>
    <row r="3881" spans="1:11" x14ac:dyDescent="0.25">
      <c r="A3881" t="s">
        <v>13266</v>
      </c>
      <c r="B3881" s="1" t="str">
        <f>HYPERLINK("https://www.catalog.slsa.sa.gov.au/record=b2110464")</f>
        <v>https://www.catalog.slsa.sa.gov.au/record=b2110464</v>
      </c>
      <c r="C3881" s="1" t="str">
        <f>HYPERLINK("https://www.catalog.slsa.sa.gov.au/xrecord=b2110464")</f>
        <v>https://www.catalog.slsa.sa.gov.au/xrecord=b2110464</v>
      </c>
      <c r="D3881" t="s">
        <v>66</v>
      </c>
      <c r="E3881" t="s">
        <v>13256</v>
      </c>
      <c r="F3881">
        <v>1968</v>
      </c>
      <c r="G3881" t="s">
        <v>121</v>
      </c>
      <c r="H3881" t="s">
        <v>13267</v>
      </c>
      <c r="I3881" t="s">
        <v>13268</v>
      </c>
      <c r="J3881" t="s">
        <v>71</v>
      </c>
      <c r="K3881" s="2" t="str">
        <f>HYPERLINK("http://collections.slsa.sa.gov.au/arthur/01250/BRG347_1243.htm")</f>
        <v>http://collections.slsa.sa.gov.au/arthur/01250/BRG347_1243.htm</v>
      </c>
    </row>
    <row r="3882" spans="1:11" x14ac:dyDescent="0.25">
      <c r="A3882" t="s">
        <v>13269</v>
      </c>
      <c r="B3882" s="1" t="str">
        <f>HYPERLINK("https://www.catalog.slsa.sa.gov.au/record=b2110465")</f>
        <v>https://www.catalog.slsa.sa.gov.au/record=b2110465</v>
      </c>
      <c r="C3882" s="1" t="str">
        <f>HYPERLINK("https://www.catalog.slsa.sa.gov.au/xrecord=b2110465")</f>
        <v>https://www.catalog.slsa.sa.gov.au/xrecord=b2110465</v>
      </c>
      <c r="D3882" t="s">
        <v>66</v>
      </c>
      <c r="E3882" t="s">
        <v>13270</v>
      </c>
      <c r="F3882">
        <v>1968</v>
      </c>
      <c r="G3882" t="s">
        <v>121</v>
      </c>
      <c r="H3882" t="s">
        <v>13271</v>
      </c>
      <c r="I3882" t="s">
        <v>13272</v>
      </c>
      <c r="J3882" t="s">
        <v>71</v>
      </c>
      <c r="K3882" s="2" t="str">
        <f>HYPERLINK("http://collections.slsa.sa.gov.au/arthur/01250/BRG347_1244.htm")</f>
        <v>http://collections.slsa.sa.gov.au/arthur/01250/BRG347_1244.htm</v>
      </c>
    </row>
    <row r="3883" spans="1:11" x14ac:dyDescent="0.25">
      <c r="A3883" t="s">
        <v>13273</v>
      </c>
      <c r="B3883" s="1" t="str">
        <f>HYPERLINK("https://www.catalog.slsa.sa.gov.au/record=b2110466")</f>
        <v>https://www.catalog.slsa.sa.gov.au/record=b2110466</v>
      </c>
      <c r="C3883" s="1" t="str">
        <f>HYPERLINK("https://www.catalog.slsa.sa.gov.au/xrecord=b2110466")</f>
        <v>https://www.catalog.slsa.sa.gov.au/xrecord=b2110466</v>
      </c>
      <c r="D3883" t="s">
        <v>66</v>
      </c>
      <c r="E3883" t="s">
        <v>13256</v>
      </c>
      <c r="F3883">
        <v>1968</v>
      </c>
      <c r="G3883" t="s">
        <v>121</v>
      </c>
      <c r="H3883" t="s">
        <v>13274</v>
      </c>
      <c r="I3883" t="s">
        <v>13275</v>
      </c>
      <c r="J3883" t="s">
        <v>71</v>
      </c>
      <c r="K3883" s="2" t="str">
        <f>HYPERLINK("http://collections.slsa.sa.gov.au/arthur/01250/BRG347_1245.htm")</f>
        <v>http://collections.slsa.sa.gov.au/arthur/01250/BRG347_1245.htm</v>
      </c>
    </row>
    <row r="3884" spans="1:11" x14ac:dyDescent="0.25">
      <c r="A3884" t="s">
        <v>13276</v>
      </c>
      <c r="B3884" s="1" t="str">
        <f>HYPERLINK("https://www.catalog.slsa.sa.gov.au/record=b2110583")</f>
        <v>https://www.catalog.slsa.sa.gov.au/record=b2110583</v>
      </c>
      <c r="C3884" s="1" t="str">
        <f>HYPERLINK("https://www.catalog.slsa.sa.gov.au/xrecord=b2110583")</f>
        <v>https://www.catalog.slsa.sa.gov.au/xrecord=b2110583</v>
      </c>
      <c r="D3884" t="s">
        <v>66</v>
      </c>
      <c r="E3884" t="s">
        <v>13277</v>
      </c>
      <c r="F3884">
        <v>1968</v>
      </c>
      <c r="G3884" t="s">
        <v>121</v>
      </c>
      <c r="H3884" t="s">
        <v>13278</v>
      </c>
      <c r="I3884" t="s">
        <v>13279</v>
      </c>
      <c r="J3884" t="s">
        <v>71</v>
      </c>
      <c r="K3884" s="2" t="str">
        <f>HYPERLINK("http://collections.slsa.sa.gov.au/arthur/01500/BRG347_1300.htm")</f>
        <v>http://collections.slsa.sa.gov.au/arthur/01500/BRG347_1300.htm</v>
      </c>
    </row>
    <row r="3885" spans="1:11" x14ac:dyDescent="0.25">
      <c r="A3885" t="s">
        <v>13280</v>
      </c>
      <c r="B3885" s="1" t="str">
        <f>HYPERLINK("https://www.catalog.slsa.sa.gov.au/record=b2110585")</f>
        <v>https://www.catalog.slsa.sa.gov.au/record=b2110585</v>
      </c>
      <c r="C3885" s="1" t="str">
        <f>HYPERLINK("https://www.catalog.slsa.sa.gov.au/xrecord=b2110585")</f>
        <v>https://www.catalog.slsa.sa.gov.au/xrecord=b2110585</v>
      </c>
      <c r="D3885" t="s">
        <v>66</v>
      </c>
      <c r="E3885" t="s">
        <v>13277</v>
      </c>
      <c r="F3885">
        <v>1968</v>
      </c>
      <c r="G3885" t="s">
        <v>121</v>
      </c>
      <c r="H3885" t="s">
        <v>13281</v>
      </c>
      <c r="I3885" t="s">
        <v>13279</v>
      </c>
      <c r="J3885" t="s">
        <v>71</v>
      </c>
      <c r="K3885" s="2" t="str">
        <f>HYPERLINK("http://collections.slsa.sa.gov.au/arthur/01500/BRG347_1302.htm")</f>
        <v>http://collections.slsa.sa.gov.au/arthur/01500/BRG347_1302.htm</v>
      </c>
    </row>
    <row r="3886" spans="1:11" x14ac:dyDescent="0.25">
      <c r="A3886" t="s">
        <v>13282</v>
      </c>
      <c r="B3886" s="1" t="str">
        <f>HYPERLINK("https://www.catalog.slsa.sa.gov.au/record=b2111037")</f>
        <v>https://www.catalog.slsa.sa.gov.au/record=b2111037</v>
      </c>
      <c r="C3886" s="1" t="str">
        <f>HYPERLINK("https://www.catalog.slsa.sa.gov.au/xrecord=b2111037")</f>
        <v>https://www.catalog.slsa.sa.gov.au/xrecord=b2111037</v>
      </c>
      <c r="D3886" t="s">
        <v>66</v>
      </c>
      <c r="E3886" t="s">
        <v>10221</v>
      </c>
      <c r="F3886">
        <v>1968</v>
      </c>
      <c r="G3886" t="s">
        <v>121</v>
      </c>
      <c r="H3886" t="s">
        <v>13283</v>
      </c>
      <c r="I3886" t="s">
        <v>13284</v>
      </c>
      <c r="J3886" t="s">
        <v>71</v>
      </c>
      <c r="K3886" s="2" t="str">
        <f>HYPERLINK("http://collections.slsa.sa.gov.au/arthur/01750/BRG347_1719.htm")</f>
        <v>http://collections.slsa.sa.gov.au/arthur/01750/BRG347_1719.htm</v>
      </c>
    </row>
    <row r="3887" spans="1:11" x14ac:dyDescent="0.25">
      <c r="A3887" t="s">
        <v>13285</v>
      </c>
      <c r="B3887" s="1" t="str">
        <f>HYPERLINK("https://www.catalog.slsa.sa.gov.au/record=b2111038")</f>
        <v>https://www.catalog.slsa.sa.gov.au/record=b2111038</v>
      </c>
      <c r="C3887" s="1" t="str">
        <f>HYPERLINK("https://www.catalog.slsa.sa.gov.au/xrecord=b2111038")</f>
        <v>https://www.catalog.slsa.sa.gov.au/xrecord=b2111038</v>
      </c>
      <c r="D3887" t="s">
        <v>66</v>
      </c>
      <c r="E3887" t="s">
        <v>13286</v>
      </c>
      <c r="F3887">
        <v>1968</v>
      </c>
      <c r="G3887" t="s">
        <v>121</v>
      </c>
      <c r="H3887" t="s">
        <v>13287</v>
      </c>
      <c r="I3887" t="s">
        <v>13288</v>
      </c>
      <c r="J3887" t="s">
        <v>71</v>
      </c>
      <c r="K3887" s="2" t="str">
        <f>HYPERLINK("http://collections.slsa.sa.gov.au/arthur/01750/BRG347_1720.htm")</f>
        <v>http://collections.slsa.sa.gov.au/arthur/01750/BRG347_1720.htm</v>
      </c>
    </row>
    <row r="3888" spans="1:11" x14ac:dyDescent="0.25">
      <c r="A3888" t="s">
        <v>13289</v>
      </c>
      <c r="B3888" s="1" t="str">
        <f>HYPERLINK("https://www.catalog.slsa.sa.gov.au/record=b2111040")</f>
        <v>https://www.catalog.slsa.sa.gov.au/record=b2111040</v>
      </c>
      <c r="C3888" s="1" t="str">
        <f>HYPERLINK("https://www.catalog.slsa.sa.gov.au/xrecord=b2111040")</f>
        <v>https://www.catalog.slsa.sa.gov.au/xrecord=b2111040</v>
      </c>
      <c r="D3888" t="s">
        <v>66</v>
      </c>
      <c r="E3888" t="s">
        <v>13290</v>
      </c>
      <c r="F3888">
        <v>1968</v>
      </c>
      <c r="G3888" t="s">
        <v>121</v>
      </c>
      <c r="H3888" t="s">
        <v>13291</v>
      </c>
      <c r="I3888" t="s">
        <v>13292</v>
      </c>
      <c r="J3888" t="s">
        <v>71</v>
      </c>
      <c r="K3888" s="2" t="str">
        <f>HYPERLINK("http://collections.slsa.sa.gov.au/arthur/01750/BRG347_1722.htm")</f>
        <v>http://collections.slsa.sa.gov.au/arthur/01750/BRG347_1722.htm</v>
      </c>
    </row>
    <row r="3889" spans="1:11" x14ac:dyDescent="0.25">
      <c r="A3889" t="s">
        <v>13293</v>
      </c>
      <c r="B3889" s="1" t="str">
        <f>HYPERLINK("https://www.catalog.slsa.sa.gov.au/record=b2111045")</f>
        <v>https://www.catalog.slsa.sa.gov.au/record=b2111045</v>
      </c>
      <c r="C3889" s="1" t="str">
        <f>HYPERLINK("https://www.catalog.slsa.sa.gov.au/xrecord=b2111045")</f>
        <v>https://www.catalog.slsa.sa.gov.au/xrecord=b2111045</v>
      </c>
      <c r="D3889" t="s">
        <v>66</v>
      </c>
      <c r="E3889" t="s">
        <v>13294</v>
      </c>
      <c r="F3889">
        <v>1968</v>
      </c>
      <c r="G3889" t="s">
        <v>121</v>
      </c>
      <c r="H3889" t="s">
        <v>13295</v>
      </c>
      <c r="I3889" t="s">
        <v>13296</v>
      </c>
      <c r="J3889" t="s">
        <v>71</v>
      </c>
      <c r="K3889" s="2" t="str">
        <f>HYPERLINK("http://collections.slsa.sa.gov.au/arthur/01750/BRG347_1727.htm")</f>
        <v>http://collections.slsa.sa.gov.au/arthur/01750/BRG347_1727.htm</v>
      </c>
    </row>
    <row r="3890" spans="1:11" x14ac:dyDescent="0.25">
      <c r="A3890" t="s">
        <v>13297</v>
      </c>
      <c r="B3890" s="1" t="str">
        <f>HYPERLINK("https://www.catalog.slsa.sa.gov.au/record=b2111150")</f>
        <v>https://www.catalog.slsa.sa.gov.au/record=b2111150</v>
      </c>
      <c r="C3890" s="1" t="str">
        <f>HYPERLINK("https://www.catalog.slsa.sa.gov.au/xrecord=b2111150")</f>
        <v>https://www.catalog.slsa.sa.gov.au/xrecord=b2111150</v>
      </c>
      <c r="D3890" t="s">
        <v>66</v>
      </c>
      <c r="E3890" t="s">
        <v>13298</v>
      </c>
      <c r="F3890">
        <v>1968</v>
      </c>
      <c r="G3890" t="s">
        <v>121</v>
      </c>
      <c r="H3890" t="s">
        <v>13299</v>
      </c>
      <c r="I3890" t="s">
        <v>13300</v>
      </c>
      <c r="J3890" t="s">
        <v>71</v>
      </c>
      <c r="K3890" s="2" t="str">
        <f>HYPERLINK("http://collections.slsa.sa.gov.au/arthur/02000/BRG347_1836.htm")</f>
        <v>http://collections.slsa.sa.gov.au/arthur/02000/BRG347_1836.htm</v>
      </c>
    </row>
    <row r="3891" spans="1:11" x14ac:dyDescent="0.25">
      <c r="A3891" t="s">
        <v>13301</v>
      </c>
      <c r="B3891" s="1" t="str">
        <f>HYPERLINK("https://www.catalog.slsa.sa.gov.au/record=b2118127")</f>
        <v>https://www.catalog.slsa.sa.gov.au/record=b2118127</v>
      </c>
      <c r="C3891" s="1" t="str">
        <f>HYPERLINK("https://www.catalog.slsa.sa.gov.au/xrecord=b2118127")</f>
        <v>https://www.catalog.slsa.sa.gov.au/xrecord=b2118127</v>
      </c>
      <c r="D3891" t="s">
        <v>66</v>
      </c>
      <c r="E3891" t="s">
        <v>13302</v>
      </c>
      <c r="F3891">
        <v>1968</v>
      </c>
      <c r="G3891" t="s">
        <v>121</v>
      </c>
      <c r="H3891" t="s">
        <v>13303</v>
      </c>
      <c r="I3891" t="s">
        <v>6558</v>
      </c>
      <c r="J3891" t="s">
        <v>71</v>
      </c>
      <c r="K3891" s="2" t="str">
        <f>HYPERLINK("http://collections.slsa.sa.gov.au/arthur/02500/BRG347_2478.htm")</f>
        <v>http://collections.slsa.sa.gov.au/arthur/02500/BRG347_2478.htm</v>
      </c>
    </row>
    <row r="3892" spans="1:11" x14ac:dyDescent="0.25">
      <c r="A3892" t="s">
        <v>13304</v>
      </c>
      <c r="B3892" s="1" t="str">
        <f>HYPERLINK("https://www.catalog.slsa.sa.gov.au/record=b2112068")</f>
        <v>https://www.catalog.slsa.sa.gov.au/record=b2112068</v>
      </c>
      <c r="C3892" s="1" t="str">
        <f>HYPERLINK("https://www.catalog.slsa.sa.gov.au/xrecord=b2112068")</f>
        <v>https://www.catalog.slsa.sa.gov.au/xrecord=b2112068</v>
      </c>
      <c r="D3892" t="s">
        <v>66</v>
      </c>
      <c r="E3892" t="s">
        <v>13302</v>
      </c>
      <c r="F3892">
        <v>1968</v>
      </c>
      <c r="G3892" t="s">
        <v>121</v>
      </c>
      <c r="H3892" t="s">
        <v>13305</v>
      </c>
      <c r="I3892" t="s">
        <v>6558</v>
      </c>
      <c r="J3892" t="s">
        <v>71</v>
      </c>
      <c r="K3892" s="2" t="str">
        <f>HYPERLINK("http://collections.slsa.sa.gov.au/arthur/02500/BRG347_2498.htm")</f>
        <v>http://collections.slsa.sa.gov.au/arthur/02500/BRG347_2498.htm</v>
      </c>
    </row>
    <row r="3893" spans="1:11" x14ac:dyDescent="0.25">
      <c r="A3893" t="s">
        <v>13306</v>
      </c>
      <c r="B3893" s="1" t="str">
        <f>HYPERLINK("https://www.catalog.slsa.sa.gov.au/record=b2112083")</f>
        <v>https://www.catalog.slsa.sa.gov.au/record=b2112083</v>
      </c>
      <c r="C3893" s="1" t="str">
        <f>HYPERLINK("https://www.catalog.slsa.sa.gov.au/xrecord=b2112083")</f>
        <v>https://www.catalog.slsa.sa.gov.au/xrecord=b2112083</v>
      </c>
      <c r="D3893" t="s">
        <v>66</v>
      </c>
      <c r="E3893" t="s">
        <v>12104</v>
      </c>
      <c r="F3893">
        <v>1968</v>
      </c>
      <c r="G3893" t="s">
        <v>121</v>
      </c>
      <c r="H3893" t="s">
        <v>13307</v>
      </c>
      <c r="I3893" t="s">
        <v>5556</v>
      </c>
      <c r="J3893" t="s">
        <v>71</v>
      </c>
      <c r="K3893" s="2" t="str">
        <f>HYPERLINK("http://collections.slsa.sa.gov.au/arthur/02750/BRG347_2513.htm")</f>
        <v>http://collections.slsa.sa.gov.au/arthur/02750/BRG347_2513.htm</v>
      </c>
    </row>
    <row r="3894" spans="1:11" x14ac:dyDescent="0.25">
      <c r="A3894" t="s">
        <v>13308</v>
      </c>
      <c r="B3894" s="1" t="str">
        <f>HYPERLINK("https://www.catalog.slsa.sa.gov.au/record=b2112512")</f>
        <v>https://www.catalog.slsa.sa.gov.au/record=b2112512</v>
      </c>
      <c r="C3894" s="1" t="str">
        <f>HYPERLINK("https://www.catalog.slsa.sa.gov.au/xrecord=b2112512")</f>
        <v>https://www.catalog.slsa.sa.gov.au/xrecord=b2112512</v>
      </c>
      <c r="D3894" t="s">
        <v>66</v>
      </c>
      <c r="E3894" t="s">
        <v>13309</v>
      </c>
      <c r="F3894">
        <v>1968</v>
      </c>
      <c r="G3894" t="s">
        <v>121</v>
      </c>
      <c r="H3894" t="s">
        <v>13310</v>
      </c>
      <c r="I3894" t="s">
        <v>13311</v>
      </c>
      <c r="J3894" t="s">
        <v>71</v>
      </c>
      <c r="K3894" s="2" t="str">
        <f>HYPERLINK("http://collections.slsa.sa.gov.au/arthur/03000/BRG347_2778.htm")</f>
        <v>http://collections.slsa.sa.gov.au/arthur/03000/BRG347_2778.htm</v>
      </c>
    </row>
    <row r="3895" spans="1:11" x14ac:dyDescent="0.25">
      <c r="A3895" t="s">
        <v>13312</v>
      </c>
      <c r="B3895" s="1" t="str">
        <f>HYPERLINK("https://www.catalog.slsa.sa.gov.au/record=b2924094")</f>
        <v>https://www.catalog.slsa.sa.gov.au/record=b2924094</v>
      </c>
      <c r="C3895" s="1" t="str">
        <f>HYPERLINK("https://www.catalog.slsa.sa.gov.au/xrecord=b2924094")</f>
        <v>https://www.catalog.slsa.sa.gov.au/xrecord=b2924094</v>
      </c>
      <c r="D3895" t="s">
        <v>3775</v>
      </c>
      <c r="E3895" t="s">
        <v>3351</v>
      </c>
      <c r="F3895">
        <v>1968</v>
      </c>
      <c r="G3895" t="s">
        <v>13313</v>
      </c>
      <c r="H3895" t="s">
        <v>13314</v>
      </c>
      <c r="I3895" t="s">
        <v>13315</v>
      </c>
      <c r="J3895" t="s">
        <v>3780</v>
      </c>
      <c r="K3895" s="2" t="str">
        <f>HYPERLINK("http://collections.slsa.sa.gov.au/srg/94/A1/SRG94_A1_71_16.htm")</f>
        <v>http://collections.slsa.sa.gov.au/srg/94/A1/SRG94_A1_71_16.htm</v>
      </c>
    </row>
    <row r="3896" spans="1:11" x14ac:dyDescent="0.25">
      <c r="A3896" t="s">
        <v>13316</v>
      </c>
      <c r="B3896" s="1" t="str">
        <f>HYPERLINK("https://www.catalog.slsa.sa.gov.au/record=b2924096")</f>
        <v>https://www.catalog.slsa.sa.gov.au/record=b2924096</v>
      </c>
      <c r="C3896" s="1" t="str">
        <f>HYPERLINK("https://www.catalog.slsa.sa.gov.au/xrecord=b2924096")</f>
        <v>https://www.catalog.slsa.sa.gov.au/xrecord=b2924096</v>
      </c>
      <c r="D3896" t="s">
        <v>3775</v>
      </c>
      <c r="E3896" t="s">
        <v>3351</v>
      </c>
      <c r="F3896">
        <v>1968</v>
      </c>
      <c r="G3896" t="s">
        <v>13317</v>
      </c>
      <c r="H3896" t="s">
        <v>13318</v>
      </c>
      <c r="I3896" t="s">
        <v>13315</v>
      </c>
      <c r="J3896" t="s">
        <v>3780</v>
      </c>
      <c r="K3896" s="2" t="str">
        <f>HYPERLINK("http://collections.slsa.sa.gov.au/srg/94/A1/SRG94_A1_71_17.htm")</f>
        <v>http://collections.slsa.sa.gov.au/srg/94/A1/SRG94_A1_71_17.htm</v>
      </c>
    </row>
    <row r="3897" spans="1:11" x14ac:dyDescent="0.25">
      <c r="A3897" t="s">
        <v>13319</v>
      </c>
      <c r="B3897" s="1" t="str">
        <f>HYPERLINK("https://www.catalog.slsa.sa.gov.au/record=b3139260")</f>
        <v>https://www.catalog.slsa.sa.gov.au/record=b3139260</v>
      </c>
      <c r="C3897" s="1" t="str">
        <f>HYPERLINK("https://www.catalog.slsa.sa.gov.au/xrecord=b3139260")</f>
        <v>https://www.catalog.slsa.sa.gov.au/xrecord=b3139260</v>
      </c>
      <c r="D3897" t="s">
        <v>12917</v>
      </c>
      <c r="E3897" t="s">
        <v>13320</v>
      </c>
      <c r="F3897" t="s">
        <v>13321</v>
      </c>
      <c r="G3897" t="s">
        <v>13322</v>
      </c>
      <c r="H3897" t="s">
        <v>13323</v>
      </c>
      <c r="I3897" t="s">
        <v>12921</v>
      </c>
      <c r="J3897" t="s">
        <v>12922</v>
      </c>
      <c r="K3897" s="2" t="str">
        <f>HYPERLINK("http://collections.slsa.sa.gov.au/resource/PRG+1720/1/13")</f>
        <v>http://collections.slsa.sa.gov.au/resource/PRG+1720/1/13</v>
      </c>
    </row>
    <row r="3898" spans="1:11" x14ac:dyDescent="0.25">
      <c r="A3898" t="s">
        <v>13324</v>
      </c>
      <c r="B3898" s="1" t="str">
        <f>HYPERLINK("https://www.catalog.slsa.sa.gov.au/record=b3139237")</f>
        <v>https://www.catalog.slsa.sa.gov.au/record=b3139237</v>
      </c>
      <c r="C3898" s="1" t="str">
        <f>HYPERLINK("https://www.catalog.slsa.sa.gov.au/xrecord=b3139237")</f>
        <v>https://www.catalog.slsa.sa.gov.au/xrecord=b3139237</v>
      </c>
      <c r="D3898" t="s">
        <v>12917</v>
      </c>
      <c r="E3898" t="s">
        <v>13325</v>
      </c>
      <c r="F3898" t="s">
        <v>13321</v>
      </c>
      <c r="G3898" t="s">
        <v>13326</v>
      </c>
      <c r="H3898" t="s">
        <v>13325</v>
      </c>
      <c r="I3898" t="s">
        <v>12921</v>
      </c>
      <c r="J3898" t="s">
        <v>12922</v>
      </c>
      <c r="K3898" s="2" t="str">
        <f>HYPERLINK("http://collections.slsa.sa.gov.au/resource/PRG+1720/1/2")</f>
        <v>http://collections.slsa.sa.gov.au/resource/PRG+1720/1/2</v>
      </c>
    </row>
    <row r="3899" spans="1:11" x14ac:dyDescent="0.25">
      <c r="A3899" t="s">
        <v>13327</v>
      </c>
      <c r="B3899" s="1" t="str">
        <f>HYPERLINK("https://www.catalog.slsa.sa.gov.au/record=b3139234")</f>
        <v>https://www.catalog.slsa.sa.gov.au/record=b3139234</v>
      </c>
      <c r="C3899" s="1" t="str">
        <f>HYPERLINK("https://www.catalog.slsa.sa.gov.au/xrecord=b3139234")</f>
        <v>https://www.catalog.slsa.sa.gov.au/xrecord=b3139234</v>
      </c>
      <c r="D3899" t="s">
        <v>12917</v>
      </c>
      <c r="E3899" t="s">
        <v>13328</v>
      </c>
      <c r="F3899" t="s">
        <v>13321</v>
      </c>
      <c r="G3899" t="s">
        <v>13329</v>
      </c>
      <c r="H3899" t="s">
        <v>13330</v>
      </c>
      <c r="I3899" t="s">
        <v>12921</v>
      </c>
      <c r="J3899" t="s">
        <v>12922</v>
      </c>
      <c r="K3899" s="2" t="str">
        <f>HYPERLINK("http://collections.slsa.sa.gov.au/resource/PRG+1720/1/1")</f>
        <v>http://collections.slsa.sa.gov.au/resource/PRG+1720/1/1</v>
      </c>
    </row>
    <row r="3900" spans="1:11" x14ac:dyDescent="0.25">
      <c r="A3900" t="s">
        <v>13331</v>
      </c>
      <c r="B3900" s="1" t="str">
        <f>HYPERLINK("https://www.catalog.slsa.sa.gov.au/record=b3139261")</f>
        <v>https://www.catalog.slsa.sa.gov.au/record=b3139261</v>
      </c>
      <c r="C3900" s="1" t="str">
        <f>HYPERLINK("https://www.catalog.slsa.sa.gov.au/xrecord=b3139261")</f>
        <v>https://www.catalog.slsa.sa.gov.au/xrecord=b3139261</v>
      </c>
      <c r="D3900" t="s">
        <v>12917</v>
      </c>
      <c r="E3900" t="s">
        <v>13332</v>
      </c>
      <c r="F3900" t="s">
        <v>13321</v>
      </c>
      <c r="G3900" t="s">
        <v>13333</v>
      </c>
      <c r="H3900" t="s">
        <v>13334</v>
      </c>
      <c r="I3900" t="s">
        <v>12921</v>
      </c>
      <c r="J3900" t="s">
        <v>12922</v>
      </c>
      <c r="K3900" s="2" t="str">
        <f>HYPERLINK("http://collections.slsa.sa.gov.au/resource/PRG+1720/1/14")</f>
        <v>http://collections.slsa.sa.gov.au/resource/PRG+1720/1/14</v>
      </c>
    </row>
    <row r="3901" spans="1:11" x14ac:dyDescent="0.25">
      <c r="A3901" t="s">
        <v>13335</v>
      </c>
      <c r="B3901" s="1" t="str">
        <f>HYPERLINK("https://www.catalog.slsa.sa.gov.au/record=b3139263")</f>
        <v>https://www.catalog.slsa.sa.gov.au/record=b3139263</v>
      </c>
      <c r="C3901" s="1" t="str">
        <f>HYPERLINK("https://www.catalog.slsa.sa.gov.au/xrecord=b3139263")</f>
        <v>https://www.catalog.slsa.sa.gov.au/xrecord=b3139263</v>
      </c>
      <c r="D3901" t="s">
        <v>12917</v>
      </c>
      <c r="E3901" t="s">
        <v>13336</v>
      </c>
      <c r="F3901" t="s">
        <v>13321</v>
      </c>
      <c r="G3901" t="s">
        <v>13322</v>
      </c>
      <c r="H3901" t="s">
        <v>13337</v>
      </c>
      <c r="I3901" t="s">
        <v>12921</v>
      </c>
      <c r="J3901" t="s">
        <v>12922</v>
      </c>
      <c r="K3901" s="2" t="str">
        <f>HYPERLINK("http://collections.slsa.sa.gov.au/resource/PRG+1720/1/15")</f>
        <v>http://collections.slsa.sa.gov.au/resource/PRG+1720/1/15</v>
      </c>
    </row>
    <row r="3902" spans="1:11" x14ac:dyDescent="0.25">
      <c r="A3902" t="s">
        <v>13338</v>
      </c>
      <c r="B3902" s="1" t="str">
        <f>HYPERLINK("https://www.catalog.slsa.sa.gov.au/record=b2107324")</f>
        <v>https://www.catalog.slsa.sa.gov.au/record=b2107324</v>
      </c>
      <c r="C3902" s="1" t="str">
        <f>HYPERLINK("https://www.catalog.slsa.sa.gov.au/xrecord=b2107324")</f>
        <v>https://www.catalog.slsa.sa.gov.au/xrecord=b2107324</v>
      </c>
      <c r="E3902" t="s">
        <v>5475</v>
      </c>
      <c r="F3902">
        <v>1969</v>
      </c>
      <c r="G3902" t="s">
        <v>13339</v>
      </c>
      <c r="H3902" t="s">
        <v>14</v>
      </c>
      <c r="I3902" t="s">
        <v>5477</v>
      </c>
      <c r="J3902" t="s">
        <v>16</v>
      </c>
      <c r="K3902" s="2" t="str">
        <f>HYPERLINK("http://collections.slsa.sa.gov.au/arbonlem/01000/PRG1324_857.htm")</f>
        <v>http://collections.slsa.sa.gov.au/arbonlem/01000/PRG1324_857.htm</v>
      </c>
    </row>
    <row r="3903" spans="1:11" x14ac:dyDescent="0.25">
      <c r="A3903" t="s">
        <v>13340</v>
      </c>
      <c r="B3903" s="1" t="str">
        <f>HYPERLINK("https://www.catalog.slsa.sa.gov.au/record=b2108455")</f>
        <v>https://www.catalog.slsa.sa.gov.au/record=b2108455</v>
      </c>
      <c r="C3903" s="1" t="str">
        <f>HYPERLINK("https://www.catalog.slsa.sa.gov.au/xrecord=b2108455")</f>
        <v>https://www.catalog.slsa.sa.gov.au/xrecord=b2108455</v>
      </c>
      <c r="E3903" t="s">
        <v>5078</v>
      </c>
      <c r="F3903">
        <v>1969</v>
      </c>
      <c r="G3903" t="s">
        <v>13341</v>
      </c>
      <c r="H3903" t="s">
        <v>14</v>
      </c>
      <c r="I3903" t="s">
        <v>5080</v>
      </c>
      <c r="J3903" t="s">
        <v>16</v>
      </c>
      <c r="K3903" s="2" t="str">
        <f>HYPERLINK("http://collections.slsa.sa.gov.au/arbonlem/01750/PRG1324_1585.htm")</f>
        <v>http://collections.slsa.sa.gov.au/arbonlem/01750/PRG1324_1585.htm</v>
      </c>
    </row>
    <row r="3904" spans="1:11" x14ac:dyDescent="0.25">
      <c r="A3904" t="s">
        <v>13342</v>
      </c>
      <c r="B3904" s="1" t="str">
        <f>HYPERLINK("https://www.catalog.slsa.sa.gov.au/record=b2110467")</f>
        <v>https://www.catalog.slsa.sa.gov.au/record=b2110467</v>
      </c>
      <c r="C3904" s="1" t="str">
        <f>HYPERLINK("https://www.catalog.slsa.sa.gov.au/xrecord=b2110467")</f>
        <v>https://www.catalog.slsa.sa.gov.au/xrecord=b2110467</v>
      </c>
      <c r="D3904" t="s">
        <v>66</v>
      </c>
      <c r="E3904" t="s">
        <v>13343</v>
      </c>
      <c r="F3904">
        <v>1969</v>
      </c>
      <c r="G3904" t="s">
        <v>121</v>
      </c>
      <c r="H3904" t="s">
        <v>13344</v>
      </c>
      <c r="I3904" t="s">
        <v>13345</v>
      </c>
      <c r="J3904" t="s">
        <v>71</v>
      </c>
      <c r="K3904" s="2" t="str">
        <f>HYPERLINK("http://collections.slsa.sa.gov.au/arthur/01250/BRG347_1246.htm")</f>
        <v>http://collections.slsa.sa.gov.au/arthur/01250/BRG347_1246.htm</v>
      </c>
    </row>
    <row r="3905" spans="1:11" x14ac:dyDescent="0.25">
      <c r="A3905" t="s">
        <v>13346</v>
      </c>
      <c r="B3905" s="1" t="str">
        <f>HYPERLINK("https://www.catalog.slsa.sa.gov.au/record=b2110470")</f>
        <v>https://www.catalog.slsa.sa.gov.au/record=b2110470</v>
      </c>
      <c r="C3905" s="1" t="str">
        <f>HYPERLINK("https://www.catalog.slsa.sa.gov.au/xrecord=b2110470")</f>
        <v>https://www.catalog.slsa.sa.gov.au/xrecord=b2110470</v>
      </c>
      <c r="D3905" t="s">
        <v>66</v>
      </c>
      <c r="E3905" t="s">
        <v>13270</v>
      </c>
      <c r="F3905">
        <v>1969</v>
      </c>
      <c r="G3905" t="s">
        <v>121</v>
      </c>
      <c r="H3905" t="s">
        <v>13347</v>
      </c>
      <c r="I3905" t="s">
        <v>13348</v>
      </c>
      <c r="J3905" t="s">
        <v>71</v>
      </c>
      <c r="K3905" s="2" t="str">
        <f>HYPERLINK("http://collections.slsa.sa.gov.au/arthur/01250/BRG347_1249.htm")</f>
        <v>http://collections.slsa.sa.gov.au/arthur/01250/BRG347_1249.htm</v>
      </c>
    </row>
    <row r="3906" spans="1:11" x14ac:dyDescent="0.25">
      <c r="A3906" t="s">
        <v>13349</v>
      </c>
      <c r="B3906" s="1" t="str">
        <f>HYPERLINK("https://www.catalog.slsa.sa.gov.au/record=b2110476")</f>
        <v>https://www.catalog.slsa.sa.gov.au/record=b2110476</v>
      </c>
      <c r="C3906" s="1" t="str">
        <f>HYPERLINK("https://www.catalog.slsa.sa.gov.au/xrecord=b2110476")</f>
        <v>https://www.catalog.slsa.sa.gov.au/xrecord=b2110476</v>
      </c>
      <c r="D3906" t="s">
        <v>66</v>
      </c>
      <c r="E3906" t="s">
        <v>11819</v>
      </c>
      <c r="F3906">
        <v>1969</v>
      </c>
      <c r="G3906" t="s">
        <v>121</v>
      </c>
      <c r="H3906" t="s">
        <v>13350</v>
      </c>
      <c r="I3906" t="s">
        <v>11821</v>
      </c>
      <c r="J3906" t="s">
        <v>71</v>
      </c>
      <c r="K3906" s="2" t="str">
        <f>HYPERLINK("http://collections.slsa.sa.gov.au/arthur/01500/BRG347_1255.htm")</f>
        <v>http://collections.slsa.sa.gov.au/arthur/01500/BRG347_1255.htm</v>
      </c>
    </row>
    <row r="3907" spans="1:11" x14ac:dyDescent="0.25">
      <c r="A3907" t="s">
        <v>13351</v>
      </c>
      <c r="B3907" s="1" t="str">
        <f>HYPERLINK("https://www.catalog.slsa.sa.gov.au/record=b2110477")</f>
        <v>https://www.catalog.slsa.sa.gov.au/record=b2110477</v>
      </c>
      <c r="C3907" s="1" t="str">
        <f>HYPERLINK("https://www.catalog.slsa.sa.gov.au/xrecord=b2110477")</f>
        <v>https://www.catalog.slsa.sa.gov.au/xrecord=b2110477</v>
      </c>
      <c r="D3907" t="s">
        <v>66</v>
      </c>
      <c r="E3907" t="s">
        <v>13352</v>
      </c>
      <c r="F3907">
        <v>1969</v>
      </c>
      <c r="G3907" t="s">
        <v>121</v>
      </c>
      <c r="H3907" t="s">
        <v>13353</v>
      </c>
      <c r="I3907" t="s">
        <v>13354</v>
      </c>
      <c r="J3907" t="s">
        <v>71</v>
      </c>
      <c r="K3907" s="2" t="str">
        <f>HYPERLINK("http://collections.slsa.sa.gov.au/arthur/01500/BRG347_1256.htm")</f>
        <v>http://collections.slsa.sa.gov.au/arthur/01500/BRG347_1256.htm</v>
      </c>
    </row>
    <row r="3908" spans="1:11" x14ac:dyDescent="0.25">
      <c r="A3908" t="s">
        <v>13355</v>
      </c>
      <c r="B3908" s="1" t="str">
        <f>HYPERLINK("https://www.catalog.slsa.sa.gov.au/record=b2110575")</f>
        <v>https://www.catalog.slsa.sa.gov.au/record=b2110575</v>
      </c>
      <c r="C3908" s="1" t="str">
        <f>HYPERLINK("https://www.catalog.slsa.sa.gov.au/xrecord=b2110575")</f>
        <v>https://www.catalog.slsa.sa.gov.au/xrecord=b2110575</v>
      </c>
      <c r="D3908" t="s">
        <v>66</v>
      </c>
      <c r="E3908" t="s">
        <v>13356</v>
      </c>
      <c r="F3908">
        <v>1969</v>
      </c>
      <c r="G3908" t="s">
        <v>121</v>
      </c>
      <c r="H3908" t="s">
        <v>13357</v>
      </c>
      <c r="I3908" t="s">
        <v>13358</v>
      </c>
      <c r="J3908" t="s">
        <v>71</v>
      </c>
      <c r="K3908" s="2" t="str">
        <f>HYPERLINK("http://collections.slsa.sa.gov.au/arthur/01500/BRG347_1292.htm")</f>
        <v>http://collections.slsa.sa.gov.au/arthur/01500/BRG347_1292.htm</v>
      </c>
    </row>
    <row r="3909" spans="1:11" x14ac:dyDescent="0.25">
      <c r="A3909" t="s">
        <v>13359</v>
      </c>
      <c r="B3909" s="1" t="str">
        <f>HYPERLINK("https://www.catalog.slsa.sa.gov.au/record=b2110576")</f>
        <v>https://www.catalog.slsa.sa.gov.au/record=b2110576</v>
      </c>
      <c r="C3909" s="1" t="str">
        <f>HYPERLINK("https://www.catalog.slsa.sa.gov.au/xrecord=b2110576")</f>
        <v>https://www.catalog.slsa.sa.gov.au/xrecord=b2110576</v>
      </c>
      <c r="D3909" t="s">
        <v>66</v>
      </c>
      <c r="E3909" t="s">
        <v>13360</v>
      </c>
      <c r="F3909">
        <v>1969</v>
      </c>
      <c r="G3909" t="s">
        <v>121</v>
      </c>
      <c r="H3909" t="s">
        <v>13361</v>
      </c>
      <c r="I3909" t="s">
        <v>13358</v>
      </c>
      <c r="J3909" t="s">
        <v>71</v>
      </c>
      <c r="K3909" s="2" t="str">
        <f>HYPERLINK("http://collections.slsa.sa.gov.au/arthur/01500/BRG347_1293.htm")</f>
        <v>http://collections.slsa.sa.gov.au/arthur/01500/BRG347_1293.htm</v>
      </c>
    </row>
    <row r="3910" spans="1:11" x14ac:dyDescent="0.25">
      <c r="A3910" t="s">
        <v>13362</v>
      </c>
      <c r="B3910" s="1" t="str">
        <f>HYPERLINK("https://www.catalog.slsa.sa.gov.au/record=b2110577")</f>
        <v>https://www.catalog.slsa.sa.gov.au/record=b2110577</v>
      </c>
      <c r="C3910" s="1" t="str">
        <f>HYPERLINK("https://www.catalog.slsa.sa.gov.au/xrecord=b2110577")</f>
        <v>https://www.catalog.slsa.sa.gov.au/xrecord=b2110577</v>
      </c>
      <c r="D3910" t="s">
        <v>66</v>
      </c>
      <c r="E3910" t="s">
        <v>1621</v>
      </c>
      <c r="F3910">
        <v>1969</v>
      </c>
      <c r="G3910" t="s">
        <v>121</v>
      </c>
      <c r="H3910" t="s">
        <v>13363</v>
      </c>
      <c r="I3910" t="s">
        <v>1623</v>
      </c>
      <c r="J3910" t="s">
        <v>71</v>
      </c>
      <c r="K3910" s="2" t="str">
        <f>HYPERLINK("http://collections.slsa.sa.gov.au/arthur/01500/BRG347_1294.htm")</f>
        <v>http://collections.slsa.sa.gov.au/arthur/01500/BRG347_1294.htm</v>
      </c>
    </row>
    <row r="3911" spans="1:11" x14ac:dyDescent="0.25">
      <c r="A3911" t="s">
        <v>13364</v>
      </c>
      <c r="B3911" s="1" t="str">
        <f>HYPERLINK("https://www.catalog.slsa.sa.gov.au/record=b2110578")</f>
        <v>https://www.catalog.slsa.sa.gov.au/record=b2110578</v>
      </c>
      <c r="C3911" s="1" t="str">
        <f>HYPERLINK("https://www.catalog.slsa.sa.gov.au/xrecord=b2110578")</f>
        <v>https://www.catalog.slsa.sa.gov.au/xrecord=b2110578</v>
      </c>
      <c r="D3911" t="s">
        <v>66</v>
      </c>
      <c r="E3911" t="s">
        <v>1621</v>
      </c>
      <c r="F3911">
        <v>1969</v>
      </c>
      <c r="G3911" t="s">
        <v>121</v>
      </c>
      <c r="H3911" t="s">
        <v>13365</v>
      </c>
      <c r="I3911" t="s">
        <v>13366</v>
      </c>
      <c r="J3911" t="s">
        <v>71</v>
      </c>
      <c r="K3911" s="2" t="str">
        <f>HYPERLINK("http://collections.slsa.sa.gov.au/arthur/01500/BRG347_1295.htm")</f>
        <v>http://collections.slsa.sa.gov.au/arthur/01500/BRG347_1295.htm</v>
      </c>
    </row>
    <row r="3912" spans="1:11" x14ac:dyDescent="0.25">
      <c r="A3912" t="s">
        <v>13367</v>
      </c>
      <c r="B3912" s="1" t="str">
        <f>HYPERLINK("https://www.catalog.slsa.sa.gov.au/record=b2110579")</f>
        <v>https://www.catalog.slsa.sa.gov.au/record=b2110579</v>
      </c>
      <c r="C3912" s="1" t="str">
        <f>HYPERLINK("https://www.catalog.slsa.sa.gov.au/xrecord=b2110579")</f>
        <v>https://www.catalog.slsa.sa.gov.au/xrecord=b2110579</v>
      </c>
      <c r="D3912" t="s">
        <v>66</v>
      </c>
      <c r="E3912" t="s">
        <v>1621</v>
      </c>
      <c r="F3912">
        <v>1969</v>
      </c>
      <c r="G3912" t="s">
        <v>121</v>
      </c>
      <c r="H3912" t="s">
        <v>13368</v>
      </c>
      <c r="I3912" t="s">
        <v>13366</v>
      </c>
      <c r="J3912" t="s">
        <v>71</v>
      </c>
      <c r="K3912" s="2" t="str">
        <f>HYPERLINK("http://collections.slsa.sa.gov.au/arthur/01500/BRG347_1296.htm")</f>
        <v>http://collections.slsa.sa.gov.au/arthur/01500/BRG347_1296.htm</v>
      </c>
    </row>
    <row r="3913" spans="1:11" x14ac:dyDescent="0.25">
      <c r="A3913" t="s">
        <v>13369</v>
      </c>
      <c r="B3913" s="1" t="str">
        <f>HYPERLINK("https://www.catalog.slsa.sa.gov.au/record=b2110584")</f>
        <v>https://www.catalog.slsa.sa.gov.au/record=b2110584</v>
      </c>
      <c r="C3913" s="1" t="str">
        <f>HYPERLINK("https://www.catalog.slsa.sa.gov.au/xrecord=b2110584")</f>
        <v>https://www.catalog.slsa.sa.gov.au/xrecord=b2110584</v>
      </c>
      <c r="D3913" t="s">
        <v>66</v>
      </c>
      <c r="E3913" t="s">
        <v>13277</v>
      </c>
      <c r="F3913">
        <v>1969</v>
      </c>
      <c r="G3913" t="s">
        <v>121</v>
      </c>
      <c r="H3913" t="s">
        <v>13370</v>
      </c>
      <c r="I3913" t="s">
        <v>13371</v>
      </c>
      <c r="J3913" t="s">
        <v>71</v>
      </c>
      <c r="K3913" s="2" t="str">
        <f>HYPERLINK("http://collections.slsa.sa.gov.au/arthur/01500/BRG347_1301.htm")</f>
        <v>http://collections.slsa.sa.gov.au/arthur/01500/BRG347_1301.htm</v>
      </c>
    </row>
    <row r="3914" spans="1:11" x14ac:dyDescent="0.25">
      <c r="A3914" t="s">
        <v>13372</v>
      </c>
      <c r="B3914" s="1" t="str">
        <f>HYPERLINK("https://www.catalog.slsa.sa.gov.au/record=b2111034")</f>
        <v>https://www.catalog.slsa.sa.gov.au/record=b2111034</v>
      </c>
      <c r="C3914" s="1" t="str">
        <f>HYPERLINK("https://www.catalog.slsa.sa.gov.au/xrecord=b2111034")</f>
        <v>https://www.catalog.slsa.sa.gov.au/xrecord=b2111034</v>
      </c>
      <c r="D3914" t="s">
        <v>66</v>
      </c>
      <c r="E3914" t="s">
        <v>9547</v>
      </c>
      <c r="F3914">
        <v>1969</v>
      </c>
      <c r="G3914" t="s">
        <v>121</v>
      </c>
      <c r="H3914" t="s">
        <v>13373</v>
      </c>
      <c r="I3914" t="s">
        <v>13374</v>
      </c>
      <c r="J3914" t="s">
        <v>71</v>
      </c>
      <c r="K3914" s="2" t="str">
        <f>HYPERLINK("http://collections.slsa.sa.gov.au/arthur/01750/BRG347_1716.htm")</f>
        <v>http://collections.slsa.sa.gov.au/arthur/01750/BRG347_1716.htm</v>
      </c>
    </row>
    <row r="3915" spans="1:11" x14ac:dyDescent="0.25">
      <c r="A3915" t="s">
        <v>13375</v>
      </c>
      <c r="B3915" s="1" t="str">
        <f>HYPERLINK("https://www.catalog.slsa.sa.gov.au/record=b2111036")</f>
        <v>https://www.catalog.slsa.sa.gov.au/record=b2111036</v>
      </c>
      <c r="C3915" s="1" t="str">
        <f>HYPERLINK("https://www.catalog.slsa.sa.gov.au/xrecord=b2111036")</f>
        <v>https://www.catalog.slsa.sa.gov.au/xrecord=b2111036</v>
      </c>
      <c r="D3915" t="s">
        <v>66</v>
      </c>
      <c r="E3915" t="s">
        <v>13376</v>
      </c>
      <c r="F3915">
        <v>1969</v>
      </c>
      <c r="G3915" t="s">
        <v>121</v>
      </c>
      <c r="H3915" t="s">
        <v>13377</v>
      </c>
      <c r="I3915" t="s">
        <v>13378</v>
      </c>
      <c r="J3915" t="s">
        <v>71</v>
      </c>
      <c r="K3915" s="2" t="str">
        <f>HYPERLINK("http://collections.slsa.sa.gov.au/arthur/01750/BRG347_1718.htm")</f>
        <v>http://collections.slsa.sa.gov.au/arthur/01750/BRG347_1718.htm</v>
      </c>
    </row>
    <row r="3916" spans="1:11" x14ac:dyDescent="0.25">
      <c r="A3916" t="s">
        <v>13379</v>
      </c>
      <c r="B3916" s="1" t="str">
        <f>HYPERLINK("https://www.catalog.slsa.sa.gov.au/record=b2111148")</f>
        <v>https://www.catalog.slsa.sa.gov.au/record=b2111148</v>
      </c>
      <c r="C3916" s="1" t="str">
        <f>HYPERLINK("https://www.catalog.slsa.sa.gov.au/xrecord=b2111148")</f>
        <v>https://www.catalog.slsa.sa.gov.au/xrecord=b2111148</v>
      </c>
      <c r="D3916" t="s">
        <v>66</v>
      </c>
      <c r="E3916" t="s">
        <v>13380</v>
      </c>
      <c r="F3916">
        <v>1969</v>
      </c>
      <c r="G3916" t="s">
        <v>121</v>
      </c>
      <c r="H3916" t="s">
        <v>13381</v>
      </c>
      <c r="I3916" t="s">
        <v>13382</v>
      </c>
      <c r="J3916" t="s">
        <v>71</v>
      </c>
      <c r="K3916" s="2" t="str">
        <f>HYPERLINK("http://collections.slsa.sa.gov.au/arthur/02000/BRG347_1834.htm")</f>
        <v>http://collections.slsa.sa.gov.au/arthur/02000/BRG347_1834.htm</v>
      </c>
    </row>
    <row r="3917" spans="1:11" x14ac:dyDescent="0.25">
      <c r="A3917" t="s">
        <v>13383</v>
      </c>
      <c r="B3917" s="1" t="str">
        <f>HYPERLINK("https://www.catalog.slsa.sa.gov.au/record=b2112051")</f>
        <v>https://www.catalog.slsa.sa.gov.au/record=b2112051</v>
      </c>
      <c r="C3917" s="1" t="str">
        <f>HYPERLINK("https://www.catalog.slsa.sa.gov.au/xrecord=b2112051")</f>
        <v>https://www.catalog.slsa.sa.gov.au/xrecord=b2112051</v>
      </c>
      <c r="D3917" t="s">
        <v>66</v>
      </c>
      <c r="E3917" t="s">
        <v>13302</v>
      </c>
      <c r="F3917">
        <v>1969</v>
      </c>
      <c r="G3917" t="s">
        <v>121</v>
      </c>
      <c r="H3917" t="s">
        <v>13384</v>
      </c>
      <c r="I3917" t="s">
        <v>6558</v>
      </c>
      <c r="J3917" t="s">
        <v>71</v>
      </c>
      <c r="K3917" s="2" t="str">
        <f>HYPERLINK("http://collections.slsa.sa.gov.au/arthur/02500/BRG347_2479.htm")</f>
        <v>http://collections.slsa.sa.gov.au/arthur/02500/BRG347_2479.htm</v>
      </c>
    </row>
    <row r="3918" spans="1:11" x14ac:dyDescent="0.25">
      <c r="A3918" t="s">
        <v>13385</v>
      </c>
      <c r="B3918" s="1" t="str">
        <f>HYPERLINK("https://www.catalog.slsa.sa.gov.au/record=b2112053")</f>
        <v>https://www.catalog.slsa.sa.gov.au/record=b2112053</v>
      </c>
      <c r="C3918" s="1" t="str">
        <f>HYPERLINK("https://www.catalog.slsa.sa.gov.au/xrecord=b2112053")</f>
        <v>https://www.catalog.slsa.sa.gov.au/xrecord=b2112053</v>
      </c>
      <c r="D3918" t="s">
        <v>66</v>
      </c>
      <c r="E3918" t="s">
        <v>8254</v>
      </c>
      <c r="F3918">
        <v>1969</v>
      </c>
      <c r="G3918" t="s">
        <v>121</v>
      </c>
      <c r="H3918" t="s">
        <v>13386</v>
      </c>
      <c r="I3918" t="s">
        <v>8145</v>
      </c>
      <c r="J3918" t="s">
        <v>71</v>
      </c>
      <c r="K3918" s="2" t="str">
        <f>HYPERLINK("http://collections.slsa.sa.gov.au/arthur/02500/BRG347_2481.htm")</f>
        <v>http://collections.slsa.sa.gov.au/arthur/02500/BRG347_2481.htm</v>
      </c>
    </row>
    <row r="3919" spans="1:11" x14ac:dyDescent="0.25">
      <c r="A3919" t="s">
        <v>13387</v>
      </c>
      <c r="B3919" s="1" t="str">
        <f>HYPERLINK("https://www.catalog.slsa.sa.gov.au/record=b2112072")</f>
        <v>https://www.catalog.slsa.sa.gov.au/record=b2112072</v>
      </c>
      <c r="C3919" s="1" t="str">
        <f>HYPERLINK("https://www.catalog.slsa.sa.gov.au/xrecord=b2112072")</f>
        <v>https://www.catalog.slsa.sa.gov.au/xrecord=b2112072</v>
      </c>
      <c r="D3919" t="s">
        <v>66</v>
      </c>
      <c r="E3919" t="s">
        <v>8254</v>
      </c>
      <c r="F3919">
        <v>1969</v>
      </c>
      <c r="G3919" t="s">
        <v>121</v>
      </c>
      <c r="H3919" t="s">
        <v>13388</v>
      </c>
      <c r="I3919" t="s">
        <v>8145</v>
      </c>
      <c r="J3919" t="s">
        <v>71</v>
      </c>
      <c r="K3919" s="2" t="str">
        <f>HYPERLINK("http://collections.slsa.sa.gov.au/arthur/02750/BRG347_2502.htm")</f>
        <v>http://collections.slsa.sa.gov.au/arthur/02750/BRG347_2502.htm</v>
      </c>
    </row>
    <row r="3920" spans="1:11" x14ac:dyDescent="0.25">
      <c r="A3920" t="s">
        <v>13389</v>
      </c>
      <c r="B3920" s="1" t="str">
        <f>HYPERLINK("https://www.catalog.slsa.sa.gov.au/record=b2112073")</f>
        <v>https://www.catalog.slsa.sa.gov.au/record=b2112073</v>
      </c>
      <c r="C3920" s="1" t="str">
        <f>HYPERLINK("https://www.catalog.slsa.sa.gov.au/xrecord=b2112073")</f>
        <v>https://www.catalog.slsa.sa.gov.au/xrecord=b2112073</v>
      </c>
      <c r="D3920" t="s">
        <v>66</v>
      </c>
      <c r="E3920" t="s">
        <v>8254</v>
      </c>
      <c r="F3920">
        <v>1969</v>
      </c>
      <c r="G3920" t="s">
        <v>121</v>
      </c>
      <c r="H3920" t="s">
        <v>13390</v>
      </c>
      <c r="I3920" t="s">
        <v>8145</v>
      </c>
      <c r="J3920" t="s">
        <v>71</v>
      </c>
      <c r="K3920" s="2" t="str">
        <f>HYPERLINK("http://collections.slsa.sa.gov.au/arthur/02750/BRG347_2503.htm")</f>
        <v>http://collections.slsa.sa.gov.au/arthur/02750/BRG347_2503.htm</v>
      </c>
    </row>
    <row r="3921" spans="1:11" x14ac:dyDescent="0.25">
      <c r="A3921" t="s">
        <v>13391</v>
      </c>
      <c r="B3921" s="1" t="str">
        <f>HYPERLINK("https://www.catalog.slsa.sa.gov.au/record=b2118027")</f>
        <v>https://www.catalog.slsa.sa.gov.au/record=b2118027</v>
      </c>
      <c r="C3921" s="1" t="str">
        <f>HYPERLINK("https://www.catalog.slsa.sa.gov.au/xrecord=b2118027")</f>
        <v>https://www.catalog.slsa.sa.gov.au/xrecord=b2118027</v>
      </c>
      <c r="D3921" t="s">
        <v>66</v>
      </c>
      <c r="E3921" t="s">
        <v>13392</v>
      </c>
      <c r="F3921">
        <v>1969</v>
      </c>
      <c r="G3921" t="s">
        <v>121</v>
      </c>
      <c r="H3921" t="s">
        <v>13393</v>
      </c>
      <c r="I3921" t="s">
        <v>9236</v>
      </c>
      <c r="J3921" t="s">
        <v>71</v>
      </c>
      <c r="K3921" s="2" t="str">
        <f>HYPERLINK("http://collections.slsa.sa.gov.au/arthur/02750/BRG347_2662.htm")</f>
        <v>http://collections.slsa.sa.gov.au/arthur/02750/BRG347_2662.htm</v>
      </c>
    </row>
    <row r="3922" spans="1:11" x14ac:dyDescent="0.25">
      <c r="A3922" t="s">
        <v>13394</v>
      </c>
      <c r="B3922" s="1" t="str">
        <f>HYPERLINK("https://www.catalog.slsa.sa.gov.au/record=b2112497")</f>
        <v>https://www.catalog.slsa.sa.gov.au/record=b2112497</v>
      </c>
      <c r="C3922" s="1" t="str">
        <f>HYPERLINK("https://www.catalog.slsa.sa.gov.au/xrecord=b2112497")</f>
        <v>https://www.catalog.slsa.sa.gov.au/xrecord=b2112497</v>
      </c>
      <c r="D3922" t="s">
        <v>66</v>
      </c>
      <c r="E3922" t="s">
        <v>13277</v>
      </c>
      <c r="F3922">
        <v>1969</v>
      </c>
      <c r="G3922" t="s">
        <v>121</v>
      </c>
      <c r="H3922" t="s">
        <v>13395</v>
      </c>
      <c r="I3922" t="s">
        <v>13371</v>
      </c>
      <c r="J3922" t="s">
        <v>71</v>
      </c>
      <c r="K3922" s="2" t="str">
        <f>HYPERLINK("http://collections.slsa.sa.gov.au/arthur/03000/BRG347_2763.htm")</f>
        <v>http://collections.slsa.sa.gov.au/arthur/03000/BRG347_2763.htm</v>
      </c>
    </row>
    <row r="3923" spans="1:11" x14ac:dyDescent="0.25">
      <c r="A3923" t="s">
        <v>13396</v>
      </c>
      <c r="B3923" s="1" t="str">
        <f>HYPERLINK("https://www.catalog.slsa.sa.gov.au/record=b2112500")</f>
        <v>https://www.catalog.slsa.sa.gov.au/record=b2112500</v>
      </c>
      <c r="C3923" s="1" t="str">
        <f>HYPERLINK("https://www.catalog.slsa.sa.gov.au/xrecord=b2112500")</f>
        <v>https://www.catalog.slsa.sa.gov.au/xrecord=b2112500</v>
      </c>
      <c r="D3923" t="s">
        <v>66</v>
      </c>
      <c r="E3923" t="s">
        <v>13397</v>
      </c>
      <c r="F3923">
        <v>1969</v>
      </c>
      <c r="G3923" t="s">
        <v>121</v>
      </c>
      <c r="H3923" t="s">
        <v>13398</v>
      </c>
      <c r="I3923" t="s">
        <v>13399</v>
      </c>
      <c r="J3923" t="s">
        <v>71</v>
      </c>
      <c r="K3923" s="2" t="str">
        <f>HYPERLINK("http://collections.slsa.sa.gov.au/arthur/03000/BRG347_2764.htm")</f>
        <v>http://collections.slsa.sa.gov.au/arthur/03000/BRG347_2764.htm</v>
      </c>
    </row>
    <row r="3924" spans="1:11" x14ac:dyDescent="0.25">
      <c r="A3924" t="s">
        <v>13400</v>
      </c>
      <c r="B3924" s="1" t="str">
        <f>HYPERLINK("https://www.catalog.slsa.sa.gov.au/record=b2112503")</f>
        <v>https://www.catalog.slsa.sa.gov.au/record=b2112503</v>
      </c>
      <c r="C3924" s="1" t="str">
        <f>HYPERLINK("https://www.catalog.slsa.sa.gov.au/xrecord=b2112503")</f>
        <v>https://www.catalog.slsa.sa.gov.au/xrecord=b2112503</v>
      </c>
      <c r="D3924" t="s">
        <v>66</v>
      </c>
      <c r="E3924" t="s">
        <v>13401</v>
      </c>
      <c r="F3924">
        <v>1969</v>
      </c>
      <c r="G3924" t="s">
        <v>121</v>
      </c>
      <c r="H3924" t="s">
        <v>13402</v>
      </c>
      <c r="I3924" t="s">
        <v>13279</v>
      </c>
      <c r="J3924" t="s">
        <v>71</v>
      </c>
      <c r="K3924" s="2" t="str">
        <f>HYPERLINK("http://collections.slsa.sa.gov.au/arthur/03000/BRG347_2767.htm")</f>
        <v>http://collections.slsa.sa.gov.au/arthur/03000/BRG347_2767.htm</v>
      </c>
    </row>
    <row r="3925" spans="1:11" x14ac:dyDescent="0.25">
      <c r="A3925" t="s">
        <v>13403</v>
      </c>
      <c r="B3925" s="1" t="str">
        <f>HYPERLINK("https://www.catalog.slsa.sa.gov.au/record=b2112504")</f>
        <v>https://www.catalog.slsa.sa.gov.au/record=b2112504</v>
      </c>
      <c r="C3925" s="1" t="str">
        <f>HYPERLINK("https://www.catalog.slsa.sa.gov.au/xrecord=b2112504")</f>
        <v>https://www.catalog.slsa.sa.gov.au/xrecord=b2112504</v>
      </c>
      <c r="D3925" t="s">
        <v>66</v>
      </c>
      <c r="E3925" t="s">
        <v>13404</v>
      </c>
      <c r="F3925">
        <v>1969</v>
      </c>
      <c r="G3925" t="s">
        <v>121</v>
      </c>
      <c r="H3925" t="s">
        <v>13405</v>
      </c>
      <c r="I3925" t="s">
        <v>13406</v>
      </c>
      <c r="J3925" t="s">
        <v>71</v>
      </c>
      <c r="K3925" s="2" t="str">
        <f>HYPERLINK("http://collections.slsa.sa.gov.au/arthur/03000/BRG347_2768.htm")</f>
        <v>http://collections.slsa.sa.gov.au/arthur/03000/BRG347_2768.htm</v>
      </c>
    </row>
    <row r="3926" spans="1:11" x14ac:dyDescent="0.25">
      <c r="A3926" t="s">
        <v>13407</v>
      </c>
      <c r="B3926" s="1" t="str">
        <f>HYPERLINK("https://www.catalog.slsa.sa.gov.au/record=b3139264")</f>
        <v>https://www.catalog.slsa.sa.gov.au/record=b3139264</v>
      </c>
      <c r="C3926" s="1" t="str">
        <f>HYPERLINK("https://www.catalog.slsa.sa.gov.au/xrecord=b3139264")</f>
        <v>https://www.catalog.slsa.sa.gov.au/xrecord=b3139264</v>
      </c>
      <c r="D3926" t="s">
        <v>12917</v>
      </c>
      <c r="E3926" t="s">
        <v>13408</v>
      </c>
      <c r="F3926" t="s">
        <v>13409</v>
      </c>
      <c r="G3926" t="s">
        <v>13410</v>
      </c>
      <c r="H3926" t="s">
        <v>13411</v>
      </c>
      <c r="I3926" t="s">
        <v>12921</v>
      </c>
      <c r="J3926" t="s">
        <v>12922</v>
      </c>
      <c r="K3926" s="2" t="str">
        <f>HYPERLINK("http://collections.slsa.sa.gov.au/resource/PRG+1720/1/16")</f>
        <v>http://collections.slsa.sa.gov.au/resource/PRG+1720/1/16</v>
      </c>
    </row>
    <row r="3927" spans="1:11" x14ac:dyDescent="0.25">
      <c r="A3927" t="s">
        <v>13412</v>
      </c>
      <c r="B3927" s="1" t="str">
        <f>HYPERLINK("https://www.catalog.slsa.sa.gov.au/record=b3139267")</f>
        <v>https://www.catalog.slsa.sa.gov.au/record=b3139267</v>
      </c>
      <c r="C3927" s="1" t="str">
        <f>HYPERLINK("https://www.catalog.slsa.sa.gov.au/xrecord=b3139267")</f>
        <v>https://www.catalog.slsa.sa.gov.au/xrecord=b3139267</v>
      </c>
      <c r="D3927" t="s">
        <v>12917</v>
      </c>
      <c r="E3927" t="s">
        <v>13408</v>
      </c>
      <c r="F3927" t="s">
        <v>13409</v>
      </c>
      <c r="G3927" t="s">
        <v>13413</v>
      </c>
      <c r="H3927" t="s">
        <v>13411</v>
      </c>
      <c r="I3927" t="s">
        <v>12921</v>
      </c>
      <c r="J3927" t="s">
        <v>12922</v>
      </c>
      <c r="K3927" s="2" t="str">
        <f>HYPERLINK("http://collections.slsa.sa.gov.au/resource/PRG+1720/1/17")</f>
        <v>http://collections.slsa.sa.gov.au/resource/PRG+1720/1/17</v>
      </c>
    </row>
    <row r="3928" spans="1:11" x14ac:dyDescent="0.25">
      <c r="A3928" t="s">
        <v>13414</v>
      </c>
      <c r="B3928" s="1" t="str">
        <f>HYPERLINK("https://www.catalog.slsa.sa.gov.au/record=b3139268")</f>
        <v>https://www.catalog.slsa.sa.gov.au/record=b3139268</v>
      </c>
      <c r="C3928" s="1" t="str">
        <f>HYPERLINK("https://www.catalog.slsa.sa.gov.au/xrecord=b3139268")</f>
        <v>https://www.catalog.slsa.sa.gov.au/xrecord=b3139268</v>
      </c>
      <c r="D3928" t="s">
        <v>12917</v>
      </c>
      <c r="E3928" t="s">
        <v>13415</v>
      </c>
      <c r="F3928" t="s">
        <v>13409</v>
      </c>
      <c r="G3928" t="s">
        <v>13329</v>
      </c>
      <c r="H3928" t="s">
        <v>13416</v>
      </c>
      <c r="I3928" t="s">
        <v>12921</v>
      </c>
      <c r="J3928" t="s">
        <v>12922</v>
      </c>
      <c r="K3928" s="2" t="str">
        <f>HYPERLINK("http://collections.slsa.sa.gov.au/resource/PRG+1720/1/18")</f>
        <v>http://collections.slsa.sa.gov.au/resource/PRG+1720/1/18</v>
      </c>
    </row>
    <row r="3929" spans="1:11" x14ac:dyDescent="0.25">
      <c r="A3929" t="s">
        <v>13417</v>
      </c>
      <c r="B3929" s="1" t="str">
        <f>HYPERLINK("https://www.catalog.slsa.sa.gov.au/record=b3139269")</f>
        <v>https://www.catalog.slsa.sa.gov.au/record=b3139269</v>
      </c>
      <c r="C3929" s="1" t="str">
        <f>HYPERLINK("https://www.catalog.slsa.sa.gov.au/xrecord=b3139269")</f>
        <v>https://www.catalog.slsa.sa.gov.au/xrecord=b3139269</v>
      </c>
      <c r="D3929" t="s">
        <v>12917</v>
      </c>
      <c r="E3929" t="s">
        <v>13415</v>
      </c>
      <c r="F3929" t="s">
        <v>13409</v>
      </c>
      <c r="G3929" t="s">
        <v>12920</v>
      </c>
      <c r="H3929" t="s">
        <v>13416</v>
      </c>
      <c r="I3929" t="s">
        <v>12921</v>
      </c>
      <c r="J3929" t="s">
        <v>12922</v>
      </c>
      <c r="K3929" s="2" t="str">
        <f>HYPERLINK("http://collections.slsa.sa.gov.au/resource/PRG+1720/1/19")</f>
        <v>http://collections.slsa.sa.gov.au/resource/PRG+1720/1/19</v>
      </c>
    </row>
    <row r="3930" spans="1:11" x14ac:dyDescent="0.25">
      <c r="A3930" t="s">
        <v>13418</v>
      </c>
      <c r="B3930" s="1" t="str">
        <f>HYPERLINK("https://www.catalog.slsa.sa.gov.au/record=b3139270")</f>
        <v>https://www.catalog.slsa.sa.gov.au/record=b3139270</v>
      </c>
      <c r="C3930" s="1" t="str">
        <f>HYPERLINK("https://www.catalog.slsa.sa.gov.au/xrecord=b3139270")</f>
        <v>https://www.catalog.slsa.sa.gov.au/xrecord=b3139270</v>
      </c>
      <c r="D3930" t="s">
        <v>12917</v>
      </c>
      <c r="E3930" t="s">
        <v>13415</v>
      </c>
      <c r="F3930" t="s">
        <v>13409</v>
      </c>
      <c r="G3930" t="s">
        <v>13333</v>
      </c>
      <c r="H3930" t="s">
        <v>13416</v>
      </c>
      <c r="I3930" t="s">
        <v>12921</v>
      </c>
      <c r="J3930" t="s">
        <v>12922</v>
      </c>
      <c r="K3930" s="2" t="str">
        <f>HYPERLINK("http://collections.slsa.sa.gov.au/resource/PRG+1720/1/20")</f>
        <v>http://collections.slsa.sa.gov.au/resource/PRG+1720/1/20</v>
      </c>
    </row>
    <row r="3931" spans="1:11" x14ac:dyDescent="0.25">
      <c r="A3931" t="s">
        <v>13419</v>
      </c>
      <c r="B3931" s="1" t="str">
        <f>HYPERLINK("https://www.catalog.slsa.sa.gov.au/record=b3139271")</f>
        <v>https://www.catalog.slsa.sa.gov.au/record=b3139271</v>
      </c>
      <c r="C3931" s="1" t="str">
        <f>HYPERLINK("https://www.catalog.slsa.sa.gov.au/xrecord=b3139271")</f>
        <v>https://www.catalog.slsa.sa.gov.au/xrecord=b3139271</v>
      </c>
      <c r="D3931" t="s">
        <v>12917</v>
      </c>
      <c r="E3931" t="s">
        <v>13415</v>
      </c>
      <c r="F3931" t="s">
        <v>13409</v>
      </c>
      <c r="G3931" t="s">
        <v>13333</v>
      </c>
      <c r="H3931" t="s">
        <v>13416</v>
      </c>
      <c r="I3931" t="s">
        <v>12921</v>
      </c>
      <c r="J3931" t="s">
        <v>12922</v>
      </c>
      <c r="K3931" s="2" t="str">
        <f>HYPERLINK("http://collections.slsa.sa.gov.au/resource/PRG+1720/1/21")</f>
        <v>http://collections.slsa.sa.gov.au/resource/PRG+1720/1/21</v>
      </c>
    </row>
    <row r="3932" spans="1:11" x14ac:dyDescent="0.25">
      <c r="A3932" t="s">
        <v>13420</v>
      </c>
      <c r="B3932" s="1" t="str">
        <f>HYPERLINK("https://www.catalog.slsa.sa.gov.au/record=b3139274")</f>
        <v>https://www.catalog.slsa.sa.gov.au/record=b3139274</v>
      </c>
      <c r="C3932" s="1" t="str">
        <f>HYPERLINK("https://www.catalog.slsa.sa.gov.au/xrecord=b3139274")</f>
        <v>https://www.catalog.slsa.sa.gov.au/xrecord=b3139274</v>
      </c>
      <c r="D3932" t="s">
        <v>12917</v>
      </c>
      <c r="E3932" t="s">
        <v>13415</v>
      </c>
      <c r="F3932" t="s">
        <v>13409</v>
      </c>
      <c r="G3932" t="s">
        <v>13333</v>
      </c>
      <c r="H3932" t="s">
        <v>13416</v>
      </c>
      <c r="I3932" t="s">
        <v>12921</v>
      </c>
      <c r="J3932" t="s">
        <v>12922</v>
      </c>
      <c r="K3932" s="2" t="str">
        <f>HYPERLINK("http://collections.slsa.sa.gov.au/resource/PRG+1720/1/22")</f>
        <v>http://collections.slsa.sa.gov.au/resource/PRG+1720/1/22</v>
      </c>
    </row>
    <row r="3933" spans="1:11" x14ac:dyDescent="0.25">
      <c r="A3933" t="s">
        <v>13421</v>
      </c>
      <c r="B3933" s="1" t="str">
        <f>HYPERLINK("https://www.catalog.slsa.sa.gov.au/record=b3139275")</f>
        <v>https://www.catalog.slsa.sa.gov.au/record=b3139275</v>
      </c>
      <c r="C3933" s="1" t="str">
        <f>HYPERLINK("https://www.catalog.slsa.sa.gov.au/xrecord=b3139275")</f>
        <v>https://www.catalog.slsa.sa.gov.au/xrecord=b3139275</v>
      </c>
      <c r="D3933" t="s">
        <v>12917</v>
      </c>
      <c r="E3933" t="s">
        <v>13408</v>
      </c>
      <c r="F3933" t="s">
        <v>13409</v>
      </c>
      <c r="G3933" t="s">
        <v>13329</v>
      </c>
      <c r="H3933" t="s">
        <v>13411</v>
      </c>
      <c r="I3933" t="s">
        <v>12921</v>
      </c>
      <c r="J3933" t="s">
        <v>12922</v>
      </c>
      <c r="K3933" s="2" t="str">
        <f>HYPERLINK("http://collections.slsa.sa.gov.au/resource/PRG+1720/1/23")</f>
        <v>http://collections.slsa.sa.gov.au/resource/PRG+1720/1/23</v>
      </c>
    </row>
    <row r="3934" spans="1:11" x14ac:dyDescent="0.25">
      <c r="A3934" t="s">
        <v>13422</v>
      </c>
      <c r="B3934" s="1" t="str">
        <f>HYPERLINK("https://www.catalog.slsa.sa.gov.au/record=b3139276")</f>
        <v>https://www.catalog.slsa.sa.gov.au/record=b3139276</v>
      </c>
      <c r="C3934" s="1" t="str">
        <f>HYPERLINK("https://www.catalog.slsa.sa.gov.au/xrecord=b3139276")</f>
        <v>https://www.catalog.slsa.sa.gov.au/xrecord=b3139276</v>
      </c>
      <c r="D3934" t="s">
        <v>12917</v>
      </c>
      <c r="E3934" t="s">
        <v>13423</v>
      </c>
      <c r="F3934" t="s">
        <v>13409</v>
      </c>
      <c r="G3934" t="s">
        <v>13413</v>
      </c>
      <c r="H3934" t="s">
        <v>13424</v>
      </c>
      <c r="I3934" t="s">
        <v>12921</v>
      </c>
      <c r="J3934" t="s">
        <v>12922</v>
      </c>
      <c r="K3934" s="2" t="str">
        <f>HYPERLINK("http://collections.slsa.sa.gov.au/resource/PRG+1720/1/24")</f>
        <v>http://collections.slsa.sa.gov.au/resource/PRG+1720/1/24</v>
      </c>
    </row>
    <row r="3935" spans="1:11" x14ac:dyDescent="0.25">
      <c r="A3935" t="s">
        <v>13425</v>
      </c>
      <c r="B3935" s="1" t="str">
        <f>HYPERLINK("https://www.catalog.slsa.sa.gov.au/record=b3139281")</f>
        <v>https://www.catalog.slsa.sa.gov.au/record=b3139281</v>
      </c>
      <c r="C3935" s="1" t="str">
        <f>HYPERLINK("https://www.catalog.slsa.sa.gov.au/xrecord=b3139281")</f>
        <v>https://www.catalog.slsa.sa.gov.au/xrecord=b3139281</v>
      </c>
      <c r="D3935" t="s">
        <v>12917</v>
      </c>
      <c r="E3935" t="s">
        <v>13423</v>
      </c>
      <c r="F3935" t="s">
        <v>13409</v>
      </c>
      <c r="G3935" t="s">
        <v>13426</v>
      </c>
      <c r="H3935" t="s">
        <v>13424</v>
      </c>
      <c r="I3935" t="s">
        <v>12921</v>
      </c>
      <c r="J3935" t="s">
        <v>12922</v>
      </c>
      <c r="K3935" s="2" t="str">
        <f>HYPERLINK("http://collections.slsa.sa.gov.au/resource/PRG+1720/1/25")</f>
        <v>http://collections.slsa.sa.gov.au/resource/PRG+1720/1/25</v>
      </c>
    </row>
    <row r="3936" spans="1:11" x14ac:dyDescent="0.25">
      <c r="A3936" t="s">
        <v>13427</v>
      </c>
      <c r="B3936" s="1" t="str">
        <f>HYPERLINK("https://www.catalog.slsa.sa.gov.au/record=b3139283")</f>
        <v>https://www.catalog.slsa.sa.gov.au/record=b3139283</v>
      </c>
      <c r="C3936" s="1" t="str">
        <f>HYPERLINK("https://www.catalog.slsa.sa.gov.au/xrecord=b3139283")</f>
        <v>https://www.catalog.slsa.sa.gov.au/xrecord=b3139283</v>
      </c>
      <c r="D3936" t="s">
        <v>12917</v>
      </c>
      <c r="E3936" t="s">
        <v>13428</v>
      </c>
      <c r="F3936" t="s">
        <v>13409</v>
      </c>
      <c r="G3936" t="s">
        <v>13429</v>
      </c>
      <c r="H3936" t="s">
        <v>13430</v>
      </c>
      <c r="I3936" t="s">
        <v>12921</v>
      </c>
      <c r="J3936" t="s">
        <v>12922</v>
      </c>
      <c r="K3936" s="2" t="str">
        <f>HYPERLINK("http://collections.slsa.sa.gov.au/resource/PRG+1720/1/26")</f>
        <v>http://collections.slsa.sa.gov.au/resource/PRG+1720/1/26</v>
      </c>
    </row>
    <row r="3937" spans="1:11" x14ac:dyDescent="0.25">
      <c r="A3937" t="s">
        <v>13431</v>
      </c>
      <c r="B3937" s="1" t="str">
        <f>HYPERLINK("https://www.catalog.slsa.sa.gov.au/record=b3139289")</f>
        <v>https://www.catalog.slsa.sa.gov.au/record=b3139289</v>
      </c>
      <c r="C3937" s="1" t="str">
        <f>HYPERLINK("https://www.catalog.slsa.sa.gov.au/xrecord=b3139289")</f>
        <v>https://www.catalog.slsa.sa.gov.au/xrecord=b3139289</v>
      </c>
      <c r="D3937" t="s">
        <v>12917</v>
      </c>
      <c r="E3937" t="s">
        <v>13428</v>
      </c>
      <c r="F3937" t="s">
        <v>13409</v>
      </c>
      <c r="G3937" t="s">
        <v>13322</v>
      </c>
      <c r="H3937" t="s">
        <v>13430</v>
      </c>
      <c r="I3937" t="s">
        <v>12921</v>
      </c>
      <c r="J3937" t="s">
        <v>12922</v>
      </c>
      <c r="K3937" s="2" t="str">
        <f>HYPERLINK("http://collections.slsa.sa.gov.au/resource/PRG+1720/1/27")</f>
        <v>http://collections.slsa.sa.gov.au/resource/PRG+1720/1/27</v>
      </c>
    </row>
    <row r="3938" spans="1:11" x14ac:dyDescent="0.25">
      <c r="A3938" t="s">
        <v>13432</v>
      </c>
      <c r="B3938" s="1" t="str">
        <f>HYPERLINK("https://www.catalog.slsa.sa.gov.au/record=b3139290")</f>
        <v>https://www.catalog.slsa.sa.gov.au/record=b3139290</v>
      </c>
      <c r="C3938" s="1" t="str">
        <f>HYPERLINK("https://www.catalog.slsa.sa.gov.au/xrecord=b3139290")</f>
        <v>https://www.catalog.slsa.sa.gov.au/xrecord=b3139290</v>
      </c>
      <c r="D3938" t="s">
        <v>12917</v>
      </c>
      <c r="E3938" t="s">
        <v>13433</v>
      </c>
      <c r="F3938" t="s">
        <v>13409</v>
      </c>
      <c r="G3938" t="s">
        <v>13434</v>
      </c>
      <c r="H3938" t="s">
        <v>13435</v>
      </c>
      <c r="I3938" t="s">
        <v>13436</v>
      </c>
      <c r="J3938" t="s">
        <v>12922</v>
      </c>
      <c r="K3938" s="2" t="str">
        <f>HYPERLINK("http://collections.slsa.sa.gov.au/resource/PRG+1720/1/28")</f>
        <v>http://collections.slsa.sa.gov.au/resource/PRG+1720/1/28</v>
      </c>
    </row>
    <row r="3939" spans="1:11" x14ac:dyDescent="0.25">
      <c r="A3939" t="s">
        <v>13437</v>
      </c>
      <c r="B3939" s="1" t="str">
        <f>HYPERLINK("https://www.catalog.slsa.sa.gov.au/record=b3139291")</f>
        <v>https://www.catalog.slsa.sa.gov.au/record=b3139291</v>
      </c>
      <c r="C3939" s="1" t="str">
        <f>HYPERLINK("https://www.catalog.slsa.sa.gov.au/xrecord=b3139291")</f>
        <v>https://www.catalog.slsa.sa.gov.au/xrecord=b3139291</v>
      </c>
      <c r="D3939" t="s">
        <v>13438</v>
      </c>
      <c r="E3939" t="s">
        <v>13433</v>
      </c>
      <c r="F3939" t="s">
        <v>13409</v>
      </c>
      <c r="G3939" t="s">
        <v>13439</v>
      </c>
      <c r="H3939" t="s">
        <v>13440</v>
      </c>
      <c r="I3939" t="s">
        <v>13441</v>
      </c>
      <c r="J3939" t="s">
        <v>12922</v>
      </c>
      <c r="K3939" s="2" t="str">
        <f>HYPERLINK("http://collections.slsa.sa.gov.au/resource/PRG+1720/1/29")</f>
        <v>http://collections.slsa.sa.gov.au/resource/PRG+1720/1/29</v>
      </c>
    </row>
    <row r="3940" spans="1:11" x14ac:dyDescent="0.25">
      <c r="A3940" t="s">
        <v>13442</v>
      </c>
      <c r="B3940" s="1" t="str">
        <f>HYPERLINK("https://www.catalog.slsa.sa.gov.au/record=b3139293")</f>
        <v>https://www.catalog.slsa.sa.gov.au/record=b3139293</v>
      </c>
      <c r="C3940" s="1" t="str">
        <f>HYPERLINK("https://www.catalog.slsa.sa.gov.au/xrecord=b3139293")</f>
        <v>https://www.catalog.slsa.sa.gov.au/xrecord=b3139293</v>
      </c>
      <c r="D3940" t="s">
        <v>12917</v>
      </c>
      <c r="E3940" t="s">
        <v>13433</v>
      </c>
      <c r="F3940" t="s">
        <v>13409</v>
      </c>
      <c r="G3940" t="s">
        <v>13443</v>
      </c>
      <c r="H3940" t="s">
        <v>13435</v>
      </c>
      <c r="I3940" t="s">
        <v>13436</v>
      </c>
      <c r="J3940" t="s">
        <v>12922</v>
      </c>
      <c r="K3940" s="2" t="str">
        <f>HYPERLINK("http://collections.slsa.sa.gov.au/resource/PRG+1720/1/30")</f>
        <v>http://collections.slsa.sa.gov.au/resource/PRG+1720/1/30</v>
      </c>
    </row>
    <row r="3941" spans="1:11" x14ac:dyDescent="0.25">
      <c r="A3941" t="s">
        <v>13444</v>
      </c>
      <c r="B3941" s="1" t="str">
        <f>HYPERLINK("https://www.catalog.slsa.sa.gov.au/record=b3139295")</f>
        <v>https://www.catalog.slsa.sa.gov.au/record=b3139295</v>
      </c>
      <c r="C3941" s="1" t="str">
        <f>HYPERLINK("https://www.catalog.slsa.sa.gov.au/xrecord=b3139295")</f>
        <v>https://www.catalog.slsa.sa.gov.au/xrecord=b3139295</v>
      </c>
      <c r="D3941" t="s">
        <v>12917</v>
      </c>
      <c r="E3941" t="s">
        <v>13445</v>
      </c>
      <c r="F3941" t="s">
        <v>13409</v>
      </c>
      <c r="G3941" t="s">
        <v>13446</v>
      </c>
      <c r="H3941" t="s">
        <v>13447</v>
      </c>
      <c r="I3941" t="s">
        <v>13448</v>
      </c>
      <c r="J3941" t="s">
        <v>12922</v>
      </c>
      <c r="K3941" s="2" t="str">
        <f>HYPERLINK("http://collections.slsa.sa.gov.au/resource/PRG+1720/1/31")</f>
        <v>http://collections.slsa.sa.gov.au/resource/PRG+1720/1/31</v>
      </c>
    </row>
    <row r="3942" spans="1:11" x14ac:dyDescent="0.25">
      <c r="A3942" t="s">
        <v>13449</v>
      </c>
      <c r="B3942" s="1" t="str">
        <f>HYPERLINK("https://www.catalog.slsa.sa.gov.au/record=b3139296")</f>
        <v>https://www.catalog.slsa.sa.gov.au/record=b3139296</v>
      </c>
      <c r="C3942" s="1" t="str">
        <f>HYPERLINK("https://www.catalog.slsa.sa.gov.au/xrecord=b3139296")</f>
        <v>https://www.catalog.slsa.sa.gov.au/xrecord=b3139296</v>
      </c>
      <c r="D3942" t="s">
        <v>12917</v>
      </c>
      <c r="E3942" t="s">
        <v>13445</v>
      </c>
      <c r="F3942" t="s">
        <v>13409</v>
      </c>
      <c r="G3942" t="s">
        <v>13434</v>
      </c>
      <c r="H3942" t="s">
        <v>13450</v>
      </c>
      <c r="I3942" t="s">
        <v>13448</v>
      </c>
      <c r="J3942" t="s">
        <v>12922</v>
      </c>
      <c r="K3942" s="2" t="str">
        <f>HYPERLINK("http://collections.slsa.sa.gov.au/resource/PRG+1720/1/32")</f>
        <v>http://collections.slsa.sa.gov.au/resource/PRG+1720/1/32</v>
      </c>
    </row>
    <row r="3943" spans="1:11" x14ac:dyDescent="0.25">
      <c r="A3943" t="s">
        <v>13451</v>
      </c>
      <c r="B3943" s="1" t="str">
        <f>HYPERLINK("https://www.catalog.slsa.sa.gov.au/record=b3139297")</f>
        <v>https://www.catalog.slsa.sa.gov.au/record=b3139297</v>
      </c>
      <c r="C3943" s="1" t="str">
        <f>HYPERLINK("https://www.catalog.slsa.sa.gov.au/xrecord=b3139297")</f>
        <v>https://www.catalog.slsa.sa.gov.au/xrecord=b3139297</v>
      </c>
      <c r="D3943" t="s">
        <v>12917</v>
      </c>
      <c r="E3943" t="s">
        <v>13445</v>
      </c>
      <c r="F3943" t="s">
        <v>13409</v>
      </c>
      <c r="G3943" t="s">
        <v>13329</v>
      </c>
      <c r="H3943" t="s">
        <v>13452</v>
      </c>
      <c r="I3943" t="s">
        <v>13448</v>
      </c>
      <c r="J3943" t="s">
        <v>12922</v>
      </c>
      <c r="K3943" s="2" t="str">
        <f>HYPERLINK("http://collections.slsa.sa.gov.au/resource/PRG+1720/1/33")</f>
        <v>http://collections.slsa.sa.gov.au/resource/PRG+1720/1/33</v>
      </c>
    </row>
    <row r="3944" spans="1:11" x14ac:dyDescent="0.25">
      <c r="A3944" t="s">
        <v>13453</v>
      </c>
      <c r="B3944" s="1" t="str">
        <f>HYPERLINK("https://www.catalog.slsa.sa.gov.au/record=b3139298")</f>
        <v>https://www.catalog.slsa.sa.gov.au/record=b3139298</v>
      </c>
      <c r="C3944" s="1" t="str">
        <f>HYPERLINK("https://www.catalog.slsa.sa.gov.au/xrecord=b3139298")</f>
        <v>https://www.catalog.slsa.sa.gov.au/xrecord=b3139298</v>
      </c>
      <c r="D3944" t="s">
        <v>12917</v>
      </c>
      <c r="E3944" t="s">
        <v>13445</v>
      </c>
      <c r="F3944" t="s">
        <v>13409</v>
      </c>
      <c r="G3944" t="s">
        <v>13454</v>
      </c>
      <c r="H3944" t="s">
        <v>13455</v>
      </c>
      <c r="I3944" t="s">
        <v>13448</v>
      </c>
      <c r="J3944" t="s">
        <v>12922</v>
      </c>
      <c r="K3944" s="2" t="str">
        <f>HYPERLINK("http://collections.slsa.sa.gov.au/resource/PRG+1720/1/34")</f>
        <v>http://collections.slsa.sa.gov.au/resource/PRG+1720/1/34</v>
      </c>
    </row>
    <row r="3945" spans="1:11" x14ac:dyDescent="0.25">
      <c r="A3945" t="s">
        <v>13456</v>
      </c>
      <c r="B3945" s="1" t="str">
        <f>HYPERLINK("https://www.catalog.slsa.sa.gov.au/record=b3139301")</f>
        <v>https://www.catalog.slsa.sa.gov.au/record=b3139301</v>
      </c>
      <c r="C3945" s="1" t="str">
        <f>HYPERLINK("https://www.catalog.slsa.sa.gov.au/xrecord=b3139301")</f>
        <v>https://www.catalog.slsa.sa.gov.au/xrecord=b3139301</v>
      </c>
      <c r="D3945" t="s">
        <v>12917</v>
      </c>
      <c r="E3945" t="s">
        <v>13445</v>
      </c>
      <c r="F3945" t="s">
        <v>13409</v>
      </c>
      <c r="G3945" t="s">
        <v>13329</v>
      </c>
      <c r="H3945" t="s">
        <v>13457</v>
      </c>
      <c r="I3945" t="s">
        <v>13448</v>
      </c>
      <c r="J3945" t="s">
        <v>12922</v>
      </c>
      <c r="K3945" s="2" t="str">
        <f>HYPERLINK("http://collections.slsa.sa.gov.au/resource/PRG+1720/1/35")</f>
        <v>http://collections.slsa.sa.gov.au/resource/PRG+1720/1/35</v>
      </c>
    </row>
    <row r="3946" spans="1:11" x14ac:dyDescent="0.25">
      <c r="A3946" t="s">
        <v>13458</v>
      </c>
      <c r="B3946" s="1" t="str">
        <f>HYPERLINK("https://www.catalog.slsa.sa.gov.au/record=b3139302")</f>
        <v>https://www.catalog.slsa.sa.gov.au/record=b3139302</v>
      </c>
      <c r="C3946" s="1" t="str">
        <f>HYPERLINK("https://www.catalog.slsa.sa.gov.au/xrecord=b3139302")</f>
        <v>https://www.catalog.slsa.sa.gov.au/xrecord=b3139302</v>
      </c>
      <c r="D3946" t="s">
        <v>12917</v>
      </c>
      <c r="E3946" t="s">
        <v>13459</v>
      </c>
      <c r="F3946" t="s">
        <v>13409</v>
      </c>
      <c r="G3946" t="s">
        <v>13460</v>
      </c>
      <c r="H3946" t="s">
        <v>13461</v>
      </c>
      <c r="I3946" t="s">
        <v>13436</v>
      </c>
      <c r="J3946" t="s">
        <v>12922</v>
      </c>
      <c r="K3946" s="2" t="str">
        <f>HYPERLINK("http://collections.slsa.sa.gov.au/resource/PRG+1720/1/36")</f>
        <v>http://collections.slsa.sa.gov.au/resource/PRG+1720/1/36</v>
      </c>
    </row>
    <row r="3947" spans="1:11" x14ac:dyDescent="0.25">
      <c r="A3947" t="s">
        <v>13462</v>
      </c>
      <c r="B3947" s="1" t="str">
        <f>HYPERLINK("https://www.catalog.slsa.sa.gov.au/record=b3139303")</f>
        <v>https://www.catalog.slsa.sa.gov.au/record=b3139303</v>
      </c>
      <c r="C3947" s="1" t="str">
        <f>HYPERLINK("https://www.catalog.slsa.sa.gov.au/xrecord=b3139303")</f>
        <v>https://www.catalog.slsa.sa.gov.au/xrecord=b3139303</v>
      </c>
      <c r="D3947" t="s">
        <v>12917</v>
      </c>
      <c r="E3947" t="s">
        <v>13459</v>
      </c>
      <c r="F3947" t="s">
        <v>13409</v>
      </c>
      <c r="G3947" t="s">
        <v>13322</v>
      </c>
      <c r="H3947" t="s">
        <v>13461</v>
      </c>
      <c r="I3947" t="s">
        <v>13436</v>
      </c>
      <c r="J3947" t="s">
        <v>12922</v>
      </c>
      <c r="K3947" s="2" t="str">
        <f>HYPERLINK("http://collections.slsa.sa.gov.au/resource/PRG+1720/1/37")</f>
        <v>http://collections.slsa.sa.gov.au/resource/PRG+1720/1/37</v>
      </c>
    </row>
    <row r="3948" spans="1:11" x14ac:dyDescent="0.25">
      <c r="A3948" t="s">
        <v>13463</v>
      </c>
      <c r="B3948" s="1" t="str">
        <f>HYPERLINK("https://www.catalog.slsa.sa.gov.au/record=b3139305")</f>
        <v>https://www.catalog.slsa.sa.gov.au/record=b3139305</v>
      </c>
      <c r="C3948" s="1" t="str">
        <f>HYPERLINK("https://www.catalog.slsa.sa.gov.au/xrecord=b3139305")</f>
        <v>https://www.catalog.slsa.sa.gov.au/xrecord=b3139305</v>
      </c>
      <c r="D3948" t="s">
        <v>12917</v>
      </c>
      <c r="E3948" t="s">
        <v>13459</v>
      </c>
      <c r="F3948" t="s">
        <v>13409</v>
      </c>
      <c r="G3948" t="s">
        <v>13464</v>
      </c>
      <c r="H3948" t="s">
        <v>13461</v>
      </c>
      <c r="I3948" t="s">
        <v>13436</v>
      </c>
      <c r="J3948" t="s">
        <v>12922</v>
      </c>
      <c r="K3948" s="2" t="str">
        <f>HYPERLINK("http://collections.slsa.sa.gov.au/resource/PRG+1720/1/38")</f>
        <v>http://collections.slsa.sa.gov.au/resource/PRG+1720/1/38</v>
      </c>
    </row>
    <row r="3949" spans="1:11" x14ac:dyDescent="0.25">
      <c r="A3949" t="s">
        <v>13465</v>
      </c>
      <c r="B3949" s="1" t="str">
        <f>HYPERLINK("https://www.catalog.slsa.sa.gov.au/record=b3139306")</f>
        <v>https://www.catalog.slsa.sa.gov.au/record=b3139306</v>
      </c>
      <c r="C3949" s="1" t="str">
        <f>HYPERLINK("https://www.catalog.slsa.sa.gov.au/xrecord=b3139306")</f>
        <v>https://www.catalog.slsa.sa.gov.au/xrecord=b3139306</v>
      </c>
      <c r="D3949" t="s">
        <v>12917</v>
      </c>
      <c r="E3949" t="s">
        <v>13459</v>
      </c>
      <c r="F3949" t="s">
        <v>13409</v>
      </c>
      <c r="G3949" t="s">
        <v>13454</v>
      </c>
      <c r="H3949" t="s">
        <v>13461</v>
      </c>
      <c r="I3949" t="s">
        <v>13436</v>
      </c>
      <c r="J3949" t="s">
        <v>12922</v>
      </c>
      <c r="K3949" s="2" t="str">
        <f>HYPERLINK("http://collections.slsa.sa.gov.au/resource/PRG+1720/1/39")</f>
        <v>http://collections.slsa.sa.gov.au/resource/PRG+1720/1/39</v>
      </c>
    </row>
    <row r="3950" spans="1:11" x14ac:dyDescent="0.25">
      <c r="A3950" t="s">
        <v>13466</v>
      </c>
      <c r="B3950" s="1" t="str">
        <f>HYPERLINK("https://www.catalog.slsa.sa.gov.au/record=b3139307")</f>
        <v>https://www.catalog.slsa.sa.gov.au/record=b3139307</v>
      </c>
      <c r="C3950" s="1" t="str">
        <f>HYPERLINK("https://www.catalog.slsa.sa.gov.au/xrecord=b3139307")</f>
        <v>https://www.catalog.slsa.sa.gov.au/xrecord=b3139307</v>
      </c>
      <c r="D3950" t="s">
        <v>12917</v>
      </c>
      <c r="E3950" t="s">
        <v>13445</v>
      </c>
      <c r="F3950" t="s">
        <v>13409</v>
      </c>
      <c r="G3950" t="s">
        <v>13467</v>
      </c>
      <c r="H3950" t="s">
        <v>13468</v>
      </c>
      <c r="I3950" t="s">
        <v>13448</v>
      </c>
      <c r="J3950" t="s">
        <v>12922</v>
      </c>
      <c r="K3950" s="2" t="str">
        <f>HYPERLINK("http://collections.slsa.sa.gov.au/resource/PRG+1720/1/40")</f>
        <v>http://collections.slsa.sa.gov.au/resource/PRG+1720/1/40</v>
      </c>
    </row>
    <row r="3951" spans="1:11" x14ac:dyDescent="0.25">
      <c r="A3951" t="s">
        <v>13469</v>
      </c>
      <c r="B3951" s="1" t="str">
        <f>HYPERLINK("https://www.catalog.slsa.sa.gov.au/record=b3139308")</f>
        <v>https://www.catalog.slsa.sa.gov.au/record=b3139308</v>
      </c>
      <c r="C3951" s="1" t="str">
        <f>HYPERLINK("https://www.catalog.slsa.sa.gov.au/xrecord=b3139308")</f>
        <v>https://www.catalog.slsa.sa.gov.au/xrecord=b3139308</v>
      </c>
      <c r="D3951" t="s">
        <v>12917</v>
      </c>
      <c r="E3951" t="s">
        <v>13445</v>
      </c>
      <c r="F3951" t="s">
        <v>13409</v>
      </c>
      <c r="G3951" t="s">
        <v>13470</v>
      </c>
      <c r="H3951" t="s">
        <v>13468</v>
      </c>
      <c r="I3951" t="s">
        <v>13448</v>
      </c>
      <c r="J3951" t="s">
        <v>12922</v>
      </c>
      <c r="K3951" s="2" t="str">
        <f>HYPERLINK("http://collections.slsa.sa.gov.au/resource/PRG+1720/1/41")</f>
        <v>http://collections.slsa.sa.gov.au/resource/PRG+1720/1/41</v>
      </c>
    </row>
    <row r="3952" spans="1:11" x14ac:dyDescent="0.25">
      <c r="A3952" t="s">
        <v>13471</v>
      </c>
      <c r="B3952" s="1" t="str">
        <f>HYPERLINK("https://www.catalog.slsa.sa.gov.au/record=b3139322")</f>
        <v>https://www.catalog.slsa.sa.gov.au/record=b3139322</v>
      </c>
      <c r="C3952" s="1" t="str">
        <f>HYPERLINK("https://www.catalog.slsa.sa.gov.au/xrecord=b3139322")</f>
        <v>https://www.catalog.slsa.sa.gov.au/xrecord=b3139322</v>
      </c>
      <c r="D3952" t="s">
        <v>12917</v>
      </c>
      <c r="E3952" t="s">
        <v>13472</v>
      </c>
      <c r="F3952" t="s">
        <v>13409</v>
      </c>
      <c r="G3952" t="s">
        <v>13473</v>
      </c>
      <c r="H3952" t="s">
        <v>13474</v>
      </c>
      <c r="I3952" t="s">
        <v>13448</v>
      </c>
      <c r="J3952" t="s">
        <v>12922</v>
      </c>
      <c r="K3952" s="2" t="str">
        <f>HYPERLINK("http://collections.slsa.sa.gov.au/resource/PRG+1720/1/42")</f>
        <v>http://collections.slsa.sa.gov.au/resource/PRG+1720/1/42</v>
      </c>
    </row>
    <row r="3953" spans="1:11" x14ac:dyDescent="0.25">
      <c r="A3953" t="s">
        <v>13475</v>
      </c>
      <c r="B3953" s="1" t="str">
        <f>HYPERLINK("https://www.catalog.slsa.sa.gov.au/record=b3139325")</f>
        <v>https://www.catalog.slsa.sa.gov.au/record=b3139325</v>
      </c>
      <c r="C3953" s="1" t="str">
        <f>HYPERLINK("https://www.catalog.slsa.sa.gov.au/xrecord=b3139325")</f>
        <v>https://www.catalog.slsa.sa.gov.au/xrecord=b3139325</v>
      </c>
      <c r="D3953" t="s">
        <v>12917</v>
      </c>
      <c r="E3953" t="s">
        <v>13476</v>
      </c>
      <c r="F3953" t="s">
        <v>13409</v>
      </c>
      <c r="G3953" t="s">
        <v>13477</v>
      </c>
      <c r="H3953" t="s">
        <v>13478</v>
      </c>
      <c r="I3953" t="s">
        <v>13448</v>
      </c>
      <c r="J3953" t="s">
        <v>12922</v>
      </c>
      <c r="K3953" s="2" t="str">
        <f>HYPERLINK("http://collections.slsa.sa.gov.au/resource/PRG+1720/1/43")</f>
        <v>http://collections.slsa.sa.gov.au/resource/PRG+1720/1/43</v>
      </c>
    </row>
    <row r="3954" spans="1:11" x14ac:dyDescent="0.25">
      <c r="A3954" t="s">
        <v>13479</v>
      </c>
      <c r="B3954" s="1" t="str">
        <f>HYPERLINK("https://www.catalog.slsa.sa.gov.au/record=b3139326")</f>
        <v>https://www.catalog.slsa.sa.gov.au/record=b3139326</v>
      </c>
      <c r="C3954" s="1" t="str">
        <f>HYPERLINK("https://www.catalog.slsa.sa.gov.au/xrecord=b3139326")</f>
        <v>https://www.catalog.slsa.sa.gov.au/xrecord=b3139326</v>
      </c>
      <c r="D3954" t="s">
        <v>12917</v>
      </c>
      <c r="E3954" t="s">
        <v>13480</v>
      </c>
      <c r="F3954" t="s">
        <v>13409</v>
      </c>
      <c r="G3954" t="s">
        <v>13481</v>
      </c>
      <c r="H3954" t="s">
        <v>13482</v>
      </c>
      <c r="I3954" t="s">
        <v>13483</v>
      </c>
      <c r="J3954" t="s">
        <v>12922</v>
      </c>
      <c r="K3954" s="2" t="str">
        <f>HYPERLINK("http://collections.slsa.sa.gov.au/resource/PRG+1720/1/44")</f>
        <v>http://collections.slsa.sa.gov.au/resource/PRG+1720/1/44</v>
      </c>
    </row>
    <row r="3955" spans="1:11" x14ac:dyDescent="0.25">
      <c r="A3955" t="s">
        <v>13484</v>
      </c>
      <c r="B3955" s="1" t="str">
        <f>HYPERLINK("https://www.catalog.slsa.sa.gov.au/record=b3139328")</f>
        <v>https://www.catalog.slsa.sa.gov.au/record=b3139328</v>
      </c>
      <c r="C3955" s="1" t="str">
        <f>HYPERLINK("https://www.catalog.slsa.sa.gov.au/xrecord=b3139328")</f>
        <v>https://www.catalog.slsa.sa.gov.au/xrecord=b3139328</v>
      </c>
      <c r="D3955" t="s">
        <v>12917</v>
      </c>
      <c r="E3955" t="s">
        <v>13480</v>
      </c>
      <c r="F3955" t="s">
        <v>13409</v>
      </c>
      <c r="G3955" t="s">
        <v>13485</v>
      </c>
      <c r="H3955" t="s">
        <v>13486</v>
      </c>
      <c r="I3955" t="s">
        <v>13483</v>
      </c>
      <c r="J3955" t="s">
        <v>12922</v>
      </c>
      <c r="K3955" s="2" t="str">
        <f>HYPERLINK("http://collections.slsa.sa.gov.au/resource/PRG+1720/1/45")</f>
        <v>http://collections.slsa.sa.gov.au/resource/PRG+1720/1/45</v>
      </c>
    </row>
    <row r="3956" spans="1:11" x14ac:dyDescent="0.25">
      <c r="A3956" t="s">
        <v>13487</v>
      </c>
      <c r="B3956" s="1" t="str">
        <f>HYPERLINK("https://www.catalog.slsa.sa.gov.au/record=b3139330")</f>
        <v>https://www.catalog.slsa.sa.gov.au/record=b3139330</v>
      </c>
      <c r="C3956" s="1" t="str">
        <f>HYPERLINK("https://www.catalog.slsa.sa.gov.au/xrecord=b3139330")</f>
        <v>https://www.catalog.slsa.sa.gov.au/xrecord=b3139330</v>
      </c>
      <c r="D3956" t="s">
        <v>12917</v>
      </c>
      <c r="E3956" t="s">
        <v>13488</v>
      </c>
      <c r="F3956" t="s">
        <v>13409</v>
      </c>
      <c r="G3956" t="s">
        <v>13489</v>
      </c>
      <c r="H3956" t="s">
        <v>13490</v>
      </c>
      <c r="I3956" t="s">
        <v>13491</v>
      </c>
      <c r="J3956" t="s">
        <v>12922</v>
      </c>
      <c r="K3956" s="2" t="str">
        <f>HYPERLINK("http://collections.slsa.sa.gov.au/resource/PRG+1720/1/46")</f>
        <v>http://collections.slsa.sa.gov.au/resource/PRG+1720/1/46</v>
      </c>
    </row>
    <row r="3957" spans="1:11" x14ac:dyDescent="0.25">
      <c r="A3957" t="s">
        <v>13492</v>
      </c>
      <c r="B3957" s="1" t="str">
        <f>HYPERLINK("https://www.catalog.slsa.sa.gov.au/record=b3139332")</f>
        <v>https://www.catalog.slsa.sa.gov.au/record=b3139332</v>
      </c>
      <c r="C3957" s="1" t="str">
        <f>HYPERLINK("https://www.catalog.slsa.sa.gov.au/xrecord=b3139332")</f>
        <v>https://www.catalog.slsa.sa.gov.au/xrecord=b3139332</v>
      </c>
      <c r="D3957" t="s">
        <v>12917</v>
      </c>
      <c r="E3957" t="s">
        <v>13493</v>
      </c>
      <c r="F3957" t="s">
        <v>13409</v>
      </c>
      <c r="G3957" t="s">
        <v>13494</v>
      </c>
      <c r="H3957" t="s">
        <v>13495</v>
      </c>
      <c r="I3957" t="s">
        <v>13491</v>
      </c>
      <c r="J3957" t="s">
        <v>12922</v>
      </c>
      <c r="K3957" s="2" t="str">
        <f>HYPERLINK("http://collections.slsa.sa.gov.au/resource/PRG+1720/1/47")</f>
        <v>http://collections.slsa.sa.gov.au/resource/PRG+1720/1/47</v>
      </c>
    </row>
    <row r="3958" spans="1:11" x14ac:dyDescent="0.25">
      <c r="A3958" t="s">
        <v>13496</v>
      </c>
      <c r="B3958" s="1" t="str">
        <f>HYPERLINK("https://www.catalog.slsa.sa.gov.au/record=b3139347")</f>
        <v>https://www.catalog.slsa.sa.gov.au/record=b3139347</v>
      </c>
      <c r="C3958" s="1" t="str">
        <f>HYPERLINK("https://www.catalog.slsa.sa.gov.au/xrecord=b3139347")</f>
        <v>https://www.catalog.slsa.sa.gov.au/xrecord=b3139347</v>
      </c>
      <c r="D3958" t="s">
        <v>12917</v>
      </c>
      <c r="E3958" t="s">
        <v>13497</v>
      </c>
      <c r="F3958" t="s">
        <v>13409</v>
      </c>
      <c r="G3958" t="s">
        <v>13498</v>
      </c>
      <c r="H3958" t="s">
        <v>13499</v>
      </c>
      <c r="I3958" t="s">
        <v>13500</v>
      </c>
      <c r="J3958" t="s">
        <v>12922</v>
      </c>
      <c r="K3958" s="2" t="str">
        <f>HYPERLINK("http://collections.slsa.sa.gov.au/resource/PRG+1720/1/48")</f>
        <v>http://collections.slsa.sa.gov.au/resource/PRG+1720/1/48</v>
      </c>
    </row>
    <row r="3959" spans="1:11" x14ac:dyDescent="0.25">
      <c r="A3959" t="s">
        <v>13501</v>
      </c>
      <c r="B3959" s="1" t="str">
        <f>HYPERLINK("https://www.catalog.slsa.sa.gov.au/record=b3139351")</f>
        <v>https://www.catalog.slsa.sa.gov.au/record=b3139351</v>
      </c>
      <c r="C3959" s="1" t="str">
        <f>HYPERLINK("https://www.catalog.slsa.sa.gov.au/xrecord=b3139351")</f>
        <v>https://www.catalog.slsa.sa.gov.au/xrecord=b3139351</v>
      </c>
      <c r="D3959" t="s">
        <v>12917</v>
      </c>
      <c r="E3959" t="s">
        <v>13502</v>
      </c>
      <c r="F3959" t="s">
        <v>13409</v>
      </c>
      <c r="G3959" t="s">
        <v>13329</v>
      </c>
      <c r="H3959" t="s">
        <v>13503</v>
      </c>
      <c r="I3959" t="s">
        <v>13504</v>
      </c>
      <c r="J3959" t="s">
        <v>12922</v>
      </c>
      <c r="K3959" s="2" t="str">
        <f>HYPERLINK("http://collections.slsa.sa.gov.au/resource/PRG+1720/1/49")</f>
        <v>http://collections.slsa.sa.gov.au/resource/PRG+1720/1/49</v>
      </c>
    </row>
    <row r="3960" spans="1:11" x14ac:dyDescent="0.25">
      <c r="A3960" t="s">
        <v>13505</v>
      </c>
      <c r="B3960" s="1" t="str">
        <f>HYPERLINK("https://www.catalog.slsa.sa.gov.au/record=b3139353")</f>
        <v>https://www.catalog.slsa.sa.gov.au/record=b3139353</v>
      </c>
      <c r="C3960" s="1" t="str">
        <f>HYPERLINK("https://www.catalog.slsa.sa.gov.au/xrecord=b3139353")</f>
        <v>https://www.catalog.slsa.sa.gov.au/xrecord=b3139353</v>
      </c>
      <c r="D3960" t="s">
        <v>12917</v>
      </c>
      <c r="E3960" t="s">
        <v>13502</v>
      </c>
      <c r="F3960" t="s">
        <v>13409</v>
      </c>
      <c r="G3960" t="s">
        <v>13322</v>
      </c>
      <c r="H3960" t="s">
        <v>13506</v>
      </c>
      <c r="I3960" t="s">
        <v>12921</v>
      </c>
      <c r="J3960" t="s">
        <v>12922</v>
      </c>
      <c r="K3960" s="2" t="str">
        <f>HYPERLINK("http://collections.slsa.sa.gov.au/resource/PRG+1720/1/50")</f>
        <v>http://collections.slsa.sa.gov.au/resource/PRG+1720/1/50</v>
      </c>
    </row>
    <row r="3961" spans="1:11" x14ac:dyDescent="0.25">
      <c r="A3961" t="s">
        <v>13507</v>
      </c>
      <c r="B3961" s="1" t="str">
        <f>HYPERLINK("https://www.catalog.slsa.sa.gov.au/record=b2107213")</f>
        <v>https://www.catalog.slsa.sa.gov.au/record=b2107213</v>
      </c>
      <c r="C3961" s="1" t="str">
        <f>HYPERLINK("https://www.catalog.slsa.sa.gov.au/xrecord=b2107213")</f>
        <v>https://www.catalog.slsa.sa.gov.au/xrecord=b2107213</v>
      </c>
      <c r="E3961" t="s">
        <v>13508</v>
      </c>
      <c r="F3961">
        <v>1970</v>
      </c>
      <c r="G3961" t="s">
        <v>13509</v>
      </c>
      <c r="H3961" t="s">
        <v>14</v>
      </c>
      <c r="I3961" t="s">
        <v>13510</v>
      </c>
      <c r="J3961" t="s">
        <v>16</v>
      </c>
      <c r="K3961" s="2" t="str">
        <f>HYPERLINK("http://collections.slsa.sa.gov.au/arbonlem/00250/PRG1324_112.htm")</f>
        <v>http://collections.slsa.sa.gov.au/arbonlem/00250/PRG1324_112.htm</v>
      </c>
    </row>
    <row r="3962" spans="1:11" x14ac:dyDescent="0.25">
      <c r="A3962" t="s">
        <v>13511</v>
      </c>
      <c r="B3962" s="1" t="str">
        <f>HYPERLINK("https://www.catalog.slsa.sa.gov.au/record=b2110054")</f>
        <v>https://www.catalog.slsa.sa.gov.au/record=b2110054</v>
      </c>
      <c r="C3962" s="1" t="str">
        <f>HYPERLINK("https://www.catalog.slsa.sa.gov.au/xrecord=b2110054")</f>
        <v>https://www.catalog.slsa.sa.gov.au/xrecord=b2110054</v>
      </c>
      <c r="D3962" t="s">
        <v>66</v>
      </c>
      <c r="E3962" t="s">
        <v>13512</v>
      </c>
      <c r="F3962">
        <v>1970</v>
      </c>
      <c r="G3962" t="s">
        <v>121</v>
      </c>
      <c r="H3962" t="s">
        <v>13513</v>
      </c>
      <c r="I3962" t="s">
        <v>13514</v>
      </c>
      <c r="J3962" t="s">
        <v>71</v>
      </c>
      <c r="K3962" s="2" t="str">
        <f>HYPERLINK("http://collections.slsa.sa.gov.au/arthur/01000/BRG347_860.htm")</f>
        <v>http://collections.slsa.sa.gov.au/arthur/01000/BRG347_860.htm</v>
      </c>
    </row>
    <row r="3963" spans="1:11" x14ac:dyDescent="0.25">
      <c r="A3963" t="s">
        <v>13515</v>
      </c>
      <c r="B3963" s="1" t="str">
        <f>HYPERLINK("https://www.catalog.slsa.sa.gov.au/record=b2110057")</f>
        <v>https://www.catalog.slsa.sa.gov.au/record=b2110057</v>
      </c>
      <c r="C3963" s="1" t="str">
        <f>HYPERLINK("https://www.catalog.slsa.sa.gov.au/xrecord=b2110057")</f>
        <v>https://www.catalog.slsa.sa.gov.au/xrecord=b2110057</v>
      </c>
      <c r="D3963" t="s">
        <v>66</v>
      </c>
      <c r="E3963" t="s">
        <v>13516</v>
      </c>
      <c r="F3963">
        <v>1970</v>
      </c>
      <c r="G3963" t="s">
        <v>121</v>
      </c>
      <c r="H3963" t="s">
        <v>13517</v>
      </c>
      <c r="I3963" t="s">
        <v>13518</v>
      </c>
      <c r="J3963" t="s">
        <v>71</v>
      </c>
      <c r="K3963" s="2" t="str">
        <f>HYPERLINK("http://collections.slsa.sa.gov.au/arthur/01000/BRG347_863.htm")</f>
        <v>http://collections.slsa.sa.gov.au/arthur/01000/BRG347_863.htm</v>
      </c>
    </row>
    <row r="3964" spans="1:11" x14ac:dyDescent="0.25">
      <c r="A3964" t="s">
        <v>13519</v>
      </c>
      <c r="B3964" s="1" t="str">
        <f>HYPERLINK("https://www.catalog.slsa.sa.gov.au/record=b2110116")</f>
        <v>https://www.catalog.slsa.sa.gov.au/record=b2110116</v>
      </c>
      <c r="C3964" s="1" t="str">
        <f>HYPERLINK("https://www.catalog.slsa.sa.gov.au/xrecord=b2110116")</f>
        <v>https://www.catalog.slsa.sa.gov.au/xrecord=b2110116</v>
      </c>
      <c r="D3964" t="s">
        <v>66</v>
      </c>
      <c r="E3964" t="s">
        <v>13520</v>
      </c>
      <c r="F3964">
        <v>1970</v>
      </c>
      <c r="G3964" t="s">
        <v>121</v>
      </c>
      <c r="H3964" t="s">
        <v>13521</v>
      </c>
      <c r="I3964" t="s">
        <v>10089</v>
      </c>
      <c r="J3964" t="s">
        <v>71</v>
      </c>
      <c r="K3964" s="2" t="str">
        <f>HYPERLINK("http://collections.slsa.sa.gov.au/arthur/01000/BRG347_920.htm")</f>
        <v>http://collections.slsa.sa.gov.au/arthur/01000/BRG347_920.htm</v>
      </c>
    </row>
    <row r="3965" spans="1:11" x14ac:dyDescent="0.25">
      <c r="A3965" t="s">
        <v>13522</v>
      </c>
      <c r="B3965" s="1" t="str">
        <f>HYPERLINK("https://www.catalog.slsa.sa.gov.au/record=b2118242")</f>
        <v>https://www.catalog.slsa.sa.gov.au/record=b2118242</v>
      </c>
      <c r="C3965" s="1" t="str">
        <f>HYPERLINK("https://www.catalog.slsa.sa.gov.au/xrecord=b2118242")</f>
        <v>https://www.catalog.slsa.sa.gov.au/xrecord=b2118242</v>
      </c>
      <c r="D3965" t="s">
        <v>66</v>
      </c>
      <c r="E3965" t="s">
        <v>13520</v>
      </c>
      <c r="F3965">
        <v>1970</v>
      </c>
      <c r="G3965" t="s">
        <v>11009</v>
      </c>
      <c r="H3965" t="s">
        <v>13521</v>
      </c>
      <c r="I3965" t="s">
        <v>10089</v>
      </c>
      <c r="J3965" t="s">
        <v>71</v>
      </c>
      <c r="K3965" s="2" t="str">
        <f>HYPERLINK("http://collections.slsa.sa.gov.au/arthur/01000/BRG347_921.htm")</f>
        <v>http://collections.slsa.sa.gov.au/arthur/01000/BRG347_921.htm</v>
      </c>
    </row>
    <row r="3966" spans="1:11" x14ac:dyDescent="0.25">
      <c r="A3966" t="s">
        <v>13523</v>
      </c>
      <c r="B3966" s="1" t="str">
        <f>HYPERLINK("https://www.catalog.slsa.sa.gov.au/record=b2110118")</f>
        <v>https://www.catalog.slsa.sa.gov.au/record=b2110118</v>
      </c>
      <c r="C3966" s="1" t="str">
        <f>HYPERLINK("https://www.catalog.slsa.sa.gov.au/xrecord=b2110118")</f>
        <v>https://www.catalog.slsa.sa.gov.au/xrecord=b2110118</v>
      </c>
      <c r="D3966" t="s">
        <v>66</v>
      </c>
      <c r="E3966" t="s">
        <v>13524</v>
      </c>
      <c r="F3966">
        <v>1970</v>
      </c>
      <c r="G3966" t="s">
        <v>121</v>
      </c>
      <c r="H3966" t="s">
        <v>13525</v>
      </c>
      <c r="I3966" t="s">
        <v>7652</v>
      </c>
      <c r="J3966" t="s">
        <v>71</v>
      </c>
      <c r="K3966" s="2" t="str">
        <f>HYPERLINK("http://collections.slsa.sa.gov.au/arthur/01000/BRG347_923.htm")</f>
        <v>http://collections.slsa.sa.gov.au/arthur/01000/BRG347_923.htm</v>
      </c>
    </row>
    <row r="3967" spans="1:11" x14ac:dyDescent="0.25">
      <c r="A3967" t="s">
        <v>13526</v>
      </c>
      <c r="B3967" s="1" t="str">
        <f>HYPERLINK("https://www.catalog.slsa.sa.gov.au/record=b2110471")</f>
        <v>https://www.catalog.slsa.sa.gov.au/record=b2110471</v>
      </c>
      <c r="C3967" s="1" t="str">
        <f>HYPERLINK("https://www.catalog.slsa.sa.gov.au/xrecord=b2110471")</f>
        <v>https://www.catalog.slsa.sa.gov.au/xrecord=b2110471</v>
      </c>
      <c r="D3967" t="s">
        <v>66</v>
      </c>
      <c r="E3967" t="s">
        <v>13527</v>
      </c>
      <c r="F3967">
        <v>1970</v>
      </c>
      <c r="G3967" t="s">
        <v>121</v>
      </c>
      <c r="H3967" t="s">
        <v>13528</v>
      </c>
      <c r="I3967" t="s">
        <v>13529</v>
      </c>
      <c r="J3967" t="s">
        <v>71</v>
      </c>
      <c r="K3967" s="2" t="str">
        <f>HYPERLINK("http://collections.slsa.sa.gov.au/arthur/01250/BRG347_1250.htm")</f>
        <v>http://collections.slsa.sa.gov.au/arthur/01250/BRG347_1250.htm</v>
      </c>
    </row>
    <row r="3968" spans="1:11" x14ac:dyDescent="0.25">
      <c r="A3968" t="s">
        <v>13530</v>
      </c>
      <c r="B3968" s="1" t="str">
        <f>HYPERLINK("https://www.catalog.slsa.sa.gov.au/record=b2110472")</f>
        <v>https://www.catalog.slsa.sa.gov.au/record=b2110472</v>
      </c>
      <c r="C3968" s="1" t="str">
        <f>HYPERLINK("https://www.catalog.slsa.sa.gov.au/xrecord=b2110472")</f>
        <v>https://www.catalog.slsa.sa.gov.au/xrecord=b2110472</v>
      </c>
      <c r="D3968" t="s">
        <v>66</v>
      </c>
      <c r="E3968" t="s">
        <v>13527</v>
      </c>
      <c r="F3968">
        <v>1970</v>
      </c>
      <c r="G3968" t="s">
        <v>121</v>
      </c>
      <c r="H3968" t="s">
        <v>13531</v>
      </c>
      <c r="I3968" t="s">
        <v>13532</v>
      </c>
      <c r="J3968" t="s">
        <v>71</v>
      </c>
      <c r="K3968" s="2" t="str">
        <f>HYPERLINK("http://collections.slsa.sa.gov.au/arthur/01500/BRG347_1251.htm")</f>
        <v>http://collections.slsa.sa.gov.au/arthur/01500/BRG347_1251.htm</v>
      </c>
    </row>
    <row r="3969" spans="1:11" x14ac:dyDescent="0.25">
      <c r="A3969" t="s">
        <v>13533</v>
      </c>
      <c r="B3969" s="1" t="str">
        <f>HYPERLINK("https://www.catalog.slsa.sa.gov.au/record=b2110473")</f>
        <v>https://www.catalog.slsa.sa.gov.au/record=b2110473</v>
      </c>
      <c r="C3969" s="1" t="str">
        <f>HYPERLINK("https://www.catalog.slsa.sa.gov.au/xrecord=b2110473")</f>
        <v>https://www.catalog.slsa.sa.gov.au/xrecord=b2110473</v>
      </c>
      <c r="D3969" t="s">
        <v>66</v>
      </c>
      <c r="E3969" t="s">
        <v>13534</v>
      </c>
      <c r="F3969">
        <v>1970</v>
      </c>
      <c r="G3969" t="s">
        <v>121</v>
      </c>
      <c r="H3969" t="s">
        <v>13535</v>
      </c>
      <c r="I3969" t="s">
        <v>13536</v>
      </c>
      <c r="J3969" t="s">
        <v>71</v>
      </c>
      <c r="K3969" s="2" t="str">
        <f>HYPERLINK("http://collections.slsa.sa.gov.au/arthur/01500/BRG347_1252.htm")</f>
        <v>http://collections.slsa.sa.gov.au/arthur/01500/BRG347_1252.htm</v>
      </c>
    </row>
    <row r="3970" spans="1:11" x14ac:dyDescent="0.25">
      <c r="A3970" t="s">
        <v>13537</v>
      </c>
      <c r="B3970" s="1" t="str">
        <f>HYPERLINK("https://www.catalog.slsa.sa.gov.au/record=b2110587")</f>
        <v>https://www.catalog.slsa.sa.gov.au/record=b2110587</v>
      </c>
      <c r="C3970" s="1" t="str">
        <f>HYPERLINK("https://www.catalog.slsa.sa.gov.au/xrecord=b2110587")</f>
        <v>https://www.catalog.slsa.sa.gov.au/xrecord=b2110587</v>
      </c>
      <c r="D3970" t="s">
        <v>66</v>
      </c>
      <c r="E3970" t="s">
        <v>13538</v>
      </c>
      <c r="F3970">
        <v>1970</v>
      </c>
      <c r="G3970" t="s">
        <v>121</v>
      </c>
      <c r="H3970" t="s">
        <v>13539</v>
      </c>
      <c r="I3970" t="s">
        <v>13358</v>
      </c>
      <c r="J3970" t="s">
        <v>71</v>
      </c>
      <c r="K3970" s="2" t="str">
        <f>HYPERLINK("http://collections.slsa.sa.gov.au/arthur/01500/BRG347_1304.htm")</f>
        <v>http://collections.slsa.sa.gov.au/arthur/01500/BRG347_1304.htm</v>
      </c>
    </row>
    <row r="3971" spans="1:11" x14ac:dyDescent="0.25">
      <c r="A3971" t="s">
        <v>13540</v>
      </c>
      <c r="B3971" s="1" t="str">
        <f>HYPERLINK("https://www.catalog.slsa.sa.gov.au/record=b2111035")</f>
        <v>https://www.catalog.slsa.sa.gov.au/record=b2111035</v>
      </c>
      <c r="C3971" s="1" t="str">
        <f>HYPERLINK("https://www.catalog.slsa.sa.gov.au/xrecord=b2111035")</f>
        <v>https://www.catalog.slsa.sa.gov.au/xrecord=b2111035</v>
      </c>
      <c r="D3971" t="s">
        <v>66</v>
      </c>
      <c r="E3971" t="s">
        <v>13541</v>
      </c>
      <c r="F3971">
        <v>1970</v>
      </c>
      <c r="G3971" t="s">
        <v>121</v>
      </c>
      <c r="H3971" t="s">
        <v>13542</v>
      </c>
      <c r="I3971" t="s">
        <v>4581</v>
      </c>
      <c r="J3971" t="s">
        <v>71</v>
      </c>
      <c r="K3971" s="2" t="str">
        <f>HYPERLINK("http://collections.slsa.sa.gov.au/arthur/01750/BRG347_1717.htm")</f>
        <v>http://collections.slsa.sa.gov.au/arthur/01750/BRG347_1717.htm</v>
      </c>
    </row>
    <row r="3972" spans="1:11" x14ac:dyDescent="0.25">
      <c r="A3972" t="s">
        <v>13543</v>
      </c>
      <c r="B3972" s="1" t="str">
        <f>HYPERLINK("https://www.catalog.slsa.sa.gov.au/record=b2111135")</f>
        <v>https://www.catalog.slsa.sa.gov.au/record=b2111135</v>
      </c>
      <c r="C3972" s="1" t="str">
        <f>HYPERLINK("https://www.catalog.slsa.sa.gov.au/xrecord=b2111135")</f>
        <v>https://www.catalog.slsa.sa.gov.au/xrecord=b2111135</v>
      </c>
      <c r="D3972" t="s">
        <v>66</v>
      </c>
      <c r="E3972" t="s">
        <v>13544</v>
      </c>
      <c r="F3972">
        <v>1970</v>
      </c>
      <c r="G3972" t="s">
        <v>121</v>
      </c>
      <c r="H3972" t="s">
        <v>13545</v>
      </c>
      <c r="I3972" t="s">
        <v>13546</v>
      </c>
      <c r="J3972" t="s">
        <v>71</v>
      </c>
      <c r="K3972" s="2" t="str">
        <f>HYPERLINK("http://collections.slsa.sa.gov.au/arthur/02000/BRG347_1821.htm")</f>
        <v>http://collections.slsa.sa.gov.au/arthur/02000/BRG347_1821.htm</v>
      </c>
    </row>
    <row r="3973" spans="1:11" x14ac:dyDescent="0.25">
      <c r="A3973" t="s">
        <v>13547</v>
      </c>
      <c r="B3973" s="1" t="str">
        <f>HYPERLINK("https://www.catalog.slsa.sa.gov.au/record=b2111136")</f>
        <v>https://www.catalog.slsa.sa.gov.au/record=b2111136</v>
      </c>
      <c r="C3973" s="1" t="str">
        <f>HYPERLINK("https://www.catalog.slsa.sa.gov.au/xrecord=b2111136")</f>
        <v>https://www.catalog.slsa.sa.gov.au/xrecord=b2111136</v>
      </c>
      <c r="D3973" t="s">
        <v>66</v>
      </c>
      <c r="E3973" t="s">
        <v>13548</v>
      </c>
      <c r="F3973">
        <v>1970</v>
      </c>
      <c r="G3973" t="s">
        <v>121</v>
      </c>
      <c r="H3973" t="s">
        <v>13549</v>
      </c>
      <c r="I3973" t="s">
        <v>1619</v>
      </c>
      <c r="J3973" t="s">
        <v>71</v>
      </c>
      <c r="K3973" s="2" t="str">
        <f>HYPERLINK("http://collections.slsa.sa.gov.au/arthur/02000/BRG347_1822.htm")</f>
        <v>http://collections.slsa.sa.gov.au/arthur/02000/BRG347_1822.htm</v>
      </c>
    </row>
    <row r="3974" spans="1:11" x14ac:dyDescent="0.25">
      <c r="A3974" t="s">
        <v>13550</v>
      </c>
      <c r="B3974" s="1" t="str">
        <f>HYPERLINK("https://www.catalog.slsa.sa.gov.au/record=b2111144")</f>
        <v>https://www.catalog.slsa.sa.gov.au/record=b2111144</v>
      </c>
      <c r="C3974" s="1" t="str">
        <f>HYPERLINK("https://www.catalog.slsa.sa.gov.au/xrecord=b2111144")</f>
        <v>https://www.catalog.slsa.sa.gov.au/xrecord=b2111144</v>
      </c>
      <c r="D3974" t="s">
        <v>66</v>
      </c>
      <c r="E3974" t="s">
        <v>5607</v>
      </c>
      <c r="F3974">
        <v>1970</v>
      </c>
      <c r="G3974" t="s">
        <v>121</v>
      </c>
      <c r="H3974" t="s">
        <v>13551</v>
      </c>
      <c r="I3974" t="s">
        <v>13552</v>
      </c>
      <c r="J3974" t="s">
        <v>71</v>
      </c>
      <c r="K3974" s="2" t="str">
        <f>HYPERLINK("http://collections.slsa.sa.gov.au/arthur/02000/BRG347_1830.htm")</f>
        <v>http://collections.slsa.sa.gov.au/arthur/02000/BRG347_1830.htm</v>
      </c>
    </row>
    <row r="3975" spans="1:11" x14ac:dyDescent="0.25">
      <c r="A3975" t="s">
        <v>13553</v>
      </c>
      <c r="B3975" s="1" t="str">
        <f>HYPERLINK("https://www.catalog.slsa.sa.gov.au/record=b2111145")</f>
        <v>https://www.catalog.slsa.sa.gov.au/record=b2111145</v>
      </c>
      <c r="C3975" s="1" t="str">
        <f>HYPERLINK("https://www.catalog.slsa.sa.gov.au/xrecord=b2111145")</f>
        <v>https://www.catalog.slsa.sa.gov.au/xrecord=b2111145</v>
      </c>
      <c r="D3975" t="s">
        <v>66</v>
      </c>
      <c r="E3975" t="s">
        <v>13554</v>
      </c>
      <c r="F3975">
        <v>1970</v>
      </c>
      <c r="G3975" t="s">
        <v>121</v>
      </c>
      <c r="H3975" t="s">
        <v>13555</v>
      </c>
      <c r="I3975" t="s">
        <v>11834</v>
      </c>
      <c r="J3975" t="s">
        <v>71</v>
      </c>
      <c r="K3975" s="2" t="str">
        <f>HYPERLINK("http://collections.slsa.sa.gov.au/arthur/02000/BRG347_1831.htm")</f>
        <v>http://collections.slsa.sa.gov.au/arthur/02000/BRG347_1831.htm</v>
      </c>
    </row>
    <row r="3976" spans="1:11" x14ac:dyDescent="0.25">
      <c r="A3976" t="s">
        <v>13556</v>
      </c>
      <c r="B3976" s="1" t="str">
        <f>HYPERLINK("https://www.catalog.slsa.sa.gov.au/record=b2111147")</f>
        <v>https://www.catalog.slsa.sa.gov.au/record=b2111147</v>
      </c>
      <c r="C3976" s="1" t="str">
        <f>HYPERLINK("https://www.catalog.slsa.sa.gov.au/xrecord=b2111147")</f>
        <v>https://www.catalog.slsa.sa.gov.au/xrecord=b2111147</v>
      </c>
      <c r="D3976" t="s">
        <v>66</v>
      </c>
      <c r="E3976" t="s">
        <v>13557</v>
      </c>
      <c r="F3976">
        <v>1970</v>
      </c>
      <c r="G3976" t="s">
        <v>121</v>
      </c>
      <c r="H3976" t="s">
        <v>13558</v>
      </c>
      <c r="I3976" t="s">
        <v>13559</v>
      </c>
      <c r="J3976" t="s">
        <v>71</v>
      </c>
      <c r="K3976" s="2" t="str">
        <f>HYPERLINK("http://collections.slsa.sa.gov.au/arthur/02000/BRG347_1833.htm")</f>
        <v>http://collections.slsa.sa.gov.au/arthur/02000/BRG347_1833.htm</v>
      </c>
    </row>
    <row r="3977" spans="1:11" x14ac:dyDescent="0.25">
      <c r="A3977" t="s">
        <v>13560</v>
      </c>
      <c r="B3977" s="1" t="str">
        <f>HYPERLINK("https://www.catalog.slsa.sa.gov.au/record=b2118124")</f>
        <v>https://www.catalog.slsa.sa.gov.au/record=b2118124</v>
      </c>
      <c r="C3977" s="1" t="str">
        <f>HYPERLINK("https://www.catalog.slsa.sa.gov.au/xrecord=b2118124")</f>
        <v>https://www.catalog.slsa.sa.gov.au/xrecord=b2118124</v>
      </c>
      <c r="D3977" t="s">
        <v>66</v>
      </c>
      <c r="E3977" t="s">
        <v>6404</v>
      </c>
      <c r="F3977">
        <v>1970</v>
      </c>
      <c r="G3977" t="s">
        <v>121</v>
      </c>
      <c r="H3977" t="s">
        <v>13561</v>
      </c>
      <c r="I3977" t="s">
        <v>13562</v>
      </c>
      <c r="J3977" t="s">
        <v>71</v>
      </c>
      <c r="K3977" s="2" t="str">
        <f>HYPERLINK("http://collections.slsa.sa.gov.au/arthur/02500/BRG347_2482.htm")</f>
        <v>http://collections.slsa.sa.gov.au/arthur/02500/BRG347_2482.htm</v>
      </c>
    </row>
    <row r="3978" spans="1:11" x14ac:dyDescent="0.25">
      <c r="A3978" t="s">
        <v>13563</v>
      </c>
      <c r="B3978" s="1" t="str">
        <f>HYPERLINK("https://www.catalog.slsa.sa.gov.au/record=b2112075")</f>
        <v>https://www.catalog.slsa.sa.gov.au/record=b2112075</v>
      </c>
      <c r="C3978" s="1" t="str">
        <f>HYPERLINK("https://www.catalog.slsa.sa.gov.au/xrecord=b2112075")</f>
        <v>https://www.catalog.slsa.sa.gov.au/xrecord=b2112075</v>
      </c>
      <c r="D3978" t="s">
        <v>66</v>
      </c>
      <c r="E3978" t="s">
        <v>13564</v>
      </c>
      <c r="F3978">
        <v>1970</v>
      </c>
      <c r="G3978" t="s">
        <v>121</v>
      </c>
      <c r="H3978" t="s">
        <v>13565</v>
      </c>
      <c r="I3978" t="s">
        <v>13566</v>
      </c>
      <c r="J3978" t="s">
        <v>71</v>
      </c>
      <c r="K3978" s="2" t="str">
        <f>HYPERLINK("http://collections.slsa.sa.gov.au/arthur/02750/BRG347_2505.htm")</f>
        <v>http://collections.slsa.sa.gov.au/arthur/02750/BRG347_2505.htm</v>
      </c>
    </row>
    <row r="3979" spans="1:11" x14ac:dyDescent="0.25">
      <c r="A3979" t="s">
        <v>13567</v>
      </c>
      <c r="B3979" s="1" t="str">
        <f>HYPERLINK("https://www.catalog.slsa.sa.gov.au/record=b2112078")</f>
        <v>https://www.catalog.slsa.sa.gov.au/record=b2112078</v>
      </c>
      <c r="C3979" s="1" t="str">
        <f>HYPERLINK("https://www.catalog.slsa.sa.gov.au/xrecord=b2112078")</f>
        <v>https://www.catalog.slsa.sa.gov.au/xrecord=b2112078</v>
      </c>
      <c r="D3979" t="s">
        <v>66</v>
      </c>
      <c r="E3979" t="s">
        <v>11269</v>
      </c>
      <c r="F3979">
        <v>1970</v>
      </c>
      <c r="G3979" t="s">
        <v>121</v>
      </c>
      <c r="H3979" t="s">
        <v>13568</v>
      </c>
      <c r="I3979" t="s">
        <v>8145</v>
      </c>
      <c r="J3979" t="s">
        <v>71</v>
      </c>
      <c r="K3979" s="2" t="str">
        <f>HYPERLINK("http://collections.slsa.sa.gov.au/arthur/02750/BRG347_2508.htm")</f>
        <v>http://collections.slsa.sa.gov.au/arthur/02750/BRG347_2508.htm</v>
      </c>
    </row>
    <row r="3980" spans="1:11" x14ac:dyDescent="0.25">
      <c r="A3980" t="s">
        <v>13569</v>
      </c>
      <c r="B3980" s="1" t="str">
        <f>HYPERLINK("https://www.catalog.slsa.sa.gov.au/record=b2112081")</f>
        <v>https://www.catalog.slsa.sa.gov.au/record=b2112081</v>
      </c>
      <c r="C3980" s="1" t="str">
        <f>HYPERLINK("https://www.catalog.slsa.sa.gov.au/xrecord=b2112081")</f>
        <v>https://www.catalog.slsa.sa.gov.au/xrecord=b2112081</v>
      </c>
      <c r="D3980" t="s">
        <v>66</v>
      </c>
      <c r="E3980" t="s">
        <v>13570</v>
      </c>
      <c r="F3980">
        <v>1970</v>
      </c>
      <c r="G3980" t="s">
        <v>121</v>
      </c>
      <c r="H3980" t="s">
        <v>13571</v>
      </c>
      <c r="I3980" t="s">
        <v>13572</v>
      </c>
      <c r="J3980" t="s">
        <v>71</v>
      </c>
      <c r="K3980" s="2" t="str">
        <f>HYPERLINK("http://collections.slsa.sa.gov.au/arthur/02750/BRG347_2511.htm")</f>
        <v>http://collections.slsa.sa.gov.au/arthur/02750/BRG347_2511.htm</v>
      </c>
    </row>
    <row r="3981" spans="1:11" x14ac:dyDescent="0.25">
      <c r="A3981" t="s">
        <v>13573</v>
      </c>
      <c r="B3981" s="1" t="str">
        <f>HYPERLINK("https://www.catalog.slsa.sa.gov.au/record=b3139247")</f>
        <v>https://www.catalog.slsa.sa.gov.au/record=b3139247</v>
      </c>
      <c r="C3981" s="1" t="str">
        <f>HYPERLINK("https://www.catalog.slsa.sa.gov.au/xrecord=b3139247")</f>
        <v>https://www.catalog.slsa.sa.gov.au/xrecord=b3139247</v>
      </c>
      <c r="D3981" t="s">
        <v>12917</v>
      </c>
      <c r="E3981" t="s">
        <v>13328</v>
      </c>
      <c r="F3981" t="s">
        <v>13574</v>
      </c>
      <c r="G3981" t="s">
        <v>13329</v>
      </c>
      <c r="H3981" t="s">
        <v>13575</v>
      </c>
      <c r="I3981" t="s">
        <v>12921</v>
      </c>
      <c r="J3981" t="s">
        <v>12922</v>
      </c>
      <c r="K3981" s="2" t="str">
        <f>HYPERLINK("http://collections.slsa.sa.gov.au/resource/PRG+1720/1/7")</f>
        <v>http://collections.slsa.sa.gov.au/resource/PRG+1720/1/7</v>
      </c>
    </row>
    <row r="3982" spans="1:11" x14ac:dyDescent="0.25">
      <c r="A3982" t="s">
        <v>13576</v>
      </c>
      <c r="B3982" s="1" t="str">
        <f>HYPERLINK("https://www.catalog.slsa.sa.gov.au/record=b2953173")</f>
        <v>https://www.catalog.slsa.sa.gov.au/record=b2953173</v>
      </c>
      <c r="C3982" s="1" t="str">
        <f>HYPERLINK("https://www.catalog.slsa.sa.gov.au/xrecord=b2953173")</f>
        <v>https://www.catalog.slsa.sa.gov.au/xrecord=b2953173</v>
      </c>
      <c r="D3982" t="s">
        <v>13577</v>
      </c>
      <c r="E3982" t="s">
        <v>13578</v>
      </c>
      <c r="F3982" t="s">
        <v>13574</v>
      </c>
      <c r="G3982" t="s">
        <v>13579</v>
      </c>
      <c r="H3982" t="s">
        <v>13580</v>
      </c>
      <c r="I3982" t="s">
        <v>13581</v>
      </c>
      <c r="J3982" t="s">
        <v>13582</v>
      </c>
      <c r="K3982" s="2" t="str">
        <f>HYPERLINK("http://collections.slsa.sa.gov.au/prgr/1605/9/PRG1605_9_100.htm")</f>
        <v>http://collections.slsa.sa.gov.au/prgr/1605/9/PRG1605_9_100.htm</v>
      </c>
    </row>
    <row r="3983" spans="1:11" x14ac:dyDescent="0.25">
      <c r="A3983" t="s">
        <v>13583</v>
      </c>
      <c r="B3983" s="1" t="str">
        <f>HYPERLINK("https://www.catalog.slsa.sa.gov.au/record=b2953175")</f>
        <v>https://www.catalog.slsa.sa.gov.au/record=b2953175</v>
      </c>
      <c r="C3983" s="1" t="str">
        <f>HYPERLINK("https://www.catalog.slsa.sa.gov.au/xrecord=b2953175")</f>
        <v>https://www.catalog.slsa.sa.gov.au/xrecord=b2953175</v>
      </c>
      <c r="D3983" t="s">
        <v>13577</v>
      </c>
      <c r="E3983" t="s">
        <v>13584</v>
      </c>
      <c r="F3983" t="s">
        <v>13574</v>
      </c>
      <c r="G3983" t="s">
        <v>13579</v>
      </c>
      <c r="H3983" t="s">
        <v>13585</v>
      </c>
      <c r="I3983" t="s">
        <v>13586</v>
      </c>
      <c r="J3983" t="s">
        <v>13582</v>
      </c>
      <c r="K3983" s="2" t="str">
        <f>HYPERLINK("http://collections.slsa.sa.gov.au/prgr/1605/9/PRG1605_9_101.htm")</f>
        <v>http://collections.slsa.sa.gov.au/prgr/1605/9/PRG1605_9_101.htm</v>
      </c>
    </row>
    <row r="3984" spans="1:11" x14ac:dyDescent="0.25">
      <c r="A3984" t="s">
        <v>13587</v>
      </c>
      <c r="B3984" s="1" t="str">
        <f>HYPERLINK("https://www.catalog.slsa.sa.gov.au/record=b2953176")</f>
        <v>https://www.catalog.slsa.sa.gov.au/record=b2953176</v>
      </c>
      <c r="C3984" s="1" t="str">
        <f>HYPERLINK("https://www.catalog.slsa.sa.gov.au/xrecord=b2953176")</f>
        <v>https://www.catalog.slsa.sa.gov.au/xrecord=b2953176</v>
      </c>
      <c r="D3984" t="s">
        <v>13577</v>
      </c>
      <c r="E3984" t="s">
        <v>13588</v>
      </c>
      <c r="F3984" t="s">
        <v>13574</v>
      </c>
      <c r="G3984" t="s">
        <v>13579</v>
      </c>
      <c r="H3984" t="s">
        <v>13589</v>
      </c>
      <c r="I3984" t="s">
        <v>2780</v>
      </c>
      <c r="J3984" t="s">
        <v>13582</v>
      </c>
      <c r="K3984" s="2" t="str">
        <f>HYPERLINK("http://collections.slsa.sa.gov.au/prgr/1605/9/PRG1605_9_102.htm")</f>
        <v>http://collections.slsa.sa.gov.au/prgr/1605/9/PRG1605_9_102.htm</v>
      </c>
    </row>
    <row r="3985" spans="1:11" x14ac:dyDescent="0.25">
      <c r="A3985" t="s">
        <v>13590</v>
      </c>
      <c r="B3985" s="1" t="str">
        <f>HYPERLINK("https://www.catalog.slsa.sa.gov.au/record=b2953177")</f>
        <v>https://www.catalog.slsa.sa.gov.au/record=b2953177</v>
      </c>
      <c r="C3985" s="1" t="str">
        <f>HYPERLINK("https://www.catalog.slsa.sa.gov.au/xrecord=b2953177")</f>
        <v>https://www.catalog.slsa.sa.gov.au/xrecord=b2953177</v>
      </c>
      <c r="D3985" t="s">
        <v>13577</v>
      </c>
      <c r="E3985" t="s">
        <v>13591</v>
      </c>
      <c r="F3985" t="s">
        <v>13574</v>
      </c>
      <c r="G3985" t="s">
        <v>13579</v>
      </c>
      <c r="H3985" t="s">
        <v>13592</v>
      </c>
      <c r="I3985" t="s">
        <v>13586</v>
      </c>
      <c r="J3985" t="s">
        <v>13582</v>
      </c>
      <c r="K3985" s="2" t="str">
        <f>HYPERLINK("http://collections.slsa.sa.gov.au/prgr/1605/9/PRG1605_9_103.htm")</f>
        <v>http://collections.slsa.sa.gov.au/prgr/1605/9/PRG1605_9_103.htm</v>
      </c>
    </row>
    <row r="3986" spans="1:11" x14ac:dyDescent="0.25">
      <c r="A3986" t="s">
        <v>13593</v>
      </c>
      <c r="B3986" s="1" t="str">
        <f>HYPERLINK("https://www.catalog.slsa.sa.gov.au/record=b2953178")</f>
        <v>https://www.catalog.slsa.sa.gov.au/record=b2953178</v>
      </c>
      <c r="C3986" s="1" t="str">
        <f>HYPERLINK("https://www.catalog.slsa.sa.gov.au/xrecord=b2953178")</f>
        <v>https://www.catalog.slsa.sa.gov.au/xrecord=b2953178</v>
      </c>
      <c r="D3986" t="s">
        <v>13577</v>
      </c>
      <c r="E3986" t="s">
        <v>13578</v>
      </c>
      <c r="F3986" t="s">
        <v>13574</v>
      </c>
      <c r="G3986" t="s">
        <v>13579</v>
      </c>
      <c r="H3986" t="s">
        <v>13594</v>
      </c>
      <c r="I3986" t="s">
        <v>13581</v>
      </c>
      <c r="J3986" t="s">
        <v>13582</v>
      </c>
      <c r="K3986" s="2" t="str">
        <f>HYPERLINK("http://collections.slsa.sa.gov.au/prgr/1605/9/PRG1605_9_104.htm")</f>
        <v>http://collections.slsa.sa.gov.au/prgr/1605/9/PRG1605_9_104.htm</v>
      </c>
    </row>
    <row r="3987" spans="1:11" x14ac:dyDescent="0.25">
      <c r="A3987" t="s">
        <v>13595</v>
      </c>
      <c r="B3987" s="1" t="str">
        <f>HYPERLINK("https://www.catalog.slsa.sa.gov.au/record=b2953179")</f>
        <v>https://www.catalog.slsa.sa.gov.au/record=b2953179</v>
      </c>
      <c r="C3987" s="1" t="str">
        <f>HYPERLINK("https://www.catalog.slsa.sa.gov.au/xrecord=b2953179")</f>
        <v>https://www.catalog.slsa.sa.gov.au/xrecord=b2953179</v>
      </c>
      <c r="D3987" t="s">
        <v>13577</v>
      </c>
      <c r="E3987" t="s">
        <v>13596</v>
      </c>
      <c r="F3987" t="s">
        <v>13574</v>
      </c>
      <c r="G3987" t="s">
        <v>13579</v>
      </c>
      <c r="H3987" t="s">
        <v>13597</v>
      </c>
      <c r="I3987" t="s">
        <v>13586</v>
      </c>
      <c r="J3987" t="s">
        <v>13582</v>
      </c>
      <c r="K3987" s="2" t="str">
        <f>HYPERLINK("http://collections.slsa.sa.gov.au/prgr/1605/9/PRG1605_9_105.htm")</f>
        <v>http://collections.slsa.sa.gov.au/prgr/1605/9/PRG1605_9_105.htm</v>
      </c>
    </row>
    <row r="3988" spans="1:11" x14ac:dyDescent="0.25">
      <c r="A3988" t="s">
        <v>13598</v>
      </c>
      <c r="B3988" s="1" t="str">
        <f>HYPERLINK("https://www.catalog.slsa.sa.gov.au/record=b2953180")</f>
        <v>https://www.catalog.slsa.sa.gov.au/record=b2953180</v>
      </c>
      <c r="C3988" s="1" t="str">
        <f>HYPERLINK("https://www.catalog.slsa.sa.gov.au/xrecord=b2953180")</f>
        <v>https://www.catalog.slsa.sa.gov.au/xrecord=b2953180</v>
      </c>
      <c r="D3988" t="s">
        <v>13577</v>
      </c>
      <c r="E3988" t="s">
        <v>13599</v>
      </c>
      <c r="F3988" t="s">
        <v>13574</v>
      </c>
      <c r="G3988" t="s">
        <v>13579</v>
      </c>
      <c r="H3988" t="s">
        <v>13600</v>
      </c>
      <c r="I3988" t="s">
        <v>13601</v>
      </c>
      <c r="J3988" t="s">
        <v>13582</v>
      </c>
      <c r="K3988" s="2" t="str">
        <f>HYPERLINK("http://collections.slsa.sa.gov.au/prgr/1605/9/PRG1605_9_106.htm")</f>
        <v>http://collections.slsa.sa.gov.au/prgr/1605/9/PRG1605_9_106.htm</v>
      </c>
    </row>
    <row r="3989" spans="1:11" x14ac:dyDescent="0.25">
      <c r="A3989" t="s">
        <v>13602</v>
      </c>
      <c r="B3989" s="1" t="str">
        <f>HYPERLINK("https://www.catalog.slsa.sa.gov.au/record=b2953181")</f>
        <v>https://www.catalog.slsa.sa.gov.au/record=b2953181</v>
      </c>
      <c r="C3989" s="1" t="str">
        <f>HYPERLINK("https://www.catalog.slsa.sa.gov.au/xrecord=b2953181")</f>
        <v>https://www.catalog.slsa.sa.gov.au/xrecord=b2953181</v>
      </c>
      <c r="D3989" t="s">
        <v>13577</v>
      </c>
      <c r="E3989" t="s">
        <v>13603</v>
      </c>
      <c r="F3989" t="s">
        <v>13574</v>
      </c>
      <c r="G3989" t="s">
        <v>13579</v>
      </c>
      <c r="H3989" t="s">
        <v>13604</v>
      </c>
      <c r="I3989" t="s">
        <v>13605</v>
      </c>
      <c r="J3989" t="s">
        <v>13582</v>
      </c>
      <c r="K3989" s="2" t="str">
        <f>HYPERLINK("http://collections.slsa.sa.gov.au/prgr/1605/9/PRG1605_9_107.htm")</f>
        <v>http://collections.slsa.sa.gov.au/prgr/1605/9/PRG1605_9_107.htm</v>
      </c>
    </row>
    <row r="3990" spans="1:11" x14ac:dyDescent="0.25">
      <c r="A3990" t="s">
        <v>13606</v>
      </c>
      <c r="B3990" s="1" t="str">
        <f>HYPERLINK("https://www.catalog.slsa.sa.gov.au/record=b2953282")</f>
        <v>https://www.catalog.slsa.sa.gov.au/record=b2953282</v>
      </c>
      <c r="C3990" s="1" t="str">
        <f>HYPERLINK("https://www.catalog.slsa.sa.gov.au/xrecord=b2953282")</f>
        <v>https://www.catalog.slsa.sa.gov.au/xrecord=b2953282</v>
      </c>
      <c r="D3990" t="s">
        <v>13577</v>
      </c>
      <c r="E3990" t="s">
        <v>13578</v>
      </c>
      <c r="F3990" t="s">
        <v>13574</v>
      </c>
      <c r="G3990" t="s">
        <v>13579</v>
      </c>
      <c r="H3990" t="s">
        <v>13607</v>
      </c>
      <c r="I3990" t="s">
        <v>13581</v>
      </c>
      <c r="J3990" t="s">
        <v>13582</v>
      </c>
      <c r="K3990" s="2" t="str">
        <f>HYPERLINK("http://collections.slsa.sa.gov.au/prgr/1605/9/PRG1605_9_108.htm")</f>
        <v>http://collections.slsa.sa.gov.au/prgr/1605/9/PRG1605_9_108.htm</v>
      </c>
    </row>
    <row r="3991" spans="1:11" x14ac:dyDescent="0.25">
      <c r="A3991" t="s">
        <v>13608</v>
      </c>
      <c r="B3991" s="1" t="str">
        <f>HYPERLINK("https://www.catalog.slsa.sa.gov.au/record=b2953283")</f>
        <v>https://www.catalog.slsa.sa.gov.au/record=b2953283</v>
      </c>
      <c r="C3991" s="1" t="str">
        <f>HYPERLINK("https://www.catalog.slsa.sa.gov.au/xrecord=b2953283")</f>
        <v>https://www.catalog.slsa.sa.gov.au/xrecord=b2953283</v>
      </c>
      <c r="D3991" t="s">
        <v>13577</v>
      </c>
      <c r="E3991" t="s">
        <v>13578</v>
      </c>
      <c r="F3991" t="s">
        <v>13574</v>
      </c>
      <c r="G3991" t="s">
        <v>13579</v>
      </c>
      <c r="H3991" t="s">
        <v>13609</v>
      </c>
      <c r="I3991" t="s">
        <v>13581</v>
      </c>
      <c r="J3991" t="s">
        <v>13582</v>
      </c>
      <c r="K3991" s="2" t="str">
        <f>HYPERLINK("http://collections.slsa.sa.gov.au/prgr/1605/9/PRG1605_9_109.htm")</f>
        <v>http://collections.slsa.sa.gov.au/prgr/1605/9/PRG1605_9_109.htm</v>
      </c>
    </row>
    <row r="3992" spans="1:11" x14ac:dyDescent="0.25">
      <c r="A3992" t="s">
        <v>13610</v>
      </c>
      <c r="B3992" s="1" t="str">
        <f>HYPERLINK("https://www.catalog.slsa.sa.gov.au/record=b2953284")</f>
        <v>https://www.catalog.slsa.sa.gov.au/record=b2953284</v>
      </c>
      <c r="C3992" s="1" t="str">
        <f>HYPERLINK("https://www.catalog.slsa.sa.gov.au/xrecord=b2953284")</f>
        <v>https://www.catalog.slsa.sa.gov.au/xrecord=b2953284</v>
      </c>
      <c r="D3992" t="s">
        <v>13577</v>
      </c>
      <c r="E3992" t="s">
        <v>13611</v>
      </c>
      <c r="F3992" t="s">
        <v>13574</v>
      </c>
      <c r="G3992" t="s">
        <v>13579</v>
      </c>
      <c r="H3992" t="s">
        <v>13612</v>
      </c>
      <c r="I3992" t="s">
        <v>2780</v>
      </c>
      <c r="J3992" t="s">
        <v>13582</v>
      </c>
      <c r="K3992" s="2" t="str">
        <f>HYPERLINK("http://collections.slsa.sa.gov.au/prgr/1605/9/PRG1605_9_110.htm")</f>
        <v>http://collections.slsa.sa.gov.au/prgr/1605/9/PRG1605_9_110.htm</v>
      </c>
    </row>
    <row r="3993" spans="1:11" x14ac:dyDescent="0.25">
      <c r="A3993" t="s">
        <v>13613</v>
      </c>
      <c r="B3993" s="1" t="str">
        <f>HYPERLINK("https://www.catalog.slsa.sa.gov.au/record=b2953172")</f>
        <v>https://www.catalog.slsa.sa.gov.au/record=b2953172</v>
      </c>
      <c r="C3993" s="1" t="str">
        <f>HYPERLINK("https://www.catalog.slsa.sa.gov.au/xrecord=b2953172")</f>
        <v>https://www.catalog.slsa.sa.gov.au/xrecord=b2953172</v>
      </c>
      <c r="D3993" t="s">
        <v>13577</v>
      </c>
      <c r="E3993" t="s">
        <v>13614</v>
      </c>
      <c r="F3993" t="s">
        <v>13574</v>
      </c>
      <c r="G3993" t="s">
        <v>13579</v>
      </c>
      <c r="H3993" t="s">
        <v>13615</v>
      </c>
      <c r="I3993" t="s">
        <v>13616</v>
      </c>
      <c r="J3993" t="s">
        <v>13582</v>
      </c>
      <c r="K3993" s="2" t="str">
        <f>HYPERLINK("http://collections.slsa.sa.gov.au/prgr/1605/9/PRG1605_9_99.htm")</f>
        <v>http://collections.slsa.sa.gov.au/prgr/1605/9/PRG1605_9_99.htm</v>
      </c>
    </row>
    <row r="3994" spans="1:11" x14ac:dyDescent="0.25">
      <c r="A3994" t="s">
        <v>13617</v>
      </c>
      <c r="B3994" s="1" t="str">
        <f>HYPERLINK("https://www.catalog.slsa.sa.gov.au/record=b3139239")</f>
        <v>https://www.catalog.slsa.sa.gov.au/record=b3139239</v>
      </c>
      <c r="C3994" s="1" t="str">
        <f>HYPERLINK("https://www.catalog.slsa.sa.gov.au/xrecord=b3139239")</f>
        <v>https://www.catalog.slsa.sa.gov.au/xrecord=b3139239</v>
      </c>
      <c r="D3994" t="s">
        <v>12917</v>
      </c>
      <c r="E3994" t="s">
        <v>13328</v>
      </c>
      <c r="F3994" t="s">
        <v>13574</v>
      </c>
      <c r="G3994" t="s">
        <v>13618</v>
      </c>
      <c r="H3994" t="s">
        <v>13619</v>
      </c>
      <c r="I3994" t="s">
        <v>12921</v>
      </c>
      <c r="J3994" t="s">
        <v>12922</v>
      </c>
      <c r="K3994" s="2" t="str">
        <f>HYPERLINK("http://collections.slsa.sa.gov.au/resource/PRG+1720/1/3")</f>
        <v>http://collections.slsa.sa.gov.au/resource/PRG+1720/1/3</v>
      </c>
    </row>
    <row r="3995" spans="1:11" x14ac:dyDescent="0.25">
      <c r="A3995" t="s">
        <v>13620</v>
      </c>
      <c r="B3995" s="1" t="str">
        <f>HYPERLINK("https://www.catalog.slsa.sa.gov.au/record=b3139244")</f>
        <v>https://www.catalog.slsa.sa.gov.au/record=b3139244</v>
      </c>
      <c r="C3995" s="1" t="str">
        <f>HYPERLINK("https://www.catalog.slsa.sa.gov.au/xrecord=b3139244")</f>
        <v>https://www.catalog.slsa.sa.gov.au/xrecord=b3139244</v>
      </c>
      <c r="D3995" t="s">
        <v>12917</v>
      </c>
      <c r="E3995" t="s">
        <v>13328</v>
      </c>
      <c r="F3995" t="s">
        <v>13574</v>
      </c>
      <c r="G3995" t="s">
        <v>13454</v>
      </c>
      <c r="H3995" t="s">
        <v>13328</v>
      </c>
      <c r="I3995" t="s">
        <v>12921</v>
      </c>
      <c r="J3995" t="s">
        <v>12922</v>
      </c>
      <c r="K3995" s="2" t="str">
        <f>HYPERLINK("http://collections.slsa.sa.gov.au/resource/PRG+1720/1/4")</f>
        <v>http://collections.slsa.sa.gov.au/resource/PRG+1720/1/4</v>
      </c>
    </row>
    <row r="3996" spans="1:11" x14ac:dyDescent="0.25">
      <c r="A3996" t="s">
        <v>13621</v>
      </c>
      <c r="B3996" s="1" t="str">
        <f>HYPERLINK("https://www.catalog.slsa.sa.gov.au/record=b3139245")</f>
        <v>https://www.catalog.slsa.sa.gov.au/record=b3139245</v>
      </c>
      <c r="C3996" s="1" t="str">
        <f>HYPERLINK("https://www.catalog.slsa.sa.gov.au/xrecord=b3139245")</f>
        <v>https://www.catalog.slsa.sa.gov.au/xrecord=b3139245</v>
      </c>
      <c r="D3996" t="s">
        <v>13622</v>
      </c>
      <c r="E3996" t="s">
        <v>13328</v>
      </c>
      <c r="F3996" t="s">
        <v>13574</v>
      </c>
      <c r="G3996" t="s">
        <v>13623</v>
      </c>
      <c r="H3996" t="s">
        <v>13624</v>
      </c>
      <c r="I3996" t="s">
        <v>12921</v>
      </c>
      <c r="J3996" t="s">
        <v>12922</v>
      </c>
      <c r="K3996" s="2" t="str">
        <f>HYPERLINK("http://collections.slsa.sa.gov.au/resource/PRG+1720/1/5")</f>
        <v>http://collections.slsa.sa.gov.au/resource/PRG+1720/1/5</v>
      </c>
    </row>
    <row r="3997" spans="1:11" x14ac:dyDescent="0.25">
      <c r="A3997" t="s">
        <v>13625</v>
      </c>
      <c r="B3997" s="1" t="str">
        <f>HYPERLINK("https://www.catalog.slsa.sa.gov.au/record=b3139418")</f>
        <v>https://www.catalog.slsa.sa.gov.au/record=b3139418</v>
      </c>
      <c r="C3997" s="1" t="str">
        <f>HYPERLINK("https://www.catalog.slsa.sa.gov.au/xrecord=b3139418")</f>
        <v>https://www.catalog.slsa.sa.gov.au/xrecord=b3139418</v>
      </c>
      <c r="D3997" t="s">
        <v>12917</v>
      </c>
      <c r="E3997" t="s">
        <v>13626</v>
      </c>
      <c r="F3997" t="s">
        <v>13574</v>
      </c>
      <c r="G3997" t="s">
        <v>13426</v>
      </c>
      <c r="H3997" t="s">
        <v>13626</v>
      </c>
      <c r="I3997" t="s">
        <v>12921</v>
      </c>
      <c r="J3997" t="s">
        <v>12922</v>
      </c>
      <c r="K3997" s="2" t="str">
        <f>HYPERLINK("http://collections.slsa.sa.gov.au/resource/PRG+1720/1/51")</f>
        <v>http://collections.slsa.sa.gov.au/resource/PRG+1720/1/51</v>
      </c>
    </row>
    <row r="3998" spans="1:11" x14ac:dyDescent="0.25">
      <c r="A3998" t="s">
        <v>13627</v>
      </c>
      <c r="B3998" s="1" t="str">
        <f>HYPERLINK("https://www.catalog.slsa.sa.gov.au/record=b3139419")</f>
        <v>https://www.catalog.slsa.sa.gov.au/record=b3139419</v>
      </c>
      <c r="C3998" s="1" t="str">
        <f>HYPERLINK("https://www.catalog.slsa.sa.gov.au/xrecord=b3139419")</f>
        <v>https://www.catalog.slsa.sa.gov.au/xrecord=b3139419</v>
      </c>
      <c r="D3998" t="s">
        <v>12917</v>
      </c>
      <c r="E3998" t="s">
        <v>12918</v>
      </c>
      <c r="F3998" t="s">
        <v>13574</v>
      </c>
      <c r="G3998" t="s">
        <v>13628</v>
      </c>
      <c r="H3998" t="s">
        <v>12918</v>
      </c>
      <c r="I3998" t="s">
        <v>12921</v>
      </c>
      <c r="J3998" t="s">
        <v>12922</v>
      </c>
      <c r="K3998" s="2" t="str">
        <f>HYPERLINK("http://collections.slsa.sa.gov.au/resource/PRG+1720/1/52")</f>
        <v>http://collections.slsa.sa.gov.au/resource/PRG+1720/1/52</v>
      </c>
    </row>
    <row r="3999" spans="1:11" x14ac:dyDescent="0.25">
      <c r="A3999" t="s">
        <v>13629</v>
      </c>
      <c r="B3999" s="1" t="str">
        <f>HYPERLINK("https://www.catalog.slsa.sa.gov.au/record=b3139420")</f>
        <v>https://www.catalog.slsa.sa.gov.au/record=b3139420</v>
      </c>
      <c r="C3999" s="1" t="str">
        <f>HYPERLINK("https://www.catalog.slsa.sa.gov.au/xrecord=b3139420")</f>
        <v>https://www.catalog.slsa.sa.gov.au/xrecord=b3139420</v>
      </c>
      <c r="D3999" t="s">
        <v>12917</v>
      </c>
      <c r="E3999" t="s">
        <v>12918</v>
      </c>
      <c r="F3999" t="s">
        <v>13574</v>
      </c>
      <c r="G3999" t="s">
        <v>13630</v>
      </c>
      <c r="H3999" t="s">
        <v>12918</v>
      </c>
      <c r="I3999" t="s">
        <v>12921</v>
      </c>
      <c r="J3999" t="s">
        <v>12922</v>
      </c>
      <c r="K3999" s="2" t="str">
        <f>HYPERLINK("http://collections.slsa.sa.gov.au/resource/PRG+1720/1/53")</f>
        <v>http://collections.slsa.sa.gov.au/resource/PRG+1720/1/53</v>
      </c>
    </row>
    <row r="4000" spans="1:11" x14ac:dyDescent="0.25">
      <c r="A4000" t="s">
        <v>13631</v>
      </c>
      <c r="B4000" s="1" t="str">
        <f>HYPERLINK("https://www.catalog.slsa.sa.gov.au/record=b3139421")</f>
        <v>https://www.catalog.slsa.sa.gov.au/record=b3139421</v>
      </c>
      <c r="C4000" s="1" t="str">
        <f>HYPERLINK("https://www.catalog.slsa.sa.gov.au/xrecord=b3139421")</f>
        <v>https://www.catalog.slsa.sa.gov.au/xrecord=b3139421</v>
      </c>
      <c r="D4000" t="s">
        <v>12917</v>
      </c>
      <c r="E4000" t="s">
        <v>12918</v>
      </c>
      <c r="F4000" t="s">
        <v>13574</v>
      </c>
      <c r="G4000" t="s">
        <v>13333</v>
      </c>
      <c r="H4000" t="s">
        <v>12918</v>
      </c>
      <c r="I4000" t="s">
        <v>12921</v>
      </c>
      <c r="J4000" t="s">
        <v>12922</v>
      </c>
      <c r="K4000" s="2" t="str">
        <f>HYPERLINK("http://collections.slsa.sa.gov.au/resource/PRG+1720/1/54")</f>
        <v>http://collections.slsa.sa.gov.au/resource/PRG+1720/1/54</v>
      </c>
    </row>
    <row r="4001" spans="1:11" x14ac:dyDescent="0.25">
      <c r="A4001" t="s">
        <v>13632</v>
      </c>
      <c r="B4001" s="1" t="str">
        <f>HYPERLINK("https://www.catalog.slsa.sa.gov.au/record=b3139422")</f>
        <v>https://www.catalog.slsa.sa.gov.au/record=b3139422</v>
      </c>
      <c r="C4001" s="1" t="str">
        <f>HYPERLINK("https://www.catalog.slsa.sa.gov.au/xrecord=b3139422")</f>
        <v>https://www.catalog.slsa.sa.gov.au/xrecord=b3139422</v>
      </c>
      <c r="D4001" t="s">
        <v>12917</v>
      </c>
      <c r="E4001" t="s">
        <v>12918</v>
      </c>
      <c r="F4001" t="s">
        <v>13574</v>
      </c>
      <c r="G4001" t="s">
        <v>13628</v>
      </c>
      <c r="H4001" t="s">
        <v>12918</v>
      </c>
      <c r="I4001" t="s">
        <v>12921</v>
      </c>
      <c r="J4001" t="s">
        <v>12922</v>
      </c>
      <c r="K4001" s="2" t="str">
        <f>HYPERLINK("http://collections.slsa.sa.gov.au/resource/PRG+1720/1/55")</f>
        <v>http://collections.slsa.sa.gov.au/resource/PRG+1720/1/55</v>
      </c>
    </row>
    <row r="4002" spans="1:11" x14ac:dyDescent="0.25">
      <c r="A4002" t="s">
        <v>13633</v>
      </c>
      <c r="B4002" s="1" t="str">
        <f>HYPERLINK("https://www.catalog.slsa.sa.gov.au/record=b3139423")</f>
        <v>https://www.catalog.slsa.sa.gov.au/record=b3139423</v>
      </c>
      <c r="C4002" s="1" t="str">
        <f>HYPERLINK("https://www.catalog.slsa.sa.gov.au/xrecord=b3139423")</f>
        <v>https://www.catalog.slsa.sa.gov.au/xrecord=b3139423</v>
      </c>
      <c r="D4002" t="s">
        <v>12917</v>
      </c>
      <c r="E4002" t="s">
        <v>12918</v>
      </c>
      <c r="F4002" t="s">
        <v>13574</v>
      </c>
      <c r="G4002" t="s">
        <v>13634</v>
      </c>
      <c r="H4002" t="s">
        <v>12918</v>
      </c>
      <c r="I4002" t="s">
        <v>12921</v>
      </c>
      <c r="J4002" t="s">
        <v>12922</v>
      </c>
      <c r="K4002" s="2" t="str">
        <f>HYPERLINK("http://collections.slsa.sa.gov.au/resource/PRG+1720/1/56")</f>
        <v>http://collections.slsa.sa.gov.au/resource/PRG+1720/1/56</v>
      </c>
    </row>
    <row r="4003" spans="1:11" x14ac:dyDescent="0.25">
      <c r="A4003" t="s">
        <v>13635</v>
      </c>
      <c r="B4003" s="1" t="str">
        <f>HYPERLINK("https://www.catalog.slsa.sa.gov.au/record=b3139425")</f>
        <v>https://www.catalog.slsa.sa.gov.au/record=b3139425</v>
      </c>
      <c r="C4003" s="1" t="str">
        <f>HYPERLINK("https://www.catalog.slsa.sa.gov.au/xrecord=b3139425")</f>
        <v>https://www.catalog.slsa.sa.gov.au/xrecord=b3139425</v>
      </c>
      <c r="D4003" t="s">
        <v>12917</v>
      </c>
      <c r="E4003" t="s">
        <v>12918</v>
      </c>
      <c r="F4003" t="s">
        <v>13574</v>
      </c>
      <c r="G4003" t="s">
        <v>13636</v>
      </c>
      <c r="H4003" t="s">
        <v>12918</v>
      </c>
      <c r="I4003" t="s">
        <v>12921</v>
      </c>
      <c r="J4003" t="s">
        <v>12922</v>
      </c>
      <c r="K4003" s="2" t="str">
        <f>HYPERLINK("http://collections.slsa.sa.gov.au/resource/PRG+1720/1/57")</f>
        <v>http://collections.slsa.sa.gov.au/resource/PRG+1720/1/57</v>
      </c>
    </row>
    <row r="4004" spans="1:11" x14ac:dyDescent="0.25">
      <c r="A4004" t="s">
        <v>13637</v>
      </c>
      <c r="B4004" s="1" t="str">
        <f>HYPERLINK("https://www.catalog.slsa.sa.gov.au/record=b3139426")</f>
        <v>https://www.catalog.slsa.sa.gov.au/record=b3139426</v>
      </c>
      <c r="C4004" s="1" t="str">
        <f>HYPERLINK("https://www.catalog.slsa.sa.gov.au/xrecord=b3139426")</f>
        <v>https://www.catalog.slsa.sa.gov.au/xrecord=b3139426</v>
      </c>
      <c r="D4004" t="s">
        <v>12917</v>
      </c>
      <c r="E4004" t="s">
        <v>12918</v>
      </c>
      <c r="F4004" t="s">
        <v>13574</v>
      </c>
      <c r="G4004" t="s">
        <v>13628</v>
      </c>
      <c r="H4004" t="s">
        <v>12918</v>
      </c>
      <c r="I4004" t="s">
        <v>12921</v>
      </c>
      <c r="J4004" t="s">
        <v>12922</v>
      </c>
      <c r="K4004" s="2" t="str">
        <f>HYPERLINK("http://collections.slsa.sa.gov.au/resource/PRG+1720/1/58")</f>
        <v>http://collections.slsa.sa.gov.au/resource/PRG+1720/1/58</v>
      </c>
    </row>
    <row r="4005" spans="1:11" x14ac:dyDescent="0.25">
      <c r="A4005" t="s">
        <v>13638</v>
      </c>
      <c r="B4005" s="1" t="str">
        <f>HYPERLINK("https://www.catalog.slsa.sa.gov.au/record=b3139246")</f>
        <v>https://www.catalog.slsa.sa.gov.au/record=b3139246</v>
      </c>
      <c r="C4005" s="1" t="str">
        <f>HYPERLINK("https://www.catalog.slsa.sa.gov.au/xrecord=b3139246")</f>
        <v>https://www.catalog.slsa.sa.gov.au/xrecord=b3139246</v>
      </c>
      <c r="D4005" t="s">
        <v>12917</v>
      </c>
      <c r="E4005" t="s">
        <v>13328</v>
      </c>
      <c r="F4005" t="s">
        <v>13574</v>
      </c>
      <c r="G4005" t="s">
        <v>13464</v>
      </c>
      <c r="H4005" t="s">
        <v>13639</v>
      </c>
      <c r="I4005" t="s">
        <v>12921</v>
      </c>
      <c r="J4005" t="s">
        <v>12922</v>
      </c>
      <c r="K4005" s="2" t="str">
        <f>HYPERLINK("http://collections.slsa.sa.gov.au/resource/PRG+1720/1/6")</f>
        <v>http://collections.slsa.sa.gov.au/resource/PRG+1720/1/6</v>
      </c>
    </row>
    <row r="4006" spans="1:11" x14ac:dyDescent="0.25">
      <c r="A4006" t="s">
        <v>13640</v>
      </c>
      <c r="B4006" s="1" t="str">
        <f>HYPERLINK("https://www.catalog.slsa.sa.gov.au/record=b3139428")</f>
        <v>https://www.catalog.slsa.sa.gov.au/record=b3139428</v>
      </c>
      <c r="C4006" s="1" t="str">
        <f>HYPERLINK("https://www.catalog.slsa.sa.gov.au/xrecord=b3139428")</f>
        <v>https://www.catalog.slsa.sa.gov.au/xrecord=b3139428</v>
      </c>
      <c r="D4006" t="s">
        <v>12917</v>
      </c>
      <c r="E4006" t="s">
        <v>13641</v>
      </c>
      <c r="F4006" t="s">
        <v>13574</v>
      </c>
      <c r="G4006" t="s">
        <v>13642</v>
      </c>
      <c r="H4006" t="s">
        <v>13643</v>
      </c>
      <c r="I4006" t="s">
        <v>13644</v>
      </c>
      <c r="J4006" t="s">
        <v>12922</v>
      </c>
      <c r="K4006" s="2" t="str">
        <f>HYPERLINK("http://collections.slsa.sa.gov.au/resource/PRG+1720/1/60")</f>
        <v>http://collections.slsa.sa.gov.au/resource/PRG+1720/1/60</v>
      </c>
    </row>
    <row r="4007" spans="1:11" x14ac:dyDescent="0.25">
      <c r="A4007" t="s">
        <v>13645</v>
      </c>
      <c r="B4007" s="1" t="str">
        <f>HYPERLINK("https://www.catalog.slsa.sa.gov.au/record=b2110483")</f>
        <v>https://www.catalog.slsa.sa.gov.au/record=b2110483</v>
      </c>
      <c r="C4007" s="1" t="str">
        <f>HYPERLINK("https://www.catalog.slsa.sa.gov.au/xrecord=b2110483")</f>
        <v>https://www.catalog.slsa.sa.gov.au/xrecord=b2110483</v>
      </c>
      <c r="D4007" t="s">
        <v>66</v>
      </c>
      <c r="E4007" t="s">
        <v>5607</v>
      </c>
      <c r="F4007" t="s">
        <v>13646</v>
      </c>
      <c r="G4007" t="s">
        <v>121</v>
      </c>
      <c r="H4007" t="s">
        <v>13647</v>
      </c>
      <c r="I4007" t="s">
        <v>5609</v>
      </c>
      <c r="J4007" t="s">
        <v>71</v>
      </c>
      <c r="K4007" s="2" t="str">
        <f>HYPERLINK("http://collections.slsa.sa.gov.au/arthur/01500/BRG347_1258.htm")</f>
        <v>http://collections.slsa.sa.gov.au/arthur/01500/BRG347_1258.htm</v>
      </c>
    </row>
    <row r="4008" spans="1:11" x14ac:dyDescent="0.25">
      <c r="A4008" t="s">
        <v>13648</v>
      </c>
      <c r="B4008" s="1" t="str">
        <f>HYPERLINK("https://www.catalog.slsa.sa.gov.au/record=b3140389")</f>
        <v>https://www.catalog.slsa.sa.gov.au/record=b3140389</v>
      </c>
      <c r="C4008" s="1" t="str">
        <f>HYPERLINK("https://www.catalog.slsa.sa.gov.au/xrecord=b3140389")</f>
        <v>https://www.catalog.slsa.sa.gov.au/xrecord=b3140389</v>
      </c>
      <c r="D4008" t="s">
        <v>13649</v>
      </c>
      <c r="E4008" t="s">
        <v>13650</v>
      </c>
      <c r="F4008" t="s">
        <v>13651</v>
      </c>
      <c r="G4008" t="s">
        <v>13652</v>
      </c>
      <c r="H4008" t="s">
        <v>13653</v>
      </c>
      <c r="I4008" t="s">
        <v>13654</v>
      </c>
      <c r="J4008" t="s">
        <v>12922</v>
      </c>
      <c r="K4008" s="2" t="str">
        <f>HYPERLINK("http://collections.slsa.sa.gov.au/resource/PRG+1718/3/52")</f>
        <v>http://collections.slsa.sa.gov.au/resource/PRG+1718/3/52</v>
      </c>
    </row>
    <row r="4009" spans="1:11" x14ac:dyDescent="0.25">
      <c r="A4009" t="s">
        <v>13655</v>
      </c>
      <c r="B4009" s="1" t="str">
        <f>HYPERLINK("https://www.catalog.slsa.sa.gov.au/record=b3140390")</f>
        <v>https://www.catalog.slsa.sa.gov.au/record=b3140390</v>
      </c>
      <c r="C4009" s="1" t="str">
        <f>HYPERLINK("https://www.catalog.slsa.sa.gov.au/xrecord=b3140390")</f>
        <v>https://www.catalog.slsa.sa.gov.au/xrecord=b3140390</v>
      </c>
      <c r="D4009" t="s">
        <v>13649</v>
      </c>
      <c r="E4009" t="s">
        <v>13650</v>
      </c>
      <c r="F4009" t="s">
        <v>13651</v>
      </c>
      <c r="G4009" t="s">
        <v>13656</v>
      </c>
      <c r="H4009" t="s">
        <v>13657</v>
      </c>
      <c r="I4009" t="s">
        <v>13654</v>
      </c>
      <c r="J4009" t="s">
        <v>12922</v>
      </c>
      <c r="K4009" s="2" t="str">
        <f>HYPERLINK("http://collections.slsa.sa.gov.au/resource/PRG+1718/3/53")</f>
        <v>http://collections.slsa.sa.gov.au/resource/PRG+1718/3/53</v>
      </c>
    </row>
    <row r="4010" spans="1:11" x14ac:dyDescent="0.25">
      <c r="A4010" t="s">
        <v>13658</v>
      </c>
      <c r="B4010" s="1" t="str">
        <f>HYPERLINK("https://www.catalog.slsa.sa.gov.au/record=b3140391")</f>
        <v>https://www.catalog.slsa.sa.gov.au/record=b3140391</v>
      </c>
      <c r="C4010" s="1" t="str">
        <f>HYPERLINK("https://www.catalog.slsa.sa.gov.au/xrecord=b3140391")</f>
        <v>https://www.catalog.slsa.sa.gov.au/xrecord=b3140391</v>
      </c>
      <c r="D4010" t="s">
        <v>13649</v>
      </c>
      <c r="E4010" t="s">
        <v>13650</v>
      </c>
      <c r="F4010" t="s">
        <v>13651</v>
      </c>
      <c r="G4010" t="s">
        <v>13659</v>
      </c>
      <c r="H4010" t="s">
        <v>13657</v>
      </c>
      <c r="I4010" t="s">
        <v>13654</v>
      </c>
      <c r="J4010" t="s">
        <v>12922</v>
      </c>
      <c r="K4010" s="2" t="str">
        <f>HYPERLINK("http://collections.slsa.sa.gov.au/resource/PRG+1718/3/54")</f>
        <v>http://collections.slsa.sa.gov.au/resource/PRG+1718/3/54</v>
      </c>
    </row>
    <row r="4011" spans="1:11" x14ac:dyDescent="0.25">
      <c r="A4011" t="s">
        <v>13660</v>
      </c>
      <c r="B4011" s="1" t="str">
        <f>HYPERLINK("https://www.catalog.slsa.sa.gov.au/record=b3140412")</f>
        <v>https://www.catalog.slsa.sa.gov.au/record=b3140412</v>
      </c>
      <c r="C4011" s="1" t="str">
        <f>HYPERLINK("https://www.catalog.slsa.sa.gov.au/xrecord=b3140412")</f>
        <v>https://www.catalog.slsa.sa.gov.au/xrecord=b3140412</v>
      </c>
      <c r="D4011" t="s">
        <v>13649</v>
      </c>
      <c r="E4011" t="s">
        <v>13650</v>
      </c>
      <c r="F4011" t="s">
        <v>13651</v>
      </c>
      <c r="G4011" t="s">
        <v>13661</v>
      </c>
      <c r="H4011" t="s">
        <v>13657</v>
      </c>
      <c r="I4011" t="s">
        <v>13654</v>
      </c>
      <c r="J4011" t="s">
        <v>12922</v>
      </c>
      <c r="K4011" s="2" t="str">
        <f>HYPERLINK("http://collections.slsa.sa.gov.au/resource/PRG+1718/3/55")</f>
        <v>http://collections.slsa.sa.gov.au/resource/PRG+1718/3/55</v>
      </c>
    </row>
    <row r="4012" spans="1:11" x14ac:dyDescent="0.25">
      <c r="A4012" t="s">
        <v>13662</v>
      </c>
      <c r="B4012" s="1" t="str">
        <f>HYPERLINK("https://www.catalog.slsa.sa.gov.au/record=b3140414")</f>
        <v>https://www.catalog.slsa.sa.gov.au/record=b3140414</v>
      </c>
      <c r="C4012" s="1" t="str">
        <f>HYPERLINK("https://www.catalog.slsa.sa.gov.au/xrecord=b3140414")</f>
        <v>https://www.catalog.slsa.sa.gov.au/xrecord=b3140414</v>
      </c>
      <c r="D4012" t="s">
        <v>13649</v>
      </c>
      <c r="E4012" t="s">
        <v>13650</v>
      </c>
      <c r="F4012" t="s">
        <v>13651</v>
      </c>
      <c r="G4012" t="s">
        <v>13663</v>
      </c>
      <c r="H4012" t="s">
        <v>13657</v>
      </c>
      <c r="I4012" t="s">
        <v>13654</v>
      </c>
      <c r="J4012" t="s">
        <v>12922</v>
      </c>
      <c r="K4012" s="2" t="str">
        <f>HYPERLINK("http://collections.slsa.sa.gov.au/resource/PRG+1718/3/56")</f>
        <v>http://collections.slsa.sa.gov.au/resource/PRG+1718/3/56</v>
      </c>
    </row>
    <row r="4013" spans="1:11" x14ac:dyDescent="0.25">
      <c r="A4013" t="s">
        <v>13664</v>
      </c>
      <c r="B4013" s="1" t="str">
        <f>HYPERLINK("https://www.catalog.slsa.sa.gov.au/record=b3140415")</f>
        <v>https://www.catalog.slsa.sa.gov.au/record=b3140415</v>
      </c>
      <c r="C4013" s="1" t="str">
        <f>HYPERLINK("https://www.catalog.slsa.sa.gov.au/xrecord=b3140415")</f>
        <v>https://www.catalog.slsa.sa.gov.au/xrecord=b3140415</v>
      </c>
      <c r="D4013" t="s">
        <v>13649</v>
      </c>
      <c r="E4013" t="s">
        <v>13650</v>
      </c>
      <c r="F4013" t="s">
        <v>13651</v>
      </c>
      <c r="G4013" t="s">
        <v>13665</v>
      </c>
      <c r="H4013" t="s">
        <v>13657</v>
      </c>
      <c r="I4013" t="s">
        <v>13654</v>
      </c>
      <c r="J4013" t="s">
        <v>12922</v>
      </c>
      <c r="K4013" s="2" t="str">
        <f>HYPERLINK("http://collections.slsa.sa.gov.au/resource/PRG+1718/3/57")</f>
        <v>http://collections.slsa.sa.gov.au/resource/PRG+1718/3/57</v>
      </c>
    </row>
    <row r="4014" spans="1:11" x14ac:dyDescent="0.25">
      <c r="A4014" t="s">
        <v>13666</v>
      </c>
      <c r="B4014" s="1" t="str">
        <f>HYPERLINK("https://www.catalog.slsa.sa.gov.au/record=b3140416")</f>
        <v>https://www.catalog.slsa.sa.gov.au/record=b3140416</v>
      </c>
      <c r="C4014" s="1" t="str">
        <f>HYPERLINK("https://www.catalog.slsa.sa.gov.au/xrecord=b3140416")</f>
        <v>https://www.catalog.slsa.sa.gov.au/xrecord=b3140416</v>
      </c>
      <c r="D4014" t="s">
        <v>13649</v>
      </c>
      <c r="E4014" t="s">
        <v>13650</v>
      </c>
      <c r="F4014" t="s">
        <v>13651</v>
      </c>
      <c r="G4014" t="s">
        <v>13667</v>
      </c>
      <c r="H4014" t="s">
        <v>13657</v>
      </c>
      <c r="I4014" t="s">
        <v>13654</v>
      </c>
      <c r="J4014" t="s">
        <v>12922</v>
      </c>
      <c r="K4014" s="2" t="str">
        <f>HYPERLINK("http://collections.slsa.sa.gov.au/resource/PRG+1718/3/58")</f>
        <v>http://collections.slsa.sa.gov.au/resource/PRG+1718/3/58</v>
      </c>
    </row>
    <row r="4015" spans="1:11" x14ac:dyDescent="0.25">
      <c r="A4015" t="s">
        <v>13668</v>
      </c>
      <c r="B4015" s="1" t="str">
        <f>HYPERLINK("https://www.catalog.slsa.sa.gov.au/record=b3140418")</f>
        <v>https://www.catalog.slsa.sa.gov.au/record=b3140418</v>
      </c>
      <c r="C4015" s="1" t="str">
        <f>HYPERLINK("https://www.catalog.slsa.sa.gov.au/xrecord=b3140418")</f>
        <v>https://www.catalog.slsa.sa.gov.au/xrecord=b3140418</v>
      </c>
      <c r="D4015" t="s">
        <v>13649</v>
      </c>
      <c r="E4015" t="s">
        <v>13650</v>
      </c>
      <c r="F4015" t="s">
        <v>13651</v>
      </c>
      <c r="G4015" t="s">
        <v>13669</v>
      </c>
      <c r="H4015" t="s">
        <v>13657</v>
      </c>
      <c r="I4015" t="s">
        <v>13654</v>
      </c>
      <c r="J4015" t="s">
        <v>12922</v>
      </c>
      <c r="K4015" s="2" t="str">
        <f>HYPERLINK("http://collections.slsa.sa.gov.au/resource/PRG+1718/3/59")</f>
        <v>http://collections.slsa.sa.gov.au/resource/PRG+1718/3/59</v>
      </c>
    </row>
    <row r="4016" spans="1:11" x14ac:dyDescent="0.25">
      <c r="A4016" t="s">
        <v>13670</v>
      </c>
      <c r="B4016" s="1" t="str">
        <f>HYPERLINK("https://www.catalog.slsa.sa.gov.au/record=b3140419")</f>
        <v>https://www.catalog.slsa.sa.gov.au/record=b3140419</v>
      </c>
      <c r="C4016" s="1" t="str">
        <f>HYPERLINK("https://www.catalog.slsa.sa.gov.au/xrecord=b3140419")</f>
        <v>https://www.catalog.slsa.sa.gov.au/xrecord=b3140419</v>
      </c>
      <c r="D4016" t="s">
        <v>13649</v>
      </c>
      <c r="E4016" t="s">
        <v>13650</v>
      </c>
      <c r="F4016" t="s">
        <v>13651</v>
      </c>
      <c r="G4016" t="s">
        <v>13671</v>
      </c>
      <c r="H4016" t="s">
        <v>13657</v>
      </c>
      <c r="I4016" t="s">
        <v>13654</v>
      </c>
      <c r="J4016" t="s">
        <v>12922</v>
      </c>
      <c r="K4016" s="2" t="str">
        <f>HYPERLINK("http://collections.slsa.sa.gov.au/resource/PRG+1718/3/60")</f>
        <v>http://collections.slsa.sa.gov.au/resource/PRG+1718/3/60</v>
      </c>
    </row>
    <row r="4017" spans="1:11" x14ac:dyDescent="0.25">
      <c r="A4017" t="s">
        <v>13672</v>
      </c>
      <c r="B4017" s="1" t="str">
        <f>HYPERLINK("https://www.catalog.slsa.sa.gov.au/record=b3140421")</f>
        <v>https://www.catalog.slsa.sa.gov.au/record=b3140421</v>
      </c>
      <c r="C4017" s="1" t="str">
        <f>HYPERLINK("https://www.catalog.slsa.sa.gov.au/xrecord=b3140421")</f>
        <v>https://www.catalog.slsa.sa.gov.au/xrecord=b3140421</v>
      </c>
      <c r="D4017" t="s">
        <v>13649</v>
      </c>
      <c r="E4017" t="s">
        <v>13650</v>
      </c>
      <c r="F4017" t="s">
        <v>13651</v>
      </c>
      <c r="G4017" t="s">
        <v>13673</v>
      </c>
      <c r="H4017" t="s">
        <v>13657</v>
      </c>
      <c r="I4017" t="s">
        <v>13654</v>
      </c>
      <c r="J4017" t="s">
        <v>12922</v>
      </c>
      <c r="K4017" s="2" t="str">
        <f>HYPERLINK("http://collections.slsa.sa.gov.au/resource/PRG+1718/3/61")</f>
        <v>http://collections.slsa.sa.gov.au/resource/PRG+1718/3/61</v>
      </c>
    </row>
    <row r="4018" spans="1:11" x14ac:dyDescent="0.25">
      <c r="A4018" t="s">
        <v>13674</v>
      </c>
      <c r="B4018" s="1" t="str">
        <f>HYPERLINK("https://www.catalog.slsa.sa.gov.au/record=b3140422")</f>
        <v>https://www.catalog.slsa.sa.gov.au/record=b3140422</v>
      </c>
      <c r="C4018" s="1" t="str">
        <f>HYPERLINK("https://www.catalog.slsa.sa.gov.au/xrecord=b3140422")</f>
        <v>https://www.catalog.slsa.sa.gov.au/xrecord=b3140422</v>
      </c>
      <c r="D4018" t="s">
        <v>13649</v>
      </c>
      <c r="E4018" t="s">
        <v>13650</v>
      </c>
      <c r="F4018" t="s">
        <v>13651</v>
      </c>
      <c r="G4018" t="s">
        <v>13675</v>
      </c>
      <c r="H4018" t="s">
        <v>13657</v>
      </c>
      <c r="I4018" t="s">
        <v>13654</v>
      </c>
      <c r="J4018" t="s">
        <v>12922</v>
      </c>
      <c r="K4018" s="2" t="str">
        <f>HYPERLINK("http://collections.slsa.sa.gov.au/resource/PRG+1718/3/62")</f>
        <v>http://collections.slsa.sa.gov.au/resource/PRG+1718/3/62</v>
      </c>
    </row>
    <row r="4019" spans="1:11" x14ac:dyDescent="0.25">
      <c r="A4019" t="s">
        <v>13676</v>
      </c>
      <c r="B4019" s="1" t="str">
        <f>HYPERLINK("https://www.catalog.slsa.sa.gov.au/record=b3140424")</f>
        <v>https://www.catalog.slsa.sa.gov.au/record=b3140424</v>
      </c>
      <c r="C4019" s="1" t="str">
        <f>HYPERLINK("https://www.catalog.slsa.sa.gov.au/xrecord=b3140424")</f>
        <v>https://www.catalog.slsa.sa.gov.au/xrecord=b3140424</v>
      </c>
      <c r="D4019" t="s">
        <v>13649</v>
      </c>
      <c r="E4019" t="s">
        <v>13650</v>
      </c>
      <c r="F4019" t="s">
        <v>13651</v>
      </c>
      <c r="G4019" t="s">
        <v>13677</v>
      </c>
      <c r="H4019" t="s">
        <v>13657</v>
      </c>
      <c r="I4019" t="s">
        <v>13654</v>
      </c>
      <c r="J4019" t="s">
        <v>12922</v>
      </c>
      <c r="K4019" s="2" t="str">
        <f>HYPERLINK("http://collections.slsa.sa.gov.au/resource/PRG+1718/3/63")</f>
        <v>http://collections.slsa.sa.gov.au/resource/PRG+1718/3/63</v>
      </c>
    </row>
    <row r="4020" spans="1:11" x14ac:dyDescent="0.25">
      <c r="A4020" t="s">
        <v>13678</v>
      </c>
      <c r="B4020" s="1" t="str">
        <f>HYPERLINK("https://www.catalog.slsa.sa.gov.au/record=b3139433")</f>
        <v>https://www.catalog.slsa.sa.gov.au/record=b3139433</v>
      </c>
      <c r="C4020" s="1" t="str">
        <f>HYPERLINK("https://www.catalog.slsa.sa.gov.au/xrecord=b3139433")</f>
        <v>https://www.catalog.slsa.sa.gov.au/xrecord=b3139433</v>
      </c>
      <c r="D4020" t="s">
        <v>13679</v>
      </c>
      <c r="E4020" t="s">
        <v>13680</v>
      </c>
      <c r="F4020" t="s">
        <v>13681</v>
      </c>
      <c r="G4020" t="s">
        <v>13682</v>
      </c>
      <c r="H4020" t="s">
        <v>13683</v>
      </c>
      <c r="I4020" t="s">
        <v>13684</v>
      </c>
      <c r="K4020" s="2" t="str">
        <f>HYPERLINK("http://collections.slsa.sa.gov.au/resource/SRG+94/A12/9/3")</f>
        <v>http://collections.slsa.sa.gov.au/resource/SRG+94/A12/9/3</v>
      </c>
    </row>
    <row r="4021" spans="1:11" x14ac:dyDescent="0.25">
      <c r="A4021" t="s">
        <v>13685</v>
      </c>
      <c r="B4021" s="1" t="str">
        <f>HYPERLINK("https://www.catalog.slsa.sa.gov.au/record=b2364647")</f>
        <v>https://www.catalog.slsa.sa.gov.au/record=b2364647</v>
      </c>
      <c r="C4021" s="1" t="str">
        <f>HYPERLINK("https://www.catalog.slsa.sa.gov.au/xrecord=b2364647")</f>
        <v>https://www.catalog.slsa.sa.gov.au/xrecord=b2364647</v>
      </c>
      <c r="D4021" t="s">
        <v>66</v>
      </c>
      <c r="E4021" t="s">
        <v>13686</v>
      </c>
      <c r="F4021" t="s">
        <v>13687</v>
      </c>
      <c r="G4021" t="s">
        <v>13688</v>
      </c>
      <c r="H4021" t="s">
        <v>13689</v>
      </c>
      <c r="K4021" s="2" t="str">
        <f>HYPERLINK("http://collections.slsa.sa.gov.au/resource/BRG+347")</f>
        <v>http://collections.slsa.sa.gov.au/resource/BRG+347</v>
      </c>
    </row>
    <row r="4022" spans="1:11" x14ac:dyDescent="0.25">
      <c r="A4022" t="s">
        <v>13690</v>
      </c>
      <c r="B4022" s="1" t="str">
        <f>HYPERLINK("https://www.catalog.slsa.sa.gov.au/record=b2110115")</f>
        <v>https://www.catalog.slsa.sa.gov.au/record=b2110115</v>
      </c>
      <c r="C4022" s="1" t="str">
        <f>HYPERLINK("https://www.catalog.slsa.sa.gov.au/xrecord=b2110115")</f>
        <v>https://www.catalog.slsa.sa.gov.au/xrecord=b2110115</v>
      </c>
      <c r="D4022" t="s">
        <v>66</v>
      </c>
      <c r="E4022" t="s">
        <v>13691</v>
      </c>
      <c r="F4022">
        <v>1971</v>
      </c>
      <c r="G4022" t="s">
        <v>121</v>
      </c>
      <c r="H4022" t="s">
        <v>13692</v>
      </c>
      <c r="I4022" t="s">
        <v>13693</v>
      </c>
      <c r="J4022" t="s">
        <v>71</v>
      </c>
      <c r="K4022" s="2" t="str">
        <f>HYPERLINK("http://collections.slsa.sa.gov.au/arthur/01000/BRG347_919.htm")</f>
        <v>http://collections.slsa.sa.gov.au/arthur/01000/BRG347_919.htm</v>
      </c>
    </row>
    <row r="4023" spans="1:11" x14ac:dyDescent="0.25">
      <c r="A4023" t="s">
        <v>13694</v>
      </c>
      <c r="B4023" s="1" t="str">
        <f>HYPERLINK("https://www.catalog.slsa.sa.gov.au/record=b2111121")</f>
        <v>https://www.catalog.slsa.sa.gov.au/record=b2111121</v>
      </c>
      <c r="C4023" s="1" t="str">
        <f>HYPERLINK("https://www.catalog.slsa.sa.gov.au/xrecord=b2111121")</f>
        <v>https://www.catalog.slsa.sa.gov.au/xrecord=b2111121</v>
      </c>
      <c r="D4023" t="s">
        <v>66</v>
      </c>
      <c r="E4023" t="s">
        <v>13695</v>
      </c>
      <c r="F4023">
        <v>1971</v>
      </c>
      <c r="G4023" t="s">
        <v>121</v>
      </c>
      <c r="H4023" t="s">
        <v>13696</v>
      </c>
      <c r="I4023" t="s">
        <v>13697</v>
      </c>
      <c r="J4023" t="s">
        <v>71</v>
      </c>
      <c r="K4023" s="2" t="str">
        <f>HYPERLINK("http://collections.slsa.sa.gov.au/arthur/02000/BRG347_1807.htm")</f>
        <v>http://collections.slsa.sa.gov.au/arthur/02000/BRG347_1807.htm</v>
      </c>
    </row>
    <row r="4024" spans="1:11" x14ac:dyDescent="0.25">
      <c r="A4024" t="s">
        <v>13698</v>
      </c>
      <c r="B4024" s="1" t="str">
        <f>HYPERLINK("https://www.catalog.slsa.sa.gov.au/record=b2111122")</f>
        <v>https://www.catalog.slsa.sa.gov.au/record=b2111122</v>
      </c>
      <c r="C4024" s="1" t="str">
        <f>HYPERLINK("https://www.catalog.slsa.sa.gov.au/xrecord=b2111122")</f>
        <v>https://www.catalog.slsa.sa.gov.au/xrecord=b2111122</v>
      </c>
      <c r="D4024" t="s">
        <v>66</v>
      </c>
      <c r="E4024" t="s">
        <v>13699</v>
      </c>
      <c r="F4024">
        <v>1971</v>
      </c>
      <c r="G4024" t="s">
        <v>121</v>
      </c>
      <c r="H4024" t="s">
        <v>13700</v>
      </c>
      <c r="I4024" t="s">
        <v>6335</v>
      </c>
      <c r="J4024" t="s">
        <v>71</v>
      </c>
      <c r="K4024" s="2" t="str">
        <f>HYPERLINK("http://collections.slsa.sa.gov.au/arthur/02000/BRG347_1808.htm")</f>
        <v>http://collections.slsa.sa.gov.au/arthur/02000/BRG347_1808.htm</v>
      </c>
    </row>
    <row r="4025" spans="1:11" x14ac:dyDescent="0.25">
      <c r="A4025" t="s">
        <v>13701</v>
      </c>
      <c r="B4025" s="1" t="str">
        <f>HYPERLINK("https://www.catalog.slsa.sa.gov.au/record=b2111123")</f>
        <v>https://www.catalog.slsa.sa.gov.au/record=b2111123</v>
      </c>
      <c r="C4025" s="1" t="str">
        <f>HYPERLINK("https://www.catalog.slsa.sa.gov.au/xrecord=b2111123")</f>
        <v>https://www.catalog.slsa.sa.gov.au/xrecord=b2111123</v>
      </c>
      <c r="D4025" t="s">
        <v>66</v>
      </c>
      <c r="E4025" t="s">
        <v>13699</v>
      </c>
      <c r="F4025">
        <v>1971</v>
      </c>
      <c r="G4025" t="s">
        <v>121</v>
      </c>
      <c r="H4025" t="s">
        <v>13700</v>
      </c>
      <c r="I4025" t="s">
        <v>6335</v>
      </c>
      <c r="J4025" t="s">
        <v>71</v>
      </c>
      <c r="K4025" s="2" t="str">
        <f>HYPERLINK("http://collections.slsa.sa.gov.au/arthur/02000/BRG347_1809.htm")</f>
        <v>http://collections.slsa.sa.gov.au/arthur/02000/BRG347_1809.htm</v>
      </c>
    </row>
    <row r="4026" spans="1:11" x14ac:dyDescent="0.25">
      <c r="A4026" t="s">
        <v>13702</v>
      </c>
      <c r="B4026" s="1" t="str">
        <f>HYPERLINK("https://www.catalog.slsa.sa.gov.au/record=b2111131")</f>
        <v>https://www.catalog.slsa.sa.gov.au/record=b2111131</v>
      </c>
      <c r="C4026" s="1" t="str">
        <f>HYPERLINK("https://www.catalog.slsa.sa.gov.au/xrecord=b2111131")</f>
        <v>https://www.catalog.slsa.sa.gov.au/xrecord=b2111131</v>
      </c>
      <c r="D4026" t="s">
        <v>66</v>
      </c>
      <c r="E4026" t="s">
        <v>13703</v>
      </c>
      <c r="F4026">
        <v>1971</v>
      </c>
      <c r="G4026" t="s">
        <v>121</v>
      </c>
      <c r="H4026" t="s">
        <v>13704</v>
      </c>
      <c r="I4026" t="s">
        <v>6335</v>
      </c>
      <c r="J4026" t="s">
        <v>71</v>
      </c>
      <c r="K4026" s="2" t="str">
        <f>HYPERLINK("http://collections.slsa.sa.gov.au/arthur/02000/BRG347_1817.htm")</f>
        <v>http://collections.slsa.sa.gov.au/arthur/02000/BRG347_1817.htm</v>
      </c>
    </row>
    <row r="4027" spans="1:11" x14ac:dyDescent="0.25">
      <c r="A4027" t="s">
        <v>13705</v>
      </c>
      <c r="B4027" s="1" t="str">
        <f>HYPERLINK("https://www.catalog.slsa.sa.gov.au/record=b2112496")</f>
        <v>https://www.catalog.slsa.sa.gov.au/record=b2112496</v>
      </c>
      <c r="C4027" s="1" t="str">
        <f>HYPERLINK("https://www.catalog.slsa.sa.gov.au/xrecord=b2112496")</f>
        <v>https://www.catalog.slsa.sa.gov.au/xrecord=b2112496</v>
      </c>
      <c r="D4027" t="s">
        <v>66</v>
      </c>
      <c r="E4027" t="s">
        <v>13706</v>
      </c>
      <c r="F4027">
        <v>1971</v>
      </c>
      <c r="G4027" t="s">
        <v>121</v>
      </c>
      <c r="H4027" t="s">
        <v>13707</v>
      </c>
      <c r="I4027" t="s">
        <v>13708</v>
      </c>
      <c r="J4027" t="s">
        <v>71</v>
      </c>
      <c r="K4027" s="2" t="str">
        <f>HYPERLINK("http://collections.slsa.sa.gov.au/arthur/03000/BRG347_2759.htm")</f>
        <v>http://collections.slsa.sa.gov.au/arthur/03000/BRG347_2759.htm</v>
      </c>
    </row>
    <row r="4028" spans="1:11" x14ac:dyDescent="0.25">
      <c r="A4028" t="s">
        <v>13709</v>
      </c>
      <c r="B4028" s="1" t="str">
        <f>HYPERLINK("https://www.catalog.slsa.sa.gov.au/record=b2112502")</f>
        <v>https://www.catalog.slsa.sa.gov.au/record=b2112502</v>
      </c>
      <c r="C4028" s="1" t="str">
        <f>HYPERLINK("https://www.catalog.slsa.sa.gov.au/xrecord=b2112502")</f>
        <v>https://www.catalog.slsa.sa.gov.au/xrecord=b2112502</v>
      </c>
      <c r="D4028" t="s">
        <v>66</v>
      </c>
      <c r="E4028" t="s">
        <v>13710</v>
      </c>
      <c r="F4028">
        <v>1971</v>
      </c>
      <c r="G4028" t="s">
        <v>121</v>
      </c>
      <c r="H4028" t="s">
        <v>13711</v>
      </c>
      <c r="I4028" t="s">
        <v>13712</v>
      </c>
      <c r="J4028" t="s">
        <v>71</v>
      </c>
      <c r="K4028" s="2" t="str">
        <f>HYPERLINK("http://collections.slsa.sa.gov.au/arthur/03000/BRG347_2766.htm")</f>
        <v>http://collections.slsa.sa.gov.au/arthur/03000/BRG347_2766.htm</v>
      </c>
    </row>
    <row r="4029" spans="1:11" x14ac:dyDescent="0.25">
      <c r="A4029" t="s">
        <v>13713</v>
      </c>
      <c r="B4029" s="1" t="str">
        <f>HYPERLINK("https://www.catalog.slsa.sa.gov.au/record=b2110117")</f>
        <v>https://www.catalog.slsa.sa.gov.au/record=b2110117</v>
      </c>
      <c r="C4029" s="1" t="str">
        <f>HYPERLINK("https://www.catalog.slsa.sa.gov.au/xrecord=b2110117")</f>
        <v>https://www.catalog.slsa.sa.gov.au/xrecord=b2110117</v>
      </c>
      <c r="D4029" t="s">
        <v>66</v>
      </c>
      <c r="E4029" t="s">
        <v>13714</v>
      </c>
      <c r="F4029">
        <v>1972</v>
      </c>
      <c r="G4029" t="s">
        <v>121</v>
      </c>
      <c r="H4029" t="s">
        <v>13715</v>
      </c>
      <c r="I4029" t="s">
        <v>13716</v>
      </c>
      <c r="J4029" t="s">
        <v>71</v>
      </c>
      <c r="K4029" s="2" t="str">
        <f>HYPERLINK("http://collections.slsa.sa.gov.au/arthur/01000/BRG347_922.htm")</f>
        <v>http://collections.slsa.sa.gov.au/arthur/01000/BRG347_922.htm</v>
      </c>
    </row>
    <row r="4030" spans="1:11" x14ac:dyDescent="0.25">
      <c r="A4030" t="s">
        <v>13717</v>
      </c>
      <c r="B4030" s="1" t="str">
        <f>HYPERLINK("https://www.catalog.slsa.sa.gov.au/record=b2110482")</f>
        <v>https://www.catalog.slsa.sa.gov.au/record=b2110482</v>
      </c>
      <c r="C4030" s="1" t="str">
        <f>HYPERLINK("https://www.catalog.slsa.sa.gov.au/xrecord=b2110482")</f>
        <v>https://www.catalog.slsa.sa.gov.au/xrecord=b2110482</v>
      </c>
      <c r="D4030" t="s">
        <v>66</v>
      </c>
      <c r="E4030" t="s">
        <v>5607</v>
      </c>
      <c r="F4030">
        <v>1972</v>
      </c>
      <c r="G4030" t="s">
        <v>121</v>
      </c>
      <c r="H4030" t="s">
        <v>13718</v>
      </c>
      <c r="I4030" t="s">
        <v>11296</v>
      </c>
      <c r="J4030" t="s">
        <v>71</v>
      </c>
      <c r="K4030" s="2" t="str">
        <f>HYPERLINK("http://collections.slsa.sa.gov.au/arthur/01500/BRG347_1257.htm")</f>
        <v>http://collections.slsa.sa.gov.au/arthur/01500/BRG347_1257.htm</v>
      </c>
    </row>
    <row r="4031" spans="1:11" x14ac:dyDescent="0.25">
      <c r="A4031" t="s">
        <v>13719</v>
      </c>
      <c r="B4031" s="1" t="str">
        <f>HYPERLINK("https://www.catalog.slsa.sa.gov.au/record=b2111113")</f>
        <v>https://www.catalog.slsa.sa.gov.au/record=b2111113</v>
      </c>
      <c r="C4031" s="1" t="str">
        <f>HYPERLINK("https://www.catalog.slsa.sa.gov.au/xrecord=b2111113")</f>
        <v>https://www.catalog.slsa.sa.gov.au/xrecord=b2111113</v>
      </c>
      <c r="D4031" t="s">
        <v>66</v>
      </c>
      <c r="E4031" t="s">
        <v>9635</v>
      </c>
      <c r="F4031">
        <v>1972</v>
      </c>
      <c r="G4031" t="s">
        <v>121</v>
      </c>
      <c r="H4031" t="s">
        <v>13720</v>
      </c>
      <c r="I4031" t="s">
        <v>1619</v>
      </c>
      <c r="J4031" t="s">
        <v>71</v>
      </c>
      <c r="K4031" s="2" t="str">
        <f>HYPERLINK("http://collections.slsa.sa.gov.au/arthur/02000/BRG347_1799.htm")</f>
        <v>http://collections.slsa.sa.gov.au/arthur/02000/BRG347_1799.htm</v>
      </c>
    </row>
    <row r="4032" spans="1:11" x14ac:dyDescent="0.25">
      <c r="A4032" t="s">
        <v>13721</v>
      </c>
      <c r="B4032" s="1" t="str">
        <f>HYPERLINK("https://www.catalog.slsa.sa.gov.au/record=b2111114")</f>
        <v>https://www.catalog.slsa.sa.gov.au/record=b2111114</v>
      </c>
      <c r="C4032" s="1" t="str">
        <f>HYPERLINK("https://www.catalog.slsa.sa.gov.au/xrecord=b2111114")</f>
        <v>https://www.catalog.slsa.sa.gov.au/xrecord=b2111114</v>
      </c>
      <c r="D4032" t="s">
        <v>66</v>
      </c>
      <c r="E4032" t="s">
        <v>13703</v>
      </c>
      <c r="F4032">
        <v>1972</v>
      </c>
      <c r="G4032" t="s">
        <v>121</v>
      </c>
      <c r="H4032" t="s">
        <v>13722</v>
      </c>
      <c r="I4032" t="s">
        <v>6335</v>
      </c>
      <c r="J4032" t="s">
        <v>71</v>
      </c>
      <c r="K4032" s="2" t="str">
        <f>HYPERLINK("http://collections.slsa.sa.gov.au/arthur/02000/BRG347_1800.htm")</f>
        <v>http://collections.slsa.sa.gov.au/arthur/02000/BRG347_1800.htm</v>
      </c>
    </row>
    <row r="4033" spans="1:11" x14ac:dyDescent="0.25">
      <c r="A4033" t="s">
        <v>13723</v>
      </c>
      <c r="B4033" s="1" t="str">
        <f>HYPERLINK("https://www.catalog.slsa.sa.gov.au/record=b2111124")</f>
        <v>https://www.catalog.slsa.sa.gov.au/record=b2111124</v>
      </c>
      <c r="C4033" s="1" t="str">
        <f>HYPERLINK("https://www.catalog.slsa.sa.gov.au/xrecord=b2111124")</f>
        <v>https://www.catalog.slsa.sa.gov.au/xrecord=b2111124</v>
      </c>
      <c r="D4033" t="s">
        <v>66</v>
      </c>
      <c r="E4033" t="s">
        <v>13699</v>
      </c>
      <c r="F4033">
        <v>1972</v>
      </c>
      <c r="G4033" t="s">
        <v>121</v>
      </c>
      <c r="H4033" t="s">
        <v>13724</v>
      </c>
      <c r="I4033" t="s">
        <v>6335</v>
      </c>
      <c r="J4033" t="s">
        <v>71</v>
      </c>
      <c r="K4033" s="2" t="str">
        <f>HYPERLINK("http://collections.slsa.sa.gov.au/arthur/02000/BRG347_1810.htm")</f>
        <v>http://collections.slsa.sa.gov.au/arthur/02000/BRG347_1810.htm</v>
      </c>
    </row>
    <row r="4034" spans="1:11" x14ac:dyDescent="0.25">
      <c r="A4034" t="s">
        <v>13725</v>
      </c>
      <c r="B4034" s="1" t="str">
        <f>HYPERLINK("https://www.catalog.slsa.sa.gov.au/record=b2111125")</f>
        <v>https://www.catalog.slsa.sa.gov.au/record=b2111125</v>
      </c>
      <c r="C4034" s="1" t="str">
        <f>HYPERLINK("https://www.catalog.slsa.sa.gov.au/xrecord=b2111125")</f>
        <v>https://www.catalog.slsa.sa.gov.au/xrecord=b2111125</v>
      </c>
      <c r="D4034" t="s">
        <v>66</v>
      </c>
      <c r="E4034" t="s">
        <v>13699</v>
      </c>
      <c r="F4034">
        <v>1972</v>
      </c>
      <c r="G4034" t="s">
        <v>121</v>
      </c>
      <c r="H4034" t="s">
        <v>13724</v>
      </c>
      <c r="I4034" t="s">
        <v>6335</v>
      </c>
      <c r="J4034" t="s">
        <v>71</v>
      </c>
      <c r="K4034" s="2" t="str">
        <f>HYPERLINK("http://collections.slsa.sa.gov.au/arthur/02000/BRG347_1811.htm")</f>
        <v>http://collections.slsa.sa.gov.au/arthur/02000/BRG347_1811.htm</v>
      </c>
    </row>
    <row r="4035" spans="1:11" x14ac:dyDescent="0.25">
      <c r="A4035" t="s">
        <v>13726</v>
      </c>
      <c r="B4035" s="1" t="str">
        <f>HYPERLINK("https://www.catalog.slsa.sa.gov.au/record=b2111126")</f>
        <v>https://www.catalog.slsa.sa.gov.au/record=b2111126</v>
      </c>
      <c r="C4035" s="1" t="str">
        <f>HYPERLINK("https://www.catalog.slsa.sa.gov.au/xrecord=b2111126")</f>
        <v>https://www.catalog.slsa.sa.gov.au/xrecord=b2111126</v>
      </c>
      <c r="D4035" t="s">
        <v>66</v>
      </c>
      <c r="E4035" t="s">
        <v>13699</v>
      </c>
      <c r="F4035">
        <v>1972</v>
      </c>
      <c r="G4035" t="s">
        <v>121</v>
      </c>
      <c r="H4035" t="s">
        <v>13724</v>
      </c>
      <c r="I4035" t="s">
        <v>6335</v>
      </c>
      <c r="J4035" t="s">
        <v>71</v>
      </c>
      <c r="K4035" s="2" t="str">
        <f>HYPERLINK("http://collections.slsa.sa.gov.au/arthur/02000/BRG347_1812.htm")</f>
        <v>http://collections.slsa.sa.gov.au/arthur/02000/BRG347_1812.htm</v>
      </c>
    </row>
    <row r="4036" spans="1:11" x14ac:dyDescent="0.25">
      <c r="A4036" t="s">
        <v>13727</v>
      </c>
      <c r="B4036" s="1" t="str">
        <f>HYPERLINK("https://www.catalog.slsa.sa.gov.au/record=b2111127")</f>
        <v>https://www.catalog.slsa.sa.gov.au/record=b2111127</v>
      </c>
      <c r="C4036" s="1" t="str">
        <f>HYPERLINK("https://www.catalog.slsa.sa.gov.au/xrecord=b2111127")</f>
        <v>https://www.catalog.slsa.sa.gov.au/xrecord=b2111127</v>
      </c>
      <c r="D4036" t="s">
        <v>66</v>
      </c>
      <c r="E4036" t="s">
        <v>9635</v>
      </c>
      <c r="F4036">
        <v>1972</v>
      </c>
      <c r="G4036" t="s">
        <v>121</v>
      </c>
      <c r="H4036" t="s">
        <v>13728</v>
      </c>
      <c r="I4036" t="s">
        <v>1619</v>
      </c>
      <c r="J4036" t="s">
        <v>71</v>
      </c>
      <c r="K4036" s="2" t="str">
        <f>HYPERLINK("http://collections.slsa.sa.gov.au/arthur/02000/BRG347_1813.htm")</f>
        <v>http://collections.slsa.sa.gov.au/arthur/02000/BRG347_1813.htm</v>
      </c>
    </row>
    <row r="4037" spans="1:11" x14ac:dyDescent="0.25">
      <c r="A4037" t="s">
        <v>13729</v>
      </c>
      <c r="B4037" s="1" t="str">
        <f>HYPERLINK("https://www.catalog.slsa.sa.gov.au/record=b2111128")</f>
        <v>https://www.catalog.slsa.sa.gov.au/record=b2111128</v>
      </c>
      <c r="C4037" s="1" t="str">
        <f>HYPERLINK("https://www.catalog.slsa.sa.gov.au/xrecord=b2111128")</f>
        <v>https://www.catalog.slsa.sa.gov.au/xrecord=b2111128</v>
      </c>
      <c r="D4037" t="s">
        <v>66</v>
      </c>
      <c r="E4037" t="s">
        <v>9635</v>
      </c>
      <c r="F4037">
        <v>1972</v>
      </c>
      <c r="G4037" t="s">
        <v>121</v>
      </c>
      <c r="H4037" t="s">
        <v>13728</v>
      </c>
      <c r="I4037" t="s">
        <v>1619</v>
      </c>
      <c r="J4037" t="s">
        <v>71</v>
      </c>
      <c r="K4037" s="2" t="str">
        <f>HYPERLINK("http://collections.slsa.sa.gov.au/arthur/02000/BRG347_1814.htm")</f>
        <v>http://collections.slsa.sa.gov.au/arthur/02000/BRG347_1814.htm</v>
      </c>
    </row>
    <row r="4038" spans="1:11" x14ac:dyDescent="0.25">
      <c r="A4038" t="s">
        <v>13730</v>
      </c>
      <c r="B4038" s="1" t="str">
        <f>HYPERLINK("https://www.catalog.slsa.sa.gov.au/record=b2111129")</f>
        <v>https://www.catalog.slsa.sa.gov.au/record=b2111129</v>
      </c>
      <c r="C4038" s="1" t="str">
        <f>HYPERLINK("https://www.catalog.slsa.sa.gov.au/xrecord=b2111129")</f>
        <v>https://www.catalog.slsa.sa.gov.au/xrecord=b2111129</v>
      </c>
      <c r="D4038" t="s">
        <v>66</v>
      </c>
      <c r="E4038" t="s">
        <v>13703</v>
      </c>
      <c r="F4038">
        <v>1972</v>
      </c>
      <c r="G4038" t="s">
        <v>121</v>
      </c>
      <c r="H4038" t="s">
        <v>13731</v>
      </c>
      <c r="I4038" t="s">
        <v>6335</v>
      </c>
      <c r="J4038" t="s">
        <v>71</v>
      </c>
      <c r="K4038" s="2" t="str">
        <f>HYPERLINK("http://collections.slsa.sa.gov.au/arthur/02000/BRG347_1815.htm")</f>
        <v>http://collections.slsa.sa.gov.au/arthur/02000/BRG347_1815.htm</v>
      </c>
    </row>
    <row r="4039" spans="1:11" x14ac:dyDescent="0.25">
      <c r="A4039" t="s">
        <v>13732</v>
      </c>
      <c r="B4039" s="1" t="str">
        <f>HYPERLINK("https://www.catalog.slsa.sa.gov.au/record=b2111142")</f>
        <v>https://www.catalog.slsa.sa.gov.au/record=b2111142</v>
      </c>
      <c r="C4039" s="1" t="str">
        <f>HYPERLINK("https://www.catalog.slsa.sa.gov.au/xrecord=b2111142")</f>
        <v>https://www.catalog.slsa.sa.gov.au/xrecord=b2111142</v>
      </c>
      <c r="D4039" t="s">
        <v>66</v>
      </c>
      <c r="E4039" t="s">
        <v>13733</v>
      </c>
      <c r="F4039">
        <v>1972</v>
      </c>
      <c r="G4039" t="s">
        <v>121</v>
      </c>
      <c r="H4039" t="s">
        <v>13734</v>
      </c>
      <c r="I4039" t="s">
        <v>13735</v>
      </c>
      <c r="J4039" t="s">
        <v>71</v>
      </c>
      <c r="K4039" s="2" t="str">
        <f>HYPERLINK("http://collections.slsa.sa.gov.au/arthur/02000/BRG347_1828.htm")</f>
        <v>http://collections.slsa.sa.gov.au/arthur/02000/BRG347_1828.htm</v>
      </c>
    </row>
    <row r="4040" spans="1:11" x14ac:dyDescent="0.25">
      <c r="A4040" t="s">
        <v>13736</v>
      </c>
      <c r="B4040" s="1" t="str">
        <f>HYPERLINK("https://www.catalog.slsa.sa.gov.au/record=b2111143")</f>
        <v>https://www.catalog.slsa.sa.gov.au/record=b2111143</v>
      </c>
      <c r="C4040" s="1" t="str">
        <f>HYPERLINK("https://www.catalog.slsa.sa.gov.au/xrecord=b2111143")</f>
        <v>https://www.catalog.slsa.sa.gov.au/xrecord=b2111143</v>
      </c>
      <c r="D4040" t="s">
        <v>66</v>
      </c>
      <c r="E4040" t="s">
        <v>13733</v>
      </c>
      <c r="F4040">
        <v>1972</v>
      </c>
      <c r="G4040" t="s">
        <v>121</v>
      </c>
      <c r="H4040" t="s">
        <v>13734</v>
      </c>
      <c r="I4040" t="s">
        <v>13735</v>
      </c>
      <c r="J4040" t="s">
        <v>71</v>
      </c>
      <c r="K4040" s="2" t="str">
        <f>HYPERLINK("http://collections.slsa.sa.gov.au/arthur/02000/BRG347_1829.htm")</f>
        <v>http://collections.slsa.sa.gov.au/arthur/02000/BRG347_1829.htm</v>
      </c>
    </row>
    <row r="4041" spans="1:11" x14ac:dyDescent="0.25">
      <c r="A4041" t="s">
        <v>13737</v>
      </c>
      <c r="B4041" s="1" t="str">
        <f>HYPERLINK("https://www.catalog.slsa.sa.gov.au/record=b2118046")</f>
        <v>https://www.catalog.slsa.sa.gov.au/record=b2118046</v>
      </c>
      <c r="C4041" s="1" t="str">
        <f>HYPERLINK("https://www.catalog.slsa.sa.gov.au/xrecord=b2118046")</f>
        <v>https://www.catalog.slsa.sa.gov.au/xrecord=b2118046</v>
      </c>
      <c r="D4041" t="s">
        <v>66</v>
      </c>
      <c r="E4041" t="s">
        <v>13738</v>
      </c>
      <c r="F4041">
        <v>1972</v>
      </c>
      <c r="G4041" t="s">
        <v>121</v>
      </c>
      <c r="H4041" t="s">
        <v>13739</v>
      </c>
      <c r="I4041" t="s">
        <v>13740</v>
      </c>
      <c r="J4041" t="s">
        <v>71</v>
      </c>
      <c r="K4041" s="2" t="str">
        <f>HYPERLINK("http://collections.slsa.sa.gov.au/arthur/03000/BRG347_2760.htm")</f>
        <v>http://collections.slsa.sa.gov.au/arthur/03000/BRG347_2760.htm</v>
      </c>
    </row>
    <row r="4042" spans="1:11" x14ac:dyDescent="0.25">
      <c r="A4042" t="s">
        <v>13741</v>
      </c>
      <c r="B4042" s="1" t="str">
        <f>HYPERLINK("https://www.catalog.slsa.sa.gov.au/record=b3139634")</f>
        <v>https://www.catalog.slsa.sa.gov.au/record=b3139634</v>
      </c>
      <c r="C4042" s="1" t="str">
        <f>HYPERLINK("https://www.catalog.slsa.sa.gov.au/xrecord=b3139634")</f>
        <v>https://www.catalog.slsa.sa.gov.au/xrecord=b3139634</v>
      </c>
      <c r="D4042" t="s">
        <v>13649</v>
      </c>
      <c r="E4042" t="s">
        <v>13742</v>
      </c>
      <c r="F4042" t="s">
        <v>13743</v>
      </c>
      <c r="G4042" t="s">
        <v>13744</v>
      </c>
      <c r="H4042" t="s">
        <v>13745</v>
      </c>
      <c r="I4042" t="s">
        <v>13746</v>
      </c>
      <c r="J4042" t="s">
        <v>12922</v>
      </c>
      <c r="K4042" s="2" t="str">
        <f>HYPERLINK("http://collections.slsa.sa.gov.au/resource/PRG+1718/2/22")</f>
        <v>http://collections.slsa.sa.gov.au/resource/PRG+1718/2/22</v>
      </c>
    </row>
    <row r="4043" spans="1:11" x14ac:dyDescent="0.25">
      <c r="A4043" t="s">
        <v>13747</v>
      </c>
      <c r="B4043" s="1" t="str">
        <f>HYPERLINK("https://www.catalog.slsa.sa.gov.au/record=b3139635")</f>
        <v>https://www.catalog.slsa.sa.gov.au/record=b3139635</v>
      </c>
      <c r="C4043" s="1" t="str">
        <f>HYPERLINK("https://www.catalog.slsa.sa.gov.au/xrecord=b3139635")</f>
        <v>https://www.catalog.slsa.sa.gov.au/xrecord=b3139635</v>
      </c>
      <c r="D4043" t="s">
        <v>13649</v>
      </c>
      <c r="E4043" t="s">
        <v>13748</v>
      </c>
      <c r="F4043" t="s">
        <v>13743</v>
      </c>
      <c r="G4043" t="s">
        <v>13749</v>
      </c>
      <c r="H4043" t="s">
        <v>13750</v>
      </c>
      <c r="I4043" t="s">
        <v>13751</v>
      </c>
      <c r="J4043" t="s">
        <v>12922</v>
      </c>
      <c r="K4043" s="2" t="str">
        <f>HYPERLINK("http://collections.slsa.sa.gov.au/resource/PRG+1718/2/23")</f>
        <v>http://collections.slsa.sa.gov.au/resource/PRG+1718/2/23</v>
      </c>
    </row>
    <row r="4044" spans="1:11" x14ac:dyDescent="0.25">
      <c r="A4044" t="s">
        <v>13752</v>
      </c>
      <c r="B4044" s="1" t="str">
        <f>HYPERLINK("https://www.catalog.slsa.sa.gov.au/record=b3139638")</f>
        <v>https://www.catalog.slsa.sa.gov.au/record=b3139638</v>
      </c>
      <c r="C4044" s="1" t="str">
        <f>HYPERLINK("https://www.catalog.slsa.sa.gov.au/xrecord=b3139638")</f>
        <v>https://www.catalog.slsa.sa.gov.au/xrecord=b3139638</v>
      </c>
      <c r="D4044" t="s">
        <v>13649</v>
      </c>
      <c r="E4044" t="s">
        <v>13753</v>
      </c>
      <c r="F4044" t="s">
        <v>13743</v>
      </c>
      <c r="G4044" t="s">
        <v>13754</v>
      </c>
      <c r="H4044" t="s">
        <v>13755</v>
      </c>
      <c r="I4044" t="s">
        <v>13756</v>
      </c>
      <c r="J4044" t="s">
        <v>12922</v>
      </c>
      <c r="K4044" s="2" t="str">
        <f>HYPERLINK("http://collections.slsa.sa.gov.au/resource/PRG+1718/2/24")</f>
        <v>http://collections.slsa.sa.gov.au/resource/PRG+1718/2/24</v>
      </c>
    </row>
    <row r="4045" spans="1:11" x14ac:dyDescent="0.25">
      <c r="A4045" t="s">
        <v>13757</v>
      </c>
      <c r="B4045" s="1" t="str">
        <f>HYPERLINK("https://www.catalog.slsa.sa.gov.au/record=b3139639")</f>
        <v>https://www.catalog.slsa.sa.gov.au/record=b3139639</v>
      </c>
      <c r="C4045" s="1" t="str">
        <f>HYPERLINK("https://www.catalog.slsa.sa.gov.au/xrecord=b3139639")</f>
        <v>https://www.catalog.slsa.sa.gov.au/xrecord=b3139639</v>
      </c>
      <c r="D4045" t="s">
        <v>13649</v>
      </c>
      <c r="E4045" t="s">
        <v>13758</v>
      </c>
      <c r="F4045" t="s">
        <v>13743</v>
      </c>
      <c r="G4045" t="s">
        <v>13759</v>
      </c>
      <c r="H4045" t="s">
        <v>13760</v>
      </c>
      <c r="I4045" t="s">
        <v>13761</v>
      </c>
      <c r="J4045" t="s">
        <v>12922</v>
      </c>
      <c r="K4045" s="2" t="str">
        <f>HYPERLINK("http://collections.slsa.sa.gov.au/resource/PRG+1718/2/25")</f>
        <v>http://collections.slsa.sa.gov.au/resource/PRG+1718/2/25</v>
      </c>
    </row>
    <row r="4046" spans="1:11" x14ac:dyDescent="0.25">
      <c r="A4046" t="s">
        <v>13762</v>
      </c>
      <c r="B4046" s="1" t="str">
        <f>HYPERLINK("https://www.catalog.slsa.sa.gov.au/record=b3139640")</f>
        <v>https://www.catalog.slsa.sa.gov.au/record=b3139640</v>
      </c>
      <c r="C4046" s="1" t="str">
        <f>HYPERLINK("https://www.catalog.slsa.sa.gov.au/xrecord=b3139640")</f>
        <v>https://www.catalog.slsa.sa.gov.au/xrecord=b3139640</v>
      </c>
      <c r="D4046" t="s">
        <v>13649</v>
      </c>
      <c r="E4046" t="s">
        <v>13763</v>
      </c>
      <c r="F4046" t="s">
        <v>13743</v>
      </c>
      <c r="G4046" t="s">
        <v>13764</v>
      </c>
      <c r="H4046" t="s">
        <v>13765</v>
      </c>
      <c r="I4046" t="s">
        <v>13766</v>
      </c>
      <c r="J4046" t="s">
        <v>12922</v>
      </c>
      <c r="K4046" s="2" t="str">
        <f>HYPERLINK("http://collections.slsa.sa.gov.au/resource/PRG+1718/2/26")</f>
        <v>http://collections.slsa.sa.gov.au/resource/PRG+1718/2/26</v>
      </c>
    </row>
    <row r="4047" spans="1:11" x14ac:dyDescent="0.25">
      <c r="A4047" t="s">
        <v>13767</v>
      </c>
      <c r="B4047" s="1" t="str">
        <f>HYPERLINK("https://www.catalog.slsa.sa.gov.au/record=b3139643")</f>
        <v>https://www.catalog.slsa.sa.gov.au/record=b3139643</v>
      </c>
      <c r="C4047" s="1" t="str">
        <f>HYPERLINK("https://www.catalog.slsa.sa.gov.au/xrecord=b3139643")</f>
        <v>https://www.catalog.slsa.sa.gov.au/xrecord=b3139643</v>
      </c>
      <c r="D4047" t="s">
        <v>13649</v>
      </c>
      <c r="E4047" t="s">
        <v>13768</v>
      </c>
      <c r="F4047" t="s">
        <v>13743</v>
      </c>
      <c r="G4047" t="s">
        <v>13769</v>
      </c>
      <c r="H4047" t="s">
        <v>13770</v>
      </c>
      <c r="I4047" t="s">
        <v>13771</v>
      </c>
      <c r="J4047" t="s">
        <v>12922</v>
      </c>
      <c r="K4047" s="2" t="str">
        <f>HYPERLINK("http://collections.slsa.sa.gov.au/resource/PRG+1718/2/27")</f>
        <v>http://collections.slsa.sa.gov.au/resource/PRG+1718/2/27</v>
      </c>
    </row>
    <row r="4048" spans="1:11" x14ac:dyDescent="0.25">
      <c r="A4048" t="s">
        <v>13772</v>
      </c>
      <c r="B4048" s="1" t="str">
        <f>HYPERLINK("https://www.catalog.slsa.sa.gov.au/record=b3139645")</f>
        <v>https://www.catalog.slsa.sa.gov.au/record=b3139645</v>
      </c>
      <c r="C4048" s="1" t="str">
        <f>HYPERLINK("https://www.catalog.slsa.sa.gov.au/xrecord=b3139645")</f>
        <v>https://www.catalog.slsa.sa.gov.au/xrecord=b3139645</v>
      </c>
      <c r="D4048" t="s">
        <v>13649</v>
      </c>
      <c r="E4048" t="s">
        <v>13773</v>
      </c>
      <c r="F4048" t="s">
        <v>13743</v>
      </c>
      <c r="G4048" t="s">
        <v>13774</v>
      </c>
      <c r="H4048" t="s">
        <v>12918</v>
      </c>
      <c r="I4048" t="s">
        <v>12921</v>
      </c>
      <c r="J4048" t="s">
        <v>12922</v>
      </c>
      <c r="K4048" s="2" t="str">
        <f>HYPERLINK("http://collections.slsa.sa.gov.au/resource/PRG+1718/2/28")</f>
        <v>http://collections.slsa.sa.gov.au/resource/PRG+1718/2/28</v>
      </c>
    </row>
    <row r="4049" spans="1:11" x14ac:dyDescent="0.25">
      <c r="A4049" t="s">
        <v>13775</v>
      </c>
      <c r="B4049" s="1" t="str">
        <f>HYPERLINK("https://www.catalog.slsa.sa.gov.au/record=b3139646")</f>
        <v>https://www.catalog.slsa.sa.gov.au/record=b3139646</v>
      </c>
      <c r="C4049" s="1" t="str">
        <f>HYPERLINK("https://www.catalog.slsa.sa.gov.au/xrecord=b3139646")</f>
        <v>https://www.catalog.slsa.sa.gov.au/xrecord=b3139646</v>
      </c>
      <c r="D4049" t="s">
        <v>13649</v>
      </c>
      <c r="E4049" t="s">
        <v>13776</v>
      </c>
      <c r="F4049" t="s">
        <v>13743</v>
      </c>
      <c r="G4049" t="s">
        <v>13777</v>
      </c>
      <c r="H4049" t="s">
        <v>13773</v>
      </c>
      <c r="I4049" t="s">
        <v>12921</v>
      </c>
      <c r="J4049" t="s">
        <v>12922</v>
      </c>
      <c r="K4049" s="2" t="str">
        <f>HYPERLINK("http://collections.slsa.sa.gov.au/resource/PRG+1718/2/29")</f>
        <v>http://collections.slsa.sa.gov.au/resource/PRG+1718/2/29</v>
      </c>
    </row>
    <row r="4050" spans="1:11" x14ac:dyDescent="0.25">
      <c r="A4050" t="s">
        <v>13778</v>
      </c>
      <c r="B4050" s="1" t="str">
        <f>HYPERLINK("https://www.catalog.slsa.sa.gov.au/record=b3139982")</f>
        <v>https://www.catalog.slsa.sa.gov.au/record=b3139982</v>
      </c>
      <c r="C4050" s="1" t="str">
        <f>HYPERLINK("https://www.catalog.slsa.sa.gov.au/xrecord=b3139982")</f>
        <v>https://www.catalog.slsa.sa.gov.au/xrecord=b3139982</v>
      </c>
      <c r="D4050" t="s">
        <v>13649</v>
      </c>
      <c r="E4050" t="s">
        <v>13779</v>
      </c>
      <c r="F4050" t="s">
        <v>13743</v>
      </c>
      <c r="G4050" t="s">
        <v>13780</v>
      </c>
      <c r="H4050" t="s">
        <v>13781</v>
      </c>
      <c r="I4050" t="s">
        <v>13782</v>
      </c>
      <c r="J4050" t="s">
        <v>12922</v>
      </c>
      <c r="K4050" s="2" t="str">
        <f>HYPERLINK("http://collections.slsa.sa.gov.au/resource/PRG+1718/3/12")</f>
        <v>http://collections.slsa.sa.gov.au/resource/PRG+1718/3/12</v>
      </c>
    </row>
    <row r="4051" spans="1:11" x14ac:dyDescent="0.25">
      <c r="A4051" t="s">
        <v>13783</v>
      </c>
      <c r="B4051" s="1" t="str">
        <f>HYPERLINK("https://www.catalog.slsa.sa.gov.au/record=b3139983")</f>
        <v>https://www.catalog.slsa.sa.gov.au/record=b3139983</v>
      </c>
      <c r="C4051" s="1" t="str">
        <f>HYPERLINK("https://www.catalog.slsa.sa.gov.au/xrecord=b3139983")</f>
        <v>https://www.catalog.slsa.sa.gov.au/xrecord=b3139983</v>
      </c>
      <c r="D4051" t="s">
        <v>13649</v>
      </c>
      <c r="E4051" t="s">
        <v>13784</v>
      </c>
      <c r="F4051" t="s">
        <v>13743</v>
      </c>
      <c r="G4051" t="s">
        <v>13785</v>
      </c>
      <c r="H4051" t="s">
        <v>13786</v>
      </c>
      <c r="I4051" t="s">
        <v>12921</v>
      </c>
      <c r="J4051" t="s">
        <v>12922</v>
      </c>
      <c r="K4051" s="2" t="str">
        <f>HYPERLINK("http://collections.slsa.sa.gov.au/resource/PRG+1718/3/13")</f>
        <v>http://collections.slsa.sa.gov.au/resource/PRG+1718/3/13</v>
      </c>
    </row>
    <row r="4052" spans="1:11" x14ac:dyDescent="0.25">
      <c r="A4052" t="s">
        <v>13787</v>
      </c>
      <c r="B4052" s="1" t="str">
        <f>HYPERLINK("https://www.catalog.slsa.sa.gov.au/record=b2107565")</f>
        <v>https://www.catalog.slsa.sa.gov.au/record=b2107565</v>
      </c>
      <c r="C4052" s="1" t="str">
        <f>HYPERLINK("https://www.catalog.slsa.sa.gov.au/xrecord=b2107565")</f>
        <v>https://www.catalog.slsa.sa.gov.au/xrecord=b2107565</v>
      </c>
      <c r="E4052" t="s">
        <v>13788</v>
      </c>
      <c r="F4052">
        <v>1973</v>
      </c>
      <c r="G4052" t="s">
        <v>13789</v>
      </c>
      <c r="H4052" t="s">
        <v>14</v>
      </c>
      <c r="I4052" t="s">
        <v>13790</v>
      </c>
      <c r="J4052" t="s">
        <v>16</v>
      </c>
      <c r="K4052" s="2" t="str">
        <f>HYPERLINK("http://collections.slsa.sa.gov.au/arbonlem/00750/PRG1324_648.htm")</f>
        <v>http://collections.slsa.sa.gov.au/arbonlem/00750/PRG1324_648.htm</v>
      </c>
    </row>
    <row r="4053" spans="1:11" x14ac:dyDescent="0.25">
      <c r="A4053" t="s">
        <v>13791</v>
      </c>
      <c r="B4053" s="1" t="str">
        <f>HYPERLINK("https://www.catalog.slsa.sa.gov.au/record=b2110468")</f>
        <v>https://www.catalog.slsa.sa.gov.au/record=b2110468</v>
      </c>
      <c r="C4053" s="1" t="str">
        <f>HYPERLINK("https://www.catalog.slsa.sa.gov.au/xrecord=b2110468")</f>
        <v>https://www.catalog.slsa.sa.gov.au/xrecord=b2110468</v>
      </c>
      <c r="D4053" t="s">
        <v>66</v>
      </c>
      <c r="E4053" t="s">
        <v>13343</v>
      </c>
      <c r="F4053">
        <v>1973</v>
      </c>
      <c r="G4053" t="s">
        <v>121</v>
      </c>
      <c r="H4053" t="s">
        <v>13792</v>
      </c>
      <c r="I4053" t="s">
        <v>13793</v>
      </c>
      <c r="J4053" t="s">
        <v>71</v>
      </c>
      <c r="K4053" s="2" t="str">
        <f>HYPERLINK("http://collections.slsa.sa.gov.au/arthur/01250/BRG347_1247.htm")</f>
        <v>http://collections.slsa.sa.gov.au/arthur/01250/BRG347_1247.htm</v>
      </c>
    </row>
    <row r="4054" spans="1:11" x14ac:dyDescent="0.25">
      <c r="A4054" t="s">
        <v>13794</v>
      </c>
      <c r="B4054" s="1" t="str">
        <f>HYPERLINK("https://www.catalog.slsa.sa.gov.au/record=b2110469")</f>
        <v>https://www.catalog.slsa.sa.gov.au/record=b2110469</v>
      </c>
      <c r="C4054" s="1" t="str">
        <f>HYPERLINK("https://www.catalog.slsa.sa.gov.au/xrecord=b2110469")</f>
        <v>https://www.catalog.slsa.sa.gov.au/xrecord=b2110469</v>
      </c>
      <c r="D4054" t="s">
        <v>66</v>
      </c>
      <c r="E4054" t="s">
        <v>12947</v>
      </c>
      <c r="F4054">
        <v>1973</v>
      </c>
      <c r="G4054" t="s">
        <v>121</v>
      </c>
      <c r="H4054" t="s">
        <v>13795</v>
      </c>
      <c r="I4054" t="s">
        <v>12188</v>
      </c>
      <c r="J4054" t="s">
        <v>71</v>
      </c>
      <c r="K4054" s="2" t="str">
        <f>HYPERLINK("http://collections.slsa.sa.gov.au/arthur/01250/BRG347_1248.htm")</f>
        <v>http://collections.slsa.sa.gov.au/arthur/01250/BRG347_1248.htm</v>
      </c>
    </row>
    <row r="4055" spans="1:11" x14ac:dyDescent="0.25">
      <c r="A4055" t="s">
        <v>13796</v>
      </c>
      <c r="B4055" s="1" t="str">
        <f>HYPERLINK("https://www.catalog.slsa.sa.gov.au/record=b2110474")</f>
        <v>https://www.catalog.slsa.sa.gov.au/record=b2110474</v>
      </c>
      <c r="C4055" s="1" t="str">
        <f>HYPERLINK("https://www.catalog.slsa.sa.gov.au/xrecord=b2110474")</f>
        <v>https://www.catalog.slsa.sa.gov.au/xrecord=b2110474</v>
      </c>
      <c r="D4055" t="s">
        <v>66</v>
      </c>
      <c r="E4055" t="s">
        <v>12947</v>
      </c>
      <c r="F4055">
        <v>1973</v>
      </c>
      <c r="G4055" t="s">
        <v>121</v>
      </c>
      <c r="H4055" t="s">
        <v>13797</v>
      </c>
      <c r="I4055" t="s">
        <v>13798</v>
      </c>
      <c r="J4055" t="s">
        <v>71</v>
      </c>
      <c r="K4055" s="2" t="str">
        <f>HYPERLINK("http://collections.slsa.sa.gov.au/arthur/01500/BRG347_1253.htm")</f>
        <v>http://collections.slsa.sa.gov.au/arthur/01500/BRG347_1253.htm</v>
      </c>
    </row>
    <row r="4056" spans="1:11" x14ac:dyDescent="0.25">
      <c r="A4056" t="s">
        <v>13799</v>
      </c>
      <c r="B4056" s="1" t="str">
        <f>HYPERLINK("https://www.catalog.slsa.sa.gov.au/record=b2110475")</f>
        <v>https://www.catalog.slsa.sa.gov.au/record=b2110475</v>
      </c>
      <c r="C4056" s="1" t="str">
        <f>HYPERLINK("https://www.catalog.slsa.sa.gov.au/xrecord=b2110475")</f>
        <v>https://www.catalog.slsa.sa.gov.au/xrecord=b2110475</v>
      </c>
      <c r="D4056" t="s">
        <v>66</v>
      </c>
      <c r="E4056" t="s">
        <v>12947</v>
      </c>
      <c r="F4056">
        <v>1973</v>
      </c>
      <c r="G4056" t="s">
        <v>121</v>
      </c>
      <c r="H4056" t="s">
        <v>13800</v>
      </c>
      <c r="I4056" t="s">
        <v>13798</v>
      </c>
      <c r="J4056" t="s">
        <v>71</v>
      </c>
      <c r="K4056" s="2" t="str">
        <f>HYPERLINK("http://collections.slsa.sa.gov.au/arthur/01500/BRG347_1254.htm")</f>
        <v>http://collections.slsa.sa.gov.au/arthur/01500/BRG347_1254.htm</v>
      </c>
    </row>
    <row r="4057" spans="1:11" x14ac:dyDescent="0.25">
      <c r="A4057" t="s">
        <v>13801</v>
      </c>
      <c r="B4057" s="1" t="str">
        <f>HYPERLINK("https://www.catalog.slsa.sa.gov.au/record=b2110580")</f>
        <v>https://www.catalog.slsa.sa.gov.au/record=b2110580</v>
      </c>
      <c r="C4057" s="1" t="str">
        <f>HYPERLINK("https://www.catalog.slsa.sa.gov.au/xrecord=b2110580")</f>
        <v>https://www.catalog.slsa.sa.gov.au/xrecord=b2110580</v>
      </c>
      <c r="D4057" t="s">
        <v>66</v>
      </c>
      <c r="E4057" t="s">
        <v>13356</v>
      </c>
      <c r="F4057">
        <v>1973</v>
      </c>
      <c r="G4057" t="s">
        <v>121</v>
      </c>
      <c r="H4057" t="s">
        <v>13802</v>
      </c>
      <c r="I4057" t="s">
        <v>13803</v>
      </c>
      <c r="J4057" t="s">
        <v>71</v>
      </c>
      <c r="K4057" s="2" t="str">
        <f>HYPERLINK("http://collections.slsa.sa.gov.au/arthur/01500/BRG347_1297.htm")</f>
        <v>http://collections.slsa.sa.gov.au/arthur/01500/BRG347_1297.htm</v>
      </c>
    </row>
    <row r="4058" spans="1:11" x14ac:dyDescent="0.25">
      <c r="A4058" t="s">
        <v>13804</v>
      </c>
      <c r="B4058" s="1" t="str">
        <f>HYPERLINK("https://www.catalog.slsa.sa.gov.au/record=b2110582")</f>
        <v>https://www.catalog.slsa.sa.gov.au/record=b2110582</v>
      </c>
      <c r="C4058" s="1" t="str">
        <f>HYPERLINK("https://www.catalog.slsa.sa.gov.au/xrecord=b2110582")</f>
        <v>https://www.catalog.slsa.sa.gov.au/xrecord=b2110582</v>
      </c>
      <c r="D4058" t="s">
        <v>66</v>
      </c>
      <c r="E4058" t="s">
        <v>13356</v>
      </c>
      <c r="F4058">
        <v>1973</v>
      </c>
      <c r="G4058" t="s">
        <v>121</v>
      </c>
      <c r="H4058" t="s">
        <v>13805</v>
      </c>
      <c r="I4058" t="s">
        <v>13806</v>
      </c>
      <c r="J4058" t="s">
        <v>71</v>
      </c>
      <c r="K4058" s="2" t="str">
        <f>HYPERLINK("http://collections.slsa.sa.gov.au/arthur/01500/BRG347_1299.htm")</f>
        <v>http://collections.slsa.sa.gov.au/arthur/01500/BRG347_1299.htm</v>
      </c>
    </row>
    <row r="4059" spans="1:11" x14ac:dyDescent="0.25">
      <c r="A4059" t="s">
        <v>13807</v>
      </c>
      <c r="B4059" s="1" t="str">
        <f>HYPERLINK("https://www.catalog.slsa.sa.gov.au/record=b2110901")</f>
        <v>https://www.catalog.slsa.sa.gov.au/record=b2110901</v>
      </c>
      <c r="C4059" s="1" t="str">
        <f>HYPERLINK("https://www.catalog.slsa.sa.gov.au/xrecord=b2110901")</f>
        <v>https://www.catalog.slsa.sa.gov.au/xrecord=b2110901</v>
      </c>
      <c r="D4059" t="s">
        <v>66</v>
      </c>
      <c r="E4059" t="s">
        <v>13808</v>
      </c>
      <c r="F4059">
        <v>1973</v>
      </c>
      <c r="G4059" t="s">
        <v>121</v>
      </c>
      <c r="H4059" t="s">
        <v>13809</v>
      </c>
      <c r="I4059" t="s">
        <v>13810</v>
      </c>
      <c r="J4059" t="s">
        <v>71</v>
      </c>
      <c r="K4059" s="2" t="str">
        <f>HYPERLINK("http://collections.slsa.sa.gov.au/arthur/01750/BRG347_1581.htm")</f>
        <v>http://collections.slsa.sa.gov.au/arthur/01750/BRG347_1581.htm</v>
      </c>
    </row>
    <row r="4060" spans="1:11" x14ac:dyDescent="0.25">
      <c r="A4060" t="s">
        <v>13811</v>
      </c>
      <c r="B4060" s="1" t="str">
        <f>HYPERLINK("https://www.catalog.slsa.sa.gov.au/record=b2111032")</f>
        <v>https://www.catalog.slsa.sa.gov.au/record=b2111032</v>
      </c>
      <c r="C4060" s="1" t="str">
        <f>HYPERLINK("https://www.catalog.slsa.sa.gov.au/xrecord=b2111032")</f>
        <v>https://www.catalog.slsa.sa.gov.au/xrecord=b2111032</v>
      </c>
      <c r="D4060" t="s">
        <v>66</v>
      </c>
      <c r="E4060" t="s">
        <v>13812</v>
      </c>
      <c r="F4060">
        <v>1973</v>
      </c>
      <c r="G4060" t="s">
        <v>121</v>
      </c>
      <c r="H4060" t="s">
        <v>13813</v>
      </c>
      <c r="I4060" t="s">
        <v>13814</v>
      </c>
      <c r="J4060" t="s">
        <v>71</v>
      </c>
      <c r="K4060" s="2" t="str">
        <f>HYPERLINK("http://collections.slsa.sa.gov.au/arthur/01750/BRG347_1714.htm")</f>
        <v>http://collections.slsa.sa.gov.au/arthur/01750/BRG347_1714.htm</v>
      </c>
    </row>
    <row r="4061" spans="1:11" x14ac:dyDescent="0.25">
      <c r="A4061" t="s">
        <v>13815</v>
      </c>
      <c r="B4061" s="1" t="str">
        <f>HYPERLINK("https://www.catalog.slsa.sa.gov.au/record=b2117881")</f>
        <v>https://www.catalog.slsa.sa.gov.au/record=b2117881</v>
      </c>
      <c r="C4061" s="1" t="str">
        <f>HYPERLINK("https://www.catalog.slsa.sa.gov.au/xrecord=b2117881")</f>
        <v>https://www.catalog.slsa.sa.gov.au/xrecord=b2117881</v>
      </c>
      <c r="D4061" t="s">
        <v>66</v>
      </c>
      <c r="E4061" t="s">
        <v>13816</v>
      </c>
      <c r="F4061">
        <v>1973</v>
      </c>
      <c r="G4061" t="s">
        <v>121</v>
      </c>
      <c r="H4061" t="s">
        <v>13817</v>
      </c>
      <c r="I4061" t="s">
        <v>13818</v>
      </c>
      <c r="J4061" t="s">
        <v>71</v>
      </c>
      <c r="K4061" s="2" t="str">
        <f>HYPERLINK("http://collections.slsa.sa.gov.au/arthur/02000/BRG347_1797.htm")</f>
        <v>http://collections.slsa.sa.gov.au/arthur/02000/BRG347_1797.htm</v>
      </c>
    </row>
    <row r="4062" spans="1:11" x14ac:dyDescent="0.25">
      <c r="A4062" t="s">
        <v>13819</v>
      </c>
      <c r="B4062" s="1" t="str">
        <f>HYPERLINK("https://www.catalog.slsa.sa.gov.au/record=b2111112")</f>
        <v>https://www.catalog.slsa.sa.gov.au/record=b2111112</v>
      </c>
      <c r="C4062" s="1" t="str">
        <f>HYPERLINK("https://www.catalog.slsa.sa.gov.au/xrecord=b2111112")</f>
        <v>https://www.catalog.slsa.sa.gov.au/xrecord=b2111112</v>
      </c>
      <c r="D4062" t="s">
        <v>66</v>
      </c>
      <c r="E4062" t="s">
        <v>9635</v>
      </c>
      <c r="F4062">
        <v>1973</v>
      </c>
      <c r="G4062" t="s">
        <v>121</v>
      </c>
      <c r="H4062" t="s">
        <v>13820</v>
      </c>
      <c r="I4062" t="s">
        <v>1619</v>
      </c>
      <c r="J4062" t="s">
        <v>71</v>
      </c>
      <c r="K4062" s="2" t="str">
        <f>HYPERLINK("http://collections.slsa.sa.gov.au/arthur/02000/BRG347_1798.htm")</f>
        <v>http://collections.slsa.sa.gov.au/arthur/02000/BRG347_1798.htm</v>
      </c>
    </row>
    <row r="4063" spans="1:11" x14ac:dyDescent="0.25">
      <c r="A4063" t="s">
        <v>13821</v>
      </c>
      <c r="B4063" s="1" t="str">
        <f>HYPERLINK("https://www.catalog.slsa.sa.gov.au/record=b2111130")</f>
        <v>https://www.catalog.slsa.sa.gov.au/record=b2111130</v>
      </c>
      <c r="C4063" s="1" t="str">
        <f>HYPERLINK("https://www.catalog.slsa.sa.gov.au/xrecord=b2111130")</f>
        <v>https://www.catalog.slsa.sa.gov.au/xrecord=b2111130</v>
      </c>
      <c r="D4063" t="s">
        <v>66</v>
      </c>
      <c r="E4063" t="s">
        <v>9635</v>
      </c>
      <c r="F4063">
        <v>1973</v>
      </c>
      <c r="G4063" t="s">
        <v>121</v>
      </c>
      <c r="H4063" t="s">
        <v>13822</v>
      </c>
      <c r="I4063" t="s">
        <v>1619</v>
      </c>
      <c r="J4063" t="s">
        <v>71</v>
      </c>
      <c r="K4063" s="2" t="str">
        <f>HYPERLINK("http://collections.slsa.sa.gov.au/arthur/02000/BRG347_1816.htm")</f>
        <v>http://collections.slsa.sa.gov.au/arthur/02000/BRG347_1816.htm</v>
      </c>
    </row>
    <row r="4064" spans="1:11" x14ac:dyDescent="0.25">
      <c r="A4064" t="s">
        <v>13823</v>
      </c>
      <c r="B4064" s="1" t="str">
        <f>HYPERLINK("https://www.catalog.slsa.sa.gov.au/record=b2111132")</f>
        <v>https://www.catalog.slsa.sa.gov.au/record=b2111132</v>
      </c>
      <c r="C4064" s="1" t="str">
        <f>HYPERLINK("https://www.catalog.slsa.sa.gov.au/xrecord=b2111132")</f>
        <v>https://www.catalog.slsa.sa.gov.au/xrecord=b2111132</v>
      </c>
      <c r="D4064" t="s">
        <v>66</v>
      </c>
      <c r="E4064" t="s">
        <v>9635</v>
      </c>
      <c r="F4064">
        <v>1973</v>
      </c>
      <c r="G4064" t="s">
        <v>121</v>
      </c>
      <c r="H4064" t="s">
        <v>13822</v>
      </c>
      <c r="I4064" t="s">
        <v>1619</v>
      </c>
      <c r="J4064" t="s">
        <v>71</v>
      </c>
      <c r="K4064" s="2" t="str">
        <f>HYPERLINK("http://collections.slsa.sa.gov.au/arthur/02000/BRG347_1818.htm")</f>
        <v>http://collections.slsa.sa.gov.au/arthur/02000/BRG347_1818.htm</v>
      </c>
    </row>
    <row r="4065" spans="1:11" x14ac:dyDescent="0.25">
      <c r="A4065" t="s">
        <v>13824</v>
      </c>
      <c r="B4065" s="1" t="str">
        <f>HYPERLINK("https://www.catalog.slsa.sa.gov.au/record=b2111133")</f>
        <v>https://www.catalog.slsa.sa.gov.au/record=b2111133</v>
      </c>
      <c r="C4065" s="1" t="str">
        <f>HYPERLINK("https://www.catalog.slsa.sa.gov.au/xrecord=b2111133")</f>
        <v>https://www.catalog.slsa.sa.gov.au/xrecord=b2111133</v>
      </c>
      <c r="D4065" t="s">
        <v>66</v>
      </c>
      <c r="E4065" t="s">
        <v>9635</v>
      </c>
      <c r="F4065">
        <v>1973</v>
      </c>
      <c r="G4065" t="s">
        <v>121</v>
      </c>
      <c r="H4065" t="s">
        <v>13822</v>
      </c>
      <c r="I4065" t="s">
        <v>1619</v>
      </c>
      <c r="J4065" t="s">
        <v>71</v>
      </c>
      <c r="K4065" s="2" t="str">
        <f>HYPERLINK("http://collections.slsa.sa.gov.au/arthur/02000/BRG347_1819.htm")</f>
        <v>http://collections.slsa.sa.gov.au/arthur/02000/BRG347_1819.htm</v>
      </c>
    </row>
    <row r="4066" spans="1:11" x14ac:dyDescent="0.25">
      <c r="A4066" t="s">
        <v>13825</v>
      </c>
      <c r="B4066" s="1" t="str">
        <f>HYPERLINK("https://www.catalog.slsa.sa.gov.au/record=b2111134")</f>
        <v>https://www.catalog.slsa.sa.gov.au/record=b2111134</v>
      </c>
      <c r="C4066" s="1" t="str">
        <f>HYPERLINK("https://www.catalog.slsa.sa.gov.au/xrecord=b2111134")</f>
        <v>https://www.catalog.slsa.sa.gov.au/xrecord=b2111134</v>
      </c>
      <c r="D4066" t="s">
        <v>66</v>
      </c>
      <c r="E4066" t="s">
        <v>9635</v>
      </c>
      <c r="F4066">
        <v>1973</v>
      </c>
      <c r="G4066" t="s">
        <v>121</v>
      </c>
      <c r="H4066" t="s">
        <v>13822</v>
      </c>
      <c r="I4066" t="s">
        <v>1619</v>
      </c>
      <c r="J4066" t="s">
        <v>71</v>
      </c>
      <c r="K4066" s="2" t="str">
        <f>HYPERLINK("http://collections.slsa.sa.gov.au/arthur/02000/BRG347_1820.htm")</f>
        <v>http://collections.slsa.sa.gov.au/arthur/02000/BRG347_1820.htm</v>
      </c>
    </row>
    <row r="4067" spans="1:11" x14ac:dyDescent="0.25">
      <c r="A4067" t="s">
        <v>13826</v>
      </c>
      <c r="B4067" s="1" t="str">
        <f>HYPERLINK("https://www.catalog.slsa.sa.gov.au/record=b2111138")</f>
        <v>https://www.catalog.slsa.sa.gov.au/record=b2111138</v>
      </c>
      <c r="C4067" s="1" t="str">
        <f>HYPERLINK("https://www.catalog.slsa.sa.gov.au/xrecord=b2111138")</f>
        <v>https://www.catalog.slsa.sa.gov.au/xrecord=b2111138</v>
      </c>
      <c r="D4067" t="s">
        <v>66</v>
      </c>
      <c r="E4067" t="s">
        <v>13286</v>
      </c>
      <c r="F4067">
        <v>1973</v>
      </c>
      <c r="G4067" t="s">
        <v>121</v>
      </c>
      <c r="H4067" t="s">
        <v>13827</v>
      </c>
      <c r="I4067" t="s">
        <v>9193</v>
      </c>
      <c r="J4067" t="s">
        <v>71</v>
      </c>
      <c r="K4067" s="2" t="str">
        <f>HYPERLINK("http://collections.slsa.sa.gov.au/arthur/02000/BRG347_1824.htm")</f>
        <v>http://collections.slsa.sa.gov.au/arthur/02000/BRG347_1824.htm</v>
      </c>
    </row>
    <row r="4068" spans="1:11" x14ac:dyDescent="0.25">
      <c r="A4068" t="s">
        <v>13828</v>
      </c>
      <c r="B4068" s="1" t="str">
        <f>HYPERLINK("https://www.catalog.slsa.sa.gov.au/record=b2111139")</f>
        <v>https://www.catalog.slsa.sa.gov.au/record=b2111139</v>
      </c>
      <c r="C4068" s="1" t="str">
        <f>HYPERLINK("https://www.catalog.slsa.sa.gov.au/xrecord=b2111139")</f>
        <v>https://www.catalog.slsa.sa.gov.au/xrecord=b2111139</v>
      </c>
      <c r="D4068" t="s">
        <v>66</v>
      </c>
      <c r="E4068" t="s">
        <v>13829</v>
      </c>
      <c r="F4068">
        <v>1973</v>
      </c>
      <c r="G4068" t="s">
        <v>121</v>
      </c>
      <c r="H4068" t="s">
        <v>13830</v>
      </c>
      <c r="I4068" t="s">
        <v>13831</v>
      </c>
      <c r="J4068" t="s">
        <v>71</v>
      </c>
      <c r="K4068" s="2" t="str">
        <f>HYPERLINK("http://collections.slsa.sa.gov.au/arthur/02000/BRG347_1825.htm")</f>
        <v>http://collections.slsa.sa.gov.au/arthur/02000/BRG347_1825.htm</v>
      </c>
    </row>
    <row r="4069" spans="1:11" x14ac:dyDescent="0.25">
      <c r="A4069" t="s">
        <v>13832</v>
      </c>
      <c r="B4069" s="1" t="str">
        <f>HYPERLINK("https://www.catalog.slsa.sa.gov.au/record=b2111141")</f>
        <v>https://www.catalog.slsa.sa.gov.au/record=b2111141</v>
      </c>
      <c r="C4069" s="1" t="str">
        <f>HYPERLINK("https://www.catalog.slsa.sa.gov.au/xrecord=b2111141")</f>
        <v>https://www.catalog.slsa.sa.gov.au/xrecord=b2111141</v>
      </c>
      <c r="D4069" t="s">
        <v>66</v>
      </c>
      <c r="E4069" t="s">
        <v>13833</v>
      </c>
      <c r="F4069">
        <v>1973</v>
      </c>
      <c r="G4069" t="s">
        <v>121</v>
      </c>
      <c r="H4069" t="s">
        <v>13834</v>
      </c>
      <c r="I4069" t="s">
        <v>4792</v>
      </c>
      <c r="J4069" t="s">
        <v>71</v>
      </c>
      <c r="K4069" s="2" t="str">
        <f>HYPERLINK("http://collections.slsa.sa.gov.au/arthur/02000/BRG347_1827.htm")</f>
        <v>http://collections.slsa.sa.gov.au/arthur/02000/BRG347_1827.htm</v>
      </c>
    </row>
    <row r="4070" spans="1:11" x14ac:dyDescent="0.25">
      <c r="A4070" t="s">
        <v>13835</v>
      </c>
      <c r="B4070" s="1" t="str">
        <f>HYPERLINK("https://www.catalog.slsa.sa.gov.au/record=b2118044")</f>
        <v>https://www.catalog.slsa.sa.gov.au/record=b2118044</v>
      </c>
      <c r="C4070" s="1" t="str">
        <f>HYPERLINK("https://www.catalog.slsa.sa.gov.au/xrecord=b2118044")</f>
        <v>https://www.catalog.slsa.sa.gov.au/xrecord=b2118044</v>
      </c>
      <c r="D4070" t="s">
        <v>66</v>
      </c>
      <c r="E4070" t="s">
        <v>13836</v>
      </c>
      <c r="F4070">
        <v>1973</v>
      </c>
      <c r="G4070" t="s">
        <v>121</v>
      </c>
      <c r="H4070" t="s">
        <v>13837</v>
      </c>
      <c r="I4070" t="s">
        <v>13838</v>
      </c>
      <c r="J4070" t="s">
        <v>71</v>
      </c>
      <c r="K4070" s="2" t="str">
        <f>HYPERLINK("http://collections.slsa.sa.gov.au/arthur/03000/BRG347_2757.htm")</f>
        <v>http://collections.slsa.sa.gov.au/arthur/03000/BRG347_2757.htm</v>
      </c>
    </row>
    <row r="4071" spans="1:11" x14ac:dyDescent="0.25">
      <c r="A4071" t="s">
        <v>13839</v>
      </c>
      <c r="B4071" s="1" t="str">
        <f>HYPERLINK("https://www.catalog.slsa.sa.gov.au/record=b3140348")</f>
        <v>https://www.catalog.slsa.sa.gov.au/record=b3140348</v>
      </c>
      <c r="C4071" s="1" t="str">
        <f>HYPERLINK("https://www.catalog.slsa.sa.gov.au/xrecord=b3140348")</f>
        <v>https://www.catalog.slsa.sa.gov.au/xrecord=b3140348</v>
      </c>
      <c r="D4071" t="s">
        <v>13649</v>
      </c>
      <c r="E4071" t="s">
        <v>13840</v>
      </c>
      <c r="F4071">
        <v>1974</v>
      </c>
      <c r="G4071" t="s">
        <v>13841</v>
      </c>
      <c r="H4071" t="s">
        <v>13842</v>
      </c>
      <c r="I4071" t="s">
        <v>13843</v>
      </c>
      <c r="J4071" t="s">
        <v>12922</v>
      </c>
      <c r="K4071" s="2" t="str">
        <f>HYPERLINK("http://collections.slsa.sa.gov.au/resource/PRG+1718/3/44")</f>
        <v>http://collections.slsa.sa.gov.au/resource/PRG+1718/3/44</v>
      </c>
    </row>
    <row r="4072" spans="1:11" x14ac:dyDescent="0.25">
      <c r="A4072" t="s">
        <v>13844</v>
      </c>
      <c r="B4072" s="1" t="str">
        <f>HYPERLINK("https://www.catalog.slsa.sa.gov.au/record=b2110113")</f>
        <v>https://www.catalog.slsa.sa.gov.au/record=b2110113</v>
      </c>
      <c r="C4072" s="1" t="str">
        <f>HYPERLINK("https://www.catalog.slsa.sa.gov.au/xrecord=b2110113")</f>
        <v>https://www.catalog.slsa.sa.gov.au/xrecord=b2110113</v>
      </c>
      <c r="D4072" t="s">
        <v>66</v>
      </c>
      <c r="E4072" t="s">
        <v>13845</v>
      </c>
      <c r="F4072">
        <v>1974</v>
      </c>
      <c r="G4072" t="s">
        <v>121</v>
      </c>
      <c r="H4072" t="s">
        <v>13846</v>
      </c>
      <c r="I4072" t="s">
        <v>13847</v>
      </c>
      <c r="J4072" t="s">
        <v>71</v>
      </c>
      <c r="K4072" s="2" t="str">
        <f>HYPERLINK("http://collections.slsa.sa.gov.au/arthur/01000/BRG347_917.htm")</f>
        <v>http://collections.slsa.sa.gov.au/arthur/01000/BRG347_917.htm</v>
      </c>
    </row>
    <row r="4073" spans="1:11" x14ac:dyDescent="0.25">
      <c r="A4073" t="s">
        <v>13848</v>
      </c>
      <c r="B4073" s="1" t="str">
        <f>HYPERLINK("https://www.catalog.slsa.sa.gov.au/record=b2110581")</f>
        <v>https://www.catalog.slsa.sa.gov.au/record=b2110581</v>
      </c>
      <c r="C4073" s="1" t="str">
        <f>HYPERLINK("https://www.catalog.slsa.sa.gov.au/xrecord=b2110581")</f>
        <v>https://www.catalog.slsa.sa.gov.au/xrecord=b2110581</v>
      </c>
      <c r="D4073" t="s">
        <v>66</v>
      </c>
      <c r="E4073" t="s">
        <v>13849</v>
      </c>
      <c r="F4073">
        <v>1974</v>
      </c>
      <c r="G4073" t="s">
        <v>121</v>
      </c>
      <c r="H4073" t="s">
        <v>13850</v>
      </c>
      <c r="I4073" t="s">
        <v>13851</v>
      </c>
      <c r="J4073" t="s">
        <v>71</v>
      </c>
      <c r="K4073" s="2" t="str">
        <f>HYPERLINK("http://collections.slsa.sa.gov.au/arthur/01500/BRG347_1298.htm")</f>
        <v>http://collections.slsa.sa.gov.au/arthur/01500/BRG347_1298.htm</v>
      </c>
    </row>
    <row r="4074" spans="1:11" x14ac:dyDescent="0.25">
      <c r="A4074" t="s">
        <v>13852</v>
      </c>
      <c r="B4074" s="1" t="str">
        <f>HYPERLINK("https://www.catalog.slsa.sa.gov.au/record=b2111108")</f>
        <v>https://www.catalog.slsa.sa.gov.au/record=b2111108</v>
      </c>
      <c r="C4074" s="1" t="str">
        <f>HYPERLINK("https://www.catalog.slsa.sa.gov.au/xrecord=b2111108")</f>
        <v>https://www.catalog.slsa.sa.gov.au/xrecord=b2111108</v>
      </c>
      <c r="D4074" t="s">
        <v>66</v>
      </c>
      <c r="E4074" t="s">
        <v>13853</v>
      </c>
      <c r="F4074">
        <v>1974</v>
      </c>
      <c r="G4074" t="s">
        <v>121</v>
      </c>
      <c r="H4074" t="s">
        <v>13854</v>
      </c>
      <c r="I4074" t="s">
        <v>1619</v>
      </c>
      <c r="J4074" t="s">
        <v>71</v>
      </c>
      <c r="K4074" s="2" t="str">
        <f>HYPERLINK("http://collections.slsa.sa.gov.au/arthur/02000/BRG347_1793.htm")</f>
        <v>http://collections.slsa.sa.gov.au/arthur/02000/BRG347_1793.htm</v>
      </c>
    </row>
    <row r="4075" spans="1:11" x14ac:dyDescent="0.25">
      <c r="A4075" t="s">
        <v>13855</v>
      </c>
      <c r="B4075" s="1" t="str">
        <f>HYPERLINK("https://www.catalog.slsa.sa.gov.au/record=b2111109")</f>
        <v>https://www.catalog.slsa.sa.gov.au/record=b2111109</v>
      </c>
      <c r="C4075" s="1" t="str">
        <f>HYPERLINK("https://www.catalog.slsa.sa.gov.au/xrecord=b2111109")</f>
        <v>https://www.catalog.slsa.sa.gov.au/xrecord=b2111109</v>
      </c>
      <c r="D4075" t="s">
        <v>66</v>
      </c>
      <c r="E4075" t="s">
        <v>13853</v>
      </c>
      <c r="F4075">
        <v>1974</v>
      </c>
      <c r="G4075" t="s">
        <v>121</v>
      </c>
      <c r="H4075" t="s">
        <v>13854</v>
      </c>
      <c r="I4075" t="s">
        <v>1619</v>
      </c>
      <c r="J4075" t="s">
        <v>71</v>
      </c>
      <c r="K4075" s="2" t="str">
        <f>HYPERLINK("http://collections.slsa.sa.gov.au/arthur/02000/BRG347_1794.htm")</f>
        <v>http://collections.slsa.sa.gov.au/arthur/02000/BRG347_1794.htm</v>
      </c>
    </row>
    <row r="4076" spans="1:11" x14ac:dyDescent="0.25">
      <c r="A4076" t="s">
        <v>13856</v>
      </c>
      <c r="B4076" s="1" t="str">
        <f>HYPERLINK("https://www.catalog.slsa.sa.gov.au/record=b2111110")</f>
        <v>https://www.catalog.slsa.sa.gov.au/record=b2111110</v>
      </c>
      <c r="C4076" s="1" t="str">
        <f>HYPERLINK("https://www.catalog.slsa.sa.gov.au/xrecord=b2111110")</f>
        <v>https://www.catalog.slsa.sa.gov.au/xrecord=b2111110</v>
      </c>
      <c r="D4076" t="s">
        <v>66</v>
      </c>
      <c r="E4076" t="s">
        <v>13857</v>
      </c>
      <c r="F4076">
        <v>1974</v>
      </c>
      <c r="G4076" t="s">
        <v>121</v>
      </c>
      <c r="H4076" t="s">
        <v>13858</v>
      </c>
      <c r="I4076" t="s">
        <v>1619</v>
      </c>
      <c r="J4076" t="s">
        <v>71</v>
      </c>
      <c r="K4076" s="2" t="str">
        <f>HYPERLINK("http://collections.slsa.sa.gov.au/arthur/02000/BRG347_1795.htm")</f>
        <v>http://collections.slsa.sa.gov.au/arthur/02000/BRG347_1795.htm</v>
      </c>
    </row>
    <row r="4077" spans="1:11" x14ac:dyDescent="0.25">
      <c r="A4077" t="s">
        <v>13859</v>
      </c>
      <c r="B4077" s="1" t="str">
        <f>HYPERLINK("https://www.catalog.slsa.sa.gov.au/record=b2111111")</f>
        <v>https://www.catalog.slsa.sa.gov.au/record=b2111111</v>
      </c>
      <c r="C4077" s="1" t="str">
        <f>HYPERLINK("https://www.catalog.slsa.sa.gov.au/xrecord=b2111111")</f>
        <v>https://www.catalog.slsa.sa.gov.au/xrecord=b2111111</v>
      </c>
      <c r="D4077" t="s">
        <v>66</v>
      </c>
      <c r="E4077" t="s">
        <v>9635</v>
      </c>
      <c r="F4077">
        <v>1974</v>
      </c>
      <c r="G4077" t="s">
        <v>121</v>
      </c>
      <c r="H4077" t="s">
        <v>13860</v>
      </c>
      <c r="I4077" t="s">
        <v>1619</v>
      </c>
      <c r="J4077" t="s">
        <v>71</v>
      </c>
      <c r="K4077" s="2" t="str">
        <f>HYPERLINK("http://collections.slsa.sa.gov.au/arthur/02000/BRG347_1796.htm")</f>
        <v>http://collections.slsa.sa.gov.au/arthur/02000/BRG347_1796.htm</v>
      </c>
    </row>
    <row r="4078" spans="1:11" x14ac:dyDescent="0.25">
      <c r="A4078" t="s">
        <v>13861</v>
      </c>
      <c r="B4078" s="1" t="str">
        <f>HYPERLINK("https://www.catalog.slsa.sa.gov.au/record=b2112498")</f>
        <v>https://www.catalog.slsa.sa.gov.au/record=b2112498</v>
      </c>
      <c r="C4078" s="1" t="str">
        <f>HYPERLINK("https://www.catalog.slsa.sa.gov.au/xrecord=b2112498")</f>
        <v>https://www.catalog.slsa.sa.gov.au/xrecord=b2112498</v>
      </c>
      <c r="D4078" t="s">
        <v>66</v>
      </c>
      <c r="E4078" t="s">
        <v>8318</v>
      </c>
      <c r="F4078">
        <v>1974</v>
      </c>
      <c r="G4078" t="s">
        <v>121</v>
      </c>
      <c r="H4078" t="s">
        <v>13862</v>
      </c>
      <c r="I4078" t="s">
        <v>8320</v>
      </c>
      <c r="J4078" t="s">
        <v>71</v>
      </c>
      <c r="K4078" s="2" t="str">
        <f>HYPERLINK("http://collections.slsa.sa.gov.au/arthur/03000/BRG347_2761.htm")</f>
        <v>http://collections.slsa.sa.gov.au/arthur/03000/BRG347_2761.htm</v>
      </c>
    </row>
    <row r="4079" spans="1:11" x14ac:dyDescent="0.25">
      <c r="A4079" t="s">
        <v>13863</v>
      </c>
      <c r="B4079" s="1" t="str">
        <f>HYPERLINK("https://www.catalog.slsa.sa.gov.au/record=b3139622")</f>
        <v>https://www.catalog.slsa.sa.gov.au/record=b3139622</v>
      </c>
      <c r="C4079" s="1" t="str">
        <f>HYPERLINK("https://www.catalog.slsa.sa.gov.au/xrecord=b3139622")</f>
        <v>https://www.catalog.slsa.sa.gov.au/xrecord=b3139622</v>
      </c>
      <c r="D4079" t="s">
        <v>13649</v>
      </c>
      <c r="E4079" t="s">
        <v>13864</v>
      </c>
      <c r="F4079">
        <v>1974</v>
      </c>
      <c r="G4079" t="s">
        <v>13865</v>
      </c>
      <c r="H4079" t="s">
        <v>13866</v>
      </c>
      <c r="I4079" t="s">
        <v>13867</v>
      </c>
      <c r="J4079" t="s">
        <v>12922</v>
      </c>
      <c r="K4079" s="2" t="str">
        <f>HYPERLINK("http://collections.slsa.sa.gov.au/resource/PRG+1718/2/12")</f>
        <v>http://collections.slsa.sa.gov.au/resource/PRG+1718/2/12</v>
      </c>
    </row>
    <row r="4080" spans="1:11" x14ac:dyDescent="0.25">
      <c r="A4080" t="s">
        <v>13868</v>
      </c>
      <c r="B4080" s="1" t="str">
        <f>HYPERLINK("https://www.catalog.slsa.sa.gov.au/record=b3140345")</f>
        <v>https://www.catalog.slsa.sa.gov.au/record=b3140345</v>
      </c>
      <c r="C4080" s="1" t="str">
        <f>HYPERLINK("https://www.catalog.slsa.sa.gov.au/xrecord=b3140345")</f>
        <v>https://www.catalog.slsa.sa.gov.au/xrecord=b3140345</v>
      </c>
      <c r="D4080" t="s">
        <v>13649</v>
      </c>
      <c r="E4080" t="s">
        <v>13840</v>
      </c>
      <c r="F4080">
        <v>1974</v>
      </c>
      <c r="G4080" t="s">
        <v>13869</v>
      </c>
      <c r="H4080" t="s">
        <v>13870</v>
      </c>
      <c r="I4080" t="s">
        <v>13843</v>
      </c>
      <c r="J4080" t="s">
        <v>12922</v>
      </c>
      <c r="K4080" s="2" t="str">
        <f>HYPERLINK("http://collections.slsa.sa.gov.au/resource/PRG+1718/3/42")</f>
        <v>http://collections.slsa.sa.gov.au/resource/PRG+1718/3/42</v>
      </c>
    </row>
    <row r="4081" spans="1:11" x14ac:dyDescent="0.25">
      <c r="A4081" t="s">
        <v>13871</v>
      </c>
      <c r="B4081" s="1" t="str">
        <f>HYPERLINK("https://www.catalog.slsa.sa.gov.au/record=b3140346")</f>
        <v>https://www.catalog.slsa.sa.gov.au/record=b3140346</v>
      </c>
      <c r="C4081" s="1" t="str">
        <f>HYPERLINK("https://www.catalog.slsa.sa.gov.au/xrecord=b3140346")</f>
        <v>https://www.catalog.slsa.sa.gov.au/xrecord=b3140346</v>
      </c>
      <c r="D4081" t="s">
        <v>13649</v>
      </c>
      <c r="E4081" t="s">
        <v>13840</v>
      </c>
      <c r="F4081">
        <v>1974</v>
      </c>
      <c r="G4081" t="s">
        <v>13872</v>
      </c>
      <c r="H4081" t="s">
        <v>13873</v>
      </c>
      <c r="I4081" t="s">
        <v>13843</v>
      </c>
      <c r="J4081" t="s">
        <v>12922</v>
      </c>
      <c r="K4081" s="2" t="str">
        <f>HYPERLINK("http://collections.slsa.sa.gov.au/resource/PRG+1718/3/43")</f>
        <v>http://collections.slsa.sa.gov.au/resource/PRG+1718/3/43</v>
      </c>
    </row>
    <row r="4082" spans="1:11" x14ac:dyDescent="0.25">
      <c r="A4082" t="s">
        <v>13874</v>
      </c>
      <c r="B4082" s="1" t="str">
        <f>HYPERLINK("https://www.catalog.slsa.sa.gov.au/record=b3140349")</f>
        <v>https://www.catalog.slsa.sa.gov.au/record=b3140349</v>
      </c>
      <c r="C4082" s="1" t="str">
        <f>HYPERLINK("https://www.catalog.slsa.sa.gov.au/xrecord=b3140349")</f>
        <v>https://www.catalog.slsa.sa.gov.au/xrecord=b3140349</v>
      </c>
      <c r="D4082" t="s">
        <v>13649</v>
      </c>
      <c r="E4082" t="s">
        <v>13840</v>
      </c>
      <c r="F4082">
        <v>1974</v>
      </c>
      <c r="G4082" t="s">
        <v>13875</v>
      </c>
      <c r="H4082" t="s">
        <v>13842</v>
      </c>
      <c r="I4082" t="s">
        <v>13843</v>
      </c>
      <c r="J4082" t="s">
        <v>12922</v>
      </c>
      <c r="K4082" s="2" t="str">
        <f>HYPERLINK("http://collections.slsa.sa.gov.au/resource/PRG+1718/3/45")</f>
        <v>http://collections.slsa.sa.gov.au/resource/PRG+1718/3/45</v>
      </c>
    </row>
    <row r="4083" spans="1:11" x14ac:dyDescent="0.25">
      <c r="A4083" t="s">
        <v>13876</v>
      </c>
      <c r="B4083" s="1" t="str">
        <f>HYPERLINK("https://www.catalog.slsa.sa.gov.au/record=b3140350")</f>
        <v>https://www.catalog.slsa.sa.gov.au/record=b3140350</v>
      </c>
      <c r="C4083" s="1" t="str">
        <f>HYPERLINK("https://www.catalog.slsa.sa.gov.au/xrecord=b3140350")</f>
        <v>https://www.catalog.slsa.sa.gov.au/xrecord=b3140350</v>
      </c>
      <c r="D4083" t="s">
        <v>13649</v>
      </c>
      <c r="E4083" t="s">
        <v>13840</v>
      </c>
      <c r="F4083">
        <v>1974</v>
      </c>
      <c r="G4083" t="s">
        <v>13877</v>
      </c>
      <c r="H4083" t="s">
        <v>13842</v>
      </c>
      <c r="I4083" t="s">
        <v>13843</v>
      </c>
      <c r="J4083" t="s">
        <v>12922</v>
      </c>
      <c r="K4083" s="2" t="str">
        <f>HYPERLINK("http://collections.slsa.sa.gov.au/resource/PRG+1718/3/46")</f>
        <v>http://collections.slsa.sa.gov.au/resource/PRG+1718/3/46</v>
      </c>
    </row>
    <row r="4084" spans="1:11" x14ac:dyDescent="0.25">
      <c r="A4084" t="s">
        <v>13878</v>
      </c>
      <c r="B4084" s="1" t="str">
        <f>HYPERLINK("https://www.catalog.slsa.sa.gov.au/record=b3140383")</f>
        <v>https://www.catalog.slsa.sa.gov.au/record=b3140383</v>
      </c>
      <c r="C4084" s="1" t="str">
        <f>HYPERLINK("https://www.catalog.slsa.sa.gov.au/xrecord=b3140383")</f>
        <v>https://www.catalog.slsa.sa.gov.au/xrecord=b3140383</v>
      </c>
      <c r="D4084" t="s">
        <v>13649</v>
      </c>
      <c r="E4084" t="s">
        <v>13840</v>
      </c>
      <c r="F4084">
        <v>1974</v>
      </c>
      <c r="G4084" t="s">
        <v>13879</v>
      </c>
      <c r="H4084" t="s">
        <v>13842</v>
      </c>
      <c r="I4084" t="s">
        <v>13843</v>
      </c>
      <c r="J4084" t="s">
        <v>12922</v>
      </c>
      <c r="K4084" s="2" t="str">
        <f>HYPERLINK("http://collections.slsa.sa.gov.au/resource/PRG+1718/3/47")</f>
        <v>http://collections.slsa.sa.gov.au/resource/PRG+1718/3/47</v>
      </c>
    </row>
    <row r="4085" spans="1:11" x14ac:dyDescent="0.25">
      <c r="A4085" t="s">
        <v>13880</v>
      </c>
      <c r="B4085" s="1" t="str">
        <f>HYPERLINK("https://www.catalog.slsa.sa.gov.au/record=b3140384")</f>
        <v>https://www.catalog.slsa.sa.gov.au/record=b3140384</v>
      </c>
      <c r="C4085" s="1" t="str">
        <f>HYPERLINK("https://www.catalog.slsa.sa.gov.au/xrecord=b3140384")</f>
        <v>https://www.catalog.slsa.sa.gov.au/xrecord=b3140384</v>
      </c>
      <c r="D4085" t="s">
        <v>13649</v>
      </c>
      <c r="E4085" t="s">
        <v>13840</v>
      </c>
      <c r="F4085">
        <v>1974</v>
      </c>
      <c r="G4085" t="s">
        <v>13881</v>
      </c>
      <c r="H4085" t="s">
        <v>13842</v>
      </c>
      <c r="I4085" t="s">
        <v>13843</v>
      </c>
      <c r="J4085" t="s">
        <v>12922</v>
      </c>
      <c r="K4085" s="2" t="str">
        <f>HYPERLINK("http://collections.slsa.sa.gov.au/resource/PRG+1718/3/48")</f>
        <v>http://collections.slsa.sa.gov.au/resource/PRG+1718/3/48</v>
      </c>
    </row>
    <row r="4086" spans="1:11" x14ac:dyDescent="0.25">
      <c r="A4086" t="s">
        <v>13882</v>
      </c>
      <c r="B4086" s="1" t="str">
        <f>HYPERLINK("https://www.catalog.slsa.sa.gov.au/record=b3140386")</f>
        <v>https://www.catalog.slsa.sa.gov.au/record=b3140386</v>
      </c>
      <c r="C4086" s="1" t="str">
        <f>HYPERLINK("https://www.catalog.slsa.sa.gov.au/xrecord=b3140386")</f>
        <v>https://www.catalog.slsa.sa.gov.au/xrecord=b3140386</v>
      </c>
      <c r="D4086" t="s">
        <v>13649</v>
      </c>
      <c r="E4086" t="s">
        <v>13840</v>
      </c>
      <c r="F4086">
        <v>1974</v>
      </c>
      <c r="G4086" t="s">
        <v>13883</v>
      </c>
      <c r="H4086" t="s">
        <v>13884</v>
      </c>
      <c r="I4086" t="s">
        <v>13843</v>
      </c>
      <c r="J4086" t="s">
        <v>12922</v>
      </c>
      <c r="K4086" s="2" t="str">
        <f>HYPERLINK("http://collections.slsa.sa.gov.au/resource/PRG+1718/3/49")</f>
        <v>http://collections.slsa.sa.gov.au/resource/PRG+1718/3/49</v>
      </c>
    </row>
    <row r="4087" spans="1:11" x14ac:dyDescent="0.25">
      <c r="A4087" t="s">
        <v>13885</v>
      </c>
      <c r="B4087" s="1" t="str">
        <f>HYPERLINK("https://www.catalog.slsa.sa.gov.au/record=b3140387")</f>
        <v>https://www.catalog.slsa.sa.gov.au/record=b3140387</v>
      </c>
      <c r="C4087" s="1" t="str">
        <f>HYPERLINK("https://www.catalog.slsa.sa.gov.au/xrecord=b3140387")</f>
        <v>https://www.catalog.slsa.sa.gov.au/xrecord=b3140387</v>
      </c>
      <c r="D4087" t="s">
        <v>13649</v>
      </c>
      <c r="E4087" t="s">
        <v>13840</v>
      </c>
      <c r="F4087">
        <v>1974</v>
      </c>
      <c r="G4087" t="s">
        <v>13886</v>
      </c>
      <c r="H4087" t="s">
        <v>13887</v>
      </c>
      <c r="I4087" t="s">
        <v>13843</v>
      </c>
      <c r="J4087" t="s">
        <v>12922</v>
      </c>
      <c r="K4087" s="2" t="str">
        <f>HYPERLINK("http://collections.slsa.sa.gov.au/resource/PRG+1718/3/50")</f>
        <v>http://collections.slsa.sa.gov.au/resource/PRG+1718/3/50</v>
      </c>
    </row>
    <row r="4088" spans="1:11" x14ac:dyDescent="0.25">
      <c r="A4088" t="s">
        <v>13888</v>
      </c>
      <c r="B4088" s="1" t="str">
        <f>HYPERLINK("https://www.catalog.slsa.sa.gov.au/record=b3140388")</f>
        <v>https://www.catalog.slsa.sa.gov.au/record=b3140388</v>
      </c>
      <c r="C4088" s="1" t="str">
        <f>HYPERLINK("https://www.catalog.slsa.sa.gov.au/xrecord=b3140388")</f>
        <v>https://www.catalog.slsa.sa.gov.au/xrecord=b3140388</v>
      </c>
      <c r="D4088" t="s">
        <v>13649</v>
      </c>
      <c r="E4088" t="s">
        <v>13840</v>
      </c>
      <c r="F4088">
        <v>1974</v>
      </c>
      <c r="G4088" t="s">
        <v>13889</v>
      </c>
      <c r="H4088" t="s">
        <v>13887</v>
      </c>
      <c r="I4088" t="s">
        <v>13843</v>
      </c>
      <c r="J4088" t="s">
        <v>12922</v>
      </c>
      <c r="K4088" s="2" t="str">
        <f>HYPERLINK("http://collections.slsa.sa.gov.au/resource/PRG+1718/3/51")</f>
        <v>http://collections.slsa.sa.gov.au/resource/PRG+1718/3/51</v>
      </c>
    </row>
    <row r="4089" spans="1:11" x14ac:dyDescent="0.25">
      <c r="A4089" t="s">
        <v>13890</v>
      </c>
      <c r="B4089" s="1" t="str">
        <f>HYPERLINK("https://www.catalog.slsa.sa.gov.au/record=b3139980")</f>
        <v>https://www.catalog.slsa.sa.gov.au/record=b3139980</v>
      </c>
      <c r="C4089" s="1" t="str">
        <f>HYPERLINK("https://www.catalog.slsa.sa.gov.au/xrecord=b3139980")</f>
        <v>https://www.catalog.slsa.sa.gov.au/xrecord=b3139980</v>
      </c>
      <c r="D4089" t="s">
        <v>13649</v>
      </c>
      <c r="E4089" t="s">
        <v>13891</v>
      </c>
      <c r="F4089" t="s">
        <v>13892</v>
      </c>
      <c r="G4089" t="s">
        <v>13893</v>
      </c>
      <c r="H4089" t="s">
        <v>13894</v>
      </c>
      <c r="I4089" t="s">
        <v>13654</v>
      </c>
      <c r="J4089" t="s">
        <v>12922</v>
      </c>
      <c r="K4089" s="2" t="str">
        <f>HYPERLINK("http://collections.slsa.sa.gov.au/resource/PRG+1718/3/11")</f>
        <v>http://collections.slsa.sa.gov.au/resource/PRG+1718/3/11</v>
      </c>
    </row>
    <row r="4090" spans="1:11" x14ac:dyDescent="0.25">
      <c r="A4090" t="s">
        <v>13895</v>
      </c>
      <c r="B4090" s="1" t="str">
        <f>HYPERLINK("https://www.catalog.slsa.sa.gov.au/record=b2111031")</f>
        <v>https://www.catalog.slsa.sa.gov.au/record=b2111031</v>
      </c>
      <c r="C4090" s="1" t="str">
        <f>HYPERLINK("https://www.catalog.slsa.sa.gov.au/xrecord=b2111031")</f>
        <v>https://www.catalog.slsa.sa.gov.au/xrecord=b2111031</v>
      </c>
      <c r="D4090" t="s">
        <v>66</v>
      </c>
      <c r="E4090" t="s">
        <v>13896</v>
      </c>
      <c r="F4090">
        <v>1975</v>
      </c>
      <c r="G4090" t="s">
        <v>121</v>
      </c>
      <c r="H4090" t="s">
        <v>13897</v>
      </c>
      <c r="I4090" t="s">
        <v>13898</v>
      </c>
      <c r="J4090" t="s">
        <v>71</v>
      </c>
      <c r="K4090" s="2" t="str">
        <f>HYPERLINK("http://collections.slsa.sa.gov.au/arthur/01750/BRG347_1713.htm")</f>
        <v>http://collections.slsa.sa.gov.au/arthur/01750/BRG347_1713.htm</v>
      </c>
    </row>
    <row r="4091" spans="1:11" x14ac:dyDescent="0.25">
      <c r="A4091" t="s">
        <v>13899</v>
      </c>
      <c r="B4091" s="1" t="str">
        <f>HYPERLINK("https://www.catalog.slsa.sa.gov.au/record=b2111033")</f>
        <v>https://www.catalog.slsa.sa.gov.au/record=b2111033</v>
      </c>
      <c r="C4091" s="1" t="str">
        <f>HYPERLINK("https://www.catalog.slsa.sa.gov.au/xrecord=b2111033")</f>
        <v>https://www.catalog.slsa.sa.gov.au/xrecord=b2111033</v>
      </c>
      <c r="D4091" t="s">
        <v>66</v>
      </c>
      <c r="E4091" t="s">
        <v>13896</v>
      </c>
      <c r="F4091">
        <v>1975</v>
      </c>
      <c r="G4091" t="s">
        <v>121</v>
      </c>
      <c r="H4091" t="s">
        <v>13900</v>
      </c>
      <c r="I4091" t="s">
        <v>13901</v>
      </c>
      <c r="J4091" t="s">
        <v>71</v>
      </c>
      <c r="K4091" s="2" t="str">
        <f>HYPERLINK("http://collections.slsa.sa.gov.au/arthur/01750/BRG347_1715.htm")</f>
        <v>http://collections.slsa.sa.gov.au/arthur/01750/BRG347_1715.htm</v>
      </c>
    </row>
    <row r="4092" spans="1:11" x14ac:dyDescent="0.25">
      <c r="A4092" t="s">
        <v>13902</v>
      </c>
      <c r="B4092" s="1" t="str">
        <f>HYPERLINK("https://www.catalog.slsa.sa.gov.au/record=b2111096")</f>
        <v>https://www.catalog.slsa.sa.gov.au/record=b2111096</v>
      </c>
      <c r="C4092" s="1" t="str">
        <f>HYPERLINK("https://www.catalog.slsa.sa.gov.au/xrecord=b2111096")</f>
        <v>https://www.catalog.slsa.sa.gov.au/xrecord=b2111096</v>
      </c>
      <c r="D4092" t="s">
        <v>66</v>
      </c>
      <c r="E4092" t="s">
        <v>13903</v>
      </c>
      <c r="F4092">
        <v>1975</v>
      </c>
      <c r="G4092" t="s">
        <v>121</v>
      </c>
      <c r="H4092" t="s">
        <v>13904</v>
      </c>
      <c r="I4092" t="s">
        <v>13905</v>
      </c>
      <c r="J4092" t="s">
        <v>71</v>
      </c>
      <c r="K4092" s="2" t="str">
        <f>HYPERLINK("http://collections.slsa.sa.gov.au/arthur/02000/BRG347_1779.htm")</f>
        <v>http://collections.slsa.sa.gov.au/arthur/02000/BRG347_1779.htm</v>
      </c>
    </row>
    <row r="4093" spans="1:11" x14ac:dyDescent="0.25">
      <c r="A4093" t="s">
        <v>13906</v>
      </c>
      <c r="B4093" s="1" t="str">
        <f>HYPERLINK("https://www.catalog.slsa.sa.gov.au/record=b2111097")</f>
        <v>https://www.catalog.slsa.sa.gov.au/record=b2111097</v>
      </c>
      <c r="C4093" s="1" t="str">
        <f>HYPERLINK("https://www.catalog.slsa.sa.gov.au/xrecord=b2111097")</f>
        <v>https://www.catalog.slsa.sa.gov.au/xrecord=b2111097</v>
      </c>
      <c r="D4093" t="s">
        <v>66</v>
      </c>
      <c r="E4093" t="s">
        <v>13907</v>
      </c>
      <c r="F4093">
        <v>1975</v>
      </c>
      <c r="G4093" t="s">
        <v>121</v>
      </c>
      <c r="H4093" t="s">
        <v>13908</v>
      </c>
      <c r="I4093" t="s">
        <v>13909</v>
      </c>
      <c r="J4093" t="s">
        <v>71</v>
      </c>
      <c r="K4093" s="2" t="str">
        <f>HYPERLINK("http://collections.slsa.sa.gov.au/arthur/02000/BRG347_1780.htm")</f>
        <v>http://collections.slsa.sa.gov.au/arthur/02000/BRG347_1780.htm</v>
      </c>
    </row>
    <row r="4094" spans="1:11" x14ac:dyDescent="0.25">
      <c r="A4094" t="s">
        <v>13910</v>
      </c>
      <c r="B4094" s="1" t="str">
        <f>HYPERLINK("https://www.catalog.slsa.sa.gov.au/record=b2111098")</f>
        <v>https://www.catalog.slsa.sa.gov.au/record=b2111098</v>
      </c>
      <c r="C4094" s="1" t="str">
        <f>HYPERLINK("https://www.catalog.slsa.sa.gov.au/xrecord=b2111098")</f>
        <v>https://www.catalog.slsa.sa.gov.au/xrecord=b2111098</v>
      </c>
      <c r="D4094" t="s">
        <v>66</v>
      </c>
      <c r="E4094" t="s">
        <v>13911</v>
      </c>
      <c r="F4094">
        <v>1975</v>
      </c>
      <c r="G4094" t="s">
        <v>121</v>
      </c>
      <c r="H4094" t="s">
        <v>13912</v>
      </c>
      <c r="I4094" t="s">
        <v>13913</v>
      </c>
      <c r="J4094" t="s">
        <v>71</v>
      </c>
      <c r="K4094" s="2" t="str">
        <f>HYPERLINK("http://collections.slsa.sa.gov.au/arthur/02000/BRG347_1781.htm")</f>
        <v>http://collections.slsa.sa.gov.au/arthur/02000/BRG347_1781.htm</v>
      </c>
    </row>
    <row r="4095" spans="1:11" x14ac:dyDescent="0.25">
      <c r="A4095" t="s">
        <v>13914</v>
      </c>
      <c r="B4095" s="1" t="str">
        <f>HYPERLINK("https://www.catalog.slsa.sa.gov.au/record=b2111099")</f>
        <v>https://www.catalog.slsa.sa.gov.au/record=b2111099</v>
      </c>
      <c r="C4095" s="1" t="str">
        <f>HYPERLINK("https://www.catalog.slsa.sa.gov.au/xrecord=b2111099")</f>
        <v>https://www.catalog.slsa.sa.gov.au/xrecord=b2111099</v>
      </c>
      <c r="D4095" t="s">
        <v>66</v>
      </c>
      <c r="E4095" t="s">
        <v>13915</v>
      </c>
      <c r="F4095">
        <v>1975</v>
      </c>
      <c r="G4095" t="s">
        <v>121</v>
      </c>
      <c r="H4095" t="s">
        <v>13916</v>
      </c>
      <c r="I4095" t="s">
        <v>13917</v>
      </c>
      <c r="J4095" t="s">
        <v>71</v>
      </c>
      <c r="K4095" s="2" t="str">
        <f>HYPERLINK("http://collections.slsa.sa.gov.au/arthur/02000/BRG347_1782.htm")</f>
        <v>http://collections.slsa.sa.gov.au/arthur/02000/BRG347_1782.htm</v>
      </c>
    </row>
    <row r="4096" spans="1:11" x14ac:dyDescent="0.25">
      <c r="A4096" t="s">
        <v>13918</v>
      </c>
      <c r="B4096" s="1" t="str">
        <f>HYPERLINK("https://www.catalog.slsa.sa.gov.au/record=b2117879")</f>
        <v>https://www.catalog.slsa.sa.gov.au/record=b2117879</v>
      </c>
      <c r="C4096" s="1" t="str">
        <f>HYPERLINK("https://www.catalog.slsa.sa.gov.au/xrecord=b2117879")</f>
        <v>https://www.catalog.slsa.sa.gov.au/xrecord=b2117879</v>
      </c>
      <c r="D4096" t="s">
        <v>66</v>
      </c>
      <c r="E4096" t="s">
        <v>13911</v>
      </c>
      <c r="F4096">
        <v>1975</v>
      </c>
      <c r="G4096" t="s">
        <v>121</v>
      </c>
      <c r="H4096" t="s">
        <v>13912</v>
      </c>
      <c r="I4096" t="s">
        <v>13913</v>
      </c>
      <c r="J4096" t="s">
        <v>71</v>
      </c>
      <c r="K4096" s="2" t="str">
        <f>HYPERLINK("http://collections.slsa.sa.gov.au/arthur/02000/BRG347_1783.htm")</f>
        <v>http://collections.slsa.sa.gov.au/arthur/02000/BRG347_1783.htm</v>
      </c>
    </row>
    <row r="4097" spans="1:11" x14ac:dyDescent="0.25">
      <c r="A4097" t="s">
        <v>13919</v>
      </c>
      <c r="B4097" s="1" t="str">
        <f>HYPERLINK("https://www.catalog.slsa.sa.gov.au/record=b2111100")</f>
        <v>https://www.catalog.slsa.sa.gov.au/record=b2111100</v>
      </c>
      <c r="C4097" s="1" t="str">
        <f>HYPERLINK("https://www.catalog.slsa.sa.gov.au/xrecord=b2111100")</f>
        <v>https://www.catalog.slsa.sa.gov.au/xrecord=b2111100</v>
      </c>
      <c r="D4097" t="s">
        <v>66</v>
      </c>
      <c r="E4097" t="s">
        <v>9635</v>
      </c>
      <c r="F4097">
        <v>1975</v>
      </c>
      <c r="G4097" t="s">
        <v>121</v>
      </c>
      <c r="H4097" t="s">
        <v>13920</v>
      </c>
      <c r="I4097" t="s">
        <v>1619</v>
      </c>
      <c r="J4097" t="s">
        <v>71</v>
      </c>
      <c r="K4097" s="2" t="str">
        <f>HYPERLINK("http://collections.slsa.sa.gov.au/arthur/02000/BRG347_1784.htm")</f>
        <v>http://collections.slsa.sa.gov.au/arthur/02000/BRG347_1784.htm</v>
      </c>
    </row>
    <row r="4098" spans="1:11" x14ac:dyDescent="0.25">
      <c r="A4098" t="s">
        <v>13921</v>
      </c>
      <c r="B4098" s="1" t="str">
        <f>HYPERLINK("https://www.catalog.slsa.sa.gov.au/record=b2111101")</f>
        <v>https://www.catalog.slsa.sa.gov.au/record=b2111101</v>
      </c>
      <c r="C4098" s="1" t="str">
        <f>HYPERLINK("https://www.catalog.slsa.sa.gov.au/xrecord=b2111101")</f>
        <v>https://www.catalog.slsa.sa.gov.au/xrecord=b2111101</v>
      </c>
      <c r="D4098" t="s">
        <v>66</v>
      </c>
      <c r="E4098" t="s">
        <v>9635</v>
      </c>
      <c r="F4098">
        <v>1975</v>
      </c>
      <c r="G4098" t="s">
        <v>121</v>
      </c>
      <c r="H4098" t="s">
        <v>13920</v>
      </c>
      <c r="I4098" t="s">
        <v>1619</v>
      </c>
      <c r="J4098" t="s">
        <v>71</v>
      </c>
      <c r="K4098" s="2" t="str">
        <f>HYPERLINK("http://collections.slsa.sa.gov.au/arthur/02000/BRG347_1785.htm")</f>
        <v>http://collections.slsa.sa.gov.au/arthur/02000/BRG347_1785.htm</v>
      </c>
    </row>
    <row r="4099" spans="1:11" x14ac:dyDescent="0.25">
      <c r="A4099" t="s">
        <v>13922</v>
      </c>
      <c r="B4099" s="1" t="str">
        <f>HYPERLINK("https://www.catalog.slsa.sa.gov.au/record=b2111102")</f>
        <v>https://www.catalog.slsa.sa.gov.au/record=b2111102</v>
      </c>
      <c r="C4099" s="1" t="str">
        <f>HYPERLINK("https://www.catalog.slsa.sa.gov.au/xrecord=b2111102")</f>
        <v>https://www.catalog.slsa.sa.gov.au/xrecord=b2111102</v>
      </c>
      <c r="D4099" t="s">
        <v>66</v>
      </c>
      <c r="E4099" t="s">
        <v>9635</v>
      </c>
      <c r="F4099">
        <v>1975</v>
      </c>
      <c r="G4099" t="s">
        <v>121</v>
      </c>
      <c r="H4099" t="s">
        <v>13920</v>
      </c>
      <c r="I4099" t="s">
        <v>1619</v>
      </c>
      <c r="J4099" t="s">
        <v>71</v>
      </c>
      <c r="K4099" s="2" t="str">
        <f>HYPERLINK("http://collections.slsa.sa.gov.au/arthur/02000/BRG347_1786.htm")</f>
        <v>http://collections.slsa.sa.gov.au/arthur/02000/BRG347_1786.htm</v>
      </c>
    </row>
    <row r="4100" spans="1:11" x14ac:dyDescent="0.25">
      <c r="A4100" t="s">
        <v>13923</v>
      </c>
      <c r="B4100" s="1" t="str">
        <f>HYPERLINK("https://www.catalog.slsa.sa.gov.au/record=b2111104")</f>
        <v>https://www.catalog.slsa.sa.gov.au/record=b2111104</v>
      </c>
      <c r="C4100" s="1" t="str">
        <f>HYPERLINK("https://www.catalog.slsa.sa.gov.au/xrecord=b2111104")</f>
        <v>https://www.catalog.slsa.sa.gov.au/xrecord=b2111104</v>
      </c>
      <c r="D4100" t="s">
        <v>66</v>
      </c>
      <c r="E4100" t="s">
        <v>9635</v>
      </c>
      <c r="F4100">
        <v>1975</v>
      </c>
      <c r="G4100" t="s">
        <v>121</v>
      </c>
      <c r="H4100" t="s">
        <v>13920</v>
      </c>
      <c r="I4100" t="s">
        <v>1619</v>
      </c>
      <c r="J4100" t="s">
        <v>71</v>
      </c>
      <c r="K4100" s="2" t="str">
        <f>HYPERLINK("http://collections.slsa.sa.gov.au/arthur/02000/BRG347_1787.htm")</f>
        <v>http://collections.slsa.sa.gov.au/arthur/02000/BRG347_1787.htm</v>
      </c>
    </row>
    <row r="4101" spans="1:11" x14ac:dyDescent="0.25">
      <c r="A4101" t="s">
        <v>13924</v>
      </c>
      <c r="B4101" s="1" t="str">
        <f>HYPERLINK("https://www.catalog.slsa.sa.gov.au/record=b2111105")</f>
        <v>https://www.catalog.slsa.sa.gov.au/record=b2111105</v>
      </c>
      <c r="C4101" s="1" t="str">
        <f>HYPERLINK("https://www.catalog.slsa.sa.gov.au/xrecord=b2111105")</f>
        <v>https://www.catalog.slsa.sa.gov.au/xrecord=b2111105</v>
      </c>
      <c r="D4101" t="s">
        <v>66</v>
      </c>
      <c r="E4101" t="s">
        <v>9635</v>
      </c>
      <c r="F4101">
        <v>1975</v>
      </c>
      <c r="G4101" t="s">
        <v>121</v>
      </c>
      <c r="H4101" t="s">
        <v>13920</v>
      </c>
      <c r="I4101" t="s">
        <v>1619</v>
      </c>
      <c r="J4101" t="s">
        <v>71</v>
      </c>
      <c r="K4101" s="2" t="str">
        <f>HYPERLINK("http://collections.slsa.sa.gov.au/arthur/02000/BRG347_1788.htm")</f>
        <v>http://collections.slsa.sa.gov.au/arthur/02000/BRG347_1788.htm</v>
      </c>
    </row>
    <row r="4102" spans="1:11" x14ac:dyDescent="0.25">
      <c r="A4102" t="s">
        <v>13925</v>
      </c>
      <c r="B4102" s="1" t="str">
        <f>HYPERLINK("https://www.catalog.slsa.sa.gov.au/record=b2111103")</f>
        <v>https://www.catalog.slsa.sa.gov.au/record=b2111103</v>
      </c>
      <c r="C4102" s="1" t="str">
        <f>HYPERLINK("https://www.catalog.slsa.sa.gov.au/xrecord=b2111103")</f>
        <v>https://www.catalog.slsa.sa.gov.au/xrecord=b2111103</v>
      </c>
      <c r="D4102" t="s">
        <v>66</v>
      </c>
      <c r="E4102" t="s">
        <v>9635</v>
      </c>
      <c r="F4102">
        <v>1975</v>
      </c>
      <c r="G4102" t="s">
        <v>121</v>
      </c>
      <c r="H4102" t="s">
        <v>13920</v>
      </c>
      <c r="I4102" t="s">
        <v>1619</v>
      </c>
      <c r="J4102" t="s">
        <v>71</v>
      </c>
      <c r="K4102" s="2" t="str">
        <f>HYPERLINK("http://collections.slsa.sa.gov.au/arthur/02000/BRG347_1789.htm")</f>
        <v>http://collections.slsa.sa.gov.au/arthur/02000/BRG347_1789.htm</v>
      </c>
    </row>
    <row r="4103" spans="1:11" x14ac:dyDescent="0.25">
      <c r="A4103" t="s">
        <v>13926</v>
      </c>
      <c r="B4103" s="1" t="str">
        <f>HYPERLINK("https://www.catalog.slsa.sa.gov.au/record=b2111106")</f>
        <v>https://www.catalog.slsa.sa.gov.au/record=b2111106</v>
      </c>
      <c r="C4103" s="1" t="str">
        <f>HYPERLINK("https://www.catalog.slsa.sa.gov.au/xrecord=b2111106")</f>
        <v>https://www.catalog.slsa.sa.gov.au/xrecord=b2111106</v>
      </c>
      <c r="D4103" t="s">
        <v>66</v>
      </c>
      <c r="E4103" t="s">
        <v>9635</v>
      </c>
      <c r="F4103">
        <v>1975</v>
      </c>
      <c r="G4103" t="s">
        <v>121</v>
      </c>
      <c r="H4103" t="s">
        <v>13920</v>
      </c>
      <c r="I4103" t="s">
        <v>1619</v>
      </c>
      <c r="J4103" t="s">
        <v>71</v>
      </c>
      <c r="K4103" s="2" t="str">
        <f>HYPERLINK("http://collections.slsa.sa.gov.au/arthur/02000/BRG347_1790.htm")</f>
        <v>http://collections.slsa.sa.gov.au/arthur/02000/BRG347_1790.htm</v>
      </c>
    </row>
    <row r="4104" spans="1:11" x14ac:dyDescent="0.25">
      <c r="A4104" t="s">
        <v>13927</v>
      </c>
      <c r="B4104" s="1" t="str">
        <f>HYPERLINK("https://www.catalog.slsa.sa.gov.au/record=b2111107")</f>
        <v>https://www.catalog.slsa.sa.gov.au/record=b2111107</v>
      </c>
      <c r="C4104" s="1" t="str">
        <f>HYPERLINK("https://www.catalog.slsa.sa.gov.au/xrecord=b2111107")</f>
        <v>https://www.catalog.slsa.sa.gov.au/xrecord=b2111107</v>
      </c>
      <c r="D4104" t="s">
        <v>66</v>
      </c>
      <c r="E4104" t="s">
        <v>9635</v>
      </c>
      <c r="F4104">
        <v>1975</v>
      </c>
      <c r="G4104" t="s">
        <v>121</v>
      </c>
      <c r="H4104" t="s">
        <v>13920</v>
      </c>
      <c r="I4104" t="s">
        <v>1619</v>
      </c>
      <c r="J4104" t="s">
        <v>71</v>
      </c>
      <c r="K4104" s="2" t="str">
        <f>HYPERLINK("http://collections.slsa.sa.gov.au/arthur/02000/BRG347_1791.htm")</f>
        <v>http://collections.slsa.sa.gov.au/arthur/02000/BRG347_1791.htm</v>
      </c>
    </row>
    <row r="4105" spans="1:11" x14ac:dyDescent="0.25">
      <c r="A4105" t="s">
        <v>13928</v>
      </c>
      <c r="B4105" s="1" t="str">
        <f>HYPERLINK("https://www.catalog.slsa.sa.gov.au/record=b2117880")</f>
        <v>https://www.catalog.slsa.sa.gov.au/record=b2117880</v>
      </c>
      <c r="C4105" s="1" t="str">
        <f>HYPERLINK("https://www.catalog.slsa.sa.gov.au/xrecord=b2117880")</f>
        <v>https://www.catalog.slsa.sa.gov.au/xrecord=b2117880</v>
      </c>
      <c r="D4105" t="s">
        <v>66</v>
      </c>
      <c r="E4105" t="s">
        <v>9635</v>
      </c>
      <c r="F4105">
        <v>1975</v>
      </c>
      <c r="G4105" t="s">
        <v>121</v>
      </c>
      <c r="H4105" t="s">
        <v>13920</v>
      </c>
      <c r="I4105" t="s">
        <v>1619</v>
      </c>
      <c r="J4105" t="s">
        <v>71</v>
      </c>
      <c r="K4105" s="2" t="str">
        <f>HYPERLINK("http://collections.slsa.sa.gov.au/arthur/02000/BRG347_1792.htm")</f>
        <v>http://collections.slsa.sa.gov.au/arthur/02000/BRG347_1792.htm</v>
      </c>
    </row>
    <row r="4106" spans="1:11" x14ac:dyDescent="0.25">
      <c r="A4106" t="s">
        <v>13929</v>
      </c>
      <c r="B4106" s="1" t="str">
        <f>HYPERLINK("https://www.catalog.slsa.sa.gov.au/record=b2111140")</f>
        <v>https://www.catalog.slsa.sa.gov.au/record=b2111140</v>
      </c>
      <c r="C4106" s="1" t="str">
        <f>HYPERLINK("https://www.catalog.slsa.sa.gov.au/xrecord=b2111140")</f>
        <v>https://www.catalog.slsa.sa.gov.au/xrecord=b2111140</v>
      </c>
      <c r="D4106" t="s">
        <v>66</v>
      </c>
      <c r="E4106" t="s">
        <v>5515</v>
      </c>
      <c r="F4106">
        <v>1975</v>
      </c>
      <c r="G4106" t="s">
        <v>121</v>
      </c>
      <c r="H4106" t="s">
        <v>13930</v>
      </c>
      <c r="I4106" t="s">
        <v>5541</v>
      </c>
      <c r="J4106" t="s">
        <v>71</v>
      </c>
      <c r="K4106" s="2" t="str">
        <f>HYPERLINK("http://collections.slsa.sa.gov.au/arthur/02000/BRG347_1826.htm")</f>
        <v>http://collections.slsa.sa.gov.au/arthur/02000/BRG347_1826.htm</v>
      </c>
    </row>
    <row r="4107" spans="1:11" x14ac:dyDescent="0.25">
      <c r="A4107" t="s">
        <v>13931</v>
      </c>
      <c r="B4107" s="1" t="str">
        <f>HYPERLINK("https://www.catalog.slsa.sa.gov.au/record=b2112074")</f>
        <v>https://www.catalog.slsa.sa.gov.au/record=b2112074</v>
      </c>
      <c r="C4107" s="1" t="str">
        <f>HYPERLINK("https://www.catalog.slsa.sa.gov.au/xrecord=b2112074")</f>
        <v>https://www.catalog.slsa.sa.gov.au/xrecord=b2112074</v>
      </c>
      <c r="D4107" t="s">
        <v>66</v>
      </c>
      <c r="E4107" t="s">
        <v>13932</v>
      </c>
      <c r="F4107">
        <v>1975</v>
      </c>
      <c r="G4107" t="s">
        <v>121</v>
      </c>
      <c r="H4107" t="s">
        <v>13933</v>
      </c>
      <c r="I4107" t="s">
        <v>13093</v>
      </c>
      <c r="J4107" t="s">
        <v>71</v>
      </c>
      <c r="K4107" s="2" t="str">
        <f>HYPERLINK("http://collections.slsa.sa.gov.au/arthur/02750/BRG347_2504.htm")</f>
        <v>http://collections.slsa.sa.gov.au/arthur/02750/BRG347_2504.htm</v>
      </c>
    </row>
    <row r="4108" spans="1:11" x14ac:dyDescent="0.25">
      <c r="A4108" t="s">
        <v>13934</v>
      </c>
      <c r="B4108" s="1" t="str">
        <f>HYPERLINK("https://www.catalog.slsa.sa.gov.au/record=b3137318")</f>
        <v>https://www.catalog.slsa.sa.gov.au/record=b3137318</v>
      </c>
      <c r="C4108" s="1" t="str">
        <f>HYPERLINK("https://www.catalog.slsa.sa.gov.au/xrecord=b3137318")</f>
        <v>https://www.catalog.slsa.sa.gov.au/xrecord=b3137318</v>
      </c>
      <c r="D4108" t="s">
        <v>13649</v>
      </c>
      <c r="E4108" t="s">
        <v>13935</v>
      </c>
      <c r="F4108" t="s">
        <v>13936</v>
      </c>
      <c r="G4108" t="s">
        <v>13937</v>
      </c>
      <c r="H4108" t="s">
        <v>13938</v>
      </c>
      <c r="I4108" t="s">
        <v>12921</v>
      </c>
      <c r="J4108" t="s">
        <v>12922</v>
      </c>
      <c r="K4108" s="2" t="str">
        <f>HYPERLINK("http://collections.slsa.sa.gov.au/resource/PRG+1718/1/11")</f>
        <v>http://collections.slsa.sa.gov.au/resource/PRG+1718/1/11</v>
      </c>
    </row>
    <row r="4109" spans="1:11" x14ac:dyDescent="0.25">
      <c r="A4109" t="s">
        <v>13939</v>
      </c>
      <c r="B4109" s="1" t="str">
        <f>HYPERLINK("https://www.catalog.slsa.sa.gov.au/record=b3139490")</f>
        <v>https://www.catalog.slsa.sa.gov.au/record=b3139490</v>
      </c>
      <c r="C4109" s="1" t="str">
        <f>HYPERLINK("https://www.catalog.slsa.sa.gov.au/xrecord=b3139490")</f>
        <v>https://www.catalog.slsa.sa.gov.au/xrecord=b3139490</v>
      </c>
      <c r="D4109" t="s">
        <v>13649</v>
      </c>
      <c r="E4109" t="s">
        <v>13328</v>
      </c>
      <c r="F4109" t="s">
        <v>13936</v>
      </c>
      <c r="G4109" t="s">
        <v>13940</v>
      </c>
      <c r="H4109" t="s">
        <v>13941</v>
      </c>
      <c r="I4109" t="s">
        <v>12921</v>
      </c>
      <c r="J4109" t="s">
        <v>12922</v>
      </c>
      <c r="K4109" s="2" t="str">
        <f>HYPERLINK("http://collections.slsa.sa.gov.au/resource/PRG+1718/1/12")</f>
        <v>http://collections.slsa.sa.gov.au/resource/PRG+1718/1/12</v>
      </c>
    </row>
    <row r="4110" spans="1:11" x14ac:dyDescent="0.25">
      <c r="A4110" t="s">
        <v>13942</v>
      </c>
      <c r="B4110" s="1" t="str">
        <f>HYPERLINK("https://www.catalog.slsa.sa.gov.au/record=b3140314")</f>
        <v>https://www.catalog.slsa.sa.gov.au/record=b3140314</v>
      </c>
      <c r="C4110" s="1" t="str">
        <f>HYPERLINK("https://www.catalog.slsa.sa.gov.au/xrecord=b3140314")</f>
        <v>https://www.catalog.slsa.sa.gov.au/xrecord=b3140314</v>
      </c>
      <c r="D4110" t="s">
        <v>13649</v>
      </c>
      <c r="E4110" t="s">
        <v>13943</v>
      </c>
      <c r="F4110" t="s">
        <v>13936</v>
      </c>
      <c r="G4110" t="s">
        <v>13944</v>
      </c>
      <c r="H4110" t="s">
        <v>13945</v>
      </c>
      <c r="I4110" t="s">
        <v>13946</v>
      </c>
      <c r="J4110" t="s">
        <v>12922</v>
      </c>
      <c r="K4110" s="2" t="str">
        <f>HYPERLINK("http://collections.slsa.sa.gov.au/resource/PRG+1718/3/39")</f>
        <v>http://collections.slsa.sa.gov.au/resource/PRG+1718/3/39</v>
      </c>
    </row>
    <row r="4111" spans="1:11" x14ac:dyDescent="0.25">
      <c r="A4111" t="s">
        <v>13947</v>
      </c>
      <c r="B4111" s="1" t="str">
        <f>HYPERLINK("https://www.catalog.slsa.sa.gov.au/record=b2951725")</f>
        <v>https://www.catalog.slsa.sa.gov.au/record=b2951725</v>
      </c>
      <c r="C4111" s="1" t="str">
        <f>HYPERLINK("https://www.catalog.slsa.sa.gov.au/xrecord=b2951725")</f>
        <v>https://www.catalog.slsa.sa.gov.au/xrecord=b2951725</v>
      </c>
      <c r="E4111" t="s">
        <v>13948</v>
      </c>
      <c r="F4111" t="s">
        <v>13949</v>
      </c>
      <c r="G4111" t="s">
        <v>13950</v>
      </c>
      <c r="H4111" t="s">
        <v>13951</v>
      </c>
      <c r="I4111" t="s">
        <v>13952</v>
      </c>
      <c r="J4111" t="s">
        <v>13953</v>
      </c>
      <c r="K4111" s="2" t="str">
        <f>HYPERLINK("http://collections.slsa.sa.gov.au/prgr/458/1/PRG458_1_1_32a.htm")</f>
        <v>http://collections.slsa.sa.gov.au/prgr/458/1/PRG458_1_1_32a.htm</v>
      </c>
    </row>
    <row r="4112" spans="1:11" x14ac:dyDescent="0.25">
      <c r="A4112" t="s">
        <v>13954</v>
      </c>
      <c r="B4112" s="1" t="str">
        <f>HYPERLINK("https://www.catalog.slsa.sa.gov.au/record=b2951724")</f>
        <v>https://www.catalog.slsa.sa.gov.au/record=b2951724</v>
      </c>
      <c r="C4112" s="1" t="str">
        <f>HYPERLINK("https://www.catalog.slsa.sa.gov.au/xrecord=b2951724")</f>
        <v>https://www.catalog.slsa.sa.gov.au/xrecord=b2951724</v>
      </c>
      <c r="E4112" t="s">
        <v>13955</v>
      </c>
      <c r="F4112" t="s">
        <v>13949</v>
      </c>
      <c r="G4112" t="s">
        <v>13956</v>
      </c>
      <c r="H4112" t="s">
        <v>13957</v>
      </c>
      <c r="I4112" t="s">
        <v>13958</v>
      </c>
      <c r="J4112" t="s">
        <v>13953</v>
      </c>
      <c r="K4112" s="2" t="str">
        <f>HYPERLINK("http://collections.slsa.sa.gov.au/prgr/458/1/PRG458_1_1_32b.htm")</f>
        <v>http://collections.slsa.sa.gov.au/prgr/458/1/PRG458_1_1_32b.htm</v>
      </c>
    </row>
    <row r="4113" spans="1:11" x14ac:dyDescent="0.25">
      <c r="A4113" t="s">
        <v>13959</v>
      </c>
      <c r="B4113" s="1" t="str">
        <f>HYPERLINK("https://www.catalog.slsa.sa.gov.au/record=b3137316")</f>
        <v>https://www.catalog.slsa.sa.gov.au/record=b3137316</v>
      </c>
      <c r="C4113" s="1" t="str">
        <f>HYPERLINK("https://www.catalog.slsa.sa.gov.au/xrecord=b3137316")</f>
        <v>https://www.catalog.slsa.sa.gov.au/xrecord=b3137316</v>
      </c>
      <c r="D4113" t="s">
        <v>13649</v>
      </c>
      <c r="E4113" t="s">
        <v>13960</v>
      </c>
      <c r="F4113" t="s">
        <v>13936</v>
      </c>
      <c r="G4113" t="s">
        <v>13961</v>
      </c>
      <c r="H4113" t="s">
        <v>13962</v>
      </c>
      <c r="I4113" t="s">
        <v>12921</v>
      </c>
      <c r="J4113" t="s">
        <v>12922</v>
      </c>
      <c r="K4113" s="2" t="str">
        <f>HYPERLINK("http://collections.slsa.sa.gov.au/resource/PRG+1718/1/10")</f>
        <v>http://collections.slsa.sa.gov.au/resource/PRG+1718/1/10</v>
      </c>
    </row>
    <row r="4114" spans="1:11" x14ac:dyDescent="0.25">
      <c r="A4114" t="s">
        <v>13963</v>
      </c>
      <c r="B4114" s="1" t="str">
        <f>HYPERLINK("https://www.catalog.slsa.sa.gov.au/record=b3139493")</f>
        <v>https://www.catalog.slsa.sa.gov.au/record=b3139493</v>
      </c>
      <c r="C4114" s="1" t="str">
        <f>HYPERLINK("https://www.catalog.slsa.sa.gov.au/xrecord=b3139493")</f>
        <v>https://www.catalog.slsa.sa.gov.au/xrecord=b3139493</v>
      </c>
      <c r="D4114" t="s">
        <v>13649</v>
      </c>
      <c r="E4114" t="s">
        <v>13328</v>
      </c>
      <c r="F4114" t="s">
        <v>13936</v>
      </c>
      <c r="G4114" t="s">
        <v>13964</v>
      </c>
      <c r="H4114" t="s">
        <v>13965</v>
      </c>
      <c r="I4114" t="s">
        <v>12921</v>
      </c>
      <c r="J4114" t="s">
        <v>12922</v>
      </c>
      <c r="K4114" s="2" t="str">
        <f>HYPERLINK("http://collections.slsa.sa.gov.au/resource/PRG+1718/1/13")</f>
        <v>http://collections.slsa.sa.gov.au/resource/PRG+1718/1/13</v>
      </c>
    </row>
    <row r="4115" spans="1:11" x14ac:dyDescent="0.25">
      <c r="A4115" t="s">
        <v>13966</v>
      </c>
      <c r="B4115" s="1" t="str">
        <f>HYPERLINK("https://www.catalog.slsa.sa.gov.au/record=b3139572")</f>
        <v>https://www.catalog.slsa.sa.gov.au/record=b3139572</v>
      </c>
      <c r="C4115" s="1" t="str">
        <f>HYPERLINK("https://www.catalog.slsa.sa.gov.au/xrecord=b3139572")</f>
        <v>https://www.catalog.slsa.sa.gov.au/xrecord=b3139572</v>
      </c>
      <c r="D4115" t="s">
        <v>13649</v>
      </c>
      <c r="E4115" t="s">
        <v>13328</v>
      </c>
      <c r="F4115" t="s">
        <v>13936</v>
      </c>
      <c r="G4115" t="s">
        <v>13967</v>
      </c>
      <c r="H4115" t="s">
        <v>13968</v>
      </c>
      <c r="I4115" t="s">
        <v>12921</v>
      </c>
      <c r="J4115" t="s">
        <v>12922</v>
      </c>
      <c r="K4115" s="2" t="str">
        <f>HYPERLINK("http://collections.slsa.sa.gov.au/resource/PRG+1718/1/132")</f>
        <v>http://collections.slsa.sa.gov.au/resource/PRG+1718/1/132</v>
      </c>
    </row>
    <row r="4116" spans="1:11" x14ac:dyDescent="0.25">
      <c r="A4116" t="s">
        <v>13969</v>
      </c>
      <c r="B4116" s="1" t="str">
        <f>HYPERLINK("https://www.catalog.slsa.sa.gov.au/record=b3139495")</f>
        <v>https://www.catalog.slsa.sa.gov.au/record=b3139495</v>
      </c>
      <c r="C4116" s="1" t="str">
        <f>HYPERLINK("https://www.catalog.slsa.sa.gov.au/xrecord=b3139495")</f>
        <v>https://www.catalog.slsa.sa.gov.au/xrecord=b3139495</v>
      </c>
      <c r="D4116" t="s">
        <v>13649</v>
      </c>
      <c r="E4116" t="s">
        <v>13970</v>
      </c>
      <c r="F4116" t="s">
        <v>13936</v>
      </c>
      <c r="G4116" t="s">
        <v>13971</v>
      </c>
      <c r="H4116" t="s">
        <v>13972</v>
      </c>
      <c r="I4116" t="s">
        <v>12921</v>
      </c>
      <c r="J4116" t="s">
        <v>12922</v>
      </c>
      <c r="K4116" s="2" t="str">
        <f>HYPERLINK("http://collections.slsa.sa.gov.au/resource/PRG+1718/1/14")</f>
        <v>http://collections.slsa.sa.gov.au/resource/PRG+1718/1/14</v>
      </c>
    </row>
    <row r="4117" spans="1:11" x14ac:dyDescent="0.25">
      <c r="A4117" t="s">
        <v>13973</v>
      </c>
      <c r="B4117" s="1" t="str">
        <f>HYPERLINK("https://www.catalog.slsa.sa.gov.au/record=b3137315")</f>
        <v>https://www.catalog.slsa.sa.gov.au/record=b3137315</v>
      </c>
      <c r="C4117" s="1" t="str">
        <f>HYPERLINK("https://www.catalog.slsa.sa.gov.au/xrecord=b3137315")</f>
        <v>https://www.catalog.slsa.sa.gov.au/xrecord=b3137315</v>
      </c>
      <c r="D4117" t="s">
        <v>13649</v>
      </c>
      <c r="E4117" t="s">
        <v>13960</v>
      </c>
      <c r="F4117" t="s">
        <v>13936</v>
      </c>
      <c r="G4117" t="s">
        <v>13974</v>
      </c>
      <c r="H4117" t="s">
        <v>13975</v>
      </c>
      <c r="I4117" t="s">
        <v>12921</v>
      </c>
      <c r="J4117" t="s">
        <v>12922</v>
      </c>
      <c r="K4117" s="2" t="str">
        <f>HYPERLINK("http://collections.slsa.sa.gov.au/resource/PRG+1718/1/9")</f>
        <v>http://collections.slsa.sa.gov.au/resource/PRG+1718/1/9</v>
      </c>
    </row>
    <row r="4118" spans="1:11" x14ac:dyDescent="0.25">
      <c r="A4118" t="s">
        <v>13976</v>
      </c>
      <c r="B4118" s="1" t="str">
        <f>HYPERLINK("https://www.catalog.slsa.sa.gov.au/record=b3139607")</f>
        <v>https://www.catalog.slsa.sa.gov.au/record=b3139607</v>
      </c>
      <c r="C4118" s="1" t="str">
        <f>HYPERLINK("https://www.catalog.slsa.sa.gov.au/xrecord=b3139607")</f>
        <v>https://www.catalog.slsa.sa.gov.au/xrecord=b3139607</v>
      </c>
      <c r="D4118" t="s">
        <v>13649</v>
      </c>
      <c r="E4118" t="s">
        <v>13776</v>
      </c>
      <c r="F4118" t="s">
        <v>13936</v>
      </c>
      <c r="G4118" t="s">
        <v>13977</v>
      </c>
      <c r="H4118" t="s">
        <v>13978</v>
      </c>
      <c r="I4118" t="s">
        <v>12921</v>
      </c>
      <c r="J4118" t="s">
        <v>12922</v>
      </c>
      <c r="K4118" s="2" t="str">
        <f>HYPERLINK("http://collections.slsa.sa.gov.au/resource/PRG+1718/2/1")</f>
        <v>http://collections.slsa.sa.gov.au/resource/PRG+1718/2/1</v>
      </c>
    </row>
    <row r="4119" spans="1:11" x14ac:dyDescent="0.25">
      <c r="A4119" t="s">
        <v>13979</v>
      </c>
      <c r="B4119" s="1" t="str">
        <f>HYPERLINK("https://www.catalog.slsa.sa.gov.au/record=b3139620")</f>
        <v>https://www.catalog.slsa.sa.gov.au/record=b3139620</v>
      </c>
      <c r="C4119" s="1" t="str">
        <f>HYPERLINK("https://www.catalog.slsa.sa.gov.au/xrecord=b3139620")</f>
        <v>https://www.catalog.slsa.sa.gov.au/xrecord=b3139620</v>
      </c>
      <c r="D4119" t="s">
        <v>13649</v>
      </c>
      <c r="E4119" t="s">
        <v>13980</v>
      </c>
      <c r="F4119" t="s">
        <v>13936</v>
      </c>
      <c r="G4119" t="s">
        <v>13981</v>
      </c>
      <c r="H4119" t="s">
        <v>13982</v>
      </c>
      <c r="I4119" t="s">
        <v>12921</v>
      </c>
      <c r="J4119" t="s">
        <v>12922</v>
      </c>
      <c r="K4119" s="2" t="str">
        <f>HYPERLINK("http://collections.slsa.sa.gov.au/resource/PRG+1718/2/10")</f>
        <v>http://collections.slsa.sa.gov.au/resource/PRG+1718/2/10</v>
      </c>
    </row>
    <row r="4120" spans="1:11" x14ac:dyDescent="0.25">
      <c r="A4120" t="s">
        <v>13983</v>
      </c>
      <c r="B4120" s="1" t="str">
        <f>HYPERLINK("https://www.catalog.slsa.sa.gov.au/record=b3139621")</f>
        <v>https://www.catalog.slsa.sa.gov.au/record=b3139621</v>
      </c>
      <c r="C4120" s="1" t="str">
        <f>HYPERLINK("https://www.catalog.slsa.sa.gov.au/xrecord=b3139621")</f>
        <v>https://www.catalog.slsa.sa.gov.au/xrecord=b3139621</v>
      </c>
      <c r="D4120" t="s">
        <v>13649</v>
      </c>
      <c r="E4120" t="s">
        <v>13980</v>
      </c>
      <c r="F4120" t="s">
        <v>13936</v>
      </c>
      <c r="G4120" t="s">
        <v>13984</v>
      </c>
      <c r="H4120" t="s">
        <v>13985</v>
      </c>
      <c r="I4120" t="s">
        <v>13986</v>
      </c>
      <c r="J4120" t="s">
        <v>12922</v>
      </c>
      <c r="K4120" s="2" t="str">
        <f>HYPERLINK("http://collections.slsa.sa.gov.au/resource/PRG+1718/2/11")</f>
        <v>http://collections.slsa.sa.gov.au/resource/PRG+1718/2/11</v>
      </c>
    </row>
    <row r="4121" spans="1:11" x14ac:dyDescent="0.25">
      <c r="A4121" t="s">
        <v>13987</v>
      </c>
      <c r="B4121" s="1" t="str">
        <f>HYPERLINK("https://www.catalog.slsa.sa.gov.au/record=b3139623")</f>
        <v>https://www.catalog.slsa.sa.gov.au/record=b3139623</v>
      </c>
      <c r="C4121" s="1" t="str">
        <f>HYPERLINK("https://www.catalog.slsa.sa.gov.au/xrecord=b3139623")</f>
        <v>https://www.catalog.slsa.sa.gov.au/xrecord=b3139623</v>
      </c>
      <c r="D4121" t="s">
        <v>13649</v>
      </c>
      <c r="E4121" t="s">
        <v>13988</v>
      </c>
      <c r="F4121" t="s">
        <v>13936</v>
      </c>
      <c r="G4121" t="s">
        <v>13989</v>
      </c>
      <c r="H4121" t="s">
        <v>13990</v>
      </c>
      <c r="I4121" t="s">
        <v>13751</v>
      </c>
      <c r="J4121" t="s">
        <v>12922</v>
      </c>
      <c r="K4121" s="2" t="str">
        <f>HYPERLINK("http://collections.slsa.sa.gov.au/resource/PRG+1718/2/13")</f>
        <v>http://collections.slsa.sa.gov.au/resource/PRG+1718/2/13</v>
      </c>
    </row>
    <row r="4122" spans="1:11" x14ac:dyDescent="0.25">
      <c r="A4122" t="s">
        <v>13991</v>
      </c>
      <c r="B4122" s="1" t="str">
        <f>HYPERLINK("https://www.catalog.slsa.sa.gov.au/record=b3139624")</f>
        <v>https://www.catalog.slsa.sa.gov.au/record=b3139624</v>
      </c>
      <c r="C4122" s="1" t="str">
        <f>HYPERLINK("https://www.catalog.slsa.sa.gov.au/xrecord=b3139624")</f>
        <v>https://www.catalog.slsa.sa.gov.au/xrecord=b3139624</v>
      </c>
      <c r="D4122" t="s">
        <v>13649</v>
      </c>
      <c r="E4122" t="s">
        <v>13992</v>
      </c>
      <c r="F4122" t="s">
        <v>13936</v>
      </c>
      <c r="G4122" t="s">
        <v>13993</v>
      </c>
      <c r="H4122" t="s">
        <v>13994</v>
      </c>
      <c r="I4122" t="s">
        <v>12921</v>
      </c>
      <c r="J4122" t="s">
        <v>12922</v>
      </c>
      <c r="K4122" s="2" t="str">
        <f>HYPERLINK("http://collections.slsa.sa.gov.au/resource/PRG+1718/2/14")</f>
        <v>http://collections.slsa.sa.gov.au/resource/PRG+1718/2/14</v>
      </c>
    </row>
    <row r="4123" spans="1:11" x14ac:dyDescent="0.25">
      <c r="A4123" t="s">
        <v>13995</v>
      </c>
      <c r="B4123" s="1" t="str">
        <f>HYPERLINK("https://www.catalog.slsa.sa.gov.au/record=b3139625")</f>
        <v>https://www.catalog.slsa.sa.gov.au/record=b3139625</v>
      </c>
      <c r="C4123" s="1" t="str">
        <f>HYPERLINK("https://www.catalog.slsa.sa.gov.au/xrecord=b3139625")</f>
        <v>https://www.catalog.slsa.sa.gov.au/xrecord=b3139625</v>
      </c>
      <c r="D4123" t="s">
        <v>13649</v>
      </c>
      <c r="E4123" t="s">
        <v>13996</v>
      </c>
      <c r="F4123" t="s">
        <v>13936</v>
      </c>
      <c r="G4123" t="s">
        <v>13997</v>
      </c>
      <c r="H4123" t="s">
        <v>13998</v>
      </c>
      <c r="I4123" t="s">
        <v>13999</v>
      </c>
      <c r="J4123" t="s">
        <v>12922</v>
      </c>
      <c r="K4123" s="2" t="str">
        <f>HYPERLINK("http://collections.slsa.sa.gov.au/resource/PRG+1718/2/15")</f>
        <v>http://collections.slsa.sa.gov.au/resource/PRG+1718/2/15</v>
      </c>
    </row>
    <row r="4124" spans="1:11" x14ac:dyDescent="0.25">
      <c r="A4124" t="s">
        <v>14000</v>
      </c>
      <c r="B4124" s="1" t="str">
        <f>HYPERLINK("https://www.catalog.slsa.sa.gov.au/record=b3139626")</f>
        <v>https://www.catalog.slsa.sa.gov.au/record=b3139626</v>
      </c>
      <c r="C4124" s="1" t="str">
        <f>HYPERLINK("https://www.catalog.slsa.sa.gov.au/xrecord=b3139626")</f>
        <v>https://www.catalog.slsa.sa.gov.au/xrecord=b3139626</v>
      </c>
      <c r="D4124" t="s">
        <v>13649</v>
      </c>
      <c r="E4124" t="s">
        <v>13992</v>
      </c>
      <c r="F4124" t="s">
        <v>13936</v>
      </c>
      <c r="G4124" t="s">
        <v>14001</v>
      </c>
      <c r="H4124" t="s">
        <v>13994</v>
      </c>
      <c r="I4124" t="s">
        <v>12921</v>
      </c>
      <c r="J4124" t="s">
        <v>12922</v>
      </c>
      <c r="K4124" s="2" t="str">
        <f>HYPERLINK("http://collections.slsa.sa.gov.au/resource/PRG+1718/2/16")</f>
        <v>http://collections.slsa.sa.gov.au/resource/PRG+1718/2/16</v>
      </c>
    </row>
    <row r="4125" spans="1:11" x14ac:dyDescent="0.25">
      <c r="A4125" t="s">
        <v>14002</v>
      </c>
      <c r="B4125" s="1" t="str">
        <f>HYPERLINK("https://www.catalog.slsa.sa.gov.au/record=b3139627")</f>
        <v>https://www.catalog.slsa.sa.gov.au/record=b3139627</v>
      </c>
      <c r="C4125" s="1" t="str">
        <f>HYPERLINK("https://www.catalog.slsa.sa.gov.au/xrecord=b3139627")</f>
        <v>https://www.catalog.slsa.sa.gov.au/xrecord=b3139627</v>
      </c>
      <c r="D4125" t="s">
        <v>13649</v>
      </c>
      <c r="E4125" t="s">
        <v>13992</v>
      </c>
      <c r="F4125" t="s">
        <v>13936</v>
      </c>
      <c r="G4125" t="s">
        <v>14003</v>
      </c>
      <c r="H4125" t="s">
        <v>13994</v>
      </c>
      <c r="I4125" t="s">
        <v>12921</v>
      </c>
      <c r="J4125" t="s">
        <v>12922</v>
      </c>
      <c r="K4125" s="2" t="str">
        <f>HYPERLINK("http://collections.slsa.sa.gov.au/resource/PRG+1718/2/17")</f>
        <v>http://collections.slsa.sa.gov.au/resource/PRG+1718/2/17</v>
      </c>
    </row>
    <row r="4126" spans="1:11" x14ac:dyDescent="0.25">
      <c r="A4126" t="s">
        <v>14004</v>
      </c>
      <c r="B4126" s="1" t="str">
        <f>HYPERLINK("https://www.catalog.slsa.sa.gov.au/record=b3139628")</f>
        <v>https://www.catalog.slsa.sa.gov.au/record=b3139628</v>
      </c>
      <c r="C4126" s="1" t="str">
        <f>HYPERLINK("https://www.catalog.slsa.sa.gov.au/xrecord=b3139628")</f>
        <v>https://www.catalog.slsa.sa.gov.au/xrecord=b3139628</v>
      </c>
      <c r="D4126" t="s">
        <v>13649</v>
      </c>
      <c r="E4126" t="s">
        <v>13776</v>
      </c>
      <c r="F4126" t="s">
        <v>13936</v>
      </c>
      <c r="G4126" t="s">
        <v>14005</v>
      </c>
      <c r="H4126" t="s">
        <v>12918</v>
      </c>
      <c r="I4126" t="s">
        <v>12921</v>
      </c>
      <c r="J4126" t="s">
        <v>12922</v>
      </c>
      <c r="K4126" s="2" t="str">
        <f>HYPERLINK("http://collections.slsa.sa.gov.au/resource/PRG+1718/2/18")</f>
        <v>http://collections.slsa.sa.gov.au/resource/PRG+1718/2/18</v>
      </c>
    </row>
    <row r="4127" spans="1:11" x14ac:dyDescent="0.25">
      <c r="A4127" t="s">
        <v>14006</v>
      </c>
      <c r="B4127" s="1" t="str">
        <f>HYPERLINK("https://www.catalog.slsa.sa.gov.au/record=b3139630")</f>
        <v>https://www.catalog.slsa.sa.gov.au/record=b3139630</v>
      </c>
      <c r="C4127" s="1" t="str">
        <f>HYPERLINK("https://www.catalog.slsa.sa.gov.au/xrecord=b3139630")</f>
        <v>https://www.catalog.slsa.sa.gov.au/xrecord=b3139630</v>
      </c>
      <c r="D4127" t="s">
        <v>13649</v>
      </c>
      <c r="E4127" t="s">
        <v>13776</v>
      </c>
      <c r="F4127" t="s">
        <v>13936</v>
      </c>
      <c r="G4127" t="s">
        <v>14007</v>
      </c>
      <c r="H4127" t="s">
        <v>12918</v>
      </c>
      <c r="I4127" t="s">
        <v>12921</v>
      </c>
      <c r="J4127" t="s">
        <v>12922</v>
      </c>
      <c r="K4127" s="2" t="str">
        <f>HYPERLINK("http://collections.slsa.sa.gov.au/resource/PRG+1718/2/19")</f>
        <v>http://collections.slsa.sa.gov.au/resource/PRG+1718/2/19</v>
      </c>
    </row>
    <row r="4128" spans="1:11" x14ac:dyDescent="0.25">
      <c r="A4128" t="s">
        <v>14008</v>
      </c>
      <c r="B4128" s="1" t="str">
        <f>HYPERLINK("https://www.catalog.slsa.sa.gov.au/record=b3139608")</f>
        <v>https://www.catalog.slsa.sa.gov.au/record=b3139608</v>
      </c>
      <c r="C4128" s="1" t="str">
        <f>HYPERLINK("https://www.catalog.slsa.sa.gov.au/xrecord=b3139608")</f>
        <v>https://www.catalog.slsa.sa.gov.au/xrecord=b3139608</v>
      </c>
      <c r="D4128" t="s">
        <v>13649</v>
      </c>
      <c r="E4128" t="s">
        <v>13776</v>
      </c>
      <c r="F4128" t="s">
        <v>13936</v>
      </c>
      <c r="G4128" t="s">
        <v>14009</v>
      </c>
      <c r="H4128" t="s">
        <v>13978</v>
      </c>
      <c r="I4128" t="s">
        <v>12921</v>
      </c>
      <c r="J4128" t="s">
        <v>12922</v>
      </c>
      <c r="K4128" s="2" t="str">
        <f>HYPERLINK("http://collections.slsa.sa.gov.au/resource/PRG+1718/2/2")</f>
        <v>http://collections.slsa.sa.gov.au/resource/PRG+1718/2/2</v>
      </c>
    </row>
    <row r="4129" spans="1:11" x14ac:dyDescent="0.25">
      <c r="A4129" t="s">
        <v>14010</v>
      </c>
      <c r="B4129" s="1" t="str">
        <f>HYPERLINK("https://www.catalog.slsa.sa.gov.au/record=b3139631")</f>
        <v>https://www.catalog.slsa.sa.gov.au/record=b3139631</v>
      </c>
      <c r="C4129" s="1" t="str">
        <f>HYPERLINK("https://www.catalog.slsa.sa.gov.au/xrecord=b3139631")</f>
        <v>https://www.catalog.slsa.sa.gov.au/xrecord=b3139631</v>
      </c>
      <c r="D4129" t="s">
        <v>13649</v>
      </c>
      <c r="E4129" t="s">
        <v>13776</v>
      </c>
      <c r="F4129" t="s">
        <v>13936</v>
      </c>
      <c r="G4129" t="s">
        <v>13989</v>
      </c>
      <c r="H4129" t="s">
        <v>12918</v>
      </c>
      <c r="I4129" t="s">
        <v>12921</v>
      </c>
      <c r="J4129" t="s">
        <v>12922</v>
      </c>
      <c r="K4129" s="2" t="str">
        <f>HYPERLINK("http://collections.slsa.sa.gov.au/resource/PRG+1718/2/20")</f>
        <v>http://collections.slsa.sa.gov.au/resource/PRG+1718/2/20</v>
      </c>
    </row>
    <row r="4130" spans="1:11" x14ac:dyDescent="0.25">
      <c r="A4130" t="s">
        <v>14011</v>
      </c>
      <c r="B4130" s="1" t="str">
        <f>HYPERLINK("https://www.catalog.slsa.sa.gov.au/record=b3139632")</f>
        <v>https://www.catalog.slsa.sa.gov.au/record=b3139632</v>
      </c>
      <c r="C4130" s="1" t="str">
        <f>HYPERLINK("https://www.catalog.slsa.sa.gov.au/xrecord=b3139632")</f>
        <v>https://www.catalog.slsa.sa.gov.au/xrecord=b3139632</v>
      </c>
      <c r="D4130" t="s">
        <v>13649</v>
      </c>
      <c r="E4130" t="s">
        <v>14012</v>
      </c>
      <c r="F4130" t="s">
        <v>13936</v>
      </c>
      <c r="G4130" t="s">
        <v>14013</v>
      </c>
      <c r="H4130" t="s">
        <v>14014</v>
      </c>
      <c r="I4130" t="s">
        <v>14015</v>
      </c>
      <c r="J4130" t="s">
        <v>12922</v>
      </c>
      <c r="K4130" s="2" t="str">
        <f>HYPERLINK("http://collections.slsa.sa.gov.au/resource/PRG+1718/2/21")</f>
        <v>http://collections.slsa.sa.gov.au/resource/PRG+1718/2/21</v>
      </c>
    </row>
    <row r="4131" spans="1:11" x14ac:dyDescent="0.25">
      <c r="A4131" t="s">
        <v>14016</v>
      </c>
      <c r="B4131" s="1" t="str">
        <f>HYPERLINK("https://www.catalog.slsa.sa.gov.au/record=b3139609")</f>
        <v>https://www.catalog.slsa.sa.gov.au/record=b3139609</v>
      </c>
      <c r="C4131" s="1" t="str">
        <f>HYPERLINK("https://www.catalog.slsa.sa.gov.au/xrecord=b3139609")</f>
        <v>https://www.catalog.slsa.sa.gov.au/xrecord=b3139609</v>
      </c>
      <c r="D4131" t="s">
        <v>13649</v>
      </c>
      <c r="E4131" t="s">
        <v>13776</v>
      </c>
      <c r="F4131" t="s">
        <v>13936</v>
      </c>
      <c r="G4131" t="s">
        <v>14017</v>
      </c>
      <c r="H4131" t="s">
        <v>14018</v>
      </c>
      <c r="I4131" t="s">
        <v>12921</v>
      </c>
      <c r="J4131" t="s">
        <v>12922</v>
      </c>
      <c r="K4131" s="2" t="str">
        <f>HYPERLINK("http://collections.slsa.sa.gov.au/resource/PRG+1718/2/3")</f>
        <v>http://collections.slsa.sa.gov.au/resource/PRG+1718/2/3</v>
      </c>
    </row>
    <row r="4132" spans="1:11" x14ac:dyDescent="0.25">
      <c r="A4132" t="s">
        <v>14019</v>
      </c>
      <c r="B4132" s="1" t="str">
        <f>HYPERLINK("https://www.catalog.slsa.sa.gov.au/record=b3139648")</f>
        <v>https://www.catalog.slsa.sa.gov.au/record=b3139648</v>
      </c>
      <c r="C4132" s="1" t="str">
        <f>HYPERLINK("https://www.catalog.slsa.sa.gov.au/xrecord=b3139648")</f>
        <v>https://www.catalog.slsa.sa.gov.au/xrecord=b3139648</v>
      </c>
      <c r="D4132" t="s">
        <v>13649</v>
      </c>
      <c r="E4132" t="s">
        <v>14020</v>
      </c>
      <c r="F4132" t="s">
        <v>13936</v>
      </c>
      <c r="G4132" t="s">
        <v>14021</v>
      </c>
      <c r="H4132" t="s">
        <v>13990</v>
      </c>
      <c r="I4132" t="s">
        <v>13751</v>
      </c>
      <c r="J4132" t="s">
        <v>12922</v>
      </c>
      <c r="K4132" s="2" t="str">
        <f>HYPERLINK("http://collections.slsa.sa.gov.au/resource/PRG+1718/2/30")</f>
        <v>http://collections.slsa.sa.gov.au/resource/PRG+1718/2/30</v>
      </c>
    </row>
    <row r="4133" spans="1:11" x14ac:dyDescent="0.25">
      <c r="A4133" t="s">
        <v>14022</v>
      </c>
      <c r="B4133" s="1" t="str">
        <f>HYPERLINK("https://www.catalog.slsa.sa.gov.au/record=b3139924")</f>
        <v>https://www.catalog.slsa.sa.gov.au/record=b3139924</v>
      </c>
      <c r="C4133" s="1" t="str">
        <f>HYPERLINK("https://www.catalog.slsa.sa.gov.au/xrecord=b3139924")</f>
        <v>https://www.catalog.slsa.sa.gov.au/xrecord=b3139924</v>
      </c>
      <c r="D4133" t="s">
        <v>13649</v>
      </c>
      <c r="E4133" t="s">
        <v>14023</v>
      </c>
      <c r="F4133" t="s">
        <v>13936</v>
      </c>
      <c r="G4133" t="s">
        <v>14024</v>
      </c>
      <c r="H4133" t="s">
        <v>14025</v>
      </c>
      <c r="I4133" t="s">
        <v>13746</v>
      </c>
      <c r="J4133" t="s">
        <v>12922</v>
      </c>
      <c r="K4133" s="2" t="str">
        <f>HYPERLINK("http://collections.slsa.sa.gov.au/resource/PRG+1718/2/31")</f>
        <v>http://collections.slsa.sa.gov.au/resource/PRG+1718/2/31</v>
      </c>
    </row>
    <row r="4134" spans="1:11" x14ac:dyDescent="0.25">
      <c r="A4134" t="s">
        <v>14026</v>
      </c>
      <c r="B4134" s="1" t="str">
        <f>HYPERLINK("https://www.catalog.slsa.sa.gov.au/record=b3139927")</f>
        <v>https://www.catalog.slsa.sa.gov.au/record=b3139927</v>
      </c>
      <c r="C4134" s="1" t="str">
        <f>HYPERLINK("https://www.catalog.slsa.sa.gov.au/xrecord=b3139927")</f>
        <v>https://www.catalog.slsa.sa.gov.au/xrecord=b3139927</v>
      </c>
      <c r="D4134" t="s">
        <v>13649</v>
      </c>
      <c r="E4134" t="s">
        <v>14027</v>
      </c>
      <c r="F4134" t="s">
        <v>13936</v>
      </c>
      <c r="G4134" t="s">
        <v>14028</v>
      </c>
      <c r="H4134" t="s">
        <v>14029</v>
      </c>
      <c r="I4134" t="s">
        <v>13986</v>
      </c>
      <c r="J4134" t="s">
        <v>12922</v>
      </c>
      <c r="K4134" s="2" t="str">
        <f>HYPERLINK("http://collections.slsa.sa.gov.au/resource/PRG+1718/2/32")</f>
        <v>http://collections.slsa.sa.gov.au/resource/PRG+1718/2/32</v>
      </c>
    </row>
    <row r="4135" spans="1:11" x14ac:dyDescent="0.25">
      <c r="A4135" t="s">
        <v>14030</v>
      </c>
      <c r="B4135" s="1" t="str">
        <f>HYPERLINK("https://www.catalog.slsa.sa.gov.au/record=b3139929")</f>
        <v>https://www.catalog.slsa.sa.gov.au/record=b3139929</v>
      </c>
      <c r="C4135" s="1" t="str">
        <f>HYPERLINK("https://www.catalog.slsa.sa.gov.au/xrecord=b3139929")</f>
        <v>https://www.catalog.slsa.sa.gov.au/xrecord=b3139929</v>
      </c>
      <c r="D4135" t="s">
        <v>13649</v>
      </c>
      <c r="E4135" t="s">
        <v>14031</v>
      </c>
      <c r="F4135" t="s">
        <v>13936</v>
      </c>
      <c r="G4135" t="s">
        <v>14032</v>
      </c>
      <c r="H4135" t="s">
        <v>14033</v>
      </c>
      <c r="I4135" t="s">
        <v>14034</v>
      </c>
      <c r="J4135" t="s">
        <v>12922</v>
      </c>
      <c r="K4135" s="2" t="str">
        <f>HYPERLINK("http://collections.slsa.sa.gov.au/resource/PRG+1718/2/33")</f>
        <v>http://collections.slsa.sa.gov.au/resource/PRG+1718/2/33</v>
      </c>
    </row>
    <row r="4136" spans="1:11" x14ac:dyDescent="0.25">
      <c r="A4136" t="s">
        <v>14035</v>
      </c>
      <c r="B4136" s="1" t="str">
        <f>HYPERLINK("https://www.catalog.slsa.sa.gov.au/record=b3139931")</f>
        <v>https://www.catalog.slsa.sa.gov.au/record=b3139931</v>
      </c>
      <c r="C4136" s="1" t="str">
        <f>HYPERLINK("https://www.catalog.slsa.sa.gov.au/xrecord=b3139931")</f>
        <v>https://www.catalog.slsa.sa.gov.au/xrecord=b3139931</v>
      </c>
      <c r="D4136" t="s">
        <v>13649</v>
      </c>
      <c r="E4136" t="s">
        <v>14036</v>
      </c>
      <c r="F4136" t="s">
        <v>13936</v>
      </c>
      <c r="G4136" t="s">
        <v>14037</v>
      </c>
      <c r="H4136" t="s">
        <v>14038</v>
      </c>
      <c r="I4136" t="s">
        <v>14039</v>
      </c>
      <c r="J4136" t="s">
        <v>12922</v>
      </c>
      <c r="K4136" s="2" t="str">
        <f>HYPERLINK("http://collections.slsa.sa.gov.au/resource/PRG+1718/2/34")</f>
        <v>http://collections.slsa.sa.gov.au/resource/PRG+1718/2/34</v>
      </c>
    </row>
    <row r="4137" spans="1:11" x14ac:dyDescent="0.25">
      <c r="A4137" t="s">
        <v>14040</v>
      </c>
      <c r="B4137" s="1" t="str">
        <f>HYPERLINK("https://www.catalog.slsa.sa.gov.au/record=b3139610")</f>
        <v>https://www.catalog.slsa.sa.gov.au/record=b3139610</v>
      </c>
      <c r="C4137" s="1" t="str">
        <f>HYPERLINK("https://www.catalog.slsa.sa.gov.au/xrecord=b3139610")</f>
        <v>https://www.catalog.slsa.sa.gov.au/xrecord=b3139610</v>
      </c>
      <c r="D4137" t="s">
        <v>13649</v>
      </c>
      <c r="E4137" t="s">
        <v>13776</v>
      </c>
      <c r="F4137" t="s">
        <v>13936</v>
      </c>
      <c r="G4137" t="s">
        <v>14041</v>
      </c>
      <c r="H4137" t="s">
        <v>14018</v>
      </c>
      <c r="I4137" t="s">
        <v>12921</v>
      </c>
      <c r="J4137" t="s">
        <v>12922</v>
      </c>
      <c r="K4137" s="2" t="str">
        <f>HYPERLINK("http://collections.slsa.sa.gov.au/resource/PRG+1718/2/4")</f>
        <v>http://collections.slsa.sa.gov.au/resource/PRG+1718/2/4</v>
      </c>
    </row>
    <row r="4138" spans="1:11" x14ac:dyDescent="0.25">
      <c r="A4138" t="s">
        <v>14042</v>
      </c>
      <c r="B4138" s="1" t="str">
        <f>HYPERLINK("https://www.catalog.slsa.sa.gov.au/record=b3139611")</f>
        <v>https://www.catalog.slsa.sa.gov.au/record=b3139611</v>
      </c>
      <c r="C4138" s="1" t="str">
        <f>HYPERLINK("https://www.catalog.slsa.sa.gov.au/xrecord=b3139611")</f>
        <v>https://www.catalog.slsa.sa.gov.au/xrecord=b3139611</v>
      </c>
      <c r="D4138" t="s">
        <v>13649</v>
      </c>
      <c r="E4138" t="s">
        <v>14043</v>
      </c>
      <c r="F4138" t="s">
        <v>13936</v>
      </c>
      <c r="G4138" t="s">
        <v>14044</v>
      </c>
      <c r="H4138" t="s">
        <v>14045</v>
      </c>
      <c r="I4138" t="s">
        <v>14046</v>
      </c>
      <c r="J4138" t="s">
        <v>12922</v>
      </c>
      <c r="K4138" s="2" t="str">
        <f>HYPERLINK("http://collections.slsa.sa.gov.au/resource/PRG+1718/2/5")</f>
        <v>http://collections.slsa.sa.gov.au/resource/PRG+1718/2/5</v>
      </c>
    </row>
    <row r="4139" spans="1:11" x14ac:dyDescent="0.25">
      <c r="A4139" t="s">
        <v>14047</v>
      </c>
      <c r="B4139" s="1" t="str">
        <f>HYPERLINK("https://www.catalog.slsa.sa.gov.au/record=b3139616")</f>
        <v>https://www.catalog.slsa.sa.gov.au/record=b3139616</v>
      </c>
      <c r="C4139" s="1" t="str">
        <f>HYPERLINK("https://www.catalog.slsa.sa.gov.au/xrecord=b3139616")</f>
        <v>https://www.catalog.slsa.sa.gov.au/xrecord=b3139616</v>
      </c>
      <c r="D4139" t="s">
        <v>13649</v>
      </c>
      <c r="E4139" t="s">
        <v>14043</v>
      </c>
      <c r="F4139" t="s">
        <v>13936</v>
      </c>
      <c r="G4139" t="s">
        <v>14044</v>
      </c>
      <c r="H4139" t="s">
        <v>14048</v>
      </c>
      <c r="I4139" t="s">
        <v>14046</v>
      </c>
      <c r="J4139" t="s">
        <v>12922</v>
      </c>
      <c r="K4139" s="2" t="str">
        <f>HYPERLINK("http://collections.slsa.sa.gov.au/resource/PRG+1718/2/6")</f>
        <v>http://collections.slsa.sa.gov.au/resource/PRG+1718/2/6</v>
      </c>
    </row>
    <row r="4140" spans="1:11" x14ac:dyDescent="0.25">
      <c r="A4140" t="s">
        <v>14049</v>
      </c>
      <c r="B4140" s="1" t="str">
        <f>HYPERLINK("https://www.catalog.slsa.sa.gov.au/record=b3139617")</f>
        <v>https://www.catalog.slsa.sa.gov.au/record=b3139617</v>
      </c>
      <c r="C4140" s="1" t="str">
        <f>HYPERLINK("https://www.catalog.slsa.sa.gov.au/xrecord=b3139617")</f>
        <v>https://www.catalog.slsa.sa.gov.au/xrecord=b3139617</v>
      </c>
      <c r="D4140" t="s">
        <v>13649</v>
      </c>
      <c r="E4140" t="s">
        <v>14050</v>
      </c>
      <c r="F4140" t="s">
        <v>13936</v>
      </c>
      <c r="G4140" t="s">
        <v>14051</v>
      </c>
      <c r="H4140" t="s">
        <v>14052</v>
      </c>
      <c r="I4140" t="s">
        <v>14053</v>
      </c>
      <c r="J4140" t="s">
        <v>12922</v>
      </c>
      <c r="K4140" s="2" t="str">
        <f>HYPERLINK("http://collections.slsa.sa.gov.au/resource/PRG+1718/2/7")</f>
        <v>http://collections.slsa.sa.gov.au/resource/PRG+1718/2/7</v>
      </c>
    </row>
    <row r="4141" spans="1:11" x14ac:dyDescent="0.25">
      <c r="A4141" t="s">
        <v>14054</v>
      </c>
      <c r="B4141" s="1" t="str">
        <f>HYPERLINK("https://www.catalog.slsa.sa.gov.au/record=b3139618")</f>
        <v>https://www.catalog.slsa.sa.gov.au/record=b3139618</v>
      </c>
      <c r="C4141" s="1" t="str">
        <f>HYPERLINK("https://www.catalog.slsa.sa.gov.au/xrecord=b3139618")</f>
        <v>https://www.catalog.slsa.sa.gov.au/xrecord=b3139618</v>
      </c>
      <c r="D4141" t="s">
        <v>13649</v>
      </c>
      <c r="E4141" t="s">
        <v>14012</v>
      </c>
      <c r="F4141" t="s">
        <v>13936</v>
      </c>
      <c r="G4141" t="s">
        <v>14055</v>
      </c>
      <c r="H4141" t="s">
        <v>14014</v>
      </c>
      <c r="I4141" t="s">
        <v>14015</v>
      </c>
      <c r="J4141" t="s">
        <v>12922</v>
      </c>
      <c r="K4141" s="2" t="str">
        <f>HYPERLINK("http://collections.slsa.sa.gov.au/resource/PRG+1718/2/8")</f>
        <v>http://collections.slsa.sa.gov.au/resource/PRG+1718/2/8</v>
      </c>
    </row>
    <row r="4142" spans="1:11" x14ac:dyDescent="0.25">
      <c r="A4142" t="s">
        <v>14056</v>
      </c>
      <c r="B4142" s="1" t="str">
        <f>HYPERLINK("https://www.catalog.slsa.sa.gov.au/record=b3139619")</f>
        <v>https://www.catalog.slsa.sa.gov.au/record=b3139619</v>
      </c>
      <c r="C4142" s="1" t="str">
        <f>HYPERLINK("https://www.catalog.slsa.sa.gov.au/xrecord=b3139619")</f>
        <v>https://www.catalog.slsa.sa.gov.au/xrecord=b3139619</v>
      </c>
      <c r="D4142" t="s">
        <v>13649</v>
      </c>
      <c r="E4142" t="s">
        <v>14057</v>
      </c>
      <c r="F4142" t="s">
        <v>13936</v>
      </c>
      <c r="G4142" t="s">
        <v>14058</v>
      </c>
      <c r="H4142" t="s">
        <v>14014</v>
      </c>
      <c r="I4142" t="s">
        <v>14015</v>
      </c>
      <c r="J4142" t="s">
        <v>12922</v>
      </c>
      <c r="K4142" s="2" t="str">
        <f>HYPERLINK("http://collections.slsa.sa.gov.au/resource/PRG+1718/2/9")</f>
        <v>http://collections.slsa.sa.gov.au/resource/PRG+1718/2/9</v>
      </c>
    </row>
    <row r="4143" spans="1:11" x14ac:dyDescent="0.25">
      <c r="A4143" t="s">
        <v>14059</v>
      </c>
      <c r="B4143" s="1" t="str">
        <f>HYPERLINK("https://www.catalog.slsa.sa.gov.au/record=b3137319")</f>
        <v>https://www.catalog.slsa.sa.gov.au/record=b3137319</v>
      </c>
      <c r="C4143" s="1" t="str">
        <f>HYPERLINK("https://www.catalog.slsa.sa.gov.au/xrecord=b3137319")</f>
        <v>https://www.catalog.slsa.sa.gov.au/xrecord=b3137319</v>
      </c>
      <c r="D4143" t="s">
        <v>13649</v>
      </c>
      <c r="E4143" t="s">
        <v>14060</v>
      </c>
      <c r="F4143" t="s">
        <v>13936</v>
      </c>
      <c r="G4143" t="s">
        <v>14061</v>
      </c>
      <c r="H4143" t="s">
        <v>14062</v>
      </c>
      <c r="I4143" t="s">
        <v>14063</v>
      </c>
      <c r="J4143" t="s">
        <v>12922</v>
      </c>
      <c r="K4143" s="2" t="str">
        <f>HYPERLINK("http://collections.slsa.sa.gov.au/resource/PRG+1718/3/1")</f>
        <v>http://collections.slsa.sa.gov.au/resource/PRG+1718/3/1</v>
      </c>
    </row>
    <row r="4144" spans="1:11" x14ac:dyDescent="0.25">
      <c r="A4144" t="s">
        <v>14064</v>
      </c>
      <c r="B4144" s="1" t="str">
        <f>HYPERLINK("https://www.catalog.slsa.sa.gov.au/record=b3139979")</f>
        <v>https://www.catalog.slsa.sa.gov.au/record=b3139979</v>
      </c>
      <c r="C4144" s="1" t="str">
        <f>HYPERLINK("https://www.catalog.slsa.sa.gov.au/xrecord=b3139979")</f>
        <v>https://www.catalog.slsa.sa.gov.au/xrecord=b3139979</v>
      </c>
      <c r="D4144" t="s">
        <v>13649</v>
      </c>
      <c r="E4144" t="s">
        <v>14065</v>
      </c>
      <c r="F4144" t="s">
        <v>13936</v>
      </c>
      <c r="G4144" t="s">
        <v>14066</v>
      </c>
      <c r="H4144" t="s">
        <v>14067</v>
      </c>
      <c r="I4144" t="s">
        <v>13746</v>
      </c>
      <c r="J4144" t="s">
        <v>12922</v>
      </c>
      <c r="K4144" s="2" t="str">
        <f>HYPERLINK("http://collections.slsa.sa.gov.au/resource/PRG+1718/3/10")</f>
        <v>http://collections.slsa.sa.gov.au/resource/PRG+1718/3/10</v>
      </c>
    </row>
    <row r="4145" spans="1:11" x14ac:dyDescent="0.25">
      <c r="A4145" t="s">
        <v>14068</v>
      </c>
      <c r="B4145" s="1" t="str">
        <f>HYPERLINK("https://www.catalog.slsa.sa.gov.au/record=b3137322")</f>
        <v>https://www.catalog.slsa.sa.gov.au/record=b3137322</v>
      </c>
      <c r="C4145" s="1" t="str">
        <f>HYPERLINK("https://www.catalog.slsa.sa.gov.au/xrecord=b3137322")</f>
        <v>https://www.catalog.slsa.sa.gov.au/xrecord=b3137322</v>
      </c>
      <c r="D4145" t="s">
        <v>13649</v>
      </c>
      <c r="E4145" t="s">
        <v>14060</v>
      </c>
      <c r="F4145" t="s">
        <v>13936</v>
      </c>
      <c r="G4145" t="s">
        <v>14069</v>
      </c>
      <c r="H4145" t="s">
        <v>14062</v>
      </c>
      <c r="I4145" t="s">
        <v>14063</v>
      </c>
      <c r="J4145" t="s">
        <v>12922</v>
      </c>
      <c r="K4145" s="2" t="str">
        <f>HYPERLINK("http://collections.slsa.sa.gov.au/resource/PRG+1718/3/2")</f>
        <v>http://collections.slsa.sa.gov.au/resource/PRG+1718/3/2</v>
      </c>
    </row>
    <row r="4146" spans="1:11" x14ac:dyDescent="0.25">
      <c r="A4146" t="s">
        <v>14070</v>
      </c>
      <c r="B4146" s="1" t="str">
        <f>HYPERLINK("https://www.catalog.slsa.sa.gov.au/record=b3137323")</f>
        <v>https://www.catalog.slsa.sa.gov.au/record=b3137323</v>
      </c>
      <c r="C4146" s="1" t="str">
        <f>HYPERLINK("https://www.catalog.slsa.sa.gov.au/xrecord=b3137323")</f>
        <v>https://www.catalog.slsa.sa.gov.au/xrecord=b3137323</v>
      </c>
      <c r="D4146" t="s">
        <v>13649</v>
      </c>
      <c r="E4146" t="s">
        <v>14060</v>
      </c>
      <c r="F4146" t="s">
        <v>13936</v>
      </c>
      <c r="G4146" t="s">
        <v>14069</v>
      </c>
      <c r="H4146" t="s">
        <v>14062</v>
      </c>
      <c r="I4146" t="s">
        <v>14063</v>
      </c>
      <c r="J4146" t="s">
        <v>12922</v>
      </c>
      <c r="K4146" s="2" t="str">
        <f>HYPERLINK("http://collections.slsa.sa.gov.au/resource/PRG+1718/3/3")</f>
        <v>http://collections.slsa.sa.gov.au/resource/PRG+1718/3/3</v>
      </c>
    </row>
    <row r="4147" spans="1:11" x14ac:dyDescent="0.25">
      <c r="A4147" t="s">
        <v>14071</v>
      </c>
      <c r="B4147" s="1" t="str">
        <f>HYPERLINK("https://www.catalog.slsa.sa.gov.au/record=b3140296")</f>
        <v>https://www.catalog.slsa.sa.gov.au/record=b3140296</v>
      </c>
      <c r="C4147" s="1" t="str">
        <f>HYPERLINK("https://www.catalog.slsa.sa.gov.au/xrecord=b3140296")</f>
        <v>https://www.catalog.slsa.sa.gov.au/xrecord=b3140296</v>
      </c>
      <c r="D4147" t="s">
        <v>13649</v>
      </c>
      <c r="E4147" t="s">
        <v>14072</v>
      </c>
      <c r="F4147" t="s">
        <v>13936</v>
      </c>
      <c r="G4147" t="s">
        <v>14073</v>
      </c>
      <c r="H4147" t="s">
        <v>14074</v>
      </c>
      <c r="I4147" t="s">
        <v>14075</v>
      </c>
      <c r="J4147" t="s">
        <v>12922</v>
      </c>
      <c r="K4147" s="2" t="str">
        <f>HYPERLINK("http://collections.slsa.sa.gov.au/resource/PRG+1718/3/34")</f>
        <v>http://collections.slsa.sa.gov.au/resource/PRG+1718/3/34</v>
      </c>
    </row>
    <row r="4148" spans="1:11" x14ac:dyDescent="0.25">
      <c r="A4148" t="s">
        <v>14076</v>
      </c>
      <c r="B4148" s="1" t="str">
        <f>HYPERLINK("https://www.catalog.slsa.sa.gov.au/record=b3140297")</f>
        <v>https://www.catalog.slsa.sa.gov.au/record=b3140297</v>
      </c>
      <c r="C4148" s="1" t="str">
        <f>HYPERLINK("https://www.catalog.slsa.sa.gov.au/xrecord=b3140297")</f>
        <v>https://www.catalog.slsa.sa.gov.au/xrecord=b3140297</v>
      </c>
      <c r="D4148" t="s">
        <v>13649</v>
      </c>
      <c r="E4148" t="s">
        <v>14077</v>
      </c>
      <c r="F4148" t="s">
        <v>13936</v>
      </c>
      <c r="G4148" t="s">
        <v>14078</v>
      </c>
      <c r="H4148" t="s">
        <v>14079</v>
      </c>
      <c r="I4148" t="s">
        <v>14080</v>
      </c>
      <c r="J4148" t="s">
        <v>12922</v>
      </c>
      <c r="K4148" s="2" t="str">
        <f>HYPERLINK("http://collections.slsa.sa.gov.au/resource/PRG+1718/3/35")</f>
        <v>http://collections.slsa.sa.gov.au/resource/PRG+1718/3/35</v>
      </c>
    </row>
    <row r="4149" spans="1:11" x14ac:dyDescent="0.25">
      <c r="A4149" t="s">
        <v>14081</v>
      </c>
      <c r="B4149" s="1" t="str">
        <f>HYPERLINK("https://www.catalog.slsa.sa.gov.au/record=b3140300")</f>
        <v>https://www.catalog.slsa.sa.gov.au/record=b3140300</v>
      </c>
      <c r="C4149" s="1" t="str">
        <f>HYPERLINK("https://www.catalog.slsa.sa.gov.au/xrecord=b3140300")</f>
        <v>https://www.catalog.slsa.sa.gov.au/xrecord=b3140300</v>
      </c>
      <c r="D4149" t="s">
        <v>13649</v>
      </c>
      <c r="E4149" t="s">
        <v>14082</v>
      </c>
      <c r="F4149" t="s">
        <v>13936</v>
      </c>
      <c r="G4149" t="s">
        <v>14083</v>
      </c>
      <c r="H4149" t="s">
        <v>14084</v>
      </c>
      <c r="I4149" t="s">
        <v>14085</v>
      </c>
      <c r="J4149" t="s">
        <v>12922</v>
      </c>
      <c r="K4149" s="2" t="str">
        <f>HYPERLINK("http://collections.slsa.sa.gov.au/resource/PRG+1718/3/36")</f>
        <v>http://collections.slsa.sa.gov.au/resource/PRG+1718/3/36</v>
      </c>
    </row>
    <row r="4150" spans="1:11" x14ac:dyDescent="0.25">
      <c r="A4150" t="s">
        <v>14086</v>
      </c>
      <c r="B4150" s="1" t="str">
        <f>HYPERLINK("https://www.catalog.slsa.sa.gov.au/record=b3140309")</f>
        <v>https://www.catalog.slsa.sa.gov.au/record=b3140309</v>
      </c>
      <c r="C4150" s="1" t="str">
        <f>HYPERLINK("https://www.catalog.slsa.sa.gov.au/xrecord=b3140309")</f>
        <v>https://www.catalog.slsa.sa.gov.au/xrecord=b3140309</v>
      </c>
      <c r="D4150" t="s">
        <v>13649</v>
      </c>
      <c r="E4150" t="s">
        <v>14087</v>
      </c>
      <c r="F4150" t="s">
        <v>13936</v>
      </c>
      <c r="G4150" t="s">
        <v>14088</v>
      </c>
      <c r="H4150" t="s">
        <v>14089</v>
      </c>
      <c r="I4150" t="s">
        <v>12921</v>
      </c>
      <c r="J4150" t="s">
        <v>12922</v>
      </c>
      <c r="K4150" s="2" t="str">
        <f>HYPERLINK("http://collections.slsa.sa.gov.au/resource/PRG+1718/3/37")</f>
        <v>http://collections.slsa.sa.gov.au/resource/PRG+1718/3/37</v>
      </c>
    </row>
    <row r="4151" spans="1:11" x14ac:dyDescent="0.25">
      <c r="A4151" t="s">
        <v>14090</v>
      </c>
      <c r="B4151" s="1" t="str">
        <f>HYPERLINK("https://www.catalog.slsa.sa.gov.au/record=b3140310")</f>
        <v>https://www.catalog.slsa.sa.gov.au/record=b3140310</v>
      </c>
      <c r="C4151" s="1" t="str">
        <f>HYPERLINK("https://www.catalog.slsa.sa.gov.au/xrecord=b3140310")</f>
        <v>https://www.catalog.slsa.sa.gov.au/xrecord=b3140310</v>
      </c>
      <c r="D4151" t="s">
        <v>13649</v>
      </c>
      <c r="E4151" t="s">
        <v>14091</v>
      </c>
      <c r="F4151" t="s">
        <v>13936</v>
      </c>
      <c r="G4151" t="s">
        <v>14092</v>
      </c>
      <c r="H4151" t="s">
        <v>14093</v>
      </c>
      <c r="I4151" t="s">
        <v>14094</v>
      </c>
      <c r="J4151" t="s">
        <v>12922</v>
      </c>
      <c r="K4151" s="2" t="str">
        <f>HYPERLINK("http://collections.slsa.sa.gov.au/resource/PRG+1718/3/38")</f>
        <v>http://collections.slsa.sa.gov.au/resource/PRG+1718/3/38</v>
      </c>
    </row>
    <row r="4152" spans="1:11" x14ac:dyDescent="0.25">
      <c r="A4152" t="s">
        <v>14095</v>
      </c>
      <c r="B4152" s="1" t="str">
        <f>HYPERLINK("https://www.catalog.slsa.sa.gov.au/record=b3137324")</f>
        <v>https://www.catalog.slsa.sa.gov.au/record=b3137324</v>
      </c>
      <c r="C4152" s="1" t="str">
        <f>HYPERLINK("https://www.catalog.slsa.sa.gov.au/xrecord=b3137324")</f>
        <v>https://www.catalog.slsa.sa.gov.au/xrecord=b3137324</v>
      </c>
      <c r="D4152" t="s">
        <v>13649</v>
      </c>
      <c r="E4152" t="s">
        <v>14060</v>
      </c>
      <c r="F4152" t="s">
        <v>13936</v>
      </c>
      <c r="G4152" t="s">
        <v>14096</v>
      </c>
      <c r="H4152" t="s">
        <v>14062</v>
      </c>
      <c r="I4152" t="s">
        <v>14063</v>
      </c>
      <c r="J4152" t="s">
        <v>12922</v>
      </c>
      <c r="K4152" s="2" t="str">
        <f>HYPERLINK("http://collections.slsa.sa.gov.au/resource/PRG+1718/3/4")</f>
        <v>http://collections.slsa.sa.gov.au/resource/PRG+1718/3/4</v>
      </c>
    </row>
    <row r="4153" spans="1:11" x14ac:dyDescent="0.25">
      <c r="A4153" t="s">
        <v>14097</v>
      </c>
      <c r="B4153" s="1" t="str">
        <f>HYPERLINK("https://www.catalog.slsa.sa.gov.au/record=b3137325")</f>
        <v>https://www.catalog.slsa.sa.gov.au/record=b3137325</v>
      </c>
      <c r="C4153" s="1" t="str">
        <f>HYPERLINK("https://www.catalog.slsa.sa.gov.au/xrecord=b3137325")</f>
        <v>https://www.catalog.slsa.sa.gov.au/xrecord=b3137325</v>
      </c>
      <c r="D4153" t="s">
        <v>13649</v>
      </c>
      <c r="E4153" t="s">
        <v>14060</v>
      </c>
      <c r="F4153" t="s">
        <v>13936</v>
      </c>
      <c r="G4153" t="s">
        <v>14098</v>
      </c>
      <c r="H4153" t="s">
        <v>14062</v>
      </c>
      <c r="I4153" t="s">
        <v>14063</v>
      </c>
      <c r="J4153" t="s">
        <v>12922</v>
      </c>
      <c r="K4153" s="2" t="str">
        <f>HYPERLINK("http://collections.slsa.sa.gov.au/resource/PRG+1718/3/5")</f>
        <v>http://collections.slsa.sa.gov.au/resource/PRG+1718/3/5</v>
      </c>
    </row>
    <row r="4154" spans="1:11" x14ac:dyDescent="0.25">
      <c r="A4154" t="s">
        <v>14099</v>
      </c>
      <c r="B4154" s="1" t="str">
        <f>HYPERLINK("https://www.catalog.slsa.sa.gov.au/record=b3137326")</f>
        <v>https://www.catalog.slsa.sa.gov.au/record=b3137326</v>
      </c>
      <c r="C4154" s="1" t="str">
        <f>HYPERLINK("https://www.catalog.slsa.sa.gov.au/xrecord=b3137326")</f>
        <v>https://www.catalog.slsa.sa.gov.au/xrecord=b3137326</v>
      </c>
      <c r="D4154" t="s">
        <v>13649</v>
      </c>
      <c r="E4154" t="s">
        <v>14060</v>
      </c>
      <c r="F4154" t="s">
        <v>13936</v>
      </c>
      <c r="G4154" t="s">
        <v>14100</v>
      </c>
      <c r="H4154" t="s">
        <v>14062</v>
      </c>
      <c r="I4154" t="s">
        <v>14063</v>
      </c>
      <c r="J4154" t="s">
        <v>12922</v>
      </c>
      <c r="K4154" s="2" t="str">
        <f>HYPERLINK("http://collections.slsa.sa.gov.au/resource/PRG+1718/3/6")</f>
        <v>http://collections.slsa.sa.gov.au/resource/PRG+1718/3/6</v>
      </c>
    </row>
    <row r="4155" spans="1:11" x14ac:dyDescent="0.25">
      <c r="A4155" t="s">
        <v>14101</v>
      </c>
      <c r="B4155" s="1" t="str">
        <f>HYPERLINK("https://www.catalog.slsa.sa.gov.au/record=b3139965")</f>
        <v>https://www.catalog.slsa.sa.gov.au/record=b3139965</v>
      </c>
      <c r="C4155" s="1" t="str">
        <f>HYPERLINK("https://www.catalog.slsa.sa.gov.au/xrecord=b3139965")</f>
        <v>https://www.catalog.slsa.sa.gov.au/xrecord=b3139965</v>
      </c>
      <c r="D4155" t="s">
        <v>13649</v>
      </c>
      <c r="E4155" t="s">
        <v>14102</v>
      </c>
      <c r="F4155" t="s">
        <v>13936</v>
      </c>
      <c r="G4155" t="s">
        <v>14103</v>
      </c>
      <c r="H4155" t="s">
        <v>14104</v>
      </c>
      <c r="I4155" t="s">
        <v>13946</v>
      </c>
      <c r="J4155" t="s">
        <v>12922</v>
      </c>
      <c r="K4155" s="2" t="str">
        <f>HYPERLINK("http://collections.slsa.sa.gov.au/resource/PRG+1718/3/7")</f>
        <v>http://collections.slsa.sa.gov.au/resource/PRG+1718/3/7</v>
      </c>
    </row>
    <row r="4156" spans="1:11" x14ac:dyDescent="0.25">
      <c r="A4156" t="s">
        <v>14105</v>
      </c>
      <c r="B4156" s="1" t="str">
        <f>HYPERLINK("https://www.catalog.slsa.sa.gov.au/record=b3139976")</f>
        <v>https://www.catalog.slsa.sa.gov.au/record=b3139976</v>
      </c>
      <c r="C4156" s="1" t="str">
        <f>HYPERLINK("https://www.catalog.slsa.sa.gov.au/xrecord=b3139976")</f>
        <v>https://www.catalog.slsa.sa.gov.au/xrecord=b3139976</v>
      </c>
      <c r="D4156" t="s">
        <v>13649</v>
      </c>
      <c r="E4156" t="s">
        <v>14106</v>
      </c>
      <c r="F4156" t="s">
        <v>13936</v>
      </c>
      <c r="G4156" t="s">
        <v>14107</v>
      </c>
      <c r="H4156" t="s">
        <v>14108</v>
      </c>
      <c r="I4156" t="s">
        <v>14109</v>
      </c>
      <c r="J4156" t="s">
        <v>12922</v>
      </c>
      <c r="K4156" s="2" t="str">
        <f>HYPERLINK("http://collections.slsa.sa.gov.au/resource/PRG+1718/3/8")</f>
        <v>http://collections.slsa.sa.gov.au/resource/PRG+1718/3/8</v>
      </c>
    </row>
    <row r="4157" spans="1:11" x14ac:dyDescent="0.25">
      <c r="A4157" t="s">
        <v>14110</v>
      </c>
      <c r="B4157" s="1" t="str">
        <f>HYPERLINK("https://www.catalog.slsa.sa.gov.au/record=b3139977")</f>
        <v>https://www.catalog.slsa.sa.gov.au/record=b3139977</v>
      </c>
      <c r="C4157" s="1" t="str">
        <f>HYPERLINK("https://www.catalog.slsa.sa.gov.au/xrecord=b3139977")</f>
        <v>https://www.catalog.slsa.sa.gov.au/xrecord=b3139977</v>
      </c>
      <c r="D4157" t="s">
        <v>13649</v>
      </c>
      <c r="E4157" t="s">
        <v>14111</v>
      </c>
      <c r="F4157" t="s">
        <v>13936</v>
      </c>
      <c r="G4157" t="s">
        <v>14112</v>
      </c>
      <c r="H4157" t="s">
        <v>14113</v>
      </c>
      <c r="I4157" t="s">
        <v>14039</v>
      </c>
      <c r="J4157" t="s">
        <v>12922</v>
      </c>
      <c r="K4157" s="2" t="str">
        <f>HYPERLINK("http://collections.slsa.sa.gov.au/resource/PRG+1718/3/9")</f>
        <v>http://collections.slsa.sa.gov.au/resource/PRG+1718/3/9</v>
      </c>
    </row>
    <row r="4158" spans="1:11" x14ac:dyDescent="0.25">
      <c r="A4158" t="s">
        <v>14114</v>
      </c>
      <c r="B4158" s="1" t="str">
        <f>HYPERLINK("https://www.catalog.slsa.sa.gov.au/record=b3139257")</f>
        <v>https://www.catalog.slsa.sa.gov.au/record=b3139257</v>
      </c>
      <c r="C4158" s="1" t="str">
        <f>HYPERLINK("https://www.catalog.slsa.sa.gov.au/xrecord=b3139257")</f>
        <v>https://www.catalog.slsa.sa.gov.au/xrecord=b3139257</v>
      </c>
      <c r="D4158" t="s">
        <v>12917</v>
      </c>
      <c r="E4158" t="s">
        <v>13328</v>
      </c>
      <c r="F4158" t="s">
        <v>13936</v>
      </c>
      <c r="G4158" t="s">
        <v>14115</v>
      </c>
      <c r="H4158" t="s">
        <v>13776</v>
      </c>
      <c r="I4158" t="s">
        <v>12921</v>
      </c>
      <c r="J4158" t="s">
        <v>12922</v>
      </c>
      <c r="K4158" s="2" t="str">
        <f>HYPERLINK("http://collections.slsa.sa.gov.au/resource/PRG+1720/1/10")</f>
        <v>http://collections.slsa.sa.gov.au/resource/PRG+1720/1/10</v>
      </c>
    </row>
    <row r="4159" spans="1:11" x14ac:dyDescent="0.25">
      <c r="A4159" t="s">
        <v>14116</v>
      </c>
      <c r="B4159" s="1" t="str">
        <f>HYPERLINK("https://www.catalog.slsa.sa.gov.au/record=b3139258")</f>
        <v>https://www.catalog.slsa.sa.gov.au/record=b3139258</v>
      </c>
      <c r="C4159" s="1" t="str">
        <f>HYPERLINK("https://www.catalog.slsa.sa.gov.au/xrecord=b3139258")</f>
        <v>https://www.catalog.slsa.sa.gov.au/xrecord=b3139258</v>
      </c>
      <c r="D4159" t="s">
        <v>12917</v>
      </c>
      <c r="E4159" t="s">
        <v>13328</v>
      </c>
      <c r="F4159" t="s">
        <v>13936</v>
      </c>
      <c r="G4159" t="s">
        <v>14117</v>
      </c>
      <c r="H4159" t="s">
        <v>13776</v>
      </c>
      <c r="I4159" t="s">
        <v>12921</v>
      </c>
      <c r="J4159" t="s">
        <v>12922</v>
      </c>
      <c r="K4159" s="2" t="str">
        <f>HYPERLINK("http://collections.slsa.sa.gov.au/resource/PRG+1720/1/11")</f>
        <v>http://collections.slsa.sa.gov.au/resource/PRG+1720/1/11</v>
      </c>
    </row>
    <row r="4160" spans="1:11" x14ac:dyDescent="0.25">
      <c r="A4160" t="s">
        <v>14118</v>
      </c>
      <c r="B4160" s="1" t="str">
        <f>HYPERLINK("https://www.catalog.slsa.sa.gov.au/record=b3139259")</f>
        <v>https://www.catalog.slsa.sa.gov.au/record=b3139259</v>
      </c>
      <c r="C4160" s="1" t="str">
        <f>HYPERLINK("https://www.catalog.slsa.sa.gov.au/xrecord=b3139259")</f>
        <v>https://www.catalog.slsa.sa.gov.au/xrecord=b3139259</v>
      </c>
      <c r="D4160" t="s">
        <v>12917</v>
      </c>
      <c r="E4160" t="s">
        <v>13328</v>
      </c>
      <c r="F4160" t="s">
        <v>13936</v>
      </c>
      <c r="G4160" t="s">
        <v>14119</v>
      </c>
      <c r="H4160" t="s">
        <v>13776</v>
      </c>
      <c r="I4160" t="s">
        <v>12921</v>
      </c>
      <c r="J4160" t="s">
        <v>12922</v>
      </c>
      <c r="K4160" s="2" t="str">
        <f>HYPERLINK("http://collections.slsa.sa.gov.au/resource/PRG+1720/1/12")</f>
        <v>http://collections.slsa.sa.gov.au/resource/PRG+1720/1/12</v>
      </c>
    </row>
    <row r="4161" spans="1:11" x14ac:dyDescent="0.25">
      <c r="A4161" t="s">
        <v>14120</v>
      </c>
      <c r="B4161" s="1" t="str">
        <f>HYPERLINK("https://www.catalog.slsa.sa.gov.au/record=b3139256")</f>
        <v>https://www.catalog.slsa.sa.gov.au/record=b3139256</v>
      </c>
      <c r="C4161" s="1" t="str">
        <f>HYPERLINK("https://www.catalog.slsa.sa.gov.au/xrecord=b3139256")</f>
        <v>https://www.catalog.slsa.sa.gov.au/xrecord=b3139256</v>
      </c>
      <c r="D4161" t="s">
        <v>12917</v>
      </c>
      <c r="E4161" t="s">
        <v>13328</v>
      </c>
      <c r="F4161" t="s">
        <v>13936</v>
      </c>
      <c r="G4161" t="s">
        <v>14121</v>
      </c>
      <c r="H4161" t="s">
        <v>13776</v>
      </c>
      <c r="I4161" t="s">
        <v>12921</v>
      </c>
      <c r="J4161" t="s">
        <v>12922</v>
      </c>
      <c r="K4161" s="2" t="str">
        <f>HYPERLINK("http://collections.slsa.sa.gov.au/resource/PRG+1720/1/9")</f>
        <v>http://collections.slsa.sa.gov.au/resource/PRG+1720/1/9</v>
      </c>
    </row>
    <row r="4162" spans="1:11" x14ac:dyDescent="0.25">
      <c r="A4162" t="s">
        <v>14122</v>
      </c>
      <c r="B4162" s="1" t="str">
        <f>HYPERLINK("https://www.catalog.slsa.sa.gov.au/record=b2111095")</f>
        <v>https://www.catalog.slsa.sa.gov.au/record=b2111095</v>
      </c>
      <c r="C4162" s="1" t="str">
        <f>HYPERLINK("https://www.catalog.slsa.sa.gov.au/xrecord=b2111095")</f>
        <v>https://www.catalog.slsa.sa.gov.au/xrecord=b2111095</v>
      </c>
      <c r="D4162" t="s">
        <v>66</v>
      </c>
      <c r="E4162" t="s">
        <v>9635</v>
      </c>
      <c r="F4162">
        <v>1976</v>
      </c>
      <c r="G4162" t="s">
        <v>121</v>
      </c>
      <c r="H4162" t="s">
        <v>14123</v>
      </c>
      <c r="I4162" t="s">
        <v>1619</v>
      </c>
      <c r="J4162" t="s">
        <v>71</v>
      </c>
      <c r="K4162" s="2" t="str">
        <f>HYPERLINK("http://collections.slsa.sa.gov.au/arthur/02000/BRG347_1777.htm")</f>
        <v>http://collections.slsa.sa.gov.au/arthur/02000/BRG347_1777.htm</v>
      </c>
    </row>
    <row r="4163" spans="1:11" x14ac:dyDescent="0.25">
      <c r="A4163" t="s">
        <v>14124</v>
      </c>
      <c r="B4163" s="1" t="str">
        <f>HYPERLINK("https://www.catalog.slsa.sa.gov.au/record=b2111086")</f>
        <v>https://www.catalog.slsa.sa.gov.au/record=b2111086</v>
      </c>
      <c r="C4163" s="1" t="str">
        <f>HYPERLINK("https://www.catalog.slsa.sa.gov.au/xrecord=b2111086")</f>
        <v>https://www.catalog.slsa.sa.gov.au/xrecord=b2111086</v>
      </c>
      <c r="D4163" t="s">
        <v>66</v>
      </c>
      <c r="E4163" t="s">
        <v>9635</v>
      </c>
      <c r="F4163">
        <v>1977</v>
      </c>
      <c r="G4163" t="s">
        <v>121</v>
      </c>
      <c r="H4163" t="s">
        <v>14125</v>
      </c>
      <c r="I4163" t="s">
        <v>1619</v>
      </c>
      <c r="J4163" t="s">
        <v>71</v>
      </c>
      <c r="K4163" s="2" t="str">
        <f>HYPERLINK("http://collections.slsa.sa.gov.au/arthur/02000/BRG347_1767.htm")</f>
        <v>http://collections.slsa.sa.gov.au/arthur/02000/BRG347_1767.htm</v>
      </c>
    </row>
    <row r="4164" spans="1:11" x14ac:dyDescent="0.25">
      <c r="A4164" t="s">
        <v>14126</v>
      </c>
      <c r="B4164" s="1" t="str">
        <f>HYPERLINK("https://www.catalog.slsa.sa.gov.au/record=b2111087")</f>
        <v>https://www.catalog.slsa.sa.gov.au/record=b2111087</v>
      </c>
      <c r="C4164" s="1" t="str">
        <f>HYPERLINK("https://www.catalog.slsa.sa.gov.au/xrecord=b2111087")</f>
        <v>https://www.catalog.slsa.sa.gov.au/xrecord=b2111087</v>
      </c>
      <c r="D4164" t="s">
        <v>66</v>
      </c>
      <c r="E4164" t="s">
        <v>9635</v>
      </c>
      <c r="F4164">
        <v>1977</v>
      </c>
      <c r="G4164" t="s">
        <v>121</v>
      </c>
      <c r="H4164" t="s">
        <v>14125</v>
      </c>
      <c r="I4164" t="s">
        <v>1619</v>
      </c>
      <c r="J4164" t="s">
        <v>71</v>
      </c>
      <c r="K4164" s="2" t="str">
        <f>HYPERLINK("http://collections.slsa.sa.gov.au/arthur/02000/BRG347_1768.htm")</f>
        <v>http://collections.slsa.sa.gov.au/arthur/02000/BRG347_1768.htm</v>
      </c>
    </row>
    <row r="4165" spans="1:11" x14ac:dyDescent="0.25">
      <c r="A4165" t="s">
        <v>14127</v>
      </c>
      <c r="B4165" s="1" t="str">
        <f>HYPERLINK("https://www.catalog.slsa.sa.gov.au/record=b2111089")</f>
        <v>https://www.catalog.slsa.sa.gov.au/record=b2111089</v>
      </c>
      <c r="C4165" s="1" t="str">
        <f>HYPERLINK("https://www.catalog.slsa.sa.gov.au/xrecord=b2111089")</f>
        <v>https://www.catalog.slsa.sa.gov.au/xrecord=b2111089</v>
      </c>
      <c r="D4165" t="s">
        <v>66</v>
      </c>
      <c r="E4165" t="s">
        <v>9635</v>
      </c>
      <c r="F4165">
        <v>1977</v>
      </c>
      <c r="G4165" t="s">
        <v>121</v>
      </c>
      <c r="H4165" t="s">
        <v>14125</v>
      </c>
      <c r="I4165" t="s">
        <v>1619</v>
      </c>
      <c r="J4165" t="s">
        <v>71</v>
      </c>
      <c r="K4165" s="2" t="str">
        <f>HYPERLINK("http://collections.slsa.sa.gov.au/arthur/02000/BRG347_1770.htm")</f>
        <v>http://collections.slsa.sa.gov.au/arthur/02000/BRG347_1770.htm</v>
      </c>
    </row>
    <row r="4166" spans="1:11" x14ac:dyDescent="0.25">
      <c r="A4166" t="s">
        <v>14128</v>
      </c>
      <c r="B4166" s="1" t="str">
        <f>HYPERLINK("https://www.catalog.slsa.sa.gov.au/record=b2111090")</f>
        <v>https://www.catalog.slsa.sa.gov.au/record=b2111090</v>
      </c>
      <c r="C4166" s="1" t="str">
        <f>HYPERLINK("https://www.catalog.slsa.sa.gov.au/xrecord=b2111090")</f>
        <v>https://www.catalog.slsa.sa.gov.au/xrecord=b2111090</v>
      </c>
      <c r="D4166" t="s">
        <v>66</v>
      </c>
      <c r="E4166" t="s">
        <v>9635</v>
      </c>
      <c r="F4166">
        <v>1977</v>
      </c>
      <c r="G4166" t="s">
        <v>121</v>
      </c>
      <c r="H4166" t="s">
        <v>14125</v>
      </c>
      <c r="I4166" t="s">
        <v>1619</v>
      </c>
      <c r="J4166" t="s">
        <v>71</v>
      </c>
      <c r="K4166" s="2" t="str">
        <f>HYPERLINK("http://collections.slsa.sa.gov.au/arthur/02000/BRG347_1771.htm")</f>
        <v>http://collections.slsa.sa.gov.au/arthur/02000/BRG347_1771.htm</v>
      </c>
    </row>
    <row r="4167" spans="1:11" x14ac:dyDescent="0.25">
      <c r="A4167" t="s">
        <v>14129</v>
      </c>
      <c r="B4167" s="1" t="str">
        <f>HYPERLINK("https://www.catalog.slsa.sa.gov.au/record=b2117878")</f>
        <v>https://www.catalog.slsa.sa.gov.au/record=b2117878</v>
      </c>
      <c r="C4167" s="1" t="str">
        <f>HYPERLINK("https://www.catalog.slsa.sa.gov.au/xrecord=b2117878")</f>
        <v>https://www.catalog.slsa.sa.gov.au/xrecord=b2117878</v>
      </c>
      <c r="D4167" t="s">
        <v>66</v>
      </c>
      <c r="E4167" t="s">
        <v>14130</v>
      </c>
      <c r="F4167">
        <v>1977</v>
      </c>
      <c r="G4167" t="s">
        <v>121</v>
      </c>
      <c r="H4167" t="s">
        <v>14131</v>
      </c>
      <c r="I4167" t="s">
        <v>14132</v>
      </c>
      <c r="J4167" t="s">
        <v>71</v>
      </c>
      <c r="K4167" s="2" t="str">
        <f>HYPERLINK("http://collections.slsa.sa.gov.au/arthur/02000/BRG347_1778.htm")</f>
        <v>http://collections.slsa.sa.gov.au/arthur/02000/BRG347_1778.htm</v>
      </c>
    </row>
    <row r="4168" spans="1:11" x14ac:dyDescent="0.25">
      <c r="A4168" t="s">
        <v>14133</v>
      </c>
      <c r="B4168" s="1" t="str">
        <f>HYPERLINK("https://www.catalog.slsa.sa.gov.au/record=b2111466")</f>
        <v>https://www.catalog.slsa.sa.gov.au/record=b2111466</v>
      </c>
      <c r="C4168" s="1" t="str">
        <f>HYPERLINK("https://www.catalog.slsa.sa.gov.au/xrecord=b2111466")</f>
        <v>https://www.catalog.slsa.sa.gov.au/xrecord=b2111466</v>
      </c>
      <c r="D4168" t="s">
        <v>66</v>
      </c>
      <c r="E4168" t="s">
        <v>14134</v>
      </c>
      <c r="F4168">
        <v>1977</v>
      </c>
      <c r="G4168" t="s">
        <v>121</v>
      </c>
      <c r="H4168" t="s">
        <v>14125</v>
      </c>
      <c r="I4168" t="s">
        <v>14135</v>
      </c>
      <c r="J4168" t="s">
        <v>71</v>
      </c>
      <c r="K4168" s="2" t="str">
        <f>HYPERLINK("http://collections.slsa.sa.gov.au/arthur/02250/BRG347_2103.htm")</f>
        <v>http://collections.slsa.sa.gov.au/arthur/02250/BRG347_2103.htm</v>
      </c>
    </row>
    <row r="4169" spans="1:11" x14ac:dyDescent="0.25">
      <c r="A4169" t="s">
        <v>14136</v>
      </c>
      <c r="B4169" s="1" t="str">
        <f>HYPERLINK("https://www.catalog.slsa.sa.gov.au/record=b2112499")</f>
        <v>https://www.catalog.slsa.sa.gov.au/record=b2112499</v>
      </c>
      <c r="C4169" s="1" t="str">
        <f>HYPERLINK("https://www.catalog.slsa.sa.gov.au/xrecord=b2112499")</f>
        <v>https://www.catalog.slsa.sa.gov.au/xrecord=b2112499</v>
      </c>
      <c r="D4169" t="s">
        <v>66</v>
      </c>
      <c r="E4169" t="s">
        <v>14137</v>
      </c>
      <c r="F4169">
        <v>1977</v>
      </c>
      <c r="G4169" t="s">
        <v>121</v>
      </c>
      <c r="H4169" t="s">
        <v>14138</v>
      </c>
      <c r="I4169" t="s">
        <v>14139</v>
      </c>
      <c r="J4169" t="s">
        <v>71</v>
      </c>
      <c r="K4169" s="2" t="str">
        <f>HYPERLINK("http://collections.slsa.sa.gov.au/arthur/03000/BRG347_2762.htm")</f>
        <v>http://collections.slsa.sa.gov.au/arthur/03000/BRG347_2762.htm</v>
      </c>
    </row>
    <row r="4170" spans="1:11" x14ac:dyDescent="0.25">
      <c r="A4170" t="s">
        <v>14140</v>
      </c>
      <c r="B4170" s="1" t="str">
        <f>HYPERLINK("https://www.catalog.slsa.sa.gov.au/record=b3139248")</f>
        <v>https://www.catalog.slsa.sa.gov.au/record=b3139248</v>
      </c>
      <c r="C4170" s="1" t="str">
        <f>HYPERLINK("https://www.catalog.slsa.sa.gov.au/xrecord=b3139248")</f>
        <v>https://www.catalog.slsa.sa.gov.au/xrecord=b3139248</v>
      </c>
      <c r="D4170" t="s">
        <v>12917</v>
      </c>
      <c r="E4170" t="s">
        <v>13328</v>
      </c>
      <c r="F4170" t="s">
        <v>14141</v>
      </c>
      <c r="G4170" t="s">
        <v>14142</v>
      </c>
      <c r="H4170" t="s">
        <v>13776</v>
      </c>
      <c r="I4170" t="s">
        <v>12921</v>
      </c>
      <c r="J4170" t="s">
        <v>12922</v>
      </c>
      <c r="K4170" s="2" t="str">
        <f>HYPERLINK("http://collections.slsa.sa.gov.au/resource/PRG+1720/1/8")</f>
        <v>http://collections.slsa.sa.gov.au/resource/PRG+1720/1/8</v>
      </c>
    </row>
    <row r="4171" spans="1:11" x14ac:dyDescent="0.25">
      <c r="A4171" t="s">
        <v>14143</v>
      </c>
      <c r="B4171" s="1" t="str">
        <f>HYPERLINK("https://www.catalog.slsa.sa.gov.au/record=b2110112")</f>
        <v>https://www.catalog.slsa.sa.gov.au/record=b2110112</v>
      </c>
      <c r="C4171" s="1" t="str">
        <f>HYPERLINK("https://www.catalog.slsa.sa.gov.au/xrecord=b2110112")</f>
        <v>https://www.catalog.slsa.sa.gov.au/xrecord=b2110112</v>
      </c>
      <c r="D4171" t="s">
        <v>66</v>
      </c>
      <c r="E4171" t="s">
        <v>14144</v>
      </c>
      <c r="F4171">
        <v>1979</v>
      </c>
      <c r="G4171" t="s">
        <v>121</v>
      </c>
      <c r="H4171" t="s">
        <v>14145</v>
      </c>
      <c r="I4171" t="s">
        <v>14146</v>
      </c>
      <c r="J4171" t="s">
        <v>71</v>
      </c>
      <c r="K4171" s="2" t="str">
        <f>HYPERLINK("http://collections.slsa.sa.gov.au/arthur/01000/BRG347_916.htm")</f>
        <v>http://collections.slsa.sa.gov.au/arthur/01000/BRG347_916.htm</v>
      </c>
    </row>
    <row r="4172" spans="1:11" x14ac:dyDescent="0.25">
      <c r="A4172" t="s">
        <v>14147</v>
      </c>
      <c r="B4172" s="1" t="str">
        <f>HYPERLINK("https://www.catalog.slsa.sa.gov.au/record=b2110114")</f>
        <v>https://www.catalog.slsa.sa.gov.au/record=b2110114</v>
      </c>
      <c r="C4172" s="1" t="str">
        <f>HYPERLINK("https://www.catalog.slsa.sa.gov.au/xrecord=b2110114")</f>
        <v>https://www.catalog.slsa.sa.gov.au/xrecord=b2110114</v>
      </c>
      <c r="D4172" t="s">
        <v>66</v>
      </c>
      <c r="E4172" t="s">
        <v>14144</v>
      </c>
      <c r="F4172">
        <v>1979</v>
      </c>
      <c r="G4172" t="s">
        <v>121</v>
      </c>
      <c r="H4172" t="s">
        <v>14148</v>
      </c>
      <c r="I4172" t="s">
        <v>14146</v>
      </c>
      <c r="J4172" t="s">
        <v>71</v>
      </c>
      <c r="K4172" s="2" t="str">
        <f>HYPERLINK("http://collections.slsa.sa.gov.au/arthur/01000/BRG347_918.htm")</f>
        <v>http://collections.slsa.sa.gov.au/arthur/01000/BRG347_918.htm</v>
      </c>
    </row>
    <row r="4173" spans="1:11" x14ac:dyDescent="0.25">
      <c r="A4173" t="s">
        <v>14149</v>
      </c>
      <c r="B4173" s="1" t="str">
        <f>HYPERLINK("https://www.catalog.slsa.sa.gov.au/record=b2924042")</f>
        <v>https://www.catalog.slsa.sa.gov.au/record=b2924042</v>
      </c>
      <c r="C4173" s="1" t="str">
        <f>HYPERLINK("https://www.catalog.slsa.sa.gov.au/xrecord=b2924042")</f>
        <v>https://www.catalog.slsa.sa.gov.au/xrecord=b2924042</v>
      </c>
      <c r="D4173" t="s">
        <v>3775</v>
      </c>
      <c r="E4173" t="s">
        <v>14150</v>
      </c>
      <c r="F4173">
        <v>1979</v>
      </c>
      <c r="G4173" t="s">
        <v>14151</v>
      </c>
      <c r="H4173" t="s">
        <v>14152</v>
      </c>
      <c r="I4173" t="s">
        <v>14153</v>
      </c>
      <c r="J4173" t="s">
        <v>3780</v>
      </c>
      <c r="K4173" s="2" t="str">
        <f>HYPERLINK("http://collections.slsa.sa.gov.au/srg/94/A1/SRG94_A1_71_1_1.htm")</f>
        <v>http://collections.slsa.sa.gov.au/srg/94/A1/SRG94_A1_71_1_1.htm</v>
      </c>
    </row>
    <row r="4174" spans="1:11" x14ac:dyDescent="0.25">
      <c r="A4174" t="s">
        <v>14154</v>
      </c>
      <c r="B4174" s="1" t="str">
        <f>HYPERLINK("https://www.catalog.slsa.sa.gov.au/record=b2924043")</f>
        <v>https://www.catalog.slsa.sa.gov.au/record=b2924043</v>
      </c>
      <c r="C4174" s="1" t="str">
        <f>HYPERLINK("https://www.catalog.slsa.sa.gov.au/xrecord=b2924043")</f>
        <v>https://www.catalog.slsa.sa.gov.au/xrecord=b2924043</v>
      </c>
      <c r="D4174" t="s">
        <v>3775</v>
      </c>
      <c r="E4174" t="s">
        <v>14150</v>
      </c>
      <c r="F4174">
        <v>1979</v>
      </c>
      <c r="G4174" t="s">
        <v>14155</v>
      </c>
      <c r="H4174" t="s">
        <v>14156</v>
      </c>
      <c r="I4174" t="s">
        <v>14153</v>
      </c>
      <c r="J4174" t="s">
        <v>3780</v>
      </c>
      <c r="K4174" s="2" t="str">
        <f>HYPERLINK("http://collections.slsa.sa.gov.au/srg/94/A1/SRG94_A1_71_1_2.htm")</f>
        <v>http://collections.slsa.sa.gov.au/srg/94/A1/SRG94_A1_71_1_2.htm</v>
      </c>
    </row>
    <row r="4175" spans="1:11" x14ac:dyDescent="0.25">
      <c r="A4175" t="s">
        <v>14157</v>
      </c>
      <c r="B4175" s="1" t="str">
        <f>HYPERLINK("https://www.catalog.slsa.sa.gov.au/record=b2111146")</f>
        <v>https://www.catalog.slsa.sa.gov.au/record=b2111146</v>
      </c>
      <c r="C4175" s="1" t="str">
        <f>HYPERLINK("https://www.catalog.slsa.sa.gov.au/xrecord=b2111146")</f>
        <v>https://www.catalog.slsa.sa.gov.au/xrecord=b2111146</v>
      </c>
      <c r="D4175" t="s">
        <v>66</v>
      </c>
      <c r="E4175" t="s">
        <v>14158</v>
      </c>
      <c r="F4175">
        <v>1980</v>
      </c>
      <c r="G4175" t="s">
        <v>121</v>
      </c>
      <c r="H4175" t="s">
        <v>14159</v>
      </c>
      <c r="I4175" t="s">
        <v>14160</v>
      </c>
      <c r="J4175" t="s">
        <v>71</v>
      </c>
      <c r="K4175" s="2" t="str">
        <f>HYPERLINK("http://collections.slsa.sa.gov.au/arthur/02000/BRG347_1832.htm")</f>
        <v>http://collections.slsa.sa.gov.au/arthur/02000/BRG347_1832.htm</v>
      </c>
    </row>
    <row r="4176" spans="1:11" x14ac:dyDescent="0.25">
      <c r="A4176" t="s">
        <v>14161</v>
      </c>
      <c r="B4176" s="1" t="str">
        <f>HYPERLINK("https://www.catalog.slsa.sa.gov.au/record=b2111149")</f>
        <v>https://www.catalog.slsa.sa.gov.au/record=b2111149</v>
      </c>
      <c r="C4176" s="1" t="str">
        <f>HYPERLINK("https://www.catalog.slsa.sa.gov.au/xrecord=b2111149")</f>
        <v>https://www.catalog.slsa.sa.gov.au/xrecord=b2111149</v>
      </c>
      <c r="D4176" t="s">
        <v>66</v>
      </c>
      <c r="E4176" t="s">
        <v>14162</v>
      </c>
      <c r="F4176">
        <v>1980</v>
      </c>
      <c r="G4176" t="s">
        <v>121</v>
      </c>
      <c r="H4176" t="s">
        <v>14163</v>
      </c>
      <c r="I4176" t="s">
        <v>14164</v>
      </c>
      <c r="J4176" t="s">
        <v>71</v>
      </c>
      <c r="K4176" s="2" t="str">
        <f>HYPERLINK("http://collections.slsa.sa.gov.au/arthur/02000/BRG347_1835.htm")</f>
        <v>http://collections.slsa.sa.gov.au/arthur/02000/BRG347_1835.htm</v>
      </c>
    </row>
    <row r="4177" spans="1:11" x14ac:dyDescent="0.25">
      <c r="A4177" t="s">
        <v>14165</v>
      </c>
      <c r="B4177" s="1" t="str">
        <f>HYPERLINK("https://www.catalog.slsa.sa.gov.au/record=b2924044")</f>
        <v>https://www.catalog.slsa.sa.gov.au/record=b2924044</v>
      </c>
      <c r="C4177" s="1" t="str">
        <f>HYPERLINK("https://www.catalog.slsa.sa.gov.au/xrecord=b2924044")</f>
        <v>https://www.catalog.slsa.sa.gov.au/xrecord=b2924044</v>
      </c>
      <c r="D4177" t="s">
        <v>3775</v>
      </c>
      <c r="E4177" t="s">
        <v>14150</v>
      </c>
      <c r="F4177">
        <v>1980</v>
      </c>
      <c r="G4177" t="s">
        <v>14166</v>
      </c>
      <c r="H4177" t="s">
        <v>14167</v>
      </c>
      <c r="I4177" t="s">
        <v>14153</v>
      </c>
      <c r="J4177" t="s">
        <v>3780</v>
      </c>
      <c r="K4177" s="2" t="str">
        <f>HYPERLINK("http://collections.slsa.sa.gov.au/srg/94/A1/SRG94_A1_71_2.htm")</f>
        <v>http://collections.slsa.sa.gov.au/srg/94/A1/SRG94_A1_71_2.htm</v>
      </c>
    </row>
    <row r="4178" spans="1:11" x14ac:dyDescent="0.25">
      <c r="A4178" t="s">
        <v>14168</v>
      </c>
      <c r="B4178" s="1" t="str">
        <f>HYPERLINK("https://www.catalog.slsa.sa.gov.au/record=b3203079")</f>
        <v>https://www.catalog.slsa.sa.gov.au/record=b3203079</v>
      </c>
      <c r="C4178" s="1" t="str">
        <f>HYPERLINK("https://www.catalog.slsa.sa.gov.au/xrecord=b3203079")</f>
        <v>https://www.catalog.slsa.sa.gov.au/xrecord=b3203079</v>
      </c>
      <c r="E4178" t="s">
        <v>14169</v>
      </c>
      <c r="F4178" t="s">
        <v>14170</v>
      </c>
      <c r="G4178" t="s">
        <v>14171</v>
      </c>
      <c r="H4178" t="s">
        <v>14172</v>
      </c>
      <c r="I4178" t="s">
        <v>14173</v>
      </c>
      <c r="J4178" t="s">
        <v>14174</v>
      </c>
      <c r="K4178" s="2" t="str">
        <f>HYPERLINK("http://collections.slsa.sa.gov.au/resource/BRG+215/53")</f>
        <v>http://collections.slsa.sa.gov.au/resource/BRG+215/53</v>
      </c>
    </row>
    <row r="4179" spans="1:11" x14ac:dyDescent="0.25">
      <c r="A4179" t="s">
        <v>14175</v>
      </c>
      <c r="B4179" s="1" t="str">
        <f>HYPERLINK("https://www.catalog.slsa.sa.gov.au/record=b2102400")</f>
        <v>https://www.catalog.slsa.sa.gov.au/record=b2102400</v>
      </c>
      <c r="C4179" s="1" t="str">
        <f>HYPERLINK("https://www.catalog.slsa.sa.gov.au/xrecord=b2102400")</f>
        <v>https://www.catalog.slsa.sa.gov.au/xrecord=b2102400</v>
      </c>
      <c r="E4179" t="s">
        <v>13237</v>
      </c>
      <c r="F4179" t="s">
        <v>14170</v>
      </c>
      <c r="G4179" t="s">
        <v>14176</v>
      </c>
      <c r="H4179" t="s">
        <v>14177</v>
      </c>
      <c r="I4179" t="s">
        <v>14178</v>
      </c>
      <c r="J4179" t="s">
        <v>13241</v>
      </c>
      <c r="K4179" s="2" t="str">
        <f>HYPERLINK("http://collections.slsa.sa.gov.au/srg/32/5/SRG32_5_81.htm")</f>
        <v>http://collections.slsa.sa.gov.au/srg/32/5/SRG32_5_81.htm</v>
      </c>
    </row>
    <row r="4180" spans="1:11" x14ac:dyDescent="0.25">
      <c r="A4180" t="s">
        <v>14179</v>
      </c>
      <c r="B4180" s="1" t="str">
        <f>HYPERLINK("https://www.catalog.slsa.sa.gov.au/record=b2111088")</f>
        <v>https://www.catalog.slsa.sa.gov.au/record=b2111088</v>
      </c>
      <c r="C4180" s="1" t="str">
        <f>HYPERLINK("https://www.catalog.slsa.sa.gov.au/xrecord=b2111088")</f>
        <v>https://www.catalog.slsa.sa.gov.au/xrecord=b2111088</v>
      </c>
      <c r="D4180" t="s">
        <v>66</v>
      </c>
      <c r="E4180" t="s">
        <v>14180</v>
      </c>
      <c r="F4180">
        <v>1981</v>
      </c>
      <c r="G4180" t="s">
        <v>121</v>
      </c>
      <c r="H4180" t="s">
        <v>14181</v>
      </c>
      <c r="I4180" t="s">
        <v>14182</v>
      </c>
      <c r="J4180" t="s">
        <v>71</v>
      </c>
      <c r="K4180" s="2" t="str">
        <f>HYPERLINK("http://collections.slsa.sa.gov.au/arthur/02000/BRG347_1769.htm")</f>
        <v>http://collections.slsa.sa.gov.au/arthur/02000/BRG347_1769.htm</v>
      </c>
    </row>
    <row r="4181" spans="1:11" x14ac:dyDescent="0.25">
      <c r="A4181" t="s">
        <v>14183</v>
      </c>
      <c r="B4181" s="1" t="str">
        <f>HYPERLINK("https://www.catalog.slsa.sa.gov.au/record=b2111091")</f>
        <v>https://www.catalog.slsa.sa.gov.au/record=b2111091</v>
      </c>
      <c r="C4181" s="1" t="str">
        <f>HYPERLINK("https://www.catalog.slsa.sa.gov.au/xrecord=b2111091")</f>
        <v>https://www.catalog.slsa.sa.gov.au/xrecord=b2111091</v>
      </c>
      <c r="D4181" t="s">
        <v>66</v>
      </c>
      <c r="E4181" t="s">
        <v>14180</v>
      </c>
      <c r="F4181">
        <v>1981</v>
      </c>
      <c r="G4181" t="s">
        <v>121</v>
      </c>
      <c r="H4181" t="s">
        <v>14184</v>
      </c>
      <c r="I4181" t="s">
        <v>14182</v>
      </c>
      <c r="J4181" t="s">
        <v>71</v>
      </c>
      <c r="K4181" s="2" t="str">
        <f>HYPERLINK("http://collections.slsa.sa.gov.au/arthur/02000/BRG347_1772.htm")</f>
        <v>http://collections.slsa.sa.gov.au/arthur/02000/BRG347_1772.htm</v>
      </c>
    </row>
    <row r="4182" spans="1:11" x14ac:dyDescent="0.25">
      <c r="A4182" t="s">
        <v>14185</v>
      </c>
      <c r="B4182" s="1" t="str">
        <f>HYPERLINK("https://www.catalog.slsa.sa.gov.au/record=b2111092")</f>
        <v>https://www.catalog.slsa.sa.gov.au/record=b2111092</v>
      </c>
      <c r="C4182" s="1" t="str">
        <f>HYPERLINK("https://www.catalog.slsa.sa.gov.au/xrecord=b2111092")</f>
        <v>https://www.catalog.slsa.sa.gov.au/xrecord=b2111092</v>
      </c>
      <c r="D4182" t="s">
        <v>66</v>
      </c>
      <c r="E4182" t="s">
        <v>14180</v>
      </c>
      <c r="F4182">
        <v>1981</v>
      </c>
      <c r="G4182" t="s">
        <v>121</v>
      </c>
      <c r="H4182" t="s">
        <v>14184</v>
      </c>
      <c r="I4182" t="s">
        <v>14182</v>
      </c>
      <c r="J4182" t="s">
        <v>71</v>
      </c>
      <c r="K4182" s="2" t="str">
        <f>HYPERLINK("http://collections.slsa.sa.gov.au/arthur/02000/BRG347_1773.htm")</f>
        <v>http://collections.slsa.sa.gov.au/arthur/02000/BRG347_1773.htm</v>
      </c>
    </row>
    <row r="4183" spans="1:11" x14ac:dyDescent="0.25">
      <c r="A4183" t="s">
        <v>14186</v>
      </c>
      <c r="B4183" s="1" t="str">
        <f>HYPERLINK("https://www.catalog.slsa.sa.gov.au/record=b2111093")</f>
        <v>https://www.catalog.slsa.sa.gov.au/record=b2111093</v>
      </c>
      <c r="C4183" s="1" t="str">
        <f>HYPERLINK("https://www.catalog.slsa.sa.gov.au/xrecord=b2111093")</f>
        <v>https://www.catalog.slsa.sa.gov.au/xrecord=b2111093</v>
      </c>
      <c r="D4183" t="s">
        <v>66</v>
      </c>
      <c r="E4183" t="s">
        <v>14180</v>
      </c>
      <c r="F4183">
        <v>1981</v>
      </c>
      <c r="G4183" t="s">
        <v>121</v>
      </c>
      <c r="H4183" t="s">
        <v>14184</v>
      </c>
      <c r="I4183" t="s">
        <v>14182</v>
      </c>
      <c r="J4183" t="s">
        <v>71</v>
      </c>
      <c r="K4183" s="2" t="str">
        <f>HYPERLINK("http://collections.slsa.sa.gov.au/arthur/02000/BRG347_1774.htm")</f>
        <v>http://collections.slsa.sa.gov.au/arthur/02000/BRG347_1774.htm</v>
      </c>
    </row>
    <row r="4184" spans="1:11" x14ac:dyDescent="0.25">
      <c r="A4184" t="s">
        <v>14187</v>
      </c>
      <c r="B4184" s="1" t="str">
        <f>HYPERLINK("https://www.catalog.slsa.sa.gov.au/record=b2924167")</f>
        <v>https://www.catalog.slsa.sa.gov.au/record=b2924167</v>
      </c>
      <c r="C4184" s="1" t="str">
        <f>HYPERLINK("https://www.catalog.slsa.sa.gov.au/xrecord=b2924167")</f>
        <v>https://www.catalog.slsa.sa.gov.au/xrecord=b2924167</v>
      </c>
      <c r="D4184" t="s">
        <v>3775</v>
      </c>
      <c r="E4184" t="s">
        <v>14188</v>
      </c>
      <c r="F4184">
        <v>1981</v>
      </c>
      <c r="G4184" t="s">
        <v>14189</v>
      </c>
      <c r="H4184" t="s">
        <v>14190</v>
      </c>
      <c r="I4184" t="s">
        <v>14191</v>
      </c>
      <c r="J4184" t="s">
        <v>3780</v>
      </c>
      <c r="K4184" s="2" t="str">
        <f>HYPERLINK("http://collections.slsa.sa.gov.au/srg/94/A1/SRG94_A1_71_33.htm")</f>
        <v>http://collections.slsa.sa.gov.au/srg/94/A1/SRG94_A1_71_33.htm</v>
      </c>
    </row>
    <row r="4185" spans="1:11" x14ac:dyDescent="0.25">
      <c r="A4185" t="s">
        <v>14192</v>
      </c>
      <c r="B4185" s="1" t="str">
        <f>HYPERLINK("https://www.catalog.slsa.sa.gov.au/record=b3027656")</f>
        <v>https://www.catalog.slsa.sa.gov.au/record=b3027656</v>
      </c>
      <c r="C4185" s="1" t="str">
        <f>HYPERLINK("https://www.catalog.slsa.sa.gov.au/xrecord=b3027656")</f>
        <v>https://www.catalog.slsa.sa.gov.au/xrecord=b3027656</v>
      </c>
      <c r="E4185" t="s">
        <v>14193</v>
      </c>
      <c r="F4185">
        <v>1982</v>
      </c>
      <c r="G4185" t="s">
        <v>14194</v>
      </c>
      <c r="H4185" t="s">
        <v>14195</v>
      </c>
      <c r="I4185" t="s">
        <v>14196</v>
      </c>
      <c r="J4185" t="s">
        <v>1902</v>
      </c>
      <c r="K4185" s="2" t="str">
        <f>HYPERLINK("http://collections.slsa.sa.gov.au/resource/SRG+873/1/370")</f>
        <v>http://collections.slsa.sa.gov.au/resource/SRG+873/1/370</v>
      </c>
    </row>
    <row r="4186" spans="1:11" x14ac:dyDescent="0.25">
      <c r="A4186" t="s">
        <v>14197</v>
      </c>
      <c r="B4186" s="1" t="str">
        <f>HYPERLINK("https://www.catalog.slsa.sa.gov.au/record=b3140214")</f>
        <v>https://www.catalog.slsa.sa.gov.au/record=b3140214</v>
      </c>
      <c r="C4186" s="1" t="str">
        <f>HYPERLINK("https://www.catalog.slsa.sa.gov.au/xrecord=b3140214")</f>
        <v>https://www.catalog.slsa.sa.gov.au/xrecord=b3140214</v>
      </c>
      <c r="D4186" t="s">
        <v>13649</v>
      </c>
      <c r="E4186" t="s">
        <v>14198</v>
      </c>
      <c r="F4186" t="s">
        <v>14199</v>
      </c>
      <c r="G4186" t="s">
        <v>14200</v>
      </c>
      <c r="H4186" t="s">
        <v>14201</v>
      </c>
      <c r="I4186" t="s">
        <v>12921</v>
      </c>
      <c r="J4186" t="s">
        <v>12922</v>
      </c>
      <c r="K4186" s="2" t="str">
        <f>HYPERLINK("http://collections.slsa.sa.gov.au/resource/PRG+1718/3/32")</f>
        <v>http://collections.slsa.sa.gov.au/resource/PRG+1718/3/32</v>
      </c>
    </row>
    <row r="4187" spans="1:11" x14ac:dyDescent="0.25">
      <c r="A4187" t="s">
        <v>14202</v>
      </c>
      <c r="B4187" s="1" t="str">
        <f>HYPERLINK("https://www.catalog.slsa.sa.gov.au/record=b2924097")</f>
        <v>https://www.catalog.slsa.sa.gov.au/record=b2924097</v>
      </c>
      <c r="C4187" s="1" t="str">
        <f>HYPERLINK("https://www.catalog.slsa.sa.gov.au/xrecord=b2924097")</f>
        <v>https://www.catalog.slsa.sa.gov.au/xrecord=b2924097</v>
      </c>
      <c r="D4187" t="s">
        <v>3775</v>
      </c>
      <c r="E4187" t="s">
        <v>3351</v>
      </c>
      <c r="F4187">
        <v>1983</v>
      </c>
      <c r="G4187" t="s">
        <v>14203</v>
      </c>
      <c r="H4187" t="s">
        <v>14204</v>
      </c>
      <c r="I4187" t="s">
        <v>13315</v>
      </c>
      <c r="J4187" t="s">
        <v>3780</v>
      </c>
      <c r="K4187" s="2" t="str">
        <f>HYPERLINK("http://collections.slsa.sa.gov.au/srg/94/A1/SRG94_A1_71_18.htm")</f>
        <v>http://collections.slsa.sa.gov.au/srg/94/A1/SRG94_A1_71_18.htm</v>
      </c>
    </row>
    <row r="4188" spans="1:11" x14ac:dyDescent="0.25">
      <c r="A4188" t="s">
        <v>14205</v>
      </c>
      <c r="B4188" s="1" t="str">
        <f>HYPERLINK("https://www.catalog.slsa.sa.gov.au/record=b2924100")</f>
        <v>https://www.catalog.slsa.sa.gov.au/record=b2924100</v>
      </c>
      <c r="C4188" s="1" t="str">
        <f>HYPERLINK("https://www.catalog.slsa.sa.gov.au/xrecord=b2924100")</f>
        <v>https://www.catalog.slsa.sa.gov.au/xrecord=b2924100</v>
      </c>
      <c r="D4188" t="s">
        <v>3775</v>
      </c>
      <c r="E4188" t="s">
        <v>3351</v>
      </c>
      <c r="F4188">
        <v>1983</v>
      </c>
      <c r="G4188" t="s">
        <v>14206</v>
      </c>
      <c r="H4188" t="s">
        <v>14207</v>
      </c>
      <c r="I4188" t="s">
        <v>13315</v>
      </c>
      <c r="J4188" t="s">
        <v>3780</v>
      </c>
      <c r="K4188" s="2" t="str">
        <f>HYPERLINK("http://collections.slsa.sa.gov.au/srg/94/A1/SRG94_A1_71_19.htm")</f>
        <v>http://collections.slsa.sa.gov.au/srg/94/A1/SRG94_A1_71_19.htm</v>
      </c>
    </row>
    <row r="4189" spans="1:11" x14ac:dyDescent="0.25">
      <c r="A4189" t="s">
        <v>14208</v>
      </c>
      <c r="B4189" s="1" t="str">
        <f>HYPERLINK("https://www.catalog.slsa.sa.gov.au/record=b2924106")</f>
        <v>https://www.catalog.slsa.sa.gov.au/record=b2924106</v>
      </c>
      <c r="C4189" s="1" t="str">
        <f>HYPERLINK("https://www.catalog.slsa.sa.gov.au/xrecord=b2924106")</f>
        <v>https://www.catalog.slsa.sa.gov.au/xrecord=b2924106</v>
      </c>
      <c r="D4189" t="s">
        <v>3775</v>
      </c>
      <c r="E4189" t="s">
        <v>3351</v>
      </c>
      <c r="F4189">
        <v>1983</v>
      </c>
      <c r="G4189" t="s">
        <v>14203</v>
      </c>
      <c r="H4189" t="s">
        <v>14209</v>
      </c>
      <c r="I4189" t="s">
        <v>14210</v>
      </c>
      <c r="J4189" t="s">
        <v>3780</v>
      </c>
      <c r="K4189" s="2" t="str">
        <f>HYPERLINK("http://collections.slsa.sa.gov.au/srg/94/A1/SRG94_A1_71_20.htm")</f>
        <v>http://collections.slsa.sa.gov.au/srg/94/A1/SRG94_A1_71_20.htm</v>
      </c>
    </row>
    <row r="4190" spans="1:11" x14ac:dyDescent="0.25">
      <c r="A4190" t="s">
        <v>14211</v>
      </c>
      <c r="B4190" s="1" t="str">
        <f>HYPERLINK("https://www.catalog.slsa.sa.gov.au/record=b2924107")</f>
        <v>https://www.catalog.slsa.sa.gov.au/record=b2924107</v>
      </c>
      <c r="C4190" s="1" t="str">
        <f>HYPERLINK("https://www.catalog.slsa.sa.gov.au/xrecord=b2924107")</f>
        <v>https://www.catalog.slsa.sa.gov.au/xrecord=b2924107</v>
      </c>
      <c r="D4190" t="s">
        <v>3775</v>
      </c>
      <c r="E4190" t="s">
        <v>3351</v>
      </c>
      <c r="F4190">
        <v>1983</v>
      </c>
      <c r="G4190" t="s">
        <v>14203</v>
      </c>
      <c r="H4190" t="s">
        <v>14212</v>
      </c>
      <c r="I4190" t="s">
        <v>14210</v>
      </c>
      <c r="J4190" t="s">
        <v>3780</v>
      </c>
      <c r="K4190" s="2" t="str">
        <f>HYPERLINK("http://collections.slsa.sa.gov.au/srg/94/A1/SRG94_A1_71_21.htm")</f>
        <v>http://collections.slsa.sa.gov.au/srg/94/A1/SRG94_A1_71_21.htm</v>
      </c>
    </row>
    <row r="4191" spans="1:11" x14ac:dyDescent="0.25">
      <c r="A4191" t="s">
        <v>14213</v>
      </c>
      <c r="B4191" s="1" t="str">
        <f>HYPERLINK("https://www.catalog.slsa.sa.gov.au/record=b3012614")</f>
        <v>https://www.catalog.slsa.sa.gov.au/record=b3012614</v>
      </c>
      <c r="C4191" s="1" t="str">
        <f>HYPERLINK("https://www.catalog.slsa.sa.gov.au/xrecord=b3012614")</f>
        <v>https://www.catalog.slsa.sa.gov.au/xrecord=b3012614</v>
      </c>
      <c r="D4191" t="s">
        <v>14214</v>
      </c>
      <c r="E4191" t="s">
        <v>14215</v>
      </c>
      <c r="F4191">
        <v>1986</v>
      </c>
      <c r="G4191" t="s">
        <v>14216</v>
      </c>
      <c r="H4191" t="s">
        <v>14217</v>
      </c>
      <c r="I4191" t="s">
        <v>14218</v>
      </c>
      <c r="J4191" t="s">
        <v>14219</v>
      </c>
      <c r="K4191" s="2" t="str">
        <f>HYPERLINK("http://collections.slsa.sa.gov.au/resource/PRG+1631/98/76")</f>
        <v>http://collections.slsa.sa.gov.au/resource/PRG+1631/98/76</v>
      </c>
    </row>
    <row r="4192" spans="1:11" x14ac:dyDescent="0.25">
      <c r="A4192" t="s">
        <v>14220</v>
      </c>
      <c r="B4192" s="1" t="str">
        <f>HYPERLINK("https://www.catalog.slsa.sa.gov.au/record=b2926486")</f>
        <v>https://www.catalog.slsa.sa.gov.au/record=b2926486</v>
      </c>
      <c r="C4192" s="1" t="str">
        <f>HYPERLINK("https://www.catalog.slsa.sa.gov.au/xrecord=b2926486")</f>
        <v>https://www.catalog.slsa.sa.gov.au/xrecord=b2926486</v>
      </c>
      <c r="D4192" t="s">
        <v>3787</v>
      </c>
      <c r="E4192" t="s">
        <v>14221</v>
      </c>
      <c r="F4192" t="s">
        <v>14222</v>
      </c>
      <c r="G4192" t="s">
        <v>14223</v>
      </c>
      <c r="H4192" t="s">
        <v>14224</v>
      </c>
      <c r="I4192" t="s">
        <v>14225</v>
      </c>
      <c r="J4192" t="s">
        <v>3793</v>
      </c>
      <c r="K4192" s="2" t="str">
        <f>HYPERLINK("http://collections.slsa.sa.gov.au/prg/1611/20/PRG1611_20_157.htm")</f>
        <v>http://collections.slsa.sa.gov.au/prg/1611/20/PRG1611_20_157.htm</v>
      </c>
    </row>
    <row r="4193" spans="1:11" x14ac:dyDescent="0.25">
      <c r="A4193" t="s">
        <v>14226</v>
      </c>
      <c r="B4193" s="1" t="str">
        <f>HYPERLINK("https://www.catalog.slsa.sa.gov.au/record=b2111094")</f>
        <v>https://www.catalog.slsa.sa.gov.au/record=b2111094</v>
      </c>
      <c r="C4193" s="1" t="str">
        <f>HYPERLINK("https://www.catalog.slsa.sa.gov.au/xrecord=b2111094")</f>
        <v>https://www.catalog.slsa.sa.gov.au/xrecord=b2111094</v>
      </c>
      <c r="D4193" t="s">
        <v>66</v>
      </c>
      <c r="E4193" t="s">
        <v>14227</v>
      </c>
      <c r="F4193">
        <v>1990</v>
      </c>
      <c r="G4193" t="s">
        <v>121</v>
      </c>
      <c r="H4193" t="s">
        <v>14228</v>
      </c>
      <c r="I4193" t="s">
        <v>14229</v>
      </c>
      <c r="J4193" t="s">
        <v>71</v>
      </c>
      <c r="K4193" s="2" t="str">
        <f>HYPERLINK("http://collections.slsa.sa.gov.au/arthur/02000/BRG347_1775.htm")</f>
        <v>http://collections.slsa.sa.gov.au/arthur/02000/BRG347_1775.htm</v>
      </c>
    </row>
    <row r="4194" spans="1:11" x14ac:dyDescent="0.25">
      <c r="A4194" t="s">
        <v>14230</v>
      </c>
      <c r="B4194" s="1" t="str">
        <f>HYPERLINK("https://www.catalog.slsa.sa.gov.au/record=b2937118")</f>
        <v>https://www.catalog.slsa.sa.gov.au/record=b2937118</v>
      </c>
      <c r="C4194" s="1" t="str">
        <f>HYPERLINK("https://www.catalog.slsa.sa.gov.au/xrecord=b2937118")</f>
        <v>https://www.catalog.slsa.sa.gov.au/xrecord=b2937118</v>
      </c>
      <c r="D4194" t="s">
        <v>14231</v>
      </c>
      <c r="E4194" t="s">
        <v>14232</v>
      </c>
      <c r="F4194" t="s">
        <v>14233</v>
      </c>
      <c r="G4194" t="s">
        <v>14234</v>
      </c>
      <c r="H4194" t="s">
        <v>14235</v>
      </c>
      <c r="I4194" t="s">
        <v>14236</v>
      </c>
      <c r="J4194" t="s">
        <v>11426</v>
      </c>
      <c r="K4194" s="2" t="str">
        <f>HYPERLINK("http://collections.slsa.sa.gov.au/prg/1618/22/PRG1618_22_31.htm")</f>
        <v>http://collections.slsa.sa.gov.au/prg/1618/22/PRG1618_22_31.htm</v>
      </c>
    </row>
    <row r="4195" spans="1:11" x14ac:dyDescent="0.25">
      <c r="A4195" t="s">
        <v>14237</v>
      </c>
      <c r="B4195" s="1" t="str">
        <f>HYPERLINK("https://www.catalog.slsa.sa.gov.au/record=b2917627")</f>
        <v>https://www.catalog.slsa.sa.gov.au/record=b2917627</v>
      </c>
      <c r="C4195" s="1" t="str">
        <f>HYPERLINK("https://www.catalog.slsa.sa.gov.au/xrecord=b2917627")</f>
        <v>https://www.catalog.slsa.sa.gov.au/xrecord=b2917627</v>
      </c>
      <c r="D4195" t="s">
        <v>14238</v>
      </c>
      <c r="E4195" t="s">
        <v>14239</v>
      </c>
      <c r="F4195" t="s">
        <v>14240</v>
      </c>
      <c r="G4195" t="s">
        <v>14241</v>
      </c>
      <c r="H4195" t="s">
        <v>14242</v>
      </c>
      <c r="I4195" t="s">
        <v>14243</v>
      </c>
      <c r="K4195" s="2" t="str">
        <f>HYPERLINK("http://collections.slsa.sa.gov.au/resource/PRG+1563/2")</f>
        <v>http://collections.slsa.sa.gov.au/resource/PRG+1563/2</v>
      </c>
    </row>
    <row r="4196" spans="1:11" x14ac:dyDescent="0.25">
      <c r="A4196" t="s">
        <v>14244</v>
      </c>
      <c r="B4196" s="1" t="str">
        <f>HYPERLINK("https://www.catalog.slsa.sa.gov.au/record=b2917628")</f>
        <v>https://www.catalog.slsa.sa.gov.au/record=b2917628</v>
      </c>
      <c r="C4196" s="1" t="str">
        <f>HYPERLINK("https://www.catalog.slsa.sa.gov.au/xrecord=b2917628")</f>
        <v>https://www.catalog.slsa.sa.gov.au/xrecord=b2917628</v>
      </c>
      <c r="D4196" t="s">
        <v>14245</v>
      </c>
      <c r="E4196" t="s">
        <v>14246</v>
      </c>
      <c r="F4196">
        <v>1994</v>
      </c>
      <c r="G4196" t="s">
        <v>14247</v>
      </c>
      <c r="H4196" t="s">
        <v>14248</v>
      </c>
      <c r="I4196" t="s">
        <v>14249</v>
      </c>
      <c r="K4196" s="2" t="str">
        <f>HYPERLINK("http://collections.slsa.sa.gov.au/prgr/1563/2/PRG1563_2_1.htm")</f>
        <v>http://collections.slsa.sa.gov.au/prgr/1563/2/PRG1563_2_1.htm</v>
      </c>
    </row>
    <row r="4197" spans="1:11" x14ac:dyDescent="0.25">
      <c r="A4197" t="s">
        <v>14250</v>
      </c>
      <c r="B4197" s="1" t="str">
        <f>HYPERLINK("https://www.catalog.slsa.sa.gov.au/record=b2917656")</f>
        <v>https://www.catalog.slsa.sa.gov.au/record=b2917656</v>
      </c>
      <c r="C4197" s="1" t="str">
        <f>HYPERLINK("https://www.catalog.slsa.sa.gov.au/xrecord=b2917656")</f>
        <v>https://www.catalog.slsa.sa.gov.au/xrecord=b2917656</v>
      </c>
      <c r="D4197" t="s">
        <v>14245</v>
      </c>
      <c r="E4197" t="s">
        <v>14251</v>
      </c>
      <c r="F4197">
        <v>1994</v>
      </c>
      <c r="G4197" t="s">
        <v>14247</v>
      </c>
      <c r="H4197" t="s">
        <v>14252</v>
      </c>
      <c r="I4197" t="s">
        <v>14253</v>
      </c>
      <c r="K4197" s="2" t="str">
        <f>HYPERLINK("http://collections.slsa.sa.gov.au/prgr/1563/2/PRG1563_2_2.htm")</f>
        <v>http://collections.slsa.sa.gov.au/prgr/1563/2/PRG1563_2_2.htm</v>
      </c>
    </row>
    <row r="4198" spans="1:11" x14ac:dyDescent="0.25">
      <c r="A4198" t="s">
        <v>14254</v>
      </c>
      <c r="B4198" s="1" t="str">
        <f>HYPERLINK("https://www.catalog.slsa.sa.gov.au/record=b2917657")</f>
        <v>https://www.catalog.slsa.sa.gov.au/record=b2917657</v>
      </c>
      <c r="C4198" s="1" t="str">
        <f>HYPERLINK("https://www.catalog.slsa.sa.gov.au/xrecord=b2917657")</f>
        <v>https://www.catalog.slsa.sa.gov.au/xrecord=b2917657</v>
      </c>
      <c r="D4198" t="s">
        <v>14245</v>
      </c>
      <c r="E4198" t="s">
        <v>14255</v>
      </c>
      <c r="F4198">
        <v>1994</v>
      </c>
      <c r="G4198" t="s">
        <v>14247</v>
      </c>
      <c r="H4198" t="s">
        <v>14256</v>
      </c>
      <c r="I4198" t="s">
        <v>14257</v>
      </c>
      <c r="K4198" s="2" t="str">
        <f>HYPERLINK("http://collections.slsa.sa.gov.au/prgr/1563/2/PRG1563_2_3.htm")</f>
        <v>http://collections.slsa.sa.gov.au/prgr/1563/2/PRG1563_2_3.htm</v>
      </c>
    </row>
    <row r="4199" spans="1:11" x14ac:dyDescent="0.25">
      <c r="A4199" t="s">
        <v>14258</v>
      </c>
      <c r="B4199" s="1" t="str">
        <f>HYPERLINK("https://www.catalog.slsa.sa.gov.au/record=b2917658")</f>
        <v>https://www.catalog.slsa.sa.gov.au/record=b2917658</v>
      </c>
      <c r="C4199" s="1" t="str">
        <f>HYPERLINK("https://www.catalog.slsa.sa.gov.au/xrecord=b2917658")</f>
        <v>https://www.catalog.slsa.sa.gov.au/xrecord=b2917658</v>
      </c>
      <c r="D4199" t="s">
        <v>14245</v>
      </c>
      <c r="E4199" t="s">
        <v>14259</v>
      </c>
      <c r="F4199">
        <v>1994</v>
      </c>
      <c r="G4199" t="s">
        <v>14247</v>
      </c>
      <c r="H4199" t="s">
        <v>14260</v>
      </c>
      <c r="I4199" t="s">
        <v>14261</v>
      </c>
      <c r="K4199" s="2" t="str">
        <f>HYPERLINK("http://collections.slsa.sa.gov.au/prgr/1563/2/PRG1563_2_4.htm")</f>
        <v>http://collections.slsa.sa.gov.au/prgr/1563/2/PRG1563_2_4.htm</v>
      </c>
    </row>
    <row r="4200" spans="1:11" x14ac:dyDescent="0.25">
      <c r="A4200" t="s">
        <v>14262</v>
      </c>
      <c r="B4200" s="1" t="str">
        <f>HYPERLINK("https://www.catalog.slsa.sa.gov.au/record=b2917659")</f>
        <v>https://www.catalog.slsa.sa.gov.au/record=b2917659</v>
      </c>
      <c r="C4200" s="1" t="str">
        <f>HYPERLINK("https://www.catalog.slsa.sa.gov.au/xrecord=b2917659")</f>
        <v>https://www.catalog.slsa.sa.gov.au/xrecord=b2917659</v>
      </c>
      <c r="D4200" t="s">
        <v>14245</v>
      </c>
      <c r="E4200" t="s">
        <v>14263</v>
      </c>
      <c r="F4200">
        <v>1994</v>
      </c>
      <c r="G4200" t="s">
        <v>14247</v>
      </c>
      <c r="H4200" t="s">
        <v>14264</v>
      </c>
      <c r="I4200" t="s">
        <v>14265</v>
      </c>
      <c r="K4200" s="2" t="str">
        <f>HYPERLINK("http://collections.slsa.sa.gov.au/prgr/1563/2/PRG1563_2_5.htm")</f>
        <v>http://collections.slsa.sa.gov.au/prgr/1563/2/PRG1563_2_5.htm</v>
      </c>
    </row>
    <row r="4201" spans="1:11" x14ac:dyDescent="0.25">
      <c r="A4201" t="s">
        <v>14266</v>
      </c>
      <c r="B4201" s="1" t="str">
        <f>HYPERLINK("https://www.catalog.slsa.sa.gov.au/record=b2917661")</f>
        <v>https://www.catalog.slsa.sa.gov.au/record=b2917661</v>
      </c>
      <c r="C4201" s="1" t="str">
        <f>HYPERLINK("https://www.catalog.slsa.sa.gov.au/xrecord=b2917661")</f>
        <v>https://www.catalog.slsa.sa.gov.au/xrecord=b2917661</v>
      </c>
      <c r="D4201" t="s">
        <v>14245</v>
      </c>
      <c r="E4201" t="s">
        <v>14267</v>
      </c>
      <c r="F4201">
        <v>1994</v>
      </c>
      <c r="G4201" t="s">
        <v>14247</v>
      </c>
      <c r="H4201" t="s">
        <v>14268</v>
      </c>
      <c r="I4201" t="s">
        <v>14269</v>
      </c>
      <c r="K4201" s="2" t="str">
        <f>HYPERLINK("http://collections.slsa.sa.gov.au/prgr/1563/2/PRG1563_2_6.htm")</f>
        <v>http://collections.slsa.sa.gov.au/prgr/1563/2/PRG1563_2_6.htm</v>
      </c>
    </row>
    <row r="4202" spans="1:11" x14ac:dyDescent="0.25">
      <c r="A4202" t="s">
        <v>14270</v>
      </c>
      <c r="B4202" s="1" t="str">
        <f>HYPERLINK("https://www.catalog.slsa.sa.gov.au/record=b2917662")</f>
        <v>https://www.catalog.slsa.sa.gov.au/record=b2917662</v>
      </c>
      <c r="C4202" s="1" t="str">
        <f>HYPERLINK("https://www.catalog.slsa.sa.gov.au/xrecord=b2917662")</f>
        <v>https://www.catalog.slsa.sa.gov.au/xrecord=b2917662</v>
      </c>
      <c r="D4202" t="s">
        <v>14245</v>
      </c>
      <c r="E4202" t="s">
        <v>14271</v>
      </c>
      <c r="F4202">
        <v>1994</v>
      </c>
      <c r="G4202" t="s">
        <v>14247</v>
      </c>
      <c r="H4202" t="s">
        <v>14272</v>
      </c>
      <c r="I4202" t="s">
        <v>14273</v>
      </c>
      <c r="K4202" s="2" t="str">
        <f>HYPERLINK("http://collections.slsa.sa.gov.au/prgr/1563/2/PRG1563_2_7.htm")</f>
        <v>http://collections.slsa.sa.gov.au/prgr/1563/2/PRG1563_2_7.htm</v>
      </c>
    </row>
    <row r="4203" spans="1:11" x14ac:dyDescent="0.25">
      <c r="A4203" t="s">
        <v>14274</v>
      </c>
      <c r="B4203" s="1" t="str">
        <f>HYPERLINK("https://www.catalog.slsa.sa.gov.au/record=b2917663")</f>
        <v>https://www.catalog.slsa.sa.gov.au/record=b2917663</v>
      </c>
      <c r="C4203" s="1" t="str">
        <f>HYPERLINK("https://www.catalog.slsa.sa.gov.au/xrecord=b2917663")</f>
        <v>https://www.catalog.slsa.sa.gov.au/xrecord=b2917663</v>
      </c>
      <c r="D4203" t="s">
        <v>14245</v>
      </c>
      <c r="E4203" t="s">
        <v>14275</v>
      </c>
      <c r="F4203">
        <v>1994</v>
      </c>
      <c r="G4203" t="s">
        <v>14247</v>
      </c>
      <c r="H4203" t="s">
        <v>14276</v>
      </c>
      <c r="I4203" t="s">
        <v>14277</v>
      </c>
      <c r="K4203" s="2" t="str">
        <f>HYPERLINK("http://collections.slsa.sa.gov.au/prgr/1563/2/PRG1563_2_8.htm")</f>
        <v>http://collections.slsa.sa.gov.au/prgr/1563/2/PRG1563_2_8.htm</v>
      </c>
    </row>
    <row r="4204" spans="1:11" x14ac:dyDescent="0.25">
      <c r="A4204" t="s">
        <v>14278</v>
      </c>
      <c r="B4204" s="1" t="str">
        <f>HYPERLINK("https://www.catalog.slsa.sa.gov.au/record=b2917691")</f>
        <v>https://www.catalog.slsa.sa.gov.au/record=b2917691</v>
      </c>
      <c r="C4204" s="1" t="str">
        <f>HYPERLINK("https://www.catalog.slsa.sa.gov.au/xrecord=b2917691")</f>
        <v>https://www.catalog.slsa.sa.gov.au/xrecord=b2917691</v>
      </c>
      <c r="D4204" t="s">
        <v>14245</v>
      </c>
      <c r="E4204" t="s">
        <v>14279</v>
      </c>
      <c r="F4204" t="s">
        <v>14280</v>
      </c>
      <c r="G4204" t="s">
        <v>14247</v>
      </c>
      <c r="H4204" t="s">
        <v>14281</v>
      </c>
      <c r="I4204" t="s">
        <v>14282</v>
      </c>
      <c r="K4204" s="2" t="str">
        <f>HYPERLINK("http://collections.slsa.sa.gov.au/prgr/1563/2/PRG1563_2_26.htm")</f>
        <v>http://collections.slsa.sa.gov.au/prgr/1563/2/PRG1563_2_26.htm</v>
      </c>
    </row>
    <row r="4205" spans="1:11" x14ac:dyDescent="0.25">
      <c r="A4205" t="s">
        <v>14283</v>
      </c>
      <c r="B4205" s="1" t="str">
        <f>HYPERLINK("https://www.catalog.slsa.sa.gov.au/record=b2917694")</f>
        <v>https://www.catalog.slsa.sa.gov.au/record=b2917694</v>
      </c>
      <c r="C4205" s="1" t="str">
        <f>HYPERLINK("https://www.catalog.slsa.sa.gov.au/xrecord=b2917694")</f>
        <v>https://www.catalog.slsa.sa.gov.au/xrecord=b2917694</v>
      </c>
      <c r="D4205" t="s">
        <v>14245</v>
      </c>
      <c r="E4205" t="s">
        <v>14284</v>
      </c>
      <c r="F4205" t="s">
        <v>14280</v>
      </c>
      <c r="G4205" t="s">
        <v>14247</v>
      </c>
      <c r="H4205" t="s">
        <v>14285</v>
      </c>
      <c r="I4205" t="s">
        <v>14282</v>
      </c>
      <c r="K4205" s="2" t="str">
        <f>HYPERLINK("http://collections.slsa.sa.gov.au/prgr/1563/2/PRG1563_2_27.htm")</f>
        <v>http://collections.slsa.sa.gov.au/prgr/1563/2/PRG1563_2_27.htm</v>
      </c>
    </row>
    <row r="4206" spans="1:11" x14ac:dyDescent="0.25">
      <c r="A4206" t="s">
        <v>14286</v>
      </c>
      <c r="B4206" s="1" t="str">
        <f>HYPERLINK("https://www.catalog.slsa.sa.gov.au/record=b2917700")</f>
        <v>https://www.catalog.slsa.sa.gov.au/record=b2917700</v>
      </c>
      <c r="C4206" s="1" t="str">
        <f>HYPERLINK("https://www.catalog.slsa.sa.gov.au/xrecord=b2917700")</f>
        <v>https://www.catalog.slsa.sa.gov.au/xrecord=b2917700</v>
      </c>
      <c r="D4206" t="s">
        <v>14245</v>
      </c>
      <c r="E4206" t="s">
        <v>14287</v>
      </c>
      <c r="F4206" t="s">
        <v>14280</v>
      </c>
      <c r="G4206" t="s">
        <v>14247</v>
      </c>
      <c r="H4206" t="s">
        <v>14288</v>
      </c>
      <c r="I4206" t="s">
        <v>14289</v>
      </c>
      <c r="K4206" s="2" t="str">
        <f>HYPERLINK("http://collections.slsa.sa.gov.au/prgr/1563/2/PRG1563_2_28.htm")</f>
        <v>http://collections.slsa.sa.gov.au/prgr/1563/2/PRG1563_2_28.htm</v>
      </c>
    </row>
    <row r="4207" spans="1:11" x14ac:dyDescent="0.25">
      <c r="A4207" t="s">
        <v>14290</v>
      </c>
      <c r="B4207" s="1" t="str">
        <f>HYPERLINK("https://www.catalog.slsa.sa.gov.au/record=b2917665")</f>
        <v>https://www.catalog.slsa.sa.gov.au/record=b2917665</v>
      </c>
      <c r="C4207" s="1" t="str">
        <f>HYPERLINK("https://www.catalog.slsa.sa.gov.au/xrecord=b2917665")</f>
        <v>https://www.catalog.slsa.sa.gov.au/xrecord=b2917665</v>
      </c>
      <c r="D4207" t="s">
        <v>14245</v>
      </c>
      <c r="E4207" t="s">
        <v>14291</v>
      </c>
      <c r="F4207">
        <v>1995</v>
      </c>
      <c r="G4207" t="s">
        <v>14247</v>
      </c>
      <c r="H4207" t="s">
        <v>14292</v>
      </c>
      <c r="I4207" t="s">
        <v>14293</v>
      </c>
      <c r="K4207" s="2" t="str">
        <f>HYPERLINK("http://collections.slsa.sa.gov.au/prgr/1563/2/PRG1563_2_10.htm")</f>
        <v>http://collections.slsa.sa.gov.au/prgr/1563/2/PRG1563_2_10.htm</v>
      </c>
    </row>
    <row r="4208" spans="1:11" x14ac:dyDescent="0.25">
      <c r="A4208" t="s">
        <v>14294</v>
      </c>
      <c r="B4208" s="1" t="str">
        <f>HYPERLINK("https://www.catalog.slsa.sa.gov.au/record=b2917669")</f>
        <v>https://www.catalog.slsa.sa.gov.au/record=b2917669</v>
      </c>
      <c r="C4208" s="1" t="str">
        <f>HYPERLINK("https://www.catalog.slsa.sa.gov.au/xrecord=b2917669")</f>
        <v>https://www.catalog.slsa.sa.gov.au/xrecord=b2917669</v>
      </c>
      <c r="D4208" t="s">
        <v>14245</v>
      </c>
      <c r="E4208" t="s">
        <v>14295</v>
      </c>
      <c r="F4208">
        <v>1995</v>
      </c>
      <c r="G4208" t="s">
        <v>14247</v>
      </c>
      <c r="H4208" t="s">
        <v>14296</v>
      </c>
      <c r="I4208" t="s">
        <v>14297</v>
      </c>
      <c r="K4208" s="2" t="str">
        <f>HYPERLINK("http://collections.slsa.sa.gov.au/prgr/1563/2/PRG1563_2_11.htm")</f>
        <v>http://collections.slsa.sa.gov.au/prgr/1563/2/PRG1563_2_11.htm</v>
      </c>
    </row>
    <row r="4209" spans="1:11" x14ac:dyDescent="0.25">
      <c r="A4209" t="s">
        <v>14298</v>
      </c>
      <c r="B4209" s="1" t="str">
        <f>HYPERLINK("https://www.catalog.slsa.sa.gov.au/record=b2917670")</f>
        <v>https://www.catalog.slsa.sa.gov.au/record=b2917670</v>
      </c>
      <c r="C4209" s="1" t="str">
        <f>HYPERLINK("https://www.catalog.slsa.sa.gov.au/xrecord=b2917670")</f>
        <v>https://www.catalog.slsa.sa.gov.au/xrecord=b2917670</v>
      </c>
      <c r="D4209" t="s">
        <v>14245</v>
      </c>
      <c r="E4209" t="s">
        <v>14299</v>
      </c>
      <c r="F4209">
        <v>1995</v>
      </c>
      <c r="G4209" t="s">
        <v>14247</v>
      </c>
      <c r="H4209" t="s">
        <v>14300</v>
      </c>
      <c r="I4209" t="s">
        <v>14301</v>
      </c>
      <c r="K4209" s="2" t="str">
        <f>HYPERLINK("http://collections.slsa.sa.gov.au/prgr/1563/2/PRG1563_2_12.htm")</f>
        <v>http://collections.slsa.sa.gov.au/prgr/1563/2/PRG1563_2_12.htm</v>
      </c>
    </row>
    <row r="4210" spans="1:11" x14ac:dyDescent="0.25">
      <c r="A4210" t="s">
        <v>14302</v>
      </c>
      <c r="B4210" s="1" t="str">
        <f>HYPERLINK("https://www.catalog.slsa.sa.gov.au/record=b2917672")</f>
        <v>https://www.catalog.slsa.sa.gov.au/record=b2917672</v>
      </c>
      <c r="C4210" s="1" t="str">
        <f>HYPERLINK("https://www.catalog.slsa.sa.gov.au/xrecord=b2917672")</f>
        <v>https://www.catalog.slsa.sa.gov.au/xrecord=b2917672</v>
      </c>
      <c r="D4210" t="s">
        <v>14245</v>
      </c>
      <c r="E4210" t="s">
        <v>14303</v>
      </c>
      <c r="F4210">
        <v>1995</v>
      </c>
      <c r="G4210" t="s">
        <v>14247</v>
      </c>
      <c r="H4210" t="s">
        <v>14304</v>
      </c>
      <c r="I4210" t="s">
        <v>14305</v>
      </c>
      <c r="K4210" s="2" t="str">
        <f>HYPERLINK("http://collections.slsa.sa.gov.au/prgr/1563/2/PRG1563_2_13.htm")</f>
        <v>http://collections.slsa.sa.gov.au/prgr/1563/2/PRG1563_2_13.htm</v>
      </c>
    </row>
    <row r="4211" spans="1:11" x14ac:dyDescent="0.25">
      <c r="A4211" t="s">
        <v>14306</v>
      </c>
      <c r="B4211" s="1" t="str">
        <f>HYPERLINK("https://www.catalog.slsa.sa.gov.au/record=b2917674")</f>
        <v>https://www.catalog.slsa.sa.gov.au/record=b2917674</v>
      </c>
      <c r="C4211" s="1" t="str">
        <f>HYPERLINK("https://www.catalog.slsa.sa.gov.au/xrecord=b2917674")</f>
        <v>https://www.catalog.slsa.sa.gov.au/xrecord=b2917674</v>
      </c>
      <c r="D4211" t="s">
        <v>14245</v>
      </c>
      <c r="E4211" t="s">
        <v>14307</v>
      </c>
      <c r="F4211">
        <v>1995</v>
      </c>
      <c r="G4211" t="s">
        <v>14247</v>
      </c>
      <c r="H4211" t="s">
        <v>14308</v>
      </c>
      <c r="I4211" t="s">
        <v>14309</v>
      </c>
      <c r="K4211" s="2" t="str">
        <f>HYPERLINK("http://collections.slsa.sa.gov.au/prgr/1563/2/PRG1563_2_14.htm")</f>
        <v>http://collections.slsa.sa.gov.au/prgr/1563/2/PRG1563_2_14.htm</v>
      </c>
    </row>
    <row r="4212" spans="1:11" x14ac:dyDescent="0.25">
      <c r="A4212" t="s">
        <v>14310</v>
      </c>
      <c r="B4212" s="1" t="str">
        <f>HYPERLINK("https://www.catalog.slsa.sa.gov.au/record=b2917664")</f>
        <v>https://www.catalog.slsa.sa.gov.au/record=b2917664</v>
      </c>
      <c r="C4212" s="1" t="str">
        <f>HYPERLINK("https://www.catalog.slsa.sa.gov.au/xrecord=b2917664")</f>
        <v>https://www.catalog.slsa.sa.gov.au/xrecord=b2917664</v>
      </c>
      <c r="D4212" t="s">
        <v>14245</v>
      </c>
      <c r="E4212" t="s">
        <v>14311</v>
      </c>
      <c r="F4212">
        <v>1995</v>
      </c>
      <c r="G4212" t="s">
        <v>14247</v>
      </c>
      <c r="H4212" t="s">
        <v>14312</v>
      </c>
      <c r="I4212" t="s">
        <v>14313</v>
      </c>
      <c r="K4212" s="2" t="str">
        <f>HYPERLINK("http://collections.slsa.sa.gov.au/prgr/1563/2/PRG1563_2_9.htm")</f>
        <v>http://collections.slsa.sa.gov.au/prgr/1563/2/PRG1563_2_9.htm</v>
      </c>
    </row>
    <row r="4213" spans="1:11" x14ac:dyDescent="0.25">
      <c r="A4213" t="s">
        <v>14314</v>
      </c>
      <c r="B4213" s="1" t="str">
        <f>HYPERLINK("https://www.catalog.slsa.sa.gov.au/record=b3145518")</f>
        <v>https://www.catalog.slsa.sa.gov.au/record=b3145518</v>
      </c>
      <c r="C4213" s="1" t="str">
        <f>HYPERLINK("https://www.catalog.slsa.sa.gov.au/xrecord=b3145518")</f>
        <v>https://www.catalog.slsa.sa.gov.au/xrecord=b3145518</v>
      </c>
      <c r="D4213" t="s">
        <v>13649</v>
      </c>
      <c r="E4213" t="s">
        <v>13776</v>
      </c>
      <c r="F4213" t="s">
        <v>14315</v>
      </c>
      <c r="G4213" t="s">
        <v>14316</v>
      </c>
      <c r="H4213" t="s">
        <v>12918</v>
      </c>
      <c r="I4213" t="s">
        <v>12921</v>
      </c>
      <c r="J4213" t="s">
        <v>12922</v>
      </c>
      <c r="K4213" s="2" t="str">
        <f>HYPERLINK("http://collections.slsa.sa.gov.au/resource/PRG+1718/1/100")</f>
        <v>http://collections.slsa.sa.gov.au/resource/PRG+1718/1/100</v>
      </c>
    </row>
    <row r="4214" spans="1:11" x14ac:dyDescent="0.25">
      <c r="A4214" t="s">
        <v>14317</v>
      </c>
      <c r="B4214" s="1" t="str">
        <f>HYPERLINK("https://www.catalog.slsa.sa.gov.au/record=b3145519")</f>
        <v>https://www.catalog.slsa.sa.gov.au/record=b3145519</v>
      </c>
      <c r="C4214" s="1" t="str">
        <f>HYPERLINK("https://www.catalog.slsa.sa.gov.au/xrecord=b3145519")</f>
        <v>https://www.catalog.slsa.sa.gov.au/xrecord=b3145519</v>
      </c>
      <c r="D4214" t="s">
        <v>13649</v>
      </c>
      <c r="E4214" t="s">
        <v>13776</v>
      </c>
      <c r="F4214" t="s">
        <v>14315</v>
      </c>
      <c r="G4214" t="s">
        <v>14318</v>
      </c>
      <c r="H4214" t="s">
        <v>12918</v>
      </c>
      <c r="I4214" t="s">
        <v>12921</v>
      </c>
      <c r="J4214" t="s">
        <v>12922</v>
      </c>
      <c r="K4214" s="2" t="str">
        <f>HYPERLINK("http://collections.slsa.sa.gov.au/resource/PRG+1718/1/101")</f>
        <v>http://collections.slsa.sa.gov.au/resource/PRG+1718/1/101</v>
      </c>
    </row>
    <row r="4215" spans="1:11" x14ac:dyDescent="0.25">
      <c r="A4215" t="s">
        <v>14319</v>
      </c>
      <c r="B4215" s="1" t="str">
        <f>HYPERLINK("https://www.catalog.slsa.sa.gov.au/record=b3145520")</f>
        <v>https://www.catalog.slsa.sa.gov.au/record=b3145520</v>
      </c>
      <c r="C4215" s="1" t="str">
        <f>HYPERLINK("https://www.catalog.slsa.sa.gov.au/xrecord=b3145520")</f>
        <v>https://www.catalog.slsa.sa.gov.au/xrecord=b3145520</v>
      </c>
      <c r="D4215" t="s">
        <v>13649</v>
      </c>
      <c r="E4215" t="s">
        <v>14320</v>
      </c>
      <c r="F4215" t="s">
        <v>14315</v>
      </c>
      <c r="G4215" t="s">
        <v>14321</v>
      </c>
      <c r="H4215" t="s">
        <v>14322</v>
      </c>
      <c r="I4215" t="s">
        <v>14323</v>
      </c>
      <c r="J4215" t="s">
        <v>12922</v>
      </c>
      <c r="K4215" s="2" t="str">
        <f>HYPERLINK("http://collections.slsa.sa.gov.au/resource/PRG+1718/1/102")</f>
        <v>http://collections.slsa.sa.gov.au/resource/PRG+1718/1/102</v>
      </c>
    </row>
    <row r="4216" spans="1:11" x14ac:dyDescent="0.25">
      <c r="A4216" t="s">
        <v>14324</v>
      </c>
      <c r="B4216" s="1" t="str">
        <f>HYPERLINK("https://www.catalog.slsa.sa.gov.au/record=b3145522")</f>
        <v>https://www.catalog.slsa.sa.gov.au/record=b3145522</v>
      </c>
      <c r="C4216" s="1" t="str">
        <f>HYPERLINK("https://www.catalog.slsa.sa.gov.au/xrecord=b3145522")</f>
        <v>https://www.catalog.slsa.sa.gov.au/xrecord=b3145522</v>
      </c>
      <c r="D4216" t="s">
        <v>13649</v>
      </c>
      <c r="E4216" t="s">
        <v>14320</v>
      </c>
      <c r="F4216" t="s">
        <v>14315</v>
      </c>
      <c r="G4216" t="s">
        <v>14325</v>
      </c>
      <c r="H4216" t="s">
        <v>14322</v>
      </c>
      <c r="I4216" t="s">
        <v>14323</v>
      </c>
      <c r="J4216" t="s">
        <v>12922</v>
      </c>
      <c r="K4216" s="2" t="str">
        <f>HYPERLINK("http://collections.slsa.sa.gov.au/resource/PRG+1718/1/103")</f>
        <v>http://collections.slsa.sa.gov.au/resource/PRG+1718/1/103</v>
      </c>
    </row>
    <row r="4217" spans="1:11" x14ac:dyDescent="0.25">
      <c r="A4217" t="s">
        <v>14326</v>
      </c>
      <c r="B4217" s="1" t="str">
        <f>HYPERLINK("https://www.catalog.slsa.sa.gov.au/record=b3145524")</f>
        <v>https://www.catalog.slsa.sa.gov.au/record=b3145524</v>
      </c>
      <c r="C4217" s="1" t="str">
        <f>HYPERLINK("https://www.catalog.slsa.sa.gov.au/xrecord=b3145524")</f>
        <v>https://www.catalog.slsa.sa.gov.au/xrecord=b3145524</v>
      </c>
      <c r="D4217" t="s">
        <v>13649</v>
      </c>
      <c r="E4217" t="s">
        <v>14320</v>
      </c>
      <c r="F4217" t="s">
        <v>14315</v>
      </c>
      <c r="G4217" t="s">
        <v>14327</v>
      </c>
      <c r="H4217" t="s">
        <v>14322</v>
      </c>
      <c r="I4217" t="s">
        <v>14323</v>
      </c>
      <c r="J4217" t="s">
        <v>12922</v>
      </c>
      <c r="K4217" s="2" t="str">
        <f>HYPERLINK("http://collections.slsa.sa.gov.au/resource/PRG+1718/1/104")</f>
        <v>http://collections.slsa.sa.gov.au/resource/PRG+1718/1/104</v>
      </c>
    </row>
    <row r="4218" spans="1:11" x14ac:dyDescent="0.25">
      <c r="A4218" t="s">
        <v>14328</v>
      </c>
      <c r="B4218" s="1" t="str">
        <f>HYPERLINK("https://www.catalog.slsa.sa.gov.au/record=b3145525")</f>
        <v>https://www.catalog.slsa.sa.gov.au/record=b3145525</v>
      </c>
      <c r="C4218" s="1" t="str">
        <f>HYPERLINK("https://www.catalog.slsa.sa.gov.au/xrecord=b3145525")</f>
        <v>https://www.catalog.slsa.sa.gov.au/xrecord=b3145525</v>
      </c>
      <c r="D4218" t="s">
        <v>13649</v>
      </c>
      <c r="E4218" t="s">
        <v>13776</v>
      </c>
      <c r="F4218" t="s">
        <v>14315</v>
      </c>
      <c r="G4218" t="s">
        <v>14329</v>
      </c>
      <c r="H4218" t="s">
        <v>14330</v>
      </c>
      <c r="I4218" t="s">
        <v>12921</v>
      </c>
      <c r="J4218" t="s">
        <v>12922</v>
      </c>
      <c r="K4218" s="2" t="str">
        <f>HYPERLINK("http://collections.slsa.sa.gov.au/resource/PRG+1718/1/105")</f>
        <v>http://collections.slsa.sa.gov.au/resource/PRG+1718/1/105</v>
      </c>
    </row>
    <row r="4219" spans="1:11" x14ac:dyDescent="0.25">
      <c r="A4219" t="s">
        <v>14331</v>
      </c>
      <c r="B4219" s="1" t="str">
        <f>HYPERLINK("https://www.catalog.slsa.sa.gov.au/record=b3145526")</f>
        <v>https://www.catalog.slsa.sa.gov.au/record=b3145526</v>
      </c>
      <c r="C4219" s="1" t="str">
        <f>HYPERLINK("https://www.catalog.slsa.sa.gov.au/xrecord=b3145526")</f>
        <v>https://www.catalog.slsa.sa.gov.au/xrecord=b3145526</v>
      </c>
      <c r="D4219" t="s">
        <v>13649</v>
      </c>
      <c r="E4219" t="s">
        <v>13776</v>
      </c>
      <c r="F4219" t="s">
        <v>14315</v>
      </c>
      <c r="G4219" t="s">
        <v>14332</v>
      </c>
      <c r="H4219" t="s">
        <v>14330</v>
      </c>
      <c r="I4219" t="s">
        <v>12921</v>
      </c>
      <c r="J4219" t="s">
        <v>12922</v>
      </c>
      <c r="K4219" s="2" t="str">
        <f>HYPERLINK("http://collections.slsa.sa.gov.au/resource/PRG+1718/1/106")</f>
        <v>http://collections.slsa.sa.gov.au/resource/PRG+1718/1/106</v>
      </c>
    </row>
    <row r="4220" spans="1:11" x14ac:dyDescent="0.25">
      <c r="A4220" t="s">
        <v>14333</v>
      </c>
      <c r="B4220" s="1" t="str">
        <f>HYPERLINK("https://www.catalog.slsa.sa.gov.au/record=b3145530")</f>
        <v>https://www.catalog.slsa.sa.gov.au/record=b3145530</v>
      </c>
      <c r="C4220" s="1" t="str">
        <f>HYPERLINK("https://www.catalog.slsa.sa.gov.au/xrecord=b3145530")</f>
        <v>https://www.catalog.slsa.sa.gov.au/xrecord=b3145530</v>
      </c>
      <c r="D4220" t="s">
        <v>13649</v>
      </c>
      <c r="E4220" t="s">
        <v>13776</v>
      </c>
      <c r="F4220" t="s">
        <v>14315</v>
      </c>
      <c r="G4220" t="s">
        <v>14334</v>
      </c>
      <c r="H4220" t="s">
        <v>14330</v>
      </c>
      <c r="I4220" t="s">
        <v>12921</v>
      </c>
      <c r="J4220" t="s">
        <v>12922</v>
      </c>
      <c r="K4220" s="2" t="str">
        <f>HYPERLINK("http://collections.slsa.sa.gov.au/resource/PRG+1718/1/107")</f>
        <v>http://collections.slsa.sa.gov.au/resource/PRG+1718/1/107</v>
      </c>
    </row>
    <row r="4221" spans="1:11" x14ac:dyDescent="0.25">
      <c r="A4221" t="s">
        <v>14335</v>
      </c>
      <c r="B4221" s="1" t="str">
        <f>HYPERLINK("https://www.catalog.slsa.sa.gov.au/record=b3145531")</f>
        <v>https://www.catalog.slsa.sa.gov.au/record=b3145531</v>
      </c>
      <c r="C4221" s="1" t="str">
        <f>HYPERLINK("https://www.catalog.slsa.sa.gov.au/xrecord=b3145531")</f>
        <v>https://www.catalog.slsa.sa.gov.au/xrecord=b3145531</v>
      </c>
      <c r="D4221" t="s">
        <v>13649</v>
      </c>
      <c r="E4221" t="s">
        <v>13776</v>
      </c>
      <c r="F4221" t="s">
        <v>14315</v>
      </c>
      <c r="G4221" t="s">
        <v>14336</v>
      </c>
      <c r="H4221" t="s">
        <v>12918</v>
      </c>
      <c r="I4221" t="s">
        <v>12921</v>
      </c>
      <c r="J4221" t="s">
        <v>12922</v>
      </c>
      <c r="K4221" s="2" t="str">
        <f>HYPERLINK("http://collections.slsa.sa.gov.au/resource/PRG+1718/1/108")</f>
        <v>http://collections.slsa.sa.gov.au/resource/PRG+1718/1/108</v>
      </c>
    </row>
    <row r="4222" spans="1:11" x14ac:dyDescent="0.25">
      <c r="A4222" t="s">
        <v>14337</v>
      </c>
      <c r="B4222" s="1" t="str">
        <f>HYPERLINK("https://www.catalog.slsa.sa.gov.au/record=b3145532")</f>
        <v>https://www.catalog.slsa.sa.gov.au/record=b3145532</v>
      </c>
      <c r="C4222" s="1" t="str">
        <f>HYPERLINK("https://www.catalog.slsa.sa.gov.au/xrecord=b3145532")</f>
        <v>https://www.catalog.slsa.sa.gov.au/xrecord=b3145532</v>
      </c>
      <c r="D4222" t="s">
        <v>13649</v>
      </c>
      <c r="E4222" t="s">
        <v>13776</v>
      </c>
      <c r="F4222" t="s">
        <v>14315</v>
      </c>
      <c r="G4222" t="s">
        <v>14338</v>
      </c>
      <c r="H4222" t="s">
        <v>12918</v>
      </c>
      <c r="I4222" t="s">
        <v>12921</v>
      </c>
      <c r="J4222" t="s">
        <v>12922</v>
      </c>
      <c r="K4222" s="2" t="str">
        <f>HYPERLINK("http://collections.slsa.sa.gov.au/resource/PRG+1718/1/109")</f>
        <v>http://collections.slsa.sa.gov.au/resource/PRG+1718/1/109</v>
      </c>
    </row>
    <row r="4223" spans="1:11" x14ac:dyDescent="0.25">
      <c r="A4223" t="s">
        <v>14339</v>
      </c>
      <c r="B4223" s="1" t="str">
        <f>HYPERLINK("https://www.catalog.slsa.sa.gov.au/record=b3145533")</f>
        <v>https://www.catalog.slsa.sa.gov.au/record=b3145533</v>
      </c>
      <c r="C4223" s="1" t="str">
        <f>HYPERLINK("https://www.catalog.slsa.sa.gov.au/xrecord=b3145533")</f>
        <v>https://www.catalog.slsa.sa.gov.au/xrecord=b3145533</v>
      </c>
      <c r="D4223" t="s">
        <v>13649</v>
      </c>
      <c r="E4223" t="s">
        <v>13776</v>
      </c>
      <c r="F4223" t="s">
        <v>14315</v>
      </c>
      <c r="G4223" t="s">
        <v>14340</v>
      </c>
      <c r="H4223" t="s">
        <v>14341</v>
      </c>
      <c r="I4223" t="s">
        <v>12921</v>
      </c>
      <c r="J4223" t="s">
        <v>12922</v>
      </c>
      <c r="K4223" s="2" t="str">
        <f>HYPERLINK("http://collections.slsa.sa.gov.au/resource/PRG+1718/1/110")</f>
        <v>http://collections.slsa.sa.gov.au/resource/PRG+1718/1/110</v>
      </c>
    </row>
    <row r="4224" spans="1:11" x14ac:dyDescent="0.25">
      <c r="A4224" t="s">
        <v>14342</v>
      </c>
      <c r="B4224" s="1" t="str">
        <f>HYPERLINK("https://www.catalog.slsa.sa.gov.au/record=b3145534")</f>
        <v>https://www.catalog.slsa.sa.gov.au/record=b3145534</v>
      </c>
      <c r="C4224" s="1" t="str">
        <f>HYPERLINK("https://www.catalog.slsa.sa.gov.au/xrecord=b3145534")</f>
        <v>https://www.catalog.slsa.sa.gov.au/xrecord=b3145534</v>
      </c>
      <c r="D4224" t="s">
        <v>13649</v>
      </c>
      <c r="E4224" t="s">
        <v>13776</v>
      </c>
      <c r="F4224" t="s">
        <v>14315</v>
      </c>
      <c r="G4224" t="s">
        <v>14343</v>
      </c>
      <c r="H4224" t="s">
        <v>14341</v>
      </c>
      <c r="I4224" t="s">
        <v>12921</v>
      </c>
      <c r="J4224" t="s">
        <v>12922</v>
      </c>
      <c r="K4224" s="2" t="str">
        <f>HYPERLINK("http://collections.slsa.sa.gov.au/resource/PRG+1718/1/111")</f>
        <v>http://collections.slsa.sa.gov.au/resource/PRG+1718/1/111</v>
      </c>
    </row>
    <row r="4225" spans="1:11" x14ac:dyDescent="0.25">
      <c r="A4225" t="s">
        <v>14344</v>
      </c>
      <c r="B4225" s="1" t="str">
        <f>HYPERLINK("https://www.catalog.slsa.sa.gov.au/record=b3145535")</f>
        <v>https://www.catalog.slsa.sa.gov.au/record=b3145535</v>
      </c>
      <c r="C4225" s="1" t="str">
        <f>HYPERLINK("https://www.catalog.slsa.sa.gov.au/xrecord=b3145535")</f>
        <v>https://www.catalog.slsa.sa.gov.au/xrecord=b3145535</v>
      </c>
      <c r="D4225" t="s">
        <v>13649</v>
      </c>
      <c r="E4225" t="s">
        <v>13776</v>
      </c>
      <c r="F4225" t="s">
        <v>14315</v>
      </c>
      <c r="G4225" t="s">
        <v>14345</v>
      </c>
      <c r="H4225" t="s">
        <v>14341</v>
      </c>
      <c r="I4225" t="s">
        <v>12921</v>
      </c>
      <c r="J4225" t="s">
        <v>12922</v>
      </c>
      <c r="K4225" s="2" t="str">
        <f>HYPERLINK("http://collections.slsa.sa.gov.au/resource/PRG+1718/1/112")</f>
        <v>http://collections.slsa.sa.gov.au/resource/PRG+1718/1/112</v>
      </c>
    </row>
    <row r="4226" spans="1:11" x14ac:dyDescent="0.25">
      <c r="A4226" t="s">
        <v>14346</v>
      </c>
      <c r="B4226" s="1" t="str">
        <f>HYPERLINK("https://www.catalog.slsa.sa.gov.au/record=b3145536")</f>
        <v>https://www.catalog.slsa.sa.gov.au/record=b3145536</v>
      </c>
      <c r="C4226" s="1" t="str">
        <f>HYPERLINK("https://www.catalog.slsa.sa.gov.au/xrecord=b3145536")</f>
        <v>https://www.catalog.slsa.sa.gov.au/xrecord=b3145536</v>
      </c>
      <c r="D4226" t="s">
        <v>13649</v>
      </c>
      <c r="E4226" t="s">
        <v>13776</v>
      </c>
      <c r="F4226" t="s">
        <v>14315</v>
      </c>
      <c r="G4226" t="s">
        <v>14347</v>
      </c>
      <c r="H4226" t="s">
        <v>14341</v>
      </c>
      <c r="I4226" t="s">
        <v>12921</v>
      </c>
      <c r="J4226" t="s">
        <v>12922</v>
      </c>
      <c r="K4226" s="2" t="str">
        <f>HYPERLINK("http://collections.slsa.sa.gov.au/resource/PRG+1718/1/113")</f>
        <v>http://collections.slsa.sa.gov.au/resource/PRG+1718/1/113</v>
      </c>
    </row>
    <row r="4227" spans="1:11" x14ac:dyDescent="0.25">
      <c r="A4227" t="s">
        <v>14348</v>
      </c>
      <c r="B4227" s="1" t="str">
        <f>HYPERLINK("https://www.catalog.slsa.sa.gov.au/record=b3145537")</f>
        <v>https://www.catalog.slsa.sa.gov.au/record=b3145537</v>
      </c>
      <c r="C4227" s="1" t="str">
        <f>HYPERLINK("https://www.catalog.slsa.sa.gov.au/xrecord=b3145537")</f>
        <v>https://www.catalog.slsa.sa.gov.au/xrecord=b3145537</v>
      </c>
      <c r="D4227" t="s">
        <v>13649</v>
      </c>
      <c r="E4227" t="s">
        <v>13776</v>
      </c>
      <c r="F4227" t="s">
        <v>14315</v>
      </c>
      <c r="G4227" t="s">
        <v>14349</v>
      </c>
      <c r="H4227" t="s">
        <v>14341</v>
      </c>
      <c r="I4227" t="s">
        <v>12921</v>
      </c>
      <c r="J4227" t="s">
        <v>12922</v>
      </c>
      <c r="K4227" s="2" t="str">
        <f>HYPERLINK("http://collections.slsa.sa.gov.au/resource/PRG+1718/1/114")</f>
        <v>http://collections.slsa.sa.gov.au/resource/PRG+1718/1/114</v>
      </c>
    </row>
    <row r="4228" spans="1:11" x14ac:dyDescent="0.25">
      <c r="A4228" t="s">
        <v>14350</v>
      </c>
      <c r="B4228" s="1" t="str">
        <f>HYPERLINK("https://www.catalog.slsa.sa.gov.au/record=b3145538")</f>
        <v>https://www.catalog.slsa.sa.gov.au/record=b3145538</v>
      </c>
      <c r="C4228" s="1" t="str">
        <f>HYPERLINK("https://www.catalog.slsa.sa.gov.au/xrecord=b3145538")</f>
        <v>https://www.catalog.slsa.sa.gov.au/xrecord=b3145538</v>
      </c>
      <c r="D4228" t="s">
        <v>13649</v>
      </c>
      <c r="E4228" t="s">
        <v>13776</v>
      </c>
      <c r="F4228" t="s">
        <v>14315</v>
      </c>
      <c r="G4228" t="s">
        <v>14351</v>
      </c>
      <c r="H4228" t="s">
        <v>14341</v>
      </c>
      <c r="I4228" t="s">
        <v>12921</v>
      </c>
      <c r="J4228" t="s">
        <v>12922</v>
      </c>
      <c r="K4228" s="2" t="str">
        <f>HYPERLINK("http://collections.slsa.sa.gov.au/resource/PRG+1718/1/115")</f>
        <v>http://collections.slsa.sa.gov.au/resource/PRG+1718/1/115</v>
      </c>
    </row>
    <row r="4229" spans="1:11" x14ac:dyDescent="0.25">
      <c r="A4229" t="s">
        <v>14352</v>
      </c>
      <c r="B4229" s="1" t="str">
        <f>HYPERLINK("https://www.catalog.slsa.sa.gov.au/record=b3145680")</f>
        <v>https://www.catalog.slsa.sa.gov.au/record=b3145680</v>
      </c>
      <c r="C4229" s="1" t="str">
        <f>HYPERLINK("https://www.catalog.slsa.sa.gov.au/xrecord=b3145680")</f>
        <v>https://www.catalog.slsa.sa.gov.au/xrecord=b3145680</v>
      </c>
      <c r="D4229" t="s">
        <v>13649</v>
      </c>
      <c r="E4229" t="s">
        <v>13776</v>
      </c>
      <c r="F4229" t="s">
        <v>14315</v>
      </c>
      <c r="G4229" t="s">
        <v>14353</v>
      </c>
      <c r="H4229" t="s">
        <v>14354</v>
      </c>
      <c r="I4229" t="s">
        <v>14355</v>
      </c>
      <c r="J4229" t="s">
        <v>12922</v>
      </c>
      <c r="K4229" s="2" t="str">
        <f>HYPERLINK("http://collections.slsa.sa.gov.au/resource/PRG+1718/1/116")</f>
        <v>http://collections.slsa.sa.gov.au/resource/PRG+1718/1/116</v>
      </c>
    </row>
    <row r="4230" spans="1:11" x14ac:dyDescent="0.25">
      <c r="A4230" t="s">
        <v>14356</v>
      </c>
      <c r="B4230" s="1" t="str">
        <f>HYPERLINK("https://www.catalog.slsa.sa.gov.au/record=b3145681")</f>
        <v>https://www.catalog.slsa.sa.gov.au/record=b3145681</v>
      </c>
      <c r="C4230" s="1" t="str">
        <f>HYPERLINK("https://www.catalog.slsa.sa.gov.au/xrecord=b3145681")</f>
        <v>https://www.catalog.slsa.sa.gov.au/xrecord=b3145681</v>
      </c>
      <c r="D4230" t="s">
        <v>13649</v>
      </c>
      <c r="E4230" t="s">
        <v>13776</v>
      </c>
      <c r="F4230" t="s">
        <v>14315</v>
      </c>
      <c r="G4230" t="s">
        <v>14357</v>
      </c>
      <c r="H4230" t="s">
        <v>12918</v>
      </c>
      <c r="I4230" t="s">
        <v>12921</v>
      </c>
      <c r="J4230" t="s">
        <v>12922</v>
      </c>
      <c r="K4230" s="2" t="str">
        <f>HYPERLINK("http://collections.slsa.sa.gov.au/resource/PRG+1718/1/117")</f>
        <v>http://collections.slsa.sa.gov.au/resource/PRG+1718/1/117</v>
      </c>
    </row>
    <row r="4231" spans="1:11" x14ac:dyDescent="0.25">
      <c r="A4231" t="s">
        <v>14358</v>
      </c>
      <c r="B4231" s="1" t="str">
        <f>HYPERLINK("https://www.catalog.slsa.sa.gov.au/record=b3145682")</f>
        <v>https://www.catalog.slsa.sa.gov.au/record=b3145682</v>
      </c>
      <c r="C4231" s="1" t="str">
        <f>HYPERLINK("https://www.catalog.slsa.sa.gov.au/xrecord=b3145682")</f>
        <v>https://www.catalog.slsa.sa.gov.au/xrecord=b3145682</v>
      </c>
      <c r="D4231" t="s">
        <v>13649</v>
      </c>
      <c r="E4231" t="s">
        <v>13776</v>
      </c>
      <c r="F4231" t="s">
        <v>14315</v>
      </c>
      <c r="G4231" t="s">
        <v>14359</v>
      </c>
      <c r="H4231" t="s">
        <v>12918</v>
      </c>
      <c r="I4231" t="s">
        <v>12921</v>
      </c>
      <c r="J4231" t="s">
        <v>12922</v>
      </c>
      <c r="K4231" s="2" t="str">
        <f>HYPERLINK("http://collections.slsa.sa.gov.au/resource/PRG+1718/1/118")</f>
        <v>http://collections.slsa.sa.gov.au/resource/PRG+1718/1/118</v>
      </c>
    </row>
    <row r="4232" spans="1:11" x14ac:dyDescent="0.25">
      <c r="A4232" t="s">
        <v>14360</v>
      </c>
      <c r="B4232" s="1" t="str">
        <f>HYPERLINK("https://www.catalog.slsa.sa.gov.au/record=b3145683")</f>
        <v>https://www.catalog.slsa.sa.gov.au/record=b3145683</v>
      </c>
      <c r="C4232" s="1" t="str">
        <f>HYPERLINK("https://www.catalog.slsa.sa.gov.au/xrecord=b3145683")</f>
        <v>https://www.catalog.slsa.sa.gov.au/xrecord=b3145683</v>
      </c>
      <c r="D4232" t="s">
        <v>13649</v>
      </c>
      <c r="E4232" t="s">
        <v>13776</v>
      </c>
      <c r="F4232" t="s">
        <v>14315</v>
      </c>
      <c r="G4232" t="s">
        <v>14361</v>
      </c>
      <c r="H4232" t="s">
        <v>12918</v>
      </c>
      <c r="I4232" t="s">
        <v>12921</v>
      </c>
      <c r="J4232" t="s">
        <v>12922</v>
      </c>
      <c r="K4232" s="2" t="str">
        <f>HYPERLINK("http://collections.slsa.sa.gov.au/resource/PRG+1718/1/119")</f>
        <v>http://collections.slsa.sa.gov.au/resource/PRG+1718/1/119</v>
      </c>
    </row>
    <row r="4233" spans="1:11" x14ac:dyDescent="0.25">
      <c r="A4233" t="s">
        <v>14362</v>
      </c>
      <c r="B4233" s="1" t="str">
        <f>HYPERLINK("https://www.catalog.slsa.sa.gov.au/record=b3145684")</f>
        <v>https://www.catalog.slsa.sa.gov.au/record=b3145684</v>
      </c>
      <c r="C4233" s="1" t="str">
        <f>HYPERLINK("https://www.catalog.slsa.sa.gov.au/xrecord=b3145684")</f>
        <v>https://www.catalog.slsa.sa.gov.au/xrecord=b3145684</v>
      </c>
      <c r="D4233" t="s">
        <v>13649</v>
      </c>
      <c r="E4233" t="s">
        <v>13776</v>
      </c>
      <c r="F4233" t="s">
        <v>14315</v>
      </c>
      <c r="G4233" t="s">
        <v>14363</v>
      </c>
      <c r="H4233" t="s">
        <v>12918</v>
      </c>
      <c r="I4233" t="s">
        <v>12921</v>
      </c>
      <c r="J4233" t="s">
        <v>12922</v>
      </c>
      <c r="K4233" s="2" t="str">
        <f>HYPERLINK("http://collections.slsa.sa.gov.au/resource/PRG+1718/1/120")</f>
        <v>http://collections.slsa.sa.gov.au/resource/PRG+1718/1/120</v>
      </c>
    </row>
    <row r="4234" spans="1:11" x14ac:dyDescent="0.25">
      <c r="A4234" t="s">
        <v>14364</v>
      </c>
      <c r="B4234" s="1" t="str">
        <f>HYPERLINK("https://www.catalog.slsa.sa.gov.au/record=b3145685")</f>
        <v>https://www.catalog.slsa.sa.gov.au/record=b3145685</v>
      </c>
      <c r="C4234" s="1" t="str">
        <f>HYPERLINK("https://www.catalog.slsa.sa.gov.au/xrecord=b3145685")</f>
        <v>https://www.catalog.slsa.sa.gov.au/xrecord=b3145685</v>
      </c>
      <c r="D4234" t="s">
        <v>13649</v>
      </c>
      <c r="E4234" t="s">
        <v>14365</v>
      </c>
      <c r="F4234" t="s">
        <v>14315</v>
      </c>
      <c r="G4234" t="s">
        <v>14366</v>
      </c>
      <c r="H4234" t="s">
        <v>13962</v>
      </c>
      <c r="I4234" t="s">
        <v>14367</v>
      </c>
      <c r="J4234" t="s">
        <v>12922</v>
      </c>
      <c r="K4234" s="2" t="str">
        <f>HYPERLINK("http://collections.slsa.sa.gov.au/resource/PRG+1718/1/121")</f>
        <v>http://collections.slsa.sa.gov.au/resource/PRG+1718/1/121</v>
      </c>
    </row>
    <row r="4235" spans="1:11" x14ac:dyDescent="0.25">
      <c r="A4235" t="s">
        <v>14368</v>
      </c>
      <c r="B4235" s="1" t="str">
        <f>HYPERLINK("https://www.catalog.slsa.sa.gov.au/record=b3145686")</f>
        <v>https://www.catalog.slsa.sa.gov.au/record=b3145686</v>
      </c>
      <c r="C4235" s="1" t="str">
        <f>HYPERLINK("https://www.catalog.slsa.sa.gov.au/xrecord=b3145686")</f>
        <v>https://www.catalog.slsa.sa.gov.au/xrecord=b3145686</v>
      </c>
      <c r="D4235" t="s">
        <v>13649</v>
      </c>
      <c r="E4235" t="s">
        <v>14365</v>
      </c>
      <c r="F4235" t="s">
        <v>14315</v>
      </c>
      <c r="G4235" t="s">
        <v>14369</v>
      </c>
      <c r="H4235" t="s">
        <v>13962</v>
      </c>
      <c r="I4235" t="s">
        <v>14367</v>
      </c>
      <c r="J4235" t="s">
        <v>12922</v>
      </c>
      <c r="K4235" s="2" t="str">
        <f>HYPERLINK("http://collections.slsa.sa.gov.au/resource/PRG+1718/1/122")</f>
        <v>http://collections.slsa.sa.gov.au/resource/PRG+1718/1/122</v>
      </c>
    </row>
    <row r="4236" spans="1:11" x14ac:dyDescent="0.25">
      <c r="A4236" t="s">
        <v>14370</v>
      </c>
      <c r="B4236" s="1" t="str">
        <f>HYPERLINK("https://www.catalog.slsa.sa.gov.au/record=b3145687")</f>
        <v>https://www.catalog.slsa.sa.gov.au/record=b3145687</v>
      </c>
      <c r="C4236" s="1" t="str">
        <f>HYPERLINK("https://www.catalog.slsa.sa.gov.au/xrecord=b3145687")</f>
        <v>https://www.catalog.slsa.sa.gov.au/xrecord=b3145687</v>
      </c>
      <c r="D4236" t="s">
        <v>13649</v>
      </c>
      <c r="E4236" t="s">
        <v>14365</v>
      </c>
      <c r="F4236" t="s">
        <v>14315</v>
      </c>
      <c r="G4236" t="s">
        <v>14371</v>
      </c>
      <c r="H4236" t="s">
        <v>13962</v>
      </c>
      <c r="I4236" t="s">
        <v>14367</v>
      </c>
      <c r="J4236" t="s">
        <v>12922</v>
      </c>
      <c r="K4236" s="2" t="str">
        <f>HYPERLINK("http://collections.slsa.sa.gov.au/resource/PRG+1718/1/123")</f>
        <v>http://collections.slsa.sa.gov.au/resource/PRG+1718/1/123</v>
      </c>
    </row>
    <row r="4237" spans="1:11" x14ac:dyDescent="0.25">
      <c r="A4237" t="s">
        <v>14372</v>
      </c>
      <c r="B4237" s="1" t="str">
        <f>HYPERLINK("https://www.catalog.slsa.sa.gov.au/record=b3145688")</f>
        <v>https://www.catalog.slsa.sa.gov.au/record=b3145688</v>
      </c>
      <c r="C4237" s="1" t="str">
        <f>HYPERLINK("https://www.catalog.slsa.sa.gov.au/xrecord=b3145688")</f>
        <v>https://www.catalog.slsa.sa.gov.au/xrecord=b3145688</v>
      </c>
      <c r="D4237" t="s">
        <v>13649</v>
      </c>
      <c r="E4237" t="s">
        <v>14365</v>
      </c>
      <c r="F4237" t="s">
        <v>14315</v>
      </c>
      <c r="G4237" t="s">
        <v>14373</v>
      </c>
      <c r="H4237" t="s">
        <v>14374</v>
      </c>
      <c r="I4237" t="s">
        <v>14375</v>
      </c>
      <c r="J4237" t="s">
        <v>12922</v>
      </c>
      <c r="K4237" s="2" t="str">
        <f>HYPERLINK("http://collections.slsa.sa.gov.au/resource/PRG+1718/1/124")</f>
        <v>http://collections.slsa.sa.gov.au/resource/PRG+1718/1/124</v>
      </c>
    </row>
    <row r="4238" spans="1:11" x14ac:dyDescent="0.25">
      <c r="A4238" t="s">
        <v>14376</v>
      </c>
      <c r="B4238" s="1" t="str">
        <f>HYPERLINK("https://www.catalog.slsa.sa.gov.au/record=b3145689")</f>
        <v>https://www.catalog.slsa.sa.gov.au/record=b3145689</v>
      </c>
      <c r="C4238" s="1" t="str">
        <f>HYPERLINK("https://www.catalog.slsa.sa.gov.au/xrecord=b3145689")</f>
        <v>https://www.catalog.slsa.sa.gov.au/xrecord=b3145689</v>
      </c>
      <c r="D4238" t="s">
        <v>13649</v>
      </c>
      <c r="E4238" t="s">
        <v>14365</v>
      </c>
      <c r="F4238" t="s">
        <v>14315</v>
      </c>
      <c r="G4238" t="s">
        <v>14377</v>
      </c>
      <c r="H4238" t="s">
        <v>13962</v>
      </c>
      <c r="I4238" t="s">
        <v>14367</v>
      </c>
      <c r="J4238" t="s">
        <v>12922</v>
      </c>
      <c r="K4238" s="2" t="str">
        <f>HYPERLINK("http://collections.slsa.sa.gov.au/resource/PRG+1718/1/125")</f>
        <v>http://collections.slsa.sa.gov.au/resource/PRG+1718/1/125</v>
      </c>
    </row>
    <row r="4239" spans="1:11" x14ac:dyDescent="0.25">
      <c r="A4239" t="s">
        <v>14378</v>
      </c>
      <c r="B4239" s="1" t="str">
        <f>HYPERLINK("https://www.catalog.slsa.sa.gov.au/record=b3145690")</f>
        <v>https://www.catalog.slsa.sa.gov.au/record=b3145690</v>
      </c>
      <c r="C4239" s="1" t="str">
        <f>HYPERLINK("https://www.catalog.slsa.sa.gov.au/xrecord=b3145690")</f>
        <v>https://www.catalog.slsa.sa.gov.au/xrecord=b3145690</v>
      </c>
      <c r="D4239" t="s">
        <v>13649</v>
      </c>
      <c r="E4239" t="s">
        <v>14365</v>
      </c>
      <c r="F4239" t="s">
        <v>14315</v>
      </c>
      <c r="G4239" t="s">
        <v>14379</v>
      </c>
      <c r="H4239" t="s">
        <v>14374</v>
      </c>
      <c r="I4239" t="s">
        <v>14375</v>
      </c>
      <c r="J4239" t="s">
        <v>12922</v>
      </c>
      <c r="K4239" s="2" t="str">
        <f>HYPERLINK("http://collections.slsa.sa.gov.au/resource/PRG+1718/1/126")</f>
        <v>http://collections.slsa.sa.gov.au/resource/PRG+1718/1/126</v>
      </c>
    </row>
    <row r="4240" spans="1:11" x14ac:dyDescent="0.25">
      <c r="A4240" t="s">
        <v>14380</v>
      </c>
      <c r="B4240" s="1" t="str">
        <f>HYPERLINK("https://www.catalog.slsa.sa.gov.au/record=b3145691")</f>
        <v>https://www.catalog.slsa.sa.gov.au/record=b3145691</v>
      </c>
      <c r="C4240" s="1" t="str">
        <f>HYPERLINK("https://www.catalog.slsa.sa.gov.au/xrecord=b3145691")</f>
        <v>https://www.catalog.slsa.sa.gov.au/xrecord=b3145691</v>
      </c>
      <c r="D4240" t="s">
        <v>13649</v>
      </c>
      <c r="E4240" t="s">
        <v>14365</v>
      </c>
      <c r="F4240" t="s">
        <v>14315</v>
      </c>
      <c r="G4240" t="s">
        <v>14381</v>
      </c>
      <c r="H4240" t="s">
        <v>14374</v>
      </c>
      <c r="I4240" t="s">
        <v>14367</v>
      </c>
      <c r="J4240" t="s">
        <v>12922</v>
      </c>
      <c r="K4240" s="2" t="str">
        <f>HYPERLINK("http://collections.slsa.sa.gov.au/resource/PRG+1718/1/127")</f>
        <v>http://collections.slsa.sa.gov.au/resource/PRG+1718/1/127</v>
      </c>
    </row>
    <row r="4241" spans="1:11" x14ac:dyDescent="0.25">
      <c r="A4241" t="s">
        <v>14382</v>
      </c>
      <c r="B4241" s="1" t="str">
        <f>HYPERLINK("https://www.catalog.slsa.sa.gov.au/record=b3145692")</f>
        <v>https://www.catalog.slsa.sa.gov.au/record=b3145692</v>
      </c>
      <c r="C4241" s="1" t="str">
        <f>HYPERLINK("https://www.catalog.slsa.sa.gov.au/xrecord=b3145692")</f>
        <v>https://www.catalog.slsa.sa.gov.au/xrecord=b3145692</v>
      </c>
      <c r="D4241" t="s">
        <v>13649</v>
      </c>
      <c r="E4241" t="s">
        <v>14365</v>
      </c>
      <c r="F4241" t="s">
        <v>14315</v>
      </c>
      <c r="G4241" t="s">
        <v>14383</v>
      </c>
      <c r="H4241" t="s">
        <v>14374</v>
      </c>
      <c r="I4241" t="s">
        <v>14367</v>
      </c>
      <c r="J4241" t="s">
        <v>12922</v>
      </c>
      <c r="K4241" s="2" t="str">
        <f>HYPERLINK("http://collections.slsa.sa.gov.au/resource/PRG+1718/1/128")</f>
        <v>http://collections.slsa.sa.gov.au/resource/PRG+1718/1/128</v>
      </c>
    </row>
    <row r="4242" spans="1:11" x14ac:dyDescent="0.25">
      <c r="A4242" t="s">
        <v>14384</v>
      </c>
      <c r="B4242" s="1" t="str">
        <f>HYPERLINK("https://www.catalog.slsa.sa.gov.au/record=b3145693")</f>
        <v>https://www.catalog.slsa.sa.gov.au/record=b3145693</v>
      </c>
      <c r="C4242" s="1" t="str">
        <f>HYPERLINK("https://www.catalog.slsa.sa.gov.au/xrecord=b3145693")</f>
        <v>https://www.catalog.slsa.sa.gov.au/xrecord=b3145693</v>
      </c>
      <c r="D4242" t="s">
        <v>13649</v>
      </c>
      <c r="E4242" t="s">
        <v>14365</v>
      </c>
      <c r="F4242" t="s">
        <v>14315</v>
      </c>
      <c r="G4242" t="s">
        <v>14385</v>
      </c>
      <c r="H4242" t="s">
        <v>14374</v>
      </c>
      <c r="I4242" t="s">
        <v>14375</v>
      </c>
      <c r="J4242" t="s">
        <v>12922</v>
      </c>
      <c r="K4242" s="2" t="str">
        <f>HYPERLINK("http://collections.slsa.sa.gov.au/resource/PRG+1718/1/129")</f>
        <v>http://collections.slsa.sa.gov.au/resource/PRG+1718/1/129</v>
      </c>
    </row>
    <row r="4243" spans="1:11" x14ac:dyDescent="0.25">
      <c r="A4243" t="s">
        <v>14386</v>
      </c>
      <c r="B4243" s="1" t="str">
        <f>HYPERLINK("https://www.catalog.slsa.sa.gov.au/record=b3145694")</f>
        <v>https://www.catalog.slsa.sa.gov.au/record=b3145694</v>
      </c>
      <c r="C4243" s="1" t="str">
        <f>HYPERLINK("https://www.catalog.slsa.sa.gov.au/xrecord=b3145694")</f>
        <v>https://www.catalog.slsa.sa.gov.au/xrecord=b3145694</v>
      </c>
      <c r="D4243" t="s">
        <v>13649</v>
      </c>
      <c r="E4243" t="s">
        <v>14365</v>
      </c>
      <c r="F4243" t="s">
        <v>14315</v>
      </c>
      <c r="G4243" t="s">
        <v>14387</v>
      </c>
      <c r="H4243" t="s">
        <v>14374</v>
      </c>
      <c r="I4243" t="s">
        <v>14375</v>
      </c>
      <c r="J4243" t="s">
        <v>12922</v>
      </c>
      <c r="K4243" s="2" t="str">
        <f>HYPERLINK("http://collections.slsa.sa.gov.au/resource/PRG+1718/1/130")</f>
        <v>http://collections.slsa.sa.gov.au/resource/PRG+1718/1/130</v>
      </c>
    </row>
    <row r="4244" spans="1:11" x14ac:dyDescent="0.25">
      <c r="A4244" t="s">
        <v>14388</v>
      </c>
      <c r="B4244" s="1" t="str">
        <f>HYPERLINK("https://www.catalog.slsa.sa.gov.au/record=b3145695")</f>
        <v>https://www.catalog.slsa.sa.gov.au/record=b3145695</v>
      </c>
      <c r="C4244" s="1" t="str">
        <f>HYPERLINK("https://www.catalog.slsa.sa.gov.au/xrecord=b3145695")</f>
        <v>https://www.catalog.slsa.sa.gov.au/xrecord=b3145695</v>
      </c>
      <c r="D4244" t="s">
        <v>13649</v>
      </c>
      <c r="E4244" t="s">
        <v>14365</v>
      </c>
      <c r="F4244" t="s">
        <v>14315</v>
      </c>
      <c r="G4244" t="s">
        <v>14389</v>
      </c>
      <c r="H4244" t="s">
        <v>14374</v>
      </c>
      <c r="I4244" t="s">
        <v>14375</v>
      </c>
      <c r="J4244" t="s">
        <v>12922</v>
      </c>
      <c r="K4244" s="2" t="str">
        <f>HYPERLINK("http://collections.slsa.sa.gov.au/resource/PRG+1718/1/131")</f>
        <v>http://collections.slsa.sa.gov.au/resource/PRG+1718/1/131</v>
      </c>
    </row>
    <row r="4245" spans="1:11" x14ac:dyDescent="0.25">
      <c r="A4245" t="s">
        <v>14390</v>
      </c>
      <c r="B4245" s="1" t="str">
        <f>HYPERLINK("https://www.catalog.slsa.sa.gov.au/record=b3145697")</f>
        <v>https://www.catalog.slsa.sa.gov.au/record=b3145697</v>
      </c>
      <c r="C4245" s="1" t="str">
        <f>HYPERLINK("https://www.catalog.slsa.sa.gov.au/xrecord=b3145697")</f>
        <v>https://www.catalog.slsa.sa.gov.au/xrecord=b3145697</v>
      </c>
      <c r="D4245" t="s">
        <v>13649</v>
      </c>
      <c r="E4245" t="s">
        <v>14391</v>
      </c>
      <c r="F4245" t="s">
        <v>14315</v>
      </c>
      <c r="G4245" t="s">
        <v>14392</v>
      </c>
      <c r="H4245" t="s">
        <v>14393</v>
      </c>
      <c r="I4245" t="s">
        <v>14394</v>
      </c>
      <c r="J4245" t="s">
        <v>12922</v>
      </c>
      <c r="K4245" s="2" t="str">
        <f>HYPERLINK("http://collections.slsa.sa.gov.au/resource/PRG+1718/1/133")</f>
        <v>http://collections.slsa.sa.gov.au/resource/PRG+1718/1/133</v>
      </c>
    </row>
    <row r="4246" spans="1:11" x14ac:dyDescent="0.25">
      <c r="A4246" t="s">
        <v>14395</v>
      </c>
      <c r="B4246" s="1" t="str">
        <f>HYPERLINK("https://www.catalog.slsa.sa.gov.au/record=b3145719")</f>
        <v>https://www.catalog.slsa.sa.gov.au/record=b3145719</v>
      </c>
      <c r="C4246" s="1" t="str">
        <f>HYPERLINK("https://www.catalog.slsa.sa.gov.au/xrecord=b3145719")</f>
        <v>https://www.catalog.slsa.sa.gov.au/xrecord=b3145719</v>
      </c>
      <c r="D4246" t="s">
        <v>13649</v>
      </c>
      <c r="E4246" t="s">
        <v>14396</v>
      </c>
      <c r="F4246" t="s">
        <v>14315</v>
      </c>
      <c r="G4246" t="s">
        <v>14397</v>
      </c>
      <c r="H4246" t="s">
        <v>14398</v>
      </c>
      <c r="I4246" t="s">
        <v>14399</v>
      </c>
      <c r="J4246" t="s">
        <v>12922</v>
      </c>
      <c r="K4246" s="2" t="str">
        <f>HYPERLINK("http://collections.slsa.sa.gov.au/resource/PRG+1718/1/134")</f>
        <v>http://collections.slsa.sa.gov.au/resource/PRG+1718/1/134</v>
      </c>
    </row>
    <row r="4247" spans="1:11" x14ac:dyDescent="0.25">
      <c r="A4247" t="s">
        <v>14400</v>
      </c>
      <c r="B4247" s="1" t="str">
        <f>HYPERLINK("https://www.catalog.slsa.sa.gov.au/record=b3145720")</f>
        <v>https://www.catalog.slsa.sa.gov.au/record=b3145720</v>
      </c>
      <c r="C4247" s="1" t="str">
        <f>HYPERLINK("https://www.catalog.slsa.sa.gov.au/xrecord=b3145720")</f>
        <v>https://www.catalog.slsa.sa.gov.au/xrecord=b3145720</v>
      </c>
      <c r="D4247" t="s">
        <v>13649</v>
      </c>
      <c r="E4247" t="s">
        <v>14396</v>
      </c>
      <c r="F4247" t="s">
        <v>14315</v>
      </c>
      <c r="G4247" t="s">
        <v>14401</v>
      </c>
      <c r="H4247" t="s">
        <v>14402</v>
      </c>
      <c r="I4247" t="s">
        <v>12921</v>
      </c>
      <c r="J4247" t="s">
        <v>12922</v>
      </c>
      <c r="K4247" s="2" t="str">
        <f>HYPERLINK("http://collections.slsa.sa.gov.au/resource/PRG+1718/1/135")</f>
        <v>http://collections.slsa.sa.gov.au/resource/PRG+1718/1/135</v>
      </c>
    </row>
    <row r="4248" spans="1:11" x14ac:dyDescent="0.25">
      <c r="A4248" t="s">
        <v>14403</v>
      </c>
      <c r="B4248" s="1" t="str">
        <f>HYPERLINK("https://www.catalog.slsa.sa.gov.au/record=b3145721")</f>
        <v>https://www.catalog.slsa.sa.gov.au/record=b3145721</v>
      </c>
      <c r="C4248" s="1" t="str">
        <f>HYPERLINK("https://www.catalog.slsa.sa.gov.au/xrecord=b3145721")</f>
        <v>https://www.catalog.slsa.sa.gov.au/xrecord=b3145721</v>
      </c>
      <c r="D4248" t="s">
        <v>13649</v>
      </c>
      <c r="E4248" t="s">
        <v>14396</v>
      </c>
      <c r="F4248" t="s">
        <v>14315</v>
      </c>
      <c r="G4248" t="s">
        <v>14404</v>
      </c>
      <c r="H4248" t="s">
        <v>14405</v>
      </c>
      <c r="I4248" t="s">
        <v>12921</v>
      </c>
      <c r="J4248" t="s">
        <v>12922</v>
      </c>
      <c r="K4248" s="2" t="str">
        <f>HYPERLINK("http://collections.slsa.sa.gov.au/resource/PRG+1718/1/136")</f>
        <v>http://collections.slsa.sa.gov.au/resource/PRG+1718/1/136</v>
      </c>
    </row>
    <row r="4249" spans="1:11" x14ac:dyDescent="0.25">
      <c r="A4249" t="s">
        <v>14406</v>
      </c>
      <c r="B4249" s="1" t="str">
        <f>HYPERLINK("https://www.catalog.slsa.sa.gov.au/record=b3145722")</f>
        <v>https://www.catalog.slsa.sa.gov.au/record=b3145722</v>
      </c>
      <c r="C4249" s="1" t="str">
        <f>HYPERLINK("https://www.catalog.slsa.sa.gov.au/xrecord=b3145722")</f>
        <v>https://www.catalog.slsa.sa.gov.au/xrecord=b3145722</v>
      </c>
      <c r="D4249" t="s">
        <v>13649</v>
      </c>
      <c r="E4249" t="s">
        <v>14396</v>
      </c>
      <c r="F4249" t="s">
        <v>14315</v>
      </c>
      <c r="G4249" t="s">
        <v>14407</v>
      </c>
      <c r="H4249" t="s">
        <v>14408</v>
      </c>
      <c r="I4249" t="s">
        <v>12921</v>
      </c>
      <c r="J4249" t="s">
        <v>12922</v>
      </c>
      <c r="K4249" s="2" t="str">
        <f>HYPERLINK("http://collections.slsa.sa.gov.au/resource/PRG+1718/1/137")</f>
        <v>http://collections.slsa.sa.gov.au/resource/PRG+1718/1/137</v>
      </c>
    </row>
    <row r="4250" spans="1:11" x14ac:dyDescent="0.25">
      <c r="A4250" t="s">
        <v>14409</v>
      </c>
      <c r="B4250" s="1" t="str">
        <f>HYPERLINK("https://www.catalog.slsa.sa.gov.au/record=b3139503")</f>
        <v>https://www.catalog.slsa.sa.gov.au/record=b3139503</v>
      </c>
      <c r="C4250" s="1" t="str">
        <f>HYPERLINK("https://www.catalog.slsa.sa.gov.au/xrecord=b3139503")</f>
        <v>https://www.catalog.slsa.sa.gov.au/xrecord=b3139503</v>
      </c>
      <c r="D4250" t="s">
        <v>13649</v>
      </c>
      <c r="E4250" t="s">
        <v>13776</v>
      </c>
      <c r="F4250" t="s">
        <v>14315</v>
      </c>
      <c r="G4250" t="s">
        <v>14410</v>
      </c>
      <c r="H4250" t="s">
        <v>14411</v>
      </c>
      <c r="I4250" t="s">
        <v>12921</v>
      </c>
      <c r="J4250" t="s">
        <v>12922</v>
      </c>
      <c r="K4250" s="2" t="str">
        <f>HYPERLINK("http://collections.slsa.sa.gov.au/resource/PRG+1718/1/15")</f>
        <v>http://collections.slsa.sa.gov.au/resource/PRG+1718/1/15</v>
      </c>
    </row>
    <row r="4251" spans="1:11" x14ac:dyDescent="0.25">
      <c r="A4251" t="s">
        <v>14412</v>
      </c>
      <c r="B4251" s="1" t="str">
        <f>HYPERLINK("https://www.catalog.slsa.sa.gov.au/record=b3139508")</f>
        <v>https://www.catalog.slsa.sa.gov.au/record=b3139508</v>
      </c>
      <c r="C4251" s="1" t="str">
        <f>HYPERLINK("https://www.catalog.slsa.sa.gov.au/xrecord=b3139508")</f>
        <v>https://www.catalog.slsa.sa.gov.au/xrecord=b3139508</v>
      </c>
      <c r="D4251" t="s">
        <v>13649</v>
      </c>
      <c r="E4251" t="s">
        <v>13776</v>
      </c>
      <c r="F4251" t="s">
        <v>14315</v>
      </c>
      <c r="G4251" t="s">
        <v>14413</v>
      </c>
      <c r="H4251" t="s">
        <v>14414</v>
      </c>
      <c r="I4251" t="s">
        <v>12921</v>
      </c>
      <c r="J4251" t="s">
        <v>12922</v>
      </c>
      <c r="K4251" s="2" t="str">
        <f>HYPERLINK("http://collections.slsa.sa.gov.au/resource/PRG+1718/1/16")</f>
        <v>http://collections.slsa.sa.gov.au/resource/PRG+1718/1/16</v>
      </c>
    </row>
    <row r="4252" spans="1:11" x14ac:dyDescent="0.25">
      <c r="A4252" t="s">
        <v>14415</v>
      </c>
      <c r="B4252" s="1" t="str">
        <f>HYPERLINK("https://www.catalog.slsa.sa.gov.au/record=b3139521")</f>
        <v>https://www.catalog.slsa.sa.gov.au/record=b3139521</v>
      </c>
      <c r="C4252" s="1" t="str">
        <f>HYPERLINK("https://www.catalog.slsa.sa.gov.au/xrecord=b3139521")</f>
        <v>https://www.catalog.slsa.sa.gov.au/xrecord=b3139521</v>
      </c>
      <c r="D4252" t="s">
        <v>13649</v>
      </c>
      <c r="E4252" t="s">
        <v>13776</v>
      </c>
      <c r="F4252" t="s">
        <v>14315</v>
      </c>
      <c r="G4252" t="s">
        <v>14416</v>
      </c>
      <c r="H4252" t="s">
        <v>14417</v>
      </c>
      <c r="I4252" t="s">
        <v>12921</v>
      </c>
      <c r="J4252" t="s">
        <v>12922</v>
      </c>
      <c r="K4252" s="2" t="str">
        <f>HYPERLINK("http://collections.slsa.sa.gov.au/resource/PRG+1718/1/17")</f>
        <v>http://collections.slsa.sa.gov.au/resource/PRG+1718/1/17</v>
      </c>
    </row>
    <row r="4253" spans="1:11" x14ac:dyDescent="0.25">
      <c r="A4253" t="s">
        <v>14418</v>
      </c>
      <c r="B4253" s="1" t="str">
        <f>HYPERLINK("https://www.catalog.slsa.sa.gov.au/record=b3139522")</f>
        <v>https://www.catalog.slsa.sa.gov.au/record=b3139522</v>
      </c>
      <c r="C4253" s="1" t="str">
        <f>HYPERLINK("https://www.catalog.slsa.sa.gov.au/xrecord=b3139522")</f>
        <v>https://www.catalog.slsa.sa.gov.au/xrecord=b3139522</v>
      </c>
      <c r="D4253" t="s">
        <v>13649</v>
      </c>
      <c r="E4253" t="s">
        <v>13776</v>
      </c>
      <c r="F4253" t="s">
        <v>14315</v>
      </c>
      <c r="G4253" t="s">
        <v>14419</v>
      </c>
      <c r="H4253" t="s">
        <v>14420</v>
      </c>
      <c r="I4253" t="s">
        <v>12921</v>
      </c>
      <c r="J4253" t="s">
        <v>12922</v>
      </c>
      <c r="K4253" s="2" t="str">
        <f>HYPERLINK("http://collections.slsa.sa.gov.au/resource/PRG+1718/1/18")</f>
        <v>http://collections.slsa.sa.gov.au/resource/PRG+1718/1/18</v>
      </c>
    </row>
    <row r="4254" spans="1:11" x14ac:dyDescent="0.25">
      <c r="A4254" t="s">
        <v>14421</v>
      </c>
      <c r="B4254" s="1" t="str">
        <f>HYPERLINK("https://www.catalog.slsa.sa.gov.au/record=b3139529")</f>
        <v>https://www.catalog.slsa.sa.gov.au/record=b3139529</v>
      </c>
      <c r="C4254" s="1" t="str">
        <f>HYPERLINK("https://www.catalog.slsa.sa.gov.au/xrecord=b3139529")</f>
        <v>https://www.catalog.slsa.sa.gov.au/xrecord=b3139529</v>
      </c>
      <c r="D4254" t="s">
        <v>13649</v>
      </c>
      <c r="E4254" t="s">
        <v>13776</v>
      </c>
      <c r="F4254" t="s">
        <v>14315</v>
      </c>
      <c r="G4254" t="s">
        <v>14419</v>
      </c>
      <c r="H4254" t="s">
        <v>12918</v>
      </c>
      <c r="I4254" t="s">
        <v>12921</v>
      </c>
      <c r="J4254" t="s">
        <v>12922</v>
      </c>
      <c r="K4254" s="2" t="str">
        <f>HYPERLINK("http://collections.slsa.sa.gov.au/resource/PRG+1718/1/19")</f>
        <v>http://collections.slsa.sa.gov.au/resource/PRG+1718/1/19</v>
      </c>
    </row>
    <row r="4255" spans="1:11" x14ac:dyDescent="0.25">
      <c r="A4255" t="s">
        <v>14422</v>
      </c>
      <c r="B4255" s="1" t="str">
        <f>HYPERLINK("https://www.catalog.slsa.sa.gov.au/record=b3139531")</f>
        <v>https://www.catalog.slsa.sa.gov.au/record=b3139531</v>
      </c>
      <c r="C4255" s="1" t="str">
        <f>HYPERLINK("https://www.catalog.slsa.sa.gov.au/xrecord=b3139531")</f>
        <v>https://www.catalog.slsa.sa.gov.au/xrecord=b3139531</v>
      </c>
      <c r="D4255" t="s">
        <v>13649</v>
      </c>
      <c r="E4255" t="s">
        <v>13776</v>
      </c>
      <c r="F4255" t="s">
        <v>14315</v>
      </c>
      <c r="G4255" t="s">
        <v>14423</v>
      </c>
      <c r="H4255" t="s">
        <v>12918</v>
      </c>
      <c r="I4255" t="s">
        <v>12921</v>
      </c>
      <c r="J4255" t="s">
        <v>12922</v>
      </c>
      <c r="K4255" s="2" t="str">
        <f>HYPERLINK("http://collections.slsa.sa.gov.au/resource/PRG+1718/1/20")</f>
        <v>http://collections.slsa.sa.gov.au/resource/PRG+1718/1/20</v>
      </c>
    </row>
    <row r="4256" spans="1:11" x14ac:dyDescent="0.25">
      <c r="A4256" t="s">
        <v>14424</v>
      </c>
      <c r="B4256" s="1" t="str">
        <f>HYPERLINK("https://www.catalog.slsa.sa.gov.au/record=b3139533")</f>
        <v>https://www.catalog.slsa.sa.gov.au/record=b3139533</v>
      </c>
      <c r="C4256" s="1" t="str">
        <f>HYPERLINK("https://www.catalog.slsa.sa.gov.au/xrecord=b3139533")</f>
        <v>https://www.catalog.slsa.sa.gov.au/xrecord=b3139533</v>
      </c>
      <c r="D4256" t="s">
        <v>13649</v>
      </c>
      <c r="E4256" t="s">
        <v>13776</v>
      </c>
      <c r="F4256" t="s">
        <v>14315</v>
      </c>
      <c r="G4256" t="s">
        <v>14425</v>
      </c>
      <c r="H4256" t="s">
        <v>12918</v>
      </c>
      <c r="I4256" t="s">
        <v>12921</v>
      </c>
      <c r="J4256" t="s">
        <v>12922</v>
      </c>
      <c r="K4256" s="2" t="str">
        <f>HYPERLINK("http://collections.slsa.sa.gov.au/resource/PRG+1718/1/21")</f>
        <v>http://collections.slsa.sa.gov.au/resource/PRG+1718/1/21</v>
      </c>
    </row>
    <row r="4257" spans="1:11" x14ac:dyDescent="0.25">
      <c r="A4257" t="s">
        <v>14426</v>
      </c>
      <c r="B4257" s="1" t="str">
        <f>HYPERLINK("https://www.catalog.slsa.sa.gov.au/record=b3139534")</f>
        <v>https://www.catalog.slsa.sa.gov.au/record=b3139534</v>
      </c>
      <c r="C4257" s="1" t="str">
        <f>HYPERLINK("https://www.catalog.slsa.sa.gov.au/xrecord=b3139534")</f>
        <v>https://www.catalog.slsa.sa.gov.au/xrecord=b3139534</v>
      </c>
      <c r="D4257" t="s">
        <v>13649</v>
      </c>
      <c r="E4257" t="s">
        <v>13776</v>
      </c>
      <c r="F4257" t="s">
        <v>14315</v>
      </c>
      <c r="G4257" t="s">
        <v>14427</v>
      </c>
      <c r="H4257" t="s">
        <v>12918</v>
      </c>
      <c r="I4257" t="s">
        <v>12921</v>
      </c>
      <c r="J4257" t="s">
        <v>12922</v>
      </c>
      <c r="K4257" s="2" t="str">
        <f>HYPERLINK("http://collections.slsa.sa.gov.au/resource/PRG+1718/1/22")</f>
        <v>http://collections.slsa.sa.gov.au/resource/PRG+1718/1/22</v>
      </c>
    </row>
    <row r="4258" spans="1:11" x14ac:dyDescent="0.25">
      <c r="A4258" t="s">
        <v>14428</v>
      </c>
      <c r="B4258" s="1" t="str">
        <f>HYPERLINK("https://www.catalog.slsa.sa.gov.au/record=b3139535")</f>
        <v>https://www.catalog.slsa.sa.gov.au/record=b3139535</v>
      </c>
      <c r="C4258" s="1" t="str">
        <f>HYPERLINK("https://www.catalog.slsa.sa.gov.au/xrecord=b3139535")</f>
        <v>https://www.catalog.slsa.sa.gov.au/xrecord=b3139535</v>
      </c>
      <c r="D4258" t="s">
        <v>13649</v>
      </c>
      <c r="E4258" t="s">
        <v>13776</v>
      </c>
      <c r="F4258" t="s">
        <v>14315</v>
      </c>
      <c r="G4258" t="s">
        <v>14429</v>
      </c>
      <c r="H4258" t="s">
        <v>12918</v>
      </c>
      <c r="I4258" t="s">
        <v>12921</v>
      </c>
      <c r="J4258" t="s">
        <v>12922</v>
      </c>
      <c r="K4258" s="2" t="str">
        <f>HYPERLINK("http://collections.slsa.sa.gov.au/resource/PRG+1718/1/23")</f>
        <v>http://collections.slsa.sa.gov.au/resource/PRG+1718/1/23</v>
      </c>
    </row>
    <row r="4259" spans="1:11" x14ac:dyDescent="0.25">
      <c r="A4259" t="s">
        <v>14430</v>
      </c>
      <c r="B4259" s="1" t="str">
        <f>HYPERLINK("https://www.catalog.slsa.sa.gov.au/record=b3139537")</f>
        <v>https://www.catalog.slsa.sa.gov.au/record=b3139537</v>
      </c>
      <c r="C4259" s="1" t="str">
        <f>HYPERLINK("https://www.catalog.slsa.sa.gov.au/xrecord=b3139537")</f>
        <v>https://www.catalog.slsa.sa.gov.au/xrecord=b3139537</v>
      </c>
      <c r="D4259" t="s">
        <v>13649</v>
      </c>
      <c r="E4259" t="s">
        <v>13776</v>
      </c>
      <c r="F4259" t="s">
        <v>14315</v>
      </c>
      <c r="G4259" t="s">
        <v>14431</v>
      </c>
      <c r="H4259" t="s">
        <v>12918</v>
      </c>
      <c r="I4259" t="s">
        <v>12921</v>
      </c>
      <c r="J4259" t="s">
        <v>12922</v>
      </c>
      <c r="K4259" s="2" t="str">
        <f>HYPERLINK("http://collections.slsa.sa.gov.au/resource/PRG+1718/1/24")</f>
        <v>http://collections.slsa.sa.gov.au/resource/PRG+1718/1/24</v>
      </c>
    </row>
    <row r="4260" spans="1:11" x14ac:dyDescent="0.25">
      <c r="A4260" t="s">
        <v>14432</v>
      </c>
      <c r="B4260" s="1" t="str">
        <f>HYPERLINK("https://www.catalog.slsa.sa.gov.au/record=b3139538")</f>
        <v>https://www.catalog.slsa.sa.gov.au/record=b3139538</v>
      </c>
      <c r="C4260" s="1" t="str">
        <f>HYPERLINK("https://www.catalog.slsa.sa.gov.au/xrecord=b3139538")</f>
        <v>https://www.catalog.slsa.sa.gov.au/xrecord=b3139538</v>
      </c>
      <c r="D4260" t="s">
        <v>13649</v>
      </c>
      <c r="E4260" t="s">
        <v>13776</v>
      </c>
      <c r="F4260" t="s">
        <v>14315</v>
      </c>
      <c r="G4260" t="s">
        <v>14429</v>
      </c>
      <c r="H4260" t="s">
        <v>12918</v>
      </c>
      <c r="I4260" t="s">
        <v>12921</v>
      </c>
      <c r="J4260" t="s">
        <v>12922</v>
      </c>
      <c r="K4260" s="2" t="str">
        <f>HYPERLINK("http://collections.slsa.sa.gov.au/resource/PRG+1718/1/25")</f>
        <v>http://collections.slsa.sa.gov.au/resource/PRG+1718/1/25</v>
      </c>
    </row>
    <row r="4261" spans="1:11" x14ac:dyDescent="0.25">
      <c r="A4261" t="s">
        <v>14433</v>
      </c>
      <c r="B4261" s="1" t="str">
        <f>HYPERLINK("https://www.catalog.slsa.sa.gov.au/record=b3139539")</f>
        <v>https://www.catalog.slsa.sa.gov.au/record=b3139539</v>
      </c>
      <c r="C4261" s="1" t="str">
        <f>HYPERLINK("https://www.catalog.slsa.sa.gov.au/xrecord=b3139539")</f>
        <v>https://www.catalog.slsa.sa.gov.au/xrecord=b3139539</v>
      </c>
      <c r="D4261" t="s">
        <v>13649</v>
      </c>
      <c r="E4261" t="s">
        <v>13776</v>
      </c>
      <c r="F4261" t="s">
        <v>14315</v>
      </c>
      <c r="G4261" t="s">
        <v>14431</v>
      </c>
      <c r="H4261" t="s">
        <v>12918</v>
      </c>
      <c r="I4261" t="s">
        <v>12921</v>
      </c>
      <c r="J4261" t="s">
        <v>12922</v>
      </c>
      <c r="K4261" s="2" t="str">
        <f>HYPERLINK("http://collections.slsa.sa.gov.au/resource/PRG+1718/1/26")</f>
        <v>http://collections.slsa.sa.gov.au/resource/PRG+1718/1/26</v>
      </c>
    </row>
    <row r="4262" spans="1:11" x14ac:dyDescent="0.25">
      <c r="A4262" t="s">
        <v>14434</v>
      </c>
      <c r="B4262" s="1" t="str">
        <f>HYPERLINK("https://www.catalog.slsa.sa.gov.au/record=b3139540")</f>
        <v>https://www.catalog.slsa.sa.gov.au/record=b3139540</v>
      </c>
      <c r="C4262" s="1" t="str">
        <f>HYPERLINK("https://www.catalog.slsa.sa.gov.au/xrecord=b3139540")</f>
        <v>https://www.catalog.slsa.sa.gov.au/xrecord=b3139540</v>
      </c>
      <c r="D4262" t="s">
        <v>13649</v>
      </c>
      <c r="E4262" t="s">
        <v>13776</v>
      </c>
      <c r="F4262" t="s">
        <v>14315</v>
      </c>
      <c r="G4262" t="s">
        <v>14425</v>
      </c>
      <c r="H4262" t="s">
        <v>12918</v>
      </c>
      <c r="I4262" t="s">
        <v>12921</v>
      </c>
      <c r="J4262" t="s">
        <v>12922</v>
      </c>
      <c r="K4262" s="2" t="str">
        <f>HYPERLINK("http://collections.slsa.sa.gov.au/resource/PRG+1718/1/27")</f>
        <v>http://collections.slsa.sa.gov.au/resource/PRG+1718/1/27</v>
      </c>
    </row>
    <row r="4263" spans="1:11" x14ac:dyDescent="0.25">
      <c r="A4263" t="s">
        <v>14435</v>
      </c>
      <c r="B4263" s="1" t="str">
        <f>HYPERLINK("https://www.catalog.slsa.sa.gov.au/record=b3139542")</f>
        <v>https://www.catalog.slsa.sa.gov.au/record=b3139542</v>
      </c>
      <c r="C4263" s="1" t="str">
        <f>HYPERLINK("https://www.catalog.slsa.sa.gov.au/xrecord=b3139542")</f>
        <v>https://www.catalog.slsa.sa.gov.au/xrecord=b3139542</v>
      </c>
      <c r="D4263" t="s">
        <v>13649</v>
      </c>
      <c r="E4263" t="s">
        <v>13776</v>
      </c>
      <c r="F4263" t="s">
        <v>14315</v>
      </c>
      <c r="G4263" t="s">
        <v>14413</v>
      </c>
      <c r="H4263" t="s">
        <v>12918</v>
      </c>
      <c r="I4263" t="s">
        <v>12921</v>
      </c>
      <c r="J4263" t="s">
        <v>12922</v>
      </c>
      <c r="K4263" s="2" t="str">
        <f>HYPERLINK("http://collections.slsa.sa.gov.au/resource/PRG+1718/1/28")</f>
        <v>http://collections.slsa.sa.gov.au/resource/PRG+1718/1/28</v>
      </c>
    </row>
    <row r="4264" spans="1:11" x14ac:dyDescent="0.25">
      <c r="A4264" t="s">
        <v>14436</v>
      </c>
      <c r="B4264" s="1" t="str">
        <f>HYPERLINK("https://www.catalog.slsa.sa.gov.au/record=b3139543")</f>
        <v>https://www.catalog.slsa.sa.gov.au/record=b3139543</v>
      </c>
      <c r="C4264" s="1" t="str">
        <f>HYPERLINK("https://www.catalog.slsa.sa.gov.au/xrecord=b3139543")</f>
        <v>https://www.catalog.slsa.sa.gov.au/xrecord=b3139543</v>
      </c>
      <c r="D4264" t="s">
        <v>13649</v>
      </c>
      <c r="E4264" t="s">
        <v>13776</v>
      </c>
      <c r="F4264" t="s">
        <v>14315</v>
      </c>
      <c r="G4264" t="s">
        <v>14431</v>
      </c>
      <c r="H4264" t="s">
        <v>12918</v>
      </c>
      <c r="I4264" t="s">
        <v>12921</v>
      </c>
      <c r="J4264" t="s">
        <v>12922</v>
      </c>
      <c r="K4264" s="2" t="str">
        <f>HYPERLINK("http://collections.slsa.sa.gov.au/resource/PRG+1718/1/29")</f>
        <v>http://collections.slsa.sa.gov.au/resource/PRG+1718/1/29</v>
      </c>
    </row>
    <row r="4265" spans="1:11" x14ac:dyDescent="0.25">
      <c r="A4265" t="s">
        <v>14437</v>
      </c>
      <c r="B4265" s="1" t="str">
        <f>HYPERLINK("https://www.catalog.slsa.sa.gov.au/record=b3139544")</f>
        <v>https://www.catalog.slsa.sa.gov.au/record=b3139544</v>
      </c>
      <c r="C4265" s="1" t="str">
        <f>HYPERLINK("https://www.catalog.slsa.sa.gov.au/xrecord=b3139544")</f>
        <v>https://www.catalog.slsa.sa.gov.au/xrecord=b3139544</v>
      </c>
      <c r="D4265" t="s">
        <v>13649</v>
      </c>
      <c r="E4265" t="s">
        <v>13776</v>
      </c>
      <c r="F4265" t="s">
        <v>14315</v>
      </c>
      <c r="G4265" t="s">
        <v>14429</v>
      </c>
      <c r="H4265" t="s">
        <v>12918</v>
      </c>
      <c r="I4265" t="s">
        <v>12921</v>
      </c>
      <c r="J4265" t="s">
        <v>12922</v>
      </c>
      <c r="K4265" s="2" t="str">
        <f>HYPERLINK("http://collections.slsa.sa.gov.au/resource/PRG+1718/1/30")</f>
        <v>http://collections.slsa.sa.gov.au/resource/PRG+1718/1/30</v>
      </c>
    </row>
    <row r="4266" spans="1:11" x14ac:dyDescent="0.25">
      <c r="A4266" t="s">
        <v>14438</v>
      </c>
      <c r="B4266" s="1" t="str">
        <f>HYPERLINK("https://www.catalog.slsa.sa.gov.au/record=b3139545")</f>
        <v>https://www.catalog.slsa.sa.gov.au/record=b3139545</v>
      </c>
      <c r="C4266" s="1" t="str">
        <f>HYPERLINK("https://www.catalog.slsa.sa.gov.au/xrecord=b3139545")</f>
        <v>https://www.catalog.slsa.sa.gov.au/xrecord=b3139545</v>
      </c>
      <c r="D4266" t="s">
        <v>13649</v>
      </c>
      <c r="E4266" t="s">
        <v>13776</v>
      </c>
      <c r="F4266" t="s">
        <v>14315</v>
      </c>
      <c r="G4266" t="s">
        <v>14429</v>
      </c>
      <c r="H4266" t="s">
        <v>12918</v>
      </c>
      <c r="I4266" t="s">
        <v>12921</v>
      </c>
      <c r="J4266" t="s">
        <v>12922</v>
      </c>
      <c r="K4266" s="2" t="str">
        <f>HYPERLINK("http://collections.slsa.sa.gov.au/resource/PRG+1718/1/31")</f>
        <v>http://collections.slsa.sa.gov.au/resource/PRG+1718/1/31</v>
      </c>
    </row>
    <row r="4267" spans="1:11" x14ac:dyDescent="0.25">
      <c r="A4267" t="s">
        <v>14439</v>
      </c>
      <c r="B4267" s="1" t="str">
        <f>HYPERLINK("https://www.catalog.slsa.sa.gov.au/record=b3139546")</f>
        <v>https://www.catalog.slsa.sa.gov.au/record=b3139546</v>
      </c>
      <c r="C4267" s="1" t="str">
        <f>HYPERLINK("https://www.catalog.slsa.sa.gov.au/xrecord=b3139546")</f>
        <v>https://www.catalog.slsa.sa.gov.au/xrecord=b3139546</v>
      </c>
      <c r="D4267" t="s">
        <v>13649</v>
      </c>
      <c r="E4267" t="s">
        <v>13776</v>
      </c>
      <c r="F4267" t="s">
        <v>14315</v>
      </c>
      <c r="G4267" t="s">
        <v>14429</v>
      </c>
      <c r="H4267" t="s">
        <v>12918</v>
      </c>
      <c r="I4267" t="s">
        <v>12921</v>
      </c>
      <c r="J4267" t="s">
        <v>12922</v>
      </c>
      <c r="K4267" s="2" t="str">
        <f>HYPERLINK("http://collections.slsa.sa.gov.au/resource/PRG+1718/1/32")</f>
        <v>http://collections.slsa.sa.gov.au/resource/PRG+1718/1/32</v>
      </c>
    </row>
    <row r="4268" spans="1:11" x14ac:dyDescent="0.25">
      <c r="A4268" t="s">
        <v>14440</v>
      </c>
      <c r="B4268" s="1" t="str">
        <f>HYPERLINK("https://www.catalog.slsa.sa.gov.au/record=b3139547")</f>
        <v>https://www.catalog.slsa.sa.gov.au/record=b3139547</v>
      </c>
      <c r="C4268" s="1" t="str">
        <f>HYPERLINK("https://www.catalog.slsa.sa.gov.au/xrecord=b3139547")</f>
        <v>https://www.catalog.slsa.sa.gov.au/xrecord=b3139547</v>
      </c>
      <c r="D4268" t="s">
        <v>13649</v>
      </c>
      <c r="E4268" t="s">
        <v>13776</v>
      </c>
      <c r="F4268" t="s">
        <v>14315</v>
      </c>
      <c r="G4268" t="s">
        <v>14441</v>
      </c>
      <c r="H4268" t="s">
        <v>12918</v>
      </c>
      <c r="I4268" t="s">
        <v>12921</v>
      </c>
      <c r="J4268" t="s">
        <v>12922</v>
      </c>
      <c r="K4268" s="2" t="str">
        <f>HYPERLINK("http://collections.slsa.sa.gov.au/resource/PRG+1718/1/33")</f>
        <v>http://collections.slsa.sa.gov.au/resource/PRG+1718/1/33</v>
      </c>
    </row>
    <row r="4269" spans="1:11" x14ac:dyDescent="0.25">
      <c r="A4269" t="s">
        <v>14442</v>
      </c>
      <c r="B4269" s="1" t="str">
        <f>HYPERLINK("https://www.catalog.slsa.sa.gov.au/record=b3139548")</f>
        <v>https://www.catalog.slsa.sa.gov.au/record=b3139548</v>
      </c>
      <c r="C4269" s="1" t="str">
        <f>HYPERLINK("https://www.catalog.slsa.sa.gov.au/xrecord=b3139548")</f>
        <v>https://www.catalog.slsa.sa.gov.au/xrecord=b3139548</v>
      </c>
      <c r="D4269" t="s">
        <v>13649</v>
      </c>
      <c r="E4269" t="s">
        <v>13776</v>
      </c>
      <c r="F4269" t="s">
        <v>14315</v>
      </c>
      <c r="G4269" t="s">
        <v>14427</v>
      </c>
      <c r="H4269" t="s">
        <v>12918</v>
      </c>
      <c r="I4269" t="s">
        <v>12921</v>
      </c>
      <c r="J4269" t="s">
        <v>12922</v>
      </c>
      <c r="K4269" s="2" t="str">
        <f>HYPERLINK("http://collections.slsa.sa.gov.au/resource/PRG+1718/1/34")</f>
        <v>http://collections.slsa.sa.gov.au/resource/PRG+1718/1/34</v>
      </c>
    </row>
    <row r="4270" spans="1:11" x14ac:dyDescent="0.25">
      <c r="A4270" t="s">
        <v>14443</v>
      </c>
      <c r="B4270" s="1" t="str">
        <f>HYPERLINK("https://www.catalog.slsa.sa.gov.au/record=b3139549")</f>
        <v>https://www.catalog.slsa.sa.gov.au/record=b3139549</v>
      </c>
      <c r="C4270" s="1" t="str">
        <f>HYPERLINK("https://www.catalog.slsa.sa.gov.au/xrecord=b3139549")</f>
        <v>https://www.catalog.slsa.sa.gov.au/xrecord=b3139549</v>
      </c>
      <c r="D4270" t="s">
        <v>13649</v>
      </c>
      <c r="E4270" t="s">
        <v>13776</v>
      </c>
      <c r="F4270" t="s">
        <v>14315</v>
      </c>
      <c r="G4270" t="s">
        <v>14431</v>
      </c>
      <c r="H4270" t="s">
        <v>12918</v>
      </c>
      <c r="I4270" t="s">
        <v>12921</v>
      </c>
      <c r="J4270" t="s">
        <v>12922</v>
      </c>
      <c r="K4270" s="2" t="str">
        <f>HYPERLINK("http://collections.slsa.sa.gov.au/resource/PRG+1718/1/35")</f>
        <v>http://collections.slsa.sa.gov.au/resource/PRG+1718/1/35</v>
      </c>
    </row>
    <row r="4271" spans="1:11" x14ac:dyDescent="0.25">
      <c r="A4271" t="s">
        <v>14444</v>
      </c>
      <c r="B4271" s="1" t="str">
        <f>HYPERLINK("https://www.catalog.slsa.sa.gov.au/record=b3139550")</f>
        <v>https://www.catalog.slsa.sa.gov.au/record=b3139550</v>
      </c>
      <c r="C4271" s="1" t="str">
        <f>HYPERLINK("https://www.catalog.slsa.sa.gov.au/xrecord=b3139550")</f>
        <v>https://www.catalog.slsa.sa.gov.au/xrecord=b3139550</v>
      </c>
      <c r="D4271" t="s">
        <v>13649</v>
      </c>
      <c r="E4271" t="s">
        <v>13776</v>
      </c>
      <c r="F4271" t="s">
        <v>14315</v>
      </c>
      <c r="G4271" t="s">
        <v>14445</v>
      </c>
      <c r="H4271" t="s">
        <v>12918</v>
      </c>
      <c r="I4271" t="s">
        <v>12921</v>
      </c>
      <c r="J4271" t="s">
        <v>12922</v>
      </c>
      <c r="K4271" s="2" t="str">
        <f>HYPERLINK("http://collections.slsa.sa.gov.au/resource/PRG+1718/1/36")</f>
        <v>http://collections.slsa.sa.gov.au/resource/PRG+1718/1/36</v>
      </c>
    </row>
    <row r="4272" spans="1:11" x14ac:dyDescent="0.25">
      <c r="A4272" t="s">
        <v>14446</v>
      </c>
      <c r="B4272" s="1" t="str">
        <f>HYPERLINK("https://www.catalog.slsa.sa.gov.au/record=b3139551")</f>
        <v>https://www.catalog.slsa.sa.gov.au/record=b3139551</v>
      </c>
      <c r="C4272" s="1" t="str">
        <f>HYPERLINK("https://www.catalog.slsa.sa.gov.au/xrecord=b3139551")</f>
        <v>https://www.catalog.slsa.sa.gov.au/xrecord=b3139551</v>
      </c>
      <c r="D4272" t="s">
        <v>13649</v>
      </c>
      <c r="E4272" t="s">
        <v>13776</v>
      </c>
      <c r="F4272" t="s">
        <v>14315</v>
      </c>
      <c r="G4272" t="s">
        <v>14447</v>
      </c>
      <c r="H4272" t="s">
        <v>12918</v>
      </c>
      <c r="I4272" t="s">
        <v>12921</v>
      </c>
      <c r="J4272" t="s">
        <v>12922</v>
      </c>
      <c r="K4272" s="2" t="str">
        <f>HYPERLINK("http://collections.slsa.sa.gov.au/resource/PRG+1718/1/37")</f>
        <v>http://collections.slsa.sa.gov.au/resource/PRG+1718/1/37</v>
      </c>
    </row>
    <row r="4273" spans="1:11" x14ac:dyDescent="0.25">
      <c r="A4273" t="s">
        <v>14448</v>
      </c>
      <c r="B4273" s="1" t="str">
        <f>HYPERLINK("https://www.catalog.slsa.sa.gov.au/record=b3139552")</f>
        <v>https://www.catalog.slsa.sa.gov.au/record=b3139552</v>
      </c>
      <c r="C4273" s="1" t="str">
        <f>HYPERLINK("https://www.catalog.slsa.sa.gov.au/xrecord=b3139552")</f>
        <v>https://www.catalog.slsa.sa.gov.au/xrecord=b3139552</v>
      </c>
      <c r="D4273" t="s">
        <v>13649</v>
      </c>
      <c r="E4273" t="s">
        <v>13776</v>
      </c>
      <c r="F4273" t="s">
        <v>14315</v>
      </c>
      <c r="G4273" t="s">
        <v>14429</v>
      </c>
      <c r="H4273" t="s">
        <v>12918</v>
      </c>
      <c r="I4273" t="s">
        <v>12921</v>
      </c>
      <c r="J4273" t="s">
        <v>12922</v>
      </c>
      <c r="K4273" s="2" t="str">
        <f>HYPERLINK("http://collections.slsa.sa.gov.au/resource/PRG+1718/1/38")</f>
        <v>http://collections.slsa.sa.gov.au/resource/PRG+1718/1/38</v>
      </c>
    </row>
    <row r="4274" spans="1:11" x14ac:dyDescent="0.25">
      <c r="A4274" t="s">
        <v>14449</v>
      </c>
      <c r="B4274" s="1" t="str">
        <f>HYPERLINK("https://www.catalog.slsa.sa.gov.au/record=b3139553")</f>
        <v>https://www.catalog.slsa.sa.gov.au/record=b3139553</v>
      </c>
      <c r="C4274" s="1" t="str">
        <f>HYPERLINK("https://www.catalog.slsa.sa.gov.au/xrecord=b3139553")</f>
        <v>https://www.catalog.slsa.sa.gov.au/xrecord=b3139553</v>
      </c>
      <c r="D4274" t="s">
        <v>13649</v>
      </c>
      <c r="E4274" t="s">
        <v>13776</v>
      </c>
      <c r="F4274" t="s">
        <v>14315</v>
      </c>
      <c r="G4274" t="s">
        <v>14450</v>
      </c>
      <c r="H4274" t="s">
        <v>12918</v>
      </c>
      <c r="I4274" t="s">
        <v>12921</v>
      </c>
      <c r="J4274" t="s">
        <v>12922</v>
      </c>
      <c r="K4274" s="2" t="str">
        <f>HYPERLINK("http://collections.slsa.sa.gov.au/resource/PRG+1718/1/39")</f>
        <v>http://collections.slsa.sa.gov.au/resource/PRG+1718/1/39</v>
      </c>
    </row>
    <row r="4275" spans="1:11" x14ac:dyDescent="0.25">
      <c r="A4275" t="s">
        <v>14451</v>
      </c>
      <c r="B4275" s="1" t="str">
        <f>HYPERLINK("https://www.catalog.slsa.sa.gov.au/record=b3139554")</f>
        <v>https://www.catalog.slsa.sa.gov.au/record=b3139554</v>
      </c>
      <c r="C4275" s="1" t="str">
        <f>HYPERLINK("https://www.catalog.slsa.sa.gov.au/xrecord=b3139554")</f>
        <v>https://www.catalog.slsa.sa.gov.au/xrecord=b3139554</v>
      </c>
      <c r="D4275" t="s">
        <v>13649</v>
      </c>
      <c r="E4275" t="s">
        <v>13776</v>
      </c>
      <c r="F4275" t="s">
        <v>14315</v>
      </c>
      <c r="G4275" t="s">
        <v>14452</v>
      </c>
      <c r="H4275" t="s">
        <v>12918</v>
      </c>
      <c r="I4275" t="s">
        <v>12921</v>
      </c>
      <c r="J4275" t="s">
        <v>12922</v>
      </c>
      <c r="K4275" s="2" t="str">
        <f>HYPERLINK("http://collections.slsa.sa.gov.au/resource/PRG+1718/1/40")</f>
        <v>http://collections.slsa.sa.gov.au/resource/PRG+1718/1/40</v>
      </c>
    </row>
    <row r="4276" spans="1:11" x14ac:dyDescent="0.25">
      <c r="A4276" t="s">
        <v>14453</v>
      </c>
      <c r="B4276" s="1" t="str">
        <f>HYPERLINK("https://www.catalog.slsa.sa.gov.au/record=b3139555")</f>
        <v>https://www.catalog.slsa.sa.gov.au/record=b3139555</v>
      </c>
      <c r="C4276" s="1" t="str">
        <f>HYPERLINK("https://www.catalog.slsa.sa.gov.au/xrecord=b3139555")</f>
        <v>https://www.catalog.slsa.sa.gov.au/xrecord=b3139555</v>
      </c>
      <c r="D4276" t="s">
        <v>13649</v>
      </c>
      <c r="E4276" t="s">
        <v>13776</v>
      </c>
      <c r="F4276" t="s">
        <v>14315</v>
      </c>
      <c r="G4276" t="s">
        <v>14454</v>
      </c>
      <c r="H4276" t="s">
        <v>12918</v>
      </c>
      <c r="I4276" t="s">
        <v>12921</v>
      </c>
      <c r="J4276" t="s">
        <v>12922</v>
      </c>
      <c r="K4276" s="2" t="str">
        <f>HYPERLINK("http://collections.slsa.sa.gov.au/resource/PRG+1718/1/41")</f>
        <v>http://collections.slsa.sa.gov.au/resource/PRG+1718/1/41</v>
      </c>
    </row>
    <row r="4277" spans="1:11" x14ac:dyDescent="0.25">
      <c r="A4277" t="s">
        <v>14455</v>
      </c>
      <c r="B4277" s="1" t="str">
        <f>HYPERLINK("https://www.catalog.slsa.sa.gov.au/record=b3139556")</f>
        <v>https://www.catalog.slsa.sa.gov.au/record=b3139556</v>
      </c>
      <c r="C4277" s="1" t="str">
        <f>HYPERLINK("https://www.catalog.slsa.sa.gov.au/xrecord=b3139556")</f>
        <v>https://www.catalog.slsa.sa.gov.au/xrecord=b3139556</v>
      </c>
      <c r="D4277" t="s">
        <v>13649</v>
      </c>
      <c r="E4277" t="s">
        <v>13776</v>
      </c>
      <c r="F4277" t="s">
        <v>14315</v>
      </c>
      <c r="G4277" t="s">
        <v>14456</v>
      </c>
      <c r="H4277" t="s">
        <v>12918</v>
      </c>
      <c r="I4277" t="s">
        <v>12921</v>
      </c>
      <c r="J4277" t="s">
        <v>12922</v>
      </c>
      <c r="K4277" s="2" t="str">
        <f>HYPERLINK("http://collections.slsa.sa.gov.au/resource/PRG+1718/1/42")</f>
        <v>http://collections.slsa.sa.gov.au/resource/PRG+1718/1/42</v>
      </c>
    </row>
    <row r="4278" spans="1:11" x14ac:dyDescent="0.25">
      <c r="A4278" t="s">
        <v>14457</v>
      </c>
      <c r="B4278" s="1" t="str">
        <f>HYPERLINK("https://www.catalog.slsa.sa.gov.au/record=b3139558")</f>
        <v>https://www.catalog.slsa.sa.gov.au/record=b3139558</v>
      </c>
      <c r="C4278" s="1" t="str">
        <f>HYPERLINK("https://www.catalog.slsa.sa.gov.au/xrecord=b3139558")</f>
        <v>https://www.catalog.slsa.sa.gov.au/xrecord=b3139558</v>
      </c>
      <c r="D4278" t="s">
        <v>13649</v>
      </c>
      <c r="E4278" t="s">
        <v>13776</v>
      </c>
      <c r="F4278" t="s">
        <v>14315</v>
      </c>
      <c r="G4278" t="s">
        <v>14458</v>
      </c>
      <c r="H4278" t="s">
        <v>12918</v>
      </c>
      <c r="I4278" t="s">
        <v>12921</v>
      </c>
      <c r="J4278" t="s">
        <v>12922</v>
      </c>
      <c r="K4278" s="2" t="str">
        <f>HYPERLINK("http://collections.slsa.sa.gov.au/resource/PRG+1718/1/43")</f>
        <v>http://collections.slsa.sa.gov.au/resource/PRG+1718/1/43</v>
      </c>
    </row>
    <row r="4279" spans="1:11" x14ac:dyDescent="0.25">
      <c r="A4279" t="s">
        <v>14459</v>
      </c>
      <c r="B4279" s="1" t="str">
        <f>HYPERLINK("https://www.catalog.slsa.sa.gov.au/record=b3139559")</f>
        <v>https://www.catalog.slsa.sa.gov.au/record=b3139559</v>
      </c>
      <c r="C4279" s="1" t="str">
        <f>HYPERLINK("https://www.catalog.slsa.sa.gov.au/xrecord=b3139559")</f>
        <v>https://www.catalog.slsa.sa.gov.au/xrecord=b3139559</v>
      </c>
      <c r="D4279" t="s">
        <v>13649</v>
      </c>
      <c r="E4279" t="s">
        <v>13776</v>
      </c>
      <c r="F4279" t="s">
        <v>14315</v>
      </c>
      <c r="G4279" t="s">
        <v>14460</v>
      </c>
      <c r="H4279" t="s">
        <v>12918</v>
      </c>
      <c r="I4279" t="s">
        <v>12921</v>
      </c>
      <c r="J4279" t="s">
        <v>12922</v>
      </c>
      <c r="K4279" s="2" t="str">
        <f>HYPERLINK("http://collections.slsa.sa.gov.au/resource/PRG+1718/1/44")</f>
        <v>http://collections.slsa.sa.gov.au/resource/PRG+1718/1/44</v>
      </c>
    </row>
    <row r="4280" spans="1:11" x14ac:dyDescent="0.25">
      <c r="A4280" t="s">
        <v>14461</v>
      </c>
      <c r="B4280" s="1" t="str">
        <f>HYPERLINK("https://www.catalog.slsa.sa.gov.au/record=b3139560")</f>
        <v>https://www.catalog.slsa.sa.gov.au/record=b3139560</v>
      </c>
      <c r="C4280" s="1" t="str">
        <f>HYPERLINK("https://www.catalog.slsa.sa.gov.au/xrecord=b3139560")</f>
        <v>https://www.catalog.slsa.sa.gov.au/xrecord=b3139560</v>
      </c>
      <c r="D4280" t="s">
        <v>13649</v>
      </c>
      <c r="E4280" t="s">
        <v>13776</v>
      </c>
      <c r="F4280" t="s">
        <v>14315</v>
      </c>
      <c r="G4280" t="s">
        <v>14458</v>
      </c>
      <c r="H4280" t="s">
        <v>12918</v>
      </c>
      <c r="I4280" t="s">
        <v>12921</v>
      </c>
      <c r="J4280" t="s">
        <v>12922</v>
      </c>
      <c r="K4280" s="2" t="str">
        <f>HYPERLINK("http://collections.slsa.sa.gov.au/resource/PRG+1718/1/45")</f>
        <v>http://collections.slsa.sa.gov.au/resource/PRG+1718/1/45</v>
      </c>
    </row>
    <row r="4281" spans="1:11" x14ac:dyDescent="0.25">
      <c r="A4281" t="s">
        <v>14462</v>
      </c>
      <c r="B4281" s="1" t="str">
        <f>HYPERLINK("https://www.catalog.slsa.sa.gov.au/record=b3139581")</f>
        <v>https://www.catalog.slsa.sa.gov.au/record=b3139581</v>
      </c>
      <c r="C4281" s="1" t="str">
        <f>HYPERLINK("https://www.catalog.slsa.sa.gov.au/xrecord=b3139581")</f>
        <v>https://www.catalog.slsa.sa.gov.au/xrecord=b3139581</v>
      </c>
      <c r="D4281" t="s">
        <v>13649</v>
      </c>
      <c r="E4281" t="s">
        <v>13776</v>
      </c>
      <c r="F4281" t="s">
        <v>14315</v>
      </c>
      <c r="G4281" t="s">
        <v>14463</v>
      </c>
      <c r="H4281" t="s">
        <v>12918</v>
      </c>
      <c r="I4281" t="s">
        <v>12921</v>
      </c>
      <c r="J4281" t="s">
        <v>12922</v>
      </c>
      <c r="K4281" s="2" t="str">
        <f>HYPERLINK("http://collections.slsa.sa.gov.au/resource/PRG+1718/1/46")</f>
        <v>http://collections.slsa.sa.gov.au/resource/PRG+1718/1/46</v>
      </c>
    </row>
    <row r="4282" spans="1:11" x14ac:dyDescent="0.25">
      <c r="A4282" t="s">
        <v>14464</v>
      </c>
      <c r="B4282" s="1" t="str">
        <f>HYPERLINK("https://www.catalog.slsa.sa.gov.au/record=b3139582")</f>
        <v>https://www.catalog.slsa.sa.gov.au/record=b3139582</v>
      </c>
      <c r="C4282" s="1" t="str">
        <f>HYPERLINK("https://www.catalog.slsa.sa.gov.au/xrecord=b3139582")</f>
        <v>https://www.catalog.slsa.sa.gov.au/xrecord=b3139582</v>
      </c>
      <c r="D4282" t="s">
        <v>13649</v>
      </c>
      <c r="E4282" t="s">
        <v>13776</v>
      </c>
      <c r="F4282" t="s">
        <v>14315</v>
      </c>
      <c r="G4282" t="s">
        <v>14465</v>
      </c>
      <c r="H4282" t="s">
        <v>12918</v>
      </c>
      <c r="I4282" t="s">
        <v>12921</v>
      </c>
      <c r="J4282" t="s">
        <v>12922</v>
      </c>
      <c r="K4282" s="2" t="str">
        <f>HYPERLINK("http://collections.slsa.sa.gov.au/resource/PRG+1718/1/47")</f>
        <v>http://collections.slsa.sa.gov.au/resource/PRG+1718/1/47</v>
      </c>
    </row>
    <row r="4283" spans="1:11" x14ac:dyDescent="0.25">
      <c r="A4283" t="s">
        <v>14466</v>
      </c>
      <c r="B4283" s="1" t="str">
        <f>HYPERLINK("https://www.catalog.slsa.sa.gov.au/record=b3139583")</f>
        <v>https://www.catalog.slsa.sa.gov.au/record=b3139583</v>
      </c>
      <c r="C4283" s="1" t="str">
        <f>HYPERLINK("https://www.catalog.slsa.sa.gov.au/xrecord=b3139583")</f>
        <v>https://www.catalog.slsa.sa.gov.au/xrecord=b3139583</v>
      </c>
      <c r="D4283" t="s">
        <v>13649</v>
      </c>
      <c r="E4283" t="s">
        <v>13776</v>
      </c>
      <c r="F4283" t="s">
        <v>14315</v>
      </c>
      <c r="G4283" t="s">
        <v>14467</v>
      </c>
      <c r="H4283" t="s">
        <v>12918</v>
      </c>
      <c r="I4283" t="s">
        <v>12921</v>
      </c>
      <c r="J4283" t="s">
        <v>12922</v>
      </c>
      <c r="K4283" s="2" t="str">
        <f>HYPERLINK("http://collections.slsa.sa.gov.au/resource/PRG+1718/1/48")</f>
        <v>http://collections.slsa.sa.gov.au/resource/PRG+1718/1/48</v>
      </c>
    </row>
    <row r="4284" spans="1:11" x14ac:dyDescent="0.25">
      <c r="A4284" t="s">
        <v>14468</v>
      </c>
      <c r="B4284" s="1" t="str">
        <f>HYPERLINK("https://www.catalog.slsa.sa.gov.au/record=b3139584")</f>
        <v>https://www.catalog.slsa.sa.gov.au/record=b3139584</v>
      </c>
      <c r="C4284" s="1" t="str">
        <f>HYPERLINK("https://www.catalog.slsa.sa.gov.au/xrecord=b3139584")</f>
        <v>https://www.catalog.slsa.sa.gov.au/xrecord=b3139584</v>
      </c>
      <c r="D4284" t="s">
        <v>13649</v>
      </c>
      <c r="E4284" t="s">
        <v>13776</v>
      </c>
      <c r="F4284" t="s">
        <v>14315</v>
      </c>
      <c r="G4284" t="s">
        <v>14469</v>
      </c>
      <c r="H4284" t="s">
        <v>12918</v>
      </c>
      <c r="I4284" t="s">
        <v>12921</v>
      </c>
      <c r="J4284" t="s">
        <v>12922</v>
      </c>
      <c r="K4284" s="2" t="str">
        <f>HYPERLINK("http://collections.slsa.sa.gov.au/resource/PRG+1718/1/49")</f>
        <v>http://collections.slsa.sa.gov.au/resource/PRG+1718/1/49</v>
      </c>
    </row>
    <row r="4285" spans="1:11" x14ac:dyDescent="0.25">
      <c r="A4285" t="s">
        <v>14470</v>
      </c>
      <c r="B4285" s="1" t="str">
        <f>HYPERLINK("https://www.catalog.slsa.sa.gov.au/record=b3139585")</f>
        <v>https://www.catalog.slsa.sa.gov.au/record=b3139585</v>
      </c>
      <c r="C4285" s="1" t="str">
        <f>HYPERLINK("https://www.catalog.slsa.sa.gov.au/xrecord=b3139585")</f>
        <v>https://www.catalog.slsa.sa.gov.au/xrecord=b3139585</v>
      </c>
      <c r="D4285" t="s">
        <v>13649</v>
      </c>
      <c r="E4285" t="s">
        <v>13776</v>
      </c>
      <c r="F4285" t="s">
        <v>14315</v>
      </c>
      <c r="G4285" t="s">
        <v>14471</v>
      </c>
      <c r="H4285" t="s">
        <v>12918</v>
      </c>
      <c r="I4285" t="s">
        <v>12921</v>
      </c>
      <c r="J4285" t="s">
        <v>12922</v>
      </c>
      <c r="K4285" s="2" t="str">
        <f>HYPERLINK("http://collections.slsa.sa.gov.au/resource/PRG+1718/1/50")</f>
        <v>http://collections.slsa.sa.gov.au/resource/PRG+1718/1/50</v>
      </c>
    </row>
    <row r="4286" spans="1:11" x14ac:dyDescent="0.25">
      <c r="A4286" t="s">
        <v>14472</v>
      </c>
      <c r="B4286" s="1" t="str">
        <f>HYPERLINK("https://www.catalog.slsa.sa.gov.au/record=b3139588")</f>
        <v>https://www.catalog.slsa.sa.gov.au/record=b3139588</v>
      </c>
      <c r="C4286" s="1" t="str">
        <f>HYPERLINK("https://www.catalog.slsa.sa.gov.au/xrecord=b3139588")</f>
        <v>https://www.catalog.slsa.sa.gov.au/xrecord=b3139588</v>
      </c>
      <c r="D4286" t="s">
        <v>13649</v>
      </c>
      <c r="E4286" t="s">
        <v>13776</v>
      </c>
      <c r="F4286" t="s">
        <v>14315</v>
      </c>
      <c r="G4286" t="s">
        <v>14473</v>
      </c>
      <c r="H4286" t="s">
        <v>12918</v>
      </c>
      <c r="I4286" t="s">
        <v>12921</v>
      </c>
      <c r="J4286" t="s">
        <v>12922</v>
      </c>
      <c r="K4286" s="2" t="str">
        <f>HYPERLINK("http://collections.slsa.sa.gov.au/resource/PRG+1718/1/51")</f>
        <v>http://collections.slsa.sa.gov.au/resource/PRG+1718/1/51</v>
      </c>
    </row>
    <row r="4287" spans="1:11" x14ac:dyDescent="0.25">
      <c r="A4287" t="s">
        <v>14474</v>
      </c>
      <c r="B4287" s="1" t="str">
        <f>HYPERLINK("https://www.catalog.slsa.sa.gov.au/record=b3139590")</f>
        <v>https://www.catalog.slsa.sa.gov.au/record=b3139590</v>
      </c>
      <c r="C4287" s="1" t="str">
        <f>HYPERLINK("https://www.catalog.slsa.sa.gov.au/xrecord=b3139590")</f>
        <v>https://www.catalog.slsa.sa.gov.au/xrecord=b3139590</v>
      </c>
      <c r="D4287" t="s">
        <v>13649</v>
      </c>
      <c r="E4287" t="s">
        <v>13776</v>
      </c>
      <c r="F4287" t="s">
        <v>14315</v>
      </c>
      <c r="G4287" t="s">
        <v>14475</v>
      </c>
      <c r="H4287" t="s">
        <v>12918</v>
      </c>
      <c r="I4287" t="s">
        <v>12921</v>
      </c>
      <c r="J4287" t="s">
        <v>12922</v>
      </c>
      <c r="K4287" s="2" t="str">
        <f>HYPERLINK("http://collections.slsa.sa.gov.au/resource/PRG+1718/1/52")</f>
        <v>http://collections.slsa.sa.gov.au/resource/PRG+1718/1/52</v>
      </c>
    </row>
    <row r="4288" spans="1:11" x14ac:dyDescent="0.25">
      <c r="A4288" t="s">
        <v>14476</v>
      </c>
      <c r="B4288" s="1" t="str">
        <f>HYPERLINK("https://www.catalog.slsa.sa.gov.au/record=b3139591")</f>
        <v>https://www.catalog.slsa.sa.gov.au/record=b3139591</v>
      </c>
      <c r="C4288" s="1" t="str">
        <f>HYPERLINK("https://www.catalog.slsa.sa.gov.au/xrecord=b3139591")</f>
        <v>https://www.catalog.slsa.sa.gov.au/xrecord=b3139591</v>
      </c>
      <c r="D4288" t="s">
        <v>13649</v>
      </c>
      <c r="E4288" t="s">
        <v>13776</v>
      </c>
      <c r="F4288" t="s">
        <v>14315</v>
      </c>
      <c r="G4288" t="s">
        <v>14477</v>
      </c>
      <c r="H4288" t="s">
        <v>12918</v>
      </c>
      <c r="I4288" t="s">
        <v>12921</v>
      </c>
      <c r="J4288" t="s">
        <v>12922</v>
      </c>
      <c r="K4288" s="2" t="str">
        <f>HYPERLINK("http://collections.slsa.sa.gov.au/resource/PRG+1718/1/53")</f>
        <v>http://collections.slsa.sa.gov.au/resource/PRG+1718/1/53</v>
      </c>
    </row>
    <row r="4289" spans="1:11" x14ac:dyDescent="0.25">
      <c r="A4289" t="s">
        <v>14478</v>
      </c>
      <c r="B4289" s="1" t="str">
        <f>HYPERLINK("https://www.catalog.slsa.sa.gov.au/record=b3139592")</f>
        <v>https://www.catalog.slsa.sa.gov.au/record=b3139592</v>
      </c>
      <c r="C4289" s="1" t="str">
        <f>HYPERLINK("https://www.catalog.slsa.sa.gov.au/xrecord=b3139592")</f>
        <v>https://www.catalog.slsa.sa.gov.au/xrecord=b3139592</v>
      </c>
      <c r="D4289" t="s">
        <v>13649</v>
      </c>
      <c r="E4289" t="s">
        <v>13776</v>
      </c>
      <c r="F4289" t="s">
        <v>14315</v>
      </c>
      <c r="G4289" t="s">
        <v>14479</v>
      </c>
      <c r="H4289" t="s">
        <v>12918</v>
      </c>
      <c r="I4289" t="s">
        <v>12921</v>
      </c>
      <c r="J4289" t="s">
        <v>12922</v>
      </c>
      <c r="K4289" s="2" t="str">
        <f>HYPERLINK("http://collections.slsa.sa.gov.au/resource/PRG+1718/1/54")</f>
        <v>http://collections.slsa.sa.gov.au/resource/PRG+1718/1/54</v>
      </c>
    </row>
    <row r="4290" spans="1:11" x14ac:dyDescent="0.25">
      <c r="A4290" t="s">
        <v>14480</v>
      </c>
      <c r="B4290" s="1" t="str">
        <f>HYPERLINK("https://www.catalog.slsa.sa.gov.au/record=b3139593")</f>
        <v>https://www.catalog.slsa.sa.gov.au/record=b3139593</v>
      </c>
      <c r="C4290" s="1" t="str">
        <f>HYPERLINK("https://www.catalog.slsa.sa.gov.au/xrecord=b3139593")</f>
        <v>https://www.catalog.slsa.sa.gov.au/xrecord=b3139593</v>
      </c>
      <c r="D4290" t="s">
        <v>13649</v>
      </c>
      <c r="E4290" t="s">
        <v>13776</v>
      </c>
      <c r="F4290" t="s">
        <v>14315</v>
      </c>
      <c r="G4290" t="s">
        <v>14481</v>
      </c>
      <c r="H4290" t="s">
        <v>12918</v>
      </c>
      <c r="I4290" t="s">
        <v>12921</v>
      </c>
      <c r="J4290" t="s">
        <v>12922</v>
      </c>
      <c r="K4290" s="2" t="str">
        <f>HYPERLINK("http://collections.slsa.sa.gov.au/resource/PRG+1718/1/55")</f>
        <v>http://collections.slsa.sa.gov.au/resource/PRG+1718/1/55</v>
      </c>
    </row>
    <row r="4291" spans="1:11" x14ac:dyDescent="0.25">
      <c r="A4291" t="s">
        <v>14482</v>
      </c>
      <c r="B4291" s="1" t="str">
        <f>HYPERLINK("https://www.catalog.slsa.sa.gov.au/record=b3141968")</f>
        <v>https://www.catalog.slsa.sa.gov.au/record=b3141968</v>
      </c>
      <c r="C4291" s="1" t="str">
        <f>HYPERLINK("https://www.catalog.slsa.sa.gov.au/xrecord=b3141968")</f>
        <v>https://www.catalog.slsa.sa.gov.au/xrecord=b3141968</v>
      </c>
      <c r="D4291" t="s">
        <v>13649</v>
      </c>
      <c r="E4291" t="s">
        <v>13776</v>
      </c>
      <c r="F4291" t="s">
        <v>14315</v>
      </c>
      <c r="G4291" t="s">
        <v>14483</v>
      </c>
      <c r="H4291" t="s">
        <v>12918</v>
      </c>
      <c r="I4291" t="s">
        <v>12921</v>
      </c>
      <c r="J4291" t="s">
        <v>12922</v>
      </c>
      <c r="K4291" s="2" t="str">
        <f>HYPERLINK("http://collections.slsa.sa.gov.au/resource/PRG+1718/1/56")</f>
        <v>http://collections.slsa.sa.gov.au/resource/PRG+1718/1/56</v>
      </c>
    </row>
    <row r="4292" spans="1:11" x14ac:dyDescent="0.25">
      <c r="A4292" t="s">
        <v>14484</v>
      </c>
      <c r="B4292" s="1" t="str">
        <f>HYPERLINK("https://www.catalog.slsa.sa.gov.au/record=b3141969")</f>
        <v>https://www.catalog.slsa.sa.gov.au/record=b3141969</v>
      </c>
      <c r="C4292" s="1" t="str">
        <f>HYPERLINK("https://www.catalog.slsa.sa.gov.au/xrecord=b3141969")</f>
        <v>https://www.catalog.slsa.sa.gov.au/xrecord=b3141969</v>
      </c>
      <c r="D4292" t="s">
        <v>13649</v>
      </c>
      <c r="E4292" t="s">
        <v>13776</v>
      </c>
      <c r="F4292" t="s">
        <v>14315</v>
      </c>
      <c r="G4292" t="s">
        <v>14485</v>
      </c>
      <c r="H4292" t="s">
        <v>12918</v>
      </c>
      <c r="I4292" t="s">
        <v>12921</v>
      </c>
      <c r="J4292" t="s">
        <v>12922</v>
      </c>
      <c r="K4292" s="2" t="str">
        <f>HYPERLINK("http://collections.slsa.sa.gov.au/resource/PRG+1718/1/57")</f>
        <v>http://collections.slsa.sa.gov.au/resource/PRG+1718/1/57</v>
      </c>
    </row>
    <row r="4293" spans="1:11" x14ac:dyDescent="0.25">
      <c r="A4293" t="s">
        <v>14486</v>
      </c>
      <c r="B4293" s="1" t="str">
        <f>HYPERLINK("https://www.catalog.slsa.sa.gov.au/record=b3141971")</f>
        <v>https://www.catalog.slsa.sa.gov.au/record=b3141971</v>
      </c>
      <c r="C4293" s="1" t="str">
        <f>HYPERLINK("https://www.catalog.slsa.sa.gov.au/xrecord=b3141971")</f>
        <v>https://www.catalog.slsa.sa.gov.au/xrecord=b3141971</v>
      </c>
      <c r="D4293" t="s">
        <v>13649</v>
      </c>
      <c r="E4293" t="s">
        <v>13776</v>
      </c>
      <c r="F4293" t="s">
        <v>14315</v>
      </c>
      <c r="G4293" t="s">
        <v>14487</v>
      </c>
      <c r="H4293" t="s">
        <v>12918</v>
      </c>
      <c r="I4293" t="s">
        <v>12921</v>
      </c>
      <c r="J4293" t="s">
        <v>12922</v>
      </c>
      <c r="K4293" s="2" t="str">
        <f>HYPERLINK("http://collections.slsa.sa.gov.au/resource/PRG+1718/1/58")</f>
        <v>http://collections.slsa.sa.gov.au/resource/PRG+1718/1/58</v>
      </c>
    </row>
    <row r="4294" spans="1:11" x14ac:dyDescent="0.25">
      <c r="A4294" t="s">
        <v>14488</v>
      </c>
      <c r="B4294" s="1" t="str">
        <f>HYPERLINK("https://www.catalog.slsa.sa.gov.au/record=b3141972")</f>
        <v>https://www.catalog.slsa.sa.gov.au/record=b3141972</v>
      </c>
      <c r="C4294" s="1" t="str">
        <f>HYPERLINK("https://www.catalog.slsa.sa.gov.au/xrecord=b3141972")</f>
        <v>https://www.catalog.slsa.sa.gov.au/xrecord=b3141972</v>
      </c>
      <c r="D4294" t="s">
        <v>13649</v>
      </c>
      <c r="E4294" t="s">
        <v>13776</v>
      </c>
      <c r="F4294" t="s">
        <v>14315</v>
      </c>
      <c r="G4294" t="s">
        <v>14489</v>
      </c>
      <c r="H4294" t="s">
        <v>14490</v>
      </c>
      <c r="I4294" t="s">
        <v>12921</v>
      </c>
      <c r="J4294" t="s">
        <v>12922</v>
      </c>
      <c r="K4294" s="2" t="str">
        <f>HYPERLINK("http://collections.slsa.sa.gov.au/resource/PRG+1718/1/59")</f>
        <v>http://collections.slsa.sa.gov.au/resource/PRG+1718/1/59</v>
      </c>
    </row>
    <row r="4295" spans="1:11" x14ac:dyDescent="0.25">
      <c r="A4295" t="s">
        <v>14491</v>
      </c>
      <c r="B4295" s="1" t="str">
        <f>HYPERLINK("https://www.catalog.slsa.sa.gov.au/record=b3141973")</f>
        <v>https://www.catalog.slsa.sa.gov.au/record=b3141973</v>
      </c>
      <c r="C4295" s="1" t="str">
        <f>HYPERLINK("https://www.catalog.slsa.sa.gov.au/xrecord=b3141973")</f>
        <v>https://www.catalog.slsa.sa.gov.au/xrecord=b3141973</v>
      </c>
      <c r="D4295" t="s">
        <v>13649</v>
      </c>
      <c r="E4295" t="s">
        <v>13776</v>
      </c>
      <c r="F4295" t="s">
        <v>14315</v>
      </c>
      <c r="G4295" t="s">
        <v>14492</v>
      </c>
      <c r="H4295" t="s">
        <v>12918</v>
      </c>
      <c r="I4295" t="s">
        <v>12921</v>
      </c>
      <c r="J4295" t="s">
        <v>12922</v>
      </c>
      <c r="K4295" s="2" t="str">
        <f>HYPERLINK("http://collections.slsa.sa.gov.au/resource/PRG+1718/1/60")</f>
        <v>http://collections.slsa.sa.gov.au/resource/PRG+1718/1/60</v>
      </c>
    </row>
    <row r="4296" spans="1:11" x14ac:dyDescent="0.25">
      <c r="A4296" t="s">
        <v>14493</v>
      </c>
      <c r="B4296" s="1" t="str">
        <f>HYPERLINK("https://www.catalog.slsa.sa.gov.au/record=b3141975")</f>
        <v>https://www.catalog.slsa.sa.gov.au/record=b3141975</v>
      </c>
      <c r="C4296" s="1" t="str">
        <f>HYPERLINK("https://www.catalog.slsa.sa.gov.au/xrecord=b3141975")</f>
        <v>https://www.catalog.slsa.sa.gov.au/xrecord=b3141975</v>
      </c>
      <c r="D4296" t="s">
        <v>13649</v>
      </c>
      <c r="E4296" t="s">
        <v>13776</v>
      </c>
      <c r="F4296" t="s">
        <v>14315</v>
      </c>
      <c r="G4296" t="s">
        <v>14494</v>
      </c>
      <c r="H4296" t="s">
        <v>12918</v>
      </c>
      <c r="I4296" t="s">
        <v>12921</v>
      </c>
      <c r="J4296" t="s">
        <v>12922</v>
      </c>
      <c r="K4296" s="2" t="str">
        <f>HYPERLINK("http://collections.slsa.sa.gov.au/resource/PRG+1718/1/61")</f>
        <v>http://collections.slsa.sa.gov.au/resource/PRG+1718/1/61</v>
      </c>
    </row>
    <row r="4297" spans="1:11" x14ac:dyDescent="0.25">
      <c r="A4297" t="s">
        <v>14495</v>
      </c>
      <c r="B4297" s="1" t="str">
        <f>HYPERLINK("https://www.catalog.slsa.sa.gov.au/record=b3141976")</f>
        <v>https://www.catalog.slsa.sa.gov.au/record=b3141976</v>
      </c>
      <c r="C4297" s="1" t="str">
        <f>HYPERLINK("https://www.catalog.slsa.sa.gov.au/xrecord=b3141976")</f>
        <v>https://www.catalog.slsa.sa.gov.au/xrecord=b3141976</v>
      </c>
      <c r="D4297" t="s">
        <v>13649</v>
      </c>
      <c r="E4297" t="s">
        <v>13776</v>
      </c>
      <c r="F4297" t="s">
        <v>14315</v>
      </c>
      <c r="G4297" t="s">
        <v>14496</v>
      </c>
      <c r="H4297" t="s">
        <v>12918</v>
      </c>
      <c r="I4297" t="s">
        <v>12921</v>
      </c>
      <c r="J4297" t="s">
        <v>12922</v>
      </c>
      <c r="K4297" s="2" t="str">
        <f>HYPERLINK("http://collections.slsa.sa.gov.au/resource/PRG+1718/1/62")</f>
        <v>http://collections.slsa.sa.gov.au/resource/PRG+1718/1/62</v>
      </c>
    </row>
    <row r="4298" spans="1:11" x14ac:dyDescent="0.25">
      <c r="A4298" t="s">
        <v>14497</v>
      </c>
      <c r="B4298" s="1" t="str">
        <f>HYPERLINK("https://www.catalog.slsa.sa.gov.au/record=b3141978")</f>
        <v>https://www.catalog.slsa.sa.gov.au/record=b3141978</v>
      </c>
      <c r="C4298" s="1" t="str">
        <f>HYPERLINK("https://www.catalog.slsa.sa.gov.au/xrecord=b3141978")</f>
        <v>https://www.catalog.slsa.sa.gov.au/xrecord=b3141978</v>
      </c>
      <c r="D4298" t="s">
        <v>13649</v>
      </c>
      <c r="E4298" t="s">
        <v>13776</v>
      </c>
      <c r="F4298" t="s">
        <v>14315</v>
      </c>
      <c r="G4298" t="s">
        <v>14498</v>
      </c>
      <c r="H4298" t="s">
        <v>12918</v>
      </c>
      <c r="I4298" t="s">
        <v>12921</v>
      </c>
      <c r="J4298" t="s">
        <v>12922</v>
      </c>
      <c r="K4298" s="2" t="str">
        <f>HYPERLINK("http://collections.slsa.sa.gov.au/resource/PRG+1718/1/63")</f>
        <v>http://collections.slsa.sa.gov.au/resource/PRG+1718/1/63</v>
      </c>
    </row>
    <row r="4299" spans="1:11" x14ac:dyDescent="0.25">
      <c r="A4299" t="s">
        <v>14499</v>
      </c>
      <c r="B4299" s="1" t="str">
        <f>HYPERLINK("https://www.catalog.slsa.sa.gov.au/record=b3141979")</f>
        <v>https://www.catalog.slsa.sa.gov.au/record=b3141979</v>
      </c>
      <c r="C4299" s="1" t="str">
        <f>HYPERLINK("https://www.catalog.slsa.sa.gov.au/xrecord=b3141979")</f>
        <v>https://www.catalog.slsa.sa.gov.au/xrecord=b3141979</v>
      </c>
      <c r="D4299" t="s">
        <v>13649</v>
      </c>
      <c r="E4299" t="s">
        <v>13776</v>
      </c>
      <c r="F4299" t="s">
        <v>14315</v>
      </c>
      <c r="G4299" t="s">
        <v>14500</v>
      </c>
      <c r="H4299" t="s">
        <v>12918</v>
      </c>
      <c r="I4299" t="s">
        <v>12921</v>
      </c>
      <c r="J4299" t="s">
        <v>12922</v>
      </c>
      <c r="K4299" s="2" t="str">
        <f>HYPERLINK("http://collections.slsa.sa.gov.au/resource/PRG+1718/1/64")</f>
        <v>http://collections.slsa.sa.gov.au/resource/PRG+1718/1/64</v>
      </c>
    </row>
    <row r="4300" spans="1:11" x14ac:dyDescent="0.25">
      <c r="A4300" t="s">
        <v>14501</v>
      </c>
      <c r="B4300" s="1" t="str">
        <f>HYPERLINK("https://www.catalog.slsa.sa.gov.au/record=b3142110")</f>
        <v>https://www.catalog.slsa.sa.gov.au/record=b3142110</v>
      </c>
      <c r="C4300" s="1" t="str">
        <f>HYPERLINK("https://www.catalog.slsa.sa.gov.au/xrecord=b3142110")</f>
        <v>https://www.catalog.slsa.sa.gov.au/xrecord=b3142110</v>
      </c>
      <c r="D4300" t="s">
        <v>13649</v>
      </c>
      <c r="E4300" t="s">
        <v>13776</v>
      </c>
      <c r="F4300" t="s">
        <v>14315</v>
      </c>
      <c r="G4300" t="s">
        <v>14502</v>
      </c>
      <c r="H4300" t="s">
        <v>12918</v>
      </c>
      <c r="I4300" t="s">
        <v>12921</v>
      </c>
      <c r="J4300" t="s">
        <v>12922</v>
      </c>
      <c r="K4300" s="2" t="str">
        <f>HYPERLINK("http://collections.slsa.sa.gov.au/resource/PRG+1718/1/65")</f>
        <v>http://collections.slsa.sa.gov.au/resource/PRG+1718/1/65</v>
      </c>
    </row>
    <row r="4301" spans="1:11" x14ac:dyDescent="0.25">
      <c r="A4301" t="s">
        <v>14503</v>
      </c>
      <c r="B4301" s="1" t="str">
        <f>HYPERLINK("https://www.catalog.slsa.sa.gov.au/record=b3142113")</f>
        <v>https://www.catalog.slsa.sa.gov.au/record=b3142113</v>
      </c>
      <c r="C4301" s="1" t="str">
        <f>HYPERLINK("https://www.catalog.slsa.sa.gov.au/xrecord=b3142113")</f>
        <v>https://www.catalog.slsa.sa.gov.au/xrecord=b3142113</v>
      </c>
      <c r="D4301" t="s">
        <v>13649</v>
      </c>
      <c r="E4301" t="s">
        <v>13776</v>
      </c>
      <c r="F4301" t="s">
        <v>14315</v>
      </c>
      <c r="G4301" t="s">
        <v>14504</v>
      </c>
      <c r="H4301" t="s">
        <v>12918</v>
      </c>
      <c r="I4301" t="s">
        <v>12921</v>
      </c>
      <c r="J4301" t="s">
        <v>12922</v>
      </c>
      <c r="K4301" s="2" t="str">
        <f>HYPERLINK("http://collections.slsa.sa.gov.au/resource/PRG+1718/1/66")</f>
        <v>http://collections.slsa.sa.gov.au/resource/PRG+1718/1/66</v>
      </c>
    </row>
    <row r="4302" spans="1:11" x14ac:dyDescent="0.25">
      <c r="A4302" t="s">
        <v>14505</v>
      </c>
      <c r="B4302" s="1" t="str">
        <f>HYPERLINK("https://www.catalog.slsa.sa.gov.au/record=b3142114")</f>
        <v>https://www.catalog.slsa.sa.gov.au/record=b3142114</v>
      </c>
      <c r="C4302" s="1" t="str">
        <f>HYPERLINK("https://www.catalog.slsa.sa.gov.au/xrecord=b3142114")</f>
        <v>https://www.catalog.slsa.sa.gov.au/xrecord=b3142114</v>
      </c>
      <c r="D4302" t="s">
        <v>13649</v>
      </c>
      <c r="E4302" t="s">
        <v>13776</v>
      </c>
      <c r="F4302" t="s">
        <v>14315</v>
      </c>
      <c r="G4302" t="s">
        <v>14506</v>
      </c>
      <c r="H4302" t="s">
        <v>12918</v>
      </c>
      <c r="I4302" t="s">
        <v>12921</v>
      </c>
      <c r="J4302" t="s">
        <v>12922</v>
      </c>
      <c r="K4302" s="2" t="str">
        <f>HYPERLINK("http://collections.slsa.sa.gov.au/resource/PRG+1718/1/67")</f>
        <v>http://collections.slsa.sa.gov.au/resource/PRG+1718/1/67</v>
      </c>
    </row>
    <row r="4303" spans="1:11" x14ac:dyDescent="0.25">
      <c r="A4303" t="s">
        <v>14507</v>
      </c>
      <c r="B4303" s="1" t="str">
        <f>HYPERLINK("https://www.catalog.slsa.sa.gov.au/record=b3142116")</f>
        <v>https://www.catalog.slsa.sa.gov.au/record=b3142116</v>
      </c>
      <c r="C4303" s="1" t="str">
        <f>HYPERLINK("https://www.catalog.slsa.sa.gov.au/xrecord=b3142116")</f>
        <v>https://www.catalog.slsa.sa.gov.au/xrecord=b3142116</v>
      </c>
      <c r="D4303" t="s">
        <v>13649</v>
      </c>
      <c r="E4303" t="s">
        <v>13776</v>
      </c>
      <c r="F4303" t="s">
        <v>14315</v>
      </c>
      <c r="G4303" t="s">
        <v>14508</v>
      </c>
      <c r="H4303" t="s">
        <v>12918</v>
      </c>
      <c r="I4303" t="s">
        <v>12921</v>
      </c>
      <c r="J4303" t="s">
        <v>12922</v>
      </c>
      <c r="K4303" s="2" t="str">
        <f>HYPERLINK("http://collections.slsa.sa.gov.au/resource/PRG+1718/1/68")</f>
        <v>http://collections.slsa.sa.gov.au/resource/PRG+1718/1/68</v>
      </c>
    </row>
    <row r="4304" spans="1:11" x14ac:dyDescent="0.25">
      <c r="A4304" t="s">
        <v>14509</v>
      </c>
      <c r="B4304" s="1" t="str">
        <f>HYPERLINK("https://www.catalog.slsa.sa.gov.au/record=b3142118")</f>
        <v>https://www.catalog.slsa.sa.gov.au/record=b3142118</v>
      </c>
      <c r="C4304" s="1" t="str">
        <f>HYPERLINK("https://www.catalog.slsa.sa.gov.au/xrecord=b3142118")</f>
        <v>https://www.catalog.slsa.sa.gov.au/xrecord=b3142118</v>
      </c>
      <c r="D4304" t="s">
        <v>13649</v>
      </c>
      <c r="E4304" t="s">
        <v>13776</v>
      </c>
      <c r="F4304" t="s">
        <v>14315</v>
      </c>
      <c r="G4304" t="s">
        <v>14510</v>
      </c>
      <c r="H4304" t="s">
        <v>12918</v>
      </c>
      <c r="I4304" t="s">
        <v>12921</v>
      </c>
      <c r="J4304" t="s">
        <v>12922</v>
      </c>
      <c r="K4304" s="2" t="str">
        <f>HYPERLINK("http://collections.slsa.sa.gov.au/resource/PRG+1718/1/69")</f>
        <v>http://collections.slsa.sa.gov.au/resource/PRG+1718/1/69</v>
      </c>
    </row>
    <row r="4305" spans="1:11" x14ac:dyDescent="0.25">
      <c r="A4305" t="s">
        <v>14511</v>
      </c>
      <c r="B4305" s="1" t="str">
        <f>HYPERLINK("https://www.catalog.slsa.sa.gov.au/record=b3142121")</f>
        <v>https://www.catalog.slsa.sa.gov.au/record=b3142121</v>
      </c>
      <c r="C4305" s="1" t="str">
        <f>HYPERLINK("https://www.catalog.slsa.sa.gov.au/xrecord=b3142121")</f>
        <v>https://www.catalog.slsa.sa.gov.au/xrecord=b3142121</v>
      </c>
      <c r="D4305" t="s">
        <v>13649</v>
      </c>
      <c r="E4305" t="s">
        <v>13776</v>
      </c>
      <c r="F4305" t="s">
        <v>14315</v>
      </c>
      <c r="G4305" t="s">
        <v>14512</v>
      </c>
      <c r="H4305" t="s">
        <v>12918</v>
      </c>
      <c r="I4305" t="s">
        <v>12921</v>
      </c>
      <c r="J4305" t="s">
        <v>12922</v>
      </c>
      <c r="K4305" s="2" t="str">
        <f>HYPERLINK("http://collections.slsa.sa.gov.au/resource/PRG+1718/1/70")</f>
        <v>http://collections.slsa.sa.gov.au/resource/PRG+1718/1/70</v>
      </c>
    </row>
    <row r="4306" spans="1:11" x14ac:dyDescent="0.25">
      <c r="A4306" t="s">
        <v>14513</v>
      </c>
      <c r="B4306" s="1" t="str">
        <f>HYPERLINK("https://www.catalog.slsa.sa.gov.au/record=b3142122")</f>
        <v>https://www.catalog.slsa.sa.gov.au/record=b3142122</v>
      </c>
      <c r="C4306" s="1" t="str">
        <f>HYPERLINK("https://www.catalog.slsa.sa.gov.au/xrecord=b3142122")</f>
        <v>https://www.catalog.slsa.sa.gov.au/xrecord=b3142122</v>
      </c>
      <c r="D4306" t="s">
        <v>13649</v>
      </c>
      <c r="E4306" t="s">
        <v>13776</v>
      </c>
      <c r="F4306" t="s">
        <v>14315</v>
      </c>
      <c r="G4306" t="s">
        <v>14514</v>
      </c>
      <c r="H4306" t="s">
        <v>12918</v>
      </c>
      <c r="I4306" t="s">
        <v>12921</v>
      </c>
      <c r="J4306" t="s">
        <v>12922</v>
      </c>
      <c r="K4306" s="2" t="str">
        <f>HYPERLINK("http://collections.slsa.sa.gov.au/resource/PRG+1718/1/71")</f>
        <v>http://collections.slsa.sa.gov.au/resource/PRG+1718/1/71</v>
      </c>
    </row>
    <row r="4307" spans="1:11" x14ac:dyDescent="0.25">
      <c r="A4307" t="s">
        <v>14515</v>
      </c>
      <c r="B4307" s="1" t="str">
        <f>HYPERLINK("https://www.catalog.slsa.sa.gov.au/record=b3142123")</f>
        <v>https://www.catalog.slsa.sa.gov.au/record=b3142123</v>
      </c>
      <c r="C4307" s="1" t="str">
        <f>HYPERLINK("https://www.catalog.slsa.sa.gov.au/xrecord=b3142123")</f>
        <v>https://www.catalog.slsa.sa.gov.au/xrecord=b3142123</v>
      </c>
      <c r="D4307" t="s">
        <v>13649</v>
      </c>
      <c r="E4307" t="s">
        <v>13776</v>
      </c>
      <c r="F4307" t="s">
        <v>14315</v>
      </c>
      <c r="G4307" t="s">
        <v>14516</v>
      </c>
      <c r="H4307" t="s">
        <v>12918</v>
      </c>
      <c r="I4307" t="s">
        <v>12921</v>
      </c>
      <c r="J4307" t="s">
        <v>12922</v>
      </c>
      <c r="K4307" s="2" t="str">
        <f>HYPERLINK("http://collections.slsa.sa.gov.au/resource/PRG+1718/1/72")</f>
        <v>http://collections.slsa.sa.gov.au/resource/PRG+1718/1/72</v>
      </c>
    </row>
    <row r="4308" spans="1:11" x14ac:dyDescent="0.25">
      <c r="A4308" t="s">
        <v>14517</v>
      </c>
      <c r="B4308" s="1" t="str">
        <f>HYPERLINK("https://www.catalog.slsa.sa.gov.au/record=b3142124")</f>
        <v>https://www.catalog.slsa.sa.gov.au/record=b3142124</v>
      </c>
      <c r="C4308" s="1" t="str">
        <f>HYPERLINK("https://www.catalog.slsa.sa.gov.au/xrecord=b3142124")</f>
        <v>https://www.catalog.slsa.sa.gov.au/xrecord=b3142124</v>
      </c>
      <c r="D4308" t="s">
        <v>13649</v>
      </c>
      <c r="E4308" t="s">
        <v>13776</v>
      </c>
      <c r="F4308" t="s">
        <v>14315</v>
      </c>
      <c r="G4308" t="s">
        <v>14518</v>
      </c>
      <c r="H4308" t="s">
        <v>12918</v>
      </c>
      <c r="I4308" t="s">
        <v>12921</v>
      </c>
      <c r="J4308" t="s">
        <v>12922</v>
      </c>
      <c r="K4308" s="2" t="str">
        <f>HYPERLINK("http://collections.slsa.sa.gov.au/resource/PRG+1718/1/73")</f>
        <v>http://collections.slsa.sa.gov.au/resource/PRG+1718/1/73</v>
      </c>
    </row>
    <row r="4309" spans="1:11" x14ac:dyDescent="0.25">
      <c r="A4309" t="s">
        <v>14519</v>
      </c>
      <c r="B4309" s="1" t="str">
        <f>HYPERLINK("https://www.catalog.slsa.sa.gov.au/record=b3142125")</f>
        <v>https://www.catalog.slsa.sa.gov.au/record=b3142125</v>
      </c>
      <c r="C4309" s="1" t="str">
        <f>HYPERLINK("https://www.catalog.slsa.sa.gov.au/xrecord=b3142125")</f>
        <v>https://www.catalog.slsa.sa.gov.au/xrecord=b3142125</v>
      </c>
      <c r="D4309" t="s">
        <v>13649</v>
      </c>
      <c r="E4309" t="s">
        <v>13776</v>
      </c>
      <c r="F4309" t="s">
        <v>14315</v>
      </c>
      <c r="G4309" t="s">
        <v>14520</v>
      </c>
      <c r="H4309" t="s">
        <v>12918</v>
      </c>
      <c r="I4309" t="s">
        <v>12921</v>
      </c>
      <c r="J4309" t="s">
        <v>12922</v>
      </c>
      <c r="K4309" s="2" t="str">
        <f>HYPERLINK("http://collections.slsa.sa.gov.au/resource/PRG+1718/1/74")</f>
        <v>http://collections.slsa.sa.gov.au/resource/PRG+1718/1/74</v>
      </c>
    </row>
    <row r="4310" spans="1:11" x14ac:dyDescent="0.25">
      <c r="A4310" t="s">
        <v>14521</v>
      </c>
      <c r="B4310" s="1" t="str">
        <f>HYPERLINK("https://www.catalog.slsa.sa.gov.au/record=b3142127")</f>
        <v>https://www.catalog.slsa.sa.gov.au/record=b3142127</v>
      </c>
      <c r="C4310" s="1" t="str">
        <f>HYPERLINK("https://www.catalog.slsa.sa.gov.au/xrecord=b3142127")</f>
        <v>https://www.catalog.slsa.sa.gov.au/xrecord=b3142127</v>
      </c>
      <c r="D4310" t="s">
        <v>13649</v>
      </c>
      <c r="E4310" t="s">
        <v>13776</v>
      </c>
      <c r="F4310" t="s">
        <v>14315</v>
      </c>
      <c r="G4310" t="s">
        <v>14522</v>
      </c>
      <c r="H4310" t="s">
        <v>12918</v>
      </c>
      <c r="I4310" t="s">
        <v>12921</v>
      </c>
      <c r="J4310" t="s">
        <v>12922</v>
      </c>
      <c r="K4310" s="2" t="str">
        <f>HYPERLINK("http://collections.slsa.sa.gov.au/resource/PRG+1718/1/75")</f>
        <v>http://collections.slsa.sa.gov.au/resource/PRG+1718/1/75</v>
      </c>
    </row>
    <row r="4311" spans="1:11" x14ac:dyDescent="0.25">
      <c r="A4311" t="s">
        <v>14523</v>
      </c>
      <c r="B4311" s="1" t="str">
        <f>HYPERLINK("https://www.catalog.slsa.sa.gov.au/record=b3142129")</f>
        <v>https://www.catalog.slsa.sa.gov.au/record=b3142129</v>
      </c>
      <c r="C4311" s="1" t="str">
        <f>HYPERLINK("https://www.catalog.slsa.sa.gov.au/xrecord=b3142129")</f>
        <v>https://www.catalog.slsa.sa.gov.au/xrecord=b3142129</v>
      </c>
      <c r="D4311" t="s">
        <v>13649</v>
      </c>
      <c r="E4311" t="s">
        <v>13776</v>
      </c>
      <c r="F4311" t="s">
        <v>14315</v>
      </c>
      <c r="G4311" t="s">
        <v>14524</v>
      </c>
      <c r="H4311" t="s">
        <v>12918</v>
      </c>
      <c r="I4311" t="s">
        <v>12921</v>
      </c>
      <c r="J4311" t="s">
        <v>12922</v>
      </c>
      <c r="K4311" s="2" t="str">
        <f>HYPERLINK("http://collections.slsa.sa.gov.au/resource/PRG+1718/1/76")</f>
        <v>http://collections.slsa.sa.gov.au/resource/PRG+1718/1/76</v>
      </c>
    </row>
    <row r="4312" spans="1:11" x14ac:dyDescent="0.25">
      <c r="A4312" t="s">
        <v>14525</v>
      </c>
      <c r="B4312" s="1" t="str">
        <f>HYPERLINK("https://www.catalog.slsa.sa.gov.au/record=b3142130")</f>
        <v>https://www.catalog.slsa.sa.gov.au/record=b3142130</v>
      </c>
      <c r="C4312" s="1" t="str">
        <f>HYPERLINK("https://www.catalog.slsa.sa.gov.au/xrecord=b3142130")</f>
        <v>https://www.catalog.slsa.sa.gov.au/xrecord=b3142130</v>
      </c>
      <c r="D4312" t="s">
        <v>13649</v>
      </c>
      <c r="E4312" t="s">
        <v>13776</v>
      </c>
      <c r="F4312" t="s">
        <v>14315</v>
      </c>
      <c r="G4312" t="s">
        <v>14526</v>
      </c>
      <c r="H4312" t="s">
        <v>12918</v>
      </c>
      <c r="I4312" t="s">
        <v>12921</v>
      </c>
      <c r="J4312" t="s">
        <v>12922</v>
      </c>
      <c r="K4312" s="2" t="str">
        <f>HYPERLINK("http://collections.slsa.sa.gov.au/resource/PRG+1718/1/77")</f>
        <v>http://collections.slsa.sa.gov.au/resource/PRG+1718/1/77</v>
      </c>
    </row>
    <row r="4313" spans="1:11" x14ac:dyDescent="0.25">
      <c r="A4313" t="s">
        <v>14527</v>
      </c>
      <c r="B4313" s="1" t="str">
        <f>HYPERLINK("https://www.catalog.slsa.sa.gov.au/record=b3142131")</f>
        <v>https://www.catalog.slsa.sa.gov.au/record=b3142131</v>
      </c>
      <c r="C4313" s="1" t="str">
        <f>HYPERLINK("https://www.catalog.slsa.sa.gov.au/xrecord=b3142131")</f>
        <v>https://www.catalog.slsa.sa.gov.au/xrecord=b3142131</v>
      </c>
      <c r="D4313" t="s">
        <v>13649</v>
      </c>
      <c r="E4313" t="s">
        <v>13776</v>
      </c>
      <c r="F4313" t="s">
        <v>14315</v>
      </c>
      <c r="G4313" t="s">
        <v>14528</v>
      </c>
      <c r="H4313" t="s">
        <v>12918</v>
      </c>
      <c r="I4313" t="s">
        <v>12921</v>
      </c>
      <c r="J4313" t="s">
        <v>12922</v>
      </c>
      <c r="K4313" s="2" t="str">
        <f>HYPERLINK("http://collections.slsa.sa.gov.au/resource/PRG+1718/1/78")</f>
        <v>http://collections.slsa.sa.gov.au/resource/PRG+1718/1/78</v>
      </c>
    </row>
    <row r="4314" spans="1:11" x14ac:dyDescent="0.25">
      <c r="A4314" t="s">
        <v>14529</v>
      </c>
      <c r="B4314" s="1" t="str">
        <f>HYPERLINK("https://www.catalog.slsa.sa.gov.au/record=b3142138")</f>
        <v>https://www.catalog.slsa.sa.gov.au/record=b3142138</v>
      </c>
      <c r="C4314" s="1" t="str">
        <f>HYPERLINK("https://www.catalog.slsa.sa.gov.au/xrecord=b3142138")</f>
        <v>https://www.catalog.slsa.sa.gov.au/xrecord=b3142138</v>
      </c>
      <c r="D4314" t="s">
        <v>13649</v>
      </c>
      <c r="E4314" t="s">
        <v>13776</v>
      </c>
      <c r="F4314" t="s">
        <v>14315</v>
      </c>
      <c r="G4314" t="s">
        <v>14530</v>
      </c>
      <c r="H4314" t="s">
        <v>12918</v>
      </c>
      <c r="I4314" t="s">
        <v>12921</v>
      </c>
      <c r="J4314" t="s">
        <v>12922</v>
      </c>
      <c r="K4314" s="2" t="str">
        <f>HYPERLINK("http://collections.slsa.sa.gov.au/resource/PRG+1718/1/79")</f>
        <v>http://collections.slsa.sa.gov.au/resource/PRG+1718/1/79</v>
      </c>
    </row>
    <row r="4315" spans="1:11" x14ac:dyDescent="0.25">
      <c r="A4315" t="s">
        <v>14531</v>
      </c>
      <c r="B4315" s="1" t="str">
        <f>HYPERLINK("https://www.catalog.slsa.sa.gov.au/record=b3142139")</f>
        <v>https://www.catalog.slsa.sa.gov.au/record=b3142139</v>
      </c>
      <c r="C4315" s="1" t="str">
        <f>HYPERLINK("https://www.catalog.slsa.sa.gov.au/xrecord=b3142139")</f>
        <v>https://www.catalog.slsa.sa.gov.au/xrecord=b3142139</v>
      </c>
      <c r="D4315" t="s">
        <v>13649</v>
      </c>
      <c r="E4315" t="s">
        <v>13776</v>
      </c>
      <c r="F4315" t="s">
        <v>14315</v>
      </c>
      <c r="G4315" t="s">
        <v>14532</v>
      </c>
      <c r="H4315" t="s">
        <v>12918</v>
      </c>
      <c r="I4315" t="s">
        <v>12921</v>
      </c>
      <c r="J4315" t="s">
        <v>12922</v>
      </c>
      <c r="K4315" s="2" t="str">
        <f>HYPERLINK("http://collections.slsa.sa.gov.au/resource/PRG+1718/1/80")</f>
        <v>http://collections.slsa.sa.gov.au/resource/PRG+1718/1/80</v>
      </c>
    </row>
    <row r="4316" spans="1:11" x14ac:dyDescent="0.25">
      <c r="A4316" t="s">
        <v>14533</v>
      </c>
      <c r="B4316" s="1" t="str">
        <f>HYPERLINK("https://www.catalog.slsa.sa.gov.au/record=b3142140")</f>
        <v>https://www.catalog.slsa.sa.gov.au/record=b3142140</v>
      </c>
      <c r="C4316" s="1" t="str">
        <f>HYPERLINK("https://www.catalog.slsa.sa.gov.au/xrecord=b3142140")</f>
        <v>https://www.catalog.slsa.sa.gov.au/xrecord=b3142140</v>
      </c>
      <c r="D4316" t="s">
        <v>13649</v>
      </c>
      <c r="E4316" t="s">
        <v>13776</v>
      </c>
      <c r="F4316" t="s">
        <v>14315</v>
      </c>
      <c r="G4316" t="s">
        <v>14534</v>
      </c>
      <c r="H4316" t="s">
        <v>12918</v>
      </c>
      <c r="I4316" t="s">
        <v>12921</v>
      </c>
      <c r="J4316" t="s">
        <v>12922</v>
      </c>
      <c r="K4316" s="2" t="str">
        <f>HYPERLINK("http://collections.slsa.sa.gov.au/resource/PRG+1718/1/81")</f>
        <v>http://collections.slsa.sa.gov.au/resource/PRG+1718/1/81</v>
      </c>
    </row>
    <row r="4317" spans="1:11" x14ac:dyDescent="0.25">
      <c r="A4317" t="s">
        <v>14535</v>
      </c>
      <c r="B4317" s="1" t="str">
        <f>HYPERLINK("https://www.catalog.slsa.sa.gov.au/record=b3145490")</f>
        <v>https://www.catalog.slsa.sa.gov.au/record=b3145490</v>
      </c>
      <c r="C4317" s="1" t="str">
        <f>HYPERLINK("https://www.catalog.slsa.sa.gov.au/xrecord=b3145490")</f>
        <v>https://www.catalog.slsa.sa.gov.au/xrecord=b3145490</v>
      </c>
      <c r="D4317" t="s">
        <v>13649</v>
      </c>
      <c r="E4317" t="s">
        <v>13776</v>
      </c>
      <c r="F4317" t="s">
        <v>14315</v>
      </c>
      <c r="G4317" t="s">
        <v>14536</v>
      </c>
      <c r="H4317" t="s">
        <v>12918</v>
      </c>
      <c r="I4317" t="s">
        <v>12921</v>
      </c>
      <c r="J4317" t="s">
        <v>12922</v>
      </c>
      <c r="K4317" s="2" t="str">
        <f>HYPERLINK("http://collections.slsa.sa.gov.au/resource/PRG+1718/1/82")</f>
        <v>http://collections.slsa.sa.gov.au/resource/PRG+1718/1/82</v>
      </c>
    </row>
    <row r="4318" spans="1:11" x14ac:dyDescent="0.25">
      <c r="A4318" t="s">
        <v>14537</v>
      </c>
      <c r="B4318" s="1" t="str">
        <f>HYPERLINK("https://www.catalog.slsa.sa.gov.au/record=b3145491")</f>
        <v>https://www.catalog.slsa.sa.gov.au/record=b3145491</v>
      </c>
      <c r="C4318" s="1" t="str">
        <f>HYPERLINK("https://www.catalog.slsa.sa.gov.au/xrecord=b3145491")</f>
        <v>https://www.catalog.slsa.sa.gov.au/xrecord=b3145491</v>
      </c>
      <c r="D4318" t="s">
        <v>13649</v>
      </c>
      <c r="E4318" t="s">
        <v>13776</v>
      </c>
      <c r="F4318" t="s">
        <v>14315</v>
      </c>
      <c r="G4318" t="s">
        <v>14538</v>
      </c>
      <c r="H4318" t="s">
        <v>12918</v>
      </c>
      <c r="I4318" t="s">
        <v>12921</v>
      </c>
      <c r="J4318" t="s">
        <v>12922</v>
      </c>
      <c r="K4318" s="2" t="str">
        <f>HYPERLINK("http://collections.slsa.sa.gov.au/resource/PRG+1718/1/83")</f>
        <v>http://collections.slsa.sa.gov.au/resource/PRG+1718/1/83</v>
      </c>
    </row>
    <row r="4319" spans="1:11" x14ac:dyDescent="0.25">
      <c r="A4319" t="s">
        <v>14539</v>
      </c>
      <c r="B4319" s="1" t="str">
        <f>HYPERLINK("https://www.catalog.slsa.sa.gov.au/record=b3145492")</f>
        <v>https://www.catalog.slsa.sa.gov.au/record=b3145492</v>
      </c>
      <c r="C4319" s="1" t="str">
        <f>HYPERLINK("https://www.catalog.slsa.sa.gov.au/xrecord=b3145492")</f>
        <v>https://www.catalog.slsa.sa.gov.au/xrecord=b3145492</v>
      </c>
      <c r="D4319" t="s">
        <v>13649</v>
      </c>
      <c r="E4319" t="s">
        <v>13776</v>
      </c>
      <c r="F4319" t="s">
        <v>14315</v>
      </c>
      <c r="G4319" t="s">
        <v>14540</v>
      </c>
      <c r="H4319" t="s">
        <v>12918</v>
      </c>
      <c r="I4319" t="s">
        <v>12921</v>
      </c>
      <c r="J4319" t="s">
        <v>12922</v>
      </c>
      <c r="K4319" s="2" t="str">
        <f>HYPERLINK("http://collections.slsa.sa.gov.au/resource/PRG+1718/1/84")</f>
        <v>http://collections.slsa.sa.gov.au/resource/PRG+1718/1/84</v>
      </c>
    </row>
    <row r="4320" spans="1:11" x14ac:dyDescent="0.25">
      <c r="A4320" t="s">
        <v>14541</v>
      </c>
      <c r="B4320" s="1" t="str">
        <f>HYPERLINK("https://www.catalog.slsa.sa.gov.au/record=b3145493")</f>
        <v>https://www.catalog.slsa.sa.gov.au/record=b3145493</v>
      </c>
      <c r="C4320" s="1" t="str">
        <f>HYPERLINK("https://www.catalog.slsa.sa.gov.au/xrecord=b3145493")</f>
        <v>https://www.catalog.slsa.sa.gov.au/xrecord=b3145493</v>
      </c>
      <c r="D4320" t="s">
        <v>13649</v>
      </c>
      <c r="E4320" t="s">
        <v>13776</v>
      </c>
      <c r="F4320" t="s">
        <v>14315</v>
      </c>
      <c r="G4320" t="s">
        <v>14542</v>
      </c>
      <c r="H4320" t="s">
        <v>12918</v>
      </c>
      <c r="I4320" t="s">
        <v>12921</v>
      </c>
      <c r="J4320" t="s">
        <v>12922</v>
      </c>
      <c r="K4320" s="2" t="str">
        <f>HYPERLINK("http://collections.slsa.sa.gov.au/resource/PRG+1718/1/85")</f>
        <v>http://collections.slsa.sa.gov.au/resource/PRG+1718/1/85</v>
      </c>
    </row>
    <row r="4321" spans="1:11" x14ac:dyDescent="0.25">
      <c r="A4321" t="s">
        <v>14543</v>
      </c>
      <c r="B4321" s="1" t="str">
        <f>HYPERLINK("https://www.catalog.slsa.sa.gov.au/record=b3145494")</f>
        <v>https://www.catalog.slsa.sa.gov.au/record=b3145494</v>
      </c>
      <c r="C4321" s="1" t="str">
        <f>HYPERLINK("https://www.catalog.slsa.sa.gov.au/xrecord=b3145494")</f>
        <v>https://www.catalog.slsa.sa.gov.au/xrecord=b3145494</v>
      </c>
      <c r="D4321" t="s">
        <v>13649</v>
      </c>
      <c r="E4321" t="s">
        <v>13776</v>
      </c>
      <c r="F4321" t="s">
        <v>14315</v>
      </c>
      <c r="G4321" t="s">
        <v>14544</v>
      </c>
      <c r="H4321" t="s">
        <v>12918</v>
      </c>
      <c r="I4321" t="s">
        <v>12921</v>
      </c>
      <c r="J4321" t="s">
        <v>12922</v>
      </c>
      <c r="K4321" s="2" t="str">
        <f>HYPERLINK("http://collections.slsa.sa.gov.au/resource/PRG+1718/1/86")</f>
        <v>http://collections.slsa.sa.gov.au/resource/PRG+1718/1/86</v>
      </c>
    </row>
    <row r="4322" spans="1:11" x14ac:dyDescent="0.25">
      <c r="A4322" t="s">
        <v>14545</v>
      </c>
      <c r="B4322" s="1" t="str">
        <f>HYPERLINK("https://www.catalog.slsa.sa.gov.au/record=b3145495")</f>
        <v>https://www.catalog.slsa.sa.gov.au/record=b3145495</v>
      </c>
      <c r="C4322" s="1" t="str">
        <f>HYPERLINK("https://www.catalog.slsa.sa.gov.au/xrecord=b3145495")</f>
        <v>https://www.catalog.slsa.sa.gov.au/xrecord=b3145495</v>
      </c>
      <c r="D4322" t="s">
        <v>13649</v>
      </c>
      <c r="E4322" t="s">
        <v>13776</v>
      </c>
      <c r="F4322" t="s">
        <v>14315</v>
      </c>
      <c r="G4322" t="s">
        <v>14546</v>
      </c>
      <c r="H4322" t="s">
        <v>12918</v>
      </c>
      <c r="I4322" t="s">
        <v>12921</v>
      </c>
      <c r="J4322" t="s">
        <v>12922</v>
      </c>
      <c r="K4322" s="2" t="str">
        <f>HYPERLINK("http://collections.slsa.sa.gov.au/resource/PRG+1718/1/87")</f>
        <v>http://collections.slsa.sa.gov.au/resource/PRG+1718/1/87</v>
      </c>
    </row>
    <row r="4323" spans="1:11" x14ac:dyDescent="0.25">
      <c r="A4323" t="s">
        <v>14547</v>
      </c>
      <c r="B4323" s="1" t="str">
        <f>HYPERLINK("https://www.catalog.slsa.sa.gov.au/record=b3145496")</f>
        <v>https://www.catalog.slsa.sa.gov.au/record=b3145496</v>
      </c>
      <c r="C4323" s="1" t="str">
        <f>HYPERLINK("https://www.catalog.slsa.sa.gov.au/xrecord=b3145496")</f>
        <v>https://www.catalog.slsa.sa.gov.au/xrecord=b3145496</v>
      </c>
      <c r="D4323" t="s">
        <v>13649</v>
      </c>
      <c r="E4323" t="s">
        <v>13776</v>
      </c>
      <c r="F4323" t="s">
        <v>14315</v>
      </c>
      <c r="G4323" t="s">
        <v>14548</v>
      </c>
      <c r="H4323" t="s">
        <v>12918</v>
      </c>
      <c r="I4323" t="s">
        <v>12921</v>
      </c>
      <c r="J4323" t="s">
        <v>12922</v>
      </c>
      <c r="K4323" s="2" t="str">
        <f>HYPERLINK("http://collections.slsa.sa.gov.au/resource/PRG+1718/1/88")</f>
        <v>http://collections.slsa.sa.gov.au/resource/PRG+1718/1/88</v>
      </c>
    </row>
    <row r="4324" spans="1:11" x14ac:dyDescent="0.25">
      <c r="A4324" t="s">
        <v>14549</v>
      </c>
      <c r="B4324" s="1" t="str">
        <f>HYPERLINK("https://www.catalog.slsa.sa.gov.au/record=b3145499")</f>
        <v>https://www.catalog.slsa.sa.gov.au/record=b3145499</v>
      </c>
      <c r="C4324" s="1" t="str">
        <f>HYPERLINK("https://www.catalog.slsa.sa.gov.au/xrecord=b3145499")</f>
        <v>https://www.catalog.slsa.sa.gov.au/xrecord=b3145499</v>
      </c>
      <c r="D4324" t="s">
        <v>13649</v>
      </c>
      <c r="E4324" t="s">
        <v>13776</v>
      </c>
      <c r="F4324" t="s">
        <v>14315</v>
      </c>
      <c r="G4324" t="s">
        <v>14550</v>
      </c>
      <c r="H4324" t="s">
        <v>12918</v>
      </c>
      <c r="I4324" t="s">
        <v>12921</v>
      </c>
      <c r="J4324" t="s">
        <v>12922</v>
      </c>
      <c r="K4324" s="2" t="str">
        <f>HYPERLINK("http://collections.slsa.sa.gov.au/resource/PRG+1718/1/89")</f>
        <v>http://collections.slsa.sa.gov.au/resource/PRG+1718/1/89</v>
      </c>
    </row>
    <row r="4325" spans="1:11" x14ac:dyDescent="0.25">
      <c r="A4325" t="s">
        <v>14551</v>
      </c>
      <c r="B4325" s="1" t="str">
        <f>HYPERLINK("https://www.catalog.slsa.sa.gov.au/record=b3145501")</f>
        <v>https://www.catalog.slsa.sa.gov.au/record=b3145501</v>
      </c>
      <c r="C4325" s="1" t="str">
        <f>HYPERLINK("https://www.catalog.slsa.sa.gov.au/xrecord=b3145501")</f>
        <v>https://www.catalog.slsa.sa.gov.au/xrecord=b3145501</v>
      </c>
      <c r="D4325" t="s">
        <v>13649</v>
      </c>
      <c r="E4325" t="s">
        <v>13776</v>
      </c>
      <c r="F4325" t="s">
        <v>14315</v>
      </c>
      <c r="G4325" t="s">
        <v>14552</v>
      </c>
      <c r="H4325" t="s">
        <v>12918</v>
      </c>
      <c r="I4325" t="s">
        <v>12921</v>
      </c>
      <c r="J4325" t="s">
        <v>12922</v>
      </c>
      <c r="K4325" s="2" t="str">
        <f>HYPERLINK("http://collections.slsa.sa.gov.au/resource/PRG+1718/1/90")</f>
        <v>http://collections.slsa.sa.gov.au/resource/PRG+1718/1/90</v>
      </c>
    </row>
    <row r="4326" spans="1:11" x14ac:dyDescent="0.25">
      <c r="A4326" t="s">
        <v>14553</v>
      </c>
      <c r="B4326" s="1" t="str">
        <f>HYPERLINK("https://www.catalog.slsa.sa.gov.au/record=b3145502")</f>
        <v>https://www.catalog.slsa.sa.gov.au/record=b3145502</v>
      </c>
      <c r="C4326" s="1" t="str">
        <f>HYPERLINK("https://www.catalog.slsa.sa.gov.au/xrecord=b3145502")</f>
        <v>https://www.catalog.slsa.sa.gov.au/xrecord=b3145502</v>
      </c>
      <c r="D4326" t="s">
        <v>13649</v>
      </c>
      <c r="E4326" t="s">
        <v>13776</v>
      </c>
      <c r="F4326" t="s">
        <v>14315</v>
      </c>
      <c r="G4326" t="s">
        <v>14554</v>
      </c>
      <c r="H4326" t="s">
        <v>12918</v>
      </c>
      <c r="I4326" t="s">
        <v>12921</v>
      </c>
      <c r="J4326" t="s">
        <v>12922</v>
      </c>
      <c r="K4326" s="2" t="str">
        <f>HYPERLINK("http://collections.slsa.sa.gov.au/resource/PRG+1718/1/91")</f>
        <v>http://collections.slsa.sa.gov.au/resource/PRG+1718/1/91</v>
      </c>
    </row>
    <row r="4327" spans="1:11" x14ac:dyDescent="0.25">
      <c r="A4327" t="s">
        <v>14555</v>
      </c>
      <c r="B4327" s="1" t="str">
        <f>HYPERLINK("https://www.catalog.slsa.sa.gov.au/record=b3145503")</f>
        <v>https://www.catalog.slsa.sa.gov.au/record=b3145503</v>
      </c>
      <c r="C4327" s="1" t="str">
        <f>HYPERLINK("https://www.catalog.slsa.sa.gov.au/xrecord=b3145503")</f>
        <v>https://www.catalog.slsa.sa.gov.au/xrecord=b3145503</v>
      </c>
      <c r="D4327" t="s">
        <v>13649</v>
      </c>
      <c r="E4327" t="s">
        <v>13776</v>
      </c>
      <c r="F4327" t="s">
        <v>14315</v>
      </c>
      <c r="G4327" t="s">
        <v>14556</v>
      </c>
      <c r="H4327" t="s">
        <v>12918</v>
      </c>
      <c r="I4327" t="s">
        <v>12921</v>
      </c>
      <c r="J4327" t="s">
        <v>12922</v>
      </c>
      <c r="K4327" s="2" t="str">
        <f>HYPERLINK("http://collections.slsa.sa.gov.au/resource/PRG+1718/1/92")</f>
        <v>http://collections.slsa.sa.gov.au/resource/PRG+1718/1/92</v>
      </c>
    </row>
    <row r="4328" spans="1:11" x14ac:dyDescent="0.25">
      <c r="A4328" t="s">
        <v>14557</v>
      </c>
      <c r="B4328" s="1" t="str">
        <f>HYPERLINK("https://www.catalog.slsa.sa.gov.au/record=b3145504")</f>
        <v>https://www.catalog.slsa.sa.gov.au/record=b3145504</v>
      </c>
      <c r="C4328" s="1" t="str">
        <f>HYPERLINK("https://www.catalog.slsa.sa.gov.au/xrecord=b3145504")</f>
        <v>https://www.catalog.slsa.sa.gov.au/xrecord=b3145504</v>
      </c>
      <c r="D4328" t="s">
        <v>13649</v>
      </c>
      <c r="E4328" t="s">
        <v>13776</v>
      </c>
      <c r="F4328" t="s">
        <v>14315</v>
      </c>
      <c r="G4328" t="s">
        <v>14558</v>
      </c>
      <c r="H4328" t="s">
        <v>12918</v>
      </c>
      <c r="I4328" t="s">
        <v>12921</v>
      </c>
      <c r="J4328" t="s">
        <v>12922</v>
      </c>
      <c r="K4328" s="2" t="str">
        <f>HYPERLINK("http://collections.slsa.sa.gov.au/resource/PRG+1718/1/93")</f>
        <v>http://collections.slsa.sa.gov.au/resource/PRG+1718/1/93</v>
      </c>
    </row>
    <row r="4329" spans="1:11" x14ac:dyDescent="0.25">
      <c r="A4329" t="s">
        <v>14559</v>
      </c>
      <c r="B4329" s="1" t="str">
        <f>HYPERLINK("https://www.catalog.slsa.sa.gov.au/record=b3145505")</f>
        <v>https://www.catalog.slsa.sa.gov.au/record=b3145505</v>
      </c>
      <c r="C4329" s="1" t="str">
        <f>HYPERLINK("https://www.catalog.slsa.sa.gov.au/xrecord=b3145505")</f>
        <v>https://www.catalog.slsa.sa.gov.au/xrecord=b3145505</v>
      </c>
      <c r="D4329" t="s">
        <v>13649</v>
      </c>
      <c r="E4329" t="s">
        <v>13776</v>
      </c>
      <c r="F4329" t="s">
        <v>14315</v>
      </c>
      <c r="G4329" t="s">
        <v>14560</v>
      </c>
      <c r="H4329" t="s">
        <v>12918</v>
      </c>
      <c r="I4329" t="s">
        <v>12921</v>
      </c>
      <c r="J4329" t="s">
        <v>12922</v>
      </c>
      <c r="K4329" s="2" t="str">
        <f>HYPERLINK("http://collections.slsa.sa.gov.au/resource/PRG+1718/1/94")</f>
        <v>http://collections.slsa.sa.gov.au/resource/PRG+1718/1/94</v>
      </c>
    </row>
    <row r="4330" spans="1:11" x14ac:dyDescent="0.25">
      <c r="A4330" t="s">
        <v>14561</v>
      </c>
      <c r="B4330" s="1" t="str">
        <f>HYPERLINK("https://www.catalog.slsa.sa.gov.au/record=b3145506")</f>
        <v>https://www.catalog.slsa.sa.gov.au/record=b3145506</v>
      </c>
      <c r="C4330" s="1" t="str">
        <f>HYPERLINK("https://www.catalog.slsa.sa.gov.au/xrecord=b3145506")</f>
        <v>https://www.catalog.slsa.sa.gov.au/xrecord=b3145506</v>
      </c>
      <c r="D4330" t="s">
        <v>13649</v>
      </c>
      <c r="E4330" t="s">
        <v>13776</v>
      </c>
      <c r="F4330" t="s">
        <v>14315</v>
      </c>
      <c r="G4330" t="s">
        <v>14562</v>
      </c>
      <c r="H4330" t="s">
        <v>12918</v>
      </c>
      <c r="I4330" t="s">
        <v>12921</v>
      </c>
      <c r="J4330" t="s">
        <v>12922</v>
      </c>
      <c r="K4330" s="2" t="str">
        <f>HYPERLINK("http://collections.slsa.sa.gov.au/resource/PRG+1718/1/95")</f>
        <v>http://collections.slsa.sa.gov.au/resource/PRG+1718/1/95</v>
      </c>
    </row>
    <row r="4331" spans="1:11" x14ac:dyDescent="0.25">
      <c r="A4331" t="s">
        <v>14563</v>
      </c>
      <c r="B4331" s="1" t="str">
        <f>HYPERLINK("https://www.catalog.slsa.sa.gov.au/record=b3145507")</f>
        <v>https://www.catalog.slsa.sa.gov.au/record=b3145507</v>
      </c>
      <c r="C4331" s="1" t="str">
        <f>HYPERLINK("https://www.catalog.slsa.sa.gov.au/xrecord=b3145507")</f>
        <v>https://www.catalog.slsa.sa.gov.au/xrecord=b3145507</v>
      </c>
      <c r="D4331" t="s">
        <v>13649</v>
      </c>
      <c r="E4331" t="s">
        <v>13776</v>
      </c>
      <c r="F4331" t="s">
        <v>14315</v>
      </c>
      <c r="G4331" t="s">
        <v>14564</v>
      </c>
      <c r="H4331" t="s">
        <v>12918</v>
      </c>
      <c r="I4331" t="s">
        <v>12921</v>
      </c>
      <c r="J4331" t="s">
        <v>12922</v>
      </c>
      <c r="K4331" s="2" t="str">
        <f>HYPERLINK("http://collections.slsa.sa.gov.au/resource/PRG+1718/1/96")</f>
        <v>http://collections.slsa.sa.gov.au/resource/PRG+1718/1/96</v>
      </c>
    </row>
    <row r="4332" spans="1:11" x14ac:dyDescent="0.25">
      <c r="A4332" t="s">
        <v>14565</v>
      </c>
      <c r="B4332" s="1" t="str">
        <f>HYPERLINK("https://www.catalog.slsa.sa.gov.au/record=b3145513")</f>
        <v>https://www.catalog.slsa.sa.gov.au/record=b3145513</v>
      </c>
      <c r="C4332" s="1" t="str">
        <f>HYPERLINK("https://www.catalog.slsa.sa.gov.au/xrecord=b3145513")</f>
        <v>https://www.catalog.slsa.sa.gov.au/xrecord=b3145513</v>
      </c>
      <c r="D4332" t="s">
        <v>13649</v>
      </c>
      <c r="E4332" t="s">
        <v>13776</v>
      </c>
      <c r="F4332" t="s">
        <v>14315</v>
      </c>
      <c r="G4332" t="s">
        <v>14566</v>
      </c>
      <c r="H4332" t="s">
        <v>12918</v>
      </c>
      <c r="I4332" t="s">
        <v>12921</v>
      </c>
      <c r="J4332" t="s">
        <v>12922</v>
      </c>
      <c r="K4332" s="2" t="str">
        <f>HYPERLINK("http://collections.slsa.sa.gov.au/resource/PRG+1718/1/97")</f>
        <v>http://collections.slsa.sa.gov.au/resource/PRG+1718/1/97</v>
      </c>
    </row>
    <row r="4333" spans="1:11" x14ac:dyDescent="0.25">
      <c r="A4333" t="s">
        <v>14567</v>
      </c>
      <c r="B4333" s="1" t="str">
        <f>HYPERLINK("https://www.catalog.slsa.sa.gov.au/record=b3145514")</f>
        <v>https://www.catalog.slsa.sa.gov.au/record=b3145514</v>
      </c>
      <c r="C4333" s="1" t="str">
        <f>HYPERLINK("https://www.catalog.slsa.sa.gov.au/xrecord=b3145514")</f>
        <v>https://www.catalog.slsa.sa.gov.au/xrecord=b3145514</v>
      </c>
      <c r="D4333" t="s">
        <v>13649</v>
      </c>
      <c r="E4333" t="s">
        <v>13776</v>
      </c>
      <c r="F4333" t="s">
        <v>14315</v>
      </c>
      <c r="G4333" t="s">
        <v>14568</v>
      </c>
      <c r="H4333" t="s">
        <v>12918</v>
      </c>
      <c r="I4333" t="s">
        <v>12921</v>
      </c>
      <c r="J4333" t="s">
        <v>12922</v>
      </c>
      <c r="K4333" s="2" t="str">
        <f>HYPERLINK("http://collections.slsa.sa.gov.au/resource/PRG+1718/1/98")</f>
        <v>http://collections.slsa.sa.gov.au/resource/PRG+1718/1/98</v>
      </c>
    </row>
    <row r="4334" spans="1:11" x14ac:dyDescent="0.25">
      <c r="A4334" t="s">
        <v>14569</v>
      </c>
      <c r="B4334" s="1" t="str">
        <f>HYPERLINK("https://www.catalog.slsa.sa.gov.au/record=b3145516")</f>
        <v>https://www.catalog.slsa.sa.gov.au/record=b3145516</v>
      </c>
      <c r="C4334" s="1" t="str">
        <f>HYPERLINK("https://www.catalog.slsa.sa.gov.au/xrecord=b3145516")</f>
        <v>https://www.catalog.slsa.sa.gov.au/xrecord=b3145516</v>
      </c>
      <c r="D4334" t="s">
        <v>13649</v>
      </c>
      <c r="E4334" t="s">
        <v>13776</v>
      </c>
      <c r="F4334" t="s">
        <v>14315</v>
      </c>
      <c r="G4334" t="s">
        <v>14570</v>
      </c>
      <c r="H4334" t="s">
        <v>12918</v>
      </c>
      <c r="I4334" t="s">
        <v>12921</v>
      </c>
      <c r="J4334" t="s">
        <v>12922</v>
      </c>
      <c r="K4334" s="2" t="str">
        <f>HYPERLINK("http://collections.slsa.sa.gov.au/resource/PRG+1718/1/99")</f>
        <v>http://collections.slsa.sa.gov.au/resource/PRG+1718/1/99</v>
      </c>
    </row>
    <row r="4335" spans="1:11" x14ac:dyDescent="0.25">
      <c r="A4335" t="s">
        <v>14571</v>
      </c>
      <c r="B4335" s="1" t="str">
        <f>HYPERLINK("https://www.catalog.slsa.sa.gov.au/record=b3139932")</f>
        <v>https://www.catalog.slsa.sa.gov.au/record=b3139932</v>
      </c>
      <c r="C4335" s="1" t="str">
        <f>HYPERLINK("https://www.catalog.slsa.sa.gov.au/xrecord=b3139932")</f>
        <v>https://www.catalog.slsa.sa.gov.au/xrecord=b3139932</v>
      </c>
      <c r="D4335" t="s">
        <v>13649</v>
      </c>
      <c r="E4335" t="s">
        <v>14572</v>
      </c>
      <c r="F4335" t="s">
        <v>14315</v>
      </c>
      <c r="G4335" t="s">
        <v>14573</v>
      </c>
      <c r="H4335" t="s">
        <v>14574</v>
      </c>
      <c r="I4335" t="s">
        <v>14039</v>
      </c>
      <c r="J4335" t="s">
        <v>12922</v>
      </c>
      <c r="K4335" s="2" t="str">
        <f>HYPERLINK("http://collections.slsa.sa.gov.au/resource/PRG+1718/2/35")</f>
        <v>http://collections.slsa.sa.gov.au/resource/PRG+1718/2/35</v>
      </c>
    </row>
    <row r="4336" spans="1:11" x14ac:dyDescent="0.25">
      <c r="A4336" t="s">
        <v>14575</v>
      </c>
      <c r="B4336" s="1" t="str">
        <f>HYPERLINK("https://www.catalog.slsa.sa.gov.au/record=b3139933")</f>
        <v>https://www.catalog.slsa.sa.gov.au/record=b3139933</v>
      </c>
      <c r="C4336" s="1" t="str">
        <f>HYPERLINK("https://www.catalog.slsa.sa.gov.au/xrecord=b3139933")</f>
        <v>https://www.catalog.slsa.sa.gov.au/xrecord=b3139933</v>
      </c>
      <c r="D4336" t="s">
        <v>13649</v>
      </c>
      <c r="E4336" t="s">
        <v>14572</v>
      </c>
      <c r="F4336" t="s">
        <v>14315</v>
      </c>
      <c r="G4336" t="s">
        <v>14576</v>
      </c>
      <c r="H4336" t="s">
        <v>14574</v>
      </c>
      <c r="I4336" t="s">
        <v>14039</v>
      </c>
      <c r="J4336" t="s">
        <v>12922</v>
      </c>
      <c r="K4336" s="2" t="str">
        <f>HYPERLINK("http://collections.slsa.sa.gov.au/resource/PRG+1718/2/36")</f>
        <v>http://collections.slsa.sa.gov.au/resource/PRG+1718/2/36</v>
      </c>
    </row>
    <row r="4337" spans="1:11" x14ac:dyDescent="0.25">
      <c r="A4337" t="s">
        <v>14577</v>
      </c>
      <c r="B4337" s="1" t="str">
        <f>HYPERLINK("https://www.catalog.slsa.sa.gov.au/record=b3139952")</f>
        <v>https://www.catalog.slsa.sa.gov.au/record=b3139952</v>
      </c>
      <c r="C4337" s="1" t="str">
        <f>HYPERLINK("https://www.catalog.slsa.sa.gov.au/xrecord=b3139952")</f>
        <v>https://www.catalog.slsa.sa.gov.au/xrecord=b3139952</v>
      </c>
      <c r="D4337" t="s">
        <v>13649</v>
      </c>
      <c r="E4337" t="s">
        <v>14578</v>
      </c>
      <c r="F4337" t="s">
        <v>14315</v>
      </c>
      <c r="G4337" t="s">
        <v>14579</v>
      </c>
      <c r="H4337" t="s">
        <v>14580</v>
      </c>
      <c r="I4337" t="s">
        <v>14581</v>
      </c>
      <c r="J4337" t="s">
        <v>12922</v>
      </c>
      <c r="K4337" s="2" t="str">
        <f>HYPERLINK("http://collections.slsa.sa.gov.au/resource/PRG+1718/2/37")</f>
        <v>http://collections.slsa.sa.gov.au/resource/PRG+1718/2/37</v>
      </c>
    </row>
    <row r="4338" spans="1:11" x14ac:dyDescent="0.25">
      <c r="A4338" t="s">
        <v>14582</v>
      </c>
      <c r="B4338" s="1" t="str">
        <f>HYPERLINK("https://www.catalog.slsa.sa.gov.au/record=b3139953")</f>
        <v>https://www.catalog.slsa.sa.gov.au/record=b3139953</v>
      </c>
      <c r="C4338" s="1" t="str">
        <f>HYPERLINK("https://www.catalog.slsa.sa.gov.au/xrecord=b3139953")</f>
        <v>https://www.catalog.slsa.sa.gov.au/xrecord=b3139953</v>
      </c>
      <c r="D4338" t="s">
        <v>13649</v>
      </c>
      <c r="E4338" t="s">
        <v>14583</v>
      </c>
      <c r="F4338" t="s">
        <v>14315</v>
      </c>
      <c r="G4338" t="s">
        <v>14584</v>
      </c>
      <c r="H4338" t="s">
        <v>14580</v>
      </c>
      <c r="I4338" t="s">
        <v>14581</v>
      </c>
      <c r="J4338" t="s">
        <v>12922</v>
      </c>
      <c r="K4338" s="2" t="str">
        <f>HYPERLINK("http://collections.slsa.sa.gov.au/resource/PRG+1718/2/38")</f>
        <v>http://collections.slsa.sa.gov.au/resource/PRG+1718/2/38</v>
      </c>
    </row>
    <row r="4339" spans="1:11" x14ac:dyDescent="0.25">
      <c r="A4339" t="s">
        <v>14585</v>
      </c>
      <c r="B4339" s="1" t="str">
        <f>HYPERLINK("https://www.catalog.slsa.sa.gov.au/record=b3139962")</f>
        <v>https://www.catalog.slsa.sa.gov.au/record=b3139962</v>
      </c>
      <c r="C4339" s="1" t="str">
        <f>HYPERLINK("https://www.catalog.slsa.sa.gov.au/xrecord=b3139962")</f>
        <v>https://www.catalog.slsa.sa.gov.au/xrecord=b3139962</v>
      </c>
      <c r="D4339" t="s">
        <v>13649</v>
      </c>
      <c r="E4339" t="s">
        <v>14586</v>
      </c>
      <c r="F4339" t="s">
        <v>14315</v>
      </c>
      <c r="G4339" t="s">
        <v>14587</v>
      </c>
      <c r="H4339" t="s">
        <v>14588</v>
      </c>
      <c r="I4339" t="s">
        <v>14589</v>
      </c>
      <c r="J4339" t="s">
        <v>12922</v>
      </c>
      <c r="K4339" s="2" t="str">
        <f>HYPERLINK("http://collections.slsa.sa.gov.au/resource/PRG+1718/2/39")</f>
        <v>http://collections.slsa.sa.gov.au/resource/PRG+1718/2/39</v>
      </c>
    </row>
    <row r="4340" spans="1:11" x14ac:dyDescent="0.25">
      <c r="A4340" t="s">
        <v>14590</v>
      </c>
      <c r="B4340" s="1" t="str">
        <f>HYPERLINK("https://www.catalog.slsa.sa.gov.au/record=b3139963")</f>
        <v>https://www.catalog.slsa.sa.gov.au/record=b3139963</v>
      </c>
      <c r="C4340" s="1" t="str">
        <f>HYPERLINK("https://www.catalog.slsa.sa.gov.au/xrecord=b3139963")</f>
        <v>https://www.catalog.slsa.sa.gov.au/xrecord=b3139963</v>
      </c>
      <c r="D4340" t="s">
        <v>13649</v>
      </c>
      <c r="E4340" t="s">
        <v>14591</v>
      </c>
      <c r="F4340" t="s">
        <v>14315</v>
      </c>
      <c r="G4340" t="s">
        <v>14592</v>
      </c>
      <c r="H4340" t="s">
        <v>14593</v>
      </c>
      <c r="I4340" t="s">
        <v>14594</v>
      </c>
      <c r="J4340" t="s">
        <v>12922</v>
      </c>
      <c r="K4340" s="2" t="str">
        <f>HYPERLINK("http://collections.slsa.sa.gov.au/resource/PRG+1718/2/40")</f>
        <v>http://collections.slsa.sa.gov.au/resource/PRG+1718/2/40</v>
      </c>
    </row>
    <row r="4341" spans="1:11" x14ac:dyDescent="0.25">
      <c r="A4341" t="s">
        <v>14595</v>
      </c>
      <c r="B4341" s="1" t="str">
        <f>HYPERLINK("https://www.catalog.slsa.sa.gov.au/record=b3140215")</f>
        <v>https://www.catalog.slsa.sa.gov.au/record=b3140215</v>
      </c>
      <c r="C4341" s="1" t="str">
        <f>HYPERLINK("https://www.catalog.slsa.sa.gov.au/xrecord=b3140215")</f>
        <v>https://www.catalog.slsa.sa.gov.au/xrecord=b3140215</v>
      </c>
      <c r="D4341" t="s">
        <v>13649</v>
      </c>
      <c r="E4341" t="s">
        <v>14198</v>
      </c>
      <c r="F4341" t="s">
        <v>14315</v>
      </c>
      <c r="G4341" t="s">
        <v>14596</v>
      </c>
      <c r="H4341" t="s">
        <v>14597</v>
      </c>
      <c r="I4341" t="s">
        <v>12921</v>
      </c>
      <c r="J4341" t="s">
        <v>12922</v>
      </c>
      <c r="K4341" s="2" t="str">
        <f>HYPERLINK("http://collections.slsa.sa.gov.au/resource/PRG+1718/3/33")</f>
        <v>http://collections.slsa.sa.gov.au/resource/PRG+1718/3/33</v>
      </c>
    </row>
    <row r="4342" spans="1:11" x14ac:dyDescent="0.25">
      <c r="A4342" t="s">
        <v>14598</v>
      </c>
      <c r="B4342" s="1" t="str">
        <f>HYPERLINK("https://www.catalog.slsa.sa.gov.au/record=b3140341")</f>
        <v>https://www.catalog.slsa.sa.gov.au/record=b3140341</v>
      </c>
      <c r="C4342" s="1" t="str">
        <f>HYPERLINK("https://www.catalog.slsa.sa.gov.au/xrecord=b3140341")</f>
        <v>https://www.catalog.slsa.sa.gov.au/xrecord=b3140341</v>
      </c>
      <c r="D4342" t="s">
        <v>13649</v>
      </c>
      <c r="E4342" t="s">
        <v>14599</v>
      </c>
      <c r="F4342" t="s">
        <v>14315</v>
      </c>
      <c r="G4342" t="s">
        <v>14600</v>
      </c>
      <c r="H4342" t="s">
        <v>14601</v>
      </c>
      <c r="I4342" t="s">
        <v>14602</v>
      </c>
      <c r="J4342" t="s">
        <v>12922</v>
      </c>
      <c r="K4342" s="2" t="str">
        <f>HYPERLINK("http://collections.slsa.sa.gov.au/resource/PRG+1718/3/40")</f>
        <v>http://collections.slsa.sa.gov.au/resource/PRG+1718/3/40</v>
      </c>
    </row>
    <row r="4343" spans="1:11" x14ac:dyDescent="0.25">
      <c r="A4343" t="s">
        <v>14603</v>
      </c>
      <c r="B4343" s="1" t="str">
        <f>HYPERLINK("https://www.catalog.slsa.sa.gov.au/record=b3140344")</f>
        <v>https://www.catalog.slsa.sa.gov.au/record=b3140344</v>
      </c>
      <c r="C4343" s="1" t="str">
        <f>HYPERLINK("https://www.catalog.slsa.sa.gov.au/xrecord=b3140344")</f>
        <v>https://www.catalog.slsa.sa.gov.au/xrecord=b3140344</v>
      </c>
      <c r="D4343" t="s">
        <v>13649</v>
      </c>
      <c r="E4343" t="s">
        <v>14604</v>
      </c>
      <c r="F4343" t="s">
        <v>14315</v>
      </c>
      <c r="G4343" t="s">
        <v>14605</v>
      </c>
      <c r="H4343" t="s">
        <v>14606</v>
      </c>
      <c r="I4343" t="s">
        <v>14607</v>
      </c>
      <c r="J4343" t="s">
        <v>12922</v>
      </c>
      <c r="K4343" s="2" t="str">
        <f>HYPERLINK("http://collections.slsa.sa.gov.au/resource/PRG+1718/3/41")</f>
        <v>http://collections.slsa.sa.gov.au/resource/PRG+1718/3/41</v>
      </c>
    </row>
    <row r="4344" spans="1:11" x14ac:dyDescent="0.25">
      <c r="A4344" t="s">
        <v>14608</v>
      </c>
      <c r="B4344" s="1" t="str">
        <f>HYPERLINK("https://www.catalog.slsa.sa.gov.au/record=b2917675")</f>
        <v>https://www.catalog.slsa.sa.gov.au/record=b2917675</v>
      </c>
      <c r="C4344" s="1" t="str">
        <f>HYPERLINK("https://www.catalog.slsa.sa.gov.au/xrecord=b2917675")</f>
        <v>https://www.catalog.slsa.sa.gov.au/xrecord=b2917675</v>
      </c>
      <c r="D4344" t="s">
        <v>14245</v>
      </c>
      <c r="E4344" t="s">
        <v>14609</v>
      </c>
      <c r="F4344">
        <v>1996</v>
      </c>
      <c r="G4344" t="s">
        <v>14247</v>
      </c>
      <c r="H4344" t="s">
        <v>14610</v>
      </c>
      <c r="I4344" t="s">
        <v>14611</v>
      </c>
      <c r="K4344" s="2" t="str">
        <f>HYPERLINK("http://collections.slsa.sa.gov.au/prgr/1563/2/PRG1563_2_15.htm")</f>
        <v>http://collections.slsa.sa.gov.au/prgr/1563/2/PRG1563_2_15.htm</v>
      </c>
    </row>
    <row r="4345" spans="1:11" x14ac:dyDescent="0.25">
      <c r="A4345" t="s">
        <v>14612</v>
      </c>
      <c r="B4345" s="1" t="str">
        <f>HYPERLINK("https://www.catalog.slsa.sa.gov.au/record=b2917679")</f>
        <v>https://www.catalog.slsa.sa.gov.au/record=b2917679</v>
      </c>
      <c r="C4345" s="1" t="str">
        <f>HYPERLINK("https://www.catalog.slsa.sa.gov.au/xrecord=b2917679")</f>
        <v>https://www.catalog.slsa.sa.gov.au/xrecord=b2917679</v>
      </c>
      <c r="D4345" t="s">
        <v>14245</v>
      </c>
      <c r="E4345" t="s">
        <v>14613</v>
      </c>
      <c r="F4345">
        <v>1996</v>
      </c>
      <c r="G4345" t="s">
        <v>14247</v>
      </c>
      <c r="H4345" t="s">
        <v>14614</v>
      </c>
      <c r="I4345" t="s">
        <v>14615</v>
      </c>
      <c r="K4345" s="2" t="str">
        <f>HYPERLINK("http://collections.slsa.sa.gov.au/prgr/1563/2/PRG1563_2_16.htm")</f>
        <v>http://collections.slsa.sa.gov.au/prgr/1563/2/PRG1563_2_16.htm</v>
      </c>
    </row>
    <row r="4346" spans="1:11" x14ac:dyDescent="0.25">
      <c r="A4346" t="s">
        <v>14616</v>
      </c>
      <c r="B4346" s="1" t="str">
        <f>HYPERLINK("https://www.catalog.slsa.sa.gov.au/record=b2917680")</f>
        <v>https://www.catalog.slsa.sa.gov.au/record=b2917680</v>
      </c>
      <c r="C4346" s="1" t="str">
        <f>HYPERLINK("https://www.catalog.slsa.sa.gov.au/xrecord=b2917680")</f>
        <v>https://www.catalog.slsa.sa.gov.au/xrecord=b2917680</v>
      </c>
      <c r="D4346" t="s">
        <v>14245</v>
      </c>
      <c r="E4346" t="s">
        <v>14617</v>
      </c>
      <c r="F4346">
        <v>1996</v>
      </c>
      <c r="G4346" t="s">
        <v>14247</v>
      </c>
      <c r="H4346" t="s">
        <v>14618</v>
      </c>
      <c r="I4346" t="s">
        <v>14619</v>
      </c>
      <c r="K4346" s="2" t="str">
        <f>HYPERLINK("http://collections.slsa.sa.gov.au/prgr/1563/2/PRG1563_2_17.htm")</f>
        <v>http://collections.slsa.sa.gov.au/prgr/1563/2/PRG1563_2_17.htm</v>
      </c>
    </row>
    <row r="4347" spans="1:11" x14ac:dyDescent="0.25">
      <c r="A4347" t="s">
        <v>14620</v>
      </c>
      <c r="B4347" s="1" t="str">
        <f>HYPERLINK("https://www.catalog.slsa.sa.gov.au/record=b2917681")</f>
        <v>https://www.catalog.slsa.sa.gov.au/record=b2917681</v>
      </c>
      <c r="C4347" s="1" t="str">
        <f>HYPERLINK("https://www.catalog.slsa.sa.gov.au/xrecord=b2917681")</f>
        <v>https://www.catalog.slsa.sa.gov.au/xrecord=b2917681</v>
      </c>
      <c r="D4347" t="s">
        <v>14245</v>
      </c>
      <c r="E4347" t="s">
        <v>14621</v>
      </c>
      <c r="F4347">
        <v>1996</v>
      </c>
      <c r="G4347" t="s">
        <v>14247</v>
      </c>
      <c r="H4347" t="s">
        <v>14622</v>
      </c>
      <c r="I4347" t="s">
        <v>14623</v>
      </c>
      <c r="K4347" s="2" t="str">
        <f>HYPERLINK("http://collections.slsa.sa.gov.au/prgr/1563/2/PRG1563_2_18.htm")</f>
        <v>http://collections.slsa.sa.gov.au/prgr/1563/2/PRG1563_2_18.htm</v>
      </c>
    </row>
    <row r="4348" spans="1:11" x14ac:dyDescent="0.25">
      <c r="A4348" t="s">
        <v>14624</v>
      </c>
      <c r="B4348" s="1" t="str">
        <f>HYPERLINK("https://www.catalog.slsa.sa.gov.au/record=b2917682")</f>
        <v>https://www.catalog.slsa.sa.gov.au/record=b2917682</v>
      </c>
      <c r="C4348" s="1" t="str">
        <f>HYPERLINK("https://www.catalog.slsa.sa.gov.au/xrecord=b2917682")</f>
        <v>https://www.catalog.slsa.sa.gov.au/xrecord=b2917682</v>
      </c>
      <c r="D4348" t="s">
        <v>14245</v>
      </c>
      <c r="E4348" t="s">
        <v>14625</v>
      </c>
      <c r="F4348">
        <v>1996</v>
      </c>
      <c r="G4348" t="s">
        <v>14247</v>
      </c>
      <c r="H4348" t="s">
        <v>14626</v>
      </c>
      <c r="I4348" t="s">
        <v>14627</v>
      </c>
      <c r="K4348" s="2" t="str">
        <f>HYPERLINK("http://collections.slsa.sa.gov.au/prgr/1563/2/PRG1563_2_19.htm")</f>
        <v>http://collections.slsa.sa.gov.au/prgr/1563/2/PRG1563_2_19.htm</v>
      </c>
    </row>
    <row r="4349" spans="1:11" x14ac:dyDescent="0.25">
      <c r="A4349" t="s">
        <v>14628</v>
      </c>
      <c r="B4349" s="1" t="str">
        <f>HYPERLINK("https://www.catalog.slsa.sa.gov.au/record=b2917684")</f>
        <v>https://www.catalog.slsa.sa.gov.au/record=b2917684</v>
      </c>
      <c r="C4349" s="1" t="str">
        <f>HYPERLINK("https://www.catalog.slsa.sa.gov.au/xrecord=b2917684")</f>
        <v>https://www.catalog.slsa.sa.gov.au/xrecord=b2917684</v>
      </c>
      <c r="D4349" t="s">
        <v>14245</v>
      </c>
      <c r="E4349" t="s">
        <v>14629</v>
      </c>
      <c r="F4349">
        <v>1997</v>
      </c>
      <c r="G4349" t="s">
        <v>14247</v>
      </c>
      <c r="H4349" t="s">
        <v>14630</v>
      </c>
      <c r="I4349" t="s">
        <v>14631</v>
      </c>
      <c r="K4349" s="2" t="str">
        <f>HYPERLINK("http://collections.slsa.sa.gov.au/prgr/1563/2/PRG1563_2_20.htm")</f>
        <v>http://collections.slsa.sa.gov.au/prgr/1563/2/PRG1563_2_20.htm</v>
      </c>
    </row>
    <row r="4350" spans="1:11" x14ac:dyDescent="0.25">
      <c r="A4350" t="s">
        <v>14632</v>
      </c>
      <c r="B4350" s="1" t="str">
        <f>HYPERLINK("https://www.catalog.slsa.sa.gov.au/record=b2917685")</f>
        <v>https://www.catalog.slsa.sa.gov.au/record=b2917685</v>
      </c>
      <c r="C4350" s="1" t="str">
        <f>HYPERLINK("https://www.catalog.slsa.sa.gov.au/xrecord=b2917685")</f>
        <v>https://www.catalog.slsa.sa.gov.au/xrecord=b2917685</v>
      </c>
      <c r="D4350" t="s">
        <v>14245</v>
      </c>
      <c r="E4350" t="s">
        <v>14633</v>
      </c>
      <c r="F4350">
        <v>1997</v>
      </c>
      <c r="G4350" t="s">
        <v>14247</v>
      </c>
      <c r="H4350" t="s">
        <v>14634</v>
      </c>
      <c r="I4350" t="s">
        <v>14635</v>
      </c>
      <c r="K4350" s="2" t="str">
        <f>HYPERLINK("http://collections.slsa.sa.gov.au/prgr/1563/2/PRG1563_2_21.htm")</f>
        <v>http://collections.slsa.sa.gov.au/prgr/1563/2/PRG1563_2_21.htm</v>
      </c>
    </row>
    <row r="4351" spans="1:11" x14ac:dyDescent="0.25">
      <c r="A4351" t="s">
        <v>14636</v>
      </c>
      <c r="B4351" s="1" t="str">
        <f>HYPERLINK("https://www.catalog.slsa.sa.gov.au/record=b2917686")</f>
        <v>https://www.catalog.slsa.sa.gov.au/record=b2917686</v>
      </c>
      <c r="C4351" s="1" t="str">
        <f>HYPERLINK("https://www.catalog.slsa.sa.gov.au/xrecord=b2917686")</f>
        <v>https://www.catalog.slsa.sa.gov.au/xrecord=b2917686</v>
      </c>
      <c r="D4351" t="s">
        <v>14245</v>
      </c>
      <c r="E4351" t="s">
        <v>14637</v>
      </c>
      <c r="F4351">
        <v>1997</v>
      </c>
      <c r="G4351" t="s">
        <v>14247</v>
      </c>
      <c r="H4351" t="s">
        <v>14638</v>
      </c>
      <c r="I4351" t="s">
        <v>14639</v>
      </c>
      <c r="K4351" s="2" t="str">
        <f>HYPERLINK("http://collections.slsa.sa.gov.au/prgr/1563/2/PRG1563_2_22.htm")</f>
        <v>http://collections.slsa.sa.gov.au/prgr/1563/2/PRG1563_2_22.htm</v>
      </c>
    </row>
    <row r="4352" spans="1:11" x14ac:dyDescent="0.25">
      <c r="A4352" t="s">
        <v>14640</v>
      </c>
      <c r="B4352" s="1" t="str">
        <f>HYPERLINK("https://www.catalog.slsa.sa.gov.au/record=b2917688")</f>
        <v>https://www.catalog.slsa.sa.gov.au/record=b2917688</v>
      </c>
      <c r="C4352" s="1" t="str">
        <f>HYPERLINK("https://www.catalog.slsa.sa.gov.au/xrecord=b2917688")</f>
        <v>https://www.catalog.slsa.sa.gov.au/xrecord=b2917688</v>
      </c>
      <c r="D4352" t="s">
        <v>14245</v>
      </c>
      <c r="E4352" t="s">
        <v>14641</v>
      </c>
      <c r="F4352">
        <v>1997</v>
      </c>
      <c r="G4352" t="s">
        <v>14247</v>
      </c>
      <c r="H4352" t="s">
        <v>14642</v>
      </c>
      <c r="I4352" t="s">
        <v>14643</v>
      </c>
      <c r="K4352" s="2" t="str">
        <f>HYPERLINK("http://collections.slsa.sa.gov.au/prgr/1563/2/PRG1563_2_23.htm")</f>
        <v>http://collections.slsa.sa.gov.au/prgr/1563/2/PRG1563_2_23.htm</v>
      </c>
    </row>
    <row r="4353" spans="1:11" x14ac:dyDescent="0.25">
      <c r="A4353" t="s">
        <v>14644</v>
      </c>
      <c r="B4353" s="1" t="str">
        <f>HYPERLINK("https://www.catalog.slsa.sa.gov.au/record=b2917689")</f>
        <v>https://www.catalog.slsa.sa.gov.au/record=b2917689</v>
      </c>
      <c r="C4353" s="1" t="str">
        <f>HYPERLINK("https://www.catalog.slsa.sa.gov.au/xrecord=b2917689")</f>
        <v>https://www.catalog.slsa.sa.gov.au/xrecord=b2917689</v>
      </c>
      <c r="D4353" t="s">
        <v>14245</v>
      </c>
      <c r="E4353" t="s">
        <v>14645</v>
      </c>
      <c r="F4353">
        <v>1997</v>
      </c>
      <c r="G4353" t="s">
        <v>14247</v>
      </c>
      <c r="H4353" t="s">
        <v>14646</v>
      </c>
      <c r="I4353" t="s">
        <v>14647</v>
      </c>
      <c r="K4353" s="2" t="str">
        <f>HYPERLINK("http://collections.slsa.sa.gov.au/prgr/1563/2/PRG1563_2_24.htm")</f>
        <v>http://collections.slsa.sa.gov.au/prgr/1563/2/PRG1563_2_24.htm</v>
      </c>
    </row>
    <row r="4354" spans="1:11" x14ac:dyDescent="0.25">
      <c r="A4354" t="s">
        <v>14648</v>
      </c>
      <c r="B4354" s="1" t="str">
        <f>HYPERLINK("https://www.catalog.slsa.sa.gov.au/record=b2917690")</f>
        <v>https://www.catalog.slsa.sa.gov.au/record=b2917690</v>
      </c>
      <c r="C4354" s="1" t="str">
        <f>HYPERLINK("https://www.catalog.slsa.sa.gov.au/xrecord=b2917690")</f>
        <v>https://www.catalog.slsa.sa.gov.au/xrecord=b2917690</v>
      </c>
      <c r="D4354" t="s">
        <v>14245</v>
      </c>
      <c r="E4354" t="s">
        <v>14649</v>
      </c>
      <c r="F4354">
        <v>1997</v>
      </c>
      <c r="G4354" t="s">
        <v>14247</v>
      </c>
      <c r="H4354" t="s">
        <v>14650</v>
      </c>
      <c r="I4354" t="s">
        <v>14651</v>
      </c>
      <c r="K4354" s="2" t="str">
        <f>HYPERLINK("http://collections.slsa.sa.gov.au/prgr/1563/2/PRG1563_2_25.htm")</f>
        <v>http://collections.slsa.sa.gov.au/prgr/1563/2/PRG1563_2_25.htm</v>
      </c>
    </row>
    <row r="4355" spans="1:11" x14ac:dyDescent="0.25">
      <c r="A4355" t="s">
        <v>14652</v>
      </c>
      <c r="B4355" s="1" t="str">
        <f>HYPERLINK("https://www.catalog.slsa.sa.gov.au/record=b2917699")</f>
        <v>https://www.catalog.slsa.sa.gov.au/record=b2917699</v>
      </c>
      <c r="C4355" s="1" t="str">
        <f>HYPERLINK("https://www.catalog.slsa.sa.gov.au/xrecord=b2917699")</f>
        <v>https://www.catalog.slsa.sa.gov.au/xrecord=b2917699</v>
      </c>
      <c r="D4355" t="s">
        <v>14245</v>
      </c>
      <c r="E4355" t="s">
        <v>14653</v>
      </c>
      <c r="F4355">
        <v>1997</v>
      </c>
      <c r="G4355" t="s">
        <v>14247</v>
      </c>
      <c r="H4355" t="s">
        <v>14654</v>
      </c>
      <c r="I4355" t="s">
        <v>14655</v>
      </c>
      <c r="K4355" s="2" t="str">
        <f>HYPERLINK("http://collections.slsa.sa.gov.au/prgr/1563/2/PRG1563_2_29.htm")</f>
        <v>http://collections.slsa.sa.gov.au/prgr/1563/2/PRG1563_2_29.htm</v>
      </c>
    </row>
    <row r="4356" spans="1:11" x14ac:dyDescent="0.25">
      <c r="A4356" t="s">
        <v>14656</v>
      </c>
      <c r="B4356" s="1" t="str">
        <f>HYPERLINK("https://www.catalog.slsa.sa.gov.au/record=b2917696")</f>
        <v>https://www.catalog.slsa.sa.gov.au/record=b2917696</v>
      </c>
      <c r="C4356" s="1" t="str">
        <f>HYPERLINK("https://www.catalog.slsa.sa.gov.au/xrecord=b2917696")</f>
        <v>https://www.catalog.slsa.sa.gov.au/xrecord=b2917696</v>
      </c>
      <c r="D4356" t="s">
        <v>14245</v>
      </c>
      <c r="E4356" t="s">
        <v>14657</v>
      </c>
      <c r="F4356">
        <v>1997</v>
      </c>
      <c r="G4356" t="s">
        <v>14247</v>
      </c>
      <c r="H4356" t="s">
        <v>14658</v>
      </c>
      <c r="K4356" s="2" t="str">
        <f>HYPERLINK("http://collections.slsa.sa.gov.au/prgr/1563/2/PRG1563_2_30.htm")</f>
        <v>http://collections.slsa.sa.gov.au/prgr/1563/2/PRG1563_2_30.htm</v>
      </c>
    </row>
    <row r="4357" spans="1:11" x14ac:dyDescent="0.25">
      <c r="A4357" t="s">
        <v>14659</v>
      </c>
      <c r="B4357" s="1" t="str">
        <f>HYPERLINK("https://www.catalog.slsa.sa.gov.au/record=b2917697")</f>
        <v>https://www.catalog.slsa.sa.gov.au/record=b2917697</v>
      </c>
      <c r="C4357" s="1" t="str">
        <f>HYPERLINK("https://www.catalog.slsa.sa.gov.au/xrecord=b2917697")</f>
        <v>https://www.catalog.slsa.sa.gov.au/xrecord=b2917697</v>
      </c>
      <c r="D4357" t="s">
        <v>14245</v>
      </c>
      <c r="E4357" t="s">
        <v>14657</v>
      </c>
      <c r="F4357">
        <v>1997</v>
      </c>
      <c r="G4357" t="s">
        <v>14247</v>
      </c>
      <c r="H4357" t="s">
        <v>14658</v>
      </c>
      <c r="K4357" s="2" t="str">
        <f>HYPERLINK("http://collections.slsa.sa.gov.au/prgr/1563/2/PRG1563_2_31.htm")</f>
        <v>http://collections.slsa.sa.gov.au/prgr/1563/2/PRG1563_2_31.htm</v>
      </c>
    </row>
    <row r="4358" spans="1:11" x14ac:dyDescent="0.25">
      <c r="A4358" t="s">
        <v>14660</v>
      </c>
      <c r="B4358" s="1" t="str">
        <f>HYPERLINK("https://www.catalog.slsa.sa.gov.au/record=b2917695")</f>
        <v>https://www.catalog.slsa.sa.gov.au/record=b2917695</v>
      </c>
      <c r="C4358" s="1" t="str">
        <f>HYPERLINK("https://www.catalog.slsa.sa.gov.au/xrecord=b2917695")</f>
        <v>https://www.catalog.slsa.sa.gov.au/xrecord=b2917695</v>
      </c>
      <c r="D4358" t="s">
        <v>14245</v>
      </c>
      <c r="E4358" t="s">
        <v>14657</v>
      </c>
      <c r="F4358">
        <v>1997</v>
      </c>
      <c r="G4358" t="s">
        <v>14247</v>
      </c>
      <c r="H4358" t="s">
        <v>14661</v>
      </c>
      <c r="K4358" s="2" t="str">
        <f>HYPERLINK("http://collections.slsa.sa.gov.au/prgr/1563/2/PRG1563_2_32.htm")</f>
        <v>http://collections.slsa.sa.gov.au/prgr/1563/2/PRG1563_2_32.htm</v>
      </c>
    </row>
    <row r="4359" spans="1:11" x14ac:dyDescent="0.25">
      <c r="A4359" t="s">
        <v>14662</v>
      </c>
      <c r="B4359" s="1" t="str">
        <f>HYPERLINK("https://www.catalog.slsa.sa.gov.au/record=b2917702")</f>
        <v>https://www.catalog.slsa.sa.gov.au/record=b2917702</v>
      </c>
      <c r="C4359" s="1" t="str">
        <f>HYPERLINK("https://www.catalog.slsa.sa.gov.au/xrecord=b2917702")</f>
        <v>https://www.catalog.slsa.sa.gov.au/xrecord=b2917702</v>
      </c>
      <c r="D4359" t="s">
        <v>14245</v>
      </c>
      <c r="E4359" t="s">
        <v>14663</v>
      </c>
      <c r="F4359">
        <v>1997</v>
      </c>
      <c r="G4359" t="s">
        <v>14247</v>
      </c>
      <c r="H4359" t="s">
        <v>14664</v>
      </c>
      <c r="K4359" s="2" t="str">
        <f>HYPERLINK("http://collections.slsa.sa.gov.au/prgr/1563/2/PRG1563_2_33.htm")</f>
        <v>http://collections.slsa.sa.gov.au/prgr/1563/2/PRG1563_2_33.htm</v>
      </c>
    </row>
    <row r="4360" spans="1:11" x14ac:dyDescent="0.25">
      <c r="A4360" t="s">
        <v>14665</v>
      </c>
      <c r="B4360" s="1" t="str">
        <f>HYPERLINK("https://www.catalog.slsa.sa.gov.au/record=b2917703")</f>
        <v>https://www.catalog.slsa.sa.gov.au/record=b2917703</v>
      </c>
      <c r="C4360" s="1" t="str">
        <f>HYPERLINK("https://www.catalog.slsa.sa.gov.au/xrecord=b2917703")</f>
        <v>https://www.catalog.slsa.sa.gov.au/xrecord=b2917703</v>
      </c>
      <c r="D4360" t="s">
        <v>14245</v>
      </c>
      <c r="E4360" t="s">
        <v>14666</v>
      </c>
      <c r="F4360">
        <v>1997</v>
      </c>
      <c r="G4360" t="s">
        <v>14247</v>
      </c>
      <c r="H4360" t="s">
        <v>14667</v>
      </c>
      <c r="I4360" t="s">
        <v>14668</v>
      </c>
      <c r="K4360" s="2" t="str">
        <f>HYPERLINK("http://collections.slsa.sa.gov.au/prgr/1563/2/PRG1563_2_34.htm")</f>
        <v>http://collections.slsa.sa.gov.au/prgr/1563/2/PRG1563_2_34.htm</v>
      </c>
    </row>
    <row r="4361" spans="1:11" x14ac:dyDescent="0.25">
      <c r="A4361" t="s">
        <v>14669</v>
      </c>
      <c r="B4361" s="1" t="str">
        <f>HYPERLINK("https://www.catalog.slsa.sa.gov.au/record=b2917705")</f>
        <v>https://www.catalog.slsa.sa.gov.au/record=b2917705</v>
      </c>
      <c r="C4361" s="1" t="str">
        <f>HYPERLINK("https://www.catalog.slsa.sa.gov.au/xrecord=b2917705")</f>
        <v>https://www.catalog.slsa.sa.gov.au/xrecord=b2917705</v>
      </c>
      <c r="D4361" t="s">
        <v>14245</v>
      </c>
      <c r="E4361" t="s">
        <v>14670</v>
      </c>
      <c r="F4361">
        <v>1997</v>
      </c>
      <c r="G4361" t="s">
        <v>14247</v>
      </c>
      <c r="H4361" t="s">
        <v>14671</v>
      </c>
      <c r="I4361" t="s">
        <v>14668</v>
      </c>
      <c r="K4361" s="2" t="str">
        <f>HYPERLINK("http://collections.slsa.sa.gov.au/prgr/1563/2/PRG1563_2_35.htm")</f>
        <v>http://collections.slsa.sa.gov.au/prgr/1563/2/PRG1563_2_35.htm</v>
      </c>
    </row>
    <row r="4362" spans="1:11" x14ac:dyDescent="0.25">
      <c r="A4362" t="s">
        <v>14672</v>
      </c>
      <c r="B4362" s="1" t="str">
        <f>HYPERLINK("https://www.catalog.slsa.sa.gov.au/record=b3137238")</f>
        <v>https://www.catalog.slsa.sa.gov.au/record=b3137238</v>
      </c>
      <c r="C4362" s="1" t="str">
        <f>HYPERLINK("https://www.catalog.slsa.sa.gov.au/xrecord=b3137238")</f>
        <v>https://www.catalog.slsa.sa.gov.au/xrecord=b3137238</v>
      </c>
      <c r="D4362" t="s">
        <v>13649</v>
      </c>
      <c r="E4362" t="s">
        <v>14673</v>
      </c>
      <c r="F4362" t="s">
        <v>14674</v>
      </c>
      <c r="G4362" t="s">
        <v>14675</v>
      </c>
      <c r="H4362" t="s">
        <v>14676</v>
      </c>
      <c r="I4362" t="s">
        <v>12921</v>
      </c>
      <c r="J4362" t="s">
        <v>12922</v>
      </c>
      <c r="K4362" s="2" t="str">
        <f>HYPERLINK("http://collections.slsa.sa.gov.au/resource/PRG+1718/1/1")</f>
        <v>http://collections.slsa.sa.gov.au/resource/PRG+1718/1/1</v>
      </c>
    </row>
    <row r="4363" spans="1:11" x14ac:dyDescent="0.25">
      <c r="A4363" t="s">
        <v>14677</v>
      </c>
      <c r="B4363" s="1" t="str">
        <f>HYPERLINK("https://www.catalog.slsa.sa.gov.au/record=b3137239")</f>
        <v>https://www.catalog.slsa.sa.gov.au/record=b3137239</v>
      </c>
      <c r="C4363" s="1" t="str">
        <f>HYPERLINK("https://www.catalog.slsa.sa.gov.au/xrecord=b3137239")</f>
        <v>https://www.catalog.slsa.sa.gov.au/xrecord=b3137239</v>
      </c>
      <c r="D4363" t="s">
        <v>13649</v>
      </c>
      <c r="E4363" t="s">
        <v>14673</v>
      </c>
      <c r="F4363" t="s">
        <v>14674</v>
      </c>
      <c r="G4363" t="s">
        <v>14675</v>
      </c>
      <c r="H4363" t="s">
        <v>14676</v>
      </c>
      <c r="I4363" t="s">
        <v>12921</v>
      </c>
      <c r="J4363" t="s">
        <v>12922</v>
      </c>
      <c r="K4363" s="2" t="str">
        <f>HYPERLINK("http://collections.slsa.sa.gov.au/resource/PRG+1718/1/2")</f>
        <v>http://collections.slsa.sa.gov.au/resource/PRG+1718/1/2</v>
      </c>
    </row>
    <row r="4364" spans="1:11" x14ac:dyDescent="0.25">
      <c r="A4364" t="s">
        <v>14678</v>
      </c>
      <c r="B4364" s="1" t="str">
        <f>HYPERLINK("https://www.catalog.slsa.sa.gov.au/record=b3137240")</f>
        <v>https://www.catalog.slsa.sa.gov.au/record=b3137240</v>
      </c>
      <c r="C4364" s="1" t="str">
        <f>HYPERLINK("https://www.catalog.slsa.sa.gov.au/xrecord=b3137240")</f>
        <v>https://www.catalog.slsa.sa.gov.au/xrecord=b3137240</v>
      </c>
      <c r="D4364" t="s">
        <v>13649</v>
      </c>
      <c r="E4364" t="s">
        <v>13328</v>
      </c>
      <c r="F4364" t="s">
        <v>14674</v>
      </c>
      <c r="G4364" t="s">
        <v>14675</v>
      </c>
      <c r="H4364" t="s">
        <v>14679</v>
      </c>
      <c r="I4364" t="s">
        <v>12921</v>
      </c>
      <c r="J4364" t="s">
        <v>12922</v>
      </c>
      <c r="K4364" s="2" t="str">
        <f>HYPERLINK("http://collections.slsa.sa.gov.au/resource/PRG+1718/1/3")</f>
        <v>http://collections.slsa.sa.gov.au/resource/PRG+1718/1/3</v>
      </c>
    </row>
    <row r="4365" spans="1:11" x14ac:dyDescent="0.25">
      <c r="A4365" t="s">
        <v>14680</v>
      </c>
      <c r="B4365" s="1" t="str">
        <f>HYPERLINK("https://www.catalog.slsa.sa.gov.au/record=b3137241")</f>
        <v>https://www.catalog.slsa.sa.gov.au/record=b3137241</v>
      </c>
      <c r="C4365" s="1" t="str">
        <f>HYPERLINK("https://www.catalog.slsa.sa.gov.au/xrecord=b3137241")</f>
        <v>https://www.catalog.slsa.sa.gov.au/xrecord=b3137241</v>
      </c>
      <c r="D4365" t="s">
        <v>13649</v>
      </c>
      <c r="E4365" t="s">
        <v>13328</v>
      </c>
      <c r="F4365" t="s">
        <v>14674</v>
      </c>
      <c r="G4365" t="s">
        <v>14681</v>
      </c>
      <c r="H4365" t="s">
        <v>14679</v>
      </c>
      <c r="I4365" t="s">
        <v>12921</v>
      </c>
      <c r="J4365" t="s">
        <v>12922</v>
      </c>
      <c r="K4365" s="2" t="str">
        <f>HYPERLINK("http://collections.slsa.sa.gov.au/resource/PRG+1718/1/4")</f>
        <v>http://collections.slsa.sa.gov.au/resource/PRG+1718/1/4</v>
      </c>
    </row>
    <row r="4366" spans="1:11" x14ac:dyDescent="0.25">
      <c r="A4366" t="s">
        <v>14682</v>
      </c>
      <c r="B4366" s="1" t="str">
        <f>HYPERLINK("https://www.catalog.slsa.sa.gov.au/record=b3137242")</f>
        <v>https://www.catalog.slsa.sa.gov.au/record=b3137242</v>
      </c>
      <c r="C4366" s="1" t="str">
        <f>HYPERLINK("https://www.catalog.slsa.sa.gov.au/xrecord=b3137242")</f>
        <v>https://www.catalog.slsa.sa.gov.au/xrecord=b3137242</v>
      </c>
      <c r="D4366" t="s">
        <v>13649</v>
      </c>
      <c r="E4366" t="s">
        <v>13960</v>
      </c>
      <c r="F4366" t="s">
        <v>14674</v>
      </c>
      <c r="G4366" t="s">
        <v>14675</v>
      </c>
      <c r="H4366" t="s">
        <v>14683</v>
      </c>
      <c r="I4366" t="s">
        <v>12921</v>
      </c>
      <c r="J4366" t="s">
        <v>12922</v>
      </c>
      <c r="K4366" s="2" t="str">
        <f>HYPERLINK("http://collections.slsa.sa.gov.au/resource/PRG+1718/1/5")</f>
        <v>http://collections.slsa.sa.gov.au/resource/PRG+1718/1/5</v>
      </c>
    </row>
    <row r="4367" spans="1:11" x14ac:dyDescent="0.25">
      <c r="A4367" t="s">
        <v>14684</v>
      </c>
      <c r="B4367" s="1" t="str">
        <f>HYPERLINK("https://www.catalog.slsa.sa.gov.au/record=b3137243")</f>
        <v>https://www.catalog.slsa.sa.gov.au/record=b3137243</v>
      </c>
      <c r="C4367" s="1" t="str">
        <f>HYPERLINK("https://www.catalog.slsa.sa.gov.au/xrecord=b3137243")</f>
        <v>https://www.catalog.slsa.sa.gov.au/xrecord=b3137243</v>
      </c>
      <c r="D4367" t="s">
        <v>13649</v>
      </c>
      <c r="E4367" t="s">
        <v>13328</v>
      </c>
      <c r="F4367" t="s">
        <v>14674</v>
      </c>
      <c r="G4367" t="s">
        <v>14675</v>
      </c>
      <c r="H4367" t="s">
        <v>14679</v>
      </c>
      <c r="I4367" t="s">
        <v>12921</v>
      </c>
      <c r="J4367" t="s">
        <v>12922</v>
      </c>
      <c r="K4367" s="2" t="str">
        <f>HYPERLINK("http://collections.slsa.sa.gov.au/resource/PRG+1718/1/6")</f>
        <v>http://collections.slsa.sa.gov.au/resource/PRG+1718/1/6</v>
      </c>
    </row>
    <row r="4368" spans="1:11" x14ac:dyDescent="0.25">
      <c r="A4368" t="s">
        <v>14685</v>
      </c>
      <c r="B4368" s="1" t="str">
        <f>HYPERLINK("https://www.catalog.slsa.sa.gov.au/record=b3137244")</f>
        <v>https://www.catalog.slsa.sa.gov.au/record=b3137244</v>
      </c>
      <c r="C4368" s="1" t="str">
        <f>HYPERLINK("https://www.catalog.slsa.sa.gov.au/xrecord=b3137244")</f>
        <v>https://www.catalog.slsa.sa.gov.au/xrecord=b3137244</v>
      </c>
      <c r="D4368" t="s">
        <v>13649</v>
      </c>
      <c r="E4368" t="s">
        <v>13328</v>
      </c>
      <c r="F4368" t="s">
        <v>14674</v>
      </c>
      <c r="G4368" t="s">
        <v>14675</v>
      </c>
      <c r="H4368" t="s">
        <v>14679</v>
      </c>
      <c r="I4368" t="s">
        <v>12921</v>
      </c>
      <c r="J4368" t="s">
        <v>12922</v>
      </c>
      <c r="K4368" s="2" t="str">
        <f>HYPERLINK("http://collections.slsa.sa.gov.au/resource/PRG+1718/1/7")</f>
        <v>http://collections.slsa.sa.gov.au/resource/PRG+1718/1/7</v>
      </c>
    </row>
    <row r="4369" spans="1:11" x14ac:dyDescent="0.25">
      <c r="A4369" t="s">
        <v>14686</v>
      </c>
      <c r="B4369" s="1" t="str">
        <f>HYPERLINK("https://www.catalog.slsa.sa.gov.au/record=b3137245")</f>
        <v>https://www.catalog.slsa.sa.gov.au/record=b3137245</v>
      </c>
      <c r="C4369" s="1" t="str">
        <f>HYPERLINK("https://www.catalog.slsa.sa.gov.au/xrecord=b3137245")</f>
        <v>https://www.catalog.slsa.sa.gov.au/xrecord=b3137245</v>
      </c>
      <c r="D4369" t="s">
        <v>13649</v>
      </c>
      <c r="E4369" t="s">
        <v>13328</v>
      </c>
      <c r="F4369" t="s">
        <v>14674</v>
      </c>
      <c r="G4369" t="s">
        <v>14675</v>
      </c>
      <c r="H4369" t="s">
        <v>14679</v>
      </c>
      <c r="I4369" t="s">
        <v>12921</v>
      </c>
      <c r="J4369" t="s">
        <v>12922</v>
      </c>
      <c r="K4369" s="2" t="str">
        <f>HYPERLINK("http://collections.slsa.sa.gov.au/resource/PRG+1718/1/8")</f>
        <v>http://collections.slsa.sa.gov.au/resource/PRG+1718/1/8</v>
      </c>
    </row>
    <row r="4370" spans="1:11" x14ac:dyDescent="0.25">
      <c r="A4370" t="s">
        <v>14687</v>
      </c>
      <c r="B4370" s="1" t="str">
        <f>HYPERLINK("https://www.catalog.slsa.sa.gov.au/record=b3140086")</f>
        <v>https://www.catalog.slsa.sa.gov.au/record=b3140086</v>
      </c>
      <c r="C4370" s="1" t="str">
        <f>HYPERLINK("https://www.catalog.slsa.sa.gov.au/xrecord=b3140086")</f>
        <v>https://www.catalog.slsa.sa.gov.au/xrecord=b3140086</v>
      </c>
      <c r="D4370" t="s">
        <v>13649</v>
      </c>
      <c r="E4370" t="s">
        <v>14688</v>
      </c>
      <c r="F4370">
        <v>1998</v>
      </c>
      <c r="G4370" t="s">
        <v>14689</v>
      </c>
      <c r="H4370" t="s">
        <v>14690</v>
      </c>
      <c r="I4370" t="s">
        <v>14691</v>
      </c>
      <c r="J4370" t="s">
        <v>12922</v>
      </c>
      <c r="K4370" s="2" t="str">
        <f>HYPERLINK("http://collections.slsa.sa.gov.au/resource/PRG+1718/3/14")</f>
        <v>http://collections.slsa.sa.gov.au/resource/PRG+1718/3/14</v>
      </c>
    </row>
    <row r="4371" spans="1:11" x14ac:dyDescent="0.25">
      <c r="A4371" t="s">
        <v>14692</v>
      </c>
      <c r="B4371" s="1" t="str">
        <f>HYPERLINK("https://www.catalog.slsa.sa.gov.au/record=b3140089")</f>
        <v>https://www.catalog.slsa.sa.gov.au/record=b3140089</v>
      </c>
      <c r="C4371" s="1" t="str">
        <f>HYPERLINK("https://www.catalog.slsa.sa.gov.au/xrecord=b3140089")</f>
        <v>https://www.catalog.slsa.sa.gov.au/xrecord=b3140089</v>
      </c>
      <c r="D4371" t="s">
        <v>13649</v>
      </c>
      <c r="E4371" t="s">
        <v>14688</v>
      </c>
      <c r="F4371">
        <v>1998</v>
      </c>
      <c r="G4371" t="s">
        <v>14693</v>
      </c>
      <c r="H4371" t="s">
        <v>14690</v>
      </c>
      <c r="I4371" t="s">
        <v>14691</v>
      </c>
      <c r="J4371" t="s">
        <v>12922</v>
      </c>
      <c r="K4371" s="2" t="str">
        <f>HYPERLINK("http://collections.slsa.sa.gov.au/resource/PRG+1718/3/15")</f>
        <v>http://collections.slsa.sa.gov.au/resource/PRG+1718/3/15</v>
      </c>
    </row>
    <row r="4372" spans="1:11" x14ac:dyDescent="0.25">
      <c r="A4372" t="s">
        <v>14694</v>
      </c>
      <c r="B4372" s="1" t="str">
        <f>HYPERLINK("https://www.catalog.slsa.sa.gov.au/record=b3140090")</f>
        <v>https://www.catalog.slsa.sa.gov.au/record=b3140090</v>
      </c>
      <c r="C4372" s="1" t="str">
        <f>HYPERLINK("https://www.catalog.slsa.sa.gov.au/xrecord=b3140090")</f>
        <v>https://www.catalog.slsa.sa.gov.au/xrecord=b3140090</v>
      </c>
      <c r="D4372" t="s">
        <v>13649</v>
      </c>
      <c r="E4372" t="s">
        <v>14688</v>
      </c>
      <c r="F4372">
        <v>1998</v>
      </c>
      <c r="G4372" t="s">
        <v>14695</v>
      </c>
      <c r="H4372" t="s">
        <v>14690</v>
      </c>
      <c r="I4372" t="s">
        <v>14691</v>
      </c>
      <c r="J4372" t="s">
        <v>12922</v>
      </c>
      <c r="K4372" s="2" t="str">
        <f>HYPERLINK("http://collections.slsa.sa.gov.au/resource/PRG+1718/3/16")</f>
        <v>http://collections.slsa.sa.gov.au/resource/PRG+1718/3/16</v>
      </c>
    </row>
    <row r="4373" spans="1:11" x14ac:dyDescent="0.25">
      <c r="A4373" t="s">
        <v>14696</v>
      </c>
      <c r="B4373" s="1" t="str">
        <f>HYPERLINK("https://www.catalog.slsa.sa.gov.au/record=b3140091")</f>
        <v>https://www.catalog.slsa.sa.gov.au/record=b3140091</v>
      </c>
      <c r="C4373" s="1" t="str">
        <f>HYPERLINK("https://www.catalog.slsa.sa.gov.au/xrecord=b3140091")</f>
        <v>https://www.catalog.slsa.sa.gov.au/xrecord=b3140091</v>
      </c>
      <c r="D4373" t="s">
        <v>13649</v>
      </c>
      <c r="E4373" t="s">
        <v>14688</v>
      </c>
      <c r="F4373">
        <v>1998</v>
      </c>
      <c r="G4373" t="s">
        <v>14697</v>
      </c>
      <c r="H4373" t="s">
        <v>14690</v>
      </c>
      <c r="I4373" t="s">
        <v>14691</v>
      </c>
      <c r="J4373" t="s">
        <v>12922</v>
      </c>
      <c r="K4373" s="2" t="str">
        <f>HYPERLINK("http://collections.slsa.sa.gov.au/resource/PRG+1718/3/17")</f>
        <v>http://collections.slsa.sa.gov.au/resource/PRG+1718/3/17</v>
      </c>
    </row>
    <row r="4374" spans="1:11" x14ac:dyDescent="0.25">
      <c r="A4374" t="s">
        <v>14698</v>
      </c>
      <c r="B4374" s="1" t="str">
        <f>HYPERLINK("https://www.catalog.slsa.sa.gov.au/record=b3140092")</f>
        <v>https://www.catalog.slsa.sa.gov.au/record=b3140092</v>
      </c>
      <c r="C4374" s="1" t="str">
        <f>HYPERLINK("https://www.catalog.slsa.sa.gov.au/xrecord=b3140092")</f>
        <v>https://www.catalog.slsa.sa.gov.au/xrecord=b3140092</v>
      </c>
      <c r="D4374" t="s">
        <v>13649</v>
      </c>
      <c r="E4374" t="s">
        <v>14688</v>
      </c>
      <c r="F4374">
        <v>1998</v>
      </c>
      <c r="G4374" t="s">
        <v>14596</v>
      </c>
      <c r="H4374" t="s">
        <v>14690</v>
      </c>
      <c r="I4374" t="s">
        <v>14691</v>
      </c>
      <c r="J4374" t="s">
        <v>12922</v>
      </c>
      <c r="K4374" s="2" t="str">
        <f>HYPERLINK("http://collections.slsa.sa.gov.au/resource/PRG+1718/3/18")</f>
        <v>http://collections.slsa.sa.gov.au/resource/PRG+1718/3/18</v>
      </c>
    </row>
    <row r="4375" spans="1:11" x14ac:dyDescent="0.25">
      <c r="A4375" t="s">
        <v>14699</v>
      </c>
      <c r="B4375" s="1" t="str">
        <f>HYPERLINK("https://www.catalog.slsa.sa.gov.au/record=b3140093")</f>
        <v>https://www.catalog.slsa.sa.gov.au/record=b3140093</v>
      </c>
      <c r="C4375" s="1" t="str">
        <f>HYPERLINK("https://www.catalog.slsa.sa.gov.au/xrecord=b3140093")</f>
        <v>https://www.catalog.slsa.sa.gov.au/xrecord=b3140093</v>
      </c>
      <c r="D4375" t="s">
        <v>13649</v>
      </c>
      <c r="E4375" t="s">
        <v>14688</v>
      </c>
      <c r="F4375">
        <v>1998</v>
      </c>
      <c r="G4375" t="s">
        <v>14700</v>
      </c>
      <c r="H4375" t="s">
        <v>14701</v>
      </c>
      <c r="I4375" t="s">
        <v>14691</v>
      </c>
      <c r="J4375" t="s">
        <v>12922</v>
      </c>
      <c r="K4375" s="2" t="str">
        <f>HYPERLINK("http://collections.slsa.sa.gov.au/resource/PRG+1718/3/19")</f>
        <v>http://collections.slsa.sa.gov.au/resource/PRG+1718/3/19</v>
      </c>
    </row>
    <row r="4376" spans="1:11" x14ac:dyDescent="0.25">
      <c r="A4376" t="s">
        <v>14702</v>
      </c>
      <c r="B4376" s="1" t="str">
        <f>HYPERLINK("https://www.catalog.slsa.sa.gov.au/record=b3140095")</f>
        <v>https://www.catalog.slsa.sa.gov.au/record=b3140095</v>
      </c>
      <c r="C4376" s="1" t="str">
        <f>HYPERLINK("https://www.catalog.slsa.sa.gov.au/xrecord=b3140095")</f>
        <v>https://www.catalog.slsa.sa.gov.au/xrecord=b3140095</v>
      </c>
      <c r="D4376" t="s">
        <v>13649</v>
      </c>
      <c r="E4376" t="s">
        <v>14688</v>
      </c>
      <c r="F4376">
        <v>1998</v>
      </c>
      <c r="G4376" t="s">
        <v>14703</v>
      </c>
      <c r="H4376" t="s">
        <v>14690</v>
      </c>
      <c r="I4376" t="s">
        <v>14691</v>
      </c>
      <c r="J4376" t="s">
        <v>12922</v>
      </c>
      <c r="K4376" s="2" t="str">
        <f>HYPERLINK("http://collections.slsa.sa.gov.au/resource/PRG+1718/3/20")</f>
        <v>http://collections.slsa.sa.gov.au/resource/PRG+1718/3/20</v>
      </c>
    </row>
    <row r="4377" spans="1:11" x14ac:dyDescent="0.25">
      <c r="A4377" t="s">
        <v>14704</v>
      </c>
      <c r="B4377" s="1" t="str">
        <f>HYPERLINK("https://www.catalog.slsa.sa.gov.au/record=b3140119")</f>
        <v>https://www.catalog.slsa.sa.gov.au/record=b3140119</v>
      </c>
      <c r="C4377" s="1" t="str">
        <f>HYPERLINK("https://www.catalog.slsa.sa.gov.au/xrecord=b3140119")</f>
        <v>https://www.catalog.slsa.sa.gov.au/xrecord=b3140119</v>
      </c>
      <c r="D4377" t="s">
        <v>13649</v>
      </c>
      <c r="E4377" t="s">
        <v>14705</v>
      </c>
      <c r="F4377">
        <v>2001</v>
      </c>
      <c r="G4377" t="s">
        <v>14706</v>
      </c>
      <c r="H4377" t="s">
        <v>14707</v>
      </c>
      <c r="I4377" t="s">
        <v>14708</v>
      </c>
      <c r="J4377" t="s">
        <v>12922</v>
      </c>
      <c r="K4377" s="2" t="str">
        <f>HYPERLINK("http://collections.slsa.sa.gov.au/resource/PRG+1718/3/21")</f>
        <v>http://collections.slsa.sa.gov.au/resource/PRG+1718/3/21</v>
      </c>
    </row>
    <row r="4378" spans="1:11" x14ac:dyDescent="0.25">
      <c r="A4378" t="s">
        <v>14709</v>
      </c>
      <c r="B4378" s="1" t="str">
        <f>HYPERLINK("https://www.catalog.slsa.sa.gov.au/record=b3140120")</f>
        <v>https://www.catalog.slsa.sa.gov.au/record=b3140120</v>
      </c>
      <c r="C4378" s="1" t="str">
        <f>HYPERLINK("https://www.catalog.slsa.sa.gov.au/xrecord=b3140120")</f>
        <v>https://www.catalog.slsa.sa.gov.au/xrecord=b3140120</v>
      </c>
      <c r="D4378" t="s">
        <v>13649</v>
      </c>
      <c r="E4378" t="s">
        <v>14710</v>
      </c>
      <c r="F4378">
        <v>2001</v>
      </c>
      <c r="G4378" t="s">
        <v>14695</v>
      </c>
      <c r="H4378" t="s">
        <v>14711</v>
      </c>
      <c r="I4378" t="s">
        <v>14712</v>
      </c>
      <c r="J4378" t="s">
        <v>12922</v>
      </c>
      <c r="K4378" s="2" t="str">
        <f>HYPERLINK("http://collections.slsa.sa.gov.au/resource/PRG+1718/3/22")</f>
        <v>http://collections.slsa.sa.gov.au/resource/PRG+1718/3/22</v>
      </c>
    </row>
    <row r="4379" spans="1:11" x14ac:dyDescent="0.25">
      <c r="A4379" t="s">
        <v>14713</v>
      </c>
      <c r="B4379" s="1" t="str">
        <f>HYPERLINK("https://www.catalog.slsa.sa.gov.au/record=b3140122")</f>
        <v>https://www.catalog.slsa.sa.gov.au/record=b3140122</v>
      </c>
      <c r="C4379" s="1" t="str">
        <f>HYPERLINK("https://www.catalog.slsa.sa.gov.au/xrecord=b3140122")</f>
        <v>https://www.catalog.slsa.sa.gov.au/xrecord=b3140122</v>
      </c>
      <c r="D4379" t="s">
        <v>13649</v>
      </c>
      <c r="E4379" t="s">
        <v>14714</v>
      </c>
      <c r="F4379">
        <v>2001</v>
      </c>
      <c r="G4379" t="s">
        <v>14715</v>
      </c>
      <c r="H4379" t="s">
        <v>14716</v>
      </c>
      <c r="I4379" t="s">
        <v>14712</v>
      </c>
      <c r="J4379" t="s">
        <v>12922</v>
      </c>
      <c r="K4379" s="2" t="str">
        <f>HYPERLINK("http://collections.slsa.sa.gov.au/resource/PRG+1718/3/23")</f>
        <v>http://collections.slsa.sa.gov.au/resource/PRG+1718/3/23</v>
      </c>
    </row>
    <row r="4380" spans="1:11" x14ac:dyDescent="0.25">
      <c r="A4380" t="s">
        <v>14717</v>
      </c>
      <c r="B4380" s="1" t="str">
        <f>HYPERLINK("https://www.catalog.slsa.sa.gov.au/record=b3140123")</f>
        <v>https://www.catalog.slsa.sa.gov.au/record=b3140123</v>
      </c>
      <c r="C4380" s="1" t="str">
        <f>HYPERLINK("https://www.catalog.slsa.sa.gov.au/xrecord=b3140123")</f>
        <v>https://www.catalog.slsa.sa.gov.au/xrecord=b3140123</v>
      </c>
      <c r="D4380" t="s">
        <v>13649</v>
      </c>
      <c r="E4380" t="s">
        <v>14718</v>
      </c>
      <c r="F4380">
        <v>2001</v>
      </c>
      <c r="G4380" t="s">
        <v>14719</v>
      </c>
      <c r="H4380" t="s">
        <v>14720</v>
      </c>
      <c r="I4380" t="s">
        <v>14721</v>
      </c>
      <c r="J4380" t="s">
        <v>12922</v>
      </c>
      <c r="K4380" s="2" t="str">
        <f>HYPERLINK("http://collections.slsa.sa.gov.au/resource/PRG+1718/3/24")</f>
        <v>http://collections.slsa.sa.gov.au/resource/PRG+1718/3/24</v>
      </c>
    </row>
    <row r="4381" spans="1:11" x14ac:dyDescent="0.25">
      <c r="A4381" t="s">
        <v>14722</v>
      </c>
      <c r="B4381" s="1" t="str">
        <f>HYPERLINK("https://www.catalog.slsa.sa.gov.au/record=b3140127")</f>
        <v>https://www.catalog.slsa.sa.gov.au/record=b3140127</v>
      </c>
      <c r="C4381" s="1" t="str">
        <f>HYPERLINK("https://www.catalog.slsa.sa.gov.au/xrecord=b3140127")</f>
        <v>https://www.catalog.slsa.sa.gov.au/xrecord=b3140127</v>
      </c>
      <c r="D4381" t="s">
        <v>13649</v>
      </c>
      <c r="E4381" t="s">
        <v>14723</v>
      </c>
      <c r="F4381">
        <v>2001</v>
      </c>
      <c r="G4381" t="s">
        <v>14724</v>
      </c>
      <c r="H4381" t="s">
        <v>14725</v>
      </c>
      <c r="I4381" t="s">
        <v>14721</v>
      </c>
      <c r="J4381" t="s">
        <v>12922</v>
      </c>
      <c r="K4381" s="2" t="str">
        <f>HYPERLINK("http://collections.slsa.sa.gov.au/resource/PRG+1718/3/25")</f>
        <v>http://collections.slsa.sa.gov.au/resource/PRG+1718/3/25</v>
      </c>
    </row>
    <row r="4382" spans="1:11" x14ac:dyDescent="0.25">
      <c r="A4382" t="s">
        <v>14726</v>
      </c>
      <c r="B4382" s="1" t="str">
        <f>HYPERLINK("https://www.catalog.slsa.sa.gov.au/record=b3140129")</f>
        <v>https://www.catalog.slsa.sa.gov.au/record=b3140129</v>
      </c>
      <c r="C4382" s="1" t="str">
        <f>HYPERLINK("https://www.catalog.slsa.sa.gov.au/xrecord=b3140129")</f>
        <v>https://www.catalog.slsa.sa.gov.au/xrecord=b3140129</v>
      </c>
      <c r="D4382" t="s">
        <v>13649</v>
      </c>
      <c r="E4382" t="s">
        <v>14727</v>
      </c>
      <c r="F4382">
        <v>2001</v>
      </c>
      <c r="G4382" t="s">
        <v>14728</v>
      </c>
      <c r="H4382" t="s">
        <v>14729</v>
      </c>
      <c r="I4382" t="s">
        <v>14721</v>
      </c>
      <c r="J4382" t="s">
        <v>12922</v>
      </c>
      <c r="K4382" s="2" t="str">
        <f>HYPERLINK("http://collections.slsa.sa.gov.au/resource/PRG+1718/3/26")</f>
        <v>http://collections.slsa.sa.gov.au/resource/PRG+1718/3/26</v>
      </c>
    </row>
    <row r="4383" spans="1:11" x14ac:dyDescent="0.25">
      <c r="A4383" t="s">
        <v>14730</v>
      </c>
      <c r="B4383" s="1" t="str">
        <f>HYPERLINK("https://www.catalog.slsa.sa.gov.au/record=b3140131")</f>
        <v>https://www.catalog.slsa.sa.gov.au/record=b3140131</v>
      </c>
      <c r="C4383" s="1" t="str">
        <f>HYPERLINK("https://www.catalog.slsa.sa.gov.au/xrecord=b3140131")</f>
        <v>https://www.catalog.slsa.sa.gov.au/xrecord=b3140131</v>
      </c>
      <c r="D4383" t="s">
        <v>13649</v>
      </c>
      <c r="E4383" t="s">
        <v>14723</v>
      </c>
      <c r="F4383">
        <v>2001</v>
      </c>
      <c r="G4383" t="s">
        <v>14731</v>
      </c>
      <c r="H4383" t="s">
        <v>14732</v>
      </c>
      <c r="I4383" t="s">
        <v>14733</v>
      </c>
      <c r="J4383" t="s">
        <v>12922</v>
      </c>
      <c r="K4383" s="2" t="str">
        <f>HYPERLINK("http://collections.slsa.sa.gov.au/resource/PRG+1718/3/27")</f>
        <v>http://collections.slsa.sa.gov.au/resource/PRG+1718/3/27</v>
      </c>
    </row>
    <row r="4384" spans="1:11" x14ac:dyDescent="0.25">
      <c r="A4384" t="s">
        <v>14734</v>
      </c>
      <c r="B4384" s="1" t="str">
        <f>HYPERLINK("https://www.catalog.slsa.sa.gov.au/record=b3140133")</f>
        <v>https://www.catalog.slsa.sa.gov.au/record=b3140133</v>
      </c>
      <c r="C4384" s="1" t="str">
        <f>HYPERLINK("https://www.catalog.slsa.sa.gov.au/xrecord=b3140133")</f>
        <v>https://www.catalog.slsa.sa.gov.au/xrecord=b3140133</v>
      </c>
      <c r="D4384" t="s">
        <v>13649</v>
      </c>
      <c r="E4384" t="s">
        <v>14735</v>
      </c>
      <c r="F4384">
        <v>2001</v>
      </c>
      <c r="G4384" t="s">
        <v>14416</v>
      </c>
      <c r="H4384" t="s">
        <v>14736</v>
      </c>
      <c r="I4384" t="s">
        <v>14737</v>
      </c>
      <c r="J4384" t="s">
        <v>12922</v>
      </c>
      <c r="K4384" s="2" t="str">
        <f>HYPERLINK("http://collections.slsa.sa.gov.au/resource/PRG+1718/3/28")</f>
        <v>http://collections.slsa.sa.gov.au/resource/PRG+1718/3/28</v>
      </c>
    </row>
    <row r="4385" spans="1:11" x14ac:dyDescent="0.25">
      <c r="A4385" t="s">
        <v>14738</v>
      </c>
      <c r="B4385" s="1" t="str">
        <f>HYPERLINK("https://www.catalog.slsa.sa.gov.au/record=b3140135")</f>
        <v>https://www.catalog.slsa.sa.gov.au/record=b3140135</v>
      </c>
      <c r="C4385" s="1" t="str">
        <f>HYPERLINK("https://www.catalog.slsa.sa.gov.au/xrecord=b3140135")</f>
        <v>https://www.catalog.slsa.sa.gov.au/xrecord=b3140135</v>
      </c>
      <c r="D4385" t="s">
        <v>13649</v>
      </c>
      <c r="E4385" t="s">
        <v>14723</v>
      </c>
      <c r="F4385">
        <v>2001</v>
      </c>
      <c r="G4385" t="s">
        <v>14739</v>
      </c>
      <c r="H4385" t="s">
        <v>14740</v>
      </c>
      <c r="I4385" t="s">
        <v>14741</v>
      </c>
      <c r="J4385" t="s">
        <v>12922</v>
      </c>
      <c r="K4385" s="2" t="str">
        <f>HYPERLINK("http://collections.slsa.sa.gov.au/resource/PRG+1718/3/29")</f>
        <v>http://collections.slsa.sa.gov.au/resource/PRG+1718/3/29</v>
      </c>
    </row>
    <row r="4386" spans="1:11" x14ac:dyDescent="0.25">
      <c r="A4386" t="s">
        <v>14742</v>
      </c>
      <c r="B4386" s="1" t="str">
        <f>HYPERLINK("https://www.catalog.slsa.sa.gov.au/record=b3140190")</f>
        <v>https://www.catalog.slsa.sa.gov.au/record=b3140190</v>
      </c>
      <c r="C4386" s="1" t="str">
        <f>HYPERLINK("https://www.catalog.slsa.sa.gov.au/xrecord=b3140190")</f>
        <v>https://www.catalog.slsa.sa.gov.au/xrecord=b3140190</v>
      </c>
      <c r="D4386" t="s">
        <v>13649</v>
      </c>
      <c r="E4386" t="s">
        <v>14723</v>
      </c>
      <c r="F4386">
        <v>2001</v>
      </c>
      <c r="G4386" t="s">
        <v>14743</v>
      </c>
      <c r="H4386" t="s">
        <v>14744</v>
      </c>
      <c r="I4386" t="s">
        <v>14745</v>
      </c>
      <c r="J4386" t="s">
        <v>12922</v>
      </c>
      <c r="K4386" s="2" t="str">
        <f>HYPERLINK("http://collections.slsa.sa.gov.au/resource/PRG+1718/3/30")</f>
        <v>http://collections.slsa.sa.gov.au/resource/PRG+1718/3/30</v>
      </c>
    </row>
    <row r="4387" spans="1:11" x14ac:dyDescent="0.25">
      <c r="A4387" t="s">
        <v>14746</v>
      </c>
      <c r="B4387" s="1" t="str">
        <f>HYPERLINK("https://www.catalog.slsa.sa.gov.au/record=b3140191")</f>
        <v>https://www.catalog.slsa.sa.gov.au/record=b3140191</v>
      </c>
      <c r="C4387" s="1" t="str">
        <f>HYPERLINK("https://www.catalog.slsa.sa.gov.au/xrecord=b3140191")</f>
        <v>https://www.catalog.slsa.sa.gov.au/xrecord=b3140191</v>
      </c>
      <c r="D4387" t="s">
        <v>13649</v>
      </c>
      <c r="E4387" t="s">
        <v>14723</v>
      </c>
      <c r="F4387" t="s">
        <v>14747</v>
      </c>
      <c r="G4387" t="s">
        <v>14700</v>
      </c>
      <c r="H4387" t="s">
        <v>14740</v>
      </c>
      <c r="I4387" t="s">
        <v>14741</v>
      </c>
      <c r="J4387" t="s">
        <v>12922</v>
      </c>
      <c r="K4387" s="2" t="str">
        <f>HYPERLINK("http://collections.slsa.sa.gov.au/resource/PRG+1718/3/31")</f>
        <v>http://collections.slsa.sa.gov.au/resource/PRG+1718/3/31</v>
      </c>
    </row>
    <row r="4388" spans="1:11" x14ac:dyDescent="0.25">
      <c r="A4388" t="s">
        <v>14748</v>
      </c>
      <c r="B4388" s="1" t="str">
        <f>HYPERLINK("https://www.catalog.slsa.sa.gov.au/record=b3025968")</f>
        <v>https://www.catalog.slsa.sa.gov.au/record=b3025968</v>
      </c>
      <c r="C4388" s="1" t="str">
        <f>HYPERLINK("https://www.catalog.slsa.sa.gov.au/xrecord=b3025968")</f>
        <v>https://www.catalog.slsa.sa.gov.au/xrecord=b3025968</v>
      </c>
      <c r="E4388" t="s">
        <v>14749</v>
      </c>
      <c r="F4388">
        <v>2006</v>
      </c>
      <c r="G4388" t="s">
        <v>14750</v>
      </c>
      <c r="H4388" t="s">
        <v>14751</v>
      </c>
      <c r="I4388" t="s">
        <v>3014</v>
      </c>
      <c r="J4388" t="s">
        <v>1902</v>
      </c>
      <c r="K4388" s="2" t="str">
        <f>HYPERLINK("http://collections.slsa.sa.gov.au/resource/SRG+873/1/179")</f>
        <v>http://collections.slsa.sa.gov.au/resource/SRG+873/1/179</v>
      </c>
    </row>
    <row r="4389" spans="1:11" x14ac:dyDescent="0.25">
      <c r="A4389" t="s">
        <v>14752</v>
      </c>
      <c r="B4389" s="1" t="str">
        <f>HYPERLINK("https://www.catalog.slsa.sa.gov.au/record=b3026023")</f>
        <v>https://www.catalog.slsa.sa.gov.au/record=b3026023</v>
      </c>
      <c r="C4389" s="1" t="str">
        <f>HYPERLINK("https://www.catalog.slsa.sa.gov.au/xrecord=b3026023")</f>
        <v>https://www.catalog.slsa.sa.gov.au/xrecord=b3026023</v>
      </c>
      <c r="E4389" t="s">
        <v>14753</v>
      </c>
      <c r="F4389" t="s">
        <v>14754</v>
      </c>
      <c r="G4389" t="s">
        <v>14755</v>
      </c>
      <c r="H4389" t="s">
        <v>14756</v>
      </c>
      <c r="I4389" t="s">
        <v>14757</v>
      </c>
      <c r="J4389" t="s">
        <v>1902</v>
      </c>
      <c r="K4389" s="2" t="str">
        <f>HYPERLINK("http://collections.slsa.sa.gov.au/resource/SRG+873/1/184")</f>
        <v>http://collections.slsa.sa.gov.au/resource/SRG+873/1/184</v>
      </c>
    </row>
    <row r="4390" spans="1:11" x14ac:dyDescent="0.25">
      <c r="A4390" t="s">
        <v>14758</v>
      </c>
      <c r="B4390" s="1" t="str">
        <f>HYPERLINK("https://www.catalog.slsa.sa.gov.au/record=b3026655")</f>
        <v>https://www.catalog.slsa.sa.gov.au/record=b3026655</v>
      </c>
      <c r="C4390" s="1" t="str">
        <f>HYPERLINK("https://www.catalog.slsa.sa.gov.au/xrecord=b3026655")</f>
        <v>https://www.catalog.slsa.sa.gov.au/xrecord=b3026655</v>
      </c>
      <c r="E4390" t="s">
        <v>14759</v>
      </c>
      <c r="F4390" t="s">
        <v>14754</v>
      </c>
      <c r="G4390" t="s">
        <v>14760</v>
      </c>
      <c r="H4390" t="s">
        <v>14761</v>
      </c>
      <c r="I4390" t="s">
        <v>14762</v>
      </c>
      <c r="J4390" t="s">
        <v>1902</v>
      </c>
      <c r="K4390" s="2" t="str">
        <f>HYPERLINK("http://collections.slsa.sa.gov.au/resource/SRG+873/1/261")</f>
        <v>http://collections.slsa.sa.gov.au/resource/SRG+873/1/261</v>
      </c>
    </row>
    <row r="4391" spans="1:11" x14ac:dyDescent="0.25">
      <c r="A4391" t="s">
        <v>14763</v>
      </c>
      <c r="B4391" s="1" t="str">
        <f>HYPERLINK("https://www.catalog.slsa.sa.gov.au/record=b2092122")</f>
        <v>https://www.catalog.slsa.sa.gov.au/record=b2092122</v>
      </c>
      <c r="C4391" s="1" t="str">
        <f>HYPERLINK("https://www.catalog.slsa.sa.gov.au/xrecord=b2092122")</f>
        <v>https://www.catalog.slsa.sa.gov.au/xrecord=b2092122</v>
      </c>
      <c r="E4391" t="s">
        <v>14764</v>
      </c>
      <c r="F4391">
        <v>1950</v>
      </c>
      <c r="G4391" t="s">
        <v>14765</v>
      </c>
      <c r="H4391" t="s">
        <v>14766</v>
      </c>
      <c r="I4391" t="s">
        <v>14767</v>
      </c>
      <c r="J4391" t="s">
        <v>14768</v>
      </c>
      <c r="K4391" s="2" t="str">
        <f>HYPERLINK("http://collections.slsa.sa.gov.au/mpcimg/62500/B62287_22.htm")</f>
        <v>http://collections.slsa.sa.gov.au/mpcimg/62500/B62287_22.htm</v>
      </c>
    </row>
    <row r="4392" spans="1:11" x14ac:dyDescent="0.25">
      <c r="A4392" t="s">
        <v>14769</v>
      </c>
      <c r="B4392" s="1" t="str">
        <f>HYPERLINK("https://www.catalog.slsa.sa.gov.au/record=b2018450")</f>
        <v>https://www.catalog.slsa.sa.gov.au/record=b2018450</v>
      </c>
      <c r="C4392" s="1" t="str">
        <f>HYPERLINK("https://www.catalog.slsa.sa.gov.au/xrecord=b2018450")</f>
        <v>https://www.catalog.slsa.sa.gov.au/xrecord=b2018450</v>
      </c>
      <c r="E4392" t="s">
        <v>14770</v>
      </c>
      <c r="F4392">
        <v>1950</v>
      </c>
      <c r="G4392" t="s">
        <v>14771</v>
      </c>
      <c r="H4392" t="s">
        <v>14772</v>
      </c>
      <c r="I4392" t="s">
        <v>14773</v>
      </c>
      <c r="J4392" t="s">
        <v>14774</v>
      </c>
      <c r="K4392" s="2" t="str">
        <f>HYPERLINK("http://collections.slsa.sa.gov.au/mpcimg/18750/B18692.htm")</f>
        <v>http://collections.slsa.sa.gov.au/mpcimg/18750/B18692.htm</v>
      </c>
    </row>
    <row r="4393" spans="1:11" x14ac:dyDescent="0.25">
      <c r="A4393" t="s">
        <v>14775</v>
      </c>
      <c r="B4393" s="1" t="str">
        <f>HYPERLINK("https://www.catalog.slsa.sa.gov.au/record=b2018755")</f>
        <v>https://www.catalog.slsa.sa.gov.au/record=b2018755</v>
      </c>
      <c r="C4393" s="1" t="str">
        <f>HYPERLINK("https://www.catalog.slsa.sa.gov.au/xrecord=b2018755")</f>
        <v>https://www.catalog.slsa.sa.gov.au/xrecord=b2018755</v>
      </c>
      <c r="E4393" t="s">
        <v>14776</v>
      </c>
      <c r="F4393">
        <v>1950</v>
      </c>
      <c r="G4393" t="s">
        <v>14777</v>
      </c>
      <c r="H4393" t="s">
        <v>14778</v>
      </c>
      <c r="I4393" t="s">
        <v>14779</v>
      </c>
      <c r="J4393" t="s">
        <v>14780</v>
      </c>
      <c r="K4393" s="2" t="str">
        <f>HYPERLINK("http://collections.slsa.sa.gov.au/mpcimg/32750/B32598.htm")</f>
        <v>http://collections.slsa.sa.gov.au/mpcimg/32750/B32598.htm</v>
      </c>
    </row>
    <row r="4394" spans="1:11" x14ac:dyDescent="0.25">
      <c r="A4394" t="s">
        <v>14781</v>
      </c>
      <c r="B4394" s="1" t="str">
        <f>HYPERLINK("https://www.catalog.slsa.sa.gov.au/record=b2018756")</f>
        <v>https://www.catalog.slsa.sa.gov.au/record=b2018756</v>
      </c>
      <c r="C4394" s="1" t="str">
        <f>HYPERLINK("https://www.catalog.slsa.sa.gov.au/xrecord=b2018756")</f>
        <v>https://www.catalog.slsa.sa.gov.au/xrecord=b2018756</v>
      </c>
      <c r="E4394" t="s">
        <v>14776</v>
      </c>
      <c r="F4394">
        <v>1950</v>
      </c>
      <c r="G4394" t="s">
        <v>14782</v>
      </c>
      <c r="H4394" t="s">
        <v>14783</v>
      </c>
      <c r="I4394" t="s">
        <v>14779</v>
      </c>
      <c r="J4394" t="s">
        <v>14780</v>
      </c>
      <c r="K4394" s="2" t="str">
        <f>HYPERLINK("http://collections.slsa.sa.gov.au/mpcimg/32750/B32599.htm")</f>
        <v>http://collections.slsa.sa.gov.au/mpcimg/32750/B32599.htm</v>
      </c>
    </row>
    <row r="4395" spans="1:11" x14ac:dyDescent="0.25">
      <c r="A4395" t="s">
        <v>14784</v>
      </c>
      <c r="B4395" s="1" t="str">
        <f>HYPERLINK("https://www.catalog.slsa.sa.gov.au/record=b2019107")</f>
        <v>https://www.catalog.slsa.sa.gov.au/record=b2019107</v>
      </c>
      <c r="C4395" s="1" t="str">
        <f>HYPERLINK("https://www.catalog.slsa.sa.gov.au/xrecord=b2019107")</f>
        <v>https://www.catalog.slsa.sa.gov.au/xrecord=b2019107</v>
      </c>
      <c r="D4395" t="s">
        <v>14785</v>
      </c>
      <c r="E4395" t="s">
        <v>14786</v>
      </c>
      <c r="F4395">
        <v>1950</v>
      </c>
      <c r="G4395" t="s">
        <v>14787</v>
      </c>
      <c r="H4395" t="s">
        <v>14788</v>
      </c>
      <c r="I4395" t="s">
        <v>14789</v>
      </c>
      <c r="J4395" t="s">
        <v>14790</v>
      </c>
      <c r="K4395" s="2" t="str">
        <f>HYPERLINK("http://collections.slsa.sa.gov.au/mpcimg/12000/B11965.htm")</f>
        <v>http://collections.slsa.sa.gov.au/mpcimg/12000/B11965.htm</v>
      </c>
    </row>
    <row r="4396" spans="1:11" x14ac:dyDescent="0.25">
      <c r="A4396" t="s">
        <v>14791</v>
      </c>
      <c r="B4396" s="1" t="str">
        <f>HYPERLINK("https://www.catalog.slsa.sa.gov.au/record=b2019252")</f>
        <v>https://www.catalog.slsa.sa.gov.au/record=b2019252</v>
      </c>
      <c r="C4396" s="1" t="str">
        <f>HYPERLINK("https://www.catalog.slsa.sa.gov.au/xrecord=b2019252")</f>
        <v>https://www.catalog.slsa.sa.gov.au/xrecord=b2019252</v>
      </c>
      <c r="E4396" t="s">
        <v>14792</v>
      </c>
      <c r="F4396">
        <v>1950</v>
      </c>
      <c r="G4396" t="s">
        <v>14793</v>
      </c>
      <c r="H4396" t="s">
        <v>14794</v>
      </c>
      <c r="I4396" t="s">
        <v>14795</v>
      </c>
      <c r="J4396" t="s">
        <v>14796</v>
      </c>
      <c r="K4396" s="2" t="str">
        <f>HYPERLINK("http://collections.slsa.sa.gov.au/mpcimg/31500/B31333.htm")</f>
        <v>http://collections.slsa.sa.gov.au/mpcimg/31500/B31333.htm</v>
      </c>
    </row>
    <row r="4397" spans="1:11" x14ac:dyDescent="0.25">
      <c r="A4397" t="s">
        <v>14797</v>
      </c>
      <c r="B4397" s="1" t="str">
        <f>HYPERLINK("https://www.catalog.slsa.sa.gov.au/record=b2019254")</f>
        <v>https://www.catalog.slsa.sa.gov.au/record=b2019254</v>
      </c>
      <c r="C4397" s="1" t="str">
        <f>HYPERLINK("https://www.catalog.slsa.sa.gov.au/xrecord=b2019254")</f>
        <v>https://www.catalog.slsa.sa.gov.au/xrecord=b2019254</v>
      </c>
      <c r="E4397" t="s">
        <v>14798</v>
      </c>
      <c r="F4397">
        <v>1950</v>
      </c>
      <c r="G4397" t="s">
        <v>14799</v>
      </c>
      <c r="H4397" t="s">
        <v>14800</v>
      </c>
      <c r="I4397" t="s">
        <v>14801</v>
      </c>
      <c r="J4397" t="s">
        <v>14796</v>
      </c>
      <c r="K4397" s="2" t="str">
        <f>HYPERLINK("http://collections.slsa.sa.gov.au/mpcimg/31500/B31335.htm")</f>
        <v>http://collections.slsa.sa.gov.au/mpcimg/31500/B31335.htm</v>
      </c>
    </row>
    <row r="4398" spans="1:11" x14ac:dyDescent="0.25">
      <c r="A4398" t="s">
        <v>14802</v>
      </c>
      <c r="B4398" s="1" t="str">
        <f>HYPERLINK("https://www.catalog.slsa.sa.gov.au/record=b2019256")</f>
        <v>https://www.catalog.slsa.sa.gov.au/record=b2019256</v>
      </c>
      <c r="C4398" s="1" t="str">
        <f>HYPERLINK("https://www.catalog.slsa.sa.gov.au/xrecord=b2019256")</f>
        <v>https://www.catalog.slsa.sa.gov.au/xrecord=b2019256</v>
      </c>
      <c r="E4398" t="s">
        <v>14803</v>
      </c>
      <c r="F4398">
        <v>1950</v>
      </c>
      <c r="G4398" t="s">
        <v>14804</v>
      </c>
      <c r="H4398" t="s">
        <v>14805</v>
      </c>
      <c r="I4398" t="s">
        <v>14806</v>
      </c>
      <c r="J4398" t="s">
        <v>14796</v>
      </c>
      <c r="K4398" s="2" t="str">
        <f>HYPERLINK("http://collections.slsa.sa.gov.au/mpcimg/31500/B31337.htm")</f>
        <v>http://collections.slsa.sa.gov.au/mpcimg/31500/B31337.htm</v>
      </c>
    </row>
    <row r="4399" spans="1:11" x14ac:dyDescent="0.25">
      <c r="A4399" t="s">
        <v>14807</v>
      </c>
      <c r="B4399" s="1" t="str">
        <f>HYPERLINK("https://www.catalog.slsa.sa.gov.au/record=b2019353")</f>
        <v>https://www.catalog.slsa.sa.gov.au/record=b2019353</v>
      </c>
      <c r="C4399" s="1" t="str">
        <f>HYPERLINK("https://www.catalog.slsa.sa.gov.au/xrecord=b2019353")</f>
        <v>https://www.catalog.slsa.sa.gov.au/xrecord=b2019353</v>
      </c>
      <c r="E4399" t="s">
        <v>14808</v>
      </c>
      <c r="F4399">
        <v>1950</v>
      </c>
      <c r="G4399" t="s">
        <v>14809</v>
      </c>
      <c r="H4399" t="s">
        <v>14810</v>
      </c>
      <c r="I4399" t="s">
        <v>14811</v>
      </c>
      <c r="J4399" t="s">
        <v>14796</v>
      </c>
      <c r="K4399" s="2" t="str">
        <f>HYPERLINK("http://collections.slsa.sa.gov.au/mpcimg/37000/B36931.htm")</f>
        <v>http://collections.slsa.sa.gov.au/mpcimg/37000/B36931.htm</v>
      </c>
    </row>
    <row r="4400" spans="1:11" x14ac:dyDescent="0.25">
      <c r="A4400" t="s">
        <v>14812</v>
      </c>
      <c r="B4400" s="1" t="str">
        <f>HYPERLINK("https://www.catalog.slsa.sa.gov.au/record=b2019354")</f>
        <v>https://www.catalog.slsa.sa.gov.au/record=b2019354</v>
      </c>
      <c r="C4400" s="1" t="str">
        <f>HYPERLINK("https://www.catalog.slsa.sa.gov.au/xrecord=b2019354")</f>
        <v>https://www.catalog.slsa.sa.gov.au/xrecord=b2019354</v>
      </c>
      <c r="E4400" t="s">
        <v>14813</v>
      </c>
      <c r="F4400">
        <v>1950</v>
      </c>
      <c r="G4400" t="s">
        <v>14809</v>
      </c>
      <c r="H4400" t="s">
        <v>14814</v>
      </c>
      <c r="I4400" t="s">
        <v>14815</v>
      </c>
      <c r="J4400" t="s">
        <v>14796</v>
      </c>
      <c r="K4400" s="2" t="str">
        <f>HYPERLINK("http://collections.slsa.sa.gov.au/mpcimg/37000/B36932.htm")</f>
        <v>http://collections.slsa.sa.gov.au/mpcimg/37000/B36932.htm</v>
      </c>
    </row>
    <row r="4401" spans="1:11" x14ac:dyDescent="0.25">
      <c r="A4401" t="s">
        <v>14816</v>
      </c>
      <c r="B4401" s="1" t="str">
        <f>HYPERLINK("https://www.catalog.slsa.sa.gov.au/record=b2019355")</f>
        <v>https://www.catalog.slsa.sa.gov.au/record=b2019355</v>
      </c>
      <c r="C4401" s="1" t="str">
        <f>HYPERLINK("https://www.catalog.slsa.sa.gov.au/xrecord=b2019355")</f>
        <v>https://www.catalog.slsa.sa.gov.au/xrecord=b2019355</v>
      </c>
      <c r="E4401" t="s">
        <v>14817</v>
      </c>
      <c r="F4401">
        <v>1950</v>
      </c>
      <c r="G4401" t="s">
        <v>14809</v>
      </c>
      <c r="H4401" t="s">
        <v>14818</v>
      </c>
      <c r="I4401" t="s">
        <v>14819</v>
      </c>
      <c r="J4401" t="s">
        <v>14796</v>
      </c>
      <c r="K4401" s="2" t="str">
        <f>HYPERLINK("http://collections.slsa.sa.gov.au/mpcimg/37000/B36933.htm")</f>
        <v>http://collections.slsa.sa.gov.au/mpcimg/37000/B36933.htm</v>
      </c>
    </row>
    <row r="4402" spans="1:11" x14ac:dyDescent="0.25">
      <c r="A4402" t="s">
        <v>14820</v>
      </c>
      <c r="B4402" s="1" t="str">
        <f>HYPERLINK("https://www.catalog.slsa.sa.gov.au/record=b2019356")</f>
        <v>https://www.catalog.slsa.sa.gov.au/record=b2019356</v>
      </c>
      <c r="C4402" s="1" t="str">
        <f>HYPERLINK("https://www.catalog.slsa.sa.gov.au/xrecord=b2019356")</f>
        <v>https://www.catalog.slsa.sa.gov.au/xrecord=b2019356</v>
      </c>
      <c r="E4402" t="s">
        <v>14817</v>
      </c>
      <c r="F4402">
        <v>1950</v>
      </c>
      <c r="G4402" t="s">
        <v>14809</v>
      </c>
      <c r="H4402" t="s">
        <v>14821</v>
      </c>
      <c r="I4402" t="s">
        <v>14819</v>
      </c>
      <c r="J4402" t="s">
        <v>14796</v>
      </c>
      <c r="K4402" s="2" t="str">
        <f>HYPERLINK("http://collections.slsa.sa.gov.au/mpcimg/37000/B36934.htm")</f>
        <v>http://collections.slsa.sa.gov.au/mpcimg/37000/B36934.htm</v>
      </c>
    </row>
    <row r="4403" spans="1:11" x14ac:dyDescent="0.25">
      <c r="A4403" t="s">
        <v>14822</v>
      </c>
      <c r="B4403" s="1" t="str">
        <f>HYPERLINK("https://www.catalog.slsa.sa.gov.au/record=b2019357")</f>
        <v>https://www.catalog.slsa.sa.gov.au/record=b2019357</v>
      </c>
      <c r="C4403" s="1" t="str">
        <f>HYPERLINK("https://www.catalog.slsa.sa.gov.au/xrecord=b2019357")</f>
        <v>https://www.catalog.slsa.sa.gov.au/xrecord=b2019357</v>
      </c>
      <c r="E4403" t="s">
        <v>14823</v>
      </c>
      <c r="F4403">
        <v>1950</v>
      </c>
      <c r="G4403" t="s">
        <v>14809</v>
      </c>
      <c r="H4403" t="s">
        <v>14824</v>
      </c>
      <c r="I4403" t="s">
        <v>14819</v>
      </c>
      <c r="J4403" t="s">
        <v>14796</v>
      </c>
      <c r="K4403" s="2" t="str">
        <f>HYPERLINK("http://collections.slsa.sa.gov.au/mpcimg/37000/B36935.htm")</f>
        <v>http://collections.slsa.sa.gov.au/mpcimg/37000/B36935.htm</v>
      </c>
    </row>
    <row r="4404" spans="1:11" x14ac:dyDescent="0.25">
      <c r="A4404" t="s">
        <v>14825</v>
      </c>
      <c r="B4404" s="1" t="str">
        <f>HYPERLINK("https://www.catalog.slsa.sa.gov.au/record=b2019508")</f>
        <v>https://www.catalog.slsa.sa.gov.au/record=b2019508</v>
      </c>
      <c r="C4404" s="1" t="str">
        <f>HYPERLINK("https://www.catalog.slsa.sa.gov.au/xrecord=b2019508")</f>
        <v>https://www.catalog.slsa.sa.gov.au/xrecord=b2019508</v>
      </c>
      <c r="E4404" t="s">
        <v>14826</v>
      </c>
      <c r="F4404">
        <v>1950</v>
      </c>
      <c r="G4404" t="s">
        <v>14827</v>
      </c>
      <c r="H4404" t="s">
        <v>14828</v>
      </c>
      <c r="I4404" t="s">
        <v>14829</v>
      </c>
      <c r="J4404" t="s">
        <v>14830</v>
      </c>
      <c r="K4404" s="2" t="str">
        <f>HYPERLINK("http://collections.slsa.sa.gov.au/mpcimg/21500/B21397.htm")</f>
        <v>http://collections.slsa.sa.gov.au/mpcimg/21500/B21397.htm</v>
      </c>
    </row>
    <row r="4405" spans="1:11" x14ac:dyDescent="0.25">
      <c r="A4405" t="s">
        <v>14831</v>
      </c>
      <c r="B4405" s="1" t="str">
        <f>HYPERLINK("https://www.catalog.slsa.sa.gov.au/record=b2020342")</f>
        <v>https://www.catalog.slsa.sa.gov.au/record=b2020342</v>
      </c>
      <c r="C4405" s="1" t="str">
        <f>HYPERLINK("https://www.catalog.slsa.sa.gov.au/xrecord=b2020342")</f>
        <v>https://www.catalog.slsa.sa.gov.au/xrecord=b2020342</v>
      </c>
      <c r="E4405" t="s">
        <v>14832</v>
      </c>
      <c r="F4405">
        <v>1950</v>
      </c>
      <c r="G4405" t="s">
        <v>14833</v>
      </c>
      <c r="H4405" t="s">
        <v>14834</v>
      </c>
      <c r="I4405" t="s">
        <v>14835</v>
      </c>
      <c r="J4405" t="s">
        <v>14836</v>
      </c>
      <c r="K4405" s="2" t="str">
        <f>HYPERLINK("http://collections.slsa.sa.gov.au/mpcimg/47000/B46751.htm")</f>
        <v>http://collections.slsa.sa.gov.au/mpcimg/47000/B46751.htm</v>
      </c>
    </row>
    <row r="4406" spans="1:11" x14ac:dyDescent="0.25">
      <c r="A4406" t="s">
        <v>14837</v>
      </c>
      <c r="B4406" s="1" t="str">
        <f>HYPERLINK("https://www.catalog.slsa.sa.gov.au/record=b2020829")</f>
        <v>https://www.catalog.slsa.sa.gov.au/record=b2020829</v>
      </c>
      <c r="C4406" s="1" t="str">
        <f>HYPERLINK("https://www.catalog.slsa.sa.gov.au/xrecord=b2020829")</f>
        <v>https://www.catalog.slsa.sa.gov.au/xrecord=b2020829</v>
      </c>
      <c r="E4406" t="s">
        <v>14838</v>
      </c>
      <c r="F4406">
        <v>1950</v>
      </c>
      <c r="G4406" t="s">
        <v>14809</v>
      </c>
      <c r="H4406" t="s">
        <v>14839</v>
      </c>
      <c r="I4406" t="s">
        <v>14840</v>
      </c>
      <c r="J4406" t="s">
        <v>14841</v>
      </c>
      <c r="K4406" s="2" t="str">
        <f>HYPERLINK("http://collections.slsa.sa.gov.au/mpcimg/37500/B37369.htm")</f>
        <v>http://collections.slsa.sa.gov.au/mpcimg/37500/B37369.htm</v>
      </c>
    </row>
    <row r="4407" spans="1:11" x14ac:dyDescent="0.25">
      <c r="A4407" t="s">
        <v>14842</v>
      </c>
      <c r="B4407" s="1" t="str">
        <f>HYPERLINK("https://www.catalog.slsa.sa.gov.au/record=b2020830")</f>
        <v>https://www.catalog.slsa.sa.gov.au/record=b2020830</v>
      </c>
      <c r="C4407" s="1" t="str">
        <f>HYPERLINK("https://www.catalog.slsa.sa.gov.au/xrecord=b2020830")</f>
        <v>https://www.catalog.slsa.sa.gov.au/xrecord=b2020830</v>
      </c>
      <c r="E4407" t="s">
        <v>14843</v>
      </c>
      <c r="F4407">
        <v>1950</v>
      </c>
      <c r="G4407" t="s">
        <v>14809</v>
      </c>
      <c r="H4407" t="s">
        <v>14844</v>
      </c>
      <c r="I4407" t="s">
        <v>14845</v>
      </c>
      <c r="J4407" t="s">
        <v>14841</v>
      </c>
      <c r="K4407" s="2" t="str">
        <f>HYPERLINK("http://collections.slsa.sa.gov.au/mpcimg/37500/B37370.htm")</f>
        <v>http://collections.slsa.sa.gov.au/mpcimg/37500/B37370.htm</v>
      </c>
    </row>
    <row r="4408" spans="1:11" x14ac:dyDescent="0.25">
      <c r="A4408" t="s">
        <v>14846</v>
      </c>
      <c r="B4408" s="1" t="str">
        <f>HYPERLINK("https://www.catalog.slsa.sa.gov.au/record=b2021168")</f>
        <v>https://www.catalog.slsa.sa.gov.au/record=b2021168</v>
      </c>
      <c r="C4408" s="1" t="str">
        <f>HYPERLINK("https://www.catalog.slsa.sa.gov.au/xrecord=b2021168")</f>
        <v>https://www.catalog.slsa.sa.gov.au/xrecord=b2021168</v>
      </c>
      <c r="E4408" t="s">
        <v>14847</v>
      </c>
      <c r="F4408">
        <v>1950</v>
      </c>
      <c r="G4408" t="s">
        <v>14848</v>
      </c>
      <c r="H4408" t="s">
        <v>14849</v>
      </c>
      <c r="I4408" t="s">
        <v>14850</v>
      </c>
      <c r="J4408" t="s">
        <v>14851</v>
      </c>
      <c r="K4408" s="2" t="str">
        <f>HYPERLINK("http://collections.slsa.sa.gov.au/mpcimg/48000/B47824.htm")</f>
        <v>http://collections.slsa.sa.gov.au/mpcimg/48000/B47824.htm</v>
      </c>
    </row>
    <row r="4409" spans="1:11" x14ac:dyDescent="0.25">
      <c r="A4409" t="s">
        <v>14852</v>
      </c>
      <c r="B4409" s="1" t="str">
        <f>HYPERLINK("https://www.catalog.slsa.sa.gov.au/record=b2022109")</f>
        <v>https://www.catalog.slsa.sa.gov.au/record=b2022109</v>
      </c>
      <c r="C4409" s="1" t="str">
        <f>HYPERLINK("https://www.catalog.slsa.sa.gov.au/xrecord=b2022109")</f>
        <v>https://www.catalog.slsa.sa.gov.au/xrecord=b2022109</v>
      </c>
      <c r="E4409" t="s">
        <v>14853</v>
      </c>
      <c r="F4409">
        <v>1950</v>
      </c>
      <c r="G4409" t="s">
        <v>14854</v>
      </c>
      <c r="H4409" t="s">
        <v>14855</v>
      </c>
      <c r="I4409" t="s">
        <v>14856</v>
      </c>
      <c r="J4409" t="s">
        <v>14857</v>
      </c>
      <c r="K4409" s="2" t="str">
        <f>HYPERLINK("http://collections.slsa.sa.gov.au/mpcimg/41500/B41263.htm")</f>
        <v>http://collections.slsa.sa.gov.au/mpcimg/41500/B41263.htm</v>
      </c>
    </row>
    <row r="4410" spans="1:11" x14ac:dyDescent="0.25">
      <c r="A4410" t="s">
        <v>14858</v>
      </c>
      <c r="B4410" s="1" t="str">
        <f>HYPERLINK("https://www.catalog.slsa.sa.gov.au/record=b2022112")</f>
        <v>https://www.catalog.slsa.sa.gov.au/record=b2022112</v>
      </c>
      <c r="C4410" s="1" t="str">
        <f>HYPERLINK("https://www.catalog.slsa.sa.gov.au/xrecord=b2022112")</f>
        <v>https://www.catalog.slsa.sa.gov.au/xrecord=b2022112</v>
      </c>
      <c r="E4410" t="s">
        <v>14853</v>
      </c>
      <c r="F4410">
        <v>1950</v>
      </c>
      <c r="G4410" t="s">
        <v>14859</v>
      </c>
      <c r="H4410" t="s">
        <v>14860</v>
      </c>
      <c r="I4410" t="s">
        <v>14856</v>
      </c>
      <c r="J4410" t="s">
        <v>14857</v>
      </c>
      <c r="K4410" s="2" t="str">
        <f>HYPERLINK("http://collections.slsa.sa.gov.au/mpcimg/41500/B41266.htm")</f>
        <v>http://collections.slsa.sa.gov.au/mpcimg/41500/B41266.htm</v>
      </c>
    </row>
    <row r="4411" spans="1:11" x14ac:dyDescent="0.25">
      <c r="A4411" t="s">
        <v>14861</v>
      </c>
      <c r="B4411" s="1" t="str">
        <f>HYPERLINK("https://www.catalog.slsa.sa.gov.au/record=b2022997")</f>
        <v>https://www.catalog.slsa.sa.gov.au/record=b2022997</v>
      </c>
      <c r="C4411" s="1" t="str">
        <f>HYPERLINK("https://www.catalog.slsa.sa.gov.au/xrecord=b2022997")</f>
        <v>https://www.catalog.slsa.sa.gov.au/xrecord=b2022997</v>
      </c>
      <c r="D4411" t="s">
        <v>14862</v>
      </c>
      <c r="E4411" t="s">
        <v>14863</v>
      </c>
      <c r="F4411">
        <v>1950</v>
      </c>
      <c r="G4411" t="s">
        <v>14864</v>
      </c>
      <c r="H4411" t="s">
        <v>14865</v>
      </c>
      <c r="I4411" t="s">
        <v>14866</v>
      </c>
      <c r="J4411" t="s">
        <v>14867</v>
      </c>
      <c r="K4411" s="2" t="str">
        <f>HYPERLINK("http://collections.slsa.sa.gov.au/mpcimg/12250/B12233.htm")</f>
        <v>http://collections.slsa.sa.gov.au/mpcimg/12250/B12233.htm</v>
      </c>
    </row>
    <row r="4412" spans="1:11" x14ac:dyDescent="0.25">
      <c r="A4412" t="s">
        <v>14868</v>
      </c>
      <c r="B4412" s="1" t="str">
        <f>HYPERLINK("https://www.catalog.slsa.sa.gov.au/record=b2024566")</f>
        <v>https://www.catalog.slsa.sa.gov.au/record=b2024566</v>
      </c>
      <c r="C4412" s="1" t="str">
        <f>HYPERLINK("https://www.catalog.slsa.sa.gov.au/xrecord=b2024566")</f>
        <v>https://www.catalog.slsa.sa.gov.au/xrecord=b2024566</v>
      </c>
      <c r="E4412" t="s">
        <v>14869</v>
      </c>
      <c r="F4412">
        <v>1950</v>
      </c>
      <c r="G4412" t="s">
        <v>14870</v>
      </c>
      <c r="H4412" t="s">
        <v>14871</v>
      </c>
      <c r="I4412" t="s">
        <v>14872</v>
      </c>
      <c r="J4412" t="s">
        <v>14873</v>
      </c>
      <c r="K4412" s="2" t="str">
        <f>HYPERLINK("http://collections.slsa.sa.gov.au/mpcimg/24500/B24453.htm")</f>
        <v>http://collections.slsa.sa.gov.au/mpcimg/24500/B24453.htm</v>
      </c>
    </row>
    <row r="4413" spans="1:11" x14ac:dyDescent="0.25">
      <c r="A4413" t="s">
        <v>14874</v>
      </c>
      <c r="B4413" s="1" t="str">
        <f>HYPERLINK("https://www.catalog.slsa.sa.gov.au/record=b2024567")</f>
        <v>https://www.catalog.slsa.sa.gov.au/record=b2024567</v>
      </c>
      <c r="C4413" s="1" t="str">
        <f>HYPERLINK("https://www.catalog.slsa.sa.gov.au/xrecord=b2024567")</f>
        <v>https://www.catalog.slsa.sa.gov.au/xrecord=b2024567</v>
      </c>
      <c r="E4413" t="s">
        <v>14869</v>
      </c>
      <c r="F4413">
        <v>1950</v>
      </c>
      <c r="G4413" t="s">
        <v>14875</v>
      </c>
      <c r="H4413" t="s">
        <v>14876</v>
      </c>
      <c r="I4413" t="s">
        <v>14872</v>
      </c>
      <c r="J4413" t="s">
        <v>14873</v>
      </c>
      <c r="K4413" s="2" t="str">
        <f>HYPERLINK("http://collections.slsa.sa.gov.au/mpcimg/24500/B24454.htm")</f>
        <v>http://collections.slsa.sa.gov.au/mpcimg/24500/B24454.htm</v>
      </c>
    </row>
    <row r="4414" spans="1:11" x14ac:dyDescent="0.25">
      <c r="A4414" t="s">
        <v>14877</v>
      </c>
      <c r="B4414" s="1" t="str">
        <f>HYPERLINK("https://www.catalog.slsa.sa.gov.au/record=b2024568")</f>
        <v>https://www.catalog.slsa.sa.gov.au/record=b2024568</v>
      </c>
      <c r="C4414" s="1" t="str">
        <f>HYPERLINK("https://www.catalog.slsa.sa.gov.au/xrecord=b2024568")</f>
        <v>https://www.catalog.slsa.sa.gov.au/xrecord=b2024568</v>
      </c>
      <c r="E4414" t="s">
        <v>14869</v>
      </c>
      <c r="F4414">
        <v>1950</v>
      </c>
      <c r="G4414" t="s">
        <v>14878</v>
      </c>
      <c r="H4414" t="s">
        <v>14879</v>
      </c>
      <c r="J4414" t="s">
        <v>14873</v>
      </c>
      <c r="K4414" s="2" t="str">
        <f>HYPERLINK("http://collections.slsa.sa.gov.au/mpcimg/24500/B24455.htm")</f>
        <v>http://collections.slsa.sa.gov.au/mpcimg/24500/B24455.htm</v>
      </c>
    </row>
    <row r="4415" spans="1:11" x14ac:dyDescent="0.25">
      <c r="A4415" t="s">
        <v>14880</v>
      </c>
      <c r="B4415" s="1" t="str">
        <f>HYPERLINK("https://www.catalog.slsa.sa.gov.au/record=b2026274")</f>
        <v>https://www.catalog.slsa.sa.gov.au/record=b2026274</v>
      </c>
      <c r="C4415" s="1" t="str">
        <f>HYPERLINK("https://www.catalog.slsa.sa.gov.au/xrecord=b2026274")</f>
        <v>https://www.catalog.slsa.sa.gov.au/xrecord=b2026274</v>
      </c>
      <c r="D4415" t="s">
        <v>14881</v>
      </c>
      <c r="E4415" t="s">
        <v>14882</v>
      </c>
      <c r="F4415">
        <v>1950</v>
      </c>
      <c r="G4415" t="s">
        <v>14883</v>
      </c>
      <c r="H4415" t="s">
        <v>14884</v>
      </c>
      <c r="I4415" t="s">
        <v>14885</v>
      </c>
      <c r="J4415" t="s">
        <v>14886</v>
      </c>
      <c r="K4415" s="2" t="str">
        <f>HYPERLINK("http://collections.slsa.sa.gov.au/mpcimg/12000/B11962.htm")</f>
        <v>http://collections.slsa.sa.gov.au/mpcimg/12000/B11962.htm</v>
      </c>
    </row>
    <row r="4416" spans="1:11" x14ac:dyDescent="0.25">
      <c r="A4416" t="s">
        <v>14887</v>
      </c>
      <c r="B4416" s="1" t="str">
        <f>HYPERLINK("https://www.catalog.slsa.sa.gov.au/record=b2026549")</f>
        <v>https://www.catalog.slsa.sa.gov.au/record=b2026549</v>
      </c>
      <c r="C4416" s="1" t="str">
        <f>HYPERLINK("https://www.catalog.slsa.sa.gov.au/xrecord=b2026549")</f>
        <v>https://www.catalog.slsa.sa.gov.au/xrecord=b2026549</v>
      </c>
      <c r="E4416" t="s">
        <v>14888</v>
      </c>
      <c r="F4416">
        <v>1950</v>
      </c>
      <c r="G4416" t="s">
        <v>14889</v>
      </c>
      <c r="H4416" t="s">
        <v>14890</v>
      </c>
      <c r="I4416" t="s">
        <v>14891</v>
      </c>
      <c r="J4416" t="s">
        <v>14892</v>
      </c>
      <c r="K4416" s="2" t="str">
        <f>HYPERLINK("http://collections.slsa.sa.gov.au/mpcimg/50000/B49800.htm")</f>
        <v>http://collections.slsa.sa.gov.au/mpcimg/50000/B49800.htm</v>
      </c>
    </row>
    <row r="4417" spans="1:11" x14ac:dyDescent="0.25">
      <c r="A4417" t="s">
        <v>14893</v>
      </c>
      <c r="B4417" s="1" t="str">
        <f>HYPERLINK("https://www.catalog.slsa.sa.gov.au/record=b2027916")</f>
        <v>https://www.catalog.slsa.sa.gov.au/record=b2027916</v>
      </c>
      <c r="C4417" s="1" t="str">
        <f>HYPERLINK("https://www.catalog.slsa.sa.gov.au/xrecord=b2027916")</f>
        <v>https://www.catalog.slsa.sa.gov.au/xrecord=b2027916</v>
      </c>
      <c r="D4417" t="s">
        <v>14894</v>
      </c>
      <c r="E4417" t="s">
        <v>14895</v>
      </c>
      <c r="F4417">
        <v>1950</v>
      </c>
      <c r="G4417" t="s">
        <v>14896</v>
      </c>
      <c r="H4417" t="s">
        <v>14897</v>
      </c>
      <c r="I4417" t="s">
        <v>14898</v>
      </c>
      <c r="J4417" t="s">
        <v>14899</v>
      </c>
      <c r="K4417" s="2" t="str">
        <f>HYPERLINK("http://collections.slsa.sa.gov.au/mpcimg/20500/B20301.htm")</f>
        <v>http://collections.slsa.sa.gov.au/mpcimg/20500/B20301.htm</v>
      </c>
    </row>
    <row r="4418" spans="1:11" x14ac:dyDescent="0.25">
      <c r="A4418" t="s">
        <v>14900</v>
      </c>
      <c r="B4418" s="1" t="str">
        <f>HYPERLINK("https://www.catalog.slsa.sa.gov.au/record=b2027917")</f>
        <v>https://www.catalog.slsa.sa.gov.au/record=b2027917</v>
      </c>
      <c r="C4418" s="1" t="str">
        <f>HYPERLINK("https://www.catalog.slsa.sa.gov.au/xrecord=b2027917")</f>
        <v>https://www.catalog.slsa.sa.gov.au/xrecord=b2027917</v>
      </c>
      <c r="D4418" t="s">
        <v>14894</v>
      </c>
      <c r="E4418" t="s">
        <v>14895</v>
      </c>
      <c r="F4418">
        <v>1950</v>
      </c>
      <c r="G4418" t="s">
        <v>14809</v>
      </c>
      <c r="H4418" t="s">
        <v>14897</v>
      </c>
      <c r="I4418" t="s">
        <v>14898</v>
      </c>
      <c r="J4418" t="s">
        <v>14899</v>
      </c>
      <c r="K4418" s="2" t="str">
        <f>HYPERLINK("http://collections.slsa.sa.gov.au/mpcimg/20500/B20302.htm")</f>
        <v>http://collections.slsa.sa.gov.au/mpcimg/20500/B20302.htm</v>
      </c>
    </row>
    <row r="4419" spans="1:11" x14ac:dyDescent="0.25">
      <c r="A4419" t="s">
        <v>14901</v>
      </c>
      <c r="B4419" s="1" t="str">
        <f>HYPERLINK("https://www.catalog.slsa.sa.gov.au/record=b2028694")</f>
        <v>https://www.catalog.slsa.sa.gov.au/record=b2028694</v>
      </c>
      <c r="C4419" s="1" t="str">
        <f>HYPERLINK("https://www.catalog.slsa.sa.gov.au/xrecord=b2028694")</f>
        <v>https://www.catalog.slsa.sa.gov.au/xrecord=b2028694</v>
      </c>
      <c r="E4419" t="s">
        <v>14902</v>
      </c>
      <c r="F4419">
        <v>1950</v>
      </c>
      <c r="G4419" t="s">
        <v>14903</v>
      </c>
      <c r="H4419" t="s">
        <v>14904</v>
      </c>
      <c r="I4419" t="s">
        <v>14905</v>
      </c>
      <c r="J4419" t="s">
        <v>14906</v>
      </c>
      <c r="K4419" s="2" t="str">
        <f>HYPERLINK("http://collections.slsa.sa.gov.au/mpcimg/41500/B41268.htm")</f>
        <v>http://collections.slsa.sa.gov.au/mpcimg/41500/B41268.htm</v>
      </c>
    </row>
    <row r="4420" spans="1:11" x14ac:dyDescent="0.25">
      <c r="A4420" t="s">
        <v>14907</v>
      </c>
      <c r="B4420" s="1" t="str">
        <f>HYPERLINK("https://www.catalog.slsa.sa.gov.au/record=b2029575")</f>
        <v>https://www.catalog.slsa.sa.gov.au/record=b2029575</v>
      </c>
      <c r="C4420" s="1" t="str">
        <f>HYPERLINK("https://www.catalog.slsa.sa.gov.au/xrecord=b2029575")</f>
        <v>https://www.catalog.slsa.sa.gov.au/xrecord=b2029575</v>
      </c>
      <c r="E4420" t="s">
        <v>14908</v>
      </c>
      <c r="F4420">
        <v>1950</v>
      </c>
      <c r="G4420" t="s">
        <v>14909</v>
      </c>
      <c r="H4420" t="s">
        <v>14910</v>
      </c>
      <c r="J4420" t="s">
        <v>14911</v>
      </c>
      <c r="K4420" s="2" t="str">
        <f>HYPERLINK("http://collections.slsa.sa.gov.au/mpcimg/32000/B31986.htm")</f>
        <v>http://collections.slsa.sa.gov.au/mpcimg/32000/B31986.htm</v>
      </c>
    </row>
    <row r="4421" spans="1:11" x14ac:dyDescent="0.25">
      <c r="A4421" t="s">
        <v>14912</v>
      </c>
      <c r="B4421" s="1" t="str">
        <f>HYPERLINK("https://www.catalog.slsa.sa.gov.au/record=b2029962")</f>
        <v>https://www.catalog.slsa.sa.gov.au/record=b2029962</v>
      </c>
      <c r="C4421" s="1" t="str">
        <f>HYPERLINK("https://www.catalog.slsa.sa.gov.au/xrecord=b2029962")</f>
        <v>https://www.catalog.slsa.sa.gov.au/xrecord=b2029962</v>
      </c>
      <c r="E4421" t="s">
        <v>14913</v>
      </c>
      <c r="F4421">
        <v>1950</v>
      </c>
      <c r="G4421" t="s">
        <v>14914</v>
      </c>
      <c r="H4421" t="s">
        <v>14915</v>
      </c>
      <c r="J4421" t="s">
        <v>14916</v>
      </c>
      <c r="K4421" s="2" t="str">
        <f>HYPERLINK("http://collections.slsa.sa.gov.au/mpcimg/41500/B41480.htm")</f>
        <v>http://collections.slsa.sa.gov.au/mpcimg/41500/B41480.htm</v>
      </c>
    </row>
    <row r="4422" spans="1:11" x14ac:dyDescent="0.25">
      <c r="A4422" t="s">
        <v>14917</v>
      </c>
      <c r="B4422" s="1" t="str">
        <f>HYPERLINK("https://www.catalog.slsa.sa.gov.au/record=b2029965")</f>
        <v>https://www.catalog.slsa.sa.gov.au/record=b2029965</v>
      </c>
      <c r="C4422" s="1" t="str">
        <f>HYPERLINK("https://www.catalog.slsa.sa.gov.au/xrecord=b2029965")</f>
        <v>https://www.catalog.slsa.sa.gov.au/xrecord=b2029965</v>
      </c>
      <c r="E4422" t="s">
        <v>14918</v>
      </c>
      <c r="F4422">
        <v>1950</v>
      </c>
      <c r="G4422" t="s">
        <v>14919</v>
      </c>
      <c r="H4422" t="s">
        <v>14920</v>
      </c>
      <c r="J4422" t="s">
        <v>14916</v>
      </c>
      <c r="K4422" s="2" t="str">
        <f>HYPERLINK("http://collections.slsa.sa.gov.au/mpcimg/41500/B41483.htm")</f>
        <v>http://collections.slsa.sa.gov.au/mpcimg/41500/B41483.htm</v>
      </c>
    </row>
    <row r="4423" spans="1:11" x14ac:dyDescent="0.25">
      <c r="A4423" t="s">
        <v>14921</v>
      </c>
      <c r="B4423" s="1" t="str">
        <f>HYPERLINK("https://www.catalog.slsa.sa.gov.au/record=b2029967")</f>
        <v>https://www.catalog.slsa.sa.gov.au/record=b2029967</v>
      </c>
      <c r="C4423" s="1" t="str">
        <f>HYPERLINK("https://www.catalog.slsa.sa.gov.au/xrecord=b2029967")</f>
        <v>https://www.catalog.slsa.sa.gov.au/xrecord=b2029967</v>
      </c>
      <c r="E4423" t="s">
        <v>14922</v>
      </c>
      <c r="F4423">
        <v>1950</v>
      </c>
      <c r="G4423" t="s">
        <v>14923</v>
      </c>
      <c r="H4423" t="s">
        <v>14924</v>
      </c>
      <c r="J4423" t="s">
        <v>14916</v>
      </c>
      <c r="K4423" s="2" t="str">
        <f>HYPERLINK("http://collections.slsa.sa.gov.au/mpcimg/41500/B41485.htm")</f>
        <v>http://collections.slsa.sa.gov.au/mpcimg/41500/B41485.htm</v>
      </c>
    </row>
    <row r="4424" spans="1:11" x14ac:dyDescent="0.25">
      <c r="A4424" t="s">
        <v>14925</v>
      </c>
      <c r="B4424" s="1" t="str">
        <f>HYPERLINK("https://www.catalog.slsa.sa.gov.au/record=b2030192")</f>
        <v>https://www.catalog.slsa.sa.gov.au/record=b2030192</v>
      </c>
      <c r="C4424" s="1" t="str">
        <f>HYPERLINK("https://www.catalog.slsa.sa.gov.au/xrecord=b2030192")</f>
        <v>https://www.catalog.slsa.sa.gov.au/xrecord=b2030192</v>
      </c>
      <c r="D4424" t="s">
        <v>14785</v>
      </c>
      <c r="E4424" t="s">
        <v>14926</v>
      </c>
      <c r="F4424">
        <v>1950</v>
      </c>
      <c r="G4424" t="s">
        <v>14787</v>
      </c>
      <c r="H4424" t="s">
        <v>14927</v>
      </c>
      <c r="I4424" t="s">
        <v>14928</v>
      </c>
      <c r="J4424" t="s">
        <v>14929</v>
      </c>
      <c r="K4424" s="2" t="str">
        <f>HYPERLINK("http://collections.slsa.sa.gov.au/mpcimg/12000/B11963.htm")</f>
        <v>http://collections.slsa.sa.gov.au/mpcimg/12000/B11963.htm</v>
      </c>
    </row>
    <row r="4425" spans="1:11" x14ac:dyDescent="0.25">
      <c r="A4425" t="s">
        <v>14930</v>
      </c>
      <c r="B4425" s="1" t="str">
        <f>HYPERLINK("https://www.catalog.slsa.sa.gov.au/record=b2031798")</f>
        <v>https://www.catalog.slsa.sa.gov.au/record=b2031798</v>
      </c>
      <c r="C4425" s="1" t="str">
        <f>HYPERLINK("https://www.catalog.slsa.sa.gov.au/xrecord=b2031798")</f>
        <v>https://www.catalog.slsa.sa.gov.au/xrecord=b2031798</v>
      </c>
      <c r="E4425" t="s">
        <v>14931</v>
      </c>
      <c r="F4425">
        <v>1950</v>
      </c>
      <c r="G4425" t="s">
        <v>14809</v>
      </c>
      <c r="H4425" t="s">
        <v>14932</v>
      </c>
      <c r="I4425" t="s">
        <v>14933</v>
      </c>
      <c r="J4425" t="s">
        <v>2963</v>
      </c>
      <c r="K4425" s="2" t="str">
        <f>HYPERLINK("http://collections.slsa.sa.gov.au/mpcimg/38250/B38082.htm")</f>
        <v>http://collections.slsa.sa.gov.au/mpcimg/38250/B38082.htm</v>
      </c>
    </row>
    <row r="4426" spans="1:11" x14ac:dyDescent="0.25">
      <c r="A4426" t="s">
        <v>14934</v>
      </c>
      <c r="B4426" s="1" t="str">
        <f>HYPERLINK("https://www.catalog.slsa.sa.gov.au/record=b2032056")</f>
        <v>https://www.catalog.slsa.sa.gov.au/record=b2032056</v>
      </c>
      <c r="C4426" s="1" t="str">
        <f>HYPERLINK("https://www.catalog.slsa.sa.gov.au/xrecord=b2032056")</f>
        <v>https://www.catalog.slsa.sa.gov.au/xrecord=b2032056</v>
      </c>
      <c r="E4426" t="s">
        <v>14935</v>
      </c>
      <c r="F4426">
        <v>1950</v>
      </c>
      <c r="G4426" t="s">
        <v>14936</v>
      </c>
      <c r="H4426" t="s">
        <v>14937</v>
      </c>
      <c r="J4426" t="s">
        <v>2963</v>
      </c>
      <c r="K4426" s="2" t="str">
        <f>HYPERLINK("http://collections.slsa.sa.gov.au/mpcimg/42750/B42576.htm")</f>
        <v>http://collections.slsa.sa.gov.au/mpcimg/42750/B42576.htm</v>
      </c>
    </row>
    <row r="4427" spans="1:11" x14ac:dyDescent="0.25">
      <c r="A4427" t="s">
        <v>14938</v>
      </c>
      <c r="B4427" s="1" t="str">
        <f>HYPERLINK("https://www.catalog.slsa.sa.gov.au/record=b2032057")</f>
        <v>https://www.catalog.slsa.sa.gov.au/record=b2032057</v>
      </c>
      <c r="C4427" s="1" t="str">
        <f>HYPERLINK("https://www.catalog.slsa.sa.gov.au/xrecord=b2032057")</f>
        <v>https://www.catalog.slsa.sa.gov.au/xrecord=b2032057</v>
      </c>
      <c r="E4427" t="s">
        <v>14939</v>
      </c>
      <c r="F4427">
        <v>1950</v>
      </c>
      <c r="G4427" t="s">
        <v>14903</v>
      </c>
      <c r="H4427" t="s">
        <v>14940</v>
      </c>
      <c r="J4427" t="s">
        <v>2963</v>
      </c>
      <c r="K4427" s="2" t="str">
        <f>HYPERLINK("http://collections.slsa.sa.gov.au/mpcimg/42750/B42577.htm")</f>
        <v>http://collections.slsa.sa.gov.au/mpcimg/42750/B42577.htm</v>
      </c>
    </row>
    <row r="4428" spans="1:11" x14ac:dyDescent="0.25">
      <c r="A4428" t="s">
        <v>14941</v>
      </c>
      <c r="B4428" s="1" t="str">
        <f>HYPERLINK("https://www.catalog.slsa.sa.gov.au/record=b2032846")</f>
        <v>https://www.catalog.slsa.sa.gov.au/record=b2032846</v>
      </c>
      <c r="C4428" s="1" t="str">
        <f>HYPERLINK("https://www.catalog.slsa.sa.gov.au/xrecord=b2032846")</f>
        <v>https://www.catalog.slsa.sa.gov.au/xrecord=b2032846</v>
      </c>
      <c r="E4428" t="s">
        <v>14942</v>
      </c>
      <c r="F4428">
        <v>1950</v>
      </c>
      <c r="G4428" t="s">
        <v>14943</v>
      </c>
      <c r="H4428" t="s">
        <v>14944</v>
      </c>
      <c r="I4428" t="s">
        <v>14945</v>
      </c>
      <c r="J4428" t="s">
        <v>14946</v>
      </c>
      <c r="K4428" s="2" t="str">
        <f>HYPERLINK("http://collections.slsa.sa.gov.au/mpcimg/12500/B12283.htm")</f>
        <v>http://collections.slsa.sa.gov.au/mpcimg/12500/B12283.htm</v>
      </c>
    </row>
    <row r="4429" spans="1:11" x14ac:dyDescent="0.25">
      <c r="A4429" t="s">
        <v>14947</v>
      </c>
      <c r="B4429" s="1" t="str">
        <f>HYPERLINK("https://www.catalog.slsa.sa.gov.au/record=b2032848")</f>
        <v>https://www.catalog.slsa.sa.gov.au/record=b2032848</v>
      </c>
      <c r="C4429" s="1" t="str">
        <f>HYPERLINK("https://www.catalog.slsa.sa.gov.au/xrecord=b2032848")</f>
        <v>https://www.catalog.slsa.sa.gov.au/xrecord=b2032848</v>
      </c>
      <c r="E4429" t="s">
        <v>14948</v>
      </c>
      <c r="F4429">
        <v>1950</v>
      </c>
      <c r="G4429" t="s">
        <v>14949</v>
      </c>
      <c r="H4429" t="s">
        <v>14950</v>
      </c>
      <c r="I4429" t="s">
        <v>14951</v>
      </c>
      <c r="J4429" t="s">
        <v>14946</v>
      </c>
      <c r="K4429" s="2" t="str">
        <f>HYPERLINK("http://collections.slsa.sa.gov.au/mpcimg/12500/B12285.htm")</f>
        <v>http://collections.slsa.sa.gov.au/mpcimg/12500/B12285.htm</v>
      </c>
    </row>
    <row r="4430" spans="1:11" x14ac:dyDescent="0.25">
      <c r="A4430" t="s">
        <v>14952</v>
      </c>
      <c r="B4430" s="1" t="str">
        <f>HYPERLINK("https://www.catalog.slsa.sa.gov.au/record=b2033395")</f>
        <v>https://www.catalog.slsa.sa.gov.au/record=b2033395</v>
      </c>
      <c r="C4430" s="1" t="str">
        <f>HYPERLINK("https://www.catalog.slsa.sa.gov.au/xrecord=b2033395")</f>
        <v>https://www.catalog.slsa.sa.gov.au/xrecord=b2033395</v>
      </c>
      <c r="E4430" t="s">
        <v>14953</v>
      </c>
      <c r="F4430">
        <v>1950</v>
      </c>
      <c r="G4430" t="s">
        <v>14954</v>
      </c>
      <c r="H4430" t="s">
        <v>14955</v>
      </c>
      <c r="I4430" t="s">
        <v>14956</v>
      </c>
      <c r="J4430" t="s">
        <v>14957</v>
      </c>
      <c r="K4430" s="2" t="str">
        <f>HYPERLINK("http://collections.slsa.sa.gov.au/mpcimg/48000/B47921.htm")</f>
        <v>http://collections.slsa.sa.gov.au/mpcimg/48000/B47921.htm</v>
      </c>
    </row>
    <row r="4431" spans="1:11" x14ac:dyDescent="0.25">
      <c r="A4431" t="s">
        <v>14958</v>
      </c>
      <c r="B4431" s="1" t="str">
        <f>HYPERLINK("https://www.catalog.slsa.sa.gov.au/record=b2034183")</f>
        <v>https://www.catalog.slsa.sa.gov.au/record=b2034183</v>
      </c>
      <c r="C4431" s="1" t="str">
        <f>HYPERLINK("https://www.catalog.slsa.sa.gov.au/xrecord=b2034183")</f>
        <v>https://www.catalog.slsa.sa.gov.au/xrecord=b2034183</v>
      </c>
      <c r="D4431" t="s">
        <v>14959</v>
      </c>
      <c r="E4431" t="s">
        <v>14960</v>
      </c>
      <c r="F4431">
        <v>1950</v>
      </c>
      <c r="G4431" t="s">
        <v>14961</v>
      </c>
      <c r="H4431" t="s">
        <v>14962</v>
      </c>
      <c r="J4431" t="s">
        <v>14963</v>
      </c>
      <c r="K4431" s="2" t="str">
        <f>HYPERLINK("http://collections.slsa.sa.gov.au/mpcimg/12250/B12177_1.htm")</f>
        <v>http://collections.slsa.sa.gov.au/mpcimg/12250/B12177_1.htm</v>
      </c>
    </row>
    <row r="4432" spans="1:11" x14ac:dyDescent="0.25">
      <c r="A4432" t="s">
        <v>14964</v>
      </c>
      <c r="B4432" s="1" t="str">
        <f>HYPERLINK("https://www.catalog.slsa.sa.gov.au/record=b2034184")</f>
        <v>https://www.catalog.slsa.sa.gov.au/record=b2034184</v>
      </c>
      <c r="C4432" s="1" t="str">
        <f>HYPERLINK("https://www.catalog.slsa.sa.gov.au/xrecord=b2034184")</f>
        <v>https://www.catalog.slsa.sa.gov.au/xrecord=b2034184</v>
      </c>
      <c r="D4432" t="s">
        <v>14959</v>
      </c>
      <c r="E4432" t="s">
        <v>14960</v>
      </c>
      <c r="F4432">
        <v>1950</v>
      </c>
      <c r="G4432" t="s">
        <v>14961</v>
      </c>
      <c r="H4432" t="s">
        <v>14965</v>
      </c>
      <c r="J4432" t="s">
        <v>14963</v>
      </c>
      <c r="K4432" s="2" t="str">
        <f>HYPERLINK("http://collections.slsa.sa.gov.au/mpcimg/12250/B12177_2.htm")</f>
        <v>http://collections.slsa.sa.gov.au/mpcimg/12250/B12177_2.htm</v>
      </c>
    </row>
    <row r="4433" spans="1:11" x14ac:dyDescent="0.25">
      <c r="A4433" t="s">
        <v>14966</v>
      </c>
      <c r="B4433" s="1" t="str">
        <f>HYPERLINK("https://www.catalog.slsa.sa.gov.au/record=b2034185")</f>
        <v>https://www.catalog.slsa.sa.gov.au/record=b2034185</v>
      </c>
      <c r="C4433" s="1" t="str">
        <f>HYPERLINK("https://www.catalog.slsa.sa.gov.au/xrecord=b2034185")</f>
        <v>https://www.catalog.slsa.sa.gov.au/xrecord=b2034185</v>
      </c>
      <c r="D4433" t="s">
        <v>14959</v>
      </c>
      <c r="E4433" t="s">
        <v>14967</v>
      </c>
      <c r="F4433">
        <v>1950</v>
      </c>
      <c r="G4433" t="s">
        <v>14961</v>
      </c>
      <c r="H4433" t="s">
        <v>14968</v>
      </c>
      <c r="J4433" t="s">
        <v>14963</v>
      </c>
      <c r="K4433" s="2" t="str">
        <f>HYPERLINK("http://collections.slsa.sa.gov.au/mpcimg/12250/B12177_3.htm")</f>
        <v>http://collections.slsa.sa.gov.au/mpcimg/12250/B12177_3.htm</v>
      </c>
    </row>
    <row r="4434" spans="1:11" x14ac:dyDescent="0.25">
      <c r="A4434" t="s">
        <v>14969</v>
      </c>
      <c r="B4434" s="1" t="str">
        <f>HYPERLINK("https://www.catalog.slsa.sa.gov.au/record=b2034186")</f>
        <v>https://www.catalog.slsa.sa.gov.au/record=b2034186</v>
      </c>
      <c r="C4434" s="1" t="str">
        <f>HYPERLINK("https://www.catalog.slsa.sa.gov.au/xrecord=b2034186")</f>
        <v>https://www.catalog.slsa.sa.gov.au/xrecord=b2034186</v>
      </c>
      <c r="D4434" t="s">
        <v>14959</v>
      </c>
      <c r="E4434" t="s">
        <v>14967</v>
      </c>
      <c r="F4434">
        <v>1950</v>
      </c>
      <c r="G4434" t="s">
        <v>14961</v>
      </c>
      <c r="H4434" t="s">
        <v>14970</v>
      </c>
      <c r="J4434" t="s">
        <v>14963</v>
      </c>
      <c r="K4434" s="2" t="str">
        <f>HYPERLINK("http://collections.slsa.sa.gov.au/mpcimg/12250/B12177_4.htm")</f>
        <v>http://collections.slsa.sa.gov.au/mpcimg/12250/B12177_4.htm</v>
      </c>
    </row>
    <row r="4435" spans="1:11" x14ac:dyDescent="0.25">
      <c r="A4435" t="s">
        <v>14971</v>
      </c>
      <c r="B4435" s="1" t="str">
        <f>HYPERLINK("https://www.catalog.slsa.sa.gov.au/record=b2034187")</f>
        <v>https://www.catalog.slsa.sa.gov.au/record=b2034187</v>
      </c>
      <c r="C4435" s="1" t="str">
        <f>HYPERLINK("https://www.catalog.slsa.sa.gov.au/xrecord=b2034187")</f>
        <v>https://www.catalog.slsa.sa.gov.au/xrecord=b2034187</v>
      </c>
      <c r="D4435" t="s">
        <v>14959</v>
      </c>
      <c r="E4435" t="s">
        <v>14972</v>
      </c>
      <c r="F4435">
        <v>1950</v>
      </c>
      <c r="G4435" t="s">
        <v>14961</v>
      </c>
      <c r="H4435" t="s">
        <v>14973</v>
      </c>
      <c r="J4435" t="s">
        <v>14963</v>
      </c>
      <c r="K4435" s="2" t="str">
        <f>HYPERLINK("http://collections.slsa.sa.gov.au/mpcimg/12250/B12177_5.htm")</f>
        <v>http://collections.slsa.sa.gov.au/mpcimg/12250/B12177_5.htm</v>
      </c>
    </row>
    <row r="4436" spans="1:11" x14ac:dyDescent="0.25">
      <c r="A4436" t="s">
        <v>14974</v>
      </c>
      <c r="B4436" s="1" t="str">
        <f>HYPERLINK("https://www.catalog.slsa.sa.gov.au/record=b2034188")</f>
        <v>https://www.catalog.slsa.sa.gov.au/record=b2034188</v>
      </c>
      <c r="C4436" s="1" t="str">
        <f>HYPERLINK("https://www.catalog.slsa.sa.gov.au/xrecord=b2034188")</f>
        <v>https://www.catalog.slsa.sa.gov.au/xrecord=b2034188</v>
      </c>
      <c r="D4436" t="s">
        <v>14959</v>
      </c>
      <c r="E4436" t="s">
        <v>14967</v>
      </c>
      <c r="F4436">
        <v>1950</v>
      </c>
      <c r="G4436" t="s">
        <v>14961</v>
      </c>
      <c r="H4436" t="s">
        <v>14975</v>
      </c>
      <c r="J4436" t="s">
        <v>14963</v>
      </c>
      <c r="K4436" s="2" t="str">
        <f>HYPERLINK("http://collections.slsa.sa.gov.au/mpcimg/12250/B12177_6.htm")</f>
        <v>http://collections.slsa.sa.gov.au/mpcimg/12250/B12177_6.htm</v>
      </c>
    </row>
    <row r="4437" spans="1:11" x14ac:dyDescent="0.25">
      <c r="A4437" t="s">
        <v>14976</v>
      </c>
      <c r="B4437" s="1" t="str">
        <f>HYPERLINK("https://www.catalog.slsa.sa.gov.au/record=b2034189")</f>
        <v>https://www.catalog.slsa.sa.gov.au/record=b2034189</v>
      </c>
      <c r="C4437" s="1" t="str">
        <f>HYPERLINK("https://www.catalog.slsa.sa.gov.au/xrecord=b2034189")</f>
        <v>https://www.catalog.slsa.sa.gov.au/xrecord=b2034189</v>
      </c>
      <c r="D4437" t="s">
        <v>14959</v>
      </c>
      <c r="E4437" t="s">
        <v>14977</v>
      </c>
      <c r="F4437">
        <v>1950</v>
      </c>
      <c r="G4437" t="s">
        <v>14961</v>
      </c>
      <c r="H4437" t="s">
        <v>14978</v>
      </c>
      <c r="J4437" t="s">
        <v>14963</v>
      </c>
      <c r="K4437" s="2" t="str">
        <f>HYPERLINK("http://collections.slsa.sa.gov.au/mpcimg/12250/B12177_7.htm")</f>
        <v>http://collections.slsa.sa.gov.au/mpcimg/12250/B12177_7.htm</v>
      </c>
    </row>
    <row r="4438" spans="1:11" x14ac:dyDescent="0.25">
      <c r="A4438" t="s">
        <v>14979</v>
      </c>
      <c r="B4438" s="1" t="str">
        <f>HYPERLINK("https://www.catalog.slsa.sa.gov.au/record=b2034190")</f>
        <v>https://www.catalog.slsa.sa.gov.au/record=b2034190</v>
      </c>
      <c r="C4438" s="1" t="str">
        <f>HYPERLINK("https://www.catalog.slsa.sa.gov.au/xrecord=b2034190")</f>
        <v>https://www.catalog.slsa.sa.gov.au/xrecord=b2034190</v>
      </c>
      <c r="D4438" t="s">
        <v>14959</v>
      </c>
      <c r="E4438" t="s">
        <v>14980</v>
      </c>
      <c r="F4438">
        <v>1950</v>
      </c>
      <c r="G4438" t="s">
        <v>14961</v>
      </c>
      <c r="H4438" t="s">
        <v>14981</v>
      </c>
      <c r="J4438" t="s">
        <v>14963</v>
      </c>
      <c r="K4438" s="2" t="str">
        <f>HYPERLINK("http://collections.slsa.sa.gov.au/mpcimg/12250/B12177_8.htm")</f>
        <v>http://collections.slsa.sa.gov.au/mpcimg/12250/B12177_8.htm</v>
      </c>
    </row>
    <row r="4439" spans="1:11" x14ac:dyDescent="0.25">
      <c r="A4439" t="s">
        <v>14982</v>
      </c>
      <c r="B4439" s="1" t="str">
        <f>HYPERLINK("https://www.catalog.slsa.sa.gov.au/record=b2034191")</f>
        <v>https://www.catalog.slsa.sa.gov.au/record=b2034191</v>
      </c>
      <c r="C4439" s="1" t="str">
        <f>HYPERLINK("https://www.catalog.slsa.sa.gov.au/xrecord=b2034191")</f>
        <v>https://www.catalog.slsa.sa.gov.au/xrecord=b2034191</v>
      </c>
      <c r="D4439" t="s">
        <v>14959</v>
      </c>
      <c r="E4439" t="s">
        <v>14983</v>
      </c>
      <c r="F4439">
        <v>1950</v>
      </c>
      <c r="G4439" t="s">
        <v>14961</v>
      </c>
      <c r="H4439" t="s">
        <v>14984</v>
      </c>
      <c r="I4439" t="s">
        <v>14985</v>
      </c>
      <c r="J4439" t="s">
        <v>14963</v>
      </c>
      <c r="K4439" s="2" t="str">
        <f>HYPERLINK("http://collections.slsa.sa.gov.au/mpcimg/12250/B12177_9.htm")</f>
        <v>http://collections.slsa.sa.gov.au/mpcimg/12250/B12177_9.htm</v>
      </c>
    </row>
    <row r="4440" spans="1:11" x14ac:dyDescent="0.25">
      <c r="A4440" t="s">
        <v>14986</v>
      </c>
      <c r="B4440" s="1" t="str">
        <f>HYPERLINK("https://www.catalog.slsa.sa.gov.au/record=b2034192")</f>
        <v>https://www.catalog.slsa.sa.gov.au/record=b2034192</v>
      </c>
      <c r="C4440" s="1" t="str">
        <f>HYPERLINK("https://www.catalog.slsa.sa.gov.au/xrecord=b2034192")</f>
        <v>https://www.catalog.slsa.sa.gov.au/xrecord=b2034192</v>
      </c>
      <c r="D4440" t="s">
        <v>14959</v>
      </c>
      <c r="E4440" t="s">
        <v>14987</v>
      </c>
      <c r="F4440">
        <v>1950</v>
      </c>
      <c r="G4440" t="s">
        <v>14961</v>
      </c>
      <c r="H4440" t="s">
        <v>14988</v>
      </c>
      <c r="J4440" t="s">
        <v>14963</v>
      </c>
      <c r="K4440" s="2" t="str">
        <f>HYPERLINK("http://collections.slsa.sa.gov.au/mpcimg/12250/B12177_10.htm")</f>
        <v>http://collections.slsa.sa.gov.au/mpcimg/12250/B12177_10.htm</v>
      </c>
    </row>
    <row r="4441" spans="1:11" x14ac:dyDescent="0.25">
      <c r="A4441" t="s">
        <v>14989</v>
      </c>
      <c r="B4441" s="1" t="str">
        <f>HYPERLINK("https://www.catalog.slsa.sa.gov.au/record=b2034372")</f>
        <v>https://www.catalog.slsa.sa.gov.au/record=b2034372</v>
      </c>
      <c r="C4441" s="1" t="str">
        <f>HYPERLINK("https://www.catalog.slsa.sa.gov.au/xrecord=b2034372")</f>
        <v>https://www.catalog.slsa.sa.gov.au/xrecord=b2034372</v>
      </c>
      <c r="E4441" t="s">
        <v>14990</v>
      </c>
      <c r="F4441">
        <v>1950</v>
      </c>
      <c r="G4441" t="s">
        <v>14991</v>
      </c>
      <c r="H4441" t="s">
        <v>14992</v>
      </c>
      <c r="I4441" t="s">
        <v>14993</v>
      </c>
      <c r="J4441" t="s">
        <v>14994</v>
      </c>
      <c r="K4441" s="2" t="str">
        <f>HYPERLINK("http://collections.slsa.sa.gov.au/mpcimg/47000/B46961.htm")</f>
        <v>http://collections.slsa.sa.gov.au/mpcimg/47000/B46961.htm</v>
      </c>
    </row>
    <row r="4442" spans="1:11" x14ac:dyDescent="0.25">
      <c r="A4442" t="s">
        <v>14995</v>
      </c>
      <c r="B4442" s="1" t="str">
        <f>HYPERLINK("https://www.catalog.slsa.sa.gov.au/record=b2035643")</f>
        <v>https://www.catalog.slsa.sa.gov.au/record=b2035643</v>
      </c>
      <c r="C4442" s="1" t="str">
        <f>HYPERLINK("https://www.catalog.slsa.sa.gov.au/xrecord=b2035643")</f>
        <v>https://www.catalog.slsa.sa.gov.au/xrecord=b2035643</v>
      </c>
      <c r="E4442" t="s">
        <v>14996</v>
      </c>
      <c r="F4442">
        <v>1950</v>
      </c>
      <c r="G4442" t="s">
        <v>14997</v>
      </c>
      <c r="H4442" t="s">
        <v>14998</v>
      </c>
      <c r="J4442" t="s">
        <v>14999</v>
      </c>
      <c r="K4442" s="2" t="str">
        <f>HYPERLINK("http://collections.slsa.sa.gov.au/mpcimg/43000/B42827.htm")</f>
        <v>http://collections.slsa.sa.gov.au/mpcimg/43000/B42827.htm</v>
      </c>
    </row>
    <row r="4443" spans="1:11" x14ac:dyDescent="0.25">
      <c r="A4443" t="s">
        <v>15000</v>
      </c>
      <c r="B4443" s="1" t="str">
        <f>HYPERLINK("https://www.catalog.slsa.sa.gov.au/record=b2035645")</f>
        <v>https://www.catalog.slsa.sa.gov.au/record=b2035645</v>
      </c>
      <c r="C4443" s="1" t="str">
        <f>HYPERLINK("https://www.catalog.slsa.sa.gov.au/xrecord=b2035645")</f>
        <v>https://www.catalog.slsa.sa.gov.au/xrecord=b2035645</v>
      </c>
      <c r="E4443" t="s">
        <v>15001</v>
      </c>
      <c r="F4443">
        <v>1950</v>
      </c>
      <c r="G4443" t="s">
        <v>14997</v>
      </c>
      <c r="H4443" t="s">
        <v>15002</v>
      </c>
      <c r="I4443" t="s">
        <v>15003</v>
      </c>
      <c r="J4443" t="s">
        <v>14999</v>
      </c>
      <c r="K4443" s="2" t="str">
        <f>HYPERLINK("http://collections.slsa.sa.gov.au/mpcimg/43000/B42829.htm")</f>
        <v>http://collections.slsa.sa.gov.au/mpcimg/43000/B42829.htm</v>
      </c>
    </row>
    <row r="4444" spans="1:11" x14ac:dyDescent="0.25">
      <c r="A4444" t="s">
        <v>15004</v>
      </c>
      <c r="B4444" s="1" t="str">
        <f>HYPERLINK("https://www.catalog.slsa.sa.gov.au/record=b2035647")</f>
        <v>https://www.catalog.slsa.sa.gov.au/record=b2035647</v>
      </c>
      <c r="C4444" s="1" t="str">
        <f>HYPERLINK("https://www.catalog.slsa.sa.gov.au/xrecord=b2035647")</f>
        <v>https://www.catalog.slsa.sa.gov.au/xrecord=b2035647</v>
      </c>
      <c r="E4444" t="s">
        <v>15005</v>
      </c>
      <c r="F4444">
        <v>1950</v>
      </c>
      <c r="G4444" t="s">
        <v>15006</v>
      </c>
      <c r="H4444" t="s">
        <v>15007</v>
      </c>
      <c r="J4444" t="s">
        <v>14999</v>
      </c>
      <c r="K4444" s="2" t="str">
        <f>HYPERLINK("http://collections.slsa.sa.gov.au/mpcimg/43000/B42831.htm")</f>
        <v>http://collections.slsa.sa.gov.au/mpcimg/43000/B42831.htm</v>
      </c>
    </row>
    <row r="4445" spans="1:11" x14ac:dyDescent="0.25">
      <c r="A4445" t="s">
        <v>15008</v>
      </c>
      <c r="B4445" s="1" t="str">
        <f>HYPERLINK("https://www.catalog.slsa.sa.gov.au/record=b2035910")</f>
        <v>https://www.catalog.slsa.sa.gov.au/record=b2035910</v>
      </c>
      <c r="C4445" s="1" t="str">
        <f>HYPERLINK("https://www.catalog.slsa.sa.gov.au/xrecord=b2035910")</f>
        <v>https://www.catalog.slsa.sa.gov.au/xrecord=b2035910</v>
      </c>
      <c r="E4445" t="s">
        <v>15009</v>
      </c>
      <c r="F4445">
        <v>1950</v>
      </c>
      <c r="G4445" t="s">
        <v>15010</v>
      </c>
      <c r="H4445" t="s">
        <v>15011</v>
      </c>
      <c r="I4445" t="s">
        <v>15012</v>
      </c>
      <c r="J4445" t="s">
        <v>15013</v>
      </c>
      <c r="K4445" s="2" t="str">
        <f>HYPERLINK("http://collections.slsa.sa.gov.au/mpcimg/33750/B33638.htm")</f>
        <v>http://collections.slsa.sa.gov.au/mpcimg/33750/B33638.htm</v>
      </c>
    </row>
    <row r="4446" spans="1:11" x14ac:dyDescent="0.25">
      <c r="A4446" t="s">
        <v>15014</v>
      </c>
      <c r="B4446" s="1" t="str">
        <f>HYPERLINK("https://www.catalog.slsa.sa.gov.au/record=b2035938")</f>
        <v>https://www.catalog.slsa.sa.gov.au/record=b2035938</v>
      </c>
      <c r="C4446" s="1" t="str">
        <f>HYPERLINK("https://www.catalog.slsa.sa.gov.au/xrecord=b2035938")</f>
        <v>https://www.catalog.slsa.sa.gov.au/xrecord=b2035938</v>
      </c>
      <c r="E4446" t="s">
        <v>15015</v>
      </c>
      <c r="F4446">
        <v>1950</v>
      </c>
      <c r="G4446" t="s">
        <v>15016</v>
      </c>
      <c r="H4446" t="s">
        <v>15017</v>
      </c>
      <c r="I4446" t="s">
        <v>15018</v>
      </c>
      <c r="J4446" t="s">
        <v>2654</v>
      </c>
      <c r="K4446" s="2" t="str">
        <f>HYPERLINK("http://collections.slsa.sa.gov.au/mpcimg/12250/B12180.htm")</f>
        <v>http://collections.slsa.sa.gov.au/mpcimg/12250/B12180.htm</v>
      </c>
    </row>
    <row r="4447" spans="1:11" x14ac:dyDescent="0.25">
      <c r="A4447" t="s">
        <v>15019</v>
      </c>
      <c r="B4447" s="1" t="str">
        <f>HYPERLINK("https://www.catalog.slsa.sa.gov.au/record=b2036530")</f>
        <v>https://www.catalog.slsa.sa.gov.au/record=b2036530</v>
      </c>
      <c r="C4447" s="1" t="str">
        <f>HYPERLINK("https://www.catalog.slsa.sa.gov.au/xrecord=b2036530")</f>
        <v>https://www.catalog.slsa.sa.gov.au/xrecord=b2036530</v>
      </c>
      <c r="E4447" t="s">
        <v>15020</v>
      </c>
      <c r="F4447">
        <v>1950</v>
      </c>
      <c r="G4447" t="s">
        <v>15021</v>
      </c>
      <c r="H4447" t="s">
        <v>15022</v>
      </c>
      <c r="J4447" t="s">
        <v>15023</v>
      </c>
      <c r="K4447" s="2" t="str">
        <f>HYPERLINK("http://collections.slsa.sa.gov.au/mpcimg/24500/B24297.htm")</f>
        <v>http://collections.slsa.sa.gov.au/mpcimg/24500/B24297.htm</v>
      </c>
    </row>
    <row r="4448" spans="1:11" x14ac:dyDescent="0.25">
      <c r="A4448" t="s">
        <v>15024</v>
      </c>
      <c r="B4448" s="1" t="str">
        <f>HYPERLINK("https://www.catalog.slsa.sa.gov.au/record=b2037620")</f>
        <v>https://www.catalog.slsa.sa.gov.au/record=b2037620</v>
      </c>
      <c r="C4448" s="1" t="str">
        <f>HYPERLINK("https://www.catalog.slsa.sa.gov.au/xrecord=b2037620")</f>
        <v>https://www.catalog.slsa.sa.gov.au/xrecord=b2037620</v>
      </c>
      <c r="E4448" t="s">
        <v>15025</v>
      </c>
      <c r="F4448">
        <v>1950</v>
      </c>
      <c r="G4448" t="s">
        <v>15026</v>
      </c>
      <c r="H4448" t="s">
        <v>15027</v>
      </c>
      <c r="I4448" t="s">
        <v>15028</v>
      </c>
      <c r="J4448" t="s">
        <v>9214</v>
      </c>
      <c r="K4448" s="2" t="str">
        <f>HYPERLINK("http://collections.slsa.sa.gov.au/mpcimg/46250/B46056.htm")</f>
        <v>http://collections.slsa.sa.gov.au/mpcimg/46250/B46056.htm</v>
      </c>
    </row>
    <row r="4449" spans="1:11" x14ac:dyDescent="0.25">
      <c r="A4449" t="s">
        <v>15029</v>
      </c>
      <c r="B4449" s="1" t="str">
        <f>HYPERLINK("https://www.catalog.slsa.sa.gov.au/record=b2037623")</f>
        <v>https://www.catalog.slsa.sa.gov.au/record=b2037623</v>
      </c>
      <c r="C4449" s="1" t="str">
        <f>HYPERLINK("https://www.catalog.slsa.sa.gov.au/xrecord=b2037623")</f>
        <v>https://www.catalog.slsa.sa.gov.au/xrecord=b2037623</v>
      </c>
      <c r="E4449" t="s">
        <v>15030</v>
      </c>
      <c r="F4449">
        <v>1950</v>
      </c>
      <c r="G4449" t="s">
        <v>15031</v>
      </c>
      <c r="H4449" t="s">
        <v>15032</v>
      </c>
      <c r="I4449" t="s">
        <v>15033</v>
      </c>
      <c r="J4449" t="s">
        <v>9214</v>
      </c>
      <c r="K4449" s="2" t="str">
        <f>HYPERLINK("http://collections.slsa.sa.gov.au/mpcimg/48750/B48708.htm")</f>
        <v>http://collections.slsa.sa.gov.au/mpcimg/48750/B48708.htm</v>
      </c>
    </row>
    <row r="4450" spans="1:11" x14ac:dyDescent="0.25">
      <c r="A4450" t="s">
        <v>15034</v>
      </c>
      <c r="B4450" s="1" t="str">
        <f>HYPERLINK("https://www.catalog.slsa.sa.gov.au/record=b2039326")</f>
        <v>https://www.catalog.slsa.sa.gov.au/record=b2039326</v>
      </c>
      <c r="C4450" s="1" t="str">
        <f>HYPERLINK("https://www.catalog.slsa.sa.gov.au/xrecord=b2039326")</f>
        <v>https://www.catalog.slsa.sa.gov.au/xrecord=b2039326</v>
      </c>
      <c r="E4450" t="s">
        <v>15035</v>
      </c>
      <c r="F4450">
        <v>1950</v>
      </c>
      <c r="G4450" t="s">
        <v>15016</v>
      </c>
      <c r="H4450" t="s">
        <v>15036</v>
      </c>
      <c r="I4450" t="s">
        <v>15037</v>
      </c>
      <c r="J4450" t="s">
        <v>2975</v>
      </c>
      <c r="K4450" s="2" t="str">
        <f>HYPERLINK("http://collections.slsa.sa.gov.au/mpcimg/12250/B12179.htm")</f>
        <v>http://collections.slsa.sa.gov.au/mpcimg/12250/B12179.htm</v>
      </c>
    </row>
    <row r="4451" spans="1:11" x14ac:dyDescent="0.25">
      <c r="A4451" t="s">
        <v>15038</v>
      </c>
      <c r="B4451" s="1" t="str">
        <f>HYPERLINK("https://www.catalog.slsa.sa.gov.au/record=b2039338")</f>
        <v>https://www.catalog.slsa.sa.gov.au/record=b2039338</v>
      </c>
      <c r="C4451" s="1" t="str">
        <f>HYPERLINK("https://www.catalog.slsa.sa.gov.au/xrecord=b2039338")</f>
        <v>https://www.catalog.slsa.sa.gov.au/xrecord=b2039338</v>
      </c>
      <c r="D4451" t="s">
        <v>15039</v>
      </c>
      <c r="E4451" t="s">
        <v>15040</v>
      </c>
      <c r="F4451">
        <v>1950</v>
      </c>
      <c r="G4451" t="s">
        <v>15041</v>
      </c>
      <c r="H4451" t="s">
        <v>15042</v>
      </c>
      <c r="J4451" t="s">
        <v>2975</v>
      </c>
      <c r="K4451" s="2" t="str">
        <f>HYPERLINK("http://collections.slsa.sa.gov.au/mpcimg/48750/B48578.htm")</f>
        <v>http://collections.slsa.sa.gov.au/mpcimg/48750/B48578.htm</v>
      </c>
    </row>
    <row r="4452" spans="1:11" x14ac:dyDescent="0.25">
      <c r="A4452" t="s">
        <v>15043</v>
      </c>
      <c r="B4452" s="1" t="str">
        <f>HYPERLINK("https://www.catalog.slsa.sa.gov.au/record=b2039882")</f>
        <v>https://www.catalog.slsa.sa.gov.au/record=b2039882</v>
      </c>
      <c r="C4452" s="1" t="str">
        <f>HYPERLINK("https://www.catalog.slsa.sa.gov.au/xrecord=b2039882")</f>
        <v>https://www.catalog.slsa.sa.gov.au/xrecord=b2039882</v>
      </c>
      <c r="D4452" t="s">
        <v>15044</v>
      </c>
      <c r="E4452" t="s">
        <v>15045</v>
      </c>
      <c r="F4452">
        <v>1950</v>
      </c>
      <c r="G4452" t="s">
        <v>15046</v>
      </c>
      <c r="H4452" t="s">
        <v>15047</v>
      </c>
      <c r="I4452" t="s">
        <v>15048</v>
      </c>
      <c r="J4452" t="s">
        <v>15049</v>
      </c>
      <c r="K4452" s="2" t="str">
        <f>HYPERLINK("http://collections.slsa.sa.gov.au/mpcimg/09250/B9080.htm")</f>
        <v>http://collections.slsa.sa.gov.au/mpcimg/09250/B9080.htm</v>
      </c>
    </row>
    <row r="4453" spans="1:11" x14ac:dyDescent="0.25">
      <c r="A4453" t="s">
        <v>15050</v>
      </c>
      <c r="B4453" s="1" t="str">
        <f>HYPERLINK("https://www.catalog.slsa.sa.gov.au/record=b2040092")</f>
        <v>https://www.catalog.slsa.sa.gov.au/record=b2040092</v>
      </c>
      <c r="C4453" s="1" t="str">
        <f>HYPERLINK("https://www.catalog.slsa.sa.gov.au/xrecord=b2040092")</f>
        <v>https://www.catalog.slsa.sa.gov.au/xrecord=b2040092</v>
      </c>
      <c r="E4453" t="s">
        <v>15051</v>
      </c>
      <c r="F4453">
        <v>1950</v>
      </c>
      <c r="G4453" t="s">
        <v>15052</v>
      </c>
      <c r="H4453" t="s">
        <v>15053</v>
      </c>
      <c r="I4453" t="s">
        <v>15054</v>
      </c>
      <c r="J4453" t="s">
        <v>15055</v>
      </c>
      <c r="K4453" s="2" t="str">
        <f>HYPERLINK("http://collections.slsa.sa.gov.au/mpcimg/50250/B50152.htm")</f>
        <v>http://collections.slsa.sa.gov.au/mpcimg/50250/B50152.htm</v>
      </c>
    </row>
    <row r="4454" spans="1:11" x14ac:dyDescent="0.25">
      <c r="A4454" t="s">
        <v>15056</v>
      </c>
      <c r="B4454" s="1" t="str">
        <f>HYPERLINK("https://www.catalog.slsa.sa.gov.au/record=b2040093")</f>
        <v>https://www.catalog.slsa.sa.gov.au/record=b2040093</v>
      </c>
      <c r="C4454" s="1" t="str">
        <f>HYPERLINK("https://www.catalog.slsa.sa.gov.au/xrecord=b2040093")</f>
        <v>https://www.catalog.slsa.sa.gov.au/xrecord=b2040093</v>
      </c>
      <c r="E4454" t="s">
        <v>15057</v>
      </c>
      <c r="F4454">
        <v>1950</v>
      </c>
      <c r="G4454" t="s">
        <v>15052</v>
      </c>
      <c r="H4454" t="s">
        <v>15058</v>
      </c>
      <c r="I4454" t="s">
        <v>15059</v>
      </c>
      <c r="J4454" t="s">
        <v>15055</v>
      </c>
      <c r="K4454" s="2" t="str">
        <f>HYPERLINK("http://collections.slsa.sa.gov.au/mpcimg/50250/B50153.htm")</f>
        <v>http://collections.slsa.sa.gov.au/mpcimg/50250/B50153.htm</v>
      </c>
    </row>
    <row r="4455" spans="1:11" x14ac:dyDescent="0.25">
      <c r="A4455" t="s">
        <v>15060</v>
      </c>
      <c r="B4455" s="1" t="str">
        <f>HYPERLINK("https://www.catalog.slsa.sa.gov.au/record=b2040094")</f>
        <v>https://www.catalog.slsa.sa.gov.au/record=b2040094</v>
      </c>
      <c r="C4455" s="1" t="str">
        <f>HYPERLINK("https://www.catalog.slsa.sa.gov.au/xrecord=b2040094")</f>
        <v>https://www.catalog.slsa.sa.gov.au/xrecord=b2040094</v>
      </c>
      <c r="E4455" t="s">
        <v>15061</v>
      </c>
      <c r="F4455">
        <v>1950</v>
      </c>
      <c r="G4455" t="s">
        <v>15052</v>
      </c>
      <c r="H4455" t="s">
        <v>15062</v>
      </c>
      <c r="I4455" t="s">
        <v>15063</v>
      </c>
      <c r="J4455" t="s">
        <v>15055</v>
      </c>
      <c r="K4455" s="2" t="str">
        <f>HYPERLINK("http://collections.slsa.sa.gov.au/mpcimg/50250/B50154.htm")</f>
        <v>http://collections.slsa.sa.gov.au/mpcimg/50250/B50154.htm</v>
      </c>
    </row>
    <row r="4456" spans="1:11" x14ac:dyDescent="0.25">
      <c r="A4456" t="s">
        <v>15064</v>
      </c>
      <c r="B4456" s="1" t="str">
        <f>HYPERLINK("https://www.catalog.slsa.sa.gov.au/record=b2040095")</f>
        <v>https://www.catalog.slsa.sa.gov.au/record=b2040095</v>
      </c>
      <c r="C4456" s="1" t="str">
        <f>HYPERLINK("https://www.catalog.slsa.sa.gov.au/xrecord=b2040095")</f>
        <v>https://www.catalog.slsa.sa.gov.au/xrecord=b2040095</v>
      </c>
      <c r="E4456" t="s">
        <v>15065</v>
      </c>
      <c r="F4456">
        <v>1950</v>
      </c>
      <c r="G4456" t="s">
        <v>15052</v>
      </c>
      <c r="H4456" t="s">
        <v>15066</v>
      </c>
      <c r="J4456" t="s">
        <v>15055</v>
      </c>
      <c r="K4456" s="2" t="str">
        <f>HYPERLINK("http://collections.slsa.sa.gov.au/mpcimg/50250/B50155.htm")</f>
        <v>http://collections.slsa.sa.gov.au/mpcimg/50250/B50155.htm</v>
      </c>
    </row>
    <row r="4457" spans="1:11" x14ac:dyDescent="0.25">
      <c r="A4457" t="s">
        <v>15067</v>
      </c>
      <c r="B4457" s="1" t="str">
        <f>HYPERLINK("https://www.catalog.slsa.sa.gov.au/record=b2040096")</f>
        <v>https://www.catalog.slsa.sa.gov.au/record=b2040096</v>
      </c>
      <c r="C4457" s="1" t="str">
        <f>HYPERLINK("https://www.catalog.slsa.sa.gov.au/xrecord=b2040096")</f>
        <v>https://www.catalog.slsa.sa.gov.au/xrecord=b2040096</v>
      </c>
      <c r="E4457" t="s">
        <v>15068</v>
      </c>
      <c r="F4457">
        <v>1950</v>
      </c>
      <c r="G4457" t="s">
        <v>15052</v>
      </c>
      <c r="H4457" t="s">
        <v>15069</v>
      </c>
      <c r="I4457" t="s">
        <v>15070</v>
      </c>
      <c r="J4457" t="s">
        <v>15071</v>
      </c>
      <c r="K4457" s="2" t="str">
        <f>HYPERLINK("http://collections.slsa.sa.gov.au/mpcimg/50250/B50156.htm")</f>
        <v>http://collections.slsa.sa.gov.au/mpcimg/50250/B50156.htm</v>
      </c>
    </row>
    <row r="4458" spans="1:11" x14ac:dyDescent="0.25">
      <c r="A4458" t="s">
        <v>15072</v>
      </c>
      <c r="B4458" s="1" t="str">
        <f>HYPERLINK("https://www.catalog.slsa.sa.gov.au/record=b2040097")</f>
        <v>https://www.catalog.slsa.sa.gov.au/record=b2040097</v>
      </c>
      <c r="C4458" s="1" t="str">
        <f>HYPERLINK("https://www.catalog.slsa.sa.gov.au/xrecord=b2040097")</f>
        <v>https://www.catalog.slsa.sa.gov.au/xrecord=b2040097</v>
      </c>
      <c r="E4458" t="s">
        <v>15073</v>
      </c>
      <c r="F4458">
        <v>1950</v>
      </c>
      <c r="G4458" t="s">
        <v>15052</v>
      </c>
      <c r="H4458" t="s">
        <v>15074</v>
      </c>
      <c r="I4458" t="s">
        <v>15075</v>
      </c>
      <c r="J4458" t="s">
        <v>15055</v>
      </c>
      <c r="K4458" s="2" t="str">
        <f>HYPERLINK("http://collections.slsa.sa.gov.au/mpcimg/50250/B50157.htm")</f>
        <v>http://collections.slsa.sa.gov.au/mpcimg/50250/B50157.htm</v>
      </c>
    </row>
    <row r="4459" spans="1:11" x14ac:dyDescent="0.25">
      <c r="A4459" t="s">
        <v>15076</v>
      </c>
      <c r="B4459" s="1" t="str">
        <f>HYPERLINK("https://www.catalog.slsa.sa.gov.au/record=b2040098")</f>
        <v>https://www.catalog.slsa.sa.gov.au/record=b2040098</v>
      </c>
      <c r="C4459" s="1" t="str">
        <f>HYPERLINK("https://www.catalog.slsa.sa.gov.au/xrecord=b2040098")</f>
        <v>https://www.catalog.slsa.sa.gov.au/xrecord=b2040098</v>
      </c>
      <c r="E4459" t="s">
        <v>15061</v>
      </c>
      <c r="F4459">
        <v>1950</v>
      </c>
      <c r="G4459" t="s">
        <v>15052</v>
      </c>
      <c r="H4459" t="s">
        <v>15077</v>
      </c>
      <c r="I4459" t="s">
        <v>15078</v>
      </c>
      <c r="J4459" t="s">
        <v>15055</v>
      </c>
      <c r="K4459" s="2" t="str">
        <f>HYPERLINK("http://collections.slsa.sa.gov.au/mpcimg/50250/B50158.htm")</f>
        <v>http://collections.slsa.sa.gov.au/mpcimg/50250/B50158.htm</v>
      </c>
    </row>
    <row r="4460" spans="1:11" x14ac:dyDescent="0.25">
      <c r="A4460" t="s">
        <v>15079</v>
      </c>
      <c r="B4460" s="1" t="str">
        <f>HYPERLINK("https://www.catalog.slsa.sa.gov.au/record=b2040099")</f>
        <v>https://www.catalog.slsa.sa.gov.au/record=b2040099</v>
      </c>
      <c r="C4460" s="1" t="str">
        <f>HYPERLINK("https://www.catalog.slsa.sa.gov.au/xrecord=b2040099")</f>
        <v>https://www.catalog.slsa.sa.gov.au/xrecord=b2040099</v>
      </c>
      <c r="E4460" t="s">
        <v>15061</v>
      </c>
      <c r="F4460">
        <v>1950</v>
      </c>
      <c r="G4460" t="s">
        <v>15052</v>
      </c>
      <c r="H4460" t="s">
        <v>15077</v>
      </c>
      <c r="I4460" t="s">
        <v>15078</v>
      </c>
      <c r="J4460" t="s">
        <v>15055</v>
      </c>
      <c r="K4460" s="2" t="str">
        <f>HYPERLINK("http://collections.slsa.sa.gov.au/mpcimg/50250/B50159.htm")</f>
        <v>http://collections.slsa.sa.gov.au/mpcimg/50250/B50159.htm</v>
      </c>
    </row>
    <row r="4461" spans="1:11" x14ac:dyDescent="0.25">
      <c r="A4461" t="s">
        <v>15080</v>
      </c>
      <c r="B4461" s="1" t="str">
        <f>HYPERLINK("https://www.catalog.slsa.sa.gov.au/record=b2040277")</f>
        <v>https://www.catalog.slsa.sa.gov.au/record=b2040277</v>
      </c>
      <c r="C4461" s="1" t="str">
        <f>HYPERLINK("https://www.catalog.slsa.sa.gov.au/xrecord=b2040277")</f>
        <v>https://www.catalog.slsa.sa.gov.au/xrecord=b2040277</v>
      </c>
      <c r="E4461" t="s">
        <v>15081</v>
      </c>
      <c r="F4461">
        <v>1950</v>
      </c>
      <c r="G4461" t="s">
        <v>15031</v>
      </c>
      <c r="H4461" t="s">
        <v>15082</v>
      </c>
      <c r="I4461" t="s">
        <v>15083</v>
      </c>
      <c r="J4461" t="s">
        <v>15084</v>
      </c>
      <c r="K4461" s="2" t="str">
        <f>HYPERLINK("http://collections.slsa.sa.gov.au/mpcimg/44500/B44427.htm")</f>
        <v>http://collections.slsa.sa.gov.au/mpcimg/44500/B44427.htm</v>
      </c>
    </row>
    <row r="4462" spans="1:11" x14ac:dyDescent="0.25">
      <c r="A4462" t="s">
        <v>15085</v>
      </c>
      <c r="B4462" s="1" t="str">
        <f>HYPERLINK("https://www.catalog.slsa.sa.gov.au/record=b2040278")</f>
        <v>https://www.catalog.slsa.sa.gov.au/record=b2040278</v>
      </c>
      <c r="C4462" s="1" t="str">
        <f>HYPERLINK("https://www.catalog.slsa.sa.gov.au/xrecord=b2040278")</f>
        <v>https://www.catalog.slsa.sa.gov.au/xrecord=b2040278</v>
      </c>
      <c r="E4462" t="s">
        <v>15081</v>
      </c>
      <c r="F4462">
        <v>1950</v>
      </c>
      <c r="G4462" t="s">
        <v>15031</v>
      </c>
      <c r="H4462" t="s">
        <v>15082</v>
      </c>
      <c r="I4462" t="s">
        <v>15083</v>
      </c>
      <c r="J4462" t="s">
        <v>15084</v>
      </c>
      <c r="K4462" s="2" t="str">
        <f>HYPERLINK("http://collections.slsa.sa.gov.au/mpcimg/44500/B44428.htm")</f>
        <v>http://collections.slsa.sa.gov.au/mpcimg/44500/B44428.htm</v>
      </c>
    </row>
    <row r="4463" spans="1:11" x14ac:dyDescent="0.25">
      <c r="A4463" t="s">
        <v>15086</v>
      </c>
      <c r="B4463" s="1" t="str">
        <f>HYPERLINK("https://www.catalog.slsa.sa.gov.au/record=b2040279")</f>
        <v>https://www.catalog.slsa.sa.gov.au/record=b2040279</v>
      </c>
      <c r="C4463" s="1" t="str">
        <f>HYPERLINK("https://www.catalog.slsa.sa.gov.au/xrecord=b2040279")</f>
        <v>https://www.catalog.slsa.sa.gov.au/xrecord=b2040279</v>
      </c>
      <c r="E4463" t="s">
        <v>15081</v>
      </c>
      <c r="F4463">
        <v>1950</v>
      </c>
      <c r="G4463" t="s">
        <v>14903</v>
      </c>
      <c r="H4463" t="s">
        <v>15087</v>
      </c>
      <c r="J4463" t="s">
        <v>15084</v>
      </c>
      <c r="K4463" s="2" t="str">
        <f>HYPERLINK("http://collections.slsa.sa.gov.au/mpcimg/44500/B44429.htm")</f>
        <v>http://collections.slsa.sa.gov.au/mpcimg/44500/B44429.htm</v>
      </c>
    </row>
    <row r="4464" spans="1:11" x14ac:dyDescent="0.25">
      <c r="A4464" t="s">
        <v>15088</v>
      </c>
      <c r="B4464" s="1" t="str">
        <f>HYPERLINK("https://www.catalog.slsa.sa.gov.au/record=b2040762")</f>
        <v>https://www.catalog.slsa.sa.gov.au/record=b2040762</v>
      </c>
      <c r="C4464" s="1" t="str">
        <f>HYPERLINK("https://www.catalog.slsa.sa.gov.au/xrecord=b2040762")</f>
        <v>https://www.catalog.slsa.sa.gov.au/xrecord=b2040762</v>
      </c>
      <c r="E4464" t="s">
        <v>15089</v>
      </c>
      <c r="F4464">
        <v>1950</v>
      </c>
      <c r="G4464" t="s">
        <v>14809</v>
      </c>
      <c r="H4464" t="s">
        <v>15090</v>
      </c>
      <c r="I4464" t="s">
        <v>15091</v>
      </c>
      <c r="J4464" t="s">
        <v>15092</v>
      </c>
      <c r="K4464" s="2" t="str">
        <f>HYPERLINK("http://collections.slsa.sa.gov.au/mpcimg/37250/B37182.htm")</f>
        <v>http://collections.slsa.sa.gov.au/mpcimg/37250/B37182.htm</v>
      </c>
    </row>
    <row r="4465" spans="1:11" x14ac:dyDescent="0.25">
      <c r="A4465" t="s">
        <v>15093</v>
      </c>
      <c r="B4465" s="1" t="str">
        <f>HYPERLINK("https://www.catalog.slsa.sa.gov.au/record=b2040897")</f>
        <v>https://www.catalog.slsa.sa.gov.au/record=b2040897</v>
      </c>
      <c r="C4465" s="1" t="str">
        <f>HYPERLINK("https://www.catalog.slsa.sa.gov.au/xrecord=b2040897")</f>
        <v>https://www.catalog.slsa.sa.gov.au/xrecord=b2040897</v>
      </c>
      <c r="D4465" t="s">
        <v>15044</v>
      </c>
      <c r="E4465" t="s">
        <v>15094</v>
      </c>
      <c r="F4465">
        <v>1950</v>
      </c>
      <c r="G4465" t="s">
        <v>15046</v>
      </c>
      <c r="H4465" t="s">
        <v>15095</v>
      </c>
      <c r="I4465" t="s">
        <v>15096</v>
      </c>
      <c r="J4465" t="s">
        <v>15097</v>
      </c>
      <c r="K4465" s="2" t="str">
        <f>HYPERLINK("http://collections.slsa.sa.gov.au/mpcimg/09250/B9083.htm")</f>
        <v>http://collections.slsa.sa.gov.au/mpcimg/09250/B9083.htm</v>
      </c>
    </row>
    <row r="4466" spans="1:11" x14ac:dyDescent="0.25">
      <c r="A4466" t="s">
        <v>15098</v>
      </c>
      <c r="B4466" s="1" t="str">
        <f>HYPERLINK("https://www.catalog.slsa.sa.gov.au/record=b2041330")</f>
        <v>https://www.catalog.slsa.sa.gov.au/record=b2041330</v>
      </c>
      <c r="C4466" s="1" t="str">
        <f>HYPERLINK("https://www.catalog.slsa.sa.gov.au/xrecord=b2041330")</f>
        <v>https://www.catalog.slsa.sa.gov.au/xrecord=b2041330</v>
      </c>
      <c r="E4466" t="s">
        <v>15099</v>
      </c>
      <c r="F4466">
        <v>1950</v>
      </c>
      <c r="G4466" t="s">
        <v>15100</v>
      </c>
      <c r="H4466" t="s">
        <v>15101</v>
      </c>
      <c r="I4466" t="s">
        <v>15102</v>
      </c>
      <c r="J4466" t="s">
        <v>15103</v>
      </c>
      <c r="K4466" s="2" t="str">
        <f>HYPERLINK("http://collections.slsa.sa.gov.au/mpcimg/36000/B35999.htm")</f>
        <v>http://collections.slsa.sa.gov.au/mpcimg/36000/B35999.htm</v>
      </c>
    </row>
    <row r="4467" spans="1:11" x14ac:dyDescent="0.25">
      <c r="A4467" t="s">
        <v>15104</v>
      </c>
      <c r="B4467" s="1" t="str">
        <f>HYPERLINK("https://www.catalog.slsa.sa.gov.au/record=b2041434")</f>
        <v>https://www.catalog.slsa.sa.gov.au/record=b2041434</v>
      </c>
      <c r="C4467" s="1" t="str">
        <f>HYPERLINK("https://www.catalog.slsa.sa.gov.au/xrecord=b2041434")</f>
        <v>https://www.catalog.slsa.sa.gov.au/xrecord=b2041434</v>
      </c>
      <c r="E4467" t="s">
        <v>15105</v>
      </c>
      <c r="F4467">
        <v>1950</v>
      </c>
      <c r="G4467" t="s">
        <v>15106</v>
      </c>
      <c r="H4467" t="s">
        <v>15107</v>
      </c>
      <c r="I4467" t="s">
        <v>15108</v>
      </c>
      <c r="J4467" t="s">
        <v>15109</v>
      </c>
      <c r="K4467" s="2" t="str">
        <f>HYPERLINK("http://collections.slsa.sa.gov.au/mpcimg/34000/B33784.htm")</f>
        <v>http://collections.slsa.sa.gov.au/mpcimg/34000/B33784.htm</v>
      </c>
    </row>
    <row r="4468" spans="1:11" x14ac:dyDescent="0.25">
      <c r="A4468" t="s">
        <v>15110</v>
      </c>
      <c r="B4468" s="1" t="str">
        <f>HYPERLINK("https://www.catalog.slsa.sa.gov.au/record=b2042623")</f>
        <v>https://www.catalog.slsa.sa.gov.au/record=b2042623</v>
      </c>
      <c r="C4468" s="1" t="str">
        <f>HYPERLINK("https://www.catalog.slsa.sa.gov.au/xrecord=b2042623")</f>
        <v>https://www.catalog.slsa.sa.gov.au/xrecord=b2042623</v>
      </c>
      <c r="E4468" t="s">
        <v>15111</v>
      </c>
      <c r="F4468">
        <v>1950</v>
      </c>
      <c r="G4468" t="s">
        <v>15112</v>
      </c>
      <c r="H4468" t="s">
        <v>15113</v>
      </c>
      <c r="I4468" t="s">
        <v>15114</v>
      </c>
      <c r="J4468" t="s">
        <v>15115</v>
      </c>
      <c r="K4468" s="2" t="str">
        <f>HYPERLINK("http://collections.slsa.sa.gov.au/mpcimg/33000/B32914.htm")</f>
        <v>http://collections.slsa.sa.gov.au/mpcimg/33000/B32914.htm</v>
      </c>
    </row>
    <row r="4469" spans="1:11" x14ac:dyDescent="0.25">
      <c r="A4469" t="s">
        <v>15116</v>
      </c>
      <c r="B4469" s="1" t="str">
        <f>HYPERLINK("https://www.catalog.slsa.sa.gov.au/record=b2045255")</f>
        <v>https://www.catalog.slsa.sa.gov.au/record=b2045255</v>
      </c>
      <c r="C4469" s="1" t="str">
        <f>HYPERLINK("https://www.catalog.slsa.sa.gov.au/xrecord=b2045255")</f>
        <v>https://www.catalog.slsa.sa.gov.au/xrecord=b2045255</v>
      </c>
      <c r="E4469" t="s">
        <v>15117</v>
      </c>
      <c r="F4469">
        <v>1950</v>
      </c>
      <c r="G4469" t="s">
        <v>15118</v>
      </c>
      <c r="H4469" t="s">
        <v>15119</v>
      </c>
      <c r="I4469" t="s">
        <v>15120</v>
      </c>
      <c r="J4469" t="s">
        <v>15121</v>
      </c>
      <c r="K4469" s="2" t="str">
        <f>HYPERLINK("http://collections.slsa.sa.gov.au/mpcimg/52750/B52537.htm")</f>
        <v>http://collections.slsa.sa.gov.au/mpcimg/52750/B52537.htm</v>
      </c>
    </row>
    <row r="4470" spans="1:11" x14ac:dyDescent="0.25">
      <c r="A4470" t="s">
        <v>15122</v>
      </c>
      <c r="B4470" s="1" t="str">
        <f>HYPERLINK("https://www.catalog.slsa.sa.gov.au/record=b2045256")</f>
        <v>https://www.catalog.slsa.sa.gov.au/record=b2045256</v>
      </c>
      <c r="C4470" s="1" t="str">
        <f>HYPERLINK("https://www.catalog.slsa.sa.gov.au/xrecord=b2045256")</f>
        <v>https://www.catalog.slsa.sa.gov.au/xrecord=b2045256</v>
      </c>
      <c r="E4470" t="s">
        <v>15117</v>
      </c>
      <c r="F4470">
        <v>1950</v>
      </c>
      <c r="G4470" t="s">
        <v>15118</v>
      </c>
      <c r="H4470" t="s">
        <v>15123</v>
      </c>
      <c r="I4470" t="s">
        <v>15124</v>
      </c>
      <c r="J4470" t="s">
        <v>15121</v>
      </c>
      <c r="K4470" s="2" t="str">
        <f>HYPERLINK("http://collections.slsa.sa.gov.au/mpcimg/52750/B52538.htm")</f>
        <v>http://collections.slsa.sa.gov.au/mpcimg/52750/B52538.htm</v>
      </c>
    </row>
    <row r="4471" spans="1:11" x14ac:dyDescent="0.25">
      <c r="A4471" t="s">
        <v>15125</v>
      </c>
      <c r="B4471" s="1" t="str">
        <f>HYPERLINK("https://www.catalog.slsa.sa.gov.au/record=b2045730")</f>
        <v>https://www.catalog.slsa.sa.gov.au/record=b2045730</v>
      </c>
      <c r="C4471" s="1" t="str">
        <f>HYPERLINK("https://www.catalog.slsa.sa.gov.au/xrecord=b2045730")</f>
        <v>https://www.catalog.slsa.sa.gov.au/xrecord=b2045730</v>
      </c>
      <c r="E4471" t="s">
        <v>15126</v>
      </c>
      <c r="F4471">
        <v>1950</v>
      </c>
      <c r="G4471" t="s">
        <v>14809</v>
      </c>
      <c r="H4471" t="s">
        <v>15127</v>
      </c>
      <c r="I4471" t="s">
        <v>15128</v>
      </c>
      <c r="J4471" t="s">
        <v>15129</v>
      </c>
      <c r="K4471" s="2" t="str">
        <f>HYPERLINK("http://collections.slsa.sa.gov.au/mpcimg/38000/B37954.htm")</f>
        <v>http://collections.slsa.sa.gov.au/mpcimg/38000/B37954.htm</v>
      </c>
    </row>
    <row r="4472" spans="1:11" x14ac:dyDescent="0.25">
      <c r="A4472" t="s">
        <v>15130</v>
      </c>
      <c r="B4472" s="1" t="str">
        <f>HYPERLINK("https://www.catalog.slsa.sa.gov.au/record=b2045796")</f>
        <v>https://www.catalog.slsa.sa.gov.au/record=b2045796</v>
      </c>
      <c r="C4472" s="1" t="str">
        <f>HYPERLINK("https://www.catalog.slsa.sa.gov.au/xrecord=b2045796")</f>
        <v>https://www.catalog.slsa.sa.gov.au/xrecord=b2045796</v>
      </c>
      <c r="D4472" t="s">
        <v>14785</v>
      </c>
      <c r="E4472" t="s">
        <v>15131</v>
      </c>
      <c r="F4472">
        <v>1950</v>
      </c>
      <c r="G4472" t="s">
        <v>14787</v>
      </c>
      <c r="H4472" t="s">
        <v>15132</v>
      </c>
      <c r="I4472" t="s">
        <v>15133</v>
      </c>
      <c r="J4472" t="s">
        <v>15134</v>
      </c>
      <c r="K4472" s="2" t="str">
        <f>HYPERLINK("http://collections.slsa.sa.gov.au/mpcimg/12000/B11964.htm")</f>
        <v>http://collections.slsa.sa.gov.au/mpcimg/12000/B11964.htm</v>
      </c>
    </row>
    <row r="4473" spans="1:11" x14ac:dyDescent="0.25">
      <c r="A4473" t="s">
        <v>15135</v>
      </c>
      <c r="B4473" s="1" t="str">
        <f>HYPERLINK("https://www.catalog.slsa.sa.gov.au/record=b2045815")</f>
        <v>https://www.catalog.slsa.sa.gov.au/record=b2045815</v>
      </c>
      <c r="C4473" s="1" t="str">
        <f>HYPERLINK("https://www.catalog.slsa.sa.gov.au/xrecord=b2045815")</f>
        <v>https://www.catalog.slsa.sa.gov.au/xrecord=b2045815</v>
      </c>
      <c r="D4473" t="s">
        <v>14894</v>
      </c>
      <c r="E4473" t="s">
        <v>15136</v>
      </c>
      <c r="F4473">
        <v>1950</v>
      </c>
      <c r="G4473" t="s">
        <v>15137</v>
      </c>
      <c r="H4473" t="s">
        <v>15138</v>
      </c>
      <c r="I4473" t="s">
        <v>15139</v>
      </c>
      <c r="J4473" t="s">
        <v>15134</v>
      </c>
      <c r="K4473" s="2" t="str">
        <f>HYPERLINK("http://collections.slsa.sa.gov.au/mpcimg/20500/B20325.htm")</f>
        <v>http://collections.slsa.sa.gov.au/mpcimg/20500/B20325.htm</v>
      </c>
    </row>
    <row r="4474" spans="1:11" x14ac:dyDescent="0.25">
      <c r="A4474" t="s">
        <v>15140</v>
      </c>
      <c r="B4474" s="1" t="str">
        <f>HYPERLINK("https://www.catalog.slsa.sa.gov.au/record=b2046160")</f>
        <v>https://www.catalog.slsa.sa.gov.au/record=b2046160</v>
      </c>
      <c r="C4474" s="1" t="str">
        <f>HYPERLINK("https://www.catalog.slsa.sa.gov.au/xrecord=b2046160")</f>
        <v>https://www.catalog.slsa.sa.gov.au/xrecord=b2046160</v>
      </c>
      <c r="D4474" t="s">
        <v>15044</v>
      </c>
      <c r="E4474" t="s">
        <v>15141</v>
      </c>
      <c r="F4474">
        <v>1950</v>
      </c>
      <c r="G4474" t="s">
        <v>15046</v>
      </c>
      <c r="H4474" t="s">
        <v>15142</v>
      </c>
      <c r="I4474" t="s">
        <v>15143</v>
      </c>
      <c r="J4474" t="s">
        <v>15144</v>
      </c>
      <c r="K4474" s="2" t="str">
        <f>HYPERLINK("http://collections.slsa.sa.gov.au/mpcimg/09250/B9085.htm")</f>
        <v>http://collections.slsa.sa.gov.au/mpcimg/09250/B9085.htm</v>
      </c>
    </row>
    <row r="4475" spans="1:11" x14ac:dyDescent="0.25">
      <c r="A4475" t="s">
        <v>15145</v>
      </c>
      <c r="B4475" s="1" t="str">
        <f>HYPERLINK("https://www.catalog.slsa.sa.gov.au/record=b2046577")</f>
        <v>https://www.catalog.slsa.sa.gov.au/record=b2046577</v>
      </c>
      <c r="C4475" s="1" t="str">
        <f>HYPERLINK("https://www.catalog.slsa.sa.gov.au/xrecord=b2046577")</f>
        <v>https://www.catalog.slsa.sa.gov.au/xrecord=b2046577</v>
      </c>
      <c r="E4475" t="s">
        <v>15146</v>
      </c>
      <c r="F4475">
        <v>1950</v>
      </c>
      <c r="G4475" t="s">
        <v>15147</v>
      </c>
      <c r="H4475" t="s">
        <v>15148</v>
      </c>
      <c r="J4475" t="s">
        <v>15149</v>
      </c>
      <c r="K4475" s="2" t="str">
        <f>HYPERLINK("http://collections.slsa.sa.gov.au/mpcimg/37250/B37031.htm")</f>
        <v>http://collections.slsa.sa.gov.au/mpcimg/37250/B37031.htm</v>
      </c>
    </row>
    <row r="4476" spans="1:11" x14ac:dyDescent="0.25">
      <c r="A4476" t="s">
        <v>15150</v>
      </c>
      <c r="B4476" s="1" t="str">
        <f>HYPERLINK("https://www.catalog.slsa.sa.gov.au/record=b2046894")</f>
        <v>https://www.catalog.slsa.sa.gov.au/record=b2046894</v>
      </c>
      <c r="C4476" s="1" t="str">
        <f>HYPERLINK("https://www.catalog.slsa.sa.gov.au/xrecord=b2046894")</f>
        <v>https://www.catalog.slsa.sa.gov.au/xrecord=b2046894</v>
      </c>
      <c r="E4476" t="s">
        <v>15151</v>
      </c>
      <c r="F4476">
        <v>1950</v>
      </c>
      <c r="G4476" t="s">
        <v>15152</v>
      </c>
      <c r="H4476" t="s">
        <v>15153</v>
      </c>
      <c r="I4476" t="s">
        <v>15154</v>
      </c>
      <c r="J4476" t="s">
        <v>15155</v>
      </c>
      <c r="K4476" s="2" t="str">
        <f>HYPERLINK("http://collections.slsa.sa.gov.au/mpcimg/50750/B50587.htm")</f>
        <v>http://collections.slsa.sa.gov.au/mpcimg/50750/B50587.htm</v>
      </c>
    </row>
    <row r="4477" spans="1:11" x14ac:dyDescent="0.25">
      <c r="A4477" t="s">
        <v>15156</v>
      </c>
      <c r="B4477" s="1" t="str">
        <f>HYPERLINK("https://www.catalog.slsa.sa.gov.au/record=b2048775")</f>
        <v>https://www.catalog.slsa.sa.gov.au/record=b2048775</v>
      </c>
      <c r="C4477" s="1" t="str">
        <f>HYPERLINK("https://www.catalog.slsa.sa.gov.au/xrecord=b2048775")</f>
        <v>https://www.catalog.slsa.sa.gov.au/xrecord=b2048775</v>
      </c>
      <c r="D4477" t="s">
        <v>15157</v>
      </c>
      <c r="E4477" t="s">
        <v>15158</v>
      </c>
      <c r="F4477">
        <v>1950</v>
      </c>
      <c r="G4477" t="s">
        <v>15159</v>
      </c>
      <c r="H4477" t="s">
        <v>15160</v>
      </c>
      <c r="I4477" t="s">
        <v>15161</v>
      </c>
      <c r="J4477" t="s">
        <v>1809</v>
      </c>
      <c r="K4477" s="2" t="str">
        <f>HYPERLINK("http://collections.slsa.sa.gov.au/mpcimg/12250/B12245.htm")</f>
        <v>http://collections.slsa.sa.gov.au/mpcimg/12250/B12245.htm</v>
      </c>
    </row>
    <row r="4478" spans="1:11" x14ac:dyDescent="0.25">
      <c r="A4478" t="s">
        <v>15162</v>
      </c>
      <c r="B4478" s="1" t="str">
        <f>HYPERLINK("https://www.catalog.slsa.sa.gov.au/record=b2051192")</f>
        <v>https://www.catalog.slsa.sa.gov.au/record=b2051192</v>
      </c>
      <c r="C4478" s="1" t="str">
        <f>HYPERLINK("https://www.catalog.slsa.sa.gov.au/xrecord=b2051192")</f>
        <v>https://www.catalog.slsa.sa.gov.au/xrecord=b2051192</v>
      </c>
      <c r="E4478" t="s">
        <v>15163</v>
      </c>
      <c r="F4478">
        <v>1950</v>
      </c>
      <c r="G4478" t="s">
        <v>15164</v>
      </c>
      <c r="H4478" t="s">
        <v>15165</v>
      </c>
      <c r="I4478" t="s">
        <v>15166</v>
      </c>
      <c r="J4478" t="s">
        <v>2510</v>
      </c>
      <c r="K4478" s="2" t="str">
        <f>HYPERLINK("http://collections.slsa.sa.gov.au/mpcimg/18250/B18030.htm")</f>
        <v>http://collections.slsa.sa.gov.au/mpcimg/18250/B18030.htm</v>
      </c>
    </row>
    <row r="4479" spans="1:11" x14ac:dyDescent="0.25">
      <c r="A4479" t="s">
        <v>15167</v>
      </c>
      <c r="B4479" s="1" t="str">
        <f>HYPERLINK("https://www.catalog.slsa.sa.gov.au/record=b2053573")</f>
        <v>https://www.catalog.slsa.sa.gov.au/record=b2053573</v>
      </c>
      <c r="C4479" s="1" t="str">
        <f>HYPERLINK("https://www.catalog.slsa.sa.gov.au/xrecord=b2053573")</f>
        <v>https://www.catalog.slsa.sa.gov.au/xrecord=b2053573</v>
      </c>
      <c r="E4479" t="s">
        <v>15168</v>
      </c>
      <c r="F4479">
        <v>1950</v>
      </c>
      <c r="G4479" t="s">
        <v>15169</v>
      </c>
      <c r="H4479" t="s">
        <v>15170</v>
      </c>
      <c r="J4479" t="s">
        <v>2510</v>
      </c>
      <c r="K4479" s="2" t="str">
        <f>HYPERLINK("http://collections.slsa.sa.gov.au/mpcimg/47000/B46962.htm")</f>
        <v>http://collections.slsa.sa.gov.au/mpcimg/47000/B46962.htm</v>
      </c>
    </row>
    <row r="4480" spans="1:11" x14ac:dyDescent="0.25">
      <c r="A4480" t="s">
        <v>15171</v>
      </c>
      <c r="B4480" s="1" t="str">
        <f>HYPERLINK("https://www.catalog.slsa.sa.gov.au/record=b2053925")</f>
        <v>https://www.catalog.slsa.sa.gov.au/record=b2053925</v>
      </c>
      <c r="C4480" s="1" t="str">
        <f>HYPERLINK("https://www.catalog.slsa.sa.gov.au/xrecord=b2053925")</f>
        <v>https://www.catalog.slsa.sa.gov.au/xrecord=b2053925</v>
      </c>
      <c r="E4480" t="s">
        <v>15172</v>
      </c>
      <c r="F4480">
        <v>1950</v>
      </c>
      <c r="G4480" t="s">
        <v>15031</v>
      </c>
      <c r="H4480" t="s">
        <v>15173</v>
      </c>
      <c r="I4480" t="s">
        <v>15174</v>
      </c>
      <c r="J4480" t="s">
        <v>2510</v>
      </c>
      <c r="K4480" s="2" t="str">
        <f>HYPERLINK("http://collections.slsa.sa.gov.au/mpcimg/48750/B48743.htm")</f>
        <v>http://collections.slsa.sa.gov.au/mpcimg/48750/B48743.htm</v>
      </c>
    </row>
    <row r="4481" spans="1:11" x14ac:dyDescent="0.25">
      <c r="A4481" t="s">
        <v>15175</v>
      </c>
      <c r="B4481" s="1" t="str">
        <f>HYPERLINK("https://www.catalog.slsa.sa.gov.au/record=b2053926")</f>
        <v>https://www.catalog.slsa.sa.gov.au/record=b2053926</v>
      </c>
      <c r="C4481" s="1" t="str">
        <f>HYPERLINK("https://www.catalog.slsa.sa.gov.au/xrecord=b2053926")</f>
        <v>https://www.catalog.slsa.sa.gov.au/xrecord=b2053926</v>
      </c>
      <c r="E4481" t="s">
        <v>15172</v>
      </c>
      <c r="F4481">
        <v>1950</v>
      </c>
      <c r="G4481" t="s">
        <v>15031</v>
      </c>
      <c r="H4481" t="s">
        <v>15176</v>
      </c>
      <c r="I4481" t="s">
        <v>15174</v>
      </c>
      <c r="J4481" t="s">
        <v>2510</v>
      </c>
      <c r="K4481" s="2" t="str">
        <f>HYPERLINK("http://collections.slsa.sa.gov.au/mpcimg/48750/B48744.htm")</f>
        <v>http://collections.slsa.sa.gov.au/mpcimg/48750/B48744.htm</v>
      </c>
    </row>
    <row r="4482" spans="1:11" x14ac:dyDescent="0.25">
      <c r="A4482" t="s">
        <v>15177</v>
      </c>
      <c r="B4482" s="1" t="str">
        <f>HYPERLINK("https://www.catalog.slsa.sa.gov.au/record=b2054333")</f>
        <v>https://www.catalog.slsa.sa.gov.au/record=b2054333</v>
      </c>
      <c r="C4482" s="1" t="str">
        <f>HYPERLINK("https://www.catalog.slsa.sa.gov.au/xrecord=b2054333")</f>
        <v>https://www.catalog.slsa.sa.gov.au/xrecord=b2054333</v>
      </c>
      <c r="E4482" t="s">
        <v>15178</v>
      </c>
      <c r="F4482">
        <v>1950</v>
      </c>
      <c r="G4482" t="s">
        <v>15179</v>
      </c>
      <c r="H4482" t="s">
        <v>15180</v>
      </c>
      <c r="I4482" t="s">
        <v>15181</v>
      </c>
      <c r="J4482" t="s">
        <v>2510</v>
      </c>
      <c r="K4482" s="2" t="str">
        <f>HYPERLINK("http://collections.slsa.sa.gov.au/mpcimg/53000/B52818.htm")</f>
        <v>http://collections.slsa.sa.gov.au/mpcimg/53000/B52818.htm</v>
      </c>
    </row>
    <row r="4483" spans="1:11" x14ac:dyDescent="0.25">
      <c r="A4483" t="s">
        <v>15182</v>
      </c>
      <c r="B4483" s="1" t="str">
        <f>HYPERLINK("https://www.catalog.slsa.sa.gov.au/record=b2057893")</f>
        <v>https://www.catalog.slsa.sa.gov.au/record=b2057893</v>
      </c>
      <c r="C4483" s="1" t="str">
        <f>HYPERLINK("https://www.catalog.slsa.sa.gov.au/xrecord=b2057893")</f>
        <v>https://www.catalog.slsa.sa.gov.au/xrecord=b2057893</v>
      </c>
      <c r="E4483" t="s">
        <v>15183</v>
      </c>
      <c r="F4483">
        <v>1950</v>
      </c>
      <c r="G4483" t="s">
        <v>15184</v>
      </c>
      <c r="H4483" t="s">
        <v>15185</v>
      </c>
      <c r="J4483" t="s">
        <v>15186</v>
      </c>
      <c r="K4483" s="2" t="str">
        <f>HYPERLINK("http://collections.slsa.sa.gov.au/mpcimg/52750/B52527.htm")</f>
        <v>http://collections.slsa.sa.gov.au/mpcimg/52750/B52527.htm</v>
      </c>
    </row>
    <row r="4484" spans="1:11" x14ac:dyDescent="0.25">
      <c r="A4484" t="s">
        <v>15187</v>
      </c>
      <c r="B4484" s="1" t="str">
        <f>HYPERLINK("https://www.catalog.slsa.sa.gov.au/record=b2057894")</f>
        <v>https://www.catalog.slsa.sa.gov.au/record=b2057894</v>
      </c>
      <c r="C4484" s="1" t="str">
        <f>HYPERLINK("https://www.catalog.slsa.sa.gov.au/xrecord=b2057894")</f>
        <v>https://www.catalog.slsa.sa.gov.au/xrecord=b2057894</v>
      </c>
      <c r="E4484" t="s">
        <v>15183</v>
      </c>
      <c r="F4484">
        <v>1950</v>
      </c>
      <c r="G4484" t="s">
        <v>15184</v>
      </c>
      <c r="H4484" t="s">
        <v>15185</v>
      </c>
      <c r="J4484" t="s">
        <v>15186</v>
      </c>
      <c r="K4484" s="2" t="str">
        <f>HYPERLINK("http://collections.slsa.sa.gov.au/mpcimg/52750/B52528.htm")</f>
        <v>http://collections.slsa.sa.gov.au/mpcimg/52750/B52528.htm</v>
      </c>
    </row>
    <row r="4485" spans="1:11" x14ac:dyDescent="0.25">
      <c r="A4485" t="s">
        <v>15188</v>
      </c>
      <c r="B4485" s="1" t="str">
        <f>HYPERLINK("https://www.catalog.slsa.sa.gov.au/record=b2057895")</f>
        <v>https://www.catalog.slsa.sa.gov.au/record=b2057895</v>
      </c>
      <c r="C4485" s="1" t="str">
        <f>HYPERLINK("https://www.catalog.slsa.sa.gov.au/xrecord=b2057895")</f>
        <v>https://www.catalog.slsa.sa.gov.au/xrecord=b2057895</v>
      </c>
      <c r="E4485" t="s">
        <v>15183</v>
      </c>
      <c r="F4485">
        <v>1950</v>
      </c>
      <c r="G4485" t="s">
        <v>15189</v>
      </c>
      <c r="H4485" t="s">
        <v>15185</v>
      </c>
      <c r="J4485" t="s">
        <v>15186</v>
      </c>
      <c r="K4485" s="2" t="str">
        <f>HYPERLINK("http://collections.slsa.sa.gov.au/mpcimg/52750/B52529.htm")</f>
        <v>http://collections.slsa.sa.gov.au/mpcimg/52750/B52529.htm</v>
      </c>
    </row>
    <row r="4486" spans="1:11" x14ac:dyDescent="0.25">
      <c r="A4486" t="s">
        <v>15190</v>
      </c>
      <c r="B4486" s="1" t="str">
        <f>HYPERLINK("https://www.catalog.slsa.sa.gov.au/record=b2058900")</f>
        <v>https://www.catalog.slsa.sa.gov.au/record=b2058900</v>
      </c>
      <c r="C4486" s="1" t="str">
        <f>HYPERLINK("https://www.catalog.slsa.sa.gov.au/xrecord=b2058900")</f>
        <v>https://www.catalog.slsa.sa.gov.au/xrecord=b2058900</v>
      </c>
      <c r="E4486" t="s">
        <v>15191</v>
      </c>
      <c r="F4486">
        <v>1950</v>
      </c>
      <c r="G4486" t="s">
        <v>15192</v>
      </c>
      <c r="H4486" t="s">
        <v>15193</v>
      </c>
      <c r="J4486" t="s">
        <v>15194</v>
      </c>
      <c r="K4486" s="2" t="str">
        <f>HYPERLINK("http://collections.slsa.sa.gov.au/mpcimg/22000/B21769.htm")</f>
        <v>http://collections.slsa.sa.gov.au/mpcimg/22000/B21769.htm</v>
      </c>
    </row>
    <row r="4487" spans="1:11" x14ac:dyDescent="0.25">
      <c r="A4487" t="s">
        <v>15195</v>
      </c>
      <c r="B4487" s="1" t="str">
        <f>HYPERLINK("https://www.catalog.slsa.sa.gov.au/record=b2065264")</f>
        <v>https://www.catalog.slsa.sa.gov.au/record=b2065264</v>
      </c>
      <c r="C4487" s="1" t="str">
        <f>HYPERLINK("https://www.catalog.slsa.sa.gov.au/xrecord=b2065264")</f>
        <v>https://www.catalog.slsa.sa.gov.au/xrecord=b2065264</v>
      </c>
      <c r="E4487" t="s">
        <v>15196</v>
      </c>
      <c r="F4487">
        <v>1950</v>
      </c>
      <c r="G4487" t="s">
        <v>15197</v>
      </c>
      <c r="H4487" t="s">
        <v>15198</v>
      </c>
      <c r="J4487" t="s">
        <v>15199</v>
      </c>
      <c r="K4487" s="2" t="str">
        <f>HYPERLINK("http://collections.slsa.sa.gov.au/mpcimg/47500/B47468.htm")</f>
        <v>http://collections.slsa.sa.gov.au/mpcimg/47500/B47468.htm</v>
      </c>
    </row>
    <row r="4488" spans="1:11" x14ac:dyDescent="0.25">
      <c r="A4488" t="s">
        <v>15200</v>
      </c>
      <c r="B4488" s="1" t="str">
        <f>HYPERLINK("https://www.catalog.slsa.sa.gov.au/record=b2067026")</f>
        <v>https://www.catalog.slsa.sa.gov.au/record=b2067026</v>
      </c>
      <c r="C4488" s="1" t="str">
        <f>HYPERLINK("https://www.catalog.slsa.sa.gov.au/xrecord=b2067026")</f>
        <v>https://www.catalog.slsa.sa.gov.au/xrecord=b2067026</v>
      </c>
      <c r="E4488" t="s">
        <v>15201</v>
      </c>
      <c r="F4488">
        <v>1950</v>
      </c>
      <c r="G4488" t="s">
        <v>15202</v>
      </c>
      <c r="H4488" t="s">
        <v>15203</v>
      </c>
      <c r="J4488" t="s">
        <v>15204</v>
      </c>
      <c r="K4488" s="2" t="str">
        <f>HYPERLINK("http://collections.slsa.sa.gov.au/mpcimg/47500/B47470.htm")</f>
        <v>http://collections.slsa.sa.gov.au/mpcimg/47500/B47470.htm</v>
      </c>
    </row>
    <row r="4489" spans="1:11" x14ac:dyDescent="0.25">
      <c r="A4489" t="s">
        <v>15205</v>
      </c>
      <c r="B4489" s="1" t="str">
        <f>HYPERLINK("https://www.catalog.slsa.sa.gov.au/record=b2069004")</f>
        <v>https://www.catalog.slsa.sa.gov.au/record=b2069004</v>
      </c>
      <c r="C4489" s="1" t="str">
        <f>HYPERLINK("https://www.catalog.slsa.sa.gov.au/xrecord=b2069004")</f>
        <v>https://www.catalog.slsa.sa.gov.au/xrecord=b2069004</v>
      </c>
      <c r="E4489" t="s">
        <v>15206</v>
      </c>
      <c r="F4489">
        <v>1950</v>
      </c>
      <c r="G4489" t="s">
        <v>14809</v>
      </c>
      <c r="H4489" t="s">
        <v>15207</v>
      </c>
      <c r="I4489" t="s">
        <v>15208</v>
      </c>
      <c r="J4489" t="s">
        <v>15209</v>
      </c>
      <c r="K4489" s="2" t="str">
        <f>HYPERLINK("http://collections.slsa.sa.gov.au/mpcimg/18250/B18212.htm")</f>
        <v>http://collections.slsa.sa.gov.au/mpcimg/18250/B18212.htm</v>
      </c>
    </row>
    <row r="4490" spans="1:11" x14ac:dyDescent="0.25">
      <c r="A4490" t="s">
        <v>15210</v>
      </c>
      <c r="B4490" s="1" t="str">
        <f>HYPERLINK("https://www.catalog.slsa.sa.gov.au/record=b2069006")</f>
        <v>https://www.catalog.slsa.sa.gov.au/record=b2069006</v>
      </c>
      <c r="C4490" s="1" t="str">
        <f>HYPERLINK("https://www.catalog.slsa.sa.gov.au/xrecord=b2069006")</f>
        <v>https://www.catalog.slsa.sa.gov.au/xrecord=b2069006</v>
      </c>
      <c r="E4490" t="s">
        <v>15211</v>
      </c>
      <c r="F4490">
        <v>1950</v>
      </c>
      <c r="G4490" t="s">
        <v>15164</v>
      </c>
      <c r="H4490" t="s">
        <v>15212</v>
      </c>
      <c r="I4490" t="s">
        <v>15213</v>
      </c>
      <c r="J4490" t="s">
        <v>15209</v>
      </c>
      <c r="K4490" s="2" t="str">
        <f>HYPERLINK("http://collections.slsa.sa.gov.au/mpcimg/18250/B18214.htm")</f>
        <v>http://collections.slsa.sa.gov.au/mpcimg/18250/B18214.htm</v>
      </c>
    </row>
    <row r="4491" spans="1:11" x14ac:dyDescent="0.25">
      <c r="A4491" t="s">
        <v>15214</v>
      </c>
      <c r="B4491" s="1" t="str">
        <f>HYPERLINK("https://www.catalog.slsa.sa.gov.au/record=b2072538")</f>
        <v>https://www.catalog.slsa.sa.gov.au/record=b2072538</v>
      </c>
      <c r="C4491" s="1" t="str">
        <f>HYPERLINK("https://www.catalog.slsa.sa.gov.au/xrecord=b2072538")</f>
        <v>https://www.catalog.slsa.sa.gov.au/xrecord=b2072538</v>
      </c>
      <c r="E4491" t="s">
        <v>15215</v>
      </c>
      <c r="F4491">
        <v>1950</v>
      </c>
      <c r="G4491" t="s">
        <v>15216</v>
      </c>
      <c r="H4491" t="s">
        <v>15217</v>
      </c>
      <c r="I4491" t="s">
        <v>15218</v>
      </c>
      <c r="J4491" t="s">
        <v>15219</v>
      </c>
      <c r="K4491" s="2" t="str">
        <f>HYPERLINK("http://collections.slsa.sa.gov.au/mpcimg/46750/B46528_33.htm")</f>
        <v>http://collections.slsa.sa.gov.au/mpcimg/46750/B46528_33.htm</v>
      </c>
    </row>
    <row r="4492" spans="1:11" x14ac:dyDescent="0.25">
      <c r="A4492" t="s">
        <v>15220</v>
      </c>
      <c r="B4492" s="1" t="str">
        <f>HYPERLINK("https://www.catalog.slsa.sa.gov.au/record=b2072539")</f>
        <v>https://www.catalog.slsa.sa.gov.au/record=b2072539</v>
      </c>
      <c r="C4492" s="1" t="str">
        <f>HYPERLINK("https://www.catalog.slsa.sa.gov.au/xrecord=b2072539")</f>
        <v>https://www.catalog.slsa.sa.gov.au/xrecord=b2072539</v>
      </c>
      <c r="E4492" t="s">
        <v>15221</v>
      </c>
      <c r="F4492">
        <v>1950</v>
      </c>
      <c r="G4492" t="s">
        <v>15216</v>
      </c>
      <c r="H4492" t="s">
        <v>15222</v>
      </c>
      <c r="I4492" t="s">
        <v>15223</v>
      </c>
      <c r="J4492" t="s">
        <v>15219</v>
      </c>
      <c r="K4492" s="2" t="str">
        <f>HYPERLINK("http://collections.slsa.sa.gov.au/mpcimg/46750/B46528_34.htm")</f>
        <v>http://collections.slsa.sa.gov.au/mpcimg/46750/B46528_34.htm</v>
      </c>
    </row>
    <row r="4493" spans="1:11" x14ac:dyDescent="0.25">
      <c r="A4493" t="s">
        <v>15224</v>
      </c>
      <c r="B4493" s="1" t="str">
        <f>HYPERLINK("https://www.catalog.slsa.sa.gov.au/record=b2072540")</f>
        <v>https://www.catalog.slsa.sa.gov.au/record=b2072540</v>
      </c>
      <c r="C4493" s="1" t="str">
        <f>HYPERLINK("https://www.catalog.slsa.sa.gov.au/xrecord=b2072540")</f>
        <v>https://www.catalog.slsa.sa.gov.au/xrecord=b2072540</v>
      </c>
      <c r="E4493" t="s">
        <v>15221</v>
      </c>
      <c r="F4493">
        <v>1950</v>
      </c>
      <c r="G4493" t="s">
        <v>15216</v>
      </c>
      <c r="H4493" t="s">
        <v>15225</v>
      </c>
      <c r="I4493" t="s">
        <v>15226</v>
      </c>
      <c r="J4493" t="s">
        <v>15219</v>
      </c>
      <c r="K4493" s="2" t="str">
        <f>HYPERLINK("http://collections.slsa.sa.gov.au/mpcimg/46750/B46528_35.htm")</f>
        <v>http://collections.slsa.sa.gov.au/mpcimg/46750/B46528_35.htm</v>
      </c>
    </row>
    <row r="4494" spans="1:11" x14ac:dyDescent="0.25">
      <c r="A4494" t="s">
        <v>15227</v>
      </c>
      <c r="B4494" s="1" t="str">
        <f>HYPERLINK("https://www.catalog.slsa.sa.gov.au/record=b2072603")</f>
        <v>https://www.catalog.slsa.sa.gov.au/record=b2072603</v>
      </c>
      <c r="C4494" s="1" t="str">
        <f>HYPERLINK("https://www.catalog.slsa.sa.gov.au/xrecord=b2072603")</f>
        <v>https://www.catalog.slsa.sa.gov.au/xrecord=b2072603</v>
      </c>
      <c r="E4494" t="s">
        <v>15215</v>
      </c>
      <c r="F4494">
        <v>1950</v>
      </c>
      <c r="G4494" t="s">
        <v>15216</v>
      </c>
      <c r="H4494" t="s">
        <v>15228</v>
      </c>
      <c r="I4494" t="s">
        <v>15229</v>
      </c>
      <c r="J4494" t="s">
        <v>15219</v>
      </c>
      <c r="K4494" s="2" t="str">
        <f>HYPERLINK("http://collections.slsa.sa.gov.au/mpcimg/46750/B46528_98.htm")</f>
        <v>http://collections.slsa.sa.gov.au/mpcimg/46750/B46528_98.htm</v>
      </c>
    </row>
    <row r="4495" spans="1:11" x14ac:dyDescent="0.25">
      <c r="A4495" t="s">
        <v>15230</v>
      </c>
      <c r="B4495" s="1" t="str">
        <f>HYPERLINK("https://www.catalog.slsa.sa.gov.au/record=b2072604")</f>
        <v>https://www.catalog.slsa.sa.gov.au/record=b2072604</v>
      </c>
      <c r="C4495" s="1" t="str">
        <f>HYPERLINK("https://www.catalog.slsa.sa.gov.au/xrecord=b2072604")</f>
        <v>https://www.catalog.slsa.sa.gov.au/xrecord=b2072604</v>
      </c>
      <c r="E4495" t="s">
        <v>15231</v>
      </c>
      <c r="F4495">
        <v>1950</v>
      </c>
      <c r="G4495" t="s">
        <v>15216</v>
      </c>
      <c r="H4495" t="s">
        <v>15232</v>
      </c>
      <c r="I4495" t="s">
        <v>15233</v>
      </c>
      <c r="J4495" t="s">
        <v>15219</v>
      </c>
      <c r="K4495" s="2" t="str">
        <f>HYPERLINK("http://collections.slsa.sa.gov.au/mpcimg/46750/B46528_99.htm")</f>
        <v>http://collections.slsa.sa.gov.au/mpcimg/46750/B46528_99.htm</v>
      </c>
    </row>
    <row r="4496" spans="1:11" x14ac:dyDescent="0.25">
      <c r="A4496" t="s">
        <v>15234</v>
      </c>
      <c r="B4496" s="1" t="str">
        <f>HYPERLINK("https://www.catalog.slsa.sa.gov.au/record=b2072605")</f>
        <v>https://www.catalog.slsa.sa.gov.au/record=b2072605</v>
      </c>
      <c r="C4496" s="1" t="str">
        <f>HYPERLINK("https://www.catalog.slsa.sa.gov.au/xrecord=b2072605")</f>
        <v>https://www.catalog.slsa.sa.gov.au/xrecord=b2072605</v>
      </c>
      <c r="E4496" t="s">
        <v>15235</v>
      </c>
      <c r="F4496">
        <v>1950</v>
      </c>
      <c r="G4496" t="s">
        <v>15216</v>
      </c>
      <c r="H4496" t="s">
        <v>15236</v>
      </c>
      <c r="I4496" t="s">
        <v>15237</v>
      </c>
      <c r="J4496" t="s">
        <v>15219</v>
      </c>
      <c r="K4496" s="2" t="str">
        <f>HYPERLINK("http://collections.slsa.sa.gov.au/mpcimg/46750/B46528_100.htm")</f>
        <v>http://collections.slsa.sa.gov.au/mpcimg/46750/B46528_100.htm</v>
      </c>
    </row>
    <row r="4497" spans="1:11" x14ac:dyDescent="0.25">
      <c r="A4497" t="s">
        <v>15238</v>
      </c>
      <c r="B4497" s="1" t="str">
        <f>HYPERLINK("https://www.catalog.slsa.sa.gov.au/record=b2072606")</f>
        <v>https://www.catalog.slsa.sa.gov.au/record=b2072606</v>
      </c>
      <c r="C4497" s="1" t="str">
        <f>HYPERLINK("https://www.catalog.slsa.sa.gov.au/xrecord=b2072606")</f>
        <v>https://www.catalog.slsa.sa.gov.au/xrecord=b2072606</v>
      </c>
      <c r="E4497" t="s">
        <v>15239</v>
      </c>
      <c r="F4497">
        <v>1950</v>
      </c>
      <c r="G4497" t="s">
        <v>15216</v>
      </c>
      <c r="H4497" t="s">
        <v>15240</v>
      </c>
      <c r="I4497" t="s">
        <v>15241</v>
      </c>
      <c r="J4497" t="s">
        <v>15219</v>
      </c>
      <c r="K4497" s="2" t="str">
        <f>HYPERLINK("http://collections.slsa.sa.gov.au/mpcimg/46750/B46528_101.htm")</f>
        <v>http://collections.slsa.sa.gov.au/mpcimg/46750/B46528_101.htm</v>
      </c>
    </row>
    <row r="4498" spans="1:11" x14ac:dyDescent="0.25">
      <c r="A4498" t="s">
        <v>15242</v>
      </c>
      <c r="B4498" s="1" t="str">
        <f>HYPERLINK("https://www.catalog.slsa.sa.gov.au/record=b2072607")</f>
        <v>https://www.catalog.slsa.sa.gov.au/record=b2072607</v>
      </c>
      <c r="C4498" s="1" t="str">
        <f>HYPERLINK("https://www.catalog.slsa.sa.gov.au/xrecord=b2072607")</f>
        <v>https://www.catalog.slsa.sa.gov.au/xrecord=b2072607</v>
      </c>
      <c r="E4498" t="s">
        <v>15215</v>
      </c>
      <c r="F4498">
        <v>1950</v>
      </c>
      <c r="G4498" t="s">
        <v>15216</v>
      </c>
      <c r="H4498" t="s">
        <v>15243</v>
      </c>
      <c r="I4498" t="s">
        <v>15244</v>
      </c>
      <c r="J4498" t="s">
        <v>15219</v>
      </c>
      <c r="K4498" s="2" t="str">
        <f>HYPERLINK("http://collections.slsa.sa.gov.au/mpcimg/46750/B46528_102.htm")</f>
        <v>http://collections.slsa.sa.gov.au/mpcimg/46750/B46528_102.htm</v>
      </c>
    </row>
    <row r="4499" spans="1:11" x14ac:dyDescent="0.25">
      <c r="A4499" t="s">
        <v>15245</v>
      </c>
      <c r="B4499" s="1" t="str">
        <f>HYPERLINK("https://www.catalog.slsa.sa.gov.au/record=b2072609")</f>
        <v>https://www.catalog.slsa.sa.gov.au/record=b2072609</v>
      </c>
      <c r="C4499" s="1" t="str">
        <f>HYPERLINK("https://www.catalog.slsa.sa.gov.au/xrecord=b2072609")</f>
        <v>https://www.catalog.slsa.sa.gov.au/xrecord=b2072609</v>
      </c>
      <c r="E4499" t="s">
        <v>15215</v>
      </c>
      <c r="F4499">
        <v>1950</v>
      </c>
      <c r="G4499" t="s">
        <v>15216</v>
      </c>
      <c r="H4499" t="s">
        <v>15246</v>
      </c>
      <c r="I4499" t="s">
        <v>15247</v>
      </c>
      <c r="J4499" t="s">
        <v>15219</v>
      </c>
      <c r="K4499" s="2" t="str">
        <f>HYPERLINK("http://collections.slsa.sa.gov.au/mpcimg/46750/B46528_104.htm")</f>
        <v>http://collections.slsa.sa.gov.au/mpcimg/46750/B46528_104.htm</v>
      </c>
    </row>
    <row r="4500" spans="1:11" x14ac:dyDescent="0.25">
      <c r="A4500" t="s">
        <v>15248</v>
      </c>
      <c r="B4500" s="1" t="str">
        <f>HYPERLINK("https://www.catalog.slsa.sa.gov.au/record=b2072610")</f>
        <v>https://www.catalog.slsa.sa.gov.au/record=b2072610</v>
      </c>
      <c r="C4500" s="1" t="str">
        <f>HYPERLINK("https://www.catalog.slsa.sa.gov.au/xrecord=b2072610")</f>
        <v>https://www.catalog.slsa.sa.gov.au/xrecord=b2072610</v>
      </c>
      <c r="E4500" t="s">
        <v>15249</v>
      </c>
      <c r="F4500">
        <v>1950</v>
      </c>
      <c r="G4500" t="s">
        <v>15216</v>
      </c>
      <c r="H4500" t="s">
        <v>15250</v>
      </c>
      <c r="I4500" t="s">
        <v>15251</v>
      </c>
      <c r="J4500" t="s">
        <v>15219</v>
      </c>
      <c r="K4500" s="2" t="str">
        <f>HYPERLINK("http://collections.slsa.sa.gov.au/mpcimg/46750/B46528_105.htm")</f>
        <v>http://collections.slsa.sa.gov.au/mpcimg/46750/B46528_105.htm</v>
      </c>
    </row>
    <row r="4501" spans="1:11" x14ac:dyDescent="0.25">
      <c r="A4501" t="s">
        <v>15252</v>
      </c>
      <c r="B4501" s="1" t="str">
        <f>HYPERLINK("https://www.catalog.slsa.sa.gov.au/record=b2072619")</f>
        <v>https://www.catalog.slsa.sa.gov.au/record=b2072619</v>
      </c>
      <c r="C4501" s="1" t="str">
        <f>HYPERLINK("https://www.catalog.slsa.sa.gov.au/xrecord=b2072619")</f>
        <v>https://www.catalog.slsa.sa.gov.au/xrecord=b2072619</v>
      </c>
      <c r="E4501" t="s">
        <v>15253</v>
      </c>
      <c r="F4501">
        <v>1950</v>
      </c>
      <c r="G4501" t="s">
        <v>15216</v>
      </c>
      <c r="H4501" t="s">
        <v>15254</v>
      </c>
      <c r="I4501" t="s">
        <v>15255</v>
      </c>
      <c r="J4501" t="s">
        <v>15219</v>
      </c>
      <c r="K4501" s="2" t="str">
        <f>HYPERLINK("http://collections.slsa.sa.gov.au/mpcimg/46750/B46528_114.htm")</f>
        <v>http://collections.slsa.sa.gov.au/mpcimg/46750/B46528_114.htm</v>
      </c>
    </row>
    <row r="4502" spans="1:11" x14ac:dyDescent="0.25">
      <c r="A4502" t="s">
        <v>15256</v>
      </c>
      <c r="B4502" s="1" t="str">
        <f>HYPERLINK("https://www.catalog.slsa.sa.gov.au/record=b2074003")</f>
        <v>https://www.catalog.slsa.sa.gov.au/record=b2074003</v>
      </c>
      <c r="C4502" s="1" t="str">
        <f>HYPERLINK("https://www.catalog.slsa.sa.gov.au/xrecord=b2074003")</f>
        <v>https://www.catalog.slsa.sa.gov.au/xrecord=b2074003</v>
      </c>
      <c r="D4502" t="s">
        <v>15257</v>
      </c>
      <c r="E4502" t="s">
        <v>15258</v>
      </c>
      <c r="F4502">
        <v>1950</v>
      </c>
      <c r="G4502" t="s">
        <v>15259</v>
      </c>
      <c r="H4502" t="s">
        <v>15260</v>
      </c>
      <c r="I4502" t="s">
        <v>15261</v>
      </c>
      <c r="J4502" t="s">
        <v>15262</v>
      </c>
      <c r="K4502" s="2" t="str">
        <f>HYPERLINK("http://collections.slsa.sa.gov.au/mpcimg/63500/B63471.htm")</f>
        <v>http://collections.slsa.sa.gov.au/mpcimg/63500/B63471.htm</v>
      </c>
    </row>
    <row r="4503" spans="1:11" x14ac:dyDescent="0.25">
      <c r="A4503" t="s">
        <v>15263</v>
      </c>
      <c r="B4503" s="1" t="str">
        <f>HYPERLINK("https://www.catalog.slsa.sa.gov.au/record=b2074020")</f>
        <v>https://www.catalog.slsa.sa.gov.au/record=b2074020</v>
      </c>
      <c r="C4503" s="1" t="str">
        <f>HYPERLINK("https://www.catalog.slsa.sa.gov.au/xrecord=b2074020")</f>
        <v>https://www.catalog.slsa.sa.gov.au/xrecord=b2074020</v>
      </c>
      <c r="D4503" t="s">
        <v>15257</v>
      </c>
      <c r="E4503" t="s">
        <v>15264</v>
      </c>
      <c r="F4503">
        <v>1950</v>
      </c>
      <c r="G4503" t="s">
        <v>15265</v>
      </c>
      <c r="H4503" t="s">
        <v>15266</v>
      </c>
      <c r="I4503" t="s">
        <v>15261</v>
      </c>
      <c r="J4503" t="s">
        <v>15262</v>
      </c>
      <c r="K4503" s="2" t="str">
        <f>HYPERLINK("http://collections.slsa.sa.gov.au/mpcimg/63500/B63481.htm")</f>
        <v>http://collections.slsa.sa.gov.au/mpcimg/63500/B63481.htm</v>
      </c>
    </row>
    <row r="4504" spans="1:11" x14ac:dyDescent="0.25">
      <c r="A4504" t="s">
        <v>15267</v>
      </c>
      <c r="B4504" s="1" t="str">
        <f>HYPERLINK("https://www.catalog.slsa.sa.gov.au/record=b2075317")</f>
        <v>https://www.catalog.slsa.sa.gov.au/record=b2075317</v>
      </c>
      <c r="C4504" s="1" t="str">
        <f>HYPERLINK("https://www.catalog.slsa.sa.gov.au/xrecord=b2075317")</f>
        <v>https://www.catalog.slsa.sa.gov.au/xrecord=b2075317</v>
      </c>
      <c r="E4504" t="s">
        <v>15268</v>
      </c>
      <c r="F4504">
        <v>1950</v>
      </c>
      <c r="G4504" t="s">
        <v>15269</v>
      </c>
      <c r="H4504" t="s">
        <v>15270</v>
      </c>
      <c r="I4504" t="s">
        <v>15271</v>
      </c>
      <c r="J4504" t="s">
        <v>2510</v>
      </c>
      <c r="K4504" s="2" t="str">
        <f>HYPERLINK("http://collections.slsa.sa.gov.au/mpcimg/62250/B62107.htm")</f>
        <v>http://collections.slsa.sa.gov.au/mpcimg/62250/B62107.htm</v>
      </c>
    </row>
    <row r="4505" spans="1:11" x14ac:dyDescent="0.25">
      <c r="A4505" t="s">
        <v>15272</v>
      </c>
      <c r="B4505" s="1" t="str">
        <f>HYPERLINK("https://www.catalog.slsa.sa.gov.au/record=b2075330")</f>
        <v>https://www.catalog.slsa.sa.gov.au/record=b2075330</v>
      </c>
      <c r="C4505" s="1" t="str">
        <f>HYPERLINK("https://www.catalog.slsa.sa.gov.au/xrecord=b2075330")</f>
        <v>https://www.catalog.slsa.sa.gov.au/xrecord=b2075330</v>
      </c>
      <c r="E4505" t="s">
        <v>15268</v>
      </c>
      <c r="F4505">
        <v>1950</v>
      </c>
      <c r="G4505" t="s">
        <v>15269</v>
      </c>
      <c r="H4505" t="s">
        <v>15273</v>
      </c>
      <c r="I4505" t="s">
        <v>15271</v>
      </c>
      <c r="J4505" t="s">
        <v>2510</v>
      </c>
      <c r="K4505" s="2" t="str">
        <f>HYPERLINK("http://collections.slsa.sa.gov.au/mpcimg/62250/B62120.htm")</f>
        <v>http://collections.slsa.sa.gov.au/mpcimg/62250/B62120.htm</v>
      </c>
    </row>
    <row r="4506" spans="1:11" x14ac:dyDescent="0.25">
      <c r="A4506" t="s">
        <v>15274</v>
      </c>
      <c r="B4506" s="1" t="str">
        <f>HYPERLINK("https://www.catalog.slsa.sa.gov.au/record=b2077984")</f>
        <v>https://www.catalog.slsa.sa.gov.au/record=b2077984</v>
      </c>
      <c r="C4506" s="1" t="str">
        <f>HYPERLINK("https://www.catalog.slsa.sa.gov.au/xrecord=b2077984")</f>
        <v>https://www.catalog.slsa.sa.gov.au/xrecord=b2077984</v>
      </c>
      <c r="E4506" t="s">
        <v>15275</v>
      </c>
      <c r="F4506">
        <v>1950</v>
      </c>
      <c r="G4506" t="s">
        <v>15269</v>
      </c>
      <c r="H4506" t="s">
        <v>15276</v>
      </c>
      <c r="I4506" t="s">
        <v>15277</v>
      </c>
      <c r="J4506" t="s">
        <v>15278</v>
      </c>
      <c r="K4506" s="2" t="str">
        <f>HYPERLINK("http://collections.slsa.sa.gov.au/mpcimg/55500/B55417_153.htm")</f>
        <v>http://collections.slsa.sa.gov.au/mpcimg/55500/B55417_153.htm</v>
      </c>
    </row>
    <row r="4507" spans="1:11" x14ac:dyDescent="0.25">
      <c r="A4507" t="s">
        <v>15279</v>
      </c>
      <c r="B4507" s="1" t="str">
        <f>HYPERLINK("https://www.catalog.slsa.sa.gov.au/record=b2078025")</f>
        <v>https://www.catalog.slsa.sa.gov.au/record=b2078025</v>
      </c>
      <c r="C4507" s="1" t="str">
        <f>HYPERLINK("https://www.catalog.slsa.sa.gov.au/xrecord=b2078025")</f>
        <v>https://www.catalog.slsa.sa.gov.au/xrecord=b2078025</v>
      </c>
      <c r="D4507" t="s">
        <v>15280</v>
      </c>
      <c r="E4507" t="s">
        <v>15281</v>
      </c>
      <c r="F4507">
        <v>1950</v>
      </c>
      <c r="G4507" t="s">
        <v>15282</v>
      </c>
      <c r="H4507" t="s">
        <v>15283</v>
      </c>
      <c r="I4507" t="s">
        <v>15284</v>
      </c>
      <c r="J4507" t="s">
        <v>15023</v>
      </c>
      <c r="K4507" s="2" t="str">
        <f>HYPERLINK("http://collections.slsa.sa.gov.au/mpcimg/56000/B55948.htm")</f>
        <v>http://collections.slsa.sa.gov.au/mpcimg/56000/B55948.htm</v>
      </c>
    </row>
    <row r="4508" spans="1:11" x14ac:dyDescent="0.25">
      <c r="A4508" t="s">
        <v>15285</v>
      </c>
      <c r="B4508" s="1" t="str">
        <f>HYPERLINK("https://www.catalog.slsa.sa.gov.au/record=b2078203")</f>
        <v>https://www.catalog.slsa.sa.gov.au/record=b2078203</v>
      </c>
      <c r="C4508" s="1" t="str">
        <f>HYPERLINK("https://www.catalog.slsa.sa.gov.au/xrecord=b2078203")</f>
        <v>https://www.catalog.slsa.sa.gov.au/xrecord=b2078203</v>
      </c>
      <c r="E4508" t="s">
        <v>15286</v>
      </c>
      <c r="F4508">
        <v>1950</v>
      </c>
      <c r="G4508" t="s">
        <v>15269</v>
      </c>
      <c r="H4508" t="s">
        <v>15287</v>
      </c>
      <c r="I4508" t="s">
        <v>15288</v>
      </c>
      <c r="J4508" t="s">
        <v>15278</v>
      </c>
      <c r="K4508" s="2" t="str">
        <f>HYPERLINK("http://collections.slsa.sa.gov.au/mpcimg/55500/B55417_181.htm")</f>
        <v>http://collections.slsa.sa.gov.au/mpcimg/55500/B55417_181.htm</v>
      </c>
    </row>
    <row r="4509" spans="1:11" x14ac:dyDescent="0.25">
      <c r="A4509" t="s">
        <v>15289</v>
      </c>
      <c r="B4509" s="1" t="str">
        <f>HYPERLINK("https://www.catalog.slsa.sa.gov.au/record=b2078644")</f>
        <v>https://www.catalog.slsa.sa.gov.au/record=b2078644</v>
      </c>
      <c r="C4509" s="1" t="str">
        <f>HYPERLINK("https://www.catalog.slsa.sa.gov.au/xrecord=b2078644")</f>
        <v>https://www.catalog.slsa.sa.gov.au/xrecord=b2078644</v>
      </c>
      <c r="E4509" t="s">
        <v>15290</v>
      </c>
      <c r="F4509">
        <v>1950</v>
      </c>
      <c r="G4509" t="s">
        <v>15291</v>
      </c>
      <c r="H4509" t="s">
        <v>15292</v>
      </c>
      <c r="I4509" t="s">
        <v>15293</v>
      </c>
      <c r="J4509" t="s">
        <v>2510</v>
      </c>
      <c r="K4509" s="2" t="str">
        <f>HYPERLINK("http://collections.slsa.sa.gov.au/mpcimg/56750/B56571.htm")</f>
        <v>http://collections.slsa.sa.gov.au/mpcimg/56750/B56571.htm</v>
      </c>
    </row>
    <row r="4510" spans="1:11" x14ac:dyDescent="0.25">
      <c r="A4510" t="s">
        <v>15294</v>
      </c>
      <c r="B4510" s="1" t="str">
        <f>HYPERLINK("https://www.catalog.slsa.sa.gov.au/record=b2080085")</f>
        <v>https://www.catalog.slsa.sa.gov.au/record=b2080085</v>
      </c>
      <c r="C4510" s="1" t="str">
        <f>HYPERLINK("https://www.catalog.slsa.sa.gov.au/xrecord=b2080085")</f>
        <v>https://www.catalog.slsa.sa.gov.au/xrecord=b2080085</v>
      </c>
      <c r="E4510" t="s">
        <v>15295</v>
      </c>
      <c r="F4510">
        <v>1950</v>
      </c>
      <c r="G4510" t="s">
        <v>15269</v>
      </c>
      <c r="H4510" t="s">
        <v>15296</v>
      </c>
      <c r="I4510" t="s">
        <v>15297</v>
      </c>
      <c r="J4510" t="s">
        <v>15298</v>
      </c>
      <c r="K4510" s="2" t="str">
        <f>HYPERLINK("http://collections.slsa.sa.gov.au/mpcimg/58250/B58019.htm")</f>
        <v>http://collections.slsa.sa.gov.au/mpcimg/58250/B58019.htm</v>
      </c>
    </row>
    <row r="4511" spans="1:11" x14ac:dyDescent="0.25">
      <c r="A4511" t="s">
        <v>15299</v>
      </c>
      <c r="B4511" s="1" t="str">
        <f>HYPERLINK("https://www.catalog.slsa.sa.gov.au/record=b2080086")</f>
        <v>https://www.catalog.slsa.sa.gov.au/record=b2080086</v>
      </c>
      <c r="C4511" s="1" t="str">
        <f>HYPERLINK("https://www.catalog.slsa.sa.gov.au/xrecord=b2080086")</f>
        <v>https://www.catalog.slsa.sa.gov.au/xrecord=b2080086</v>
      </c>
      <c r="E4511" t="s">
        <v>15300</v>
      </c>
      <c r="F4511">
        <v>1950</v>
      </c>
      <c r="G4511" t="s">
        <v>15269</v>
      </c>
      <c r="H4511" t="s">
        <v>15301</v>
      </c>
      <c r="I4511" t="s">
        <v>15297</v>
      </c>
      <c r="J4511" t="s">
        <v>15298</v>
      </c>
      <c r="K4511" s="2" t="str">
        <f>HYPERLINK("http://collections.slsa.sa.gov.au/mpcimg/58250/B58020.htm")</f>
        <v>http://collections.slsa.sa.gov.au/mpcimg/58250/B58020.htm</v>
      </c>
    </row>
    <row r="4512" spans="1:11" x14ac:dyDescent="0.25">
      <c r="A4512" t="s">
        <v>15302</v>
      </c>
      <c r="B4512" s="1" t="str">
        <f>HYPERLINK("https://www.catalog.slsa.sa.gov.au/record=b2080089")</f>
        <v>https://www.catalog.slsa.sa.gov.au/record=b2080089</v>
      </c>
      <c r="C4512" s="1" t="str">
        <f>HYPERLINK("https://www.catalog.slsa.sa.gov.au/xrecord=b2080089")</f>
        <v>https://www.catalog.slsa.sa.gov.au/xrecord=b2080089</v>
      </c>
      <c r="E4512" t="s">
        <v>15303</v>
      </c>
      <c r="F4512">
        <v>1950</v>
      </c>
      <c r="G4512" t="s">
        <v>15269</v>
      </c>
      <c r="H4512" t="s">
        <v>15304</v>
      </c>
      <c r="I4512" t="s">
        <v>15305</v>
      </c>
      <c r="J4512" t="s">
        <v>15298</v>
      </c>
      <c r="K4512" s="2" t="str">
        <f>HYPERLINK("http://collections.slsa.sa.gov.au/mpcimg/58250/B58023.htm")</f>
        <v>http://collections.slsa.sa.gov.au/mpcimg/58250/B58023.htm</v>
      </c>
    </row>
    <row r="4513" spans="1:11" x14ac:dyDescent="0.25">
      <c r="A4513" t="s">
        <v>15306</v>
      </c>
      <c r="B4513" s="1" t="str">
        <f>HYPERLINK("https://www.catalog.slsa.sa.gov.au/record=b2080090")</f>
        <v>https://www.catalog.slsa.sa.gov.au/record=b2080090</v>
      </c>
      <c r="C4513" s="1" t="str">
        <f>HYPERLINK("https://www.catalog.slsa.sa.gov.au/xrecord=b2080090")</f>
        <v>https://www.catalog.slsa.sa.gov.au/xrecord=b2080090</v>
      </c>
      <c r="E4513" t="s">
        <v>15303</v>
      </c>
      <c r="F4513">
        <v>1950</v>
      </c>
      <c r="G4513" t="s">
        <v>15269</v>
      </c>
      <c r="H4513" t="s">
        <v>15307</v>
      </c>
      <c r="I4513" t="s">
        <v>15305</v>
      </c>
      <c r="J4513" t="s">
        <v>15298</v>
      </c>
      <c r="K4513" s="2" t="str">
        <f>HYPERLINK("http://collections.slsa.sa.gov.au/mpcimg/58250/B58024.htm")</f>
        <v>http://collections.slsa.sa.gov.au/mpcimg/58250/B58024.htm</v>
      </c>
    </row>
    <row r="4514" spans="1:11" x14ac:dyDescent="0.25">
      <c r="A4514" t="s">
        <v>15308</v>
      </c>
      <c r="B4514" s="1" t="str">
        <f>HYPERLINK("https://www.catalog.slsa.sa.gov.au/record=b2080245")</f>
        <v>https://www.catalog.slsa.sa.gov.au/record=b2080245</v>
      </c>
      <c r="C4514" s="1" t="str">
        <f>HYPERLINK("https://www.catalog.slsa.sa.gov.au/xrecord=b2080245")</f>
        <v>https://www.catalog.slsa.sa.gov.au/xrecord=b2080245</v>
      </c>
      <c r="E4514" t="s">
        <v>15309</v>
      </c>
      <c r="F4514">
        <v>1950</v>
      </c>
      <c r="G4514" t="s">
        <v>15310</v>
      </c>
      <c r="H4514" t="s">
        <v>15311</v>
      </c>
      <c r="I4514" t="s">
        <v>15312</v>
      </c>
      <c r="J4514" t="s">
        <v>14963</v>
      </c>
      <c r="K4514" s="2" t="str">
        <f>HYPERLINK("http://collections.slsa.sa.gov.au/mpcimg/58250/B58179.htm")</f>
        <v>http://collections.slsa.sa.gov.au/mpcimg/58250/B58179.htm</v>
      </c>
    </row>
    <row r="4515" spans="1:11" x14ac:dyDescent="0.25">
      <c r="A4515" t="s">
        <v>15313</v>
      </c>
      <c r="B4515" s="1" t="str">
        <f>HYPERLINK("https://www.catalog.slsa.sa.gov.au/record=b2080257")</f>
        <v>https://www.catalog.slsa.sa.gov.au/record=b2080257</v>
      </c>
      <c r="C4515" s="1" t="str">
        <f>HYPERLINK("https://www.catalog.slsa.sa.gov.au/xrecord=b2080257")</f>
        <v>https://www.catalog.slsa.sa.gov.au/xrecord=b2080257</v>
      </c>
      <c r="E4515" t="s">
        <v>15309</v>
      </c>
      <c r="F4515">
        <v>1950</v>
      </c>
      <c r="G4515" t="s">
        <v>15314</v>
      </c>
      <c r="H4515" t="s">
        <v>15315</v>
      </c>
      <c r="I4515" t="s">
        <v>15312</v>
      </c>
      <c r="J4515" t="s">
        <v>14963</v>
      </c>
      <c r="K4515" s="2" t="str">
        <f>HYPERLINK("http://collections.slsa.sa.gov.au/mpcimg/58250/B58191.htm")</f>
        <v>http://collections.slsa.sa.gov.au/mpcimg/58250/B58191.htm</v>
      </c>
    </row>
    <row r="4516" spans="1:11" x14ac:dyDescent="0.25">
      <c r="A4516" t="s">
        <v>15316</v>
      </c>
      <c r="B4516" s="1" t="str">
        <f>HYPERLINK("https://www.catalog.slsa.sa.gov.au/record=b2081172")</f>
        <v>https://www.catalog.slsa.sa.gov.au/record=b2081172</v>
      </c>
      <c r="C4516" s="1" t="str">
        <f>HYPERLINK("https://www.catalog.slsa.sa.gov.au/xrecord=b2081172")</f>
        <v>https://www.catalog.slsa.sa.gov.au/xrecord=b2081172</v>
      </c>
      <c r="E4516" t="s">
        <v>15317</v>
      </c>
      <c r="F4516">
        <v>1950</v>
      </c>
      <c r="G4516" t="s">
        <v>15269</v>
      </c>
      <c r="H4516" t="s">
        <v>15318</v>
      </c>
      <c r="I4516" t="s">
        <v>15319</v>
      </c>
      <c r="J4516" t="s">
        <v>15320</v>
      </c>
      <c r="K4516" s="2" t="str">
        <f>HYPERLINK("http://collections.slsa.sa.gov.au/mpcimg/59250/B59107.htm")</f>
        <v>http://collections.slsa.sa.gov.au/mpcimg/59250/B59107.htm</v>
      </c>
    </row>
    <row r="4517" spans="1:11" x14ac:dyDescent="0.25">
      <c r="A4517" t="s">
        <v>15321</v>
      </c>
      <c r="B4517" s="1" t="str">
        <f>HYPERLINK("https://www.catalog.slsa.sa.gov.au/record=b2081173")</f>
        <v>https://www.catalog.slsa.sa.gov.au/record=b2081173</v>
      </c>
      <c r="C4517" s="1" t="str">
        <f>HYPERLINK("https://www.catalog.slsa.sa.gov.au/xrecord=b2081173")</f>
        <v>https://www.catalog.slsa.sa.gov.au/xrecord=b2081173</v>
      </c>
      <c r="E4517" t="s">
        <v>15322</v>
      </c>
      <c r="F4517">
        <v>1950</v>
      </c>
      <c r="G4517" t="s">
        <v>15269</v>
      </c>
      <c r="H4517" t="s">
        <v>15323</v>
      </c>
      <c r="I4517" t="s">
        <v>15324</v>
      </c>
      <c r="J4517" t="s">
        <v>2510</v>
      </c>
      <c r="K4517" s="2" t="str">
        <f>HYPERLINK("http://collections.slsa.sa.gov.au/mpcimg/59250/B59108.htm")</f>
        <v>http://collections.slsa.sa.gov.au/mpcimg/59250/B59108.htm</v>
      </c>
    </row>
    <row r="4518" spans="1:11" x14ac:dyDescent="0.25">
      <c r="A4518" t="s">
        <v>15325</v>
      </c>
      <c r="B4518" s="1" t="str">
        <f>HYPERLINK("https://www.catalog.slsa.sa.gov.au/record=b2082726")</f>
        <v>https://www.catalog.slsa.sa.gov.au/record=b2082726</v>
      </c>
      <c r="C4518" s="1" t="str">
        <f>HYPERLINK("https://www.catalog.slsa.sa.gov.au/xrecord=b2082726")</f>
        <v>https://www.catalog.slsa.sa.gov.au/xrecord=b2082726</v>
      </c>
      <c r="E4518" t="s">
        <v>15326</v>
      </c>
      <c r="F4518">
        <v>1950</v>
      </c>
      <c r="G4518" t="s">
        <v>15327</v>
      </c>
      <c r="H4518" t="s">
        <v>15328</v>
      </c>
      <c r="I4518" t="s">
        <v>15329</v>
      </c>
      <c r="J4518" t="s">
        <v>15330</v>
      </c>
      <c r="K4518" s="2" t="str">
        <f>HYPERLINK("http://collections.slsa.sa.gov.au/mpcimg/60750/B60666.htm")</f>
        <v>http://collections.slsa.sa.gov.au/mpcimg/60750/B60666.htm</v>
      </c>
    </row>
    <row r="4519" spans="1:11" x14ac:dyDescent="0.25">
      <c r="A4519" t="s">
        <v>15331</v>
      </c>
      <c r="B4519" s="1" t="str">
        <f>HYPERLINK("https://www.catalog.slsa.sa.gov.au/record=b2089234")</f>
        <v>https://www.catalog.slsa.sa.gov.au/record=b2089234</v>
      </c>
      <c r="C4519" s="1" t="str">
        <f>HYPERLINK("https://www.catalog.slsa.sa.gov.au/xrecord=b2089234")</f>
        <v>https://www.catalog.slsa.sa.gov.au/xrecord=b2089234</v>
      </c>
      <c r="E4519" t="s">
        <v>15332</v>
      </c>
      <c r="F4519">
        <v>1950</v>
      </c>
      <c r="G4519" t="s">
        <v>15333</v>
      </c>
      <c r="H4519" t="s">
        <v>15334</v>
      </c>
      <c r="I4519" t="s">
        <v>15335</v>
      </c>
      <c r="J4519" t="s">
        <v>2510</v>
      </c>
      <c r="K4519" s="2" t="str">
        <f>HYPERLINK("http://collections.slsa.sa.gov.au/mpcimg/68500/B68482.htm")</f>
        <v>http://collections.slsa.sa.gov.au/mpcimg/68500/B68482.htm</v>
      </c>
    </row>
    <row r="4520" spans="1:11" x14ac:dyDescent="0.25">
      <c r="A4520" t="s">
        <v>15336</v>
      </c>
      <c r="B4520" s="1" t="str">
        <f>HYPERLINK("https://www.catalog.slsa.sa.gov.au/record=b2090166")</f>
        <v>https://www.catalog.slsa.sa.gov.au/record=b2090166</v>
      </c>
      <c r="C4520" s="1" t="str">
        <f>HYPERLINK("https://www.catalog.slsa.sa.gov.au/xrecord=b2090166")</f>
        <v>https://www.catalog.slsa.sa.gov.au/xrecord=b2090166</v>
      </c>
      <c r="E4520" t="s">
        <v>15337</v>
      </c>
      <c r="F4520">
        <v>1950</v>
      </c>
      <c r="G4520" t="s">
        <v>15338</v>
      </c>
      <c r="H4520" t="s">
        <v>15339</v>
      </c>
      <c r="I4520" t="s">
        <v>15340</v>
      </c>
      <c r="J4520" t="s">
        <v>15341</v>
      </c>
      <c r="K4520" s="2" t="str">
        <f>HYPERLINK("http://collections.slsa.sa.gov.au/mpcimg/59000/B58892_2.htm")</f>
        <v>http://collections.slsa.sa.gov.au/mpcimg/59000/B58892_2.htm</v>
      </c>
    </row>
    <row r="4521" spans="1:11" x14ac:dyDescent="0.25">
      <c r="A4521" t="s">
        <v>15342</v>
      </c>
      <c r="B4521" s="1" t="str">
        <f>HYPERLINK("https://www.catalog.slsa.sa.gov.au/record=b2090168")</f>
        <v>https://www.catalog.slsa.sa.gov.au/record=b2090168</v>
      </c>
      <c r="C4521" s="1" t="str">
        <f>HYPERLINK("https://www.catalog.slsa.sa.gov.au/xrecord=b2090168")</f>
        <v>https://www.catalog.slsa.sa.gov.au/xrecord=b2090168</v>
      </c>
      <c r="E4521" t="s">
        <v>15337</v>
      </c>
      <c r="F4521">
        <v>1950</v>
      </c>
      <c r="G4521" t="s">
        <v>15343</v>
      </c>
      <c r="H4521" t="s">
        <v>15344</v>
      </c>
      <c r="I4521" t="s">
        <v>15345</v>
      </c>
      <c r="J4521" t="s">
        <v>15341</v>
      </c>
      <c r="K4521" s="2" t="str">
        <f>HYPERLINK("http://collections.slsa.sa.gov.au/mpcimg/59000/B58892_4.htm")</f>
        <v>http://collections.slsa.sa.gov.au/mpcimg/59000/B58892_4.htm</v>
      </c>
    </row>
    <row r="4522" spans="1:11" x14ac:dyDescent="0.25">
      <c r="A4522" t="s">
        <v>15346</v>
      </c>
      <c r="B4522" s="1" t="str">
        <f>HYPERLINK("https://www.catalog.slsa.sa.gov.au/record=b2090170")</f>
        <v>https://www.catalog.slsa.sa.gov.au/record=b2090170</v>
      </c>
      <c r="C4522" s="1" t="str">
        <f>HYPERLINK("https://www.catalog.slsa.sa.gov.au/xrecord=b2090170")</f>
        <v>https://www.catalog.slsa.sa.gov.au/xrecord=b2090170</v>
      </c>
      <c r="E4522" t="s">
        <v>15337</v>
      </c>
      <c r="F4522">
        <v>1950</v>
      </c>
      <c r="G4522" t="s">
        <v>15338</v>
      </c>
      <c r="H4522" t="s">
        <v>15347</v>
      </c>
      <c r="I4522" t="s">
        <v>15348</v>
      </c>
      <c r="J4522" t="s">
        <v>15341</v>
      </c>
      <c r="K4522" s="2" t="str">
        <f>HYPERLINK("http://collections.slsa.sa.gov.au/mpcimg/59000/B58892_6.htm")</f>
        <v>http://collections.slsa.sa.gov.au/mpcimg/59000/B58892_6.htm</v>
      </c>
    </row>
    <row r="4523" spans="1:11" x14ac:dyDescent="0.25">
      <c r="A4523" t="s">
        <v>15349</v>
      </c>
      <c r="B4523" s="1" t="str">
        <f>HYPERLINK("https://www.catalog.slsa.sa.gov.au/record=b2090171")</f>
        <v>https://www.catalog.slsa.sa.gov.au/record=b2090171</v>
      </c>
      <c r="C4523" s="1" t="str">
        <f>HYPERLINK("https://www.catalog.slsa.sa.gov.au/xrecord=b2090171")</f>
        <v>https://www.catalog.slsa.sa.gov.au/xrecord=b2090171</v>
      </c>
      <c r="E4523" t="s">
        <v>15337</v>
      </c>
      <c r="F4523">
        <v>1950</v>
      </c>
      <c r="G4523" t="s">
        <v>15350</v>
      </c>
      <c r="H4523" t="s">
        <v>15351</v>
      </c>
      <c r="I4523" t="s">
        <v>15345</v>
      </c>
      <c r="J4523" t="s">
        <v>15341</v>
      </c>
      <c r="K4523" s="2" t="str">
        <f>HYPERLINK("http://collections.slsa.sa.gov.au/mpcimg/59000/B58892_7.htm")</f>
        <v>http://collections.slsa.sa.gov.au/mpcimg/59000/B58892_7.htm</v>
      </c>
    </row>
    <row r="4524" spans="1:11" x14ac:dyDescent="0.25">
      <c r="A4524" t="s">
        <v>15352</v>
      </c>
      <c r="B4524" s="1" t="str">
        <f>HYPERLINK("https://www.catalog.slsa.sa.gov.au/record=b2090227")</f>
        <v>https://www.catalog.slsa.sa.gov.au/record=b2090227</v>
      </c>
      <c r="C4524" s="1" t="str">
        <f>HYPERLINK("https://www.catalog.slsa.sa.gov.au/xrecord=b2090227")</f>
        <v>https://www.catalog.slsa.sa.gov.au/xrecord=b2090227</v>
      </c>
      <c r="E4524" t="s">
        <v>15353</v>
      </c>
      <c r="F4524">
        <v>1950</v>
      </c>
      <c r="G4524" t="s">
        <v>15354</v>
      </c>
      <c r="H4524" t="s">
        <v>15355</v>
      </c>
      <c r="I4524" t="s">
        <v>15356</v>
      </c>
      <c r="J4524" t="s">
        <v>15341</v>
      </c>
      <c r="K4524" s="2" t="str">
        <f>HYPERLINK("http://collections.slsa.sa.gov.au/mpcimg/59000/B58892_63.htm")</f>
        <v>http://collections.slsa.sa.gov.au/mpcimg/59000/B58892_63.htm</v>
      </c>
    </row>
    <row r="4525" spans="1:11" x14ac:dyDescent="0.25">
      <c r="A4525" t="s">
        <v>15357</v>
      </c>
      <c r="B4525" s="1" t="str">
        <f>HYPERLINK("https://www.catalog.slsa.sa.gov.au/record=b2090232")</f>
        <v>https://www.catalog.slsa.sa.gov.au/record=b2090232</v>
      </c>
      <c r="C4525" s="1" t="str">
        <f>HYPERLINK("https://www.catalog.slsa.sa.gov.au/xrecord=b2090232")</f>
        <v>https://www.catalog.slsa.sa.gov.au/xrecord=b2090232</v>
      </c>
      <c r="E4525" t="s">
        <v>15353</v>
      </c>
      <c r="F4525">
        <v>1950</v>
      </c>
      <c r="G4525" t="s">
        <v>15358</v>
      </c>
      <c r="H4525" t="s">
        <v>15359</v>
      </c>
      <c r="I4525" t="s">
        <v>15340</v>
      </c>
      <c r="J4525" t="s">
        <v>15341</v>
      </c>
      <c r="K4525" s="2" t="str">
        <f>HYPERLINK("http://collections.slsa.sa.gov.au/mpcimg/59000/B58892_68.htm")</f>
        <v>http://collections.slsa.sa.gov.au/mpcimg/59000/B58892_68.htm</v>
      </c>
    </row>
    <row r="4526" spans="1:11" x14ac:dyDescent="0.25">
      <c r="A4526" t="s">
        <v>15360</v>
      </c>
      <c r="B4526" s="1" t="str">
        <f>HYPERLINK("https://www.catalog.slsa.sa.gov.au/record=b2090246")</f>
        <v>https://www.catalog.slsa.sa.gov.au/record=b2090246</v>
      </c>
      <c r="C4526" s="1" t="str">
        <f>HYPERLINK("https://www.catalog.slsa.sa.gov.au/xrecord=b2090246")</f>
        <v>https://www.catalog.slsa.sa.gov.au/xrecord=b2090246</v>
      </c>
      <c r="E4526" t="s">
        <v>15353</v>
      </c>
      <c r="F4526">
        <v>1950</v>
      </c>
      <c r="G4526" t="s">
        <v>15361</v>
      </c>
      <c r="H4526" t="s">
        <v>15362</v>
      </c>
      <c r="I4526" t="s">
        <v>15363</v>
      </c>
      <c r="J4526" t="s">
        <v>15341</v>
      </c>
      <c r="K4526" s="2" t="str">
        <f>HYPERLINK("http://collections.slsa.sa.gov.au/mpcimg/59000/B58892_82.htm")</f>
        <v>http://collections.slsa.sa.gov.au/mpcimg/59000/B58892_82.htm</v>
      </c>
    </row>
    <row r="4527" spans="1:11" x14ac:dyDescent="0.25">
      <c r="A4527" t="s">
        <v>15364</v>
      </c>
      <c r="B4527" s="1" t="str">
        <f>HYPERLINK("https://www.catalog.slsa.sa.gov.au/record=b2090268")</f>
        <v>https://www.catalog.slsa.sa.gov.au/record=b2090268</v>
      </c>
      <c r="C4527" s="1" t="str">
        <f>HYPERLINK("https://www.catalog.slsa.sa.gov.au/xrecord=b2090268")</f>
        <v>https://www.catalog.slsa.sa.gov.au/xrecord=b2090268</v>
      </c>
      <c r="E4527" t="s">
        <v>15365</v>
      </c>
      <c r="F4527">
        <v>1950</v>
      </c>
      <c r="G4527" t="s">
        <v>15366</v>
      </c>
      <c r="H4527" t="s">
        <v>15367</v>
      </c>
      <c r="I4527" t="s">
        <v>15340</v>
      </c>
      <c r="J4527" t="s">
        <v>15341</v>
      </c>
      <c r="K4527" s="2" t="str">
        <f>HYPERLINK("http://collections.slsa.sa.gov.au/mpcimg/59000/B58892_114.htm")</f>
        <v>http://collections.slsa.sa.gov.au/mpcimg/59000/B58892_114.htm</v>
      </c>
    </row>
    <row r="4528" spans="1:11" x14ac:dyDescent="0.25">
      <c r="A4528" t="s">
        <v>15368</v>
      </c>
      <c r="B4528" s="1" t="str">
        <f>HYPERLINK("https://www.catalog.slsa.sa.gov.au/record=b2090271")</f>
        <v>https://www.catalog.slsa.sa.gov.au/record=b2090271</v>
      </c>
      <c r="C4528" s="1" t="str">
        <f>HYPERLINK("https://www.catalog.slsa.sa.gov.au/xrecord=b2090271")</f>
        <v>https://www.catalog.slsa.sa.gov.au/xrecord=b2090271</v>
      </c>
      <c r="E4528" t="s">
        <v>15365</v>
      </c>
      <c r="F4528">
        <v>1950</v>
      </c>
      <c r="G4528" t="s">
        <v>15369</v>
      </c>
      <c r="H4528" t="s">
        <v>15370</v>
      </c>
      <c r="I4528" t="s">
        <v>15356</v>
      </c>
      <c r="J4528" t="s">
        <v>15341</v>
      </c>
      <c r="K4528" s="2" t="str">
        <f>HYPERLINK("http://collections.slsa.sa.gov.au/mpcimg/59000/B58892_117.htm")</f>
        <v>http://collections.slsa.sa.gov.au/mpcimg/59000/B58892_117.htm</v>
      </c>
    </row>
    <row r="4529" spans="1:11" x14ac:dyDescent="0.25">
      <c r="A4529" t="s">
        <v>15371</v>
      </c>
      <c r="B4529" s="1" t="str">
        <f>HYPERLINK("https://www.catalog.slsa.sa.gov.au/record=b2090345")</f>
        <v>https://www.catalog.slsa.sa.gov.au/record=b2090345</v>
      </c>
      <c r="C4529" s="1" t="str">
        <f>HYPERLINK("https://www.catalog.slsa.sa.gov.au/xrecord=b2090345")</f>
        <v>https://www.catalog.slsa.sa.gov.au/xrecord=b2090345</v>
      </c>
      <c r="E4529" t="s">
        <v>15372</v>
      </c>
      <c r="F4529">
        <v>1950</v>
      </c>
      <c r="G4529" t="s">
        <v>15373</v>
      </c>
      <c r="H4529" t="s">
        <v>15374</v>
      </c>
      <c r="I4529" t="s">
        <v>15375</v>
      </c>
      <c r="J4529" t="s">
        <v>15341</v>
      </c>
      <c r="K4529" s="2" t="str">
        <f>HYPERLINK("http://collections.slsa.sa.gov.au/mpcimg/59000/B58892_181.htm")</f>
        <v>http://collections.slsa.sa.gov.au/mpcimg/59000/B58892_181.htm</v>
      </c>
    </row>
    <row r="4530" spans="1:11" x14ac:dyDescent="0.25">
      <c r="A4530" t="s">
        <v>15376</v>
      </c>
      <c r="B4530" s="1" t="str">
        <f>HYPERLINK("https://www.catalog.slsa.sa.gov.au/record=b2090346")</f>
        <v>https://www.catalog.slsa.sa.gov.au/record=b2090346</v>
      </c>
      <c r="C4530" s="1" t="str">
        <f>HYPERLINK("https://www.catalog.slsa.sa.gov.au/xrecord=b2090346")</f>
        <v>https://www.catalog.slsa.sa.gov.au/xrecord=b2090346</v>
      </c>
      <c r="E4530" t="s">
        <v>15372</v>
      </c>
      <c r="F4530">
        <v>1950</v>
      </c>
      <c r="G4530" t="s">
        <v>15377</v>
      </c>
      <c r="H4530" t="s">
        <v>15378</v>
      </c>
      <c r="I4530" t="s">
        <v>15379</v>
      </c>
      <c r="J4530" t="s">
        <v>15341</v>
      </c>
      <c r="K4530" s="2" t="str">
        <f>HYPERLINK("http://collections.slsa.sa.gov.au/mpcimg/59000/B58892_182.htm")</f>
        <v>http://collections.slsa.sa.gov.au/mpcimg/59000/B58892_182.htm</v>
      </c>
    </row>
    <row r="4531" spans="1:11" x14ac:dyDescent="0.25">
      <c r="A4531" t="s">
        <v>15380</v>
      </c>
      <c r="B4531" s="1" t="str">
        <f>HYPERLINK("https://www.catalog.slsa.sa.gov.au/record=b2090347")</f>
        <v>https://www.catalog.slsa.sa.gov.au/record=b2090347</v>
      </c>
      <c r="C4531" s="1" t="str">
        <f>HYPERLINK("https://www.catalog.slsa.sa.gov.au/xrecord=b2090347")</f>
        <v>https://www.catalog.slsa.sa.gov.au/xrecord=b2090347</v>
      </c>
      <c r="E4531" t="s">
        <v>15372</v>
      </c>
      <c r="F4531">
        <v>1950</v>
      </c>
      <c r="G4531" t="s">
        <v>15381</v>
      </c>
      <c r="H4531" t="s">
        <v>15382</v>
      </c>
      <c r="I4531" t="s">
        <v>15345</v>
      </c>
      <c r="J4531" t="s">
        <v>15341</v>
      </c>
      <c r="K4531" s="2" t="str">
        <f>HYPERLINK("http://collections.slsa.sa.gov.au/mpcimg/59000/B58892_183.htm")</f>
        <v>http://collections.slsa.sa.gov.au/mpcimg/59000/B58892_183.htm</v>
      </c>
    </row>
    <row r="4532" spans="1:11" x14ac:dyDescent="0.25">
      <c r="A4532" t="s">
        <v>15383</v>
      </c>
      <c r="B4532" s="1" t="str">
        <f>HYPERLINK("https://www.catalog.slsa.sa.gov.au/record=b2090348")</f>
        <v>https://www.catalog.slsa.sa.gov.au/record=b2090348</v>
      </c>
      <c r="C4532" s="1" t="str">
        <f>HYPERLINK("https://www.catalog.slsa.sa.gov.au/xrecord=b2090348")</f>
        <v>https://www.catalog.slsa.sa.gov.au/xrecord=b2090348</v>
      </c>
      <c r="E4532" t="s">
        <v>15372</v>
      </c>
      <c r="F4532">
        <v>1950</v>
      </c>
      <c r="G4532" t="s">
        <v>15384</v>
      </c>
      <c r="H4532" t="s">
        <v>15385</v>
      </c>
      <c r="I4532" t="s">
        <v>15386</v>
      </c>
      <c r="J4532" t="s">
        <v>15341</v>
      </c>
      <c r="K4532" s="2" t="str">
        <f>HYPERLINK("http://collections.slsa.sa.gov.au/mpcimg/59000/B58892_184.htm")</f>
        <v>http://collections.slsa.sa.gov.au/mpcimg/59000/B58892_184.htm</v>
      </c>
    </row>
    <row r="4533" spans="1:11" x14ac:dyDescent="0.25">
      <c r="A4533" t="s">
        <v>15387</v>
      </c>
      <c r="B4533" s="1" t="str">
        <f>HYPERLINK("https://www.catalog.slsa.sa.gov.au/record=b2090349")</f>
        <v>https://www.catalog.slsa.sa.gov.au/record=b2090349</v>
      </c>
      <c r="C4533" s="1" t="str">
        <f>HYPERLINK("https://www.catalog.slsa.sa.gov.au/xrecord=b2090349")</f>
        <v>https://www.catalog.slsa.sa.gov.au/xrecord=b2090349</v>
      </c>
      <c r="E4533" t="s">
        <v>15372</v>
      </c>
      <c r="F4533">
        <v>1950</v>
      </c>
      <c r="G4533" t="s">
        <v>15388</v>
      </c>
      <c r="H4533" t="s">
        <v>15389</v>
      </c>
      <c r="I4533" t="s">
        <v>15340</v>
      </c>
      <c r="J4533" t="s">
        <v>15341</v>
      </c>
      <c r="K4533" s="2" t="str">
        <f>HYPERLINK("http://collections.slsa.sa.gov.au/mpcimg/59000/B58892_185.htm")</f>
        <v>http://collections.slsa.sa.gov.au/mpcimg/59000/B58892_185.htm</v>
      </c>
    </row>
    <row r="4534" spans="1:11" x14ac:dyDescent="0.25">
      <c r="A4534" t="s">
        <v>15390</v>
      </c>
      <c r="B4534" s="1" t="str">
        <f>HYPERLINK("https://www.catalog.slsa.sa.gov.au/record=b2090350")</f>
        <v>https://www.catalog.slsa.sa.gov.au/record=b2090350</v>
      </c>
      <c r="C4534" s="1" t="str">
        <f>HYPERLINK("https://www.catalog.slsa.sa.gov.au/xrecord=b2090350")</f>
        <v>https://www.catalog.slsa.sa.gov.au/xrecord=b2090350</v>
      </c>
      <c r="E4534" t="s">
        <v>15372</v>
      </c>
      <c r="F4534">
        <v>1950</v>
      </c>
      <c r="G4534" t="s">
        <v>15391</v>
      </c>
      <c r="H4534" t="s">
        <v>15392</v>
      </c>
      <c r="I4534" t="s">
        <v>15340</v>
      </c>
      <c r="J4534" t="s">
        <v>15341</v>
      </c>
      <c r="K4534" s="2" t="str">
        <f>HYPERLINK("http://collections.slsa.sa.gov.au/mpcimg/59000/B58892_186.htm")</f>
        <v>http://collections.slsa.sa.gov.au/mpcimg/59000/B58892_186.htm</v>
      </c>
    </row>
    <row r="4535" spans="1:11" x14ac:dyDescent="0.25">
      <c r="A4535" t="s">
        <v>15393</v>
      </c>
      <c r="B4535" s="1" t="str">
        <f>HYPERLINK("https://www.catalog.slsa.sa.gov.au/record=b2090512")</f>
        <v>https://www.catalog.slsa.sa.gov.au/record=b2090512</v>
      </c>
      <c r="C4535" s="1" t="str">
        <f>HYPERLINK("https://www.catalog.slsa.sa.gov.au/xrecord=b2090512")</f>
        <v>https://www.catalog.slsa.sa.gov.au/xrecord=b2090512</v>
      </c>
      <c r="E4535" t="s">
        <v>15394</v>
      </c>
      <c r="F4535">
        <v>1950</v>
      </c>
      <c r="G4535" t="s">
        <v>15395</v>
      </c>
      <c r="H4535" t="s">
        <v>15396</v>
      </c>
      <c r="I4535" t="s">
        <v>15340</v>
      </c>
      <c r="J4535" t="s">
        <v>15341</v>
      </c>
      <c r="K4535" s="2" t="str">
        <f>HYPERLINK("http://collections.slsa.sa.gov.au/mpcimg/59000/B58892_348.htm")</f>
        <v>http://collections.slsa.sa.gov.au/mpcimg/59000/B58892_348.htm</v>
      </c>
    </row>
    <row r="4536" spans="1:11" x14ac:dyDescent="0.25">
      <c r="A4536" t="s">
        <v>15397</v>
      </c>
      <c r="B4536" s="1" t="str">
        <f>HYPERLINK("https://www.catalog.slsa.sa.gov.au/record=b2090534")</f>
        <v>https://www.catalog.slsa.sa.gov.au/record=b2090534</v>
      </c>
      <c r="C4536" s="1" t="str">
        <f>HYPERLINK("https://www.catalog.slsa.sa.gov.au/xrecord=b2090534")</f>
        <v>https://www.catalog.slsa.sa.gov.au/xrecord=b2090534</v>
      </c>
      <c r="E4536" t="s">
        <v>15394</v>
      </c>
      <c r="F4536">
        <v>1950</v>
      </c>
      <c r="G4536" t="s">
        <v>15398</v>
      </c>
      <c r="H4536" t="s">
        <v>15399</v>
      </c>
      <c r="I4536" t="s">
        <v>15400</v>
      </c>
      <c r="J4536" t="s">
        <v>15341</v>
      </c>
      <c r="K4536" s="2" t="str">
        <f>HYPERLINK("http://collections.slsa.sa.gov.au/mpcimg/59000/B58892_370.htm")</f>
        <v>http://collections.slsa.sa.gov.au/mpcimg/59000/B58892_370.htm</v>
      </c>
    </row>
    <row r="4537" spans="1:11" x14ac:dyDescent="0.25">
      <c r="A4537" t="s">
        <v>15401</v>
      </c>
      <c r="B4537" s="1" t="str">
        <f>HYPERLINK("https://www.catalog.slsa.sa.gov.au/record=b2090738")</f>
        <v>https://www.catalog.slsa.sa.gov.au/record=b2090738</v>
      </c>
      <c r="C4537" s="1" t="str">
        <f>HYPERLINK("https://www.catalog.slsa.sa.gov.au/xrecord=b2090738")</f>
        <v>https://www.catalog.slsa.sa.gov.au/xrecord=b2090738</v>
      </c>
      <c r="E4537" t="s">
        <v>15402</v>
      </c>
      <c r="F4537">
        <v>1950</v>
      </c>
      <c r="G4537" t="s">
        <v>15403</v>
      </c>
      <c r="H4537" t="s">
        <v>15404</v>
      </c>
      <c r="I4537" t="s">
        <v>15405</v>
      </c>
      <c r="J4537" t="s">
        <v>15341</v>
      </c>
      <c r="K4537" s="2" t="str">
        <f>HYPERLINK("http://collections.slsa.sa.gov.au/mpcimg/59000/B58892_525.htm")</f>
        <v>http://collections.slsa.sa.gov.au/mpcimg/59000/B58892_525.htm</v>
      </c>
    </row>
    <row r="4538" spans="1:11" x14ac:dyDescent="0.25">
      <c r="A4538" t="s">
        <v>15406</v>
      </c>
      <c r="B4538" s="1" t="str">
        <f>HYPERLINK("https://www.catalog.slsa.sa.gov.au/record=b2092110")</f>
        <v>https://www.catalog.slsa.sa.gov.au/record=b2092110</v>
      </c>
      <c r="C4538" s="1" t="str">
        <f>HYPERLINK("https://www.catalog.slsa.sa.gov.au/xrecord=b2092110")</f>
        <v>https://www.catalog.slsa.sa.gov.au/xrecord=b2092110</v>
      </c>
      <c r="E4538" t="s">
        <v>15407</v>
      </c>
      <c r="F4538">
        <v>1950</v>
      </c>
      <c r="G4538" t="s">
        <v>14765</v>
      </c>
      <c r="H4538" t="s">
        <v>15408</v>
      </c>
      <c r="I4538" t="s">
        <v>14767</v>
      </c>
      <c r="J4538" t="s">
        <v>14768</v>
      </c>
      <c r="K4538" s="2" t="str">
        <f>HYPERLINK("http://collections.slsa.sa.gov.au/mpcimg/62500/B62287_10.htm")</f>
        <v>http://collections.slsa.sa.gov.au/mpcimg/62500/B62287_10.htm</v>
      </c>
    </row>
    <row r="4539" spans="1:11" x14ac:dyDescent="0.25">
      <c r="A4539" t="s">
        <v>15409</v>
      </c>
      <c r="B4539" s="1" t="str">
        <f>HYPERLINK("https://www.catalog.slsa.sa.gov.au/record=b2092111")</f>
        <v>https://www.catalog.slsa.sa.gov.au/record=b2092111</v>
      </c>
      <c r="C4539" s="1" t="str">
        <f>HYPERLINK("https://www.catalog.slsa.sa.gov.au/xrecord=b2092111")</f>
        <v>https://www.catalog.slsa.sa.gov.au/xrecord=b2092111</v>
      </c>
      <c r="E4539" t="s">
        <v>15410</v>
      </c>
      <c r="F4539">
        <v>1950</v>
      </c>
      <c r="G4539" t="s">
        <v>14765</v>
      </c>
      <c r="H4539" t="s">
        <v>15411</v>
      </c>
      <c r="I4539" t="s">
        <v>14767</v>
      </c>
      <c r="J4539" t="s">
        <v>14768</v>
      </c>
      <c r="K4539" s="2" t="str">
        <f>HYPERLINK("http://collections.slsa.sa.gov.au/mpcimg/62500/B62287_11.htm")</f>
        <v>http://collections.slsa.sa.gov.au/mpcimg/62500/B62287_11.htm</v>
      </c>
    </row>
    <row r="4540" spans="1:11" x14ac:dyDescent="0.25">
      <c r="A4540" t="s">
        <v>15412</v>
      </c>
      <c r="B4540" s="1" t="str">
        <f>HYPERLINK("https://www.catalog.slsa.sa.gov.au/record=b2092112")</f>
        <v>https://www.catalog.slsa.sa.gov.au/record=b2092112</v>
      </c>
      <c r="C4540" s="1" t="str">
        <f>HYPERLINK("https://www.catalog.slsa.sa.gov.au/xrecord=b2092112")</f>
        <v>https://www.catalog.slsa.sa.gov.au/xrecord=b2092112</v>
      </c>
      <c r="E4540" t="s">
        <v>15413</v>
      </c>
      <c r="F4540">
        <v>1950</v>
      </c>
      <c r="G4540" t="s">
        <v>14765</v>
      </c>
      <c r="H4540" t="s">
        <v>15414</v>
      </c>
      <c r="I4540" t="s">
        <v>14767</v>
      </c>
      <c r="J4540" t="s">
        <v>14768</v>
      </c>
      <c r="K4540" s="2" t="str">
        <f>HYPERLINK("http://collections.slsa.sa.gov.au/mpcimg/62500/B62287_12.htm")</f>
        <v>http://collections.slsa.sa.gov.au/mpcimg/62500/B62287_12.htm</v>
      </c>
    </row>
    <row r="4541" spans="1:11" x14ac:dyDescent="0.25">
      <c r="A4541" t="s">
        <v>15415</v>
      </c>
      <c r="B4541" s="1" t="str">
        <f>HYPERLINK("https://www.catalog.slsa.sa.gov.au/record=b2092113")</f>
        <v>https://www.catalog.slsa.sa.gov.au/record=b2092113</v>
      </c>
      <c r="C4541" s="1" t="str">
        <f>HYPERLINK("https://www.catalog.slsa.sa.gov.au/xrecord=b2092113")</f>
        <v>https://www.catalog.slsa.sa.gov.au/xrecord=b2092113</v>
      </c>
      <c r="E4541" t="s">
        <v>15416</v>
      </c>
      <c r="F4541">
        <v>1950</v>
      </c>
      <c r="G4541" t="s">
        <v>14765</v>
      </c>
      <c r="H4541" t="s">
        <v>15417</v>
      </c>
      <c r="I4541" t="s">
        <v>14767</v>
      </c>
      <c r="J4541" t="s">
        <v>14768</v>
      </c>
      <c r="K4541" s="2" t="str">
        <f>HYPERLINK("http://collections.slsa.sa.gov.au/mpcimg/62500/B62287_13.htm")</f>
        <v>http://collections.slsa.sa.gov.au/mpcimg/62500/B62287_13.htm</v>
      </c>
    </row>
    <row r="4542" spans="1:11" x14ac:dyDescent="0.25">
      <c r="A4542" t="s">
        <v>15418</v>
      </c>
      <c r="B4542" s="1" t="str">
        <f>HYPERLINK("https://www.catalog.slsa.sa.gov.au/record=b2092114")</f>
        <v>https://www.catalog.slsa.sa.gov.au/record=b2092114</v>
      </c>
      <c r="C4542" s="1" t="str">
        <f>HYPERLINK("https://www.catalog.slsa.sa.gov.au/xrecord=b2092114")</f>
        <v>https://www.catalog.slsa.sa.gov.au/xrecord=b2092114</v>
      </c>
      <c r="E4542" t="s">
        <v>15419</v>
      </c>
      <c r="F4542">
        <v>1950</v>
      </c>
      <c r="G4542" t="s">
        <v>14765</v>
      </c>
      <c r="H4542" t="s">
        <v>15420</v>
      </c>
      <c r="I4542" t="s">
        <v>14767</v>
      </c>
      <c r="J4542" t="s">
        <v>14768</v>
      </c>
      <c r="K4542" s="2" t="str">
        <f>HYPERLINK("http://collections.slsa.sa.gov.au/mpcimg/62500/B62287_14.htm")</f>
        <v>http://collections.slsa.sa.gov.au/mpcimg/62500/B62287_14.htm</v>
      </c>
    </row>
    <row r="4543" spans="1:11" x14ac:dyDescent="0.25">
      <c r="A4543" t="s">
        <v>15421</v>
      </c>
      <c r="B4543" s="1" t="str">
        <f>HYPERLINK("https://www.catalog.slsa.sa.gov.au/record=b2092115")</f>
        <v>https://www.catalog.slsa.sa.gov.au/record=b2092115</v>
      </c>
      <c r="C4543" s="1" t="str">
        <f>HYPERLINK("https://www.catalog.slsa.sa.gov.au/xrecord=b2092115")</f>
        <v>https://www.catalog.slsa.sa.gov.au/xrecord=b2092115</v>
      </c>
      <c r="E4543" t="s">
        <v>15422</v>
      </c>
      <c r="F4543">
        <v>1950</v>
      </c>
      <c r="G4543" t="s">
        <v>14765</v>
      </c>
      <c r="H4543" t="s">
        <v>15423</v>
      </c>
      <c r="I4543" t="s">
        <v>14767</v>
      </c>
      <c r="J4543" t="s">
        <v>14768</v>
      </c>
      <c r="K4543" s="2" t="str">
        <f>HYPERLINK("http://collections.slsa.sa.gov.au/mpcimg/62500/B62287_15.htm")</f>
        <v>http://collections.slsa.sa.gov.au/mpcimg/62500/B62287_15.htm</v>
      </c>
    </row>
    <row r="4544" spans="1:11" x14ac:dyDescent="0.25">
      <c r="A4544" t="s">
        <v>15424</v>
      </c>
      <c r="B4544" s="1" t="str">
        <f>HYPERLINK("https://www.catalog.slsa.sa.gov.au/record=b2092116")</f>
        <v>https://www.catalog.slsa.sa.gov.au/record=b2092116</v>
      </c>
      <c r="C4544" s="1" t="str">
        <f>HYPERLINK("https://www.catalog.slsa.sa.gov.au/xrecord=b2092116")</f>
        <v>https://www.catalog.slsa.sa.gov.au/xrecord=b2092116</v>
      </c>
      <c r="E4544" t="s">
        <v>15425</v>
      </c>
      <c r="F4544">
        <v>1950</v>
      </c>
      <c r="G4544" t="s">
        <v>14765</v>
      </c>
      <c r="H4544" t="s">
        <v>15426</v>
      </c>
      <c r="I4544" t="s">
        <v>14767</v>
      </c>
      <c r="J4544" t="s">
        <v>14768</v>
      </c>
      <c r="K4544" s="2" t="str">
        <f>HYPERLINK("http://collections.slsa.sa.gov.au/mpcimg/62500/B62287_16.htm")</f>
        <v>http://collections.slsa.sa.gov.au/mpcimg/62500/B62287_16.htm</v>
      </c>
    </row>
    <row r="4545" spans="1:11" x14ac:dyDescent="0.25">
      <c r="A4545" t="s">
        <v>15427</v>
      </c>
      <c r="B4545" s="1" t="str">
        <f>HYPERLINK("https://www.catalog.slsa.sa.gov.au/record=b2092117")</f>
        <v>https://www.catalog.slsa.sa.gov.au/record=b2092117</v>
      </c>
      <c r="C4545" s="1" t="str">
        <f>HYPERLINK("https://www.catalog.slsa.sa.gov.au/xrecord=b2092117")</f>
        <v>https://www.catalog.slsa.sa.gov.au/xrecord=b2092117</v>
      </c>
      <c r="E4545" t="s">
        <v>15428</v>
      </c>
      <c r="F4545">
        <v>1950</v>
      </c>
      <c r="G4545" t="s">
        <v>14765</v>
      </c>
      <c r="H4545" t="s">
        <v>15429</v>
      </c>
      <c r="I4545" t="s">
        <v>14767</v>
      </c>
      <c r="J4545" t="s">
        <v>14768</v>
      </c>
      <c r="K4545" s="2" t="str">
        <f>HYPERLINK("http://collections.slsa.sa.gov.au/mpcimg/62500/B62287_18.htm")</f>
        <v>http://collections.slsa.sa.gov.au/mpcimg/62500/B62287_18.htm</v>
      </c>
    </row>
    <row r="4546" spans="1:11" x14ac:dyDescent="0.25">
      <c r="A4546" t="s">
        <v>15430</v>
      </c>
      <c r="B4546" s="1" t="str">
        <f>HYPERLINK("https://www.catalog.slsa.sa.gov.au/record=b2092118")</f>
        <v>https://www.catalog.slsa.sa.gov.au/record=b2092118</v>
      </c>
      <c r="C4546" s="1" t="str">
        <f>HYPERLINK("https://www.catalog.slsa.sa.gov.au/xrecord=b2092118")</f>
        <v>https://www.catalog.slsa.sa.gov.au/xrecord=b2092118</v>
      </c>
      <c r="E4546" t="s">
        <v>15431</v>
      </c>
      <c r="F4546">
        <v>1950</v>
      </c>
      <c r="G4546" t="s">
        <v>14765</v>
      </c>
      <c r="H4546" t="s">
        <v>15432</v>
      </c>
      <c r="I4546" t="s">
        <v>14767</v>
      </c>
      <c r="J4546" t="s">
        <v>14768</v>
      </c>
      <c r="K4546" s="2" t="str">
        <f>HYPERLINK("http://collections.slsa.sa.gov.au/mpcimg/62500/B62287_17.htm")</f>
        <v>http://collections.slsa.sa.gov.au/mpcimg/62500/B62287_17.htm</v>
      </c>
    </row>
    <row r="4547" spans="1:11" x14ac:dyDescent="0.25">
      <c r="A4547" t="s">
        <v>15433</v>
      </c>
      <c r="B4547" s="1" t="str">
        <f>HYPERLINK("https://www.catalog.slsa.sa.gov.au/record=b2092119")</f>
        <v>https://www.catalog.slsa.sa.gov.au/record=b2092119</v>
      </c>
      <c r="C4547" s="1" t="str">
        <f>HYPERLINK("https://www.catalog.slsa.sa.gov.au/xrecord=b2092119")</f>
        <v>https://www.catalog.slsa.sa.gov.au/xrecord=b2092119</v>
      </c>
      <c r="E4547" t="s">
        <v>15434</v>
      </c>
      <c r="F4547">
        <v>1950</v>
      </c>
      <c r="G4547" t="s">
        <v>14765</v>
      </c>
      <c r="H4547" t="s">
        <v>15435</v>
      </c>
      <c r="I4547" t="s">
        <v>14767</v>
      </c>
      <c r="J4547" t="s">
        <v>14768</v>
      </c>
      <c r="K4547" s="2" t="str">
        <f>HYPERLINK("http://collections.slsa.sa.gov.au/mpcimg/62500/B62287_19.htm")</f>
        <v>http://collections.slsa.sa.gov.au/mpcimg/62500/B62287_19.htm</v>
      </c>
    </row>
    <row r="4548" spans="1:11" x14ac:dyDescent="0.25">
      <c r="A4548" t="s">
        <v>15436</v>
      </c>
      <c r="B4548" s="1" t="str">
        <f>HYPERLINK("https://www.catalog.slsa.sa.gov.au/record=b2092120")</f>
        <v>https://www.catalog.slsa.sa.gov.au/record=b2092120</v>
      </c>
      <c r="C4548" s="1" t="str">
        <f>HYPERLINK("https://www.catalog.slsa.sa.gov.au/xrecord=b2092120")</f>
        <v>https://www.catalog.slsa.sa.gov.au/xrecord=b2092120</v>
      </c>
      <c r="E4548" t="s">
        <v>15413</v>
      </c>
      <c r="F4548">
        <v>1950</v>
      </c>
      <c r="G4548" t="s">
        <v>14765</v>
      </c>
      <c r="H4548" t="s">
        <v>15437</v>
      </c>
      <c r="I4548" t="s">
        <v>14767</v>
      </c>
      <c r="J4548" t="s">
        <v>14768</v>
      </c>
      <c r="K4548" s="2" t="str">
        <f>HYPERLINK("http://collections.slsa.sa.gov.au/mpcimg/62500/B62287_20.htm")</f>
        <v>http://collections.slsa.sa.gov.au/mpcimg/62500/B62287_20.htm</v>
      </c>
    </row>
    <row r="4549" spans="1:11" x14ac:dyDescent="0.25">
      <c r="A4549" t="s">
        <v>15438</v>
      </c>
      <c r="B4549" s="1" t="str">
        <f>HYPERLINK("https://www.catalog.slsa.sa.gov.au/record=b2092121")</f>
        <v>https://www.catalog.slsa.sa.gov.au/record=b2092121</v>
      </c>
      <c r="C4549" s="1" t="str">
        <f>HYPERLINK("https://www.catalog.slsa.sa.gov.au/xrecord=b2092121")</f>
        <v>https://www.catalog.slsa.sa.gov.au/xrecord=b2092121</v>
      </c>
      <c r="E4549" t="s">
        <v>15439</v>
      </c>
      <c r="F4549">
        <v>1950</v>
      </c>
      <c r="G4549" t="s">
        <v>14765</v>
      </c>
      <c r="H4549" t="s">
        <v>15440</v>
      </c>
      <c r="I4549" t="s">
        <v>14767</v>
      </c>
      <c r="J4549" t="s">
        <v>14768</v>
      </c>
      <c r="K4549" s="2" t="str">
        <f>HYPERLINK("http://collections.slsa.sa.gov.au/mpcimg/62500/B62287_21.htm")</f>
        <v>http://collections.slsa.sa.gov.au/mpcimg/62500/B62287_21.htm</v>
      </c>
    </row>
    <row r="4550" spans="1:11" x14ac:dyDescent="0.25">
      <c r="A4550" t="s">
        <v>15441</v>
      </c>
      <c r="B4550" s="1" t="str">
        <f>HYPERLINK("https://www.catalog.slsa.sa.gov.au/record=b2092159")</f>
        <v>https://www.catalog.slsa.sa.gov.au/record=b2092159</v>
      </c>
      <c r="C4550" s="1" t="str">
        <f>HYPERLINK("https://www.catalog.slsa.sa.gov.au/xrecord=b2092159")</f>
        <v>https://www.catalog.slsa.sa.gov.au/xrecord=b2092159</v>
      </c>
      <c r="E4550" t="s">
        <v>15442</v>
      </c>
      <c r="F4550">
        <v>1950</v>
      </c>
      <c r="G4550" t="s">
        <v>14765</v>
      </c>
      <c r="H4550" t="s">
        <v>15443</v>
      </c>
      <c r="I4550" t="s">
        <v>14767</v>
      </c>
      <c r="J4550" t="s">
        <v>14768</v>
      </c>
      <c r="K4550" s="2" t="str">
        <f>HYPERLINK("http://collections.slsa.sa.gov.au/mpcimg/62500/B62287_23.htm")</f>
        <v>http://collections.slsa.sa.gov.au/mpcimg/62500/B62287_23.htm</v>
      </c>
    </row>
    <row r="4551" spans="1:11" x14ac:dyDescent="0.25">
      <c r="A4551" t="s">
        <v>15444</v>
      </c>
      <c r="B4551" s="1" t="str">
        <f>HYPERLINK("https://www.catalog.slsa.sa.gov.au/record=b2093138")</f>
        <v>https://www.catalog.slsa.sa.gov.au/record=b2093138</v>
      </c>
      <c r="C4551" s="1" t="str">
        <f>HYPERLINK("https://www.catalog.slsa.sa.gov.au/xrecord=b2093138")</f>
        <v>https://www.catalog.slsa.sa.gov.au/xrecord=b2093138</v>
      </c>
      <c r="D4551" t="s">
        <v>2939</v>
      </c>
      <c r="E4551" t="s">
        <v>15445</v>
      </c>
      <c r="F4551">
        <v>1950</v>
      </c>
      <c r="G4551" t="s">
        <v>15446</v>
      </c>
      <c r="H4551" t="s">
        <v>15447</v>
      </c>
      <c r="I4551" t="s">
        <v>15448</v>
      </c>
      <c r="J4551" t="s">
        <v>15449</v>
      </c>
      <c r="K4551" s="2" t="str">
        <f>HYPERLINK("http://collections.slsa.sa.gov.au/mpcimg/08000/B7798_164.htm")</f>
        <v>http://collections.slsa.sa.gov.au/mpcimg/08000/B7798_164.htm</v>
      </c>
    </row>
    <row r="4552" spans="1:11" x14ac:dyDescent="0.25">
      <c r="A4552" t="s">
        <v>15450</v>
      </c>
      <c r="B4552" s="1" t="str">
        <f>HYPERLINK("https://www.catalog.slsa.sa.gov.au/record=b2093199")</f>
        <v>https://www.catalog.slsa.sa.gov.au/record=b2093199</v>
      </c>
      <c r="C4552" s="1" t="str">
        <f>HYPERLINK("https://www.catalog.slsa.sa.gov.au/xrecord=b2093199")</f>
        <v>https://www.catalog.slsa.sa.gov.au/xrecord=b2093199</v>
      </c>
      <c r="E4552" t="s">
        <v>15451</v>
      </c>
      <c r="F4552">
        <v>1950</v>
      </c>
      <c r="G4552" t="s">
        <v>15452</v>
      </c>
      <c r="H4552" t="s">
        <v>15453</v>
      </c>
      <c r="I4552" t="s">
        <v>15454</v>
      </c>
      <c r="J4552" t="s">
        <v>15449</v>
      </c>
      <c r="K4552" s="2" t="str">
        <f>HYPERLINK("http://collections.slsa.sa.gov.au/mpcimg/08000/B7798_225.htm")</f>
        <v>http://collections.slsa.sa.gov.au/mpcimg/08000/B7798_225.htm</v>
      </c>
    </row>
    <row r="4553" spans="1:11" x14ac:dyDescent="0.25">
      <c r="A4553" t="s">
        <v>15455</v>
      </c>
      <c r="B4553" s="1" t="str">
        <f>HYPERLINK("https://www.catalog.slsa.sa.gov.au/record=b2095454")</f>
        <v>https://www.catalog.slsa.sa.gov.au/record=b2095454</v>
      </c>
      <c r="C4553" s="1" t="str">
        <f>HYPERLINK("https://www.catalog.slsa.sa.gov.au/xrecord=b2095454")</f>
        <v>https://www.catalog.slsa.sa.gov.au/xrecord=b2095454</v>
      </c>
      <c r="D4553" t="s">
        <v>2939</v>
      </c>
      <c r="E4553" t="s">
        <v>15456</v>
      </c>
      <c r="F4553">
        <v>1950</v>
      </c>
      <c r="G4553" t="s">
        <v>15106</v>
      </c>
      <c r="H4553" t="s">
        <v>15457</v>
      </c>
      <c r="I4553" t="s">
        <v>6579</v>
      </c>
      <c r="J4553" t="s">
        <v>15449</v>
      </c>
      <c r="K4553" s="2" t="str">
        <f>HYPERLINK("http://collections.slsa.sa.gov.au/mpcimg/08000/B7798_590.htm")</f>
        <v>http://collections.slsa.sa.gov.au/mpcimg/08000/B7798_590.htm</v>
      </c>
    </row>
    <row r="4554" spans="1:11" x14ac:dyDescent="0.25">
      <c r="A4554" t="s">
        <v>15458</v>
      </c>
      <c r="B4554" s="1" t="str">
        <f>HYPERLINK("https://www.catalog.slsa.sa.gov.au/record=b2101427")</f>
        <v>https://www.catalog.slsa.sa.gov.au/record=b2101427</v>
      </c>
      <c r="C4554" s="1" t="str">
        <f>HYPERLINK("https://www.catalog.slsa.sa.gov.au/xrecord=b2101427")</f>
        <v>https://www.catalog.slsa.sa.gov.au/xrecord=b2101427</v>
      </c>
      <c r="E4554" t="s">
        <v>15459</v>
      </c>
      <c r="F4554">
        <v>1950</v>
      </c>
      <c r="G4554" t="s">
        <v>15460</v>
      </c>
      <c r="H4554" t="s">
        <v>15461</v>
      </c>
      <c r="I4554" t="s">
        <v>15462</v>
      </c>
      <c r="J4554" t="s">
        <v>14768</v>
      </c>
      <c r="K4554" s="2" t="str">
        <f>HYPERLINK("http://collections.slsa.sa.gov.au/mpcimg/57250/B57200_246.htm")</f>
        <v>http://collections.slsa.sa.gov.au/mpcimg/57250/B57200_246.htm</v>
      </c>
    </row>
    <row r="4555" spans="1:11" x14ac:dyDescent="0.25">
      <c r="A4555" t="s">
        <v>15463</v>
      </c>
      <c r="B4555" s="1" t="str">
        <f>HYPERLINK("https://www.catalog.slsa.sa.gov.au/record=b2101428")</f>
        <v>https://www.catalog.slsa.sa.gov.au/record=b2101428</v>
      </c>
      <c r="C4555" s="1" t="str">
        <f>HYPERLINK("https://www.catalog.slsa.sa.gov.au/xrecord=b2101428")</f>
        <v>https://www.catalog.slsa.sa.gov.au/xrecord=b2101428</v>
      </c>
      <c r="E4555" t="s">
        <v>15459</v>
      </c>
      <c r="F4555">
        <v>1950</v>
      </c>
      <c r="G4555" t="s">
        <v>15464</v>
      </c>
      <c r="H4555" t="s">
        <v>15465</v>
      </c>
      <c r="I4555" t="s">
        <v>15466</v>
      </c>
      <c r="J4555" t="s">
        <v>14768</v>
      </c>
      <c r="K4555" s="2" t="str">
        <f>HYPERLINK("http://collections.slsa.sa.gov.au/mpcimg/57250/B57200_247.htm")</f>
        <v>http://collections.slsa.sa.gov.au/mpcimg/57250/B57200_247.htm</v>
      </c>
    </row>
    <row r="4556" spans="1:11" x14ac:dyDescent="0.25">
      <c r="A4556" t="s">
        <v>15467</v>
      </c>
      <c r="B4556" s="1" t="str">
        <f>HYPERLINK("https://www.catalog.slsa.sa.gov.au/record=b2101429")</f>
        <v>https://www.catalog.slsa.sa.gov.au/record=b2101429</v>
      </c>
      <c r="C4556" s="1" t="str">
        <f>HYPERLINK("https://www.catalog.slsa.sa.gov.au/xrecord=b2101429")</f>
        <v>https://www.catalog.slsa.sa.gov.au/xrecord=b2101429</v>
      </c>
      <c r="E4556" t="s">
        <v>15459</v>
      </c>
      <c r="F4556">
        <v>1950</v>
      </c>
      <c r="G4556" t="s">
        <v>15468</v>
      </c>
      <c r="H4556" t="s">
        <v>15469</v>
      </c>
      <c r="I4556" t="s">
        <v>15470</v>
      </c>
      <c r="J4556" t="s">
        <v>14768</v>
      </c>
      <c r="K4556" s="2" t="str">
        <f>HYPERLINK("http://collections.slsa.sa.gov.au/mpcimg/57250/B57200_248.htm")</f>
        <v>http://collections.slsa.sa.gov.au/mpcimg/57250/B57200_248.htm</v>
      </c>
    </row>
    <row r="4557" spans="1:11" x14ac:dyDescent="0.25">
      <c r="A4557" t="s">
        <v>15471</v>
      </c>
      <c r="B4557" s="1" t="str">
        <f>HYPERLINK("https://www.catalog.slsa.sa.gov.au/record=b2105932")</f>
        <v>https://www.catalog.slsa.sa.gov.au/record=b2105932</v>
      </c>
      <c r="C4557" s="1" t="str">
        <f>HYPERLINK("https://www.catalog.slsa.sa.gov.au/xrecord=b2105932")</f>
        <v>https://www.catalog.slsa.sa.gov.au/xrecord=b2105932</v>
      </c>
      <c r="E4557" t="s">
        <v>15472</v>
      </c>
      <c r="F4557">
        <v>1950</v>
      </c>
      <c r="G4557" t="s">
        <v>15473</v>
      </c>
      <c r="H4557" t="s">
        <v>15474</v>
      </c>
      <c r="I4557" t="s">
        <v>15475</v>
      </c>
      <c r="J4557" t="s">
        <v>2510</v>
      </c>
      <c r="K4557" s="2" t="str">
        <f>HYPERLINK("http://collections.slsa.sa.gov.au/mpcimg/69250/B69104.htm")</f>
        <v>http://collections.slsa.sa.gov.au/mpcimg/69250/B69104.htm</v>
      </c>
    </row>
    <row r="4558" spans="1:11" x14ac:dyDescent="0.25">
      <c r="A4558" t="s">
        <v>15476</v>
      </c>
      <c r="B4558" s="1" t="str">
        <f>HYPERLINK("https://www.catalog.slsa.sa.gov.au/record=b2108871")</f>
        <v>https://www.catalog.slsa.sa.gov.au/record=b2108871</v>
      </c>
      <c r="C4558" s="1" t="str">
        <f>HYPERLINK("https://www.catalog.slsa.sa.gov.au/xrecord=b2108871")</f>
        <v>https://www.catalog.slsa.sa.gov.au/xrecord=b2108871</v>
      </c>
      <c r="D4558" t="s">
        <v>15477</v>
      </c>
      <c r="E4558" t="s">
        <v>15478</v>
      </c>
      <c r="F4558">
        <v>1950</v>
      </c>
      <c r="G4558" t="s">
        <v>15479</v>
      </c>
      <c r="H4558" t="s">
        <v>15480</v>
      </c>
      <c r="I4558" t="s">
        <v>15481</v>
      </c>
      <c r="J4558" t="s">
        <v>15482</v>
      </c>
      <c r="K4558" s="2" t="str">
        <f>HYPERLINK("http://collections.slsa.sa.gov.au/mpcimg/69750/B69648.htm")</f>
        <v>http://collections.slsa.sa.gov.au/mpcimg/69750/B69648.htm</v>
      </c>
    </row>
    <row r="4559" spans="1:11" x14ac:dyDescent="0.25">
      <c r="A4559" t="s">
        <v>15483</v>
      </c>
      <c r="B4559" s="1" t="str">
        <f>HYPERLINK("https://www.catalog.slsa.sa.gov.au/record=b2108950")</f>
        <v>https://www.catalog.slsa.sa.gov.au/record=b2108950</v>
      </c>
      <c r="C4559" s="1" t="str">
        <f>HYPERLINK("https://www.catalog.slsa.sa.gov.au/xrecord=b2108950")</f>
        <v>https://www.catalog.slsa.sa.gov.au/xrecord=b2108950</v>
      </c>
      <c r="E4559" t="s">
        <v>15484</v>
      </c>
      <c r="F4559">
        <v>1950</v>
      </c>
      <c r="G4559" t="s">
        <v>15485</v>
      </c>
      <c r="H4559" t="s">
        <v>15486</v>
      </c>
      <c r="I4559" t="s">
        <v>15487</v>
      </c>
      <c r="J4559" t="s">
        <v>2510</v>
      </c>
      <c r="K4559" s="2" t="str">
        <f>HYPERLINK("http://collections.slsa.sa.gov.au/mpcimg/69750/B69689.htm")</f>
        <v>http://collections.slsa.sa.gov.au/mpcimg/69750/B69689.htm</v>
      </c>
    </row>
    <row r="4560" spans="1:11" x14ac:dyDescent="0.25">
      <c r="A4560" t="s">
        <v>15488</v>
      </c>
      <c r="B4560" s="1" t="str">
        <f>HYPERLINK("https://www.catalog.slsa.sa.gov.au/record=b2108961")</f>
        <v>https://www.catalog.slsa.sa.gov.au/record=b2108961</v>
      </c>
      <c r="C4560" s="1" t="str">
        <f>HYPERLINK("https://www.catalog.slsa.sa.gov.au/xrecord=b2108961")</f>
        <v>https://www.catalog.slsa.sa.gov.au/xrecord=b2108961</v>
      </c>
      <c r="D4560" t="s">
        <v>15489</v>
      </c>
      <c r="E4560" t="s">
        <v>15490</v>
      </c>
      <c r="F4560">
        <v>1950</v>
      </c>
      <c r="G4560" t="s">
        <v>15491</v>
      </c>
      <c r="H4560" t="s">
        <v>15492</v>
      </c>
      <c r="I4560" t="s">
        <v>15493</v>
      </c>
      <c r="J4560" t="s">
        <v>2510</v>
      </c>
      <c r="K4560" s="2" t="str">
        <f>HYPERLINK("http://collections.slsa.sa.gov.au/mpcimg/69750/B69700.htm")</f>
        <v>http://collections.slsa.sa.gov.au/mpcimg/69750/B69700.htm</v>
      </c>
    </row>
    <row r="4561" spans="1:11" x14ac:dyDescent="0.25">
      <c r="A4561" t="s">
        <v>15494</v>
      </c>
      <c r="B4561" s="1" t="str">
        <f>HYPERLINK("https://www.catalog.slsa.sa.gov.au/record=b2109035")</f>
        <v>https://www.catalog.slsa.sa.gov.au/record=b2109035</v>
      </c>
      <c r="C4561" s="1" t="str">
        <f>HYPERLINK("https://www.catalog.slsa.sa.gov.au/xrecord=b2109035")</f>
        <v>https://www.catalog.slsa.sa.gov.au/xrecord=b2109035</v>
      </c>
      <c r="D4561" t="s">
        <v>15495</v>
      </c>
      <c r="E4561" t="s">
        <v>15496</v>
      </c>
      <c r="F4561">
        <v>1950</v>
      </c>
      <c r="G4561" t="s">
        <v>15497</v>
      </c>
      <c r="H4561" t="s">
        <v>15498</v>
      </c>
      <c r="I4561" t="s">
        <v>15499</v>
      </c>
      <c r="J4561" t="s">
        <v>5399</v>
      </c>
      <c r="K4561" s="2" t="str">
        <f>HYPERLINK("http://collections.slsa.sa.gov.au/mpcimg/70000/B69764.htm")</f>
        <v>http://collections.slsa.sa.gov.au/mpcimg/70000/B69764.htm</v>
      </c>
    </row>
    <row r="4562" spans="1:11" x14ac:dyDescent="0.25">
      <c r="A4562" t="s">
        <v>15500</v>
      </c>
      <c r="B4562" s="1" t="str">
        <f>HYPERLINK("https://www.catalog.slsa.sa.gov.au/record=b2109036")</f>
        <v>https://www.catalog.slsa.sa.gov.au/record=b2109036</v>
      </c>
      <c r="C4562" s="1" t="str">
        <f>HYPERLINK("https://www.catalog.slsa.sa.gov.au/xrecord=b2109036")</f>
        <v>https://www.catalog.slsa.sa.gov.au/xrecord=b2109036</v>
      </c>
      <c r="D4562" t="s">
        <v>15495</v>
      </c>
      <c r="E4562" t="s">
        <v>15496</v>
      </c>
      <c r="F4562">
        <v>1950</v>
      </c>
      <c r="G4562" t="s">
        <v>15497</v>
      </c>
      <c r="H4562" t="s">
        <v>15501</v>
      </c>
      <c r="I4562" t="s">
        <v>15499</v>
      </c>
      <c r="J4562" t="s">
        <v>5399</v>
      </c>
      <c r="K4562" s="2" t="str">
        <f>HYPERLINK("http://collections.slsa.sa.gov.au/mpcimg/70000/B69765.htm")</f>
        <v>http://collections.slsa.sa.gov.au/mpcimg/70000/B69765.htm</v>
      </c>
    </row>
    <row r="4563" spans="1:11" x14ac:dyDescent="0.25">
      <c r="A4563" t="s">
        <v>15502</v>
      </c>
      <c r="B4563" s="1" t="str">
        <f>HYPERLINK("https://www.catalog.slsa.sa.gov.au/record=b2109037")</f>
        <v>https://www.catalog.slsa.sa.gov.au/record=b2109037</v>
      </c>
      <c r="C4563" s="1" t="str">
        <f>HYPERLINK("https://www.catalog.slsa.sa.gov.au/xrecord=b2109037")</f>
        <v>https://www.catalog.slsa.sa.gov.au/xrecord=b2109037</v>
      </c>
      <c r="D4563" t="s">
        <v>15495</v>
      </c>
      <c r="E4563" t="s">
        <v>15503</v>
      </c>
      <c r="F4563">
        <v>1950</v>
      </c>
      <c r="G4563" t="s">
        <v>15497</v>
      </c>
      <c r="H4563" t="s">
        <v>15504</v>
      </c>
      <c r="I4563" t="s">
        <v>15505</v>
      </c>
      <c r="J4563" t="s">
        <v>5399</v>
      </c>
      <c r="K4563" s="2" t="str">
        <f>HYPERLINK("http://collections.slsa.sa.gov.au/mpcimg/70000/B69766.htm")</f>
        <v>http://collections.slsa.sa.gov.au/mpcimg/70000/B69766.htm</v>
      </c>
    </row>
    <row r="4564" spans="1:11" x14ac:dyDescent="0.25">
      <c r="A4564" t="s">
        <v>15506</v>
      </c>
      <c r="B4564" s="1" t="str">
        <f>HYPERLINK("https://www.catalog.slsa.sa.gov.au/record=b2114170")</f>
        <v>https://www.catalog.slsa.sa.gov.au/record=b2114170</v>
      </c>
      <c r="C4564" s="1" t="str">
        <f>HYPERLINK("https://www.catalog.slsa.sa.gov.au/xrecord=b2114170")</f>
        <v>https://www.catalog.slsa.sa.gov.au/xrecord=b2114170</v>
      </c>
      <c r="E4564" t="s">
        <v>15507</v>
      </c>
      <c r="F4564">
        <v>1950</v>
      </c>
      <c r="G4564" t="s">
        <v>15508</v>
      </c>
      <c r="H4564" t="s">
        <v>15509</v>
      </c>
      <c r="I4564" t="s">
        <v>15510</v>
      </c>
      <c r="J4564" t="s">
        <v>15023</v>
      </c>
      <c r="K4564" s="2" t="str">
        <f>HYPERLINK("http://collections.slsa.sa.gov.au/mpcimg/70250/B70152.htm")</f>
        <v>http://collections.slsa.sa.gov.au/mpcimg/70250/B70152.htm</v>
      </c>
    </row>
    <row r="4565" spans="1:11" x14ac:dyDescent="0.25">
      <c r="A4565" t="s">
        <v>15511</v>
      </c>
      <c r="B4565" s="1" t="str">
        <f>HYPERLINK("https://www.catalog.slsa.sa.gov.au/record=b2114171")</f>
        <v>https://www.catalog.slsa.sa.gov.au/record=b2114171</v>
      </c>
      <c r="C4565" s="1" t="str">
        <f>HYPERLINK("https://www.catalog.slsa.sa.gov.au/xrecord=b2114171")</f>
        <v>https://www.catalog.slsa.sa.gov.au/xrecord=b2114171</v>
      </c>
      <c r="E4565" t="s">
        <v>15512</v>
      </c>
      <c r="F4565">
        <v>1950</v>
      </c>
      <c r="G4565" t="s">
        <v>15513</v>
      </c>
      <c r="H4565" t="s">
        <v>15514</v>
      </c>
      <c r="I4565" t="s">
        <v>15515</v>
      </c>
      <c r="J4565" t="s">
        <v>15209</v>
      </c>
      <c r="K4565" s="2" t="str">
        <f>HYPERLINK("http://collections.slsa.sa.gov.au/mpcimg/70250/B70153.htm")</f>
        <v>http://collections.slsa.sa.gov.au/mpcimg/70250/B70153.htm</v>
      </c>
    </row>
    <row r="4566" spans="1:11" x14ac:dyDescent="0.25">
      <c r="A4566" t="s">
        <v>15516</v>
      </c>
      <c r="B4566" s="1" t="str">
        <f>HYPERLINK("https://www.catalog.slsa.sa.gov.au/record=b2114459")</f>
        <v>https://www.catalog.slsa.sa.gov.au/record=b2114459</v>
      </c>
      <c r="C4566" s="1" t="str">
        <f>HYPERLINK("https://www.catalog.slsa.sa.gov.au/xrecord=b2114459")</f>
        <v>https://www.catalog.slsa.sa.gov.au/xrecord=b2114459</v>
      </c>
      <c r="E4566" t="s">
        <v>15517</v>
      </c>
      <c r="F4566">
        <v>1950</v>
      </c>
      <c r="G4566" t="s">
        <v>15518</v>
      </c>
      <c r="H4566" t="s">
        <v>15519</v>
      </c>
      <c r="J4566" t="s">
        <v>14768</v>
      </c>
      <c r="K4566" s="2" t="str">
        <f>HYPERLINK("http://collections.slsa.sa.gov.au/mpcimg/69750/B69530_31.htm")</f>
        <v>http://collections.slsa.sa.gov.au/mpcimg/69750/B69530_31.htm</v>
      </c>
    </row>
    <row r="4567" spans="1:11" x14ac:dyDescent="0.25">
      <c r="A4567" t="s">
        <v>15520</v>
      </c>
      <c r="B4567" s="1" t="str">
        <f>HYPERLINK("https://www.catalog.slsa.sa.gov.au/record=b2114522")</f>
        <v>https://www.catalog.slsa.sa.gov.au/record=b2114522</v>
      </c>
      <c r="C4567" s="1" t="str">
        <f>HYPERLINK("https://www.catalog.slsa.sa.gov.au/xrecord=b2114522")</f>
        <v>https://www.catalog.slsa.sa.gov.au/xrecord=b2114522</v>
      </c>
      <c r="E4567" t="s">
        <v>15521</v>
      </c>
      <c r="F4567">
        <v>1950</v>
      </c>
      <c r="G4567" t="s">
        <v>15522</v>
      </c>
      <c r="H4567" t="s">
        <v>15523</v>
      </c>
      <c r="I4567" t="s">
        <v>15524</v>
      </c>
      <c r="J4567" t="s">
        <v>15525</v>
      </c>
      <c r="K4567" s="2" t="str">
        <f>HYPERLINK("http://collections.slsa.sa.gov.au/mpcimg/70250/B70186.htm")</f>
        <v>http://collections.slsa.sa.gov.au/mpcimg/70250/B70186.htm</v>
      </c>
    </row>
    <row r="4568" spans="1:11" x14ac:dyDescent="0.25">
      <c r="A4568" t="s">
        <v>15526</v>
      </c>
      <c r="B4568" s="1" t="str">
        <f>HYPERLINK("https://www.catalog.slsa.sa.gov.au/record=b2114523")</f>
        <v>https://www.catalog.slsa.sa.gov.au/record=b2114523</v>
      </c>
      <c r="C4568" s="1" t="str">
        <f>HYPERLINK("https://www.catalog.slsa.sa.gov.au/xrecord=b2114523")</f>
        <v>https://www.catalog.slsa.sa.gov.au/xrecord=b2114523</v>
      </c>
      <c r="E4568" t="s">
        <v>15527</v>
      </c>
      <c r="F4568">
        <v>1950</v>
      </c>
      <c r="G4568" t="s">
        <v>15522</v>
      </c>
      <c r="H4568" t="s">
        <v>15528</v>
      </c>
      <c r="I4568" t="s">
        <v>15529</v>
      </c>
      <c r="J4568" t="s">
        <v>15525</v>
      </c>
      <c r="K4568" s="2" t="str">
        <f>HYPERLINK("http://collections.slsa.sa.gov.au/mpcimg/70250/B70187.htm")</f>
        <v>http://collections.slsa.sa.gov.au/mpcimg/70250/B70187.htm</v>
      </c>
    </row>
    <row r="4569" spans="1:11" x14ac:dyDescent="0.25">
      <c r="A4569" t="s">
        <v>15530</v>
      </c>
      <c r="B4569" s="1" t="str">
        <f>HYPERLINK("https://www.catalog.slsa.sa.gov.au/record=b2114524")</f>
        <v>https://www.catalog.slsa.sa.gov.au/record=b2114524</v>
      </c>
      <c r="C4569" s="1" t="str">
        <f>HYPERLINK("https://www.catalog.slsa.sa.gov.au/xrecord=b2114524")</f>
        <v>https://www.catalog.slsa.sa.gov.au/xrecord=b2114524</v>
      </c>
      <c r="E4569" t="s">
        <v>15531</v>
      </c>
      <c r="F4569">
        <v>1950</v>
      </c>
      <c r="G4569" t="s">
        <v>15522</v>
      </c>
      <c r="H4569" t="s">
        <v>15532</v>
      </c>
      <c r="I4569" t="s">
        <v>15533</v>
      </c>
      <c r="J4569" t="s">
        <v>15525</v>
      </c>
      <c r="K4569" s="2" t="str">
        <f>HYPERLINK("http://collections.slsa.sa.gov.au/mpcimg/70250/B70188.htm")</f>
        <v>http://collections.slsa.sa.gov.au/mpcimg/70250/B70188.htm</v>
      </c>
    </row>
    <row r="4570" spans="1:11" x14ac:dyDescent="0.25">
      <c r="A4570" t="s">
        <v>15534</v>
      </c>
      <c r="B4570" s="1" t="str">
        <f>HYPERLINK("https://www.catalog.slsa.sa.gov.au/record=b2114525")</f>
        <v>https://www.catalog.slsa.sa.gov.au/record=b2114525</v>
      </c>
      <c r="C4570" s="1" t="str">
        <f>HYPERLINK("https://www.catalog.slsa.sa.gov.au/xrecord=b2114525")</f>
        <v>https://www.catalog.slsa.sa.gov.au/xrecord=b2114525</v>
      </c>
      <c r="E4570" t="s">
        <v>15531</v>
      </c>
      <c r="F4570">
        <v>1950</v>
      </c>
      <c r="G4570" t="s">
        <v>15522</v>
      </c>
      <c r="H4570" t="s">
        <v>15535</v>
      </c>
      <c r="I4570" t="s">
        <v>15533</v>
      </c>
      <c r="J4570" t="s">
        <v>15525</v>
      </c>
      <c r="K4570" s="2" t="str">
        <f>HYPERLINK("http://collections.slsa.sa.gov.au/mpcimg/70250/B70189.htm")</f>
        <v>http://collections.slsa.sa.gov.au/mpcimg/70250/B70189.htm</v>
      </c>
    </row>
    <row r="4571" spans="1:11" x14ac:dyDescent="0.25">
      <c r="A4571" t="s">
        <v>15536</v>
      </c>
      <c r="B4571" s="1" t="str">
        <f>HYPERLINK("https://www.catalog.slsa.sa.gov.au/record=b2114526")</f>
        <v>https://www.catalog.slsa.sa.gov.au/record=b2114526</v>
      </c>
      <c r="C4571" s="1" t="str">
        <f>HYPERLINK("https://www.catalog.slsa.sa.gov.au/xrecord=b2114526")</f>
        <v>https://www.catalog.slsa.sa.gov.au/xrecord=b2114526</v>
      </c>
      <c r="E4571" t="s">
        <v>15537</v>
      </c>
      <c r="F4571">
        <v>1950</v>
      </c>
      <c r="G4571" t="s">
        <v>15522</v>
      </c>
      <c r="H4571" t="s">
        <v>15538</v>
      </c>
      <c r="I4571" t="s">
        <v>15539</v>
      </c>
      <c r="J4571" t="s">
        <v>15525</v>
      </c>
      <c r="K4571" s="2" t="str">
        <f>HYPERLINK("http://collections.slsa.sa.gov.au/mpcimg/70250/B70190.htm")</f>
        <v>http://collections.slsa.sa.gov.au/mpcimg/70250/B70190.htm</v>
      </c>
    </row>
    <row r="4572" spans="1:11" x14ac:dyDescent="0.25">
      <c r="A4572" t="s">
        <v>15540</v>
      </c>
      <c r="B4572" s="1" t="str">
        <f>HYPERLINK("https://www.catalog.slsa.sa.gov.au/record=b2114527")</f>
        <v>https://www.catalog.slsa.sa.gov.au/record=b2114527</v>
      </c>
      <c r="C4572" s="1" t="str">
        <f>HYPERLINK("https://www.catalog.slsa.sa.gov.au/xrecord=b2114527")</f>
        <v>https://www.catalog.slsa.sa.gov.au/xrecord=b2114527</v>
      </c>
      <c r="E4572" t="s">
        <v>15541</v>
      </c>
      <c r="F4572">
        <v>1950</v>
      </c>
      <c r="G4572" t="s">
        <v>15522</v>
      </c>
      <c r="H4572" t="s">
        <v>15542</v>
      </c>
      <c r="I4572" t="s">
        <v>15543</v>
      </c>
      <c r="J4572" t="s">
        <v>15525</v>
      </c>
      <c r="K4572" s="2" t="str">
        <f>HYPERLINK("http://collections.slsa.sa.gov.au/mpcimg/70250/B70191.htm")</f>
        <v>http://collections.slsa.sa.gov.au/mpcimg/70250/B70191.htm</v>
      </c>
    </row>
    <row r="4573" spans="1:11" x14ac:dyDescent="0.25">
      <c r="A4573" t="s">
        <v>15544</v>
      </c>
      <c r="B4573" s="1" t="str">
        <f>HYPERLINK("https://www.catalog.slsa.sa.gov.au/record=b2114528")</f>
        <v>https://www.catalog.slsa.sa.gov.au/record=b2114528</v>
      </c>
      <c r="C4573" s="1" t="str">
        <f>HYPERLINK("https://www.catalog.slsa.sa.gov.au/xrecord=b2114528")</f>
        <v>https://www.catalog.slsa.sa.gov.au/xrecord=b2114528</v>
      </c>
      <c r="E4573" t="s">
        <v>15545</v>
      </c>
      <c r="F4573">
        <v>1950</v>
      </c>
      <c r="G4573" t="s">
        <v>15522</v>
      </c>
      <c r="H4573" t="s">
        <v>15546</v>
      </c>
      <c r="I4573" t="s">
        <v>15547</v>
      </c>
      <c r="J4573" t="s">
        <v>15525</v>
      </c>
      <c r="K4573" s="2" t="str">
        <f>HYPERLINK("http://collections.slsa.sa.gov.au/mpcimg/70250/B70192.htm")</f>
        <v>http://collections.slsa.sa.gov.au/mpcimg/70250/B70192.htm</v>
      </c>
    </row>
    <row r="4574" spans="1:11" x14ac:dyDescent="0.25">
      <c r="A4574" t="s">
        <v>15548</v>
      </c>
      <c r="B4574" s="1" t="str">
        <f>HYPERLINK("https://www.catalog.slsa.sa.gov.au/record=b2114529")</f>
        <v>https://www.catalog.slsa.sa.gov.au/record=b2114529</v>
      </c>
      <c r="C4574" s="1" t="str">
        <f>HYPERLINK("https://www.catalog.slsa.sa.gov.au/xrecord=b2114529")</f>
        <v>https://www.catalog.slsa.sa.gov.au/xrecord=b2114529</v>
      </c>
      <c r="E4574" t="s">
        <v>15549</v>
      </c>
      <c r="F4574">
        <v>1950</v>
      </c>
      <c r="G4574" t="s">
        <v>15522</v>
      </c>
      <c r="H4574" t="s">
        <v>15550</v>
      </c>
      <c r="I4574" t="s">
        <v>15551</v>
      </c>
      <c r="J4574" t="s">
        <v>15525</v>
      </c>
      <c r="K4574" s="2" t="str">
        <f>HYPERLINK("http://collections.slsa.sa.gov.au/mpcimg/70250/B70193.htm")</f>
        <v>http://collections.slsa.sa.gov.au/mpcimg/70250/B70193.htm</v>
      </c>
    </row>
    <row r="4575" spans="1:11" x14ac:dyDescent="0.25">
      <c r="A4575" t="s">
        <v>15552</v>
      </c>
      <c r="B4575" s="1" t="str">
        <f>HYPERLINK("https://www.catalog.slsa.sa.gov.au/record=b2117854")</f>
        <v>https://www.catalog.slsa.sa.gov.au/record=b2117854</v>
      </c>
      <c r="C4575" s="1" t="str">
        <f>HYPERLINK("https://www.catalog.slsa.sa.gov.au/xrecord=b2117854")</f>
        <v>https://www.catalog.slsa.sa.gov.au/xrecord=b2117854</v>
      </c>
      <c r="E4575" t="s">
        <v>15553</v>
      </c>
      <c r="F4575">
        <v>1950</v>
      </c>
      <c r="G4575" t="s">
        <v>15554</v>
      </c>
      <c r="H4575" t="s">
        <v>15555</v>
      </c>
      <c r="I4575" t="s">
        <v>15556</v>
      </c>
      <c r="J4575" t="s">
        <v>14768</v>
      </c>
      <c r="K4575" s="2" t="str">
        <f>HYPERLINK("http://collections.slsa.sa.gov.au/mpcimg/70500/B70351_6.htm")</f>
        <v>http://collections.slsa.sa.gov.au/mpcimg/70500/B70351_6.htm</v>
      </c>
    </row>
    <row r="4576" spans="1:11" x14ac:dyDescent="0.25">
      <c r="A4576" t="s">
        <v>15557</v>
      </c>
      <c r="B4576" s="1" t="str">
        <f>HYPERLINK("https://www.catalog.slsa.sa.gov.au/record=b2117855")</f>
        <v>https://www.catalog.slsa.sa.gov.au/record=b2117855</v>
      </c>
      <c r="C4576" s="1" t="str">
        <f>HYPERLINK("https://www.catalog.slsa.sa.gov.au/xrecord=b2117855")</f>
        <v>https://www.catalog.slsa.sa.gov.au/xrecord=b2117855</v>
      </c>
      <c r="E4576" t="s">
        <v>15558</v>
      </c>
      <c r="F4576">
        <v>1950</v>
      </c>
      <c r="G4576" t="s">
        <v>15554</v>
      </c>
      <c r="H4576" t="s">
        <v>15559</v>
      </c>
      <c r="I4576" t="s">
        <v>15560</v>
      </c>
      <c r="J4576" t="s">
        <v>14768</v>
      </c>
      <c r="K4576" s="2" t="str">
        <f>HYPERLINK("http://collections.slsa.sa.gov.au/mpcimg/70500/B70351_7.htm")</f>
        <v>http://collections.slsa.sa.gov.au/mpcimg/70500/B70351_7.htm</v>
      </c>
    </row>
    <row r="4577" spans="1:11" x14ac:dyDescent="0.25">
      <c r="A4577" t="s">
        <v>15561</v>
      </c>
      <c r="B4577" s="1" t="str">
        <f>HYPERLINK("https://www.catalog.slsa.sa.gov.au/record=b2117856")</f>
        <v>https://www.catalog.slsa.sa.gov.au/record=b2117856</v>
      </c>
      <c r="C4577" s="1" t="str">
        <f>HYPERLINK("https://www.catalog.slsa.sa.gov.au/xrecord=b2117856")</f>
        <v>https://www.catalog.slsa.sa.gov.au/xrecord=b2117856</v>
      </c>
      <c r="E4577" t="s">
        <v>15562</v>
      </c>
      <c r="F4577">
        <v>1950</v>
      </c>
      <c r="G4577" t="s">
        <v>15563</v>
      </c>
      <c r="H4577" t="s">
        <v>15564</v>
      </c>
      <c r="I4577" t="s">
        <v>15565</v>
      </c>
      <c r="J4577" t="s">
        <v>14768</v>
      </c>
      <c r="K4577" s="2" t="str">
        <f>HYPERLINK("http://collections.slsa.sa.gov.au/mpcimg/70500/B70351_8.htm")</f>
        <v>http://collections.slsa.sa.gov.au/mpcimg/70500/B70351_8.htm</v>
      </c>
    </row>
    <row r="4578" spans="1:11" x14ac:dyDescent="0.25">
      <c r="A4578" t="s">
        <v>15566</v>
      </c>
      <c r="B4578" s="1" t="str">
        <f>HYPERLINK("https://www.catalog.slsa.sa.gov.au/record=b2125973")</f>
        <v>https://www.catalog.slsa.sa.gov.au/record=b2125973</v>
      </c>
      <c r="C4578" s="1" t="str">
        <f>HYPERLINK("https://www.catalog.slsa.sa.gov.au/xrecord=b2125973")</f>
        <v>https://www.catalog.slsa.sa.gov.au/xrecord=b2125973</v>
      </c>
      <c r="D4578" t="s">
        <v>15567</v>
      </c>
      <c r="E4578" t="s">
        <v>15568</v>
      </c>
      <c r="F4578">
        <v>1950</v>
      </c>
      <c r="G4578" t="s">
        <v>15569</v>
      </c>
      <c r="H4578" t="s">
        <v>15570</v>
      </c>
      <c r="I4578" t="s">
        <v>15571</v>
      </c>
      <c r="J4578" t="s">
        <v>5381</v>
      </c>
      <c r="K4578" s="2" t="str">
        <f>HYPERLINK("http://collections.slsa.sa.gov.au/mpcimg/70750/B70728.htm")</f>
        <v>http://collections.slsa.sa.gov.au/mpcimg/70750/B70728.htm</v>
      </c>
    </row>
    <row r="4579" spans="1:11" x14ac:dyDescent="0.25">
      <c r="A4579" t="s">
        <v>15572</v>
      </c>
      <c r="B4579" s="1" t="str">
        <f>HYPERLINK("https://www.catalog.slsa.sa.gov.au/record=b2125974")</f>
        <v>https://www.catalog.slsa.sa.gov.au/record=b2125974</v>
      </c>
      <c r="C4579" s="1" t="str">
        <f>HYPERLINK("https://www.catalog.slsa.sa.gov.au/xrecord=b2125974")</f>
        <v>https://www.catalog.slsa.sa.gov.au/xrecord=b2125974</v>
      </c>
      <c r="D4579" t="s">
        <v>15567</v>
      </c>
      <c r="E4579" t="s">
        <v>15568</v>
      </c>
      <c r="F4579">
        <v>1950</v>
      </c>
      <c r="G4579" t="s">
        <v>15569</v>
      </c>
      <c r="H4579" t="s">
        <v>15573</v>
      </c>
      <c r="I4579" t="s">
        <v>15571</v>
      </c>
      <c r="J4579" t="s">
        <v>5381</v>
      </c>
      <c r="K4579" s="2" t="str">
        <f>HYPERLINK("http://collections.slsa.sa.gov.au/mpcimg/70750/B70729.htm")</f>
        <v>http://collections.slsa.sa.gov.au/mpcimg/70750/B70729.htm</v>
      </c>
    </row>
    <row r="4580" spans="1:11" x14ac:dyDescent="0.25">
      <c r="A4580" t="s">
        <v>15574</v>
      </c>
      <c r="B4580" s="1" t="str">
        <f>HYPERLINK("https://www.catalog.slsa.sa.gov.au/record=b2125975")</f>
        <v>https://www.catalog.slsa.sa.gov.au/record=b2125975</v>
      </c>
      <c r="C4580" s="1" t="str">
        <f>HYPERLINK("https://www.catalog.slsa.sa.gov.au/xrecord=b2125975")</f>
        <v>https://www.catalog.slsa.sa.gov.au/xrecord=b2125975</v>
      </c>
      <c r="D4580" t="s">
        <v>15567</v>
      </c>
      <c r="E4580" t="s">
        <v>15575</v>
      </c>
      <c r="F4580">
        <v>1950</v>
      </c>
      <c r="G4580" t="s">
        <v>15569</v>
      </c>
      <c r="H4580" t="s">
        <v>15576</v>
      </c>
      <c r="I4580" t="s">
        <v>15577</v>
      </c>
      <c r="J4580" t="s">
        <v>5381</v>
      </c>
      <c r="K4580" s="2" t="str">
        <f>HYPERLINK("http://collections.slsa.sa.gov.au/mpcimg/70750/B70730.htm")</f>
        <v>http://collections.slsa.sa.gov.au/mpcimg/70750/B70730.htm</v>
      </c>
    </row>
    <row r="4581" spans="1:11" x14ac:dyDescent="0.25">
      <c r="A4581" t="s">
        <v>15578</v>
      </c>
      <c r="B4581" s="1" t="str">
        <f>HYPERLINK("https://www.catalog.slsa.sa.gov.au/record=b2125976")</f>
        <v>https://www.catalog.slsa.sa.gov.au/record=b2125976</v>
      </c>
      <c r="C4581" s="1" t="str">
        <f>HYPERLINK("https://www.catalog.slsa.sa.gov.au/xrecord=b2125976")</f>
        <v>https://www.catalog.slsa.sa.gov.au/xrecord=b2125976</v>
      </c>
      <c r="D4581" t="s">
        <v>15567</v>
      </c>
      <c r="E4581" t="s">
        <v>15579</v>
      </c>
      <c r="F4581">
        <v>1950</v>
      </c>
      <c r="G4581" t="s">
        <v>15569</v>
      </c>
      <c r="H4581" t="s">
        <v>15580</v>
      </c>
      <c r="I4581" t="s">
        <v>15581</v>
      </c>
      <c r="J4581" t="s">
        <v>5381</v>
      </c>
      <c r="K4581" s="2" t="str">
        <f>HYPERLINK("http://collections.slsa.sa.gov.au/mpcimg/70750/B70731.htm")</f>
        <v>http://collections.slsa.sa.gov.au/mpcimg/70750/B70731.htm</v>
      </c>
    </row>
    <row r="4582" spans="1:11" x14ac:dyDescent="0.25">
      <c r="A4582" t="s">
        <v>15582</v>
      </c>
      <c r="B4582" s="1" t="str">
        <f>HYPERLINK("https://www.catalog.slsa.sa.gov.au/record=b2125977")</f>
        <v>https://www.catalog.slsa.sa.gov.au/record=b2125977</v>
      </c>
      <c r="C4582" s="1" t="str">
        <f>HYPERLINK("https://www.catalog.slsa.sa.gov.au/xrecord=b2125977")</f>
        <v>https://www.catalog.slsa.sa.gov.au/xrecord=b2125977</v>
      </c>
      <c r="D4582" t="s">
        <v>15567</v>
      </c>
      <c r="E4582" t="s">
        <v>15583</v>
      </c>
      <c r="F4582">
        <v>1950</v>
      </c>
      <c r="G4582" t="s">
        <v>15569</v>
      </c>
      <c r="H4582" t="s">
        <v>15584</v>
      </c>
      <c r="I4582" t="s">
        <v>15585</v>
      </c>
      <c r="J4582" t="s">
        <v>5381</v>
      </c>
      <c r="K4582" s="2" t="str">
        <f>HYPERLINK("http://collections.slsa.sa.gov.au/mpcimg/70750/B70732.htm")</f>
        <v>http://collections.slsa.sa.gov.au/mpcimg/70750/B70732.htm</v>
      </c>
    </row>
    <row r="4583" spans="1:11" x14ac:dyDescent="0.25">
      <c r="A4583" t="s">
        <v>15586</v>
      </c>
      <c r="B4583" s="1" t="str">
        <f>HYPERLINK("https://www.catalog.slsa.sa.gov.au/record=b2315359")</f>
        <v>https://www.catalog.slsa.sa.gov.au/record=b2315359</v>
      </c>
      <c r="C4583" s="1" t="str">
        <f>HYPERLINK("https://www.catalog.slsa.sa.gov.au/xrecord=b2315359")</f>
        <v>https://www.catalog.slsa.sa.gov.au/xrecord=b2315359</v>
      </c>
      <c r="E4583" t="s">
        <v>15587</v>
      </c>
      <c r="F4583">
        <v>1950</v>
      </c>
      <c r="G4583" t="s">
        <v>15588</v>
      </c>
      <c r="H4583" t="s">
        <v>15589</v>
      </c>
      <c r="I4583" t="s">
        <v>15590</v>
      </c>
      <c r="J4583" t="s">
        <v>5381</v>
      </c>
      <c r="K4583" s="2" t="str">
        <f>HYPERLINK("http://collections.slsa.sa.gov.au/mpcimg/71750/B71526.htm")</f>
        <v>http://collections.slsa.sa.gov.au/mpcimg/71750/B71526.htm</v>
      </c>
    </row>
    <row r="4584" spans="1:11" x14ac:dyDescent="0.25">
      <c r="A4584" t="s">
        <v>15591</v>
      </c>
      <c r="B4584" s="1" t="str">
        <f>HYPERLINK("https://www.catalog.slsa.sa.gov.au/record=b2616605")</f>
        <v>https://www.catalog.slsa.sa.gov.au/record=b2616605</v>
      </c>
      <c r="C4584" s="1" t="str">
        <f>HYPERLINK("https://www.catalog.slsa.sa.gov.au/xrecord=b2616605")</f>
        <v>https://www.catalog.slsa.sa.gov.au/xrecord=b2616605</v>
      </c>
      <c r="E4584" t="s">
        <v>15592</v>
      </c>
      <c r="F4584">
        <v>1950</v>
      </c>
      <c r="G4584" t="s">
        <v>15593</v>
      </c>
      <c r="H4584" t="s">
        <v>15594</v>
      </c>
      <c r="I4584" t="s">
        <v>15595</v>
      </c>
      <c r="J4584" t="s">
        <v>15596</v>
      </c>
      <c r="K4584" s="2" t="str">
        <f>HYPERLINK("http://collections.slsa.sa.gov.au/mpcimg/72250/B72102.htm")</f>
        <v>http://collections.slsa.sa.gov.au/mpcimg/72250/B72102.htm</v>
      </c>
    </row>
    <row r="4585" spans="1:11" x14ac:dyDescent="0.25">
      <c r="A4585" t="s">
        <v>15597</v>
      </c>
      <c r="B4585" s="1" t="str">
        <f>HYPERLINK("https://www.catalog.slsa.sa.gov.au/record=b2616609")</f>
        <v>https://www.catalog.slsa.sa.gov.au/record=b2616609</v>
      </c>
      <c r="C4585" s="1" t="str">
        <f>HYPERLINK("https://www.catalog.slsa.sa.gov.au/xrecord=b2616609")</f>
        <v>https://www.catalog.slsa.sa.gov.au/xrecord=b2616609</v>
      </c>
      <c r="D4585" t="s">
        <v>1811</v>
      </c>
      <c r="E4585" t="s">
        <v>15598</v>
      </c>
      <c r="F4585">
        <v>1950</v>
      </c>
      <c r="G4585" t="s">
        <v>15599</v>
      </c>
      <c r="H4585" t="s">
        <v>15600</v>
      </c>
      <c r="I4585" t="s">
        <v>15601</v>
      </c>
      <c r="J4585" t="s">
        <v>15602</v>
      </c>
      <c r="K4585" s="2" t="str">
        <f>HYPERLINK("http://collections.slsa.sa.gov.au/mpcimg/72250/B72103.htm")</f>
        <v>http://collections.slsa.sa.gov.au/mpcimg/72250/B72103.htm</v>
      </c>
    </row>
    <row r="4586" spans="1:11" x14ac:dyDescent="0.25">
      <c r="A4586" t="s">
        <v>15603</v>
      </c>
      <c r="B4586" s="1" t="str">
        <f>HYPERLINK("https://www.catalog.slsa.sa.gov.au/record=b2894116")</f>
        <v>https://www.catalog.slsa.sa.gov.au/record=b2894116</v>
      </c>
      <c r="C4586" s="1" t="str">
        <f>HYPERLINK("https://www.catalog.slsa.sa.gov.au/xrecord=b2894116")</f>
        <v>https://www.catalog.slsa.sa.gov.au/xrecord=b2894116</v>
      </c>
      <c r="E4586" t="s">
        <v>15604</v>
      </c>
      <c r="F4586">
        <v>1950</v>
      </c>
      <c r="G4586" t="s">
        <v>15605</v>
      </c>
      <c r="H4586" t="s">
        <v>15606</v>
      </c>
      <c r="I4586" t="s">
        <v>15607</v>
      </c>
      <c r="J4586" t="s">
        <v>15608</v>
      </c>
      <c r="K4586" s="2" t="str">
        <f>HYPERLINK("http://collections.slsa.sa.gov.au/mpcimg/63250/B63241_110.htm")</f>
        <v>http://collections.slsa.sa.gov.au/mpcimg/63250/B63241_110.htm</v>
      </c>
    </row>
    <row r="4587" spans="1:11" x14ac:dyDescent="0.25">
      <c r="A4587" t="s">
        <v>15609</v>
      </c>
      <c r="B4587" s="1" t="str">
        <f>HYPERLINK("https://www.catalog.slsa.sa.gov.au/record=b2921552")</f>
        <v>https://www.catalog.slsa.sa.gov.au/record=b2921552</v>
      </c>
      <c r="C4587" s="1" t="str">
        <f>HYPERLINK("https://www.catalog.slsa.sa.gov.au/xrecord=b2921552")</f>
        <v>https://www.catalog.slsa.sa.gov.au/xrecord=b2921552</v>
      </c>
      <c r="E4587" t="s">
        <v>15610</v>
      </c>
      <c r="F4587">
        <v>1950</v>
      </c>
      <c r="G4587" t="s">
        <v>15611</v>
      </c>
      <c r="H4587" t="s">
        <v>15612</v>
      </c>
      <c r="I4587" t="s">
        <v>15613</v>
      </c>
      <c r="J4587" t="s">
        <v>15614</v>
      </c>
      <c r="K4587" s="2" t="str">
        <f>HYPERLINK("http://collections.slsa.sa.gov.au/mpcimg/73250/B73170.htm")</f>
        <v>http://collections.slsa.sa.gov.au/mpcimg/73250/B73170.htm</v>
      </c>
    </row>
    <row r="4588" spans="1:11" x14ac:dyDescent="0.25">
      <c r="A4588" t="s">
        <v>15615</v>
      </c>
      <c r="B4588" s="1" t="str">
        <f>HYPERLINK("https://www.catalog.slsa.sa.gov.au/record=b3010820")</f>
        <v>https://www.catalog.slsa.sa.gov.au/record=b3010820</v>
      </c>
      <c r="C4588" s="1" t="str">
        <f>HYPERLINK("https://www.catalog.slsa.sa.gov.au/xrecord=b3010820")</f>
        <v>https://www.catalog.slsa.sa.gov.au/xrecord=b3010820</v>
      </c>
      <c r="E4588" t="s">
        <v>15616</v>
      </c>
      <c r="F4588">
        <v>1950</v>
      </c>
      <c r="G4588" t="s">
        <v>15617</v>
      </c>
      <c r="H4588" t="s">
        <v>15618</v>
      </c>
      <c r="I4588" t="s">
        <v>15619</v>
      </c>
      <c r="J4588" t="s">
        <v>15620</v>
      </c>
      <c r="K4588" s="2" t="str">
        <f>HYPERLINK("http://collections.slsa.sa.gov.au/resource/B+73970")</f>
        <v>http://collections.slsa.sa.gov.au/resource/B+73970</v>
      </c>
    </row>
    <row r="4589" spans="1:11" x14ac:dyDescent="0.25">
      <c r="A4589" t="s">
        <v>15621</v>
      </c>
      <c r="B4589" s="1" t="str">
        <f>HYPERLINK("https://www.catalog.slsa.sa.gov.au/record=b3010826")</f>
        <v>https://www.catalog.slsa.sa.gov.au/record=b3010826</v>
      </c>
      <c r="C4589" s="1" t="str">
        <f>HYPERLINK("https://www.catalog.slsa.sa.gov.au/xrecord=b3010826")</f>
        <v>https://www.catalog.slsa.sa.gov.au/xrecord=b3010826</v>
      </c>
      <c r="E4589" t="s">
        <v>15622</v>
      </c>
      <c r="F4589">
        <v>1950</v>
      </c>
      <c r="G4589" t="s">
        <v>15623</v>
      </c>
      <c r="H4589" t="s">
        <v>15624</v>
      </c>
      <c r="I4589" t="s">
        <v>15625</v>
      </c>
      <c r="J4589" t="s">
        <v>15620</v>
      </c>
      <c r="K4589" s="2" t="str">
        <f>HYPERLINK("http://collections.slsa.sa.gov.au/resource/B+73971")</f>
        <v>http://collections.slsa.sa.gov.au/resource/B+73971</v>
      </c>
    </row>
    <row r="4590" spans="1:11" x14ac:dyDescent="0.25">
      <c r="A4590" t="s">
        <v>15626</v>
      </c>
      <c r="B4590" s="1" t="str">
        <f>HYPERLINK("https://www.catalog.slsa.sa.gov.au/record=b2036634")</f>
        <v>https://www.catalog.slsa.sa.gov.au/record=b2036634</v>
      </c>
      <c r="C4590" s="1" t="str">
        <f>HYPERLINK("https://www.catalog.slsa.sa.gov.au/xrecord=b2036634")</f>
        <v>https://www.catalog.slsa.sa.gov.au/xrecord=b2036634</v>
      </c>
      <c r="E4590" t="s">
        <v>15627</v>
      </c>
      <c r="F4590" t="s">
        <v>1926</v>
      </c>
      <c r="G4590" t="s">
        <v>15628</v>
      </c>
      <c r="H4590" t="s">
        <v>15629</v>
      </c>
      <c r="J4590" t="s">
        <v>15023</v>
      </c>
      <c r="K4590" s="2" t="str">
        <f>HYPERLINK("http://collections.slsa.sa.gov.au/mpcimg/29250/B29144.htm")</f>
        <v>http://collections.slsa.sa.gov.au/mpcimg/29250/B29144.htm</v>
      </c>
    </row>
    <row r="4591" spans="1:11" x14ac:dyDescent="0.25">
      <c r="A4591" t="s">
        <v>15630</v>
      </c>
      <c r="B4591" s="1" t="str">
        <f>HYPERLINK("https://www.catalog.slsa.sa.gov.au/record=b2092002")</f>
        <v>https://www.catalog.slsa.sa.gov.au/record=b2092002</v>
      </c>
      <c r="C4591" s="1" t="str">
        <f>HYPERLINK("https://www.catalog.slsa.sa.gov.au/xrecord=b2092002")</f>
        <v>https://www.catalog.slsa.sa.gov.au/xrecord=b2092002</v>
      </c>
      <c r="E4591" t="s">
        <v>15631</v>
      </c>
      <c r="F4591" t="s">
        <v>1926</v>
      </c>
      <c r="G4591" t="s">
        <v>15632</v>
      </c>
      <c r="H4591" t="s">
        <v>15633</v>
      </c>
      <c r="I4591" t="s">
        <v>15634</v>
      </c>
      <c r="J4591" t="s">
        <v>14768</v>
      </c>
      <c r="K4591" s="2" t="str">
        <f>HYPERLINK("http://collections.slsa.sa.gov.au/mpcimg/61250/B61020_24.htm")</f>
        <v>http://collections.slsa.sa.gov.au/mpcimg/61250/B61020_24.htm</v>
      </c>
    </row>
    <row r="4592" spans="1:11" x14ac:dyDescent="0.25">
      <c r="A4592" t="s">
        <v>15635</v>
      </c>
      <c r="B4592" s="1" t="str">
        <f>HYPERLINK("https://www.catalog.slsa.sa.gov.au/record=b2018212")</f>
        <v>https://www.catalog.slsa.sa.gov.au/record=b2018212</v>
      </c>
      <c r="C4592" s="1" t="str">
        <f>HYPERLINK("https://www.catalog.slsa.sa.gov.au/xrecord=b2018212")</f>
        <v>https://www.catalog.slsa.sa.gov.au/xrecord=b2018212</v>
      </c>
      <c r="E4592" t="s">
        <v>15636</v>
      </c>
      <c r="F4592" t="s">
        <v>1926</v>
      </c>
      <c r="G4592" t="s">
        <v>15269</v>
      </c>
      <c r="H4592" t="s">
        <v>15637</v>
      </c>
      <c r="I4592" t="s">
        <v>15638</v>
      </c>
      <c r="J4592" t="s">
        <v>15639</v>
      </c>
      <c r="K4592" s="2" t="str">
        <f>HYPERLINK("http://collections.slsa.sa.gov.au/mpcimg/68500/B68270.htm")</f>
        <v>http://collections.slsa.sa.gov.au/mpcimg/68500/B68270.htm</v>
      </c>
    </row>
    <row r="4593" spans="1:11" x14ac:dyDescent="0.25">
      <c r="A4593" t="s">
        <v>15640</v>
      </c>
      <c r="B4593" s="1" t="str">
        <f>HYPERLINK("https://www.catalog.slsa.sa.gov.au/record=b2018213")</f>
        <v>https://www.catalog.slsa.sa.gov.au/record=b2018213</v>
      </c>
      <c r="C4593" s="1" t="str">
        <f>HYPERLINK("https://www.catalog.slsa.sa.gov.au/xrecord=b2018213")</f>
        <v>https://www.catalog.slsa.sa.gov.au/xrecord=b2018213</v>
      </c>
      <c r="E4593" t="s">
        <v>15636</v>
      </c>
      <c r="F4593" t="s">
        <v>1926</v>
      </c>
      <c r="G4593" t="s">
        <v>15269</v>
      </c>
      <c r="H4593" t="s">
        <v>15641</v>
      </c>
      <c r="I4593" t="s">
        <v>15638</v>
      </c>
      <c r="J4593" t="s">
        <v>15642</v>
      </c>
      <c r="K4593" s="2" t="str">
        <f>HYPERLINK("http://collections.slsa.sa.gov.au/mpcimg/68500/B68271.htm")</f>
        <v>http://collections.slsa.sa.gov.au/mpcimg/68500/B68271.htm</v>
      </c>
    </row>
    <row r="4594" spans="1:11" x14ac:dyDescent="0.25">
      <c r="A4594" t="s">
        <v>15643</v>
      </c>
      <c r="B4594" s="1" t="str">
        <f>HYPERLINK("https://www.catalog.slsa.sa.gov.au/record=b2018214")</f>
        <v>https://www.catalog.slsa.sa.gov.au/record=b2018214</v>
      </c>
      <c r="C4594" s="1" t="str">
        <f>HYPERLINK("https://www.catalog.slsa.sa.gov.au/xrecord=b2018214")</f>
        <v>https://www.catalog.slsa.sa.gov.au/xrecord=b2018214</v>
      </c>
      <c r="E4594" t="s">
        <v>15636</v>
      </c>
      <c r="F4594" t="s">
        <v>1926</v>
      </c>
      <c r="G4594" t="s">
        <v>15269</v>
      </c>
      <c r="H4594" t="s">
        <v>15644</v>
      </c>
      <c r="I4594" t="s">
        <v>15638</v>
      </c>
      <c r="J4594" t="s">
        <v>15642</v>
      </c>
      <c r="K4594" s="2" t="str">
        <f>HYPERLINK("http://collections.slsa.sa.gov.au/mpcimg/68500/B68272.htm")</f>
        <v>http://collections.slsa.sa.gov.au/mpcimg/68500/B68272.htm</v>
      </c>
    </row>
    <row r="4595" spans="1:11" x14ac:dyDescent="0.25">
      <c r="A4595" t="s">
        <v>15645</v>
      </c>
      <c r="B4595" s="1" t="str">
        <f>HYPERLINK("https://www.catalog.slsa.sa.gov.au/record=b2018215")</f>
        <v>https://www.catalog.slsa.sa.gov.au/record=b2018215</v>
      </c>
      <c r="C4595" s="1" t="str">
        <f>HYPERLINK("https://www.catalog.slsa.sa.gov.au/xrecord=b2018215")</f>
        <v>https://www.catalog.slsa.sa.gov.au/xrecord=b2018215</v>
      </c>
      <c r="E4595" t="s">
        <v>15636</v>
      </c>
      <c r="F4595" t="s">
        <v>1926</v>
      </c>
      <c r="G4595" t="s">
        <v>15269</v>
      </c>
      <c r="H4595" t="s">
        <v>15646</v>
      </c>
      <c r="I4595" t="s">
        <v>15638</v>
      </c>
      <c r="J4595" t="s">
        <v>15642</v>
      </c>
      <c r="K4595" s="2" t="str">
        <f>HYPERLINK("http://collections.slsa.sa.gov.au/mpcimg/68500/B68273.htm")</f>
        <v>http://collections.slsa.sa.gov.au/mpcimg/68500/B68273.htm</v>
      </c>
    </row>
    <row r="4596" spans="1:11" x14ac:dyDescent="0.25">
      <c r="A4596" t="s">
        <v>15647</v>
      </c>
      <c r="B4596" s="1" t="str">
        <f>HYPERLINK("https://www.catalog.slsa.sa.gov.au/record=b2018216")</f>
        <v>https://www.catalog.slsa.sa.gov.au/record=b2018216</v>
      </c>
      <c r="C4596" s="1" t="str">
        <f>HYPERLINK("https://www.catalog.slsa.sa.gov.au/xrecord=b2018216")</f>
        <v>https://www.catalog.slsa.sa.gov.au/xrecord=b2018216</v>
      </c>
      <c r="E4596" t="s">
        <v>15636</v>
      </c>
      <c r="F4596" t="s">
        <v>1926</v>
      </c>
      <c r="G4596" t="s">
        <v>15269</v>
      </c>
      <c r="H4596" t="s">
        <v>15648</v>
      </c>
      <c r="I4596" t="s">
        <v>15638</v>
      </c>
      <c r="J4596" t="s">
        <v>15642</v>
      </c>
      <c r="K4596" s="2" t="str">
        <f>HYPERLINK("http://collections.slsa.sa.gov.au/mpcimg/68500/B68274.htm")</f>
        <v>http://collections.slsa.sa.gov.au/mpcimg/68500/B68274.htm</v>
      </c>
    </row>
    <row r="4597" spans="1:11" x14ac:dyDescent="0.25">
      <c r="A4597" t="s">
        <v>15649</v>
      </c>
      <c r="B4597" s="1" t="str">
        <f>HYPERLINK("https://www.catalog.slsa.sa.gov.au/record=b2018247")</f>
        <v>https://www.catalog.slsa.sa.gov.au/record=b2018247</v>
      </c>
      <c r="C4597" s="1" t="str">
        <f>HYPERLINK("https://www.catalog.slsa.sa.gov.au/xrecord=b2018247")</f>
        <v>https://www.catalog.slsa.sa.gov.au/xrecord=b2018247</v>
      </c>
      <c r="D4597" t="s">
        <v>15650</v>
      </c>
      <c r="E4597" t="s">
        <v>15651</v>
      </c>
      <c r="F4597" t="s">
        <v>1926</v>
      </c>
      <c r="G4597" t="s">
        <v>15269</v>
      </c>
      <c r="H4597" t="s">
        <v>15652</v>
      </c>
      <c r="I4597" t="s">
        <v>15653</v>
      </c>
      <c r="J4597" t="s">
        <v>15654</v>
      </c>
      <c r="K4597" s="2" t="str">
        <f>HYPERLINK("http://collections.slsa.sa.gov.au/mpcimg/68500/B68305.htm")</f>
        <v>http://collections.slsa.sa.gov.au/mpcimg/68500/B68305.htm</v>
      </c>
    </row>
    <row r="4598" spans="1:11" x14ac:dyDescent="0.25">
      <c r="A4598" t="s">
        <v>15655</v>
      </c>
      <c r="B4598" s="1" t="str">
        <f>HYPERLINK("https://www.catalog.slsa.sa.gov.au/record=b2018262")</f>
        <v>https://www.catalog.slsa.sa.gov.au/record=b2018262</v>
      </c>
      <c r="C4598" s="1" t="str">
        <f>HYPERLINK("https://www.catalog.slsa.sa.gov.au/xrecord=b2018262")</f>
        <v>https://www.catalog.slsa.sa.gov.au/xrecord=b2018262</v>
      </c>
      <c r="E4598" t="s">
        <v>15656</v>
      </c>
      <c r="F4598" t="s">
        <v>1926</v>
      </c>
      <c r="G4598" t="s">
        <v>15269</v>
      </c>
      <c r="H4598" t="s">
        <v>15657</v>
      </c>
      <c r="I4598" t="s">
        <v>15658</v>
      </c>
      <c r="J4598" t="s">
        <v>15642</v>
      </c>
      <c r="K4598" s="2" t="str">
        <f>HYPERLINK("http://collections.slsa.sa.gov.au/mpcimg/68500/B68320.htm")</f>
        <v>http://collections.slsa.sa.gov.au/mpcimg/68500/B68320.htm</v>
      </c>
    </row>
    <row r="4599" spans="1:11" x14ac:dyDescent="0.25">
      <c r="A4599" t="s">
        <v>15659</v>
      </c>
      <c r="B4599" s="1" t="str">
        <f>HYPERLINK("https://www.catalog.slsa.sa.gov.au/record=b2018263")</f>
        <v>https://www.catalog.slsa.sa.gov.au/record=b2018263</v>
      </c>
      <c r="C4599" s="1" t="str">
        <f>HYPERLINK("https://www.catalog.slsa.sa.gov.au/xrecord=b2018263")</f>
        <v>https://www.catalog.slsa.sa.gov.au/xrecord=b2018263</v>
      </c>
      <c r="D4599" t="s">
        <v>15660</v>
      </c>
      <c r="E4599" t="s">
        <v>15661</v>
      </c>
      <c r="F4599" t="s">
        <v>1926</v>
      </c>
      <c r="G4599" t="s">
        <v>15269</v>
      </c>
      <c r="H4599" t="s">
        <v>15662</v>
      </c>
      <c r="I4599" t="s">
        <v>15663</v>
      </c>
      <c r="J4599" t="s">
        <v>15664</v>
      </c>
      <c r="K4599" s="2" t="str">
        <f>HYPERLINK("http://collections.slsa.sa.gov.au/mpcimg/68500/B68321.htm")</f>
        <v>http://collections.slsa.sa.gov.au/mpcimg/68500/B68321.htm</v>
      </c>
    </row>
    <row r="4600" spans="1:11" x14ac:dyDescent="0.25">
      <c r="A4600" t="s">
        <v>15665</v>
      </c>
      <c r="B4600" s="1" t="str">
        <f>HYPERLINK("https://www.catalog.slsa.sa.gov.au/record=b2018264")</f>
        <v>https://www.catalog.slsa.sa.gov.au/record=b2018264</v>
      </c>
      <c r="C4600" s="1" t="str">
        <f>HYPERLINK("https://www.catalog.slsa.sa.gov.au/xrecord=b2018264")</f>
        <v>https://www.catalog.slsa.sa.gov.au/xrecord=b2018264</v>
      </c>
      <c r="D4600" t="s">
        <v>15666</v>
      </c>
      <c r="E4600" t="s">
        <v>15667</v>
      </c>
      <c r="F4600" t="s">
        <v>1926</v>
      </c>
      <c r="G4600" t="s">
        <v>15269</v>
      </c>
      <c r="H4600" t="s">
        <v>15668</v>
      </c>
      <c r="I4600" t="s">
        <v>15663</v>
      </c>
      <c r="J4600" t="s">
        <v>15664</v>
      </c>
      <c r="K4600" s="2" t="str">
        <f>HYPERLINK("http://collections.slsa.sa.gov.au/mpcimg/68500/B68322.htm")</f>
        <v>http://collections.slsa.sa.gov.au/mpcimg/68500/B68322.htm</v>
      </c>
    </row>
    <row r="4601" spans="1:11" x14ac:dyDescent="0.25">
      <c r="A4601" t="s">
        <v>15669</v>
      </c>
      <c r="B4601" s="1" t="str">
        <f>HYPERLINK("https://www.catalog.slsa.sa.gov.au/record=b2018265")</f>
        <v>https://www.catalog.slsa.sa.gov.au/record=b2018265</v>
      </c>
      <c r="C4601" s="1" t="str">
        <f>HYPERLINK("https://www.catalog.slsa.sa.gov.au/xrecord=b2018265")</f>
        <v>https://www.catalog.slsa.sa.gov.au/xrecord=b2018265</v>
      </c>
      <c r="D4601" t="s">
        <v>15666</v>
      </c>
      <c r="E4601" t="s">
        <v>15667</v>
      </c>
      <c r="F4601" t="s">
        <v>1926</v>
      </c>
      <c r="G4601" t="s">
        <v>15269</v>
      </c>
      <c r="H4601" t="s">
        <v>15670</v>
      </c>
      <c r="I4601" t="s">
        <v>15663</v>
      </c>
      <c r="J4601" t="s">
        <v>15664</v>
      </c>
      <c r="K4601" s="2" t="str">
        <f>HYPERLINK("http://collections.slsa.sa.gov.au/mpcimg/68500/B68323.htm")</f>
        <v>http://collections.slsa.sa.gov.au/mpcimg/68500/B68323.htm</v>
      </c>
    </row>
    <row r="4602" spans="1:11" x14ac:dyDescent="0.25">
      <c r="A4602" t="s">
        <v>15671</v>
      </c>
      <c r="B4602" s="1" t="str">
        <f>HYPERLINK("https://www.catalog.slsa.sa.gov.au/record=b2018266")</f>
        <v>https://www.catalog.slsa.sa.gov.au/record=b2018266</v>
      </c>
      <c r="C4602" s="1" t="str">
        <f>HYPERLINK("https://www.catalog.slsa.sa.gov.au/xrecord=b2018266")</f>
        <v>https://www.catalog.slsa.sa.gov.au/xrecord=b2018266</v>
      </c>
      <c r="E4602" t="s">
        <v>15672</v>
      </c>
      <c r="F4602" t="s">
        <v>1926</v>
      </c>
      <c r="G4602" t="s">
        <v>15269</v>
      </c>
      <c r="H4602" t="s">
        <v>15673</v>
      </c>
      <c r="I4602" t="s">
        <v>15674</v>
      </c>
      <c r="J4602" t="s">
        <v>15675</v>
      </c>
      <c r="K4602" s="2" t="str">
        <f>HYPERLINK("http://collections.slsa.sa.gov.au/mpcimg/68500/B68324.htm")</f>
        <v>http://collections.slsa.sa.gov.au/mpcimg/68500/B68324.htm</v>
      </c>
    </row>
    <row r="4603" spans="1:11" x14ac:dyDescent="0.25">
      <c r="A4603" t="s">
        <v>15676</v>
      </c>
      <c r="B4603" s="1" t="str">
        <f>HYPERLINK("https://www.catalog.slsa.sa.gov.au/record=b2018267")</f>
        <v>https://www.catalog.slsa.sa.gov.au/record=b2018267</v>
      </c>
      <c r="C4603" s="1" t="str">
        <f>HYPERLINK("https://www.catalog.slsa.sa.gov.au/xrecord=b2018267")</f>
        <v>https://www.catalog.slsa.sa.gov.au/xrecord=b2018267</v>
      </c>
      <c r="E4603" t="s">
        <v>15677</v>
      </c>
      <c r="F4603" t="s">
        <v>1926</v>
      </c>
      <c r="G4603" t="s">
        <v>15269</v>
      </c>
      <c r="H4603" t="s">
        <v>15678</v>
      </c>
      <c r="I4603" t="s">
        <v>15679</v>
      </c>
      <c r="J4603" t="s">
        <v>2510</v>
      </c>
      <c r="K4603" s="2" t="str">
        <f>HYPERLINK("http://collections.slsa.sa.gov.au/mpcimg/68500/B68325.htm")</f>
        <v>http://collections.slsa.sa.gov.au/mpcimg/68500/B68325.htm</v>
      </c>
    </row>
    <row r="4604" spans="1:11" x14ac:dyDescent="0.25">
      <c r="A4604" t="s">
        <v>15680</v>
      </c>
      <c r="B4604" s="1" t="str">
        <f>HYPERLINK("https://www.catalog.slsa.sa.gov.au/record=b2018268")</f>
        <v>https://www.catalog.slsa.sa.gov.au/record=b2018268</v>
      </c>
      <c r="C4604" s="1" t="str">
        <f>HYPERLINK("https://www.catalog.slsa.sa.gov.au/xrecord=b2018268")</f>
        <v>https://www.catalog.slsa.sa.gov.au/xrecord=b2018268</v>
      </c>
      <c r="E4604" t="s">
        <v>15681</v>
      </c>
      <c r="F4604" t="s">
        <v>1926</v>
      </c>
      <c r="G4604" t="s">
        <v>15269</v>
      </c>
      <c r="H4604" t="s">
        <v>15682</v>
      </c>
      <c r="I4604" t="s">
        <v>15683</v>
      </c>
      <c r="J4604" t="s">
        <v>15684</v>
      </c>
      <c r="K4604" s="2" t="str">
        <f>HYPERLINK("http://collections.slsa.sa.gov.au/mpcimg/68500/B68326.htm")</f>
        <v>http://collections.slsa.sa.gov.au/mpcimg/68500/B68326.htm</v>
      </c>
    </row>
    <row r="4605" spans="1:11" x14ac:dyDescent="0.25">
      <c r="A4605" t="s">
        <v>15685</v>
      </c>
      <c r="B4605" s="1" t="str">
        <f>HYPERLINK("https://www.catalog.slsa.sa.gov.au/record=b2018594")</f>
        <v>https://www.catalog.slsa.sa.gov.au/record=b2018594</v>
      </c>
      <c r="C4605" s="1" t="str">
        <f>HYPERLINK("https://www.catalog.slsa.sa.gov.au/xrecord=b2018594")</f>
        <v>https://www.catalog.slsa.sa.gov.au/xrecord=b2018594</v>
      </c>
      <c r="E4605" t="s">
        <v>15686</v>
      </c>
      <c r="F4605" t="s">
        <v>1926</v>
      </c>
      <c r="G4605" t="s">
        <v>15687</v>
      </c>
      <c r="H4605" t="s">
        <v>15688</v>
      </c>
      <c r="J4605" t="s">
        <v>14774</v>
      </c>
      <c r="K4605" s="2" t="str">
        <f>HYPERLINK("http://collections.slsa.sa.gov.au/mpcimg/32250/B32222_35.htm")</f>
        <v>http://collections.slsa.sa.gov.au/mpcimg/32250/B32222_35.htm</v>
      </c>
    </row>
    <row r="4606" spans="1:11" x14ac:dyDescent="0.25">
      <c r="A4606" t="s">
        <v>15689</v>
      </c>
      <c r="B4606" s="1" t="str">
        <f>HYPERLINK("https://www.catalog.slsa.sa.gov.au/record=b2018595")</f>
        <v>https://www.catalog.slsa.sa.gov.au/record=b2018595</v>
      </c>
      <c r="C4606" s="1" t="str">
        <f>HYPERLINK("https://www.catalog.slsa.sa.gov.au/xrecord=b2018595")</f>
        <v>https://www.catalog.slsa.sa.gov.au/xrecord=b2018595</v>
      </c>
      <c r="E4606" t="s">
        <v>15686</v>
      </c>
      <c r="F4606" t="s">
        <v>1926</v>
      </c>
      <c r="G4606" t="s">
        <v>15690</v>
      </c>
      <c r="H4606" t="s">
        <v>15691</v>
      </c>
      <c r="J4606" t="s">
        <v>14774</v>
      </c>
      <c r="K4606" s="2" t="str">
        <f>HYPERLINK("http://collections.slsa.sa.gov.au/mpcimg/32250/B32222_36.htm")</f>
        <v>http://collections.slsa.sa.gov.au/mpcimg/32250/B32222_36.htm</v>
      </c>
    </row>
    <row r="4607" spans="1:11" x14ac:dyDescent="0.25">
      <c r="A4607" t="s">
        <v>15692</v>
      </c>
      <c r="B4607" s="1" t="str">
        <f>HYPERLINK("https://www.catalog.slsa.sa.gov.au/record=b2018596")</f>
        <v>https://www.catalog.slsa.sa.gov.au/record=b2018596</v>
      </c>
      <c r="C4607" s="1" t="str">
        <f>HYPERLINK("https://www.catalog.slsa.sa.gov.au/xrecord=b2018596")</f>
        <v>https://www.catalog.slsa.sa.gov.au/xrecord=b2018596</v>
      </c>
      <c r="E4607" t="s">
        <v>15693</v>
      </c>
      <c r="F4607" t="s">
        <v>1926</v>
      </c>
      <c r="G4607" t="s">
        <v>15694</v>
      </c>
      <c r="H4607" t="s">
        <v>15695</v>
      </c>
      <c r="I4607" t="s">
        <v>15696</v>
      </c>
      <c r="J4607" t="s">
        <v>14774</v>
      </c>
      <c r="K4607" s="2" t="str">
        <f>HYPERLINK("http://collections.slsa.sa.gov.au/mpcimg/32250/B32222_39.htm")</f>
        <v>http://collections.slsa.sa.gov.au/mpcimg/32250/B32222_39.htm</v>
      </c>
    </row>
    <row r="4608" spans="1:11" x14ac:dyDescent="0.25">
      <c r="A4608" t="s">
        <v>15697</v>
      </c>
      <c r="B4608" s="1" t="str">
        <f>HYPERLINK("https://www.catalog.slsa.sa.gov.au/record=b2018597")</f>
        <v>https://www.catalog.slsa.sa.gov.au/record=b2018597</v>
      </c>
      <c r="C4608" s="1" t="str">
        <f>HYPERLINK("https://www.catalog.slsa.sa.gov.au/xrecord=b2018597")</f>
        <v>https://www.catalog.slsa.sa.gov.au/xrecord=b2018597</v>
      </c>
      <c r="E4608" t="s">
        <v>15698</v>
      </c>
      <c r="F4608" t="s">
        <v>1926</v>
      </c>
      <c r="G4608" t="s">
        <v>15699</v>
      </c>
      <c r="H4608" t="s">
        <v>15700</v>
      </c>
      <c r="I4608" t="s">
        <v>15701</v>
      </c>
      <c r="J4608" t="s">
        <v>14774</v>
      </c>
      <c r="K4608" s="2" t="str">
        <f>HYPERLINK("http://collections.slsa.sa.gov.au/mpcimg/32250/B32222_40.htm")</f>
        <v>http://collections.slsa.sa.gov.au/mpcimg/32250/B32222_40.htm</v>
      </c>
    </row>
    <row r="4609" spans="1:11" x14ac:dyDescent="0.25">
      <c r="A4609" t="s">
        <v>15702</v>
      </c>
      <c r="B4609" s="1" t="str">
        <f>HYPERLINK("https://www.catalog.slsa.sa.gov.au/record=b2018598")</f>
        <v>https://www.catalog.slsa.sa.gov.au/record=b2018598</v>
      </c>
      <c r="C4609" s="1" t="str">
        <f>HYPERLINK("https://www.catalog.slsa.sa.gov.au/xrecord=b2018598")</f>
        <v>https://www.catalog.slsa.sa.gov.au/xrecord=b2018598</v>
      </c>
      <c r="E4609" t="s">
        <v>15698</v>
      </c>
      <c r="F4609" t="s">
        <v>1926</v>
      </c>
      <c r="G4609" t="s">
        <v>15703</v>
      </c>
      <c r="H4609" t="s">
        <v>15700</v>
      </c>
      <c r="I4609" t="s">
        <v>15701</v>
      </c>
      <c r="J4609" t="s">
        <v>14774</v>
      </c>
      <c r="K4609" s="2" t="str">
        <f>HYPERLINK("http://collections.slsa.sa.gov.au/mpcimg/32250/B32222_41.htm")</f>
        <v>http://collections.slsa.sa.gov.au/mpcimg/32250/B32222_41.htm</v>
      </c>
    </row>
    <row r="4610" spans="1:11" x14ac:dyDescent="0.25">
      <c r="A4610" t="s">
        <v>15704</v>
      </c>
      <c r="B4610" s="1" t="str">
        <f>HYPERLINK("https://www.catalog.slsa.sa.gov.au/record=b2018599")</f>
        <v>https://www.catalog.slsa.sa.gov.au/record=b2018599</v>
      </c>
      <c r="C4610" s="1" t="str">
        <f>HYPERLINK("https://www.catalog.slsa.sa.gov.au/xrecord=b2018599")</f>
        <v>https://www.catalog.slsa.sa.gov.au/xrecord=b2018599</v>
      </c>
      <c r="E4610" t="s">
        <v>15698</v>
      </c>
      <c r="F4610" t="s">
        <v>1926</v>
      </c>
      <c r="G4610" t="s">
        <v>15705</v>
      </c>
      <c r="H4610" t="s">
        <v>15706</v>
      </c>
      <c r="I4610" t="s">
        <v>15701</v>
      </c>
      <c r="J4610" t="s">
        <v>14774</v>
      </c>
      <c r="K4610" s="2" t="str">
        <f>HYPERLINK("http://collections.slsa.sa.gov.au/mpcimg/32250/B32222_42.htm")</f>
        <v>http://collections.slsa.sa.gov.au/mpcimg/32250/B32222_42.htm</v>
      </c>
    </row>
    <row r="4611" spans="1:11" x14ac:dyDescent="0.25">
      <c r="A4611" t="s">
        <v>15707</v>
      </c>
      <c r="B4611" s="1" t="str">
        <f>HYPERLINK("https://www.catalog.slsa.sa.gov.au/record=b2018610")</f>
        <v>https://www.catalog.slsa.sa.gov.au/record=b2018610</v>
      </c>
      <c r="C4611" s="1" t="str">
        <f>HYPERLINK("https://www.catalog.slsa.sa.gov.au/xrecord=b2018610")</f>
        <v>https://www.catalog.slsa.sa.gov.au/xrecord=b2018610</v>
      </c>
      <c r="E4611" t="s">
        <v>15708</v>
      </c>
      <c r="F4611" t="s">
        <v>1926</v>
      </c>
      <c r="G4611" t="s">
        <v>14809</v>
      </c>
      <c r="H4611" t="s">
        <v>15709</v>
      </c>
      <c r="I4611" t="s">
        <v>15710</v>
      </c>
      <c r="J4611" t="s">
        <v>14774</v>
      </c>
      <c r="K4611" s="2" t="str">
        <f>HYPERLINK("http://collections.slsa.sa.gov.au/mpcimg/39250/B39115.htm")</f>
        <v>http://collections.slsa.sa.gov.au/mpcimg/39250/B39115.htm</v>
      </c>
    </row>
    <row r="4612" spans="1:11" x14ac:dyDescent="0.25">
      <c r="A4612" t="s">
        <v>15711</v>
      </c>
      <c r="B4612" s="1" t="str">
        <f>HYPERLINK("https://www.catalog.slsa.sa.gov.au/record=b2018626")</f>
        <v>https://www.catalog.slsa.sa.gov.au/record=b2018626</v>
      </c>
      <c r="C4612" s="1" t="str">
        <f>HYPERLINK("https://www.catalog.slsa.sa.gov.au/xrecord=b2018626")</f>
        <v>https://www.catalog.slsa.sa.gov.au/xrecord=b2018626</v>
      </c>
      <c r="E4612" t="s">
        <v>15712</v>
      </c>
      <c r="F4612" t="s">
        <v>1926</v>
      </c>
      <c r="G4612" t="s">
        <v>15713</v>
      </c>
      <c r="H4612" t="s">
        <v>15714</v>
      </c>
      <c r="I4612" t="s">
        <v>15715</v>
      </c>
      <c r="J4612" t="s">
        <v>15716</v>
      </c>
      <c r="K4612" s="2" t="str">
        <f>HYPERLINK("http://collections.slsa.sa.gov.au/mpcimg/48000/B47927.htm")</f>
        <v>http://collections.slsa.sa.gov.au/mpcimg/48000/B47927.htm</v>
      </c>
    </row>
    <row r="4613" spans="1:11" x14ac:dyDescent="0.25">
      <c r="A4613" t="s">
        <v>15717</v>
      </c>
      <c r="B4613" s="1" t="str">
        <f>HYPERLINK("https://www.catalog.slsa.sa.gov.au/record=b2018627")</f>
        <v>https://www.catalog.slsa.sa.gov.au/record=b2018627</v>
      </c>
      <c r="C4613" s="1" t="str">
        <f>HYPERLINK("https://www.catalog.slsa.sa.gov.au/xrecord=b2018627")</f>
        <v>https://www.catalog.slsa.sa.gov.au/xrecord=b2018627</v>
      </c>
      <c r="E4613" t="s">
        <v>15712</v>
      </c>
      <c r="F4613" t="s">
        <v>1926</v>
      </c>
      <c r="G4613" t="s">
        <v>15718</v>
      </c>
      <c r="H4613" t="s">
        <v>15714</v>
      </c>
      <c r="I4613" t="s">
        <v>15715</v>
      </c>
      <c r="J4613" t="s">
        <v>15716</v>
      </c>
      <c r="K4613" s="2" t="str">
        <f>HYPERLINK("http://collections.slsa.sa.gov.au/mpcimg/48000/B47928.htm")</f>
        <v>http://collections.slsa.sa.gov.au/mpcimg/48000/B47928.htm</v>
      </c>
    </row>
    <row r="4614" spans="1:11" x14ac:dyDescent="0.25">
      <c r="A4614" t="s">
        <v>15719</v>
      </c>
      <c r="B4614" s="1" t="str">
        <f>HYPERLINK("https://www.catalog.slsa.sa.gov.au/record=b2019143")</f>
        <v>https://www.catalog.slsa.sa.gov.au/record=b2019143</v>
      </c>
      <c r="C4614" s="1" t="str">
        <f>HYPERLINK("https://www.catalog.slsa.sa.gov.au/xrecord=b2019143")</f>
        <v>https://www.catalog.slsa.sa.gov.au/xrecord=b2019143</v>
      </c>
      <c r="E4614" t="s">
        <v>15720</v>
      </c>
      <c r="F4614" t="s">
        <v>1926</v>
      </c>
      <c r="G4614" t="s">
        <v>15721</v>
      </c>
      <c r="H4614" t="s">
        <v>15722</v>
      </c>
      <c r="I4614" t="s">
        <v>15723</v>
      </c>
      <c r="J4614" t="s">
        <v>14790</v>
      </c>
      <c r="K4614" s="2" t="str">
        <f>HYPERLINK("http://collections.slsa.sa.gov.au/mpcimg/44250/B44020.htm")</f>
        <v>http://collections.slsa.sa.gov.au/mpcimg/44250/B44020.htm</v>
      </c>
    </row>
    <row r="4615" spans="1:11" x14ac:dyDescent="0.25">
      <c r="A4615" t="s">
        <v>15724</v>
      </c>
      <c r="B4615" s="1" t="str">
        <f>HYPERLINK("https://www.catalog.slsa.sa.gov.au/record=b2019324")</f>
        <v>https://www.catalog.slsa.sa.gov.au/record=b2019324</v>
      </c>
      <c r="C4615" s="1" t="str">
        <f>HYPERLINK("https://www.catalog.slsa.sa.gov.au/xrecord=b2019324")</f>
        <v>https://www.catalog.slsa.sa.gov.au/xrecord=b2019324</v>
      </c>
      <c r="E4615" t="s">
        <v>15725</v>
      </c>
      <c r="F4615" t="s">
        <v>1926</v>
      </c>
      <c r="G4615" t="s">
        <v>15726</v>
      </c>
      <c r="H4615" t="s">
        <v>15727</v>
      </c>
      <c r="J4615" t="s">
        <v>14796</v>
      </c>
      <c r="K4615" s="2" t="str">
        <f>HYPERLINK("http://collections.slsa.sa.gov.au/mpcimg/32250/B32036.htm")</f>
        <v>http://collections.slsa.sa.gov.au/mpcimg/32250/B32036.htm</v>
      </c>
    </row>
    <row r="4616" spans="1:11" x14ac:dyDescent="0.25">
      <c r="A4616" t="s">
        <v>15728</v>
      </c>
      <c r="B4616" s="1" t="str">
        <f>HYPERLINK("https://www.catalog.slsa.sa.gov.au/record=b2019325")</f>
        <v>https://www.catalog.slsa.sa.gov.au/record=b2019325</v>
      </c>
      <c r="C4616" s="1" t="str">
        <f>HYPERLINK("https://www.catalog.slsa.sa.gov.au/xrecord=b2019325")</f>
        <v>https://www.catalog.slsa.sa.gov.au/xrecord=b2019325</v>
      </c>
      <c r="E4616" t="s">
        <v>15725</v>
      </c>
      <c r="F4616" t="s">
        <v>1926</v>
      </c>
      <c r="G4616" t="s">
        <v>15729</v>
      </c>
      <c r="H4616" t="s">
        <v>15730</v>
      </c>
      <c r="J4616" t="s">
        <v>14796</v>
      </c>
      <c r="K4616" s="2" t="str">
        <f>HYPERLINK("http://collections.slsa.sa.gov.au/mpcimg/32250/B32037.htm")</f>
        <v>http://collections.slsa.sa.gov.au/mpcimg/32250/B32037.htm</v>
      </c>
    </row>
    <row r="4617" spans="1:11" x14ac:dyDescent="0.25">
      <c r="A4617" t="s">
        <v>15731</v>
      </c>
      <c r="B4617" s="1" t="str">
        <f>HYPERLINK("https://www.catalog.slsa.sa.gov.au/record=b2019326")</f>
        <v>https://www.catalog.slsa.sa.gov.au/record=b2019326</v>
      </c>
      <c r="C4617" s="1" t="str">
        <f>HYPERLINK("https://www.catalog.slsa.sa.gov.au/xrecord=b2019326")</f>
        <v>https://www.catalog.slsa.sa.gov.au/xrecord=b2019326</v>
      </c>
      <c r="E4617" t="s">
        <v>15725</v>
      </c>
      <c r="F4617" t="s">
        <v>1926</v>
      </c>
      <c r="G4617" t="s">
        <v>15732</v>
      </c>
      <c r="H4617" t="s">
        <v>15733</v>
      </c>
      <c r="I4617" t="s">
        <v>14801</v>
      </c>
      <c r="J4617" t="s">
        <v>14796</v>
      </c>
      <c r="K4617" s="2" t="str">
        <f>HYPERLINK("http://collections.slsa.sa.gov.au/mpcimg/32250/B32038.htm")</f>
        <v>http://collections.slsa.sa.gov.au/mpcimg/32250/B32038.htm</v>
      </c>
    </row>
    <row r="4618" spans="1:11" x14ac:dyDescent="0.25">
      <c r="A4618" t="s">
        <v>15734</v>
      </c>
      <c r="B4618" s="1" t="str">
        <f>HYPERLINK("https://www.catalog.slsa.sa.gov.au/record=b2019327")</f>
        <v>https://www.catalog.slsa.sa.gov.au/record=b2019327</v>
      </c>
      <c r="C4618" s="1" t="str">
        <f>HYPERLINK("https://www.catalog.slsa.sa.gov.au/xrecord=b2019327")</f>
        <v>https://www.catalog.slsa.sa.gov.au/xrecord=b2019327</v>
      </c>
      <c r="E4618" t="s">
        <v>15725</v>
      </c>
      <c r="F4618" t="s">
        <v>1926</v>
      </c>
      <c r="G4618" t="s">
        <v>15735</v>
      </c>
      <c r="H4618" t="s">
        <v>15736</v>
      </c>
      <c r="I4618" t="s">
        <v>15737</v>
      </c>
      <c r="J4618" t="s">
        <v>14796</v>
      </c>
      <c r="K4618" s="2" t="str">
        <f>HYPERLINK("http://collections.slsa.sa.gov.au/mpcimg/32250/B32039.htm")</f>
        <v>http://collections.slsa.sa.gov.au/mpcimg/32250/B32039.htm</v>
      </c>
    </row>
    <row r="4619" spans="1:11" x14ac:dyDescent="0.25">
      <c r="A4619" t="s">
        <v>15738</v>
      </c>
      <c r="B4619" s="1" t="str">
        <f>HYPERLINK("https://www.catalog.slsa.sa.gov.au/record=b2019330")</f>
        <v>https://www.catalog.slsa.sa.gov.au/record=b2019330</v>
      </c>
      <c r="C4619" s="1" t="str">
        <f>HYPERLINK("https://www.catalog.slsa.sa.gov.au/xrecord=b2019330")</f>
        <v>https://www.catalog.slsa.sa.gov.au/xrecord=b2019330</v>
      </c>
      <c r="E4619" t="s">
        <v>15739</v>
      </c>
      <c r="F4619" t="s">
        <v>1926</v>
      </c>
      <c r="G4619" t="s">
        <v>15740</v>
      </c>
      <c r="H4619" t="s">
        <v>15741</v>
      </c>
      <c r="I4619" t="s">
        <v>15742</v>
      </c>
      <c r="J4619" t="s">
        <v>14796</v>
      </c>
      <c r="K4619" s="2" t="str">
        <f>HYPERLINK("http://collections.slsa.sa.gov.au/mpcimg/32250/B32042.htm")</f>
        <v>http://collections.slsa.sa.gov.au/mpcimg/32250/B32042.htm</v>
      </c>
    </row>
    <row r="4620" spans="1:11" x14ac:dyDescent="0.25">
      <c r="A4620" t="s">
        <v>15743</v>
      </c>
      <c r="B4620" s="1" t="str">
        <f>HYPERLINK("https://www.catalog.slsa.sa.gov.au/record=b2019331")</f>
        <v>https://www.catalog.slsa.sa.gov.au/record=b2019331</v>
      </c>
      <c r="C4620" s="1" t="str">
        <f>HYPERLINK("https://www.catalog.slsa.sa.gov.au/xrecord=b2019331")</f>
        <v>https://www.catalog.slsa.sa.gov.au/xrecord=b2019331</v>
      </c>
      <c r="E4620" t="s">
        <v>15744</v>
      </c>
      <c r="F4620" t="s">
        <v>1926</v>
      </c>
      <c r="G4620" t="s">
        <v>15745</v>
      </c>
      <c r="H4620" t="s">
        <v>15746</v>
      </c>
      <c r="I4620" t="s">
        <v>15747</v>
      </c>
      <c r="J4620" t="s">
        <v>14796</v>
      </c>
      <c r="K4620" s="2" t="str">
        <f>HYPERLINK("http://collections.slsa.sa.gov.au/mpcimg/32250/B32043.htm")</f>
        <v>http://collections.slsa.sa.gov.au/mpcimg/32250/B32043.htm</v>
      </c>
    </row>
    <row r="4621" spans="1:11" x14ac:dyDescent="0.25">
      <c r="A4621" t="s">
        <v>15748</v>
      </c>
      <c r="B4621" s="1" t="str">
        <f>HYPERLINK("https://www.catalog.slsa.sa.gov.au/record=b2019332")</f>
        <v>https://www.catalog.slsa.sa.gov.au/record=b2019332</v>
      </c>
      <c r="C4621" s="1" t="str">
        <f>HYPERLINK("https://www.catalog.slsa.sa.gov.au/xrecord=b2019332")</f>
        <v>https://www.catalog.slsa.sa.gov.au/xrecord=b2019332</v>
      </c>
      <c r="E4621" t="s">
        <v>15744</v>
      </c>
      <c r="F4621" t="s">
        <v>1926</v>
      </c>
      <c r="G4621" t="s">
        <v>15749</v>
      </c>
      <c r="H4621" t="s">
        <v>15746</v>
      </c>
      <c r="I4621" t="s">
        <v>15747</v>
      </c>
      <c r="J4621" t="s">
        <v>14796</v>
      </c>
      <c r="K4621" s="2" t="str">
        <f>HYPERLINK("http://collections.slsa.sa.gov.au/mpcimg/32250/B32045.htm")</f>
        <v>http://collections.slsa.sa.gov.au/mpcimg/32250/B32045.htm</v>
      </c>
    </row>
    <row r="4622" spans="1:11" x14ac:dyDescent="0.25">
      <c r="A4622" t="s">
        <v>15750</v>
      </c>
      <c r="B4622" s="1" t="str">
        <f>HYPERLINK("https://www.catalog.slsa.sa.gov.au/record=b2019333")</f>
        <v>https://www.catalog.slsa.sa.gov.au/record=b2019333</v>
      </c>
      <c r="C4622" s="1" t="str">
        <f>HYPERLINK("https://www.catalog.slsa.sa.gov.au/xrecord=b2019333")</f>
        <v>https://www.catalog.slsa.sa.gov.au/xrecord=b2019333</v>
      </c>
      <c r="E4622" t="s">
        <v>15744</v>
      </c>
      <c r="F4622" t="s">
        <v>1926</v>
      </c>
      <c r="G4622" t="s">
        <v>15751</v>
      </c>
      <c r="H4622" t="s">
        <v>15746</v>
      </c>
      <c r="I4622" t="s">
        <v>15747</v>
      </c>
      <c r="J4622" t="s">
        <v>14796</v>
      </c>
      <c r="K4622" s="2" t="str">
        <f>HYPERLINK("http://collections.slsa.sa.gov.au/mpcimg/32250/B32046.htm")</f>
        <v>http://collections.slsa.sa.gov.au/mpcimg/32250/B32046.htm</v>
      </c>
    </row>
    <row r="4623" spans="1:11" x14ac:dyDescent="0.25">
      <c r="A4623" t="s">
        <v>15752</v>
      </c>
      <c r="B4623" s="1" t="str">
        <f>HYPERLINK("https://www.catalog.slsa.sa.gov.au/record=b2019334")</f>
        <v>https://www.catalog.slsa.sa.gov.au/record=b2019334</v>
      </c>
      <c r="C4623" s="1" t="str">
        <f>HYPERLINK("https://www.catalog.slsa.sa.gov.au/xrecord=b2019334")</f>
        <v>https://www.catalog.slsa.sa.gov.au/xrecord=b2019334</v>
      </c>
      <c r="E4623" t="s">
        <v>15744</v>
      </c>
      <c r="F4623" t="s">
        <v>1926</v>
      </c>
      <c r="G4623" t="s">
        <v>15753</v>
      </c>
      <c r="H4623" t="s">
        <v>15754</v>
      </c>
      <c r="I4623" t="s">
        <v>15747</v>
      </c>
      <c r="J4623" t="s">
        <v>14796</v>
      </c>
      <c r="K4623" s="2" t="str">
        <f>HYPERLINK("http://collections.slsa.sa.gov.au/mpcimg/32250/B32047.htm")</f>
        <v>http://collections.slsa.sa.gov.au/mpcimg/32250/B32047.htm</v>
      </c>
    </row>
    <row r="4624" spans="1:11" x14ac:dyDescent="0.25">
      <c r="A4624" t="s">
        <v>15755</v>
      </c>
      <c r="B4624" s="1" t="str">
        <f>HYPERLINK("https://www.catalog.slsa.sa.gov.au/record=b2019335")</f>
        <v>https://www.catalog.slsa.sa.gov.au/record=b2019335</v>
      </c>
      <c r="C4624" s="1" t="str">
        <f>HYPERLINK("https://www.catalog.slsa.sa.gov.au/xrecord=b2019335")</f>
        <v>https://www.catalog.slsa.sa.gov.au/xrecord=b2019335</v>
      </c>
      <c r="E4624" t="s">
        <v>15744</v>
      </c>
      <c r="F4624" t="s">
        <v>1926</v>
      </c>
      <c r="G4624" t="s">
        <v>15756</v>
      </c>
      <c r="H4624" t="s">
        <v>15757</v>
      </c>
      <c r="I4624" t="s">
        <v>15747</v>
      </c>
      <c r="J4624" t="s">
        <v>14796</v>
      </c>
      <c r="K4624" s="2" t="str">
        <f>HYPERLINK("http://collections.slsa.sa.gov.au/mpcimg/32250/B32048.htm")</f>
        <v>http://collections.slsa.sa.gov.au/mpcimg/32250/B32048.htm</v>
      </c>
    </row>
    <row r="4625" spans="1:11" x14ac:dyDescent="0.25">
      <c r="A4625" t="s">
        <v>15758</v>
      </c>
      <c r="B4625" s="1" t="str">
        <f>HYPERLINK("https://www.catalog.slsa.sa.gov.au/record=b2019360")</f>
        <v>https://www.catalog.slsa.sa.gov.au/record=b2019360</v>
      </c>
      <c r="C4625" s="1" t="str">
        <f>HYPERLINK("https://www.catalog.slsa.sa.gov.au/xrecord=b2019360")</f>
        <v>https://www.catalog.slsa.sa.gov.au/xrecord=b2019360</v>
      </c>
      <c r="E4625" t="s">
        <v>15759</v>
      </c>
      <c r="F4625" t="s">
        <v>1926</v>
      </c>
      <c r="G4625" t="s">
        <v>14809</v>
      </c>
      <c r="H4625" t="s">
        <v>15760</v>
      </c>
      <c r="J4625" t="s">
        <v>14796</v>
      </c>
      <c r="K4625" s="2" t="str">
        <f>HYPERLINK("http://collections.slsa.sa.gov.au/mpcimg/37000/B36938.htm")</f>
        <v>http://collections.slsa.sa.gov.au/mpcimg/37000/B36938.htm</v>
      </c>
    </row>
    <row r="4626" spans="1:11" x14ac:dyDescent="0.25">
      <c r="A4626" t="s">
        <v>15761</v>
      </c>
      <c r="B4626" s="1" t="str">
        <f>HYPERLINK("https://www.catalog.slsa.sa.gov.au/record=b2019361")</f>
        <v>https://www.catalog.slsa.sa.gov.au/record=b2019361</v>
      </c>
      <c r="C4626" s="1" t="str">
        <f>HYPERLINK("https://www.catalog.slsa.sa.gov.au/xrecord=b2019361")</f>
        <v>https://www.catalog.slsa.sa.gov.au/xrecord=b2019361</v>
      </c>
      <c r="E4626" t="s">
        <v>15762</v>
      </c>
      <c r="F4626" t="s">
        <v>1926</v>
      </c>
      <c r="G4626" t="s">
        <v>14809</v>
      </c>
      <c r="H4626" t="s">
        <v>15763</v>
      </c>
      <c r="J4626" t="s">
        <v>14796</v>
      </c>
      <c r="K4626" s="2" t="str">
        <f>HYPERLINK("http://collections.slsa.sa.gov.au/mpcimg/37000/B36939.htm")</f>
        <v>http://collections.slsa.sa.gov.au/mpcimg/37000/B36939.htm</v>
      </c>
    </row>
    <row r="4627" spans="1:11" x14ac:dyDescent="0.25">
      <c r="A4627" t="s">
        <v>15764</v>
      </c>
      <c r="B4627" s="1" t="str">
        <f>HYPERLINK("https://www.catalog.slsa.sa.gov.au/record=b2019538")</f>
        <v>https://www.catalog.slsa.sa.gov.au/record=b2019538</v>
      </c>
      <c r="C4627" s="1" t="str">
        <f>HYPERLINK("https://www.catalog.slsa.sa.gov.au/xrecord=b2019538")</f>
        <v>https://www.catalog.slsa.sa.gov.au/xrecord=b2019538</v>
      </c>
      <c r="D4627" t="s">
        <v>15765</v>
      </c>
      <c r="E4627" t="s">
        <v>15766</v>
      </c>
      <c r="F4627" t="s">
        <v>1926</v>
      </c>
      <c r="G4627" t="s">
        <v>15767</v>
      </c>
      <c r="H4627" t="s">
        <v>15768</v>
      </c>
      <c r="I4627" t="s">
        <v>15769</v>
      </c>
      <c r="J4627" t="s">
        <v>14830</v>
      </c>
      <c r="K4627" s="2" t="str">
        <f>HYPERLINK("http://collections.slsa.sa.gov.au/mpcimg/40500/B40407.htm")</f>
        <v>http://collections.slsa.sa.gov.au/mpcimg/40500/B40407.htm</v>
      </c>
    </row>
    <row r="4628" spans="1:11" x14ac:dyDescent="0.25">
      <c r="A4628" t="s">
        <v>15770</v>
      </c>
      <c r="B4628" s="1" t="str">
        <f>HYPERLINK("https://www.catalog.slsa.sa.gov.au/record=b2019539")</f>
        <v>https://www.catalog.slsa.sa.gov.au/record=b2019539</v>
      </c>
      <c r="C4628" s="1" t="str">
        <f>HYPERLINK("https://www.catalog.slsa.sa.gov.au/xrecord=b2019539")</f>
        <v>https://www.catalog.slsa.sa.gov.au/xrecord=b2019539</v>
      </c>
      <c r="E4628" t="s">
        <v>15766</v>
      </c>
      <c r="F4628" t="s">
        <v>1926</v>
      </c>
      <c r="G4628" t="s">
        <v>15771</v>
      </c>
      <c r="H4628" t="s">
        <v>15772</v>
      </c>
      <c r="I4628" t="s">
        <v>15773</v>
      </c>
      <c r="J4628" t="s">
        <v>14830</v>
      </c>
      <c r="K4628" s="2" t="str">
        <f>HYPERLINK("http://collections.slsa.sa.gov.au/mpcimg/42250/B42005.htm")</f>
        <v>http://collections.slsa.sa.gov.au/mpcimg/42250/B42005.htm</v>
      </c>
    </row>
    <row r="4629" spans="1:11" x14ac:dyDescent="0.25">
      <c r="A4629" t="s">
        <v>15774</v>
      </c>
      <c r="B4629" s="1" t="str">
        <f>HYPERLINK("https://www.catalog.slsa.sa.gov.au/record=b2019837")</f>
        <v>https://www.catalog.slsa.sa.gov.au/record=b2019837</v>
      </c>
      <c r="C4629" s="1" t="str">
        <f>HYPERLINK("https://www.catalog.slsa.sa.gov.au/xrecord=b2019837")</f>
        <v>https://www.catalog.slsa.sa.gov.au/xrecord=b2019837</v>
      </c>
      <c r="E4629" t="s">
        <v>15775</v>
      </c>
      <c r="F4629" t="s">
        <v>1926</v>
      </c>
      <c r="G4629" t="s">
        <v>15771</v>
      </c>
      <c r="H4629" t="s">
        <v>15776</v>
      </c>
      <c r="I4629" t="s">
        <v>15777</v>
      </c>
      <c r="J4629" t="s">
        <v>15778</v>
      </c>
      <c r="K4629" s="2" t="str">
        <f>HYPERLINK("http://collections.slsa.sa.gov.au/mpcimg/42250/B42006.htm")</f>
        <v>http://collections.slsa.sa.gov.au/mpcimg/42250/B42006.htm</v>
      </c>
    </row>
    <row r="4630" spans="1:11" x14ac:dyDescent="0.25">
      <c r="A4630" t="s">
        <v>15779</v>
      </c>
      <c r="B4630" s="1" t="str">
        <f>HYPERLINK("https://www.catalog.slsa.sa.gov.au/record=b2019838")</f>
        <v>https://www.catalog.slsa.sa.gov.au/record=b2019838</v>
      </c>
      <c r="C4630" s="1" t="str">
        <f>HYPERLINK("https://www.catalog.slsa.sa.gov.au/xrecord=b2019838")</f>
        <v>https://www.catalog.slsa.sa.gov.au/xrecord=b2019838</v>
      </c>
      <c r="E4630" t="s">
        <v>15780</v>
      </c>
      <c r="F4630" t="s">
        <v>1926</v>
      </c>
      <c r="G4630" t="s">
        <v>15771</v>
      </c>
      <c r="H4630" t="s">
        <v>15781</v>
      </c>
      <c r="I4630" t="s">
        <v>15782</v>
      </c>
      <c r="J4630" t="s">
        <v>15778</v>
      </c>
      <c r="K4630" s="2" t="str">
        <f>HYPERLINK("http://collections.slsa.sa.gov.au/mpcimg/42250/B42007.htm")</f>
        <v>http://collections.slsa.sa.gov.au/mpcimg/42250/B42007.htm</v>
      </c>
    </row>
    <row r="4631" spans="1:11" x14ac:dyDescent="0.25">
      <c r="A4631" t="s">
        <v>15783</v>
      </c>
      <c r="B4631" s="1" t="str">
        <f>HYPERLINK("https://www.catalog.slsa.sa.gov.au/record=b2020315")</f>
        <v>https://www.catalog.slsa.sa.gov.au/record=b2020315</v>
      </c>
      <c r="C4631" s="1" t="str">
        <f>HYPERLINK("https://www.catalog.slsa.sa.gov.au/xrecord=b2020315")</f>
        <v>https://www.catalog.slsa.sa.gov.au/xrecord=b2020315</v>
      </c>
      <c r="E4631" t="s">
        <v>15784</v>
      </c>
      <c r="F4631" t="s">
        <v>1926</v>
      </c>
      <c r="G4631" t="s">
        <v>15785</v>
      </c>
      <c r="H4631" t="s">
        <v>15786</v>
      </c>
      <c r="I4631" t="s">
        <v>15787</v>
      </c>
      <c r="J4631" t="s">
        <v>15788</v>
      </c>
      <c r="K4631" s="2" t="str">
        <f>HYPERLINK("http://collections.slsa.sa.gov.au/mpcimg/35500/B35465.htm")</f>
        <v>http://collections.slsa.sa.gov.au/mpcimg/35500/B35465.htm</v>
      </c>
    </row>
    <row r="4632" spans="1:11" x14ac:dyDescent="0.25">
      <c r="A4632" t="s">
        <v>15789</v>
      </c>
      <c r="B4632" s="1" t="str">
        <f>HYPERLINK("https://www.catalog.slsa.sa.gov.au/record=b2020316")</f>
        <v>https://www.catalog.slsa.sa.gov.au/record=b2020316</v>
      </c>
      <c r="C4632" s="1" t="str">
        <f>HYPERLINK("https://www.catalog.slsa.sa.gov.au/xrecord=b2020316")</f>
        <v>https://www.catalog.slsa.sa.gov.au/xrecord=b2020316</v>
      </c>
      <c r="E4632" t="s">
        <v>15790</v>
      </c>
      <c r="F4632" t="s">
        <v>1926</v>
      </c>
      <c r="G4632" t="s">
        <v>15791</v>
      </c>
      <c r="H4632" t="s">
        <v>15792</v>
      </c>
      <c r="I4632" t="s">
        <v>15793</v>
      </c>
      <c r="J4632" t="s">
        <v>15788</v>
      </c>
      <c r="K4632" s="2" t="str">
        <f>HYPERLINK("http://collections.slsa.sa.gov.au/mpcimg/35500/B35469.htm")</f>
        <v>http://collections.slsa.sa.gov.au/mpcimg/35500/B35469.htm</v>
      </c>
    </row>
    <row r="4633" spans="1:11" x14ac:dyDescent="0.25">
      <c r="A4633" t="s">
        <v>15794</v>
      </c>
      <c r="B4633" s="1" t="str">
        <f>HYPERLINK("https://www.catalog.slsa.sa.gov.au/record=b2020343")</f>
        <v>https://www.catalog.slsa.sa.gov.au/record=b2020343</v>
      </c>
      <c r="C4633" s="1" t="str">
        <f>HYPERLINK("https://www.catalog.slsa.sa.gov.au/xrecord=b2020343")</f>
        <v>https://www.catalog.slsa.sa.gov.au/xrecord=b2020343</v>
      </c>
      <c r="E4633" t="s">
        <v>15795</v>
      </c>
      <c r="F4633" t="s">
        <v>1926</v>
      </c>
      <c r="G4633" t="s">
        <v>15031</v>
      </c>
      <c r="H4633" t="s">
        <v>15796</v>
      </c>
      <c r="I4633" t="s">
        <v>15797</v>
      </c>
      <c r="J4633" t="s">
        <v>14836</v>
      </c>
      <c r="K4633" s="2" t="str">
        <f>HYPERLINK("http://collections.slsa.sa.gov.au/mpcimg/47000/B46752.htm")</f>
        <v>http://collections.slsa.sa.gov.au/mpcimg/47000/B46752.htm</v>
      </c>
    </row>
    <row r="4634" spans="1:11" x14ac:dyDescent="0.25">
      <c r="A4634" t="s">
        <v>15798</v>
      </c>
      <c r="B4634" s="1" t="str">
        <f>HYPERLINK("https://www.catalog.slsa.sa.gov.au/record=b2020490")</f>
        <v>https://www.catalog.slsa.sa.gov.au/record=b2020490</v>
      </c>
      <c r="C4634" s="1" t="str">
        <f>HYPERLINK("https://www.catalog.slsa.sa.gov.au/xrecord=b2020490")</f>
        <v>https://www.catalog.slsa.sa.gov.au/xrecord=b2020490</v>
      </c>
      <c r="E4634" t="s">
        <v>15799</v>
      </c>
      <c r="F4634" t="s">
        <v>1926</v>
      </c>
      <c r="G4634" t="s">
        <v>15800</v>
      </c>
      <c r="H4634" t="s">
        <v>15801</v>
      </c>
      <c r="I4634" t="s">
        <v>15802</v>
      </c>
      <c r="J4634" t="s">
        <v>15803</v>
      </c>
      <c r="K4634" s="2" t="str">
        <f>HYPERLINK("http://collections.slsa.sa.gov.au/mpcimg/48750/B48661.htm")</f>
        <v>http://collections.slsa.sa.gov.au/mpcimg/48750/B48661.htm</v>
      </c>
    </row>
    <row r="4635" spans="1:11" x14ac:dyDescent="0.25">
      <c r="A4635" t="s">
        <v>15804</v>
      </c>
      <c r="B4635" s="1" t="str">
        <f>HYPERLINK("https://www.catalog.slsa.sa.gov.au/record=b2020497")</f>
        <v>https://www.catalog.slsa.sa.gov.au/record=b2020497</v>
      </c>
      <c r="C4635" s="1" t="str">
        <f>HYPERLINK("https://www.catalog.slsa.sa.gov.au/xrecord=b2020497")</f>
        <v>https://www.catalog.slsa.sa.gov.au/xrecord=b2020497</v>
      </c>
      <c r="E4635" t="s">
        <v>15805</v>
      </c>
      <c r="F4635" t="s">
        <v>1926</v>
      </c>
      <c r="G4635" t="s">
        <v>15806</v>
      </c>
      <c r="H4635" t="s">
        <v>15807</v>
      </c>
      <c r="I4635" t="s">
        <v>15808</v>
      </c>
      <c r="J4635" t="s">
        <v>15803</v>
      </c>
      <c r="K4635" s="2" t="str">
        <f>HYPERLINK("http://collections.slsa.sa.gov.au/mpcimg/48750/B48669.htm")</f>
        <v>http://collections.slsa.sa.gov.au/mpcimg/48750/B48669.htm</v>
      </c>
    </row>
    <row r="4636" spans="1:11" x14ac:dyDescent="0.25">
      <c r="A4636" t="s">
        <v>15809</v>
      </c>
      <c r="B4636" s="1" t="str">
        <f>HYPERLINK("https://www.catalog.slsa.sa.gov.au/record=b2020652")</f>
        <v>https://www.catalog.slsa.sa.gov.au/record=b2020652</v>
      </c>
      <c r="C4636" s="1" t="str">
        <f>HYPERLINK("https://www.catalog.slsa.sa.gov.au/xrecord=b2020652")</f>
        <v>https://www.catalog.slsa.sa.gov.au/xrecord=b2020652</v>
      </c>
      <c r="E4636" t="s">
        <v>15810</v>
      </c>
      <c r="F4636" t="s">
        <v>1926</v>
      </c>
      <c r="G4636" t="s">
        <v>15811</v>
      </c>
      <c r="H4636" t="s">
        <v>15812</v>
      </c>
      <c r="I4636" t="s">
        <v>15813</v>
      </c>
      <c r="J4636" t="s">
        <v>15814</v>
      </c>
      <c r="K4636" s="2" t="str">
        <f>HYPERLINK("http://collections.slsa.sa.gov.au/mpcimg/50000/B49776.htm")</f>
        <v>http://collections.slsa.sa.gov.au/mpcimg/50000/B49776.htm</v>
      </c>
    </row>
    <row r="4637" spans="1:11" x14ac:dyDescent="0.25">
      <c r="A4637" t="s">
        <v>15815</v>
      </c>
      <c r="B4637" s="1" t="str">
        <f>HYPERLINK("https://www.catalog.slsa.sa.gov.au/record=b2021498")</f>
        <v>https://www.catalog.slsa.sa.gov.au/record=b2021498</v>
      </c>
      <c r="C4637" s="1" t="str">
        <f>HYPERLINK("https://www.catalog.slsa.sa.gov.au/xrecord=b2021498")</f>
        <v>https://www.catalog.slsa.sa.gov.au/xrecord=b2021498</v>
      </c>
      <c r="E4637" t="s">
        <v>15816</v>
      </c>
      <c r="F4637" t="s">
        <v>1926</v>
      </c>
      <c r="G4637" t="s">
        <v>15817</v>
      </c>
      <c r="H4637" t="s">
        <v>15818</v>
      </c>
      <c r="I4637" t="s">
        <v>15819</v>
      </c>
      <c r="J4637" t="s">
        <v>15820</v>
      </c>
      <c r="K4637" s="2" t="str">
        <f>HYPERLINK("http://collections.slsa.sa.gov.au/mpcimg/35750/B35735.htm")</f>
        <v>http://collections.slsa.sa.gov.au/mpcimg/35750/B35735.htm</v>
      </c>
    </row>
    <row r="4638" spans="1:11" x14ac:dyDescent="0.25">
      <c r="A4638" t="s">
        <v>15821</v>
      </c>
      <c r="B4638" s="1" t="str">
        <f>HYPERLINK("https://www.catalog.slsa.sa.gov.au/record=b2021499")</f>
        <v>https://www.catalog.slsa.sa.gov.au/record=b2021499</v>
      </c>
      <c r="C4638" s="1" t="str">
        <f>HYPERLINK("https://www.catalog.slsa.sa.gov.au/xrecord=b2021499")</f>
        <v>https://www.catalog.slsa.sa.gov.au/xrecord=b2021499</v>
      </c>
      <c r="E4638" t="s">
        <v>15816</v>
      </c>
      <c r="F4638" t="s">
        <v>1926</v>
      </c>
      <c r="G4638" t="s">
        <v>15822</v>
      </c>
      <c r="H4638" t="s">
        <v>15823</v>
      </c>
      <c r="I4638" t="s">
        <v>15819</v>
      </c>
      <c r="J4638" t="s">
        <v>15820</v>
      </c>
      <c r="K4638" s="2" t="str">
        <f>HYPERLINK("http://collections.slsa.sa.gov.au/mpcimg/35750/B35736.htm")</f>
        <v>http://collections.slsa.sa.gov.au/mpcimg/35750/B35736.htm</v>
      </c>
    </row>
    <row r="4639" spans="1:11" x14ac:dyDescent="0.25">
      <c r="A4639" t="s">
        <v>15824</v>
      </c>
      <c r="B4639" s="1" t="str">
        <f>HYPERLINK("https://www.catalog.slsa.sa.gov.au/record=b2021500")</f>
        <v>https://www.catalog.slsa.sa.gov.au/record=b2021500</v>
      </c>
      <c r="C4639" s="1" t="str">
        <f>HYPERLINK("https://www.catalog.slsa.sa.gov.au/xrecord=b2021500")</f>
        <v>https://www.catalog.slsa.sa.gov.au/xrecord=b2021500</v>
      </c>
      <c r="E4639" t="s">
        <v>15816</v>
      </c>
      <c r="F4639" t="s">
        <v>1926</v>
      </c>
      <c r="G4639" t="s">
        <v>15825</v>
      </c>
      <c r="H4639" t="s">
        <v>15823</v>
      </c>
      <c r="I4639" t="s">
        <v>15819</v>
      </c>
      <c r="J4639" t="s">
        <v>15820</v>
      </c>
      <c r="K4639" s="2" t="str">
        <f>HYPERLINK("http://collections.slsa.sa.gov.au/mpcimg/35750/B35737.htm")</f>
        <v>http://collections.slsa.sa.gov.au/mpcimg/35750/B35737.htm</v>
      </c>
    </row>
    <row r="4640" spans="1:11" x14ac:dyDescent="0.25">
      <c r="A4640" t="s">
        <v>15826</v>
      </c>
      <c r="B4640" s="1" t="str">
        <f>HYPERLINK("https://www.catalog.slsa.sa.gov.au/record=b2021501")</f>
        <v>https://www.catalog.slsa.sa.gov.au/record=b2021501</v>
      </c>
      <c r="C4640" s="1" t="str">
        <f>HYPERLINK("https://www.catalog.slsa.sa.gov.au/xrecord=b2021501")</f>
        <v>https://www.catalog.slsa.sa.gov.au/xrecord=b2021501</v>
      </c>
      <c r="E4640" t="s">
        <v>15827</v>
      </c>
      <c r="F4640" t="s">
        <v>1926</v>
      </c>
      <c r="G4640" t="s">
        <v>12617</v>
      </c>
      <c r="H4640" t="s">
        <v>15828</v>
      </c>
      <c r="J4640" t="s">
        <v>15820</v>
      </c>
      <c r="K4640" s="2" t="str">
        <f>HYPERLINK("http://collections.slsa.sa.gov.au/mpcimg/35750/B35738.htm")</f>
        <v>http://collections.slsa.sa.gov.au/mpcimg/35750/B35738.htm</v>
      </c>
    </row>
    <row r="4641" spans="1:11" x14ac:dyDescent="0.25">
      <c r="A4641" t="s">
        <v>15829</v>
      </c>
      <c r="B4641" s="1" t="str">
        <f>HYPERLINK("https://www.catalog.slsa.sa.gov.au/record=b2021503")</f>
        <v>https://www.catalog.slsa.sa.gov.au/record=b2021503</v>
      </c>
      <c r="C4641" s="1" t="str">
        <f>HYPERLINK("https://www.catalog.slsa.sa.gov.au/xrecord=b2021503")</f>
        <v>https://www.catalog.slsa.sa.gov.au/xrecord=b2021503</v>
      </c>
      <c r="E4641" t="s">
        <v>15830</v>
      </c>
      <c r="F4641" t="s">
        <v>1926</v>
      </c>
      <c r="G4641" t="s">
        <v>5501</v>
      </c>
      <c r="H4641" t="s">
        <v>15831</v>
      </c>
      <c r="I4641" t="s">
        <v>15832</v>
      </c>
      <c r="J4641" t="s">
        <v>15820</v>
      </c>
      <c r="K4641" s="2" t="str">
        <f>HYPERLINK("http://collections.slsa.sa.gov.au/mpcimg/35750/B35740.htm")</f>
        <v>http://collections.slsa.sa.gov.au/mpcimg/35750/B35740.htm</v>
      </c>
    </row>
    <row r="4642" spans="1:11" x14ac:dyDescent="0.25">
      <c r="A4642" t="s">
        <v>15833</v>
      </c>
      <c r="B4642" s="1" t="str">
        <f>HYPERLINK("https://www.catalog.slsa.sa.gov.au/record=b2021504")</f>
        <v>https://www.catalog.slsa.sa.gov.au/record=b2021504</v>
      </c>
      <c r="C4642" s="1" t="str">
        <f>HYPERLINK("https://www.catalog.slsa.sa.gov.au/xrecord=b2021504")</f>
        <v>https://www.catalog.slsa.sa.gov.au/xrecord=b2021504</v>
      </c>
      <c r="E4642" t="s">
        <v>15830</v>
      </c>
      <c r="F4642" t="s">
        <v>1926</v>
      </c>
      <c r="G4642" t="s">
        <v>15834</v>
      </c>
      <c r="H4642" t="s">
        <v>15831</v>
      </c>
      <c r="I4642" t="s">
        <v>15832</v>
      </c>
      <c r="J4642" t="s">
        <v>15820</v>
      </c>
      <c r="K4642" s="2" t="str">
        <f>HYPERLINK("http://collections.slsa.sa.gov.au/mpcimg/35750/B35741.htm")</f>
        <v>http://collections.slsa.sa.gov.au/mpcimg/35750/B35741.htm</v>
      </c>
    </row>
    <row r="4643" spans="1:11" x14ac:dyDescent="0.25">
      <c r="A4643" t="s">
        <v>15835</v>
      </c>
      <c r="B4643" s="1" t="str">
        <f>HYPERLINK("https://www.catalog.slsa.sa.gov.au/record=b2021505")</f>
        <v>https://www.catalog.slsa.sa.gov.au/record=b2021505</v>
      </c>
      <c r="C4643" s="1" t="str">
        <f>HYPERLINK("https://www.catalog.slsa.sa.gov.au/xrecord=b2021505")</f>
        <v>https://www.catalog.slsa.sa.gov.au/xrecord=b2021505</v>
      </c>
      <c r="E4643" t="s">
        <v>15830</v>
      </c>
      <c r="F4643" t="s">
        <v>1926</v>
      </c>
      <c r="G4643" t="s">
        <v>15836</v>
      </c>
      <c r="H4643" t="s">
        <v>15831</v>
      </c>
      <c r="I4643" t="s">
        <v>15832</v>
      </c>
      <c r="J4643" t="s">
        <v>15820</v>
      </c>
      <c r="K4643" s="2" t="str">
        <f>HYPERLINK("http://collections.slsa.sa.gov.au/mpcimg/35750/B35742.htm")</f>
        <v>http://collections.slsa.sa.gov.au/mpcimg/35750/B35742.htm</v>
      </c>
    </row>
    <row r="4644" spans="1:11" x14ac:dyDescent="0.25">
      <c r="A4644" t="s">
        <v>15837</v>
      </c>
      <c r="B4644" s="1" t="str">
        <f>HYPERLINK("https://www.catalog.slsa.sa.gov.au/record=b2021510")</f>
        <v>https://www.catalog.slsa.sa.gov.au/record=b2021510</v>
      </c>
      <c r="C4644" s="1" t="str">
        <f>HYPERLINK("https://www.catalog.slsa.sa.gov.au/xrecord=b2021510")</f>
        <v>https://www.catalog.slsa.sa.gov.au/xrecord=b2021510</v>
      </c>
      <c r="E4644" t="s">
        <v>15838</v>
      </c>
      <c r="F4644" t="s">
        <v>1926</v>
      </c>
      <c r="G4644" t="s">
        <v>15839</v>
      </c>
      <c r="H4644" t="s">
        <v>15840</v>
      </c>
      <c r="I4644" t="s">
        <v>15841</v>
      </c>
      <c r="J4644" t="s">
        <v>15820</v>
      </c>
      <c r="K4644" s="2" t="str">
        <f>HYPERLINK("http://collections.slsa.sa.gov.au/mpcimg/35750/B35747.htm")</f>
        <v>http://collections.slsa.sa.gov.au/mpcimg/35750/B35747.htm</v>
      </c>
    </row>
    <row r="4645" spans="1:11" x14ac:dyDescent="0.25">
      <c r="A4645" t="s">
        <v>15842</v>
      </c>
      <c r="B4645" s="1" t="str">
        <f>HYPERLINK("https://www.catalog.slsa.sa.gov.au/record=b2021513")</f>
        <v>https://www.catalog.slsa.sa.gov.au/record=b2021513</v>
      </c>
      <c r="C4645" s="1" t="str">
        <f>HYPERLINK("https://www.catalog.slsa.sa.gov.au/xrecord=b2021513")</f>
        <v>https://www.catalog.slsa.sa.gov.au/xrecord=b2021513</v>
      </c>
      <c r="E4645" t="s">
        <v>15843</v>
      </c>
      <c r="F4645" t="s">
        <v>1926</v>
      </c>
      <c r="G4645" t="s">
        <v>15844</v>
      </c>
      <c r="H4645" t="s">
        <v>15845</v>
      </c>
      <c r="J4645" t="s">
        <v>15820</v>
      </c>
      <c r="K4645" s="2" t="str">
        <f>HYPERLINK("http://collections.slsa.sa.gov.au/mpcimg/35750/B35750.htm")</f>
        <v>http://collections.slsa.sa.gov.au/mpcimg/35750/B35750.htm</v>
      </c>
    </row>
    <row r="4646" spans="1:11" x14ac:dyDescent="0.25">
      <c r="A4646" t="s">
        <v>15846</v>
      </c>
      <c r="B4646" s="1" t="str">
        <f>HYPERLINK("https://www.catalog.slsa.sa.gov.au/record=b2021514")</f>
        <v>https://www.catalog.slsa.sa.gov.au/record=b2021514</v>
      </c>
      <c r="C4646" s="1" t="str">
        <f>HYPERLINK("https://www.catalog.slsa.sa.gov.au/xrecord=b2021514")</f>
        <v>https://www.catalog.slsa.sa.gov.au/xrecord=b2021514</v>
      </c>
      <c r="E4646" t="s">
        <v>15843</v>
      </c>
      <c r="F4646" t="s">
        <v>1926</v>
      </c>
      <c r="G4646" t="s">
        <v>15847</v>
      </c>
      <c r="H4646" t="s">
        <v>15848</v>
      </c>
      <c r="J4646" t="s">
        <v>15820</v>
      </c>
      <c r="K4646" s="2" t="str">
        <f>HYPERLINK("http://collections.slsa.sa.gov.au/mpcimg/36000/B35751.htm")</f>
        <v>http://collections.slsa.sa.gov.au/mpcimg/36000/B35751.htm</v>
      </c>
    </row>
    <row r="4647" spans="1:11" x14ac:dyDescent="0.25">
      <c r="A4647" t="s">
        <v>15849</v>
      </c>
      <c r="B4647" s="1" t="str">
        <f>HYPERLINK("https://www.catalog.slsa.sa.gov.au/record=b2021516")</f>
        <v>https://www.catalog.slsa.sa.gov.au/record=b2021516</v>
      </c>
      <c r="C4647" s="1" t="str">
        <f>HYPERLINK("https://www.catalog.slsa.sa.gov.au/xrecord=b2021516")</f>
        <v>https://www.catalog.slsa.sa.gov.au/xrecord=b2021516</v>
      </c>
      <c r="E4647" t="s">
        <v>15838</v>
      </c>
      <c r="F4647" t="s">
        <v>1926</v>
      </c>
      <c r="G4647" t="s">
        <v>15850</v>
      </c>
      <c r="H4647" t="s">
        <v>15851</v>
      </c>
      <c r="J4647" t="s">
        <v>15820</v>
      </c>
      <c r="K4647" s="2" t="str">
        <f>HYPERLINK("http://collections.slsa.sa.gov.au/mpcimg/36000/B35753.htm")</f>
        <v>http://collections.slsa.sa.gov.au/mpcimg/36000/B35753.htm</v>
      </c>
    </row>
    <row r="4648" spans="1:11" x14ac:dyDescent="0.25">
      <c r="A4648" t="s">
        <v>15852</v>
      </c>
      <c r="B4648" s="1" t="str">
        <f>HYPERLINK("https://www.catalog.slsa.sa.gov.au/record=b2021518")</f>
        <v>https://www.catalog.slsa.sa.gov.au/record=b2021518</v>
      </c>
      <c r="C4648" s="1" t="str">
        <f>HYPERLINK("https://www.catalog.slsa.sa.gov.au/xrecord=b2021518")</f>
        <v>https://www.catalog.slsa.sa.gov.au/xrecord=b2021518</v>
      </c>
      <c r="E4648" t="s">
        <v>15853</v>
      </c>
      <c r="F4648" t="s">
        <v>1926</v>
      </c>
      <c r="G4648" t="s">
        <v>15854</v>
      </c>
      <c r="H4648" t="s">
        <v>15855</v>
      </c>
      <c r="I4648" t="s">
        <v>15856</v>
      </c>
      <c r="J4648" t="s">
        <v>15820</v>
      </c>
      <c r="K4648" s="2" t="str">
        <f>HYPERLINK("http://collections.slsa.sa.gov.au/mpcimg/36000/B35755.htm")</f>
        <v>http://collections.slsa.sa.gov.au/mpcimg/36000/B35755.htm</v>
      </c>
    </row>
    <row r="4649" spans="1:11" x14ac:dyDescent="0.25">
      <c r="A4649" t="s">
        <v>15857</v>
      </c>
      <c r="B4649" s="1" t="str">
        <f>HYPERLINK("https://www.catalog.slsa.sa.gov.au/record=b2021879")</f>
        <v>https://www.catalog.slsa.sa.gov.au/record=b2021879</v>
      </c>
      <c r="C4649" s="1" t="str">
        <f>HYPERLINK("https://www.catalog.slsa.sa.gov.au/xrecord=b2021879")</f>
        <v>https://www.catalog.slsa.sa.gov.au/xrecord=b2021879</v>
      </c>
      <c r="E4649" t="s">
        <v>15858</v>
      </c>
      <c r="F4649" t="s">
        <v>1926</v>
      </c>
      <c r="G4649" t="s">
        <v>15859</v>
      </c>
      <c r="H4649" t="s">
        <v>15860</v>
      </c>
      <c r="I4649" t="s">
        <v>15861</v>
      </c>
      <c r="J4649" t="s">
        <v>15862</v>
      </c>
      <c r="K4649" s="2" t="str">
        <f>HYPERLINK("http://collections.slsa.sa.gov.au/mpcimg/32250/B32160.htm")</f>
        <v>http://collections.slsa.sa.gov.au/mpcimg/32250/B32160.htm</v>
      </c>
    </row>
    <row r="4650" spans="1:11" x14ac:dyDescent="0.25">
      <c r="A4650" t="s">
        <v>15863</v>
      </c>
      <c r="B4650" s="1" t="str">
        <f>HYPERLINK("https://www.catalog.slsa.sa.gov.au/record=b2022173")</f>
        <v>https://www.catalog.slsa.sa.gov.au/record=b2022173</v>
      </c>
      <c r="C4650" s="1" t="str">
        <f>HYPERLINK("https://www.catalog.slsa.sa.gov.au/xrecord=b2022173")</f>
        <v>https://www.catalog.slsa.sa.gov.au/xrecord=b2022173</v>
      </c>
      <c r="E4650" t="s">
        <v>15864</v>
      </c>
      <c r="F4650" t="s">
        <v>1926</v>
      </c>
      <c r="G4650" t="s">
        <v>15865</v>
      </c>
      <c r="H4650" t="s">
        <v>15866</v>
      </c>
      <c r="I4650" t="s">
        <v>15867</v>
      </c>
      <c r="J4650" t="s">
        <v>15868</v>
      </c>
      <c r="K4650" s="2" t="str">
        <f>HYPERLINK("http://collections.slsa.sa.gov.au/mpcimg/34750/B34559.htm")</f>
        <v>http://collections.slsa.sa.gov.au/mpcimg/34750/B34559.htm</v>
      </c>
    </row>
    <row r="4651" spans="1:11" x14ac:dyDescent="0.25">
      <c r="A4651" t="s">
        <v>15869</v>
      </c>
      <c r="B4651" s="1" t="str">
        <f>HYPERLINK("https://www.catalog.slsa.sa.gov.au/record=b2022174")</f>
        <v>https://www.catalog.slsa.sa.gov.au/record=b2022174</v>
      </c>
      <c r="C4651" s="1" t="str">
        <f>HYPERLINK("https://www.catalog.slsa.sa.gov.au/xrecord=b2022174")</f>
        <v>https://www.catalog.slsa.sa.gov.au/xrecord=b2022174</v>
      </c>
      <c r="E4651" t="s">
        <v>15864</v>
      </c>
      <c r="F4651" t="s">
        <v>1926</v>
      </c>
      <c r="G4651" t="s">
        <v>15870</v>
      </c>
      <c r="H4651" t="s">
        <v>15866</v>
      </c>
      <c r="I4651" t="s">
        <v>15867</v>
      </c>
      <c r="J4651" t="s">
        <v>15868</v>
      </c>
      <c r="K4651" s="2" t="str">
        <f>HYPERLINK("http://collections.slsa.sa.gov.au/mpcimg/34750/B34560.htm")</f>
        <v>http://collections.slsa.sa.gov.au/mpcimg/34750/B34560.htm</v>
      </c>
    </row>
    <row r="4652" spans="1:11" x14ac:dyDescent="0.25">
      <c r="A4652" t="s">
        <v>15871</v>
      </c>
      <c r="B4652" s="1" t="str">
        <f>HYPERLINK("https://www.catalog.slsa.sa.gov.au/record=b2022175")</f>
        <v>https://www.catalog.slsa.sa.gov.au/record=b2022175</v>
      </c>
      <c r="C4652" s="1" t="str">
        <f>HYPERLINK("https://www.catalog.slsa.sa.gov.au/xrecord=b2022175")</f>
        <v>https://www.catalog.slsa.sa.gov.au/xrecord=b2022175</v>
      </c>
      <c r="E4652" t="s">
        <v>15864</v>
      </c>
      <c r="F4652" t="s">
        <v>1926</v>
      </c>
      <c r="G4652" t="s">
        <v>15872</v>
      </c>
      <c r="H4652" t="s">
        <v>15866</v>
      </c>
      <c r="I4652" t="s">
        <v>15867</v>
      </c>
      <c r="J4652" t="s">
        <v>15868</v>
      </c>
      <c r="K4652" s="2" t="str">
        <f>HYPERLINK("http://collections.slsa.sa.gov.au/mpcimg/34750/B34561.htm")</f>
        <v>http://collections.slsa.sa.gov.au/mpcimg/34750/B34561.htm</v>
      </c>
    </row>
    <row r="4653" spans="1:11" x14ac:dyDescent="0.25">
      <c r="A4653" t="s">
        <v>15873</v>
      </c>
      <c r="B4653" s="1" t="str">
        <f>HYPERLINK("https://www.catalog.slsa.sa.gov.au/record=b2022176")</f>
        <v>https://www.catalog.slsa.sa.gov.au/record=b2022176</v>
      </c>
      <c r="C4653" s="1" t="str">
        <f>HYPERLINK("https://www.catalog.slsa.sa.gov.au/xrecord=b2022176")</f>
        <v>https://www.catalog.slsa.sa.gov.au/xrecord=b2022176</v>
      </c>
      <c r="E4653" t="s">
        <v>15864</v>
      </c>
      <c r="F4653" t="s">
        <v>1926</v>
      </c>
      <c r="G4653" t="s">
        <v>15874</v>
      </c>
      <c r="H4653" t="s">
        <v>15875</v>
      </c>
      <c r="I4653" t="s">
        <v>15867</v>
      </c>
      <c r="J4653" t="s">
        <v>15868</v>
      </c>
      <c r="K4653" s="2" t="str">
        <f>HYPERLINK("http://collections.slsa.sa.gov.au/mpcimg/34750/B34562.htm")</f>
        <v>http://collections.slsa.sa.gov.au/mpcimg/34750/B34562.htm</v>
      </c>
    </row>
    <row r="4654" spans="1:11" x14ac:dyDescent="0.25">
      <c r="A4654" t="s">
        <v>15876</v>
      </c>
      <c r="B4654" s="1" t="str">
        <f>HYPERLINK("https://www.catalog.slsa.sa.gov.au/record=b2022755")</f>
        <v>https://www.catalog.slsa.sa.gov.au/record=b2022755</v>
      </c>
      <c r="C4654" s="1" t="str">
        <f>HYPERLINK("https://www.catalog.slsa.sa.gov.au/xrecord=b2022755")</f>
        <v>https://www.catalog.slsa.sa.gov.au/xrecord=b2022755</v>
      </c>
      <c r="E4654" t="s">
        <v>15877</v>
      </c>
      <c r="F4654" t="s">
        <v>1926</v>
      </c>
      <c r="G4654" t="s">
        <v>15164</v>
      </c>
      <c r="H4654" t="s">
        <v>15878</v>
      </c>
      <c r="J4654" t="s">
        <v>15879</v>
      </c>
      <c r="K4654" s="2" t="str">
        <f>HYPERLINK("http://collections.slsa.sa.gov.au/mpcimg/18250/B18184_1.htm")</f>
        <v>http://collections.slsa.sa.gov.au/mpcimg/18250/B18184_1.htm</v>
      </c>
    </row>
    <row r="4655" spans="1:11" x14ac:dyDescent="0.25">
      <c r="A4655" t="s">
        <v>15880</v>
      </c>
      <c r="B4655" s="1" t="str">
        <f>HYPERLINK("https://www.catalog.slsa.sa.gov.au/record=b2022756")</f>
        <v>https://www.catalog.slsa.sa.gov.au/record=b2022756</v>
      </c>
      <c r="C4655" s="1" t="str">
        <f>HYPERLINK("https://www.catalog.slsa.sa.gov.au/xrecord=b2022756")</f>
        <v>https://www.catalog.slsa.sa.gov.au/xrecord=b2022756</v>
      </c>
      <c r="E4655" t="s">
        <v>15877</v>
      </c>
      <c r="F4655" t="s">
        <v>1926</v>
      </c>
      <c r="G4655" t="s">
        <v>15164</v>
      </c>
      <c r="H4655" t="s">
        <v>15881</v>
      </c>
      <c r="J4655" t="s">
        <v>15879</v>
      </c>
      <c r="K4655" s="2" t="str">
        <f>HYPERLINK("http://collections.slsa.sa.gov.au/mpcimg/18250/B18184_2.htm")</f>
        <v>http://collections.slsa.sa.gov.au/mpcimg/18250/B18184_2.htm</v>
      </c>
    </row>
    <row r="4656" spans="1:11" x14ac:dyDescent="0.25">
      <c r="A4656" t="s">
        <v>15882</v>
      </c>
      <c r="B4656" s="1" t="str">
        <f>HYPERLINK("https://www.catalog.slsa.sa.gov.au/record=b2022757")</f>
        <v>https://www.catalog.slsa.sa.gov.au/record=b2022757</v>
      </c>
      <c r="C4656" s="1" t="str">
        <f>HYPERLINK("https://www.catalog.slsa.sa.gov.au/xrecord=b2022757")</f>
        <v>https://www.catalog.slsa.sa.gov.au/xrecord=b2022757</v>
      </c>
      <c r="E4656" t="s">
        <v>15883</v>
      </c>
      <c r="F4656" t="s">
        <v>1926</v>
      </c>
      <c r="G4656" t="s">
        <v>15164</v>
      </c>
      <c r="H4656" t="s">
        <v>15884</v>
      </c>
      <c r="I4656" t="s">
        <v>15885</v>
      </c>
      <c r="J4656" t="s">
        <v>15879</v>
      </c>
      <c r="K4656" s="2" t="str">
        <f>HYPERLINK("http://collections.slsa.sa.gov.au/mpcimg/18250/B18191.htm")</f>
        <v>http://collections.slsa.sa.gov.au/mpcimg/18250/B18191.htm</v>
      </c>
    </row>
    <row r="4657" spans="1:11" x14ac:dyDescent="0.25">
      <c r="A4657" t="s">
        <v>15886</v>
      </c>
      <c r="B4657" s="1" t="str">
        <f>HYPERLINK("https://www.catalog.slsa.sa.gov.au/record=b2022758")</f>
        <v>https://www.catalog.slsa.sa.gov.au/record=b2022758</v>
      </c>
      <c r="C4657" s="1" t="str">
        <f>HYPERLINK("https://www.catalog.slsa.sa.gov.au/xrecord=b2022758")</f>
        <v>https://www.catalog.slsa.sa.gov.au/xrecord=b2022758</v>
      </c>
      <c r="E4657" t="s">
        <v>15887</v>
      </c>
      <c r="F4657" t="s">
        <v>1926</v>
      </c>
      <c r="G4657" t="s">
        <v>15164</v>
      </c>
      <c r="H4657" t="s">
        <v>15888</v>
      </c>
      <c r="J4657" t="s">
        <v>15879</v>
      </c>
      <c r="K4657" s="2" t="str">
        <f>HYPERLINK("http://collections.slsa.sa.gov.au/mpcimg/18250/B18192.htm")</f>
        <v>http://collections.slsa.sa.gov.au/mpcimg/18250/B18192.htm</v>
      </c>
    </row>
    <row r="4658" spans="1:11" x14ac:dyDescent="0.25">
      <c r="A4658" t="s">
        <v>15889</v>
      </c>
      <c r="B4658" s="1" t="str">
        <f>HYPERLINK("https://www.catalog.slsa.sa.gov.au/record=b2022759")</f>
        <v>https://www.catalog.slsa.sa.gov.au/record=b2022759</v>
      </c>
      <c r="C4658" s="1" t="str">
        <f>HYPERLINK("https://www.catalog.slsa.sa.gov.au/xrecord=b2022759")</f>
        <v>https://www.catalog.slsa.sa.gov.au/xrecord=b2022759</v>
      </c>
      <c r="E4658" t="s">
        <v>15883</v>
      </c>
      <c r="F4658" t="s">
        <v>1926</v>
      </c>
      <c r="G4658" t="s">
        <v>14809</v>
      </c>
      <c r="H4658" t="s">
        <v>15890</v>
      </c>
      <c r="I4658" t="s">
        <v>15885</v>
      </c>
      <c r="J4658" t="s">
        <v>15879</v>
      </c>
      <c r="K4658" s="2" t="str">
        <f>HYPERLINK("http://collections.slsa.sa.gov.au/mpcimg/35000/B34820.htm")</f>
        <v>http://collections.slsa.sa.gov.au/mpcimg/35000/B34820.htm</v>
      </c>
    </row>
    <row r="4659" spans="1:11" x14ac:dyDescent="0.25">
      <c r="A4659" t="s">
        <v>15891</v>
      </c>
      <c r="B4659" s="1" t="str">
        <f>HYPERLINK("https://www.catalog.slsa.sa.gov.au/record=b2022760")</f>
        <v>https://www.catalog.slsa.sa.gov.au/record=b2022760</v>
      </c>
      <c r="C4659" s="1" t="str">
        <f>HYPERLINK("https://www.catalog.slsa.sa.gov.au/xrecord=b2022760")</f>
        <v>https://www.catalog.slsa.sa.gov.au/xrecord=b2022760</v>
      </c>
      <c r="E4659" t="s">
        <v>15892</v>
      </c>
      <c r="F4659" t="s">
        <v>1926</v>
      </c>
      <c r="G4659" t="s">
        <v>14809</v>
      </c>
      <c r="H4659" t="s">
        <v>15893</v>
      </c>
      <c r="I4659" t="s">
        <v>15885</v>
      </c>
      <c r="J4659" t="s">
        <v>15879</v>
      </c>
      <c r="K4659" s="2" t="str">
        <f>HYPERLINK("http://collections.slsa.sa.gov.au/mpcimg/35000/B34821.htm")</f>
        <v>http://collections.slsa.sa.gov.au/mpcimg/35000/B34821.htm</v>
      </c>
    </row>
    <row r="4660" spans="1:11" x14ac:dyDescent="0.25">
      <c r="A4660" t="s">
        <v>15894</v>
      </c>
      <c r="B4660" s="1" t="str">
        <f>HYPERLINK("https://www.catalog.slsa.sa.gov.au/record=b2023722")</f>
        <v>https://www.catalog.slsa.sa.gov.au/record=b2023722</v>
      </c>
      <c r="C4660" s="1" t="str">
        <f>HYPERLINK("https://www.catalog.slsa.sa.gov.au/xrecord=b2023722")</f>
        <v>https://www.catalog.slsa.sa.gov.au/xrecord=b2023722</v>
      </c>
      <c r="D4660" t="s">
        <v>15895</v>
      </c>
      <c r="E4660" t="s">
        <v>15896</v>
      </c>
      <c r="F4660" t="s">
        <v>1926</v>
      </c>
      <c r="G4660" t="s">
        <v>15897</v>
      </c>
      <c r="H4660" t="s">
        <v>15898</v>
      </c>
      <c r="I4660" t="s">
        <v>15899</v>
      </c>
      <c r="J4660" t="s">
        <v>15900</v>
      </c>
      <c r="K4660" s="2" t="str">
        <f>HYPERLINK("http://collections.slsa.sa.gov.au/mpcimg/46500/B46428.htm")</f>
        <v>http://collections.slsa.sa.gov.au/mpcimg/46500/B46428.htm</v>
      </c>
    </row>
    <row r="4661" spans="1:11" x14ac:dyDescent="0.25">
      <c r="A4661" t="s">
        <v>15901</v>
      </c>
      <c r="B4661" s="1" t="str">
        <f>HYPERLINK("https://www.catalog.slsa.sa.gov.au/record=b2023725")</f>
        <v>https://www.catalog.slsa.sa.gov.au/record=b2023725</v>
      </c>
      <c r="C4661" s="1" t="str">
        <f>HYPERLINK("https://www.catalog.slsa.sa.gov.au/xrecord=b2023725")</f>
        <v>https://www.catalog.slsa.sa.gov.au/xrecord=b2023725</v>
      </c>
      <c r="D4661" t="s">
        <v>15895</v>
      </c>
      <c r="E4661" t="s">
        <v>15902</v>
      </c>
      <c r="F4661" t="s">
        <v>1926</v>
      </c>
      <c r="G4661" t="s">
        <v>15031</v>
      </c>
      <c r="H4661" t="s">
        <v>15903</v>
      </c>
      <c r="I4661" t="s">
        <v>15904</v>
      </c>
      <c r="J4661" t="s">
        <v>15900</v>
      </c>
      <c r="K4661" s="2" t="str">
        <f>HYPERLINK("http://collections.slsa.sa.gov.au/mpcimg/46500/B46432.htm")</f>
        <v>http://collections.slsa.sa.gov.au/mpcimg/46500/B46432.htm</v>
      </c>
    </row>
    <row r="4662" spans="1:11" x14ac:dyDescent="0.25">
      <c r="A4662" t="s">
        <v>15905</v>
      </c>
      <c r="B4662" s="1" t="str">
        <f>HYPERLINK("https://www.catalog.slsa.sa.gov.au/record=b2023743")</f>
        <v>https://www.catalog.slsa.sa.gov.au/record=b2023743</v>
      </c>
      <c r="C4662" s="1" t="str">
        <f>HYPERLINK("https://www.catalog.slsa.sa.gov.au/xrecord=b2023743")</f>
        <v>https://www.catalog.slsa.sa.gov.au/xrecord=b2023743</v>
      </c>
      <c r="E4662" t="s">
        <v>15906</v>
      </c>
      <c r="F4662" t="s">
        <v>1926</v>
      </c>
      <c r="G4662" t="s">
        <v>15907</v>
      </c>
      <c r="H4662" t="s">
        <v>15908</v>
      </c>
      <c r="I4662" t="s">
        <v>15909</v>
      </c>
      <c r="J4662" t="s">
        <v>15900</v>
      </c>
      <c r="K4662" s="2" t="str">
        <f>HYPERLINK("http://collections.slsa.sa.gov.au/mpcimg/47000/B46818.htm")</f>
        <v>http://collections.slsa.sa.gov.au/mpcimg/47000/B46818.htm</v>
      </c>
    </row>
    <row r="4663" spans="1:11" x14ac:dyDescent="0.25">
      <c r="A4663" t="s">
        <v>15910</v>
      </c>
      <c r="B4663" s="1" t="str">
        <f>HYPERLINK("https://www.catalog.slsa.sa.gov.au/record=b2023744")</f>
        <v>https://www.catalog.slsa.sa.gov.au/record=b2023744</v>
      </c>
      <c r="C4663" s="1" t="str">
        <f>HYPERLINK("https://www.catalog.slsa.sa.gov.au/xrecord=b2023744")</f>
        <v>https://www.catalog.slsa.sa.gov.au/xrecord=b2023744</v>
      </c>
      <c r="E4663" t="s">
        <v>15911</v>
      </c>
      <c r="F4663" t="s">
        <v>1926</v>
      </c>
      <c r="G4663" t="s">
        <v>15912</v>
      </c>
      <c r="H4663" t="s">
        <v>15913</v>
      </c>
      <c r="I4663" t="s">
        <v>15914</v>
      </c>
      <c r="J4663" t="s">
        <v>15900</v>
      </c>
      <c r="K4663" s="2" t="str">
        <f>HYPERLINK("http://collections.slsa.sa.gov.au/mpcimg/47000/B46819.htm")</f>
        <v>http://collections.slsa.sa.gov.au/mpcimg/47000/B46819.htm</v>
      </c>
    </row>
    <row r="4664" spans="1:11" x14ac:dyDescent="0.25">
      <c r="A4664" t="s">
        <v>15915</v>
      </c>
      <c r="B4664" s="1" t="str">
        <f>HYPERLINK("https://www.catalog.slsa.sa.gov.au/record=b2024278")</f>
        <v>https://www.catalog.slsa.sa.gov.au/record=b2024278</v>
      </c>
      <c r="C4664" s="1" t="str">
        <f>HYPERLINK("https://www.catalog.slsa.sa.gov.au/xrecord=b2024278")</f>
        <v>https://www.catalog.slsa.sa.gov.au/xrecord=b2024278</v>
      </c>
      <c r="E4664" t="s">
        <v>15916</v>
      </c>
      <c r="F4664" t="s">
        <v>1926</v>
      </c>
      <c r="G4664" t="s">
        <v>15917</v>
      </c>
      <c r="H4664" t="s">
        <v>15918</v>
      </c>
      <c r="J4664" t="s">
        <v>15919</v>
      </c>
      <c r="K4664" s="2" t="str">
        <f>HYPERLINK("http://collections.slsa.sa.gov.au/mpcimg/34750/B34549.htm")</f>
        <v>http://collections.slsa.sa.gov.au/mpcimg/34750/B34549.htm</v>
      </c>
    </row>
    <row r="4665" spans="1:11" x14ac:dyDescent="0.25">
      <c r="A4665" t="s">
        <v>15920</v>
      </c>
      <c r="B4665" s="1" t="str">
        <f>HYPERLINK("https://www.catalog.slsa.sa.gov.au/record=b2024387")</f>
        <v>https://www.catalog.slsa.sa.gov.au/record=b2024387</v>
      </c>
      <c r="C4665" s="1" t="str">
        <f>HYPERLINK("https://www.catalog.slsa.sa.gov.au/xrecord=b2024387")</f>
        <v>https://www.catalog.slsa.sa.gov.au/xrecord=b2024387</v>
      </c>
      <c r="D4665" t="s">
        <v>15039</v>
      </c>
      <c r="E4665" t="s">
        <v>15921</v>
      </c>
      <c r="F4665" t="s">
        <v>1926</v>
      </c>
      <c r="G4665" t="s">
        <v>15922</v>
      </c>
      <c r="H4665" t="s">
        <v>15923</v>
      </c>
      <c r="I4665" t="s">
        <v>15924</v>
      </c>
      <c r="J4665" t="s">
        <v>14873</v>
      </c>
      <c r="K4665" s="2" t="str">
        <f>HYPERLINK("http://collections.slsa.sa.gov.au/mpcimg/00250/B28.htm")</f>
        <v>http://collections.slsa.sa.gov.au/mpcimg/00250/B28.htm</v>
      </c>
    </row>
    <row r="4666" spans="1:11" x14ac:dyDescent="0.25">
      <c r="A4666" t="s">
        <v>15925</v>
      </c>
      <c r="B4666" s="1" t="str">
        <f>HYPERLINK("https://www.catalog.slsa.sa.gov.au/record=b2024436")</f>
        <v>https://www.catalog.slsa.sa.gov.au/record=b2024436</v>
      </c>
      <c r="C4666" s="1" t="str">
        <f>HYPERLINK("https://www.catalog.slsa.sa.gov.au/xrecord=b2024436")</f>
        <v>https://www.catalog.slsa.sa.gov.au/xrecord=b2024436</v>
      </c>
      <c r="E4666" t="s">
        <v>14869</v>
      </c>
      <c r="F4666" t="s">
        <v>1926</v>
      </c>
      <c r="G4666" t="s">
        <v>15926</v>
      </c>
      <c r="H4666" t="s">
        <v>15927</v>
      </c>
      <c r="J4666" t="s">
        <v>14873</v>
      </c>
      <c r="K4666" s="2" t="str">
        <f>HYPERLINK("http://collections.slsa.sa.gov.au/mpcimg/15250/B15179.htm")</f>
        <v>http://collections.slsa.sa.gov.au/mpcimg/15250/B15179.htm</v>
      </c>
    </row>
    <row r="4667" spans="1:11" x14ac:dyDescent="0.25">
      <c r="A4667" t="s">
        <v>15928</v>
      </c>
      <c r="B4667" s="1" t="str">
        <f>HYPERLINK("https://www.catalog.slsa.sa.gov.au/record=b2024834")</f>
        <v>https://www.catalog.slsa.sa.gov.au/record=b2024834</v>
      </c>
      <c r="C4667" s="1" t="str">
        <f>HYPERLINK("https://www.catalog.slsa.sa.gov.au/xrecord=b2024834")</f>
        <v>https://www.catalog.slsa.sa.gov.au/xrecord=b2024834</v>
      </c>
      <c r="E4667" t="s">
        <v>15929</v>
      </c>
      <c r="F4667" t="s">
        <v>1926</v>
      </c>
      <c r="G4667" t="s">
        <v>15930</v>
      </c>
      <c r="H4667" t="s">
        <v>15931</v>
      </c>
      <c r="I4667" t="s">
        <v>15932</v>
      </c>
      <c r="J4667" t="s">
        <v>15933</v>
      </c>
      <c r="K4667" s="2" t="str">
        <f>HYPERLINK("http://collections.slsa.sa.gov.au/mpcimg/30250/B30086.htm")</f>
        <v>http://collections.slsa.sa.gov.au/mpcimg/30250/B30086.htm</v>
      </c>
    </row>
    <row r="4668" spans="1:11" x14ac:dyDescent="0.25">
      <c r="A4668" t="s">
        <v>15934</v>
      </c>
      <c r="B4668" s="1" t="str">
        <f>HYPERLINK("https://www.catalog.slsa.sa.gov.au/record=b2024864")</f>
        <v>https://www.catalog.slsa.sa.gov.au/record=b2024864</v>
      </c>
      <c r="C4668" s="1" t="str">
        <f>HYPERLINK("https://www.catalog.slsa.sa.gov.au/xrecord=b2024864")</f>
        <v>https://www.catalog.slsa.sa.gov.au/xrecord=b2024864</v>
      </c>
      <c r="E4668" t="s">
        <v>15935</v>
      </c>
      <c r="F4668" t="s">
        <v>1926</v>
      </c>
      <c r="G4668" t="s">
        <v>15936</v>
      </c>
      <c r="H4668" t="s">
        <v>15937</v>
      </c>
      <c r="I4668" t="s">
        <v>15938</v>
      </c>
      <c r="J4668" t="s">
        <v>15933</v>
      </c>
      <c r="K4668" s="2" t="str">
        <f>HYPERLINK("http://collections.slsa.sa.gov.au/mpcimg/48250/B48212.htm")</f>
        <v>http://collections.slsa.sa.gov.au/mpcimg/48250/B48212.htm</v>
      </c>
    </row>
    <row r="4669" spans="1:11" x14ac:dyDescent="0.25">
      <c r="A4669" t="s">
        <v>15939</v>
      </c>
      <c r="B4669" s="1" t="str">
        <f>HYPERLINK("https://www.catalog.slsa.sa.gov.au/record=b2024865")</f>
        <v>https://www.catalog.slsa.sa.gov.au/record=b2024865</v>
      </c>
      <c r="C4669" s="1" t="str">
        <f>HYPERLINK("https://www.catalog.slsa.sa.gov.au/xrecord=b2024865")</f>
        <v>https://www.catalog.slsa.sa.gov.au/xrecord=b2024865</v>
      </c>
      <c r="E4669" t="s">
        <v>15940</v>
      </c>
      <c r="F4669" t="s">
        <v>1926</v>
      </c>
      <c r="G4669" t="s">
        <v>15936</v>
      </c>
      <c r="H4669" t="s">
        <v>15941</v>
      </c>
      <c r="I4669" t="s">
        <v>15938</v>
      </c>
      <c r="J4669" t="s">
        <v>15933</v>
      </c>
      <c r="K4669" s="2" t="str">
        <f>HYPERLINK("http://collections.slsa.sa.gov.au/mpcimg/48250/B48213.htm")</f>
        <v>http://collections.slsa.sa.gov.au/mpcimg/48250/B48213.htm</v>
      </c>
    </row>
    <row r="4670" spans="1:11" x14ac:dyDescent="0.25">
      <c r="A4670" t="s">
        <v>15942</v>
      </c>
      <c r="B4670" s="1" t="str">
        <f>HYPERLINK("https://www.catalog.slsa.sa.gov.au/record=b2025238")</f>
        <v>https://www.catalog.slsa.sa.gov.au/record=b2025238</v>
      </c>
      <c r="C4670" s="1" t="str">
        <f>HYPERLINK("https://www.catalog.slsa.sa.gov.au/xrecord=b2025238")</f>
        <v>https://www.catalog.slsa.sa.gov.au/xrecord=b2025238</v>
      </c>
      <c r="E4670" t="s">
        <v>15943</v>
      </c>
      <c r="F4670" t="s">
        <v>1926</v>
      </c>
      <c r="G4670" t="s">
        <v>15944</v>
      </c>
      <c r="H4670" t="s">
        <v>15945</v>
      </c>
      <c r="I4670" t="s">
        <v>15946</v>
      </c>
      <c r="J4670" t="s">
        <v>15947</v>
      </c>
      <c r="K4670" s="2" t="str">
        <f>HYPERLINK("http://collections.slsa.sa.gov.au/mpcimg/30000/B29793.htm")</f>
        <v>http://collections.slsa.sa.gov.au/mpcimg/30000/B29793.htm</v>
      </c>
    </row>
    <row r="4671" spans="1:11" x14ac:dyDescent="0.25">
      <c r="A4671" t="s">
        <v>15948</v>
      </c>
      <c r="B4671" s="1" t="str">
        <f>HYPERLINK("https://www.catalog.slsa.sa.gov.au/record=b2025574")</f>
        <v>https://www.catalog.slsa.sa.gov.au/record=b2025574</v>
      </c>
      <c r="C4671" s="1" t="str">
        <f>HYPERLINK("https://www.catalog.slsa.sa.gov.au/xrecord=b2025574")</f>
        <v>https://www.catalog.slsa.sa.gov.au/xrecord=b2025574</v>
      </c>
      <c r="E4671" t="s">
        <v>15949</v>
      </c>
      <c r="F4671" t="s">
        <v>1926</v>
      </c>
      <c r="G4671" t="s">
        <v>14793</v>
      </c>
      <c r="H4671" t="s">
        <v>15950</v>
      </c>
      <c r="I4671" t="s">
        <v>15951</v>
      </c>
      <c r="J4671" t="s">
        <v>15952</v>
      </c>
      <c r="K4671" s="2" t="str">
        <f>HYPERLINK("http://collections.slsa.sa.gov.au/mpcimg/34000/B33795.htm")</f>
        <v>http://collections.slsa.sa.gov.au/mpcimg/34000/B33795.htm</v>
      </c>
    </row>
    <row r="4672" spans="1:11" x14ac:dyDescent="0.25">
      <c r="A4672" t="s">
        <v>15953</v>
      </c>
      <c r="B4672" s="1" t="str">
        <f>HYPERLINK("https://www.catalog.slsa.sa.gov.au/record=b2025575")</f>
        <v>https://www.catalog.slsa.sa.gov.au/record=b2025575</v>
      </c>
      <c r="C4672" s="1" t="str">
        <f>HYPERLINK("https://www.catalog.slsa.sa.gov.au/xrecord=b2025575")</f>
        <v>https://www.catalog.slsa.sa.gov.au/xrecord=b2025575</v>
      </c>
      <c r="E4672" t="s">
        <v>15954</v>
      </c>
      <c r="F4672" t="s">
        <v>1926</v>
      </c>
      <c r="G4672" t="s">
        <v>15955</v>
      </c>
      <c r="H4672" t="s">
        <v>15956</v>
      </c>
      <c r="I4672" t="s">
        <v>15957</v>
      </c>
      <c r="J4672" t="s">
        <v>15952</v>
      </c>
      <c r="K4672" s="2" t="str">
        <f>HYPERLINK("http://collections.slsa.sa.gov.au/mpcimg/34000/B33796.htm")</f>
        <v>http://collections.slsa.sa.gov.au/mpcimg/34000/B33796.htm</v>
      </c>
    </row>
    <row r="4673" spans="1:11" x14ac:dyDescent="0.25">
      <c r="A4673" t="s">
        <v>15958</v>
      </c>
      <c r="B4673" s="1" t="str">
        <f>HYPERLINK("https://www.catalog.slsa.sa.gov.au/record=b2026345")</f>
        <v>https://www.catalog.slsa.sa.gov.au/record=b2026345</v>
      </c>
      <c r="C4673" s="1" t="str">
        <f>HYPERLINK("https://www.catalog.slsa.sa.gov.au/xrecord=b2026345")</f>
        <v>https://www.catalog.slsa.sa.gov.au/xrecord=b2026345</v>
      </c>
      <c r="E4673" t="s">
        <v>15959</v>
      </c>
      <c r="F4673" t="s">
        <v>1926</v>
      </c>
      <c r="G4673" t="s">
        <v>14793</v>
      </c>
      <c r="H4673" t="s">
        <v>15960</v>
      </c>
      <c r="I4673" t="s">
        <v>15961</v>
      </c>
      <c r="J4673" t="s">
        <v>14886</v>
      </c>
      <c r="K4673" s="2" t="str">
        <f>HYPERLINK("http://collections.slsa.sa.gov.au/mpcimg/30000/B29862.htm")</f>
        <v>http://collections.slsa.sa.gov.au/mpcimg/30000/B29862.htm</v>
      </c>
    </row>
    <row r="4674" spans="1:11" x14ac:dyDescent="0.25">
      <c r="A4674" t="s">
        <v>15962</v>
      </c>
      <c r="B4674" s="1" t="str">
        <f>HYPERLINK("https://www.catalog.slsa.sa.gov.au/record=b2026454")</f>
        <v>https://www.catalog.slsa.sa.gov.au/record=b2026454</v>
      </c>
      <c r="C4674" s="1" t="str">
        <f>HYPERLINK("https://www.catalog.slsa.sa.gov.au/xrecord=b2026454")</f>
        <v>https://www.catalog.slsa.sa.gov.au/xrecord=b2026454</v>
      </c>
      <c r="E4674" t="s">
        <v>14888</v>
      </c>
      <c r="F4674" t="s">
        <v>1926</v>
      </c>
      <c r="G4674" t="s">
        <v>15164</v>
      </c>
      <c r="H4674" t="s">
        <v>15963</v>
      </c>
      <c r="J4674" t="s">
        <v>14892</v>
      </c>
      <c r="K4674" s="2" t="str">
        <f>HYPERLINK("http://collections.slsa.sa.gov.au/mpcimg/18250/B18189.htm")</f>
        <v>http://collections.slsa.sa.gov.au/mpcimg/18250/B18189.htm</v>
      </c>
    </row>
    <row r="4675" spans="1:11" x14ac:dyDescent="0.25">
      <c r="A4675" t="s">
        <v>15964</v>
      </c>
      <c r="B4675" s="1" t="str">
        <f>HYPERLINK("https://www.catalog.slsa.sa.gov.au/record=b2026455")</f>
        <v>https://www.catalog.slsa.sa.gov.au/record=b2026455</v>
      </c>
      <c r="C4675" s="1" t="str">
        <f>HYPERLINK("https://www.catalog.slsa.sa.gov.au/xrecord=b2026455")</f>
        <v>https://www.catalog.slsa.sa.gov.au/xrecord=b2026455</v>
      </c>
      <c r="E4675" t="s">
        <v>15965</v>
      </c>
      <c r="F4675" t="s">
        <v>1926</v>
      </c>
      <c r="G4675" t="s">
        <v>15164</v>
      </c>
      <c r="H4675" t="s">
        <v>15966</v>
      </c>
      <c r="J4675" t="s">
        <v>14892</v>
      </c>
      <c r="K4675" s="2" t="str">
        <f>HYPERLINK("http://collections.slsa.sa.gov.au/mpcimg/18250/B18190.htm")</f>
        <v>http://collections.slsa.sa.gov.au/mpcimg/18250/B18190.htm</v>
      </c>
    </row>
    <row r="4676" spans="1:11" x14ac:dyDescent="0.25">
      <c r="A4676" t="s">
        <v>15967</v>
      </c>
      <c r="B4676" s="1" t="str">
        <f>HYPERLINK("https://www.catalog.slsa.sa.gov.au/record=b2026457")</f>
        <v>https://www.catalog.slsa.sa.gov.au/record=b2026457</v>
      </c>
      <c r="C4676" s="1" t="str">
        <f>HYPERLINK("https://www.catalog.slsa.sa.gov.au/xrecord=b2026457")</f>
        <v>https://www.catalog.slsa.sa.gov.au/xrecord=b2026457</v>
      </c>
      <c r="E4676" t="s">
        <v>14888</v>
      </c>
      <c r="F4676" t="s">
        <v>1926</v>
      </c>
      <c r="G4676" t="s">
        <v>15164</v>
      </c>
      <c r="H4676" t="s">
        <v>15968</v>
      </c>
      <c r="J4676" t="s">
        <v>14892</v>
      </c>
      <c r="K4676" s="2" t="str">
        <f>HYPERLINK("http://collections.slsa.sa.gov.au/mpcimg/18250/B18194.htm")</f>
        <v>http://collections.slsa.sa.gov.au/mpcimg/18250/B18194.htm</v>
      </c>
    </row>
    <row r="4677" spans="1:11" x14ac:dyDescent="0.25">
      <c r="A4677" t="s">
        <v>15969</v>
      </c>
      <c r="B4677" s="1" t="str">
        <f>HYPERLINK("https://www.catalog.slsa.sa.gov.au/record=b2026458")</f>
        <v>https://www.catalog.slsa.sa.gov.au/record=b2026458</v>
      </c>
      <c r="C4677" s="1" t="str">
        <f>HYPERLINK("https://www.catalog.slsa.sa.gov.au/xrecord=b2026458")</f>
        <v>https://www.catalog.slsa.sa.gov.au/xrecord=b2026458</v>
      </c>
      <c r="E4677" t="s">
        <v>14888</v>
      </c>
      <c r="F4677" t="s">
        <v>1926</v>
      </c>
      <c r="G4677" t="s">
        <v>15164</v>
      </c>
      <c r="H4677" t="s">
        <v>15970</v>
      </c>
      <c r="J4677" t="s">
        <v>14892</v>
      </c>
      <c r="K4677" s="2" t="str">
        <f>HYPERLINK("http://collections.slsa.sa.gov.au/mpcimg/18250/B18195.htm")</f>
        <v>http://collections.slsa.sa.gov.au/mpcimg/18250/B18195.htm</v>
      </c>
    </row>
    <row r="4678" spans="1:11" x14ac:dyDescent="0.25">
      <c r="A4678" t="s">
        <v>15971</v>
      </c>
      <c r="B4678" s="1" t="str">
        <f>HYPERLINK("https://www.catalog.slsa.sa.gov.au/record=b2026459")</f>
        <v>https://www.catalog.slsa.sa.gov.au/record=b2026459</v>
      </c>
      <c r="C4678" s="1" t="str">
        <f>HYPERLINK("https://www.catalog.slsa.sa.gov.au/xrecord=b2026459")</f>
        <v>https://www.catalog.slsa.sa.gov.au/xrecord=b2026459</v>
      </c>
      <c r="E4678" t="s">
        <v>14888</v>
      </c>
      <c r="F4678" t="s">
        <v>1926</v>
      </c>
      <c r="G4678" t="s">
        <v>15164</v>
      </c>
      <c r="H4678" t="s">
        <v>15972</v>
      </c>
      <c r="J4678" t="s">
        <v>14892</v>
      </c>
      <c r="K4678" s="2" t="str">
        <f>HYPERLINK("http://collections.slsa.sa.gov.au/mpcimg/18250/B18196.htm")</f>
        <v>http://collections.slsa.sa.gov.au/mpcimg/18250/B18196.htm</v>
      </c>
    </row>
    <row r="4679" spans="1:11" x14ac:dyDescent="0.25">
      <c r="A4679" t="s">
        <v>15973</v>
      </c>
      <c r="B4679" s="1" t="str">
        <f>HYPERLINK("https://www.catalog.slsa.sa.gov.au/record=b2026550")</f>
        <v>https://www.catalog.slsa.sa.gov.au/record=b2026550</v>
      </c>
      <c r="C4679" s="1" t="str">
        <f>HYPERLINK("https://www.catalog.slsa.sa.gov.au/xrecord=b2026550")</f>
        <v>https://www.catalog.slsa.sa.gov.au/xrecord=b2026550</v>
      </c>
      <c r="E4679" t="s">
        <v>15974</v>
      </c>
      <c r="F4679" t="s">
        <v>1926</v>
      </c>
      <c r="G4679" t="s">
        <v>15975</v>
      </c>
      <c r="H4679" t="s">
        <v>15976</v>
      </c>
      <c r="I4679" t="s">
        <v>15977</v>
      </c>
      <c r="J4679" t="s">
        <v>14892</v>
      </c>
      <c r="K4679" s="2" t="str">
        <f>HYPERLINK("http://collections.slsa.sa.gov.au/mpcimg/50000/B49801.htm")</f>
        <v>http://collections.slsa.sa.gov.au/mpcimg/50000/B49801.htm</v>
      </c>
    </row>
    <row r="4680" spans="1:11" x14ac:dyDescent="0.25">
      <c r="A4680" t="s">
        <v>15978</v>
      </c>
      <c r="B4680" s="1" t="str">
        <f>HYPERLINK("https://www.catalog.slsa.sa.gov.au/record=b2027242")</f>
        <v>https://www.catalog.slsa.sa.gov.au/record=b2027242</v>
      </c>
      <c r="C4680" s="1" t="str">
        <f>HYPERLINK("https://www.catalog.slsa.sa.gov.au/xrecord=b2027242")</f>
        <v>https://www.catalog.slsa.sa.gov.au/xrecord=b2027242</v>
      </c>
      <c r="E4680" t="s">
        <v>15979</v>
      </c>
      <c r="F4680" t="s">
        <v>1926</v>
      </c>
      <c r="G4680" t="s">
        <v>15980</v>
      </c>
      <c r="H4680" t="s">
        <v>15981</v>
      </c>
      <c r="I4680" t="s">
        <v>15982</v>
      </c>
      <c r="J4680" t="s">
        <v>15983</v>
      </c>
      <c r="K4680" s="2" t="str">
        <f>HYPERLINK("http://collections.slsa.sa.gov.au/mpcimg/30500/B30314.htm")</f>
        <v>http://collections.slsa.sa.gov.au/mpcimg/30500/B30314.htm</v>
      </c>
    </row>
    <row r="4681" spans="1:11" x14ac:dyDescent="0.25">
      <c r="A4681" t="s">
        <v>15984</v>
      </c>
      <c r="B4681" s="1" t="str">
        <f>HYPERLINK("https://www.catalog.slsa.sa.gov.au/record=b2027486")</f>
        <v>https://www.catalog.slsa.sa.gov.au/record=b2027486</v>
      </c>
      <c r="C4681" s="1" t="str">
        <f>HYPERLINK("https://www.catalog.slsa.sa.gov.au/xrecord=b2027486")</f>
        <v>https://www.catalog.slsa.sa.gov.au/xrecord=b2027486</v>
      </c>
      <c r="D4681" t="s">
        <v>15985</v>
      </c>
      <c r="E4681" t="s">
        <v>15986</v>
      </c>
      <c r="F4681" t="s">
        <v>1926</v>
      </c>
      <c r="G4681" t="s">
        <v>15987</v>
      </c>
      <c r="H4681" t="s">
        <v>15988</v>
      </c>
      <c r="I4681" t="s">
        <v>15989</v>
      </c>
      <c r="J4681" t="s">
        <v>2801</v>
      </c>
      <c r="K4681" s="2" t="str">
        <f>HYPERLINK("http://collections.slsa.sa.gov.au/mpcimg/42250/B42147.htm")</f>
        <v>http://collections.slsa.sa.gov.au/mpcimg/42250/B42147.htm</v>
      </c>
    </row>
    <row r="4682" spans="1:11" x14ac:dyDescent="0.25">
      <c r="A4682" t="s">
        <v>15990</v>
      </c>
      <c r="B4682" s="1" t="str">
        <f>HYPERLINK("https://www.catalog.slsa.sa.gov.au/record=b2027924")</f>
        <v>https://www.catalog.slsa.sa.gov.au/record=b2027924</v>
      </c>
      <c r="C4682" s="1" t="str">
        <f>HYPERLINK("https://www.catalog.slsa.sa.gov.au/xrecord=b2027924")</f>
        <v>https://www.catalog.slsa.sa.gov.au/xrecord=b2027924</v>
      </c>
      <c r="E4682" t="s">
        <v>15991</v>
      </c>
      <c r="F4682" t="s">
        <v>1926</v>
      </c>
      <c r="G4682" t="s">
        <v>15992</v>
      </c>
      <c r="H4682" t="s">
        <v>15993</v>
      </c>
      <c r="I4682" t="s">
        <v>15994</v>
      </c>
      <c r="J4682" t="s">
        <v>14899</v>
      </c>
      <c r="K4682" s="2" t="str">
        <f>HYPERLINK("http://collections.slsa.sa.gov.au/mpcimg/32250/B32222_24.htm")</f>
        <v>http://collections.slsa.sa.gov.au/mpcimg/32250/B32222_24.htm</v>
      </c>
    </row>
    <row r="4683" spans="1:11" x14ac:dyDescent="0.25">
      <c r="A4683" t="s">
        <v>15995</v>
      </c>
      <c r="B4683" s="1" t="str">
        <f>HYPERLINK("https://www.catalog.slsa.sa.gov.au/record=b2027925")</f>
        <v>https://www.catalog.slsa.sa.gov.au/record=b2027925</v>
      </c>
      <c r="C4683" s="1" t="str">
        <f>HYPERLINK("https://www.catalog.slsa.sa.gov.au/xrecord=b2027925")</f>
        <v>https://www.catalog.slsa.sa.gov.au/xrecord=b2027925</v>
      </c>
      <c r="E4683" t="s">
        <v>15996</v>
      </c>
      <c r="F4683" t="s">
        <v>1926</v>
      </c>
      <c r="G4683" t="s">
        <v>15997</v>
      </c>
      <c r="H4683" t="s">
        <v>15998</v>
      </c>
      <c r="I4683" t="s">
        <v>15999</v>
      </c>
      <c r="J4683" t="s">
        <v>14899</v>
      </c>
      <c r="K4683" s="2" t="str">
        <f>HYPERLINK("http://collections.slsa.sa.gov.au/mpcimg/32250/B32222_25.htm")</f>
        <v>http://collections.slsa.sa.gov.au/mpcimg/32250/B32222_25.htm</v>
      </c>
    </row>
    <row r="4684" spans="1:11" x14ac:dyDescent="0.25">
      <c r="A4684" t="s">
        <v>16000</v>
      </c>
      <c r="B4684" s="1" t="str">
        <f>HYPERLINK("https://www.catalog.slsa.sa.gov.au/record=b2027926")</f>
        <v>https://www.catalog.slsa.sa.gov.au/record=b2027926</v>
      </c>
      <c r="C4684" s="1" t="str">
        <f>HYPERLINK("https://www.catalog.slsa.sa.gov.au/xrecord=b2027926")</f>
        <v>https://www.catalog.slsa.sa.gov.au/xrecord=b2027926</v>
      </c>
      <c r="E4684" t="s">
        <v>15996</v>
      </c>
      <c r="F4684" t="s">
        <v>1926</v>
      </c>
      <c r="G4684" t="s">
        <v>16001</v>
      </c>
      <c r="H4684" t="s">
        <v>16002</v>
      </c>
      <c r="I4684" t="s">
        <v>16003</v>
      </c>
      <c r="J4684" t="s">
        <v>14899</v>
      </c>
      <c r="K4684" s="2" t="str">
        <f>HYPERLINK("http://collections.slsa.sa.gov.au/mpcimg/32250/B32222_26.htm")</f>
        <v>http://collections.slsa.sa.gov.au/mpcimg/32250/B32222_26.htm</v>
      </c>
    </row>
    <row r="4685" spans="1:11" x14ac:dyDescent="0.25">
      <c r="A4685" t="s">
        <v>16004</v>
      </c>
      <c r="B4685" s="1" t="str">
        <f>HYPERLINK("https://www.catalog.slsa.sa.gov.au/record=b2027927")</f>
        <v>https://www.catalog.slsa.sa.gov.au/record=b2027927</v>
      </c>
      <c r="C4685" s="1" t="str">
        <f>HYPERLINK("https://www.catalog.slsa.sa.gov.au/xrecord=b2027927")</f>
        <v>https://www.catalog.slsa.sa.gov.au/xrecord=b2027927</v>
      </c>
      <c r="E4685" t="s">
        <v>16005</v>
      </c>
      <c r="F4685" t="s">
        <v>1926</v>
      </c>
      <c r="G4685" t="s">
        <v>16006</v>
      </c>
      <c r="H4685" t="s">
        <v>16007</v>
      </c>
      <c r="I4685" t="s">
        <v>16003</v>
      </c>
      <c r="J4685" t="s">
        <v>14899</v>
      </c>
      <c r="K4685" s="2" t="str">
        <f>HYPERLINK("http://collections.slsa.sa.gov.au/mpcimg/32250/B32222_27.htm")</f>
        <v>http://collections.slsa.sa.gov.au/mpcimg/32250/B32222_27.htm</v>
      </c>
    </row>
    <row r="4686" spans="1:11" x14ac:dyDescent="0.25">
      <c r="A4686" t="s">
        <v>16008</v>
      </c>
      <c r="B4686" s="1" t="str">
        <f>HYPERLINK("https://www.catalog.slsa.sa.gov.au/record=b2027928")</f>
        <v>https://www.catalog.slsa.sa.gov.au/record=b2027928</v>
      </c>
      <c r="C4686" s="1" t="str">
        <f>HYPERLINK("https://www.catalog.slsa.sa.gov.au/xrecord=b2027928")</f>
        <v>https://www.catalog.slsa.sa.gov.au/xrecord=b2027928</v>
      </c>
      <c r="E4686" t="s">
        <v>16005</v>
      </c>
      <c r="F4686" t="s">
        <v>1926</v>
      </c>
      <c r="G4686" t="s">
        <v>16009</v>
      </c>
      <c r="H4686" t="s">
        <v>16007</v>
      </c>
      <c r="I4686" t="s">
        <v>15994</v>
      </c>
      <c r="J4686" t="s">
        <v>14899</v>
      </c>
      <c r="K4686" s="2" t="str">
        <f>HYPERLINK("http://collections.slsa.sa.gov.au/mpcimg/32250/B32222_28.htm")</f>
        <v>http://collections.slsa.sa.gov.au/mpcimg/32250/B32222_28.htm</v>
      </c>
    </row>
    <row r="4687" spans="1:11" x14ac:dyDescent="0.25">
      <c r="A4687" t="s">
        <v>16010</v>
      </c>
      <c r="B4687" s="1" t="str">
        <f>HYPERLINK("https://www.catalog.slsa.sa.gov.au/record=b2028074")</f>
        <v>https://www.catalog.slsa.sa.gov.au/record=b2028074</v>
      </c>
      <c r="C4687" s="1" t="str">
        <f>HYPERLINK("https://www.catalog.slsa.sa.gov.au/xrecord=b2028074")</f>
        <v>https://www.catalog.slsa.sa.gov.au/xrecord=b2028074</v>
      </c>
      <c r="E4687" t="s">
        <v>16011</v>
      </c>
      <c r="F4687" t="s">
        <v>1926</v>
      </c>
      <c r="G4687" t="s">
        <v>14809</v>
      </c>
      <c r="H4687" t="s">
        <v>16012</v>
      </c>
      <c r="I4687" t="s">
        <v>16013</v>
      </c>
      <c r="J4687" t="s">
        <v>16014</v>
      </c>
      <c r="K4687" s="2" t="str">
        <f>HYPERLINK("http://collections.slsa.sa.gov.au/mpcimg/36250/B36156.htm")</f>
        <v>http://collections.slsa.sa.gov.au/mpcimg/36250/B36156.htm</v>
      </c>
    </row>
    <row r="4688" spans="1:11" x14ac:dyDescent="0.25">
      <c r="A4688" t="s">
        <v>16015</v>
      </c>
      <c r="B4688" s="1" t="str">
        <f>HYPERLINK("https://www.catalog.slsa.sa.gov.au/record=b2028075")</f>
        <v>https://www.catalog.slsa.sa.gov.au/record=b2028075</v>
      </c>
      <c r="C4688" s="1" t="str">
        <f>HYPERLINK("https://www.catalog.slsa.sa.gov.au/xrecord=b2028075")</f>
        <v>https://www.catalog.slsa.sa.gov.au/xrecord=b2028075</v>
      </c>
      <c r="E4688" t="s">
        <v>16011</v>
      </c>
      <c r="F4688" t="s">
        <v>1926</v>
      </c>
      <c r="G4688" t="s">
        <v>14809</v>
      </c>
      <c r="H4688" t="s">
        <v>16016</v>
      </c>
      <c r="I4688" t="s">
        <v>16013</v>
      </c>
      <c r="J4688" t="s">
        <v>16014</v>
      </c>
      <c r="K4688" s="2" t="str">
        <f>HYPERLINK("http://collections.slsa.sa.gov.au/mpcimg/36250/B36157.htm")</f>
        <v>http://collections.slsa.sa.gov.au/mpcimg/36250/B36157.htm</v>
      </c>
    </row>
    <row r="4689" spans="1:11" x14ac:dyDescent="0.25">
      <c r="A4689" t="s">
        <v>16017</v>
      </c>
      <c r="B4689" s="1" t="str">
        <f>HYPERLINK("https://www.catalog.slsa.sa.gov.au/record=b2028076")</f>
        <v>https://www.catalog.slsa.sa.gov.au/record=b2028076</v>
      </c>
      <c r="C4689" s="1" t="str">
        <f>HYPERLINK("https://www.catalog.slsa.sa.gov.au/xrecord=b2028076")</f>
        <v>https://www.catalog.slsa.sa.gov.au/xrecord=b2028076</v>
      </c>
      <c r="E4689" t="s">
        <v>16011</v>
      </c>
      <c r="F4689" t="s">
        <v>1926</v>
      </c>
      <c r="G4689" t="s">
        <v>14809</v>
      </c>
      <c r="H4689" t="s">
        <v>16018</v>
      </c>
      <c r="I4689" t="s">
        <v>16013</v>
      </c>
      <c r="J4689" t="s">
        <v>16014</v>
      </c>
      <c r="K4689" s="2" t="str">
        <f>HYPERLINK("http://collections.slsa.sa.gov.au/mpcimg/36250/B36158.htm")</f>
        <v>http://collections.slsa.sa.gov.au/mpcimg/36250/B36158.htm</v>
      </c>
    </row>
    <row r="4690" spans="1:11" x14ac:dyDescent="0.25">
      <c r="A4690" t="s">
        <v>16019</v>
      </c>
      <c r="B4690" s="1" t="str">
        <f>HYPERLINK("https://www.catalog.slsa.sa.gov.au/record=b2028077")</f>
        <v>https://www.catalog.slsa.sa.gov.au/record=b2028077</v>
      </c>
      <c r="C4690" s="1" t="str">
        <f>HYPERLINK("https://www.catalog.slsa.sa.gov.au/xrecord=b2028077")</f>
        <v>https://www.catalog.slsa.sa.gov.au/xrecord=b2028077</v>
      </c>
      <c r="E4690" t="s">
        <v>16020</v>
      </c>
      <c r="F4690" t="s">
        <v>1926</v>
      </c>
      <c r="G4690" t="s">
        <v>14809</v>
      </c>
      <c r="H4690" t="s">
        <v>16021</v>
      </c>
      <c r="I4690" t="s">
        <v>16013</v>
      </c>
      <c r="J4690" t="s">
        <v>16014</v>
      </c>
      <c r="K4690" s="2" t="str">
        <f>HYPERLINK("http://collections.slsa.sa.gov.au/mpcimg/36250/B36159.htm")</f>
        <v>http://collections.slsa.sa.gov.au/mpcimg/36250/B36159.htm</v>
      </c>
    </row>
    <row r="4691" spans="1:11" x14ac:dyDescent="0.25">
      <c r="A4691" t="s">
        <v>16022</v>
      </c>
      <c r="B4691" s="1" t="str">
        <f>HYPERLINK("https://www.catalog.slsa.sa.gov.au/record=b2028078")</f>
        <v>https://www.catalog.slsa.sa.gov.au/record=b2028078</v>
      </c>
      <c r="C4691" s="1" t="str">
        <f>HYPERLINK("https://www.catalog.slsa.sa.gov.au/xrecord=b2028078")</f>
        <v>https://www.catalog.slsa.sa.gov.au/xrecord=b2028078</v>
      </c>
      <c r="E4691" t="s">
        <v>16023</v>
      </c>
      <c r="F4691" t="s">
        <v>1926</v>
      </c>
      <c r="G4691" t="s">
        <v>14809</v>
      </c>
      <c r="H4691" t="s">
        <v>16024</v>
      </c>
      <c r="I4691" t="s">
        <v>16025</v>
      </c>
      <c r="J4691" t="s">
        <v>16014</v>
      </c>
      <c r="K4691" s="2" t="str">
        <f>HYPERLINK("http://collections.slsa.sa.gov.au/mpcimg/36250/B36160.htm")</f>
        <v>http://collections.slsa.sa.gov.au/mpcimg/36250/B36160.htm</v>
      </c>
    </row>
    <row r="4692" spans="1:11" x14ac:dyDescent="0.25">
      <c r="A4692" t="s">
        <v>16026</v>
      </c>
      <c r="B4692" s="1" t="str">
        <f>HYPERLINK("https://www.catalog.slsa.sa.gov.au/record=b2028079")</f>
        <v>https://www.catalog.slsa.sa.gov.au/record=b2028079</v>
      </c>
      <c r="C4692" s="1" t="str">
        <f>HYPERLINK("https://www.catalog.slsa.sa.gov.au/xrecord=b2028079")</f>
        <v>https://www.catalog.slsa.sa.gov.au/xrecord=b2028079</v>
      </c>
      <c r="E4692" t="s">
        <v>16023</v>
      </c>
      <c r="F4692" t="s">
        <v>1926</v>
      </c>
      <c r="G4692" t="s">
        <v>14809</v>
      </c>
      <c r="H4692" t="s">
        <v>16027</v>
      </c>
      <c r="I4692" t="s">
        <v>16025</v>
      </c>
      <c r="J4692" t="s">
        <v>16014</v>
      </c>
      <c r="K4692" s="2" t="str">
        <f>HYPERLINK("http://collections.slsa.sa.gov.au/mpcimg/36250/B36161.htm")</f>
        <v>http://collections.slsa.sa.gov.au/mpcimg/36250/B36161.htm</v>
      </c>
    </row>
    <row r="4693" spans="1:11" x14ac:dyDescent="0.25">
      <c r="A4693" t="s">
        <v>16028</v>
      </c>
      <c r="B4693" s="1" t="str">
        <f>HYPERLINK("https://www.catalog.slsa.sa.gov.au/record=b2028080")</f>
        <v>https://www.catalog.slsa.sa.gov.au/record=b2028080</v>
      </c>
      <c r="C4693" s="1" t="str">
        <f>HYPERLINK("https://www.catalog.slsa.sa.gov.au/xrecord=b2028080")</f>
        <v>https://www.catalog.slsa.sa.gov.au/xrecord=b2028080</v>
      </c>
      <c r="E4693" t="s">
        <v>16023</v>
      </c>
      <c r="F4693" t="s">
        <v>1926</v>
      </c>
      <c r="G4693" t="s">
        <v>14809</v>
      </c>
      <c r="H4693" t="s">
        <v>16029</v>
      </c>
      <c r="I4693" t="s">
        <v>16025</v>
      </c>
      <c r="J4693" t="s">
        <v>16014</v>
      </c>
      <c r="K4693" s="2" t="str">
        <f>HYPERLINK("http://collections.slsa.sa.gov.au/mpcimg/36250/B36162.htm")</f>
        <v>http://collections.slsa.sa.gov.au/mpcimg/36250/B36162.htm</v>
      </c>
    </row>
    <row r="4694" spans="1:11" x14ac:dyDescent="0.25">
      <c r="A4694" t="s">
        <v>16030</v>
      </c>
      <c r="B4694" s="1" t="str">
        <f>HYPERLINK("https://www.catalog.slsa.sa.gov.au/record=b2028081")</f>
        <v>https://www.catalog.slsa.sa.gov.au/record=b2028081</v>
      </c>
      <c r="C4694" s="1" t="str">
        <f>HYPERLINK("https://www.catalog.slsa.sa.gov.au/xrecord=b2028081")</f>
        <v>https://www.catalog.slsa.sa.gov.au/xrecord=b2028081</v>
      </c>
      <c r="E4694" t="s">
        <v>16031</v>
      </c>
      <c r="F4694" t="s">
        <v>1926</v>
      </c>
      <c r="G4694" t="s">
        <v>14809</v>
      </c>
      <c r="H4694" t="s">
        <v>16032</v>
      </c>
      <c r="I4694" t="s">
        <v>16025</v>
      </c>
      <c r="J4694" t="s">
        <v>16014</v>
      </c>
      <c r="K4694" s="2" t="str">
        <f>HYPERLINK("http://collections.slsa.sa.gov.au/mpcimg/36250/B36163.htm")</f>
        <v>http://collections.slsa.sa.gov.au/mpcimg/36250/B36163.htm</v>
      </c>
    </row>
    <row r="4695" spans="1:11" x14ac:dyDescent="0.25">
      <c r="A4695" t="s">
        <v>16033</v>
      </c>
      <c r="B4695" s="1" t="str">
        <f>HYPERLINK("https://www.catalog.slsa.sa.gov.au/record=b2028082")</f>
        <v>https://www.catalog.slsa.sa.gov.au/record=b2028082</v>
      </c>
      <c r="C4695" s="1" t="str">
        <f>HYPERLINK("https://www.catalog.slsa.sa.gov.au/xrecord=b2028082")</f>
        <v>https://www.catalog.slsa.sa.gov.au/xrecord=b2028082</v>
      </c>
      <c r="E4695" t="s">
        <v>16034</v>
      </c>
      <c r="F4695" t="s">
        <v>1926</v>
      </c>
      <c r="G4695" t="s">
        <v>14809</v>
      </c>
      <c r="H4695" t="s">
        <v>16035</v>
      </c>
      <c r="I4695" t="s">
        <v>16025</v>
      </c>
      <c r="J4695" t="s">
        <v>16014</v>
      </c>
      <c r="K4695" s="2" t="str">
        <f>HYPERLINK("http://collections.slsa.sa.gov.au/mpcimg/36250/B36164.htm")</f>
        <v>http://collections.slsa.sa.gov.au/mpcimg/36250/B36164.htm</v>
      </c>
    </row>
    <row r="4696" spans="1:11" x14ac:dyDescent="0.25">
      <c r="A4696" t="s">
        <v>16036</v>
      </c>
      <c r="B4696" s="1" t="str">
        <f>HYPERLINK("https://www.catalog.slsa.sa.gov.au/record=b2028092")</f>
        <v>https://www.catalog.slsa.sa.gov.au/record=b2028092</v>
      </c>
      <c r="C4696" s="1" t="str">
        <f>HYPERLINK("https://www.catalog.slsa.sa.gov.au/xrecord=b2028092")</f>
        <v>https://www.catalog.slsa.sa.gov.au/xrecord=b2028092</v>
      </c>
      <c r="D4696" t="s">
        <v>15039</v>
      </c>
      <c r="E4696" t="s">
        <v>16037</v>
      </c>
      <c r="F4696" t="s">
        <v>1926</v>
      </c>
      <c r="G4696" t="s">
        <v>16038</v>
      </c>
      <c r="H4696" t="s">
        <v>16039</v>
      </c>
      <c r="J4696" t="s">
        <v>16040</v>
      </c>
      <c r="K4696" s="2" t="str">
        <f>HYPERLINK("http://collections.slsa.sa.gov.au/mpcimg/48750/B48539.htm")</f>
        <v>http://collections.slsa.sa.gov.au/mpcimg/48750/B48539.htm</v>
      </c>
    </row>
    <row r="4697" spans="1:11" x14ac:dyDescent="0.25">
      <c r="A4697" t="s">
        <v>16041</v>
      </c>
      <c r="B4697" s="1" t="str">
        <f>HYPERLINK("https://www.catalog.slsa.sa.gov.au/record=b2028667")</f>
        <v>https://www.catalog.slsa.sa.gov.au/record=b2028667</v>
      </c>
      <c r="C4697" s="1" t="str">
        <f>HYPERLINK("https://www.catalog.slsa.sa.gov.au/xrecord=b2028667")</f>
        <v>https://www.catalog.slsa.sa.gov.au/xrecord=b2028667</v>
      </c>
      <c r="E4697" t="s">
        <v>16042</v>
      </c>
      <c r="F4697" t="s">
        <v>1926</v>
      </c>
      <c r="G4697" t="s">
        <v>16043</v>
      </c>
      <c r="H4697" t="s">
        <v>16044</v>
      </c>
      <c r="I4697" t="s">
        <v>16045</v>
      </c>
      <c r="J4697" t="s">
        <v>16046</v>
      </c>
      <c r="K4697" s="2" t="str">
        <f>HYPERLINK("http://collections.slsa.sa.gov.au/mpcimg/35750/B35532.htm")</f>
        <v>http://collections.slsa.sa.gov.au/mpcimg/35750/B35532.htm</v>
      </c>
    </row>
    <row r="4698" spans="1:11" x14ac:dyDescent="0.25">
      <c r="A4698" t="s">
        <v>16047</v>
      </c>
      <c r="B4698" s="1" t="str">
        <f>HYPERLINK("https://www.catalog.slsa.sa.gov.au/record=b2028668")</f>
        <v>https://www.catalog.slsa.sa.gov.au/record=b2028668</v>
      </c>
      <c r="C4698" s="1" t="str">
        <f>HYPERLINK("https://www.catalog.slsa.sa.gov.au/xrecord=b2028668")</f>
        <v>https://www.catalog.slsa.sa.gov.au/xrecord=b2028668</v>
      </c>
      <c r="E4698" t="s">
        <v>16042</v>
      </c>
      <c r="F4698" t="s">
        <v>1926</v>
      </c>
      <c r="G4698" t="s">
        <v>16048</v>
      </c>
      <c r="H4698" t="s">
        <v>16049</v>
      </c>
      <c r="I4698" t="s">
        <v>16050</v>
      </c>
      <c r="J4698" t="s">
        <v>16046</v>
      </c>
      <c r="K4698" s="2" t="str">
        <f>HYPERLINK("http://collections.slsa.sa.gov.au/mpcimg/35750/B35533.htm")</f>
        <v>http://collections.slsa.sa.gov.au/mpcimg/35750/B35533.htm</v>
      </c>
    </row>
    <row r="4699" spans="1:11" x14ac:dyDescent="0.25">
      <c r="A4699" t="s">
        <v>16051</v>
      </c>
      <c r="B4699" s="1" t="str">
        <f>HYPERLINK("https://www.catalog.slsa.sa.gov.au/record=b2028696")</f>
        <v>https://www.catalog.slsa.sa.gov.au/record=b2028696</v>
      </c>
      <c r="C4699" s="1" t="str">
        <f>HYPERLINK("https://www.catalog.slsa.sa.gov.au/xrecord=b2028696")</f>
        <v>https://www.catalog.slsa.sa.gov.au/xrecord=b2028696</v>
      </c>
      <c r="E4699" t="s">
        <v>16052</v>
      </c>
      <c r="F4699" t="s">
        <v>1926</v>
      </c>
      <c r="G4699" t="s">
        <v>16053</v>
      </c>
      <c r="H4699" t="s">
        <v>16054</v>
      </c>
      <c r="I4699" t="s">
        <v>16055</v>
      </c>
      <c r="J4699" t="s">
        <v>16056</v>
      </c>
      <c r="K4699" s="2" t="str">
        <f>HYPERLINK("http://collections.slsa.sa.gov.au/mpcimg/40250/B40140.htm")</f>
        <v>http://collections.slsa.sa.gov.au/mpcimg/40250/B40140.htm</v>
      </c>
    </row>
    <row r="4700" spans="1:11" x14ac:dyDescent="0.25">
      <c r="A4700" t="s">
        <v>16057</v>
      </c>
      <c r="B4700" s="1" t="str">
        <f>HYPERLINK("https://www.catalog.slsa.sa.gov.au/record=b2028933")</f>
        <v>https://www.catalog.slsa.sa.gov.au/record=b2028933</v>
      </c>
      <c r="C4700" s="1" t="str">
        <f>HYPERLINK("https://www.catalog.slsa.sa.gov.au/xrecord=b2028933")</f>
        <v>https://www.catalog.slsa.sa.gov.au/xrecord=b2028933</v>
      </c>
      <c r="E4700" t="s">
        <v>15235</v>
      </c>
      <c r="F4700" t="s">
        <v>1926</v>
      </c>
      <c r="G4700" t="s">
        <v>16058</v>
      </c>
      <c r="H4700" t="s">
        <v>16059</v>
      </c>
      <c r="I4700" t="s">
        <v>16060</v>
      </c>
      <c r="J4700" t="s">
        <v>2510</v>
      </c>
      <c r="K4700" s="2" t="str">
        <f>HYPERLINK("http://collections.slsa.sa.gov.au/mpcimg/31250/B31150.htm")</f>
        <v>http://collections.slsa.sa.gov.au/mpcimg/31250/B31150.htm</v>
      </c>
    </row>
    <row r="4701" spans="1:11" x14ac:dyDescent="0.25">
      <c r="A4701" t="s">
        <v>16061</v>
      </c>
      <c r="B4701" s="1" t="str">
        <f>HYPERLINK("https://www.catalog.slsa.sa.gov.au/record=b2029261")</f>
        <v>https://www.catalog.slsa.sa.gov.au/record=b2029261</v>
      </c>
      <c r="C4701" s="1" t="str">
        <f>HYPERLINK("https://www.catalog.slsa.sa.gov.au/xrecord=b2029261")</f>
        <v>https://www.catalog.slsa.sa.gov.au/xrecord=b2029261</v>
      </c>
      <c r="E4701" t="s">
        <v>16062</v>
      </c>
      <c r="F4701" t="s">
        <v>1926</v>
      </c>
      <c r="G4701" t="s">
        <v>14809</v>
      </c>
      <c r="H4701" t="s">
        <v>16063</v>
      </c>
      <c r="I4701" t="s">
        <v>16064</v>
      </c>
      <c r="J4701" t="s">
        <v>16065</v>
      </c>
      <c r="K4701" s="2" t="str">
        <f>HYPERLINK("http://collections.slsa.sa.gov.au/mpcimg/37250/B37001.htm")</f>
        <v>http://collections.slsa.sa.gov.au/mpcimg/37250/B37001.htm</v>
      </c>
    </row>
    <row r="4702" spans="1:11" x14ac:dyDescent="0.25">
      <c r="A4702" t="s">
        <v>16066</v>
      </c>
      <c r="B4702" s="1" t="str">
        <f>HYPERLINK("https://www.catalog.slsa.sa.gov.au/record=b2029425")</f>
        <v>https://www.catalog.slsa.sa.gov.au/record=b2029425</v>
      </c>
      <c r="C4702" s="1" t="str">
        <f>HYPERLINK("https://www.catalog.slsa.sa.gov.au/xrecord=b2029425")</f>
        <v>https://www.catalog.slsa.sa.gov.au/xrecord=b2029425</v>
      </c>
      <c r="E4702" t="s">
        <v>16067</v>
      </c>
      <c r="F4702" t="s">
        <v>1926</v>
      </c>
      <c r="G4702" t="s">
        <v>16068</v>
      </c>
      <c r="H4702" t="s">
        <v>16069</v>
      </c>
      <c r="I4702" t="s">
        <v>16070</v>
      </c>
      <c r="J4702" t="s">
        <v>15614</v>
      </c>
      <c r="K4702" s="2" t="str">
        <f>HYPERLINK("http://collections.slsa.sa.gov.au/mpcimg/24250/B24080.htm")</f>
        <v>http://collections.slsa.sa.gov.au/mpcimg/24250/B24080.htm</v>
      </c>
    </row>
    <row r="4703" spans="1:11" x14ac:dyDescent="0.25">
      <c r="A4703" t="s">
        <v>16071</v>
      </c>
      <c r="B4703" s="1" t="str">
        <f>HYPERLINK("https://www.catalog.slsa.sa.gov.au/record=b2029696")</f>
        <v>https://www.catalog.slsa.sa.gov.au/record=b2029696</v>
      </c>
      <c r="C4703" s="1" t="str">
        <f>HYPERLINK("https://www.catalog.slsa.sa.gov.au/xrecord=b2029696")</f>
        <v>https://www.catalog.slsa.sa.gov.au/xrecord=b2029696</v>
      </c>
      <c r="E4703" t="s">
        <v>16072</v>
      </c>
      <c r="F4703" t="s">
        <v>1926</v>
      </c>
      <c r="G4703" t="s">
        <v>16073</v>
      </c>
      <c r="H4703" t="s">
        <v>16074</v>
      </c>
      <c r="I4703" t="s">
        <v>16075</v>
      </c>
      <c r="J4703" t="s">
        <v>16076</v>
      </c>
      <c r="K4703" s="2" t="str">
        <f>HYPERLINK("http://collections.slsa.sa.gov.au/mpcimg/35500/B35302.htm")</f>
        <v>http://collections.slsa.sa.gov.au/mpcimg/35500/B35302.htm</v>
      </c>
    </row>
    <row r="4704" spans="1:11" x14ac:dyDescent="0.25">
      <c r="A4704" t="s">
        <v>16077</v>
      </c>
      <c r="B4704" s="1" t="str">
        <f>HYPERLINK("https://www.catalog.slsa.sa.gov.au/record=b2029871")</f>
        <v>https://www.catalog.slsa.sa.gov.au/record=b2029871</v>
      </c>
      <c r="C4704" s="1" t="str">
        <f>HYPERLINK("https://www.catalog.slsa.sa.gov.au/xrecord=b2029871")</f>
        <v>https://www.catalog.slsa.sa.gov.au/xrecord=b2029871</v>
      </c>
      <c r="E4704" t="s">
        <v>16078</v>
      </c>
      <c r="F4704" t="s">
        <v>1926</v>
      </c>
      <c r="G4704" t="s">
        <v>16079</v>
      </c>
      <c r="H4704" t="s">
        <v>16080</v>
      </c>
      <c r="I4704" t="s">
        <v>16081</v>
      </c>
      <c r="J4704" t="s">
        <v>14916</v>
      </c>
      <c r="K4704" s="2" t="str">
        <f>HYPERLINK("http://collections.slsa.sa.gov.au/mpcimg/41500/B41388.htm")</f>
        <v>http://collections.slsa.sa.gov.au/mpcimg/41500/B41388.htm</v>
      </c>
    </row>
    <row r="4705" spans="1:11" x14ac:dyDescent="0.25">
      <c r="A4705" t="s">
        <v>16082</v>
      </c>
      <c r="B4705" s="1" t="str">
        <f>HYPERLINK("https://www.catalog.slsa.sa.gov.au/record=b2029888")</f>
        <v>https://www.catalog.slsa.sa.gov.au/record=b2029888</v>
      </c>
      <c r="C4705" s="1" t="str">
        <f>HYPERLINK("https://www.catalog.slsa.sa.gov.au/xrecord=b2029888")</f>
        <v>https://www.catalog.slsa.sa.gov.au/xrecord=b2029888</v>
      </c>
      <c r="E4705" t="s">
        <v>16078</v>
      </c>
      <c r="F4705" t="s">
        <v>1926</v>
      </c>
      <c r="G4705" t="s">
        <v>16083</v>
      </c>
      <c r="H4705" t="s">
        <v>16084</v>
      </c>
      <c r="I4705" t="s">
        <v>16085</v>
      </c>
      <c r="J4705" t="s">
        <v>14916</v>
      </c>
      <c r="K4705" s="2" t="str">
        <f>HYPERLINK("http://collections.slsa.sa.gov.au/mpcimg/41500/B41405.htm")</f>
        <v>http://collections.slsa.sa.gov.au/mpcimg/41500/B41405.htm</v>
      </c>
    </row>
    <row r="4706" spans="1:11" x14ac:dyDescent="0.25">
      <c r="A4706" t="s">
        <v>16086</v>
      </c>
      <c r="B4706" s="1" t="str">
        <f>HYPERLINK("https://www.catalog.slsa.sa.gov.au/record=b2029906")</f>
        <v>https://www.catalog.slsa.sa.gov.au/record=b2029906</v>
      </c>
      <c r="C4706" s="1" t="str">
        <f>HYPERLINK("https://www.catalog.slsa.sa.gov.au/xrecord=b2029906")</f>
        <v>https://www.catalog.slsa.sa.gov.au/xrecord=b2029906</v>
      </c>
      <c r="E4706" t="s">
        <v>16087</v>
      </c>
      <c r="F4706" t="s">
        <v>1926</v>
      </c>
      <c r="G4706" t="s">
        <v>16088</v>
      </c>
      <c r="H4706" t="s">
        <v>16089</v>
      </c>
      <c r="I4706" t="s">
        <v>16090</v>
      </c>
      <c r="J4706" t="s">
        <v>14916</v>
      </c>
      <c r="K4706" s="2" t="str">
        <f>HYPERLINK("http://collections.slsa.sa.gov.au/mpcimg/41500/B41424.htm")</f>
        <v>http://collections.slsa.sa.gov.au/mpcimg/41500/B41424.htm</v>
      </c>
    </row>
    <row r="4707" spans="1:11" x14ac:dyDescent="0.25">
      <c r="A4707" t="s">
        <v>16091</v>
      </c>
      <c r="B4707" s="1" t="str">
        <f>HYPERLINK("https://www.catalog.slsa.sa.gov.au/record=b2029907")</f>
        <v>https://www.catalog.slsa.sa.gov.au/record=b2029907</v>
      </c>
      <c r="C4707" s="1" t="str">
        <f>HYPERLINK("https://www.catalog.slsa.sa.gov.au/xrecord=b2029907")</f>
        <v>https://www.catalog.slsa.sa.gov.au/xrecord=b2029907</v>
      </c>
      <c r="E4707" t="s">
        <v>16092</v>
      </c>
      <c r="F4707" t="s">
        <v>1926</v>
      </c>
      <c r="G4707" t="s">
        <v>16093</v>
      </c>
      <c r="H4707" t="s">
        <v>16094</v>
      </c>
      <c r="I4707" t="s">
        <v>16095</v>
      </c>
      <c r="J4707" t="s">
        <v>14916</v>
      </c>
      <c r="K4707" s="2" t="str">
        <f>HYPERLINK("http://collections.slsa.sa.gov.au/mpcimg/41500/B41425.htm")</f>
        <v>http://collections.slsa.sa.gov.au/mpcimg/41500/B41425.htm</v>
      </c>
    </row>
    <row r="4708" spans="1:11" x14ac:dyDescent="0.25">
      <c r="A4708" t="s">
        <v>16096</v>
      </c>
      <c r="B4708" s="1" t="str">
        <f>HYPERLINK("https://www.catalog.slsa.sa.gov.au/record=b2030000")</f>
        <v>https://www.catalog.slsa.sa.gov.au/record=b2030000</v>
      </c>
      <c r="C4708" s="1" t="str">
        <f>HYPERLINK("https://www.catalog.slsa.sa.gov.au/xrecord=b2030000")</f>
        <v>https://www.catalog.slsa.sa.gov.au/xrecord=b2030000</v>
      </c>
      <c r="E4708" t="s">
        <v>16097</v>
      </c>
      <c r="F4708" t="s">
        <v>1926</v>
      </c>
      <c r="G4708" t="s">
        <v>16098</v>
      </c>
      <c r="H4708" t="s">
        <v>16099</v>
      </c>
      <c r="I4708" t="s">
        <v>16100</v>
      </c>
      <c r="J4708" t="s">
        <v>14916</v>
      </c>
      <c r="K4708" s="2" t="str">
        <f>HYPERLINK("http://collections.slsa.sa.gov.au/mpcimg/41750/B41518.htm")</f>
        <v>http://collections.slsa.sa.gov.au/mpcimg/41750/B41518.htm</v>
      </c>
    </row>
    <row r="4709" spans="1:11" x14ac:dyDescent="0.25">
      <c r="A4709" t="s">
        <v>16101</v>
      </c>
      <c r="B4709" s="1" t="str">
        <f>HYPERLINK("https://www.catalog.slsa.sa.gov.au/record=b2030048")</f>
        <v>https://www.catalog.slsa.sa.gov.au/record=b2030048</v>
      </c>
      <c r="C4709" s="1" t="str">
        <f>HYPERLINK("https://www.catalog.slsa.sa.gov.au/xrecord=b2030048")</f>
        <v>https://www.catalog.slsa.sa.gov.au/xrecord=b2030048</v>
      </c>
      <c r="E4709" t="s">
        <v>16102</v>
      </c>
      <c r="F4709" t="s">
        <v>1926</v>
      </c>
      <c r="G4709" t="s">
        <v>16103</v>
      </c>
      <c r="H4709" t="s">
        <v>16104</v>
      </c>
      <c r="I4709" t="s">
        <v>16105</v>
      </c>
      <c r="J4709" t="s">
        <v>14916</v>
      </c>
      <c r="K4709" s="2" t="str">
        <f>HYPERLINK("http://collections.slsa.sa.gov.au/mpcimg/41750/B41566.htm")</f>
        <v>http://collections.slsa.sa.gov.au/mpcimg/41750/B41566.htm</v>
      </c>
    </row>
    <row r="4710" spans="1:11" x14ac:dyDescent="0.25">
      <c r="A4710" t="s">
        <v>16106</v>
      </c>
      <c r="B4710" s="1" t="str">
        <f>HYPERLINK("https://www.catalog.slsa.sa.gov.au/record=b2030148")</f>
        <v>https://www.catalog.slsa.sa.gov.au/record=b2030148</v>
      </c>
      <c r="C4710" s="1" t="str">
        <f>HYPERLINK("https://www.catalog.slsa.sa.gov.au/xrecord=b2030148")</f>
        <v>https://www.catalog.slsa.sa.gov.au/xrecord=b2030148</v>
      </c>
      <c r="D4710" t="s">
        <v>16107</v>
      </c>
      <c r="E4710" t="s">
        <v>16108</v>
      </c>
      <c r="F4710" t="s">
        <v>1926</v>
      </c>
      <c r="G4710" t="s">
        <v>14809</v>
      </c>
      <c r="H4710" t="s">
        <v>16109</v>
      </c>
      <c r="I4710" t="s">
        <v>16110</v>
      </c>
      <c r="J4710" t="s">
        <v>16111</v>
      </c>
      <c r="K4710" s="2" t="str">
        <f>HYPERLINK("http://collections.slsa.sa.gov.au/mpcimg/40000/B39884.htm")</f>
        <v>http://collections.slsa.sa.gov.au/mpcimg/40000/B39884.htm</v>
      </c>
    </row>
    <row r="4711" spans="1:11" x14ac:dyDescent="0.25">
      <c r="A4711" t="s">
        <v>16112</v>
      </c>
      <c r="B4711" s="1" t="str">
        <f>HYPERLINK("https://www.catalog.slsa.sa.gov.au/record=b2030697")</f>
        <v>https://www.catalog.slsa.sa.gov.au/record=b2030697</v>
      </c>
      <c r="C4711" s="1" t="str">
        <f>HYPERLINK("https://www.catalog.slsa.sa.gov.au/xrecord=b2030697")</f>
        <v>https://www.catalog.slsa.sa.gov.au/xrecord=b2030697</v>
      </c>
      <c r="E4711" t="s">
        <v>16113</v>
      </c>
      <c r="F4711" t="s">
        <v>1926</v>
      </c>
      <c r="G4711" t="s">
        <v>15147</v>
      </c>
      <c r="H4711" t="s">
        <v>16114</v>
      </c>
      <c r="I4711" t="s">
        <v>16115</v>
      </c>
      <c r="J4711" t="s">
        <v>16116</v>
      </c>
      <c r="K4711" s="2" t="str">
        <f>HYPERLINK("http://collections.slsa.sa.gov.au/mpcimg/39500/B39256.htm")</f>
        <v>http://collections.slsa.sa.gov.au/mpcimg/39500/B39256.htm</v>
      </c>
    </row>
    <row r="4712" spans="1:11" x14ac:dyDescent="0.25">
      <c r="A4712" t="s">
        <v>16117</v>
      </c>
      <c r="B4712" s="1" t="str">
        <f>HYPERLINK("https://www.catalog.slsa.sa.gov.au/record=b2030872")</f>
        <v>https://www.catalog.slsa.sa.gov.au/record=b2030872</v>
      </c>
      <c r="C4712" s="1" t="str">
        <f>HYPERLINK("https://www.catalog.slsa.sa.gov.au/xrecord=b2030872")</f>
        <v>https://www.catalog.slsa.sa.gov.au/xrecord=b2030872</v>
      </c>
      <c r="E4712" t="s">
        <v>16118</v>
      </c>
      <c r="F4712" t="s">
        <v>1926</v>
      </c>
      <c r="G4712" t="s">
        <v>16119</v>
      </c>
      <c r="H4712" t="s">
        <v>16120</v>
      </c>
      <c r="I4712" t="s">
        <v>16121</v>
      </c>
      <c r="J4712" t="s">
        <v>16122</v>
      </c>
      <c r="K4712" s="2" t="str">
        <f>HYPERLINK("http://collections.slsa.sa.gov.au/mpcimg/33750/B33642.htm")</f>
        <v>http://collections.slsa.sa.gov.au/mpcimg/33750/B33642.htm</v>
      </c>
    </row>
    <row r="4713" spans="1:11" x14ac:dyDescent="0.25">
      <c r="A4713" t="s">
        <v>16123</v>
      </c>
      <c r="B4713" s="1" t="str">
        <f>HYPERLINK("https://www.catalog.slsa.sa.gov.au/record=b2030923")</f>
        <v>https://www.catalog.slsa.sa.gov.au/record=b2030923</v>
      </c>
      <c r="C4713" s="1" t="str">
        <f>HYPERLINK("https://www.catalog.slsa.sa.gov.au/xrecord=b2030923")</f>
        <v>https://www.catalog.slsa.sa.gov.au/xrecord=b2030923</v>
      </c>
      <c r="E4713" t="s">
        <v>16124</v>
      </c>
      <c r="F4713" t="s">
        <v>1926</v>
      </c>
      <c r="G4713" t="s">
        <v>16125</v>
      </c>
      <c r="H4713" t="s">
        <v>16126</v>
      </c>
      <c r="I4713" t="s">
        <v>16127</v>
      </c>
      <c r="J4713" t="s">
        <v>16128</v>
      </c>
      <c r="K4713" s="2" t="str">
        <f>HYPERLINK("http://collections.slsa.sa.gov.au/mpcimg/43000/B42892.htm")</f>
        <v>http://collections.slsa.sa.gov.au/mpcimg/43000/B42892.htm</v>
      </c>
    </row>
    <row r="4714" spans="1:11" x14ac:dyDescent="0.25">
      <c r="A4714" t="s">
        <v>16129</v>
      </c>
      <c r="B4714" s="1" t="str">
        <f>HYPERLINK("https://www.catalog.slsa.sa.gov.au/record=b2031499")</f>
        <v>https://www.catalog.slsa.sa.gov.au/record=b2031499</v>
      </c>
      <c r="C4714" s="1" t="str">
        <f>HYPERLINK("https://www.catalog.slsa.sa.gov.au/xrecord=b2031499")</f>
        <v>https://www.catalog.slsa.sa.gov.au/xrecord=b2031499</v>
      </c>
      <c r="E4714" t="s">
        <v>16130</v>
      </c>
      <c r="F4714" t="s">
        <v>1926</v>
      </c>
      <c r="G4714" t="s">
        <v>16131</v>
      </c>
      <c r="H4714" t="s">
        <v>16132</v>
      </c>
      <c r="I4714" t="s">
        <v>16133</v>
      </c>
      <c r="J4714" t="s">
        <v>2963</v>
      </c>
      <c r="K4714" s="2" t="str">
        <f>HYPERLINK("http://collections.slsa.sa.gov.au/mpcimg/20000/B19986.htm")</f>
        <v>http://collections.slsa.sa.gov.au/mpcimg/20000/B19986.htm</v>
      </c>
    </row>
    <row r="4715" spans="1:11" x14ac:dyDescent="0.25">
      <c r="A4715" t="s">
        <v>16134</v>
      </c>
      <c r="B4715" s="1" t="str">
        <f>HYPERLINK("https://www.catalog.slsa.sa.gov.au/record=b2031659")</f>
        <v>https://www.catalog.slsa.sa.gov.au/record=b2031659</v>
      </c>
      <c r="C4715" s="1" t="str">
        <f>HYPERLINK("https://www.catalog.slsa.sa.gov.au/xrecord=b2031659")</f>
        <v>https://www.catalog.slsa.sa.gov.au/xrecord=b2031659</v>
      </c>
      <c r="E4715" t="s">
        <v>16135</v>
      </c>
      <c r="F4715" t="s">
        <v>1926</v>
      </c>
      <c r="G4715" t="s">
        <v>5463</v>
      </c>
      <c r="H4715" t="s">
        <v>16136</v>
      </c>
      <c r="I4715" t="s">
        <v>13129</v>
      </c>
      <c r="J4715" t="s">
        <v>2963</v>
      </c>
      <c r="K4715" s="2" t="str">
        <f>HYPERLINK("http://collections.slsa.sa.gov.au/mpcimg/25750/B25562.htm")</f>
        <v>http://collections.slsa.sa.gov.au/mpcimg/25750/B25562.htm</v>
      </c>
    </row>
    <row r="4716" spans="1:11" x14ac:dyDescent="0.25">
      <c r="A4716" t="s">
        <v>16137</v>
      </c>
      <c r="B4716" s="1" t="str">
        <f>HYPERLINK("https://www.catalog.slsa.sa.gov.au/record=b2031697")</f>
        <v>https://www.catalog.slsa.sa.gov.au/record=b2031697</v>
      </c>
      <c r="C4716" s="1" t="str">
        <f>HYPERLINK("https://www.catalog.slsa.sa.gov.au/xrecord=b2031697")</f>
        <v>https://www.catalog.slsa.sa.gov.au/xrecord=b2031697</v>
      </c>
      <c r="E4716" t="s">
        <v>16138</v>
      </c>
      <c r="F4716" t="s">
        <v>1926</v>
      </c>
      <c r="G4716" t="s">
        <v>16139</v>
      </c>
      <c r="H4716" t="s">
        <v>16140</v>
      </c>
      <c r="I4716" t="s">
        <v>123</v>
      </c>
      <c r="J4716" t="s">
        <v>2963</v>
      </c>
      <c r="K4716" s="2" t="str">
        <f>HYPERLINK("http://collections.slsa.sa.gov.au/mpcimg/36000/B35985.htm")</f>
        <v>http://collections.slsa.sa.gov.au/mpcimg/36000/B35985.htm</v>
      </c>
    </row>
    <row r="4717" spans="1:11" x14ac:dyDescent="0.25">
      <c r="A4717" t="s">
        <v>16141</v>
      </c>
      <c r="B4717" s="1" t="str">
        <f>HYPERLINK("https://www.catalog.slsa.sa.gov.au/record=b2032007")</f>
        <v>https://www.catalog.slsa.sa.gov.au/record=b2032007</v>
      </c>
      <c r="C4717" s="1" t="str">
        <f>HYPERLINK("https://www.catalog.slsa.sa.gov.au/xrecord=b2032007")</f>
        <v>https://www.catalog.slsa.sa.gov.au/xrecord=b2032007</v>
      </c>
      <c r="E4717" t="s">
        <v>16142</v>
      </c>
      <c r="F4717" t="s">
        <v>1926</v>
      </c>
      <c r="G4717" t="s">
        <v>16143</v>
      </c>
      <c r="H4717" t="s">
        <v>16144</v>
      </c>
      <c r="J4717" t="s">
        <v>2963</v>
      </c>
      <c r="K4717" s="2" t="str">
        <f>HYPERLINK("http://collections.slsa.sa.gov.au/mpcimg/42250/B42139.htm")</f>
        <v>http://collections.slsa.sa.gov.au/mpcimg/42250/B42139.htm</v>
      </c>
    </row>
    <row r="4718" spans="1:11" x14ac:dyDescent="0.25">
      <c r="A4718" t="s">
        <v>16145</v>
      </c>
      <c r="B4718" s="1" t="str">
        <f>HYPERLINK("https://www.catalog.slsa.sa.gov.au/record=b2032008")</f>
        <v>https://www.catalog.slsa.sa.gov.au/record=b2032008</v>
      </c>
      <c r="C4718" s="1" t="str">
        <f>HYPERLINK("https://www.catalog.slsa.sa.gov.au/xrecord=b2032008")</f>
        <v>https://www.catalog.slsa.sa.gov.au/xrecord=b2032008</v>
      </c>
      <c r="E4718" t="s">
        <v>16146</v>
      </c>
      <c r="F4718" t="s">
        <v>1926</v>
      </c>
      <c r="G4718" t="s">
        <v>16143</v>
      </c>
      <c r="H4718" t="s">
        <v>16147</v>
      </c>
      <c r="J4718" t="s">
        <v>2963</v>
      </c>
      <c r="K4718" s="2" t="str">
        <f>HYPERLINK("http://collections.slsa.sa.gov.au/mpcimg/42250/B42140.htm")</f>
        <v>http://collections.slsa.sa.gov.au/mpcimg/42250/B42140.htm</v>
      </c>
    </row>
    <row r="4719" spans="1:11" x14ac:dyDescent="0.25">
      <c r="A4719" t="s">
        <v>16148</v>
      </c>
      <c r="B4719" s="1" t="str">
        <f>HYPERLINK("https://www.catalog.slsa.sa.gov.au/record=b2032009")</f>
        <v>https://www.catalog.slsa.sa.gov.au/record=b2032009</v>
      </c>
      <c r="C4719" s="1" t="str">
        <f>HYPERLINK("https://www.catalog.slsa.sa.gov.au/xrecord=b2032009")</f>
        <v>https://www.catalog.slsa.sa.gov.au/xrecord=b2032009</v>
      </c>
      <c r="E4719" t="s">
        <v>16149</v>
      </c>
      <c r="F4719" t="s">
        <v>1926</v>
      </c>
      <c r="G4719" t="s">
        <v>16143</v>
      </c>
      <c r="H4719" t="s">
        <v>16150</v>
      </c>
      <c r="J4719" t="s">
        <v>2963</v>
      </c>
      <c r="K4719" s="2" t="str">
        <f>HYPERLINK("http://collections.slsa.sa.gov.au/mpcimg/42250/B42141.htm")</f>
        <v>http://collections.slsa.sa.gov.au/mpcimg/42250/B42141.htm</v>
      </c>
    </row>
    <row r="4720" spans="1:11" x14ac:dyDescent="0.25">
      <c r="A4720" t="s">
        <v>16151</v>
      </c>
      <c r="B4720" s="1" t="str">
        <f>HYPERLINK("https://www.catalog.slsa.sa.gov.au/record=b2032010")</f>
        <v>https://www.catalog.slsa.sa.gov.au/record=b2032010</v>
      </c>
      <c r="C4720" s="1" t="str">
        <f>HYPERLINK("https://www.catalog.slsa.sa.gov.au/xrecord=b2032010")</f>
        <v>https://www.catalog.slsa.sa.gov.au/xrecord=b2032010</v>
      </c>
      <c r="E4720" t="s">
        <v>16152</v>
      </c>
      <c r="F4720" t="s">
        <v>1926</v>
      </c>
      <c r="G4720" t="s">
        <v>16143</v>
      </c>
      <c r="H4720" t="s">
        <v>16153</v>
      </c>
      <c r="I4720" t="s">
        <v>16154</v>
      </c>
      <c r="J4720" t="s">
        <v>2963</v>
      </c>
      <c r="K4720" s="2" t="str">
        <f>HYPERLINK("http://collections.slsa.sa.gov.au/mpcimg/42250/B42142.htm")</f>
        <v>http://collections.slsa.sa.gov.au/mpcimg/42250/B42142.htm</v>
      </c>
    </row>
    <row r="4721" spans="1:11" x14ac:dyDescent="0.25">
      <c r="A4721" t="s">
        <v>16155</v>
      </c>
      <c r="B4721" s="1" t="str">
        <f>HYPERLINK("https://www.catalog.slsa.sa.gov.au/record=b2032011")</f>
        <v>https://www.catalog.slsa.sa.gov.au/record=b2032011</v>
      </c>
      <c r="C4721" s="1" t="str">
        <f>HYPERLINK("https://www.catalog.slsa.sa.gov.au/xrecord=b2032011")</f>
        <v>https://www.catalog.slsa.sa.gov.au/xrecord=b2032011</v>
      </c>
      <c r="E4721" t="s">
        <v>16146</v>
      </c>
      <c r="F4721" t="s">
        <v>1926</v>
      </c>
      <c r="G4721" t="s">
        <v>16143</v>
      </c>
      <c r="H4721" t="s">
        <v>16147</v>
      </c>
      <c r="J4721" t="s">
        <v>2963</v>
      </c>
      <c r="K4721" s="2" t="str">
        <f>HYPERLINK("http://collections.slsa.sa.gov.au/mpcimg/42250/B42143.htm")</f>
        <v>http://collections.slsa.sa.gov.au/mpcimg/42250/B42143.htm</v>
      </c>
    </row>
    <row r="4722" spans="1:11" x14ac:dyDescent="0.25">
      <c r="A4722" t="s">
        <v>16156</v>
      </c>
      <c r="B4722" s="1" t="str">
        <f>HYPERLINK("https://www.catalog.slsa.sa.gov.au/record=b2032012")</f>
        <v>https://www.catalog.slsa.sa.gov.au/record=b2032012</v>
      </c>
      <c r="C4722" s="1" t="str">
        <f>HYPERLINK("https://www.catalog.slsa.sa.gov.au/xrecord=b2032012")</f>
        <v>https://www.catalog.slsa.sa.gov.au/xrecord=b2032012</v>
      </c>
      <c r="E4722" t="s">
        <v>7579</v>
      </c>
      <c r="F4722" t="s">
        <v>1926</v>
      </c>
      <c r="G4722" t="s">
        <v>16143</v>
      </c>
      <c r="H4722" t="s">
        <v>16157</v>
      </c>
      <c r="J4722" t="s">
        <v>2963</v>
      </c>
      <c r="K4722" s="2" t="str">
        <f>HYPERLINK("http://collections.slsa.sa.gov.au/mpcimg/42250/B42144.htm")</f>
        <v>http://collections.slsa.sa.gov.au/mpcimg/42250/B42144.htm</v>
      </c>
    </row>
    <row r="4723" spans="1:11" x14ac:dyDescent="0.25">
      <c r="A4723" t="s">
        <v>16158</v>
      </c>
      <c r="B4723" s="1" t="str">
        <f>HYPERLINK("https://www.catalog.slsa.sa.gov.au/record=b2032013")</f>
        <v>https://www.catalog.slsa.sa.gov.au/record=b2032013</v>
      </c>
      <c r="C4723" s="1" t="str">
        <f>HYPERLINK("https://www.catalog.slsa.sa.gov.au/xrecord=b2032013")</f>
        <v>https://www.catalog.slsa.sa.gov.au/xrecord=b2032013</v>
      </c>
      <c r="E4723" t="s">
        <v>16152</v>
      </c>
      <c r="F4723" t="s">
        <v>1926</v>
      </c>
      <c r="G4723" t="s">
        <v>16143</v>
      </c>
      <c r="H4723" t="s">
        <v>16159</v>
      </c>
      <c r="I4723" t="s">
        <v>11929</v>
      </c>
      <c r="J4723" t="s">
        <v>2963</v>
      </c>
      <c r="K4723" s="2" t="str">
        <f>HYPERLINK("http://collections.slsa.sa.gov.au/mpcimg/42250/B42145.htm")</f>
        <v>http://collections.slsa.sa.gov.au/mpcimg/42250/B42145.htm</v>
      </c>
    </row>
    <row r="4724" spans="1:11" x14ac:dyDescent="0.25">
      <c r="A4724" t="s">
        <v>16160</v>
      </c>
      <c r="B4724" s="1" t="str">
        <f>HYPERLINK("https://www.catalog.slsa.sa.gov.au/record=b2032014")</f>
        <v>https://www.catalog.slsa.sa.gov.au/record=b2032014</v>
      </c>
      <c r="C4724" s="1" t="str">
        <f>HYPERLINK("https://www.catalog.slsa.sa.gov.au/xrecord=b2032014")</f>
        <v>https://www.catalog.slsa.sa.gov.au/xrecord=b2032014</v>
      </c>
      <c r="E4724" t="s">
        <v>16161</v>
      </c>
      <c r="F4724" t="s">
        <v>1926</v>
      </c>
      <c r="G4724" t="s">
        <v>16143</v>
      </c>
      <c r="H4724" t="s">
        <v>16162</v>
      </c>
      <c r="J4724" t="s">
        <v>2963</v>
      </c>
      <c r="K4724" s="2" t="str">
        <f>HYPERLINK("http://collections.slsa.sa.gov.au/mpcimg/42250/B42146.htm")</f>
        <v>http://collections.slsa.sa.gov.au/mpcimg/42250/B42146.htm</v>
      </c>
    </row>
    <row r="4725" spans="1:11" x14ac:dyDescent="0.25">
      <c r="A4725" t="s">
        <v>16163</v>
      </c>
      <c r="B4725" s="1" t="str">
        <f>HYPERLINK("https://www.catalog.slsa.sa.gov.au/record=b2032373")</f>
        <v>https://www.catalog.slsa.sa.gov.au/record=b2032373</v>
      </c>
      <c r="C4725" s="1" t="str">
        <f>HYPERLINK("https://www.catalog.slsa.sa.gov.au/xrecord=b2032373")</f>
        <v>https://www.catalog.slsa.sa.gov.au/xrecord=b2032373</v>
      </c>
      <c r="E4725" t="s">
        <v>16164</v>
      </c>
      <c r="F4725" t="s">
        <v>1926</v>
      </c>
      <c r="G4725" t="s">
        <v>16165</v>
      </c>
      <c r="H4725" t="s">
        <v>16166</v>
      </c>
      <c r="I4725" t="s">
        <v>16167</v>
      </c>
      <c r="J4725" t="s">
        <v>16168</v>
      </c>
      <c r="K4725" s="2" t="str">
        <f>HYPERLINK("http://collections.slsa.sa.gov.au/mpcimg/35750/B35716.htm")</f>
        <v>http://collections.slsa.sa.gov.au/mpcimg/35750/B35716.htm</v>
      </c>
    </row>
    <row r="4726" spans="1:11" x14ac:dyDescent="0.25">
      <c r="A4726" t="s">
        <v>16169</v>
      </c>
      <c r="B4726" s="1" t="str">
        <f>HYPERLINK("https://www.catalog.slsa.sa.gov.au/record=b2032674")</f>
        <v>https://www.catalog.slsa.sa.gov.au/record=b2032674</v>
      </c>
      <c r="C4726" s="1" t="str">
        <f>HYPERLINK("https://www.catalog.slsa.sa.gov.au/xrecord=b2032674")</f>
        <v>https://www.catalog.slsa.sa.gov.au/xrecord=b2032674</v>
      </c>
      <c r="E4726" t="s">
        <v>16170</v>
      </c>
      <c r="F4726" t="s">
        <v>1926</v>
      </c>
      <c r="G4726" t="s">
        <v>16171</v>
      </c>
      <c r="H4726" t="s">
        <v>16172</v>
      </c>
      <c r="J4726" t="s">
        <v>16173</v>
      </c>
      <c r="K4726" s="2" t="str">
        <f>HYPERLINK("http://collections.slsa.sa.gov.au/mpcimg/35500/B35468.htm")</f>
        <v>http://collections.slsa.sa.gov.au/mpcimg/35500/B35468.htm</v>
      </c>
    </row>
    <row r="4727" spans="1:11" x14ac:dyDescent="0.25">
      <c r="A4727" t="s">
        <v>16174</v>
      </c>
      <c r="B4727" s="1" t="str">
        <f>HYPERLINK("https://www.catalog.slsa.sa.gov.au/record=b2033104")</f>
        <v>https://www.catalog.slsa.sa.gov.au/record=b2033104</v>
      </c>
      <c r="C4727" s="1" t="str">
        <f>HYPERLINK("https://www.catalog.slsa.sa.gov.au/xrecord=b2033104")</f>
        <v>https://www.catalog.slsa.sa.gov.au/xrecord=b2033104</v>
      </c>
      <c r="E4727" t="s">
        <v>16175</v>
      </c>
      <c r="F4727" t="s">
        <v>1926</v>
      </c>
      <c r="G4727" t="s">
        <v>16176</v>
      </c>
      <c r="H4727" t="s">
        <v>16177</v>
      </c>
      <c r="I4727" t="s">
        <v>16178</v>
      </c>
      <c r="J4727" t="s">
        <v>14946</v>
      </c>
      <c r="K4727" s="2" t="str">
        <f>HYPERLINK("http://collections.slsa.sa.gov.au/mpcimg/34250/B34105.htm")</f>
        <v>http://collections.slsa.sa.gov.au/mpcimg/34250/B34105.htm</v>
      </c>
    </row>
    <row r="4728" spans="1:11" x14ac:dyDescent="0.25">
      <c r="A4728" t="s">
        <v>16179</v>
      </c>
      <c r="B4728" s="1" t="str">
        <f>HYPERLINK("https://www.catalog.slsa.sa.gov.au/record=b2033154")</f>
        <v>https://www.catalog.slsa.sa.gov.au/record=b2033154</v>
      </c>
      <c r="C4728" s="1" t="str">
        <f>HYPERLINK("https://www.catalog.slsa.sa.gov.au/xrecord=b2033154")</f>
        <v>https://www.catalog.slsa.sa.gov.au/xrecord=b2033154</v>
      </c>
      <c r="D4728" t="s">
        <v>16180</v>
      </c>
      <c r="E4728" t="s">
        <v>16181</v>
      </c>
      <c r="F4728" t="s">
        <v>1926</v>
      </c>
      <c r="G4728" t="s">
        <v>16182</v>
      </c>
      <c r="H4728" t="s">
        <v>16183</v>
      </c>
      <c r="I4728" t="s">
        <v>16184</v>
      </c>
      <c r="J4728" t="s">
        <v>14946</v>
      </c>
      <c r="K4728" s="2" t="str">
        <f>HYPERLINK("http://collections.slsa.sa.gov.au/mpcimg/38500/B38276.htm")</f>
        <v>http://collections.slsa.sa.gov.au/mpcimg/38500/B38276.htm</v>
      </c>
    </row>
    <row r="4729" spans="1:11" x14ac:dyDescent="0.25">
      <c r="A4729" t="s">
        <v>16185</v>
      </c>
      <c r="B4729" s="1" t="str">
        <f>HYPERLINK("https://www.catalog.slsa.sa.gov.au/record=b2033381")</f>
        <v>https://www.catalog.slsa.sa.gov.au/record=b2033381</v>
      </c>
      <c r="C4729" s="1" t="str">
        <f>HYPERLINK("https://www.catalog.slsa.sa.gov.au/xrecord=b2033381")</f>
        <v>https://www.catalog.slsa.sa.gov.au/xrecord=b2033381</v>
      </c>
      <c r="E4729" t="s">
        <v>16186</v>
      </c>
      <c r="F4729" t="s">
        <v>1926</v>
      </c>
      <c r="G4729" t="s">
        <v>14793</v>
      </c>
      <c r="H4729" t="s">
        <v>16187</v>
      </c>
      <c r="I4729" t="s">
        <v>16188</v>
      </c>
      <c r="J4729" t="s">
        <v>14957</v>
      </c>
      <c r="K4729" s="2" t="str">
        <f>HYPERLINK("http://collections.slsa.sa.gov.au/mpcimg/33750/B33637.htm")</f>
        <v>http://collections.slsa.sa.gov.au/mpcimg/33750/B33637.htm</v>
      </c>
    </row>
    <row r="4730" spans="1:11" x14ac:dyDescent="0.25">
      <c r="A4730" t="s">
        <v>16189</v>
      </c>
      <c r="B4730" s="1" t="str">
        <f>HYPERLINK("https://www.catalog.slsa.sa.gov.au/record=b2034464")</f>
        <v>https://www.catalog.slsa.sa.gov.au/record=b2034464</v>
      </c>
      <c r="C4730" s="1" t="str">
        <f>HYPERLINK("https://www.catalog.slsa.sa.gov.au/xrecord=b2034464")</f>
        <v>https://www.catalog.slsa.sa.gov.au/xrecord=b2034464</v>
      </c>
      <c r="E4730" t="s">
        <v>16190</v>
      </c>
      <c r="F4730" t="s">
        <v>1926</v>
      </c>
      <c r="G4730" t="s">
        <v>16191</v>
      </c>
      <c r="H4730" t="s">
        <v>16192</v>
      </c>
      <c r="J4730" t="s">
        <v>16193</v>
      </c>
      <c r="K4730" s="2" t="str">
        <f>HYPERLINK("http://collections.slsa.sa.gov.au/mpcimg/32250/B32222_29.htm")</f>
        <v>http://collections.slsa.sa.gov.au/mpcimg/32250/B32222_29.htm</v>
      </c>
    </row>
    <row r="4731" spans="1:11" x14ac:dyDescent="0.25">
      <c r="A4731" t="s">
        <v>16194</v>
      </c>
      <c r="B4731" s="1" t="str">
        <f>HYPERLINK("https://www.catalog.slsa.sa.gov.au/record=b2034465")</f>
        <v>https://www.catalog.slsa.sa.gov.au/record=b2034465</v>
      </c>
      <c r="C4731" s="1" t="str">
        <f>HYPERLINK("https://www.catalog.slsa.sa.gov.au/xrecord=b2034465")</f>
        <v>https://www.catalog.slsa.sa.gov.au/xrecord=b2034465</v>
      </c>
      <c r="E4731" t="s">
        <v>16195</v>
      </c>
      <c r="F4731" t="s">
        <v>1926</v>
      </c>
      <c r="G4731" t="s">
        <v>16196</v>
      </c>
      <c r="H4731" t="s">
        <v>16197</v>
      </c>
      <c r="I4731" t="s">
        <v>16198</v>
      </c>
      <c r="J4731" t="s">
        <v>16193</v>
      </c>
      <c r="K4731" s="2" t="str">
        <f>HYPERLINK("http://collections.slsa.sa.gov.au/mpcimg/32250/B32222_30.htm")</f>
        <v>http://collections.slsa.sa.gov.au/mpcimg/32250/B32222_30.htm</v>
      </c>
    </row>
    <row r="4732" spans="1:11" x14ac:dyDescent="0.25">
      <c r="A4732" t="s">
        <v>16199</v>
      </c>
      <c r="B4732" s="1" t="str">
        <f>HYPERLINK("https://www.catalog.slsa.sa.gov.au/record=b2034466")</f>
        <v>https://www.catalog.slsa.sa.gov.au/record=b2034466</v>
      </c>
      <c r="C4732" s="1" t="str">
        <f>HYPERLINK("https://www.catalog.slsa.sa.gov.au/xrecord=b2034466")</f>
        <v>https://www.catalog.slsa.sa.gov.au/xrecord=b2034466</v>
      </c>
      <c r="E4732" t="s">
        <v>16200</v>
      </c>
      <c r="F4732" t="s">
        <v>1926</v>
      </c>
      <c r="G4732" t="s">
        <v>16201</v>
      </c>
      <c r="H4732" t="s">
        <v>16202</v>
      </c>
      <c r="I4732" t="s">
        <v>16203</v>
      </c>
      <c r="J4732" t="s">
        <v>16193</v>
      </c>
      <c r="K4732" s="2" t="str">
        <f>HYPERLINK("http://collections.slsa.sa.gov.au/mpcimg/32250/B32222_31.htm")</f>
        <v>http://collections.slsa.sa.gov.au/mpcimg/32250/B32222_31.htm</v>
      </c>
    </row>
    <row r="4733" spans="1:11" x14ac:dyDescent="0.25">
      <c r="A4733" t="s">
        <v>16204</v>
      </c>
      <c r="B4733" s="1" t="str">
        <f>HYPERLINK("https://www.catalog.slsa.sa.gov.au/record=b2034467")</f>
        <v>https://www.catalog.slsa.sa.gov.au/record=b2034467</v>
      </c>
      <c r="C4733" s="1" t="str">
        <f>HYPERLINK("https://www.catalog.slsa.sa.gov.au/xrecord=b2034467")</f>
        <v>https://www.catalog.slsa.sa.gov.au/xrecord=b2034467</v>
      </c>
      <c r="E4733" t="s">
        <v>16200</v>
      </c>
      <c r="F4733" t="s">
        <v>1926</v>
      </c>
      <c r="G4733" t="s">
        <v>16205</v>
      </c>
      <c r="H4733" t="s">
        <v>16206</v>
      </c>
      <c r="I4733" t="s">
        <v>16203</v>
      </c>
      <c r="J4733" t="s">
        <v>16193</v>
      </c>
      <c r="K4733" s="2" t="str">
        <f>HYPERLINK("http://collections.slsa.sa.gov.au/mpcimg/32250/B32222_32.htm")</f>
        <v>http://collections.slsa.sa.gov.au/mpcimg/32250/B32222_32.htm</v>
      </c>
    </row>
    <row r="4734" spans="1:11" x14ac:dyDescent="0.25">
      <c r="A4734" t="s">
        <v>16207</v>
      </c>
      <c r="B4734" s="1" t="str">
        <f>HYPERLINK("https://www.catalog.slsa.sa.gov.au/record=b2034468")</f>
        <v>https://www.catalog.slsa.sa.gov.au/record=b2034468</v>
      </c>
      <c r="C4734" s="1" t="str">
        <f>HYPERLINK("https://www.catalog.slsa.sa.gov.au/xrecord=b2034468")</f>
        <v>https://www.catalog.slsa.sa.gov.au/xrecord=b2034468</v>
      </c>
      <c r="E4734" t="s">
        <v>16208</v>
      </c>
      <c r="F4734" t="s">
        <v>1926</v>
      </c>
      <c r="G4734" t="s">
        <v>16209</v>
      </c>
      <c r="H4734" t="s">
        <v>16210</v>
      </c>
      <c r="I4734" t="s">
        <v>16203</v>
      </c>
      <c r="J4734" t="s">
        <v>16193</v>
      </c>
      <c r="K4734" s="2" t="str">
        <f>HYPERLINK("http://collections.slsa.sa.gov.au/mpcimg/32250/B32222_37.htm")</f>
        <v>http://collections.slsa.sa.gov.au/mpcimg/32250/B32222_37.htm</v>
      </c>
    </row>
    <row r="4735" spans="1:11" x14ac:dyDescent="0.25">
      <c r="A4735" t="s">
        <v>16211</v>
      </c>
      <c r="B4735" s="1" t="str">
        <f>HYPERLINK("https://www.catalog.slsa.sa.gov.au/record=b2034469")</f>
        <v>https://www.catalog.slsa.sa.gov.au/record=b2034469</v>
      </c>
      <c r="C4735" s="1" t="str">
        <f>HYPERLINK("https://www.catalog.slsa.sa.gov.au/xrecord=b2034469")</f>
        <v>https://www.catalog.slsa.sa.gov.au/xrecord=b2034469</v>
      </c>
      <c r="E4735" t="s">
        <v>16208</v>
      </c>
      <c r="F4735" t="s">
        <v>1926</v>
      </c>
      <c r="G4735" t="s">
        <v>16212</v>
      </c>
      <c r="H4735" t="s">
        <v>16213</v>
      </c>
      <c r="I4735" t="s">
        <v>16203</v>
      </c>
      <c r="J4735" t="s">
        <v>16193</v>
      </c>
      <c r="K4735" s="2" t="str">
        <f>HYPERLINK("http://collections.slsa.sa.gov.au/mpcimg/32250/B32222_38.htm")</f>
        <v>http://collections.slsa.sa.gov.au/mpcimg/32250/B32222_38.htm</v>
      </c>
    </row>
    <row r="4736" spans="1:11" x14ac:dyDescent="0.25">
      <c r="A4736" t="s">
        <v>16214</v>
      </c>
      <c r="B4736" s="1" t="str">
        <f>HYPERLINK("https://www.catalog.slsa.sa.gov.au/record=b2034997")</f>
        <v>https://www.catalog.slsa.sa.gov.au/record=b2034997</v>
      </c>
      <c r="C4736" s="1" t="str">
        <f>HYPERLINK("https://www.catalog.slsa.sa.gov.au/xrecord=b2034997")</f>
        <v>https://www.catalog.slsa.sa.gov.au/xrecord=b2034997</v>
      </c>
      <c r="E4736" t="s">
        <v>16215</v>
      </c>
      <c r="F4736" t="s">
        <v>1926</v>
      </c>
      <c r="G4736" t="s">
        <v>16216</v>
      </c>
      <c r="H4736" t="s">
        <v>16217</v>
      </c>
      <c r="I4736" t="s">
        <v>16218</v>
      </c>
      <c r="J4736" t="s">
        <v>16219</v>
      </c>
      <c r="K4736" s="2" t="str">
        <f>HYPERLINK("http://collections.slsa.sa.gov.au/mpcimg/24250/B24073.htm")</f>
        <v>http://collections.slsa.sa.gov.au/mpcimg/24250/B24073.htm</v>
      </c>
    </row>
    <row r="4737" spans="1:11" x14ac:dyDescent="0.25">
      <c r="A4737" t="s">
        <v>16220</v>
      </c>
      <c r="B4737" s="1" t="str">
        <f>HYPERLINK("https://www.catalog.slsa.sa.gov.au/record=b2034998")</f>
        <v>https://www.catalog.slsa.sa.gov.au/record=b2034998</v>
      </c>
      <c r="C4737" s="1" t="str">
        <f>HYPERLINK("https://www.catalog.slsa.sa.gov.au/xrecord=b2034998")</f>
        <v>https://www.catalog.slsa.sa.gov.au/xrecord=b2034998</v>
      </c>
      <c r="E4737" t="s">
        <v>16221</v>
      </c>
      <c r="F4737" t="s">
        <v>1926</v>
      </c>
      <c r="G4737" t="s">
        <v>16222</v>
      </c>
      <c r="H4737" t="s">
        <v>16223</v>
      </c>
      <c r="I4737" t="s">
        <v>16224</v>
      </c>
      <c r="J4737" t="s">
        <v>16219</v>
      </c>
      <c r="K4737" s="2" t="str">
        <f>HYPERLINK("http://collections.slsa.sa.gov.au/mpcimg/29250/B29219.htm")</f>
        <v>http://collections.slsa.sa.gov.au/mpcimg/29250/B29219.htm</v>
      </c>
    </row>
    <row r="4738" spans="1:11" x14ac:dyDescent="0.25">
      <c r="A4738" t="s">
        <v>16225</v>
      </c>
      <c r="B4738" s="1" t="str">
        <f>HYPERLINK("https://www.catalog.slsa.sa.gov.au/record=b2034999")</f>
        <v>https://www.catalog.slsa.sa.gov.au/record=b2034999</v>
      </c>
      <c r="C4738" s="1" t="str">
        <f>HYPERLINK("https://www.catalog.slsa.sa.gov.au/xrecord=b2034999")</f>
        <v>https://www.catalog.slsa.sa.gov.au/xrecord=b2034999</v>
      </c>
      <c r="E4738" t="s">
        <v>16221</v>
      </c>
      <c r="F4738" t="s">
        <v>1926</v>
      </c>
      <c r="G4738" t="s">
        <v>14809</v>
      </c>
      <c r="H4738" t="s">
        <v>16226</v>
      </c>
      <c r="I4738" t="s">
        <v>16227</v>
      </c>
      <c r="J4738" t="s">
        <v>16219</v>
      </c>
      <c r="K4738" s="2" t="str">
        <f>HYPERLINK("http://collections.slsa.sa.gov.au/mpcimg/29250/B29219_1.htm")</f>
        <v>http://collections.slsa.sa.gov.au/mpcimg/29250/B29219_1.htm</v>
      </c>
    </row>
    <row r="4739" spans="1:11" x14ac:dyDescent="0.25">
      <c r="A4739" t="s">
        <v>16228</v>
      </c>
      <c r="B4739" s="1" t="str">
        <f>HYPERLINK("https://www.catalog.slsa.sa.gov.au/record=b2035594")</f>
        <v>https://www.catalog.slsa.sa.gov.au/record=b2035594</v>
      </c>
      <c r="C4739" s="1" t="str">
        <f>HYPERLINK("https://www.catalog.slsa.sa.gov.au/xrecord=b2035594")</f>
        <v>https://www.catalog.slsa.sa.gov.au/xrecord=b2035594</v>
      </c>
      <c r="E4739" t="s">
        <v>16229</v>
      </c>
      <c r="F4739" t="s">
        <v>1926</v>
      </c>
      <c r="G4739" t="s">
        <v>16230</v>
      </c>
      <c r="H4739" t="s">
        <v>16231</v>
      </c>
      <c r="I4739" t="s">
        <v>16232</v>
      </c>
      <c r="J4739" t="s">
        <v>16233</v>
      </c>
      <c r="K4739" s="2" t="str">
        <f>HYPERLINK("http://collections.slsa.sa.gov.au/mpcimg/24500/B24356.htm")</f>
        <v>http://collections.slsa.sa.gov.au/mpcimg/24500/B24356.htm</v>
      </c>
    </row>
    <row r="4740" spans="1:11" x14ac:dyDescent="0.25">
      <c r="A4740" t="s">
        <v>16234</v>
      </c>
      <c r="B4740" s="1" t="str">
        <f>HYPERLINK("https://www.catalog.slsa.sa.gov.au/record=b2035849")</f>
        <v>https://www.catalog.slsa.sa.gov.au/record=b2035849</v>
      </c>
      <c r="C4740" s="1" t="str">
        <f>HYPERLINK("https://www.catalog.slsa.sa.gov.au/xrecord=b2035849")</f>
        <v>https://www.catalog.slsa.sa.gov.au/xrecord=b2035849</v>
      </c>
      <c r="E4740" t="s">
        <v>16235</v>
      </c>
      <c r="F4740" t="s">
        <v>1926</v>
      </c>
      <c r="G4740" t="s">
        <v>16131</v>
      </c>
      <c r="H4740" t="s">
        <v>16236</v>
      </c>
      <c r="J4740" t="s">
        <v>15013</v>
      </c>
      <c r="K4740" s="2" t="str">
        <f>HYPERLINK("http://collections.slsa.sa.gov.au/mpcimg/19000/B18781.htm")</f>
        <v>http://collections.slsa.sa.gov.au/mpcimg/19000/B18781.htm</v>
      </c>
    </row>
    <row r="4741" spans="1:11" x14ac:dyDescent="0.25">
      <c r="A4741" t="s">
        <v>16237</v>
      </c>
      <c r="B4741" s="1" t="str">
        <f>HYPERLINK("https://www.catalog.slsa.sa.gov.au/record=b2036106")</f>
        <v>https://www.catalog.slsa.sa.gov.au/record=b2036106</v>
      </c>
      <c r="C4741" s="1" t="str">
        <f>HYPERLINK("https://www.catalog.slsa.sa.gov.au/xrecord=b2036106")</f>
        <v>https://www.catalog.slsa.sa.gov.au/xrecord=b2036106</v>
      </c>
      <c r="E4741" t="s">
        <v>16238</v>
      </c>
      <c r="F4741" t="s">
        <v>1926</v>
      </c>
      <c r="G4741" t="s">
        <v>16239</v>
      </c>
      <c r="H4741" t="s">
        <v>16240</v>
      </c>
      <c r="I4741" t="s">
        <v>16241</v>
      </c>
      <c r="J4741" t="s">
        <v>16242</v>
      </c>
      <c r="K4741" s="2" t="str">
        <f>HYPERLINK("http://collections.slsa.sa.gov.au/mpcimg/32250/B32167.htm")</f>
        <v>http://collections.slsa.sa.gov.au/mpcimg/32250/B32167.htm</v>
      </c>
    </row>
    <row r="4742" spans="1:11" x14ac:dyDescent="0.25">
      <c r="A4742" t="s">
        <v>16243</v>
      </c>
      <c r="B4742" s="1" t="str">
        <f>HYPERLINK("https://www.catalog.slsa.sa.gov.au/record=b2036488")</f>
        <v>https://www.catalog.slsa.sa.gov.au/record=b2036488</v>
      </c>
      <c r="C4742" s="1" t="str">
        <f>HYPERLINK("https://www.catalog.slsa.sa.gov.au/xrecord=b2036488")</f>
        <v>https://www.catalog.slsa.sa.gov.au/xrecord=b2036488</v>
      </c>
      <c r="E4742" t="s">
        <v>16244</v>
      </c>
      <c r="F4742" t="s">
        <v>1926</v>
      </c>
      <c r="G4742" t="s">
        <v>16245</v>
      </c>
      <c r="H4742" t="s">
        <v>16246</v>
      </c>
      <c r="J4742" t="s">
        <v>15023</v>
      </c>
      <c r="K4742" s="2" t="str">
        <f>HYPERLINK("http://collections.slsa.sa.gov.au/mpcimg/22250/B22238.htm")</f>
        <v>http://collections.slsa.sa.gov.au/mpcimg/22250/B22238.htm</v>
      </c>
    </row>
    <row r="4743" spans="1:11" x14ac:dyDescent="0.25">
      <c r="A4743" t="s">
        <v>16247</v>
      </c>
      <c r="B4743" s="1" t="str">
        <f>HYPERLINK("https://www.catalog.slsa.sa.gov.au/record=b2036618")</f>
        <v>https://www.catalog.slsa.sa.gov.au/record=b2036618</v>
      </c>
      <c r="C4743" s="1" t="str">
        <f>HYPERLINK("https://www.catalog.slsa.sa.gov.au/xrecord=b2036618")</f>
        <v>https://www.catalog.slsa.sa.gov.au/xrecord=b2036618</v>
      </c>
      <c r="E4743" t="s">
        <v>16248</v>
      </c>
      <c r="F4743" t="s">
        <v>1926</v>
      </c>
      <c r="G4743" t="s">
        <v>16249</v>
      </c>
      <c r="H4743" t="s">
        <v>16250</v>
      </c>
      <c r="I4743" t="s">
        <v>16251</v>
      </c>
      <c r="J4743" t="s">
        <v>15023</v>
      </c>
      <c r="K4743" s="2" t="str">
        <f>HYPERLINK("http://collections.slsa.sa.gov.au/mpcimg/29250/B29128.htm")</f>
        <v>http://collections.slsa.sa.gov.au/mpcimg/29250/B29128.htm</v>
      </c>
    </row>
    <row r="4744" spans="1:11" x14ac:dyDescent="0.25">
      <c r="A4744" t="s">
        <v>16252</v>
      </c>
      <c r="B4744" s="1" t="str">
        <f>HYPERLINK("https://www.catalog.slsa.sa.gov.au/record=b2036621")</f>
        <v>https://www.catalog.slsa.sa.gov.au/record=b2036621</v>
      </c>
      <c r="C4744" s="1" t="str">
        <f>HYPERLINK("https://www.catalog.slsa.sa.gov.au/xrecord=b2036621")</f>
        <v>https://www.catalog.slsa.sa.gov.au/xrecord=b2036621</v>
      </c>
      <c r="E4744" t="s">
        <v>16253</v>
      </c>
      <c r="F4744" t="s">
        <v>1926</v>
      </c>
      <c r="G4744" t="s">
        <v>16254</v>
      </c>
      <c r="H4744" t="s">
        <v>16255</v>
      </c>
      <c r="J4744" t="s">
        <v>15023</v>
      </c>
      <c r="K4744" s="2" t="str">
        <f>HYPERLINK("http://collections.slsa.sa.gov.au/mpcimg/29250/B29131.htm")</f>
        <v>http://collections.slsa.sa.gov.au/mpcimg/29250/B29131.htm</v>
      </c>
    </row>
    <row r="4745" spans="1:11" x14ac:dyDescent="0.25">
      <c r="A4745" t="s">
        <v>16256</v>
      </c>
      <c r="B4745" s="1" t="str">
        <f>HYPERLINK("https://www.catalog.slsa.sa.gov.au/record=b2036622")</f>
        <v>https://www.catalog.slsa.sa.gov.au/record=b2036622</v>
      </c>
      <c r="C4745" s="1" t="str">
        <f>HYPERLINK("https://www.catalog.slsa.sa.gov.au/xrecord=b2036622")</f>
        <v>https://www.catalog.slsa.sa.gov.au/xrecord=b2036622</v>
      </c>
      <c r="E4745" t="s">
        <v>16257</v>
      </c>
      <c r="F4745" t="s">
        <v>1926</v>
      </c>
      <c r="G4745" t="s">
        <v>16258</v>
      </c>
      <c r="H4745" t="s">
        <v>16259</v>
      </c>
      <c r="I4745" t="s">
        <v>16260</v>
      </c>
      <c r="J4745" t="s">
        <v>15023</v>
      </c>
      <c r="K4745" s="2" t="str">
        <f>HYPERLINK("http://collections.slsa.sa.gov.au/mpcimg/29250/B29132.htm")</f>
        <v>http://collections.slsa.sa.gov.au/mpcimg/29250/B29132.htm</v>
      </c>
    </row>
    <row r="4746" spans="1:11" x14ac:dyDescent="0.25">
      <c r="A4746" t="s">
        <v>16261</v>
      </c>
      <c r="B4746" s="1" t="str">
        <f>HYPERLINK("https://www.catalog.slsa.sa.gov.au/record=b2036628")</f>
        <v>https://www.catalog.slsa.sa.gov.au/record=b2036628</v>
      </c>
      <c r="C4746" s="1" t="str">
        <f>HYPERLINK("https://www.catalog.slsa.sa.gov.au/xrecord=b2036628")</f>
        <v>https://www.catalog.slsa.sa.gov.au/xrecord=b2036628</v>
      </c>
      <c r="E4746" t="s">
        <v>16262</v>
      </c>
      <c r="F4746" t="s">
        <v>1926</v>
      </c>
      <c r="G4746" t="s">
        <v>16263</v>
      </c>
      <c r="H4746" t="s">
        <v>16264</v>
      </c>
      <c r="I4746" t="s">
        <v>16265</v>
      </c>
      <c r="J4746" t="s">
        <v>15023</v>
      </c>
      <c r="K4746" s="2" t="str">
        <f>HYPERLINK("http://collections.slsa.sa.gov.au/mpcimg/29250/B29138.htm")</f>
        <v>http://collections.slsa.sa.gov.au/mpcimg/29250/B29138.htm</v>
      </c>
    </row>
    <row r="4747" spans="1:11" x14ac:dyDescent="0.25">
      <c r="A4747" t="s">
        <v>16266</v>
      </c>
      <c r="B4747" s="1" t="str">
        <f>HYPERLINK("https://www.catalog.slsa.sa.gov.au/record=b2036632")</f>
        <v>https://www.catalog.slsa.sa.gov.au/record=b2036632</v>
      </c>
      <c r="C4747" s="1" t="str">
        <f>HYPERLINK("https://www.catalog.slsa.sa.gov.au/xrecord=b2036632")</f>
        <v>https://www.catalog.slsa.sa.gov.au/xrecord=b2036632</v>
      </c>
      <c r="E4747" t="s">
        <v>16267</v>
      </c>
      <c r="F4747" t="s">
        <v>1926</v>
      </c>
      <c r="G4747" t="s">
        <v>16268</v>
      </c>
      <c r="H4747" t="s">
        <v>16269</v>
      </c>
      <c r="J4747" t="s">
        <v>15023</v>
      </c>
      <c r="K4747" s="2" t="str">
        <f>HYPERLINK("http://collections.slsa.sa.gov.au/mpcimg/29250/B29142.htm")</f>
        <v>http://collections.slsa.sa.gov.au/mpcimg/29250/B29142.htm</v>
      </c>
    </row>
    <row r="4748" spans="1:11" x14ac:dyDescent="0.25">
      <c r="A4748" t="s">
        <v>16270</v>
      </c>
      <c r="B4748" s="1" t="str">
        <f>HYPERLINK("https://www.catalog.slsa.sa.gov.au/record=b2036633")</f>
        <v>https://www.catalog.slsa.sa.gov.au/record=b2036633</v>
      </c>
      <c r="C4748" s="1" t="str">
        <f>HYPERLINK("https://www.catalog.slsa.sa.gov.au/xrecord=b2036633")</f>
        <v>https://www.catalog.slsa.sa.gov.au/xrecord=b2036633</v>
      </c>
      <c r="E4748" t="s">
        <v>15627</v>
      </c>
      <c r="F4748" t="s">
        <v>1926</v>
      </c>
      <c r="G4748" t="s">
        <v>16271</v>
      </c>
      <c r="H4748" t="s">
        <v>15629</v>
      </c>
      <c r="J4748" t="s">
        <v>15023</v>
      </c>
      <c r="K4748" s="2" t="str">
        <f>HYPERLINK("http://collections.slsa.sa.gov.au/mpcimg/29250/B29143.htm")</f>
        <v>http://collections.slsa.sa.gov.au/mpcimg/29250/B29143.htm</v>
      </c>
    </row>
    <row r="4749" spans="1:11" x14ac:dyDescent="0.25">
      <c r="A4749" t="s">
        <v>16272</v>
      </c>
      <c r="B4749" s="1" t="str">
        <f>HYPERLINK("https://www.catalog.slsa.sa.gov.au/record=b2036642")</f>
        <v>https://www.catalog.slsa.sa.gov.au/record=b2036642</v>
      </c>
      <c r="C4749" s="1" t="str">
        <f>HYPERLINK("https://www.catalog.slsa.sa.gov.au/xrecord=b2036642")</f>
        <v>https://www.catalog.slsa.sa.gov.au/xrecord=b2036642</v>
      </c>
      <c r="E4749" t="s">
        <v>16267</v>
      </c>
      <c r="F4749" t="s">
        <v>1926</v>
      </c>
      <c r="G4749" t="s">
        <v>16273</v>
      </c>
      <c r="H4749" t="s">
        <v>16274</v>
      </c>
      <c r="J4749" t="s">
        <v>15023</v>
      </c>
      <c r="K4749" s="2" t="str">
        <f>HYPERLINK("http://collections.slsa.sa.gov.au/mpcimg/29250/B29152.htm")</f>
        <v>http://collections.slsa.sa.gov.au/mpcimg/29250/B29152.htm</v>
      </c>
    </row>
    <row r="4750" spans="1:11" x14ac:dyDescent="0.25">
      <c r="A4750" t="s">
        <v>16275</v>
      </c>
      <c r="B4750" s="1" t="str">
        <f>HYPERLINK("https://www.catalog.slsa.sa.gov.au/record=b2036646")</f>
        <v>https://www.catalog.slsa.sa.gov.au/record=b2036646</v>
      </c>
      <c r="C4750" s="1" t="str">
        <f>HYPERLINK("https://www.catalog.slsa.sa.gov.au/xrecord=b2036646")</f>
        <v>https://www.catalog.slsa.sa.gov.au/xrecord=b2036646</v>
      </c>
      <c r="E4750" t="s">
        <v>16267</v>
      </c>
      <c r="F4750" t="s">
        <v>1926</v>
      </c>
      <c r="G4750" t="s">
        <v>16276</v>
      </c>
      <c r="H4750" t="s">
        <v>16277</v>
      </c>
      <c r="J4750" t="s">
        <v>15023</v>
      </c>
      <c r="K4750" s="2" t="str">
        <f>HYPERLINK("http://collections.slsa.sa.gov.au/mpcimg/29250/B29156.htm")</f>
        <v>http://collections.slsa.sa.gov.au/mpcimg/29250/B29156.htm</v>
      </c>
    </row>
    <row r="4751" spans="1:11" x14ac:dyDescent="0.25">
      <c r="A4751" t="s">
        <v>16278</v>
      </c>
      <c r="B4751" s="1" t="str">
        <f>HYPERLINK("https://www.catalog.slsa.sa.gov.au/record=b2036647")</f>
        <v>https://www.catalog.slsa.sa.gov.au/record=b2036647</v>
      </c>
      <c r="C4751" s="1" t="str">
        <f>HYPERLINK("https://www.catalog.slsa.sa.gov.au/xrecord=b2036647")</f>
        <v>https://www.catalog.slsa.sa.gov.au/xrecord=b2036647</v>
      </c>
      <c r="E4751" t="s">
        <v>16267</v>
      </c>
      <c r="F4751" t="s">
        <v>1926</v>
      </c>
      <c r="G4751" t="s">
        <v>16279</v>
      </c>
      <c r="H4751" t="s">
        <v>16280</v>
      </c>
      <c r="J4751" t="s">
        <v>15023</v>
      </c>
      <c r="K4751" s="2" t="str">
        <f>HYPERLINK("http://collections.slsa.sa.gov.au/mpcimg/29250/B29157.htm")</f>
        <v>http://collections.slsa.sa.gov.au/mpcimg/29250/B29157.htm</v>
      </c>
    </row>
    <row r="4752" spans="1:11" x14ac:dyDescent="0.25">
      <c r="A4752" t="s">
        <v>16281</v>
      </c>
      <c r="B4752" s="1" t="str">
        <f>HYPERLINK("https://www.catalog.slsa.sa.gov.au/record=b2036674")</f>
        <v>https://www.catalog.slsa.sa.gov.au/record=b2036674</v>
      </c>
      <c r="C4752" s="1" t="str">
        <f>HYPERLINK("https://www.catalog.slsa.sa.gov.au/xrecord=b2036674")</f>
        <v>https://www.catalog.slsa.sa.gov.au/xrecord=b2036674</v>
      </c>
      <c r="E4752" t="s">
        <v>16267</v>
      </c>
      <c r="F4752" t="s">
        <v>1926</v>
      </c>
      <c r="G4752" t="s">
        <v>16282</v>
      </c>
      <c r="H4752" t="s">
        <v>16283</v>
      </c>
      <c r="I4752" t="s">
        <v>16284</v>
      </c>
      <c r="J4752" t="s">
        <v>15023</v>
      </c>
      <c r="K4752" s="2" t="str">
        <f>HYPERLINK("http://collections.slsa.sa.gov.au/mpcimg/31500/B31396.htm")</f>
        <v>http://collections.slsa.sa.gov.au/mpcimg/31500/B31396.htm</v>
      </c>
    </row>
    <row r="4753" spans="1:11" x14ac:dyDescent="0.25">
      <c r="A4753" t="s">
        <v>16285</v>
      </c>
      <c r="B4753" s="1" t="str">
        <f>HYPERLINK("https://www.catalog.slsa.sa.gov.au/record=b2036675")</f>
        <v>https://www.catalog.slsa.sa.gov.au/record=b2036675</v>
      </c>
      <c r="C4753" s="1" t="str">
        <f>HYPERLINK("https://www.catalog.slsa.sa.gov.au/xrecord=b2036675")</f>
        <v>https://www.catalog.slsa.sa.gov.au/xrecord=b2036675</v>
      </c>
      <c r="E4753" t="s">
        <v>16267</v>
      </c>
      <c r="F4753" t="s">
        <v>1926</v>
      </c>
      <c r="G4753" t="s">
        <v>16282</v>
      </c>
      <c r="H4753" t="s">
        <v>16286</v>
      </c>
      <c r="I4753" t="s">
        <v>16287</v>
      </c>
      <c r="J4753" t="s">
        <v>15023</v>
      </c>
      <c r="K4753" s="2" t="str">
        <f>HYPERLINK("http://collections.slsa.sa.gov.au/mpcimg/31500/B31397.htm")</f>
        <v>http://collections.slsa.sa.gov.au/mpcimg/31500/B31397.htm</v>
      </c>
    </row>
    <row r="4754" spans="1:11" x14ac:dyDescent="0.25">
      <c r="A4754" t="s">
        <v>16288</v>
      </c>
      <c r="B4754" s="1" t="str">
        <f>HYPERLINK("https://www.catalog.slsa.sa.gov.au/record=b2036914")</f>
        <v>https://www.catalog.slsa.sa.gov.au/record=b2036914</v>
      </c>
      <c r="C4754" s="1" t="str">
        <f>HYPERLINK("https://www.catalog.slsa.sa.gov.au/xrecord=b2036914")</f>
        <v>https://www.catalog.slsa.sa.gov.au/xrecord=b2036914</v>
      </c>
      <c r="E4754" t="s">
        <v>16289</v>
      </c>
      <c r="F4754" t="s">
        <v>1926</v>
      </c>
      <c r="G4754" t="s">
        <v>16290</v>
      </c>
      <c r="H4754" t="s">
        <v>16291</v>
      </c>
      <c r="I4754" t="s">
        <v>16292</v>
      </c>
      <c r="J4754" t="s">
        <v>5399</v>
      </c>
      <c r="K4754" s="2" t="str">
        <f>HYPERLINK("http://collections.slsa.sa.gov.au/mpcimg/38000/B37827.htm")</f>
        <v>http://collections.slsa.sa.gov.au/mpcimg/38000/B37827.htm</v>
      </c>
    </row>
    <row r="4755" spans="1:11" x14ac:dyDescent="0.25">
      <c r="A4755" t="s">
        <v>16293</v>
      </c>
      <c r="B4755" s="1" t="str">
        <f>HYPERLINK("https://www.catalog.slsa.sa.gov.au/record=b2036915")</f>
        <v>https://www.catalog.slsa.sa.gov.au/record=b2036915</v>
      </c>
      <c r="C4755" s="1" t="str">
        <f>HYPERLINK("https://www.catalog.slsa.sa.gov.au/xrecord=b2036915")</f>
        <v>https://www.catalog.slsa.sa.gov.au/xrecord=b2036915</v>
      </c>
      <c r="E4755" t="s">
        <v>16294</v>
      </c>
      <c r="F4755" t="s">
        <v>1926</v>
      </c>
      <c r="G4755" t="s">
        <v>16290</v>
      </c>
      <c r="H4755" t="s">
        <v>16295</v>
      </c>
      <c r="I4755" t="s">
        <v>16296</v>
      </c>
      <c r="J4755" t="s">
        <v>5399</v>
      </c>
      <c r="K4755" s="2" t="str">
        <f>HYPERLINK("http://collections.slsa.sa.gov.au/mpcimg/38000/B37828.htm")</f>
        <v>http://collections.slsa.sa.gov.au/mpcimg/38000/B37828.htm</v>
      </c>
    </row>
    <row r="4756" spans="1:11" x14ac:dyDescent="0.25">
      <c r="A4756" t="s">
        <v>16297</v>
      </c>
      <c r="B4756" s="1" t="str">
        <f>HYPERLINK("https://www.catalog.slsa.sa.gov.au/record=b2037078")</f>
        <v>https://www.catalog.slsa.sa.gov.au/record=b2037078</v>
      </c>
      <c r="C4756" s="1" t="str">
        <f>HYPERLINK("https://www.catalog.slsa.sa.gov.au/xrecord=b2037078")</f>
        <v>https://www.catalog.slsa.sa.gov.au/xrecord=b2037078</v>
      </c>
      <c r="E4756" t="s">
        <v>16298</v>
      </c>
      <c r="F4756" t="s">
        <v>1926</v>
      </c>
      <c r="G4756" t="s">
        <v>16299</v>
      </c>
      <c r="H4756" t="s">
        <v>16300</v>
      </c>
      <c r="I4756" t="s">
        <v>16301</v>
      </c>
      <c r="J4756" t="s">
        <v>4661</v>
      </c>
      <c r="K4756" s="2" t="str">
        <f>HYPERLINK("http://collections.slsa.sa.gov.au/mpcimg/13750/B13533.htm")</f>
        <v>http://collections.slsa.sa.gov.au/mpcimg/13750/B13533.htm</v>
      </c>
    </row>
    <row r="4757" spans="1:11" x14ac:dyDescent="0.25">
      <c r="A4757" t="s">
        <v>16302</v>
      </c>
      <c r="B4757" s="1" t="str">
        <f>HYPERLINK("https://www.catalog.slsa.sa.gov.au/record=b2037575")</f>
        <v>https://www.catalog.slsa.sa.gov.au/record=b2037575</v>
      </c>
      <c r="C4757" s="1" t="str">
        <f>HYPERLINK("https://www.catalog.slsa.sa.gov.au/xrecord=b2037575")</f>
        <v>https://www.catalog.slsa.sa.gov.au/xrecord=b2037575</v>
      </c>
      <c r="D4757" t="s">
        <v>16303</v>
      </c>
      <c r="E4757" t="s">
        <v>16304</v>
      </c>
      <c r="F4757" t="s">
        <v>1926</v>
      </c>
      <c r="G4757" t="s">
        <v>16305</v>
      </c>
      <c r="H4757" t="s">
        <v>16306</v>
      </c>
      <c r="I4757" t="s">
        <v>16307</v>
      </c>
      <c r="J4757" t="s">
        <v>16308</v>
      </c>
      <c r="K4757" s="2" t="str">
        <f>HYPERLINK("http://collections.slsa.sa.gov.au/mpcimg/43750/B43519.htm")</f>
        <v>http://collections.slsa.sa.gov.au/mpcimg/43750/B43519.htm</v>
      </c>
    </row>
    <row r="4758" spans="1:11" x14ac:dyDescent="0.25">
      <c r="A4758" t="s">
        <v>16309</v>
      </c>
      <c r="B4758" s="1" t="str">
        <f>HYPERLINK("https://www.catalog.slsa.sa.gov.au/record=b2037622")</f>
        <v>https://www.catalog.slsa.sa.gov.au/record=b2037622</v>
      </c>
      <c r="C4758" s="1" t="str">
        <f>HYPERLINK("https://www.catalog.slsa.sa.gov.au/xrecord=b2037622")</f>
        <v>https://www.catalog.slsa.sa.gov.au/xrecord=b2037622</v>
      </c>
      <c r="D4758" t="s">
        <v>16310</v>
      </c>
      <c r="E4758" t="s">
        <v>16311</v>
      </c>
      <c r="F4758" t="s">
        <v>1926</v>
      </c>
      <c r="G4758" t="s">
        <v>16312</v>
      </c>
      <c r="H4758" t="s">
        <v>16313</v>
      </c>
      <c r="I4758" t="s">
        <v>16314</v>
      </c>
      <c r="J4758" t="s">
        <v>9214</v>
      </c>
      <c r="K4758" s="2" t="str">
        <f>HYPERLINK("http://collections.slsa.sa.gov.au/mpcimg/48750/B48707.htm")</f>
        <v>http://collections.slsa.sa.gov.au/mpcimg/48750/B48707.htm</v>
      </c>
    </row>
    <row r="4759" spans="1:11" x14ac:dyDescent="0.25">
      <c r="A4759" t="s">
        <v>16315</v>
      </c>
      <c r="B4759" s="1" t="str">
        <f>HYPERLINK("https://www.catalog.slsa.sa.gov.au/record=b2037629")</f>
        <v>https://www.catalog.slsa.sa.gov.au/record=b2037629</v>
      </c>
      <c r="C4759" s="1" t="str">
        <f>HYPERLINK("https://www.catalog.slsa.sa.gov.au/xrecord=b2037629")</f>
        <v>https://www.catalog.slsa.sa.gov.au/xrecord=b2037629</v>
      </c>
      <c r="E4759" t="s">
        <v>16316</v>
      </c>
      <c r="F4759" t="s">
        <v>1926</v>
      </c>
      <c r="G4759" t="s">
        <v>16317</v>
      </c>
      <c r="H4759" t="s">
        <v>16318</v>
      </c>
      <c r="I4759" t="s">
        <v>16319</v>
      </c>
      <c r="J4759" t="s">
        <v>9214</v>
      </c>
      <c r="K4759" s="2" t="str">
        <f>HYPERLINK("http://collections.slsa.sa.gov.au/mpcimg/51000/B50998.htm")</f>
        <v>http://collections.slsa.sa.gov.au/mpcimg/51000/B50998.htm</v>
      </c>
    </row>
    <row r="4760" spans="1:11" x14ac:dyDescent="0.25">
      <c r="A4760" t="s">
        <v>16320</v>
      </c>
      <c r="B4760" s="1" t="str">
        <f>HYPERLINK("https://www.catalog.slsa.sa.gov.au/record=b2037630")</f>
        <v>https://www.catalog.slsa.sa.gov.au/record=b2037630</v>
      </c>
      <c r="C4760" s="1" t="str">
        <f>HYPERLINK("https://www.catalog.slsa.sa.gov.au/xrecord=b2037630")</f>
        <v>https://www.catalog.slsa.sa.gov.au/xrecord=b2037630</v>
      </c>
      <c r="E4760" t="s">
        <v>16321</v>
      </c>
      <c r="F4760" t="s">
        <v>1926</v>
      </c>
      <c r="G4760" t="s">
        <v>16322</v>
      </c>
      <c r="H4760" t="s">
        <v>16323</v>
      </c>
      <c r="J4760" t="s">
        <v>9214</v>
      </c>
      <c r="K4760" s="2" t="str">
        <f>HYPERLINK("http://collections.slsa.sa.gov.au/mpcimg/51000/B50999.htm")</f>
        <v>http://collections.slsa.sa.gov.au/mpcimg/51000/B50999.htm</v>
      </c>
    </row>
    <row r="4761" spans="1:11" x14ac:dyDescent="0.25">
      <c r="A4761" t="s">
        <v>16324</v>
      </c>
      <c r="B4761" s="1" t="str">
        <f>HYPERLINK("https://www.catalog.slsa.sa.gov.au/record=b2037631")</f>
        <v>https://www.catalog.slsa.sa.gov.au/record=b2037631</v>
      </c>
      <c r="C4761" s="1" t="str">
        <f>HYPERLINK("https://www.catalog.slsa.sa.gov.au/xrecord=b2037631")</f>
        <v>https://www.catalog.slsa.sa.gov.au/xrecord=b2037631</v>
      </c>
      <c r="E4761" t="s">
        <v>16325</v>
      </c>
      <c r="F4761" t="s">
        <v>1926</v>
      </c>
      <c r="G4761" t="s">
        <v>16326</v>
      </c>
      <c r="H4761" t="s">
        <v>16327</v>
      </c>
      <c r="I4761" t="s">
        <v>16328</v>
      </c>
      <c r="J4761" t="s">
        <v>16329</v>
      </c>
      <c r="K4761" s="2" t="str">
        <f>HYPERLINK("http://collections.slsa.sa.gov.au/mpcimg/52500/B52380.htm")</f>
        <v>http://collections.slsa.sa.gov.au/mpcimg/52500/B52380.htm</v>
      </c>
    </row>
    <row r="4762" spans="1:11" x14ac:dyDescent="0.25">
      <c r="A4762" t="s">
        <v>16330</v>
      </c>
      <c r="B4762" s="1" t="str">
        <f>HYPERLINK("https://www.catalog.slsa.sa.gov.au/record=b2037632")</f>
        <v>https://www.catalog.slsa.sa.gov.au/record=b2037632</v>
      </c>
      <c r="C4762" s="1" t="str">
        <f>HYPERLINK("https://www.catalog.slsa.sa.gov.au/xrecord=b2037632")</f>
        <v>https://www.catalog.slsa.sa.gov.au/xrecord=b2037632</v>
      </c>
      <c r="E4762" t="s">
        <v>16331</v>
      </c>
      <c r="F4762" t="s">
        <v>1926</v>
      </c>
      <c r="G4762" t="s">
        <v>16332</v>
      </c>
      <c r="H4762" t="s">
        <v>16333</v>
      </c>
      <c r="I4762" t="s">
        <v>16334</v>
      </c>
      <c r="J4762" t="s">
        <v>16329</v>
      </c>
      <c r="K4762" s="2" t="str">
        <f>HYPERLINK("http://collections.slsa.sa.gov.au/mpcimg/52500/B52382.htm")</f>
        <v>http://collections.slsa.sa.gov.au/mpcimg/52500/B52382.htm</v>
      </c>
    </row>
    <row r="4763" spans="1:11" x14ac:dyDescent="0.25">
      <c r="A4763" t="s">
        <v>16335</v>
      </c>
      <c r="B4763" s="1" t="str">
        <f>HYPERLINK("https://www.catalog.slsa.sa.gov.au/record=b2038715")</f>
        <v>https://www.catalog.slsa.sa.gov.au/record=b2038715</v>
      </c>
      <c r="C4763" s="1" t="str">
        <f>HYPERLINK("https://www.catalog.slsa.sa.gov.au/xrecord=b2038715")</f>
        <v>https://www.catalog.slsa.sa.gov.au/xrecord=b2038715</v>
      </c>
      <c r="E4763" t="s">
        <v>16336</v>
      </c>
      <c r="F4763" t="s">
        <v>1926</v>
      </c>
      <c r="G4763" t="s">
        <v>16337</v>
      </c>
      <c r="H4763" t="s">
        <v>16338</v>
      </c>
      <c r="I4763" t="s">
        <v>16339</v>
      </c>
      <c r="J4763" t="s">
        <v>16340</v>
      </c>
      <c r="K4763" s="2" t="str">
        <f>HYPERLINK("http://collections.slsa.sa.gov.au/mpcimg/23750/B23640.htm")</f>
        <v>http://collections.slsa.sa.gov.au/mpcimg/23750/B23640.htm</v>
      </c>
    </row>
    <row r="4764" spans="1:11" x14ac:dyDescent="0.25">
      <c r="A4764" t="s">
        <v>16341</v>
      </c>
      <c r="B4764" s="1" t="str">
        <f>HYPERLINK("https://www.catalog.slsa.sa.gov.au/record=b2038978")</f>
        <v>https://www.catalog.slsa.sa.gov.au/record=b2038978</v>
      </c>
      <c r="C4764" s="1" t="str">
        <f>HYPERLINK("https://www.catalog.slsa.sa.gov.au/xrecord=b2038978")</f>
        <v>https://www.catalog.slsa.sa.gov.au/xrecord=b2038978</v>
      </c>
      <c r="E4764" t="s">
        <v>16342</v>
      </c>
      <c r="F4764" t="s">
        <v>1926</v>
      </c>
      <c r="G4764" t="s">
        <v>16343</v>
      </c>
      <c r="H4764" t="s">
        <v>16344</v>
      </c>
      <c r="J4764" t="s">
        <v>16345</v>
      </c>
      <c r="K4764" s="2" t="str">
        <f>HYPERLINK("http://collections.slsa.sa.gov.au/mpcimg/30750/B30662.htm")</f>
        <v>http://collections.slsa.sa.gov.au/mpcimg/30750/B30662.htm</v>
      </c>
    </row>
    <row r="4765" spans="1:11" x14ac:dyDescent="0.25">
      <c r="A4765" t="s">
        <v>16346</v>
      </c>
      <c r="B4765" s="1" t="str">
        <f>HYPERLINK("https://www.catalog.slsa.sa.gov.au/record=b2038989")</f>
        <v>https://www.catalog.slsa.sa.gov.au/record=b2038989</v>
      </c>
      <c r="C4765" s="1" t="str">
        <f>HYPERLINK("https://www.catalog.slsa.sa.gov.au/xrecord=b2038989")</f>
        <v>https://www.catalog.slsa.sa.gov.au/xrecord=b2038989</v>
      </c>
      <c r="E4765" t="s">
        <v>16347</v>
      </c>
      <c r="F4765" t="s">
        <v>1926</v>
      </c>
      <c r="G4765" t="s">
        <v>15703</v>
      </c>
      <c r="H4765" t="s">
        <v>16348</v>
      </c>
      <c r="I4765" t="s">
        <v>16349</v>
      </c>
      <c r="J4765" t="s">
        <v>16345</v>
      </c>
      <c r="K4765" s="2" t="str">
        <f>HYPERLINK("http://collections.slsa.sa.gov.au/mpcimg/30750/B30674.htm")</f>
        <v>http://collections.slsa.sa.gov.au/mpcimg/30750/B30674.htm</v>
      </c>
    </row>
    <row r="4766" spans="1:11" x14ac:dyDescent="0.25">
      <c r="A4766" t="s">
        <v>16350</v>
      </c>
      <c r="B4766" s="1" t="str">
        <f>HYPERLINK("https://www.catalog.slsa.sa.gov.au/record=b2038990")</f>
        <v>https://www.catalog.slsa.sa.gov.au/record=b2038990</v>
      </c>
      <c r="C4766" s="1" t="str">
        <f>HYPERLINK("https://www.catalog.slsa.sa.gov.au/xrecord=b2038990")</f>
        <v>https://www.catalog.slsa.sa.gov.au/xrecord=b2038990</v>
      </c>
      <c r="E4766" t="s">
        <v>16351</v>
      </c>
      <c r="F4766" t="s">
        <v>1926</v>
      </c>
      <c r="G4766" t="s">
        <v>16352</v>
      </c>
      <c r="H4766" t="s">
        <v>16353</v>
      </c>
      <c r="I4766" t="s">
        <v>16349</v>
      </c>
      <c r="J4766" t="s">
        <v>16345</v>
      </c>
      <c r="K4766" s="2" t="str">
        <f>HYPERLINK("http://collections.slsa.sa.gov.au/mpcimg/30750/B30675.htm")</f>
        <v>http://collections.slsa.sa.gov.au/mpcimg/30750/B30675.htm</v>
      </c>
    </row>
    <row r="4767" spans="1:11" x14ac:dyDescent="0.25">
      <c r="A4767" t="s">
        <v>16354</v>
      </c>
      <c r="B4767" s="1" t="str">
        <f>HYPERLINK("https://www.catalog.slsa.sa.gov.au/record=b2038991")</f>
        <v>https://www.catalog.slsa.sa.gov.au/record=b2038991</v>
      </c>
      <c r="C4767" s="1" t="str">
        <f>HYPERLINK("https://www.catalog.slsa.sa.gov.au/xrecord=b2038991")</f>
        <v>https://www.catalog.slsa.sa.gov.au/xrecord=b2038991</v>
      </c>
      <c r="E4767" t="s">
        <v>16351</v>
      </c>
      <c r="F4767" t="s">
        <v>1926</v>
      </c>
      <c r="G4767" t="s">
        <v>16355</v>
      </c>
      <c r="H4767" t="s">
        <v>16353</v>
      </c>
      <c r="I4767" t="s">
        <v>16356</v>
      </c>
      <c r="J4767" t="s">
        <v>16345</v>
      </c>
      <c r="K4767" s="2" t="str">
        <f>HYPERLINK("http://collections.slsa.sa.gov.au/mpcimg/30750/B30676.htm")</f>
        <v>http://collections.slsa.sa.gov.au/mpcimg/30750/B30676.htm</v>
      </c>
    </row>
    <row r="4768" spans="1:11" x14ac:dyDescent="0.25">
      <c r="A4768" t="s">
        <v>16357</v>
      </c>
      <c r="B4768" s="1" t="str">
        <f>HYPERLINK("https://www.catalog.slsa.sa.gov.au/record=b2038992")</f>
        <v>https://www.catalog.slsa.sa.gov.au/record=b2038992</v>
      </c>
      <c r="C4768" s="1" t="str">
        <f>HYPERLINK("https://www.catalog.slsa.sa.gov.au/xrecord=b2038992")</f>
        <v>https://www.catalog.slsa.sa.gov.au/xrecord=b2038992</v>
      </c>
      <c r="E4768" t="s">
        <v>16351</v>
      </c>
      <c r="F4768" t="s">
        <v>1926</v>
      </c>
      <c r="G4768" t="s">
        <v>16358</v>
      </c>
      <c r="H4768" t="s">
        <v>16353</v>
      </c>
      <c r="I4768" t="s">
        <v>16349</v>
      </c>
      <c r="J4768" t="s">
        <v>16345</v>
      </c>
      <c r="K4768" s="2" t="str">
        <f>HYPERLINK("http://collections.slsa.sa.gov.au/mpcimg/30750/B30677.htm")</f>
        <v>http://collections.slsa.sa.gov.au/mpcimg/30750/B30677.htm</v>
      </c>
    </row>
    <row r="4769" spans="1:11" x14ac:dyDescent="0.25">
      <c r="A4769" t="s">
        <v>16359</v>
      </c>
      <c r="B4769" s="1" t="str">
        <f>HYPERLINK("https://www.catalog.slsa.sa.gov.au/record=b2038993")</f>
        <v>https://www.catalog.slsa.sa.gov.au/record=b2038993</v>
      </c>
      <c r="C4769" s="1" t="str">
        <f>HYPERLINK("https://www.catalog.slsa.sa.gov.au/xrecord=b2038993")</f>
        <v>https://www.catalog.slsa.sa.gov.au/xrecord=b2038993</v>
      </c>
      <c r="E4769" t="s">
        <v>16351</v>
      </c>
      <c r="F4769" t="s">
        <v>1926</v>
      </c>
      <c r="G4769" t="s">
        <v>16360</v>
      </c>
      <c r="H4769" t="s">
        <v>16353</v>
      </c>
      <c r="I4769" t="s">
        <v>16349</v>
      </c>
      <c r="J4769" t="s">
        <v>16345</v>
      </c>
      <c r="K4769" s="2" t="str">
        <f>HYPERLINK("http://collections.slsa.sa.gov.au/mpcimg/30750/B30678.htm")</f>
        <v>http://collections.slsa.sa.gov.au/mpcimg/30750/B30678.htm</v>
      </c>
    </row>
    <row r="4770" spans="1:11" x14ac:dyDescent="0.25">
      <c r="A4770" t="s">
        <v>16361</v>
      </c>
      <c r="B4770" s="1" t="str">
        <f>HYPERLINK("https://www.catalog.slsa.sa.gov.au/record=b2038994")</f>
        <v>https://www.catalog.slsa.sa.gov.au/record=b2038994</v>
      </c>
      <c r="C4770" s="1" t="str">
        <f>HYPERLINK("https://www.catalog.slsa.sa.gov.au/xrecord=b2038994")</f>
        <v>https://www.catalog.slsa.sa.gov.au/xrecord=b2038994</v>
      </c>
      <c r="E4770" t="s">
        <v>16351</v>
      </c>
      <c r="F4770" t="s">
        <v>1926</v>
      </c>
      <c r="G4770" t="s">
        <v>16362</v>
      </c>
      <c r="H4770" t="s">
        <v>16353</v>
      </c>
      <c r="I4770" t="s">
        <v>16349</v>
      </c>
      <c r="J4770" t="s">
        <v>16345</v>
      </c>
      <c r="K4770" s="2" t="str">
        <f>HYPERLINK("http://collections.slsa.sa.gov.au/mpcimg/30750/B30679.htm")</f>
        <v>http://collections.slsa.sa.gov.au/mpcimg/30750/B30679.htm</v>
      </c>
    </row>
    <row r="4771" spans="1:11" x14ac:dyDescent="0.25">
      <c r="A4771" t="s">
        <v>16363</v>
      </c>
      <c r="B4771" s="1" t="str">
        <f>HYPERLINK("https://www.catalog.slsa.sa.gov.au/record=b2038995")</f>
        <v>https://www.catalog.slsa.sa.gov.au/record=b2038995</v>
      </c>
      <c r="C4771" s="1" t="str">
        <f>HYPERLINK("https://www.catalog.slsa.sa.gov.au/xrecord=b2038995")</f>
        <v>https://www.catalog.slsa.sa.gov.au/xrecord=b2038995</v>
      </c>
      <c r="E4771" t="s">
        <v>16351</v>
      </c>
      <c r="F4771" t="s">
        <v>1926</v>
      </c>
      <c r="G4771" t="s">
        <v>16364</v>
      </c>
      <c r="H4771" t="s">
        <v>16353</v>
      </c>
      <c r="I4771" t="s">
        <v>16349</v>
      </c>
      <c r="J4771" t="s">
        <v>16345</v>
      </c>
      <c r="K4771" s="2" t="str">
        <f>HYPERLINK("http://collections.slsa.sa.gov.au/mpcimg/30750/B30680.htm")</f>
        <v>http://collections.slsa.sa.gov.au/mpcimg/30750/B30680.htm</v>
      </c>
    </row>
    <row r="4772" spans="1:11" x14ac:dyDescent="0.25">
      <c r="A4772" t="s">
        <v>16365</v>
      </c>
      <c r="B4772" s="1" t="str">
        <f>HYPERLINK("https://www.catalog.slsa.sa.gov.au/record=b2039176")</f>
        <v>https://www.catalog.slsa.sa.gov.au/record=b2039176</v>
      </c>
      <c r="C4772" s="1" t="str">
        <f>HYPERLINK("https://www.catalog.slsa.sa.gov.au/xrecord=b2039176")</f>
        <v>https://www.catalog.slsa.sa.gov.au/xrecord=b2039176</v>
      </c>
      <c r="E4772" t="s">
        <v>16366</v>
      </c>
      <c r="F4772" t="s">
        <v>1926</v>
      </c>
      <c r="G4772" t="s">
        <v>16367</v>
      </c>
      <c r="H4772" t="s">
        <v>16368</v>
      </c>
      <c r="I4772" t="s">
        <v>16369</v>
      </c>
      <c r="J4772" t="s">
        <v>16370</v>
      </c>
      <c r="K4772" s="2" t="str">
        <f>HYPERLINK("http://collections.slsa.sa.gov.au/mpcimg/41000/B40819.htm")</f>
        <v>http://collections.slsa.sa.gov.au/mpcimg/41000/B40819.htm</v>
      </c>
    </row>
    <row r="4773" spans="1:11" x14ac:dyDescent="0.25">
      <c r="A4773" t="s">
        <v>16371</v>
      </c>
      <c r="B4773" s="1" t="str">
        <f>HYPERLINK("https://www.catalog.slsa.sa.gov.au/record=b2039223")</f>
        <v>https://www.catalog.slsa.sa.gov.au/record=b2039223</v>
      </c>
      <c r="C4773" s="1" t="str">
        <f>HYPERLINK("https://www.catalog.slsa.sa.gov.au/xrecord=b2039223")</f>
        <v>https://www.catalog.slsa.sa.gov.au/xrecord=b2039223</v>
      </c>
      <c r="D4773" t="s">
        <v>15044</v>
      </c>
      <c r="E4773" t="s">
        <v>16372</v>
      </c>
      <c r="F4773" t="s">
        <v>1926</v>
      </c>
      <c r="G4773" t="s">
        <v>15046</v>
      </c>
      <c r="H4773" t="s">
        <v>16373</v>
      </c>
      <c r="I4773" t="s">
        <v>16374</v>
      </c>
      <c r="J4773" t="s">
        <v>16375</v>
      </c>
      <c r="K4773" s="2" t="str">
        <f>HYPERLINK("http://collections.slsa.sa.gov.au/mpcimg/09250/B9079.htm")</f>
        <v>http://collections.slsa.sa.gov.au/mpcimg/09250/B9079.htm</v>
      </c>
    </row>
    <row r="4774" spans="1:11" x14ac:dyDescent="0.25">
      <c r="A4774" t="s">
        <v>16376</v>
      </c>
      <c r="B4774" s="1" t="str">
        <f>HYPERLINK("https://www.catalog.slsa.sa.gov.au/record=b2039308")</f>
        <v>https://www.catalog.slsa.sa.gov.au/record=b2039308</v>
      </c>
      <c r="C4774" s="1" t="str">
        <f>HYPERLINK("https://www.catalog.slsa.sa.gov.au/xrecord=b2039308")</f>
        <v>https://www.catalog.slsa.sa.gov.au/xrecord=b2039308</v>
      </c>
      <c r="E4774" t="s">
        <v>16377</v>
      </c>
      <c r="F4774" t="s">
        <v>1926</v>
      </c>
      <c r="G4774" t="s">
        <v>16378</v>
      </c>
      <c r="H4774" t="s">
        <v>16379</v>
      </c>
      <c r="I4774" t="s">
        <v>16380</v>
      </c>
      <c r="J4774" t="s">
        <v>16375</v>
      </c>
      <c r="K4774" s="2" t="str">
        <f>HYPERLINK("http://collections.slsa.sa.gov.au/mpcimg/50500/B50378.htm")</f>
        <v>http://collections.slsa.sa.gov.au/mpcimg/50500/B50378.htm</v>
      </c>
    </row>
    <row r="4775" spans="1:11" x14ac:dyDescent="0.25">
      <c r="A4775" t="s">
        <v>16381</v>
      </c>
      <c r="B4775" s="1" t="str">
        <f>HYPERLINK("https://www.catalog.slsa.sa.gov.au/record=b2039329")</f>
        <v>https://www.catalog.slsa.sa.gov.au/record=b2039329</v>
      </c>
      <c r="C4775" s="1" t="str">
        <f>HYPERLINK("https://www.catalog.slsa.sa.gov.au/xrecord=b2039329")</f>
        <v>https://www.catalog.slsa.sa.gov.au/xrecord=b2039329</v>
      </c>
      <c r="E4775" t="s">
        <v>16382</v>
      </c>
      <c r="F4775" t="s">
        <v>1926</v>
      </c>
      <c r="G4775" t="s">
        <v>16383</v>
      </c>
      <c r="H4775" t="s">
        <v>16384</v>
      </c>
      <c r="I4775" t="s">
        <v>16385</v>
      </c>
      <c r="J4775" t="s">
        <v>2975</v>
      </c>
      <c r="K4775" s="2" t="str">
        <f>HYPERLINK("http://collections.slsa.sa.gov.au/mpcimg/42250/B42115.htm")</f>
        <v>http://collections.slsa.sa.gov.au/mpcimg/42250/B42115.htm</v>
      </c>
    </row>
    <row r="4776" spans="1:11" x14ac:dyDescent="0.25">
      <c r="A4776" t="s">
        <v>16386</v>
      </c>
      <c r="B4776" s="1" t="str">
        <f>HYPERLINK("https://www.catalog.slsa.sa.gov.au/record=b2039330")</f>
        <v>https://www.catalog.slsa.sa.gov.au/record=b2039330</v>
      </c>
      <c r="C4776" s="1" t="str">
        <f>HYPERLINK("https://www.catalog.slsa.sa.gov.au/xrecord=b2039330")</f>
        <v>https://www.catalog.slsa.sa.gov.au/xrecord=b2039330</v>
      </c>
      <c r="E4776" t="s">
        <v>16382</v>
      </c>
      <c r="F4776" t="s">
        <v>1926</v>
      </c>
      <c r="G4776" t="s">
        <v>16383</v>
      </c>
      <c r="H4776" t="s">
        <v>16387</v>
      </c>
      <c r="J4776" t="s">
        <v>2975</v>
      </c>
      <c r="K4776" s="2" t="str">
        <f>HYPERLINK("http://collections.slsa.sa.gov.au/mpcimg/42250/B42116.htm")</f>
        <v>http://collections.slsa.sa.gov.au/mpcimg/42250/B42116.htm</v>
      </c>
    </row>
    <row r="4777" spans="1:11" x14ac:dyDescent="0.25">
      <c r="A4777" t="s">
        <v>16388</v>
      </c>
      <c r="B4777" s="1" t="str">
        <f>HYPERLINK("https://www.catalog.slsa.sa.gov.au/record=b2039466")</f>
        <v>https://www.catalog.slsa.sa.gov.au/record=b2039466</v>
      </c>
      <c r="C4777" s="1" t="str">
        <f>HYPERLINK("https://www.catalog.slsa.sa.gov.au/xrecord=b2039466")</f>
        <v>https://www.catalog.slsa.sa.gov.au/xrecord=b2039466</v>
      </c>
      <c r="E4777" t="s">
        <v>16389</v>
      </c>
      <c r="F4777" t="s">
        <v>1926</v>
      </c>
      <c r="G4777" t="s">
        <v>15147</v>
      </c>
      <c r="H4777" t="s">
        <v>16390</v>
      </c>
      <c r="I4777" t="s">
        <v>16391</v>
      </c>
      <c r="J4777" t="s">
        <v>16392</v>
      </c>
      <c r="K4777" s="2" t="str">
        <f>HYPERLINK("http://collections.slsa.sa.gov.au/mpcimg/38750/B38626.htm")</f>
        <v>http://collections.slsa.sa.gov.au/mpcimg/38750/B38626.htm</v>
      </c>
    </row>
    <row r="4778" spans="1:11" x14ac:dyDescent="0.25">
      <c r="A4778" t="s">
        <v>16393</v>
      </c>
      <c r="B4778" s="1" t="str">
        <f>HYPERLINK("https://www.catalog.slsa.sa.gov.au/record=b2039467")</f>
        <v>https://www.catalog.slsa.sa.gov.au/record=b2039467</v>
      </c>
      <c r="C4778" s="1" t="str">
        <f>HYPERLINK("https://www.catalog.slsa.sa.gov.au/xrecord=b2039467")</f>
        <v>https://www.catalog.slsa.sa.gov.au/xrecord=b2039467</v>
      </c>
      <c r="E4778" t="s">
        <v>16394</v>
      </c>
      <c r="F4778" t="s">
        <v>1926</v>
      </c>
      <c r="G4778" t="s">
        <v>15147</v>
      </c>
      <c r="H4778" t="s">
        <v>16395</v>
      </c>
      <c r="I4778" t="s">
        <v>16396</v>
      </c>
      <c r="J4778" t="s">
        <v>16392</v>
      </c>
      <c r="K4778" s="2" t="str">
        <f>HYPERLINK("http://collections.slsa.sa.gov.au/mpcimg/38750/B38627.htm")</f>
        <v>http://collections.slsa.sa.gov.au/mpcimg/38750/B38627.htm</v>
      </c>
    </row>
    <row r="4779" spans="1:11" x14ac:dyDescent="0.25">
      <c r="A4779" t="s">
        <v>16397</v>
      </c>
      <c r="B4779" s="1" t="str">
        <f>HYPERLINK("https://www.catalog.slsa.sa.gov.au/record=b2039469")</f>
        <v>https://www.catalog.slsa.sa.gov.au/record=b2039469</v>
      </c>
      <c r="C4779" s="1" t="str">
        <f>HYPERLINK("https://www.catalog.slsa.sa.gov.au/xrecord=b2039469")</f>
        <v>https://www.catalog.slsa.sa.gov.au/xrecord=b2039469</v>
      </c>
      <c r="E4779" t="s">
        <v>16398</v>
      </c>
      <c r="F4779" t="s">
        <v>1926</v>
      </c>
      <c r="G4779" t="s">
        <v>15147</v>
      </c>
      <c r="H4779" t="s">
        <v>16399</v>
      </c>
      <c r="I4779" t="s">
        <v>16400</v>
      </c>
      <c r="J4779" t="s">
        <v>16392</v>
      </c>
      <c r="K4779" s="2" t="str">
        <f>HYPERLINK("http://collections.slsa.sa.gov.au/mpcimg/38750/B38629.htm")</f>
        <v>http://collections.slsa.sa.gov.au/mpcimg/38750/B38629.htm</v>
      </c>
    </row>
    <row r="4780" spans="1:11" x14ac:dyDescent="0.25">
      <c r="A4780" t="s">
        <v>16401</v>
      </c>
      <c r="B4780" s="1" t="str">
        <f>HYPERLINK("https://www.catalog.slsa.sa.gov.au/record=b2039473")</f>
        <v>https://www.catalog.slsa.sa.gov.au/record=b2039473</v>
      </c>
      <c r="C4780" s="1" t="str">
        <f>HYPERLINK("https://www.catalog.slsa.sa.gov.au/xrecord=b2039473")</f>
        <v>https://www.catalog.slsa.sa.gov.au/xrecord=b2039473</v>
      </c>
      <c r="E4780" t="s">
        <v>16402</v>
      </c>
      <c r="F4780" t="s">
        <v>1926</v>
      </c>
      <c r="G4780" t="s">
        <v>15147</v>
      </c>
      <c r="H4780" t="s">
        <v>16403</v>
      </c>
      <c r="J4780" t="s">
        <v>16392</v>
      </c>
      <c r="K4780" s="2" t="str">
        <f>HYPERLINK("http://collections.slsa.sa.gov.au/mpcimg/38750/B38633.htm")</f>
        <v>http://collections.slsa.sa.gov.au/mpcimg/38750/B38633.htm</v>
      </c>
    </row>
    <row r="4781" spans="1:11" x14ac:dyDescent="0.25">
      <c r="A4781" t="s">
        <v>16404</v>
      </c>
      <c r="B4781" s="1" t="str">
        <f>HYPERLINK("https://www.catalog.slsa.sa.gov.au/record=b2039511")</f>
        <v>https://www.catalog.slsa.sa.gov.au/record=b2039511</v>
      </c>
      <c r="C4781" s="1" t="str">
        <f>HYPERLINK("https://www.catalog.slsa.sa.gov.au/xrecord=b2039511")</f>
        <v>https://www.catalog.slsa.sa.gov.au/xrecord=b2039511</v>
      </c>
      <c r="E4781" t="s">
        <v>16405</v>
      </c>
      <c r="F4781" t="s">
        <v>1926</v>
      </c>
      <c r="G4781" t="s">
        <v>15147</v>
      </c>
      <c r="H4781" t="s">
        <v>16406</v>
      </c>
      <c r="I4781" t="s">
        <v>16407</v>
      </c>
      <c r="J4781" t="s">
        <v>16392</v>
      </c>
      <c r="K4781" s="2" t="str">
        <f>HYPERLINK("http://collections.slsa.sa.gov.au/mpcimg/38750/B38696.htm")</f>
        <v>http://collections.slsa.sa.gov.au/mpcimg/38750/B38696.htm</v>
      </c>
    </row>
    <row r="4782" spans="1:11" x14ac:dyDescent="0.25">
      <c r="A4782" t="s">
        <v>16408</v>
      </c>
      <c r="B4782" s="1" t="str">
        <f>HYPERLINK("https://www.catalog.slsa.sa.gov.au/record=b2039512")</f>
        <v>https://www.catalog.slsa.sa.gov.au/record=b2039512</v>
      </c>
      <c r="C4782" s="1" t="str">
        <f>HYPERLINK("https://www.catalog.slsa.sa.gov.au/xrecord=b2039512")</f>
        <v>https://www.catalog.slsa.sa.gov.au/xrecord=b2039512</v>
      </c>
      <c r="E4782" t="s">
        <v>16405</v>
      </c>
      <c r="F4782" t="s">
        <v>1926</v>
      </c>
      <c r="G4782" t="s">
        <v>15147</v>
      </c>
      <c r="H4782" t="s">
        <v>16406</v>
      </c>
      <c r="I4782" t="s">
        <v>16407</v>
      </c>
      <c r="J4782" t="s">
        <v>16392</v>
      </c>
      <c r="K4782" s="2" t="str">
        <f>HYPERLINK("http://collections.slsa.sa.gov.au/mpcimg/38750/B38697.htm")</f>
        <v>http://collections.slsa.sa.gov.au/mpcimg/38750/B38697.htm</v>
      </c>
    </row>
    <row r="4783" spans="1:11" x14ac:dyDescent="0.25">
      <c r="A4783" t="s">
        <v>16409</v>
      </c>
      <c r="B4783" s="1" t="str">
        <f>HYPERLINK("https://www.catalog.slsa.sa.gov.au/record=b2039513")</f>
        <v>https://www.catalog.slsa.sa.gov.au/record=b2039513</v>
      </c>
      <c r="C4783" s="1" t="str">
        <f>HYPERLINK("https://www.catalog.slsa.sa.gov.au/xrecord=b2039513")</f>
        <v>https://www.catalog.slsa.sa.gov.au/xrecord=b2039513</v>
      </c>
      <c r="E4783" t="s">
        <v>16405</v>
      </c>
      <c r="F4783" t="s">
        <v>1926</v>
      </c>
      <c r="G4783" t="s">
        <v>15147</v>
      </c>
      <c r="H4783" t="s">
        <v>16406</v>
      </c>
      <c r="I4783" t="s">
        <v>16407</v>
      </c>
      <c r="J4783" t="s">
        <v>16392</v>
      </c>
      <c r="K4783" s="2" t="str">
        <f>HYPERLINK("http://collections.slsa.sa.gov.au/mpcimg/38750/B38698.htm")</f>
        <v>http://collections.slsa.sa.gov.au/mpcimg/38750/B38698.htm</v>
      </c>
    </row>
    <row r="4784" spans="1:11" x14ac:dyDescent="0.25">
      <c r="A4784" t="s">
        <v>16410</v>
      </c>
      <c r="B4784" s="1" t="str">
        <f>HYPERLINK("https://www.catalog.slsa.sa.gov.au/record=b2039514")</f>
        <v>https://www.catalog.slsa.sa.gov.au/record=b2039514</v>
      </c>
      <c r="C4784" s="1" t="str">
        <f>HYPERLINK("https://www.catalog.slsa.sa.gov.au/xrecord=b2039514")</f>
        <v>https://www.catalog.slsa.sa.gov.au/xrecord=b2039514</v>
      </c>
      <c r="E4784" t="s">
        <v>16405</v>
      </c>
      <c r="F4784" t="s">
        <v>1926</v>
      </c>
      <c r="G4784" t="s">
        <v>15147</v>
      </c>
      <c r="H4784" t="s">
        <v>16406</v>
      </c>
      <c r="I4784" t="s">
        <v>16407</v>
      </c>
      <c r="J4784" t="s">
        <v>16392</v>
      </c>
      <c r="K4784" s="2" t="str">
        <f>HYPERLINK("http://collections.slsa.sa.gov.au/mpcimg/38750/B38699.htm")</f>
        <v>http://collections.slsa.sa.gov.au/mpcimg/38750/B38699.htm</v>
      </c>
    </row>
    <row r="4785" spans="1:11" x14ac:dyDescent="0.25">
      <c r="A4785" t="s">
        <v>16411</v>
      </c>
      <c r="B4785" s="1" t="str">
        <f>HYPERLINK("https://www.catalog.slsa.sa.gov.au/record=b2039515")</f>
        <v>https://www.catalog.slsa.sa.gov.au/record=b2039515</v>
      </c>
      <c r="C4785" s="1" t="str">
        <f>HYPERLINK("https://www.catalog.slsa.sa.gov.au/xrecord=b2039515")</f>
        <v>https://www.catalog.slsa.sa.gov.au/xrecord=b2039515</v>
      </c>
      <c r="E4785" t="s">
        <v>16405</v>
      </c>
      <c r="F4785" t="s">
        <v>1926</v>
      </c>
      <c r="G4785" t="s">
        <v>15147</v>
      </c>
      <c r="H4785" t="s">
        <v>16406</v>
      </c>
      <c r="I4785" t="s">
        <v>16407</v>
      </c>
      <c r="J4785" t="s">
        <v>16392</v>
      </c>
      <c r="K4785" s="2" t="str">
        <f>HYPERLINK("http://collections.slsa.sa.gov.au/mpcimg/38750/B38700.htm")</f>
        <v>http://collections.slsa.sa.gov.au/mpcimg/38750/B38700.htm</v>
      </c>
    </row>
    <row r="4786" spans="1:11" x14ac:dyDescent="0.25">
      <c r="A4786" t="s">
        <v>16412</v>
      </c>
      <c r="B4786" s="1" t="str">
        <f>HYPERLINK("https://www.catalog.slsa.sa.gov.au/record=b2039516")</f>
        <v>https://www.catalog.slsa.sa.gov.au/record=b2039516</v>
      </c>
      <c r="C4786" s="1" t="str">
        <f>HYPERLINK("https://www.catalog.slsa.sa.gov.au/xrecord=b2039516")</f>
        <v>https://www.catalog.slsa.sa.gov.au/xrecord=b2039516</v>
      </c>
      <c r="E4786" t="s">
        <v>16405</v>
      </c>
      <c r="F4786" t="s">
        <v>1926</v>
      </c>
      <c r="G4786" t="s">
        <v>15147</v>
      </c>
      <c r="H4786" t="s">
        <v>16406</v>
      </c>
      <c r="I4786" t="s">
        <v>16407</v>
      </c>
      <c r="J4786" t="s">
        <v>16392</v>
      </c>
      <c r="K4786" s="2" t="str">
        <f>HYPERLINK("http://collections.slsa.sa.gov.au/mpcimg/38750/B38701.htm")</f>
        <v>http://collections.slsa.sa.gov.au/mpcimg/38750/B38701.htm</v>
      </c>
    </row>
    <row r="4787" spans="1:11" x14ac:dyDescent="0.25">
      <c r="A4787" t="s">
        <v>16413</v>
      </c>
      <c r="B4787" s="1" t="str">
        <f>HYPERLINK("https://www.catalog.slsa.sa.gov.au/record=b2039517")</f>
        <v>https://www.catalog.slsa.sa.gov.au/record=b2039517</v>
      </c>
      <c r="C4787" s="1" t="str">
        <f>HYPERLINK("https://www.catalog.slsa.sa.gov.au/xrecord=b2039517")</f>
        <v>https://www.catalog.slsa.sa.gov.au/xrecord=b2039517</v>
      </c>
      <c r="E4787" t="s">
        <v>16405</v>
      </c>
      <c r="F4787" t="s">
        <v>1926</v>
      </c>
      <c r="G4787" t="s">
        <v>15147</v>
      </c>
      <c r="H4787" t="s">
        <v>16406</v>
      </c>
      <c r="I4787" t="s">
        <v>16407</v>
      </c>
      <c r="J4787" t="s">
        <v>16392</v>
      </c>
      <c r="K4787" s="2" t="str">
        <f>HYPERLINK("http://collections.slsa.sa.gov.au/mpcimg/38750/B38702.htm")</f>
        <v>http://collections.slsa.sa.gov.au/mpcimg/38750/B38702.htm</v>
      </c>
    </row>
    <row r="4788" spans="1:11" x14ac:dyDescent="0.25">
      <c r="A4788" t="s">
        <v>16414</v>
      </c>
      <c r="B4788" s="1" t="str">
        <f>HYPERLINK("https://www.catalog.slsa.sa.gov.au/record=b2039518")</f>
        <v>https://www.catalog.slsa.sa.gov.au/record=b2039518</v>
      </c>
      <c r="C4788" s="1" t="str">
        <f>HYPERLINK("https://www.catalog.slsa.sa.gov.au/xrecord=b2039518")</f>
        <v>https://www.catalog.slsa.sa.gov.au/xrecord=b2039518</v>
      </c>
      <c r="E4788" t="s">
        <v>16405</v>
      </c>
      <c r="F4788" t="s">
        <v>1926</v>
      </c>
      <c r="G4788" t="s">
        <v>15147</v>
      </c>
      <c r="H4788" t="s">
        <v>16406</v>
      </c>
      <c r="I4788" t="s">
        <v>16407</v>
      </c>
      <c r="J4788" t="s">
        <v>16392</v>
      </c>
      <c r="K4788" s="2" t="str">
        <f>HYPERLINK("http://collections.slsa.sa.gov.au/mpcimg/38750/B38703.htm")</f>
        <v>http://collections.slsa.sa.gov.au/mpcimg/38750/B38703.htm</v>
      </c>
    </row>
    <row r="4789" spans="1:11" x14ac:dyDescent="0.25">
      <c r="A4789" t="s">
        <v>16415</v>
      </c>
      <c r="B4789" s="1" t="str">
        <f>HYPERLINK("https://www.catalog.slsa.sa.gov.au/record=b2039519")</f>
        <v>https://www.catalog.slsa.sa.gov.au/record=b2039519</v>
      </c>
      <c r="C4789" s="1" t="str">
        <f>HYPERLINK("https://www.catalog.slsa.sa.gov.au/xrecord=b2039519")</f>
        <v>https://www.catalog.slsa.sa.gov.au/xrecord=b2039519</v>
      </c>
      <c r="E4789" t="s">
        <v>16405</v>
      </c>
      <c r="F4789" t="s">
        <v>1926</v>
      </c>
      <c r="G4789" t="s">
        <v>15147</v>
      </c>
      <c r="H4789" t="s">
        <v>16406</v>
      </c>
      <c r="I4789" t="s">
        <v>16407</v>
      </c>
      <c r="J4789" t="s">
        <v>16392</v>
      </c>
      <c r="K4789" s="2" t="str">
        <f>HYPERLINK("http://collections.slsa.sa.gov.au/mpcimg/38750/B38704.htm")</f>
        <v>http://collections.slsa.sa.gov.au/mpcimg/38750/B38704.htm</v>
      </c>
    </row>
    <row r="4790" spans="1:11" x14ac:dyDescent="0.25">
      <c r="A4790" t="s">
        <v>16416</v>
      </c>
      <c r="B4790" s="1" t="str">
        <f>HYPERLINK("https://www.catalog.slsa.sa.gov.au/record=b2039715")</f>
        <v>https://www.catalog.slsa.sa.gov.au/record=b2039715</v>
      </c>
      <c r="C4790" s="1" t="str">
        <f>HYPERLINK("https://www.catalog.slsa.sa.gov.au/xrecord=b2039715")</f>
        <v>https://www.catalog.slsa.sa.gov.au/xrecord=b2039715</v>
      </c>
      <c r="D4790" t="s">
        <v>16417</v>
      </c>
      <c r="E4790" t="s">
        <v>16418</v>
      </c>
      <c r="F4790" t="s">
        <v>1926</v>
      </c>
      <c r="G4790" t="s">
        <v>16419</v>
      </c>
      <c r="H4790" t="s">
        <v>16420</v>
      </c>
      <c r="J4790" t="s">
        <v>16421</v>
      </c>
      <c r="K4790" s="2" t="str">
        <f>HYPERLINK("http://collections.slsa.sa.gov.au/mpcimg/40500/B40406.htm")</f>
        <v>http://collections.slsa.sa.gov.au/mpcimg/40500/B40406.htm</v>
      </c>
    </row>
    <row r="4791" spans="1:11" x14ac:dyDescent="0.25">
      <c r="A4791" t="s">
        <v>16422</v>
      </c>
      <c r="B4791" s="1" t="str">
        <f>HYPERLINK("https://www.catalog.slsa.sa.gov.au/record=b2039716")</f>
        <v>https://www.catalog.slsa.sa.gov.au/record=b2039716</v>
      </c>
      <c r="C4791" s="1" t="str">
        <f>HYPERLINK("https://www.catalog.slsa.sa.gov.au/xrecord=b2039716")</f>
        <v>https://www.catalog.slsa.sa.gov.au/xrecord=b2039716</v>
      </c>
      <c r="D4791" t="s">
        <v>16423</v>
      </c>
      <c r="E4791" t="s">
        <v>16424</v>
      </c>
      <c r="F4791" t="s">
        <v>1926</v>
      </c>
      <c r="G4791" t="s">
        <v>16425</v>
      </c>
      <c r="H4791" t="s">
        <v>16426</v>
      </c>
      <c r="J4791" t="s">
        <v>16421</v>
      </c>
      <c r="K4791" s="2" t="str">
        <f>HYPERLINK("http://collections.slsa.sa.gov.au/mpcimg/40500/B40408.htm")</f>
        <v>http://collections.slsa.sa.gov.au/mpcimg/40500/B40408.htm</v>
      </c>
    </row>
    <row r="4792" spans="1:11" x14ac:dyDescent="0.25">
      <c r="A4792" t="s">
        <v>16427</v>
      </c>
      <c r="B4792" s="1" t="str">
        <f>HYPERLINK("https://www.catalog.slsa.sa.gov.au/record=b2039732")</f>
        <v>https://www.catalog.slsa.sa.gov.au/record=b2039732</v>
      </c>
      <c r="C4792" s="1" t="str">
        <f>HYPERLINK("https://www.catalog.slsa.sa.gov.au/xrecord=b2039732")</f>
        <v>https://www.catalog.slsa.sa.gov.au/xrecord=b2039732</v>
      </c>
      <c r="E4792" t="s">
        <v>16428</v>
      </c>
      <c r="F4792" t="s">
        <v>1926</v>
      </c>
      <c r="G4792" t="s">
        <v>15771</v>
      </c>
      <c r="H4792" t="s">
        <v>16429</v>
      </c>
      <c r="I4792" t="s">
        <v>16430</v>
      </c>
      <c r="J4792" t="s">
        <v>16421</v>
      </c>
      <c r="K4792" s="2" t="str">
        <f>HYPERLINK("http://collections.slsa.sa.gov.au/mpcimg/42250/B42011.htm")</f>
        <v>http://collections.slsa.sa.gov.au/mpcimg/42250/B42011.htm</v>
      </c>
    </row>
    <row r="4793" spans="1:11" x14ac:dyDescent="0.25">
      <c r="A4793" t="s">
        <v>16431</v>
      </c>
      <c r="B4793" s="1" t="str">
        <f>HYPERLINK("https://www.catalog.slsa.sa.gov.au/record=b2039733")</f>
        <v>https://www.catalog.slsa.sa.gov.au/record=b2039733</v>
      </c>
      <c r="C4793" s="1" t="str">
        <f>HYPERLINK("https://www.catalog.slsa.sa.gov.au/xrecord=b2039733")</f>
        <v>https://www.catalog.slsa.sa.gov.au/xrecord=b2039733</v>
      </c>
      <c r="D4793" t="s">
        <v>16432</v>
      </c>
      <c r="E4793" t="s">
        <v>16433</v>
      </c>
      <c r="F4793" t="s">
        <v>1926</v>
      </c>
      <c r="G4793" t="s">
        <v>16434</v>
      </c>
      <c r="H4793" t="s">
        <v>16435</v>
      </c>
      <c r="I4793" t="s">
        <v>16436</v>
      </c>
      <c r="J4793" t="s">
        <v>16421</v>
      </c>
      <c r="K4793" s="2" t="str">
        <f>HYPERLINK("http://collections.slsa.sa.gov.au/mpcimg/42250/B42021.htm")</f>
        <v>http://collections.slsa.sa.gov.au/mpcimg/42250/B42021.htm</v>
      </c>
    </row>
    <row r="4794" spans="1:11" x14ac:dyDescent="0.25">
      <c r="A4794" t="s">
        <v>16437</v>
      </c>
      <c r="B4794" s="1" t="str">
        <f>HYPERLINK("https://www.catalog.slsa.sa.gov.au/record=b2040132")</f>
        <v>https://www.catalog.slsa.sa.gov.au/record=b2040132</v>
      </c>
      <c r="C4794" s="1" t="str">
        <f>HYPERLINK("https://www.catalog.slsa.sa.gov.au/xrecord=b2040132")</f>
        <v>https://www.catalog.slsa.sa.gov.au/xrecord=b2040132</v>
      </c>
      <c r="E4794" t="s">
        <v>16438</v>
      </c>
      <c r="F4794" t="s">
        <v>1926</v>
      </c>
      <c r="G4794" t="s">
        <v>16439</v>
      </c>
      <c r="H4794" t="s">
        <v>16440</v>
      </c>
      <c r="J4794" t="s">
        <v>16441</v>
      </c>
      <c r="K4794" s="2" t="str">
        <f>HYPERLINK("http://collections.slsa.sa.gov.au/mpcimg/46750/B46610.htm")</f>
        <v>http://collections.slsa.sa.gov.au/mpcimg/46750/B46610.htm</v>
      </c>
    </row>
    <row r="4795" spans="1:11" x14ac:dyDescent="0.25">
      <c r="A4795" t="s">
        <v>16442</v>
      </c>
      <c r="B4795" s="1" t="str">
        <f>HYPERLINK("https://www.catalog.slsa.sa.gov.au/record=b2040156")</f>
        <v>https://www.catalog.slsa.sa.gov.au/record=b2040156</v>
      </c>
      <c r="C4795" s="1" t="str">
        <f>HYPERLINK("https://www.catalog.slsa.sa.gov.au/xrecord=b2040156")</f>
        <v>https://www.catalog.slsa.sa.gov.au/xrecord=b2040156</v>
      </c>
      <c r="E4795" t="s">
        <v>16443</v>
      </c>
      <c r="F4795" t="s">
        <v>1926</v>
      </c>
      <c r="G4795" t="s">
        <v>16444</v>
      </c>
      <c r="H4795" t="s">
        <v>16445</v>
      </c>
      <c r="J4795" t="s">
        <v>16441</v>
      </c>
      <c r="K4795" s="2" t="str">
        <f>HYPERLINK("http://collections.slsa.sa.gov.au/mpcimg/46750/B46727.htm")</f>
        <v>http://collections.slsa.sa.gov.au/mpcimg/46750/B46727.htm</v>
      </c>
    </row>
    <row r="4796" spans="1:11" x14ac:dyDescent="0.25">
      <c r="A4796" t="s">
        <v>16446</v>
      </c>
      <c r="B4796" s="1" t="str">
        <f>HYPERLINK("https://www.catalog.slsa.sa.gov.au/record=b2040266")</f>
        <v>https://www.catalog.slsa.sa.gov.au/record=b2040266</v>
      </c>
      <c r="C4796" s="1" t="str">
        <f>HYPERLINK("https://www.catalog.slsa.sa.gov.au/xrecord=b2040266")</f>
        <v>https://www.catalog.slsa.sa.gov.au/xrecord=b2040266</v>
      </c>
      <c r="E4796" t="s">
        <v>16447</v>
      </c>
      <c r="F4796" t="s">
        <v>1926</v>
      </c>
      <c r="G4796" t="s">
        <v>16448</v>
      </c>
      <c r="H4796" t="s">
        <v>16449</v>
      </c>
      <c r="I4796" t="s">
        <v>16450</v>
      </c>
      <c r="J4796" t="s">
        <v>16451</v>
      </c>
      <c r="K4796" s="2" t="str">
        <f>HYPERLINK("http://collections.slsa.sa.gov.au/mpcimg/34750/B34578.htm")</f>
        <v>http://collections.slsa.sa.gov.au/mpcimg/34750/B34578.htm</v>
      </c>
    </row>
    <row r="4797" spans="1:11" x14ac:dyDescent="0.25">
      <c r="A4797" t="s">
        <v>16452</v>
      </c>
      <c r="B4797" s="1" t="str">
        <f>HYPERLINK("https://www.catalog.slsa.sa.gov.au/record=b2040443")</f>
        <v>https://www.catalog.slsa.sa.gov.au/record=b2040443</v>
      </c>
      <c r="C4797" s="1" t="str">
        <f>HYPERLINK("https://www.catalog.slsa.sa.gov.au/xrecord=b2040443")</f>
        <v>https://www.catalog.slsa.sa.gov.au/xrecord=b2040443</v>
      </c>
      <c r="E4797" t="s">
        <v>16453</v>
      </c>
      <c r="F4797" t="s">
        <v>1926</v>
      </c>
      <c r="G4797" t="s">
        <v>16454</v>
      </c>
      <c r="H4797" t="s">
        <v>16455</v>
      </c>
      <c r="I4797" t="s">
        <v>16456</v>
      </c>
      <c r="J4797" t="s">
        <v>16457</v>
      </c>
      <c r="K4797" s="2" t="str">
        <f>HYPERLINK("http://collections.slsa.sa.gov.au/mpcimg/27250/B27235.htm")</f>
        <v>http://collections.slsa.sa.gov.au/mpcimg/27250/B27235.htm</v>
      </c>
    </row>
    <row r="4798" spans="1:11" x14ac:dyDescent="0.25">
      <c r="A4798" t="s">
        <v>16458</v>
      </c>
      <c r="B4798" s="1" t="str">
        <f>HYPERLINK("https://www.catalog.slsa.sa.gov.au/record=b2040444")</f>
        <v>https://www.catalog.slsa.sa.gov.au/record=b2040444</v>
      </c>
      <c r="C4798" s="1" t="str">
        <f>HYPERLINK("https://www.catalog.slsa.sa.gov.au/xrecord=b2040444")</f>
        <v>https://www.catalog.slsa.sa.gov.au/xrecord=b2040444</v>
      </c>
      <c r="E4798" t="s">
        <v>16459</v>
      </c>
      <c r="F4798" t="s">
        <v>1926</v>
      </c>
      <c r="G4798" t="s">
        <v>15137</v>
      </c>
      <c r="H4798" t="s">
        <v>16460</v>
      </c>
      <c r="I4798" t="s">
        <v>16461</v>
      </c>
      <c r="J4798" t="s">
        <v>16457</v>
      </c>
      <c r="K4798" s="2" t="str">
        <f>HYPERLINK("http://collections.slsa.sa.gov.au/mpcimg/27250/B27236.htm")</f>
        <v>http://collections.slsa.sa.gov.au/mpcimg/27250/B27236.htm</v>
      </c>
    </row>
    <row r="4799" spans="1:11" x14ac:dyDescent="0.25">
      <c r="A4799" t="s">
        <v>16462</v>
      </c>
      <c r="B4799" s="1" t="str">
        <f>HYPERLINK("https://www.catalog.slsa.sa.gov.au/record=b2040546")</f>
        <v>https://www.catalog.slsa.sa.gov.au/record=b2040546</v>
      </c>
      <c r="C4799" s="1" t="str">
        <f>HYPERLINK("https://www.catalog.slsa.sa.gov.au/xrecord=b2040546")</f>
        <v>https://www.catalog.slsa.sa.gov.au/xrecord=b2040546</v>
      </c>
      <c r="E4799" t="s">
        <v>16463</v>
      </c>
      <c r="F4799" t="s">
        <v>1926</v>
      </c>
      <c r="G4799" t="s">
        <v>16464</v>
      </c>
      <c r="H4799" t="s">
        <v>16465</v>
      </c>
      <c r="I4799" t="s">
        <v>16466</v>
      </c>
      <c r="J4799" t="s">
        <v>16467</v>
      </c>
      <c r="K4799" s="2" t="str">
        <f>HYPERLINK("http://collections.slsa.sa.gov.au/mpcimg/12250/B12183.htm")</f>
        <v>http://collections.slsa.sa.gov.au/mpcimg/12250/B12183.htm</v>
      </c>
    </row>
    <row r="4800" spans="1:11" x14ac:dyDescent="0.25">
      <c r="A4800" t="s">
        <v>16468</v>
      </c>
      <c r="B4800" s="1" t="str">
        <f>HYPERLINK("https://www.catalog.slsa.sa.gov.au/record=b2040599")</f>
        <v>https://www.catalog.slsa.sa.gov.au/record=b2040599</v>
      </c>
      <c r="C4800" s="1" t="str">
        <f>HYPERLINK("https://www.catalog.slsa.sa.gov.au/xrecord=b2040599")</f>
        <v>https://www.catalog.slsa.sa.gov.au/xrecord=b2040599</v>
      </c>
      <c r="E4800" t="s">
        <v>16469</v>
      </c>
      <c r="F4800" t="s">
        <v>1926</v>
      </c>
      <c r="G4800" t="s">
        <v>16470</v>
      </c>
      <c r="H4800" t="s">
        <v>16471</v>
      </c>
      <c r="I4800" t="s">
        <v>16472</v>
      </c>
      <c r="J4800" t="s">
        <v>16473</v>
      </c>
      <c r="K4800" s="2" t="str">
        <f>HYPERLINK("http://collections.slsa.sa.gov.au/mpcimg/50500/B50377.htm")</f>
        <v>http://collections.slsa.sa.gov.au/mpcimg/50500/B50377.htm</v>
      </c>
    </row>
    <row r="4801" spans="1:11" x14ac:dyDescent="0.25">
      <c r="A4801" t="s">
        <v>16474</v>
      </c>
      <c r="B4801" s="1" t="str">
        <f>HYPERLINK("https://www.catalog.slsa.sa.gov.au/record=b2040764")</f>
        <v>https://www.catalog.slsa.sa.gov.au/record=b2040764</v>
      </c>
      <c r="C4801" s="1" t="str">
        <f>HYPERLINK("https://www.catalog.slsa.sa.gov.au/xrecord=b2040764")</f>
        <v>https://www.catalog.slsa.sa.gov.au/xrecord=b2040764</v>
      </c>
      <c r="E4801" t="s">
        <v>16475</v>
      </c>
      <c r="F4801" t="s">
        <v>1926</v>
      </c>
      <c r="G4801" t="s">
        <v>14809</v>
      </c>
      <c r="H4801" t="s">
        <v>16476</v>
      </c>
      <c r="J4801" t="s">
        <v>15092</v>
      </c>
      <c r="K4801" s="2" t="str">
        <f>HYPERLINK("http://collections.slsa.sa.gov.au/mpcimg/37250/B37184.htm")</f>
        <v>http://collections.slsa.sa.gov.au/mpcimg/37250/B37184.htm</v>
      </c>
    </row>
    <row r="4802" spans="1:11" x14ac:dyDescent="0.25">
      <c r="A4802" t="s">
        <v>16477</v>
      </c>
      <c r="B4802" s="1" t="str">
        <f>HYPERLINK("https://www.catalog.slsa.sa.gov.au/record=b2041004")</f>
        <v>https://www.catalog.slsa.sa.gov.au/record=b2041004</v>
      </c>
      <c r="C4802" s="1" t="str">
        <f>HYPERLINK("https://www.catalog.slsa.sa.gov.au/xrecord=b2041004")</f>
        <v>https://www.catalog.slsa.sa.gov.au/xrecord=b2041004</v>
      </c>
      <c r="D4802" t="s">
        <v>16478</v>
      </c>
      <c r="E4802" t="s">
        <v>16479</v>
      </c>
      <c r="F4802" t="s">
        <v>1926</v>
      </c>
      <c r="G4802" t="s">
        <v>16480</v>
      </c>
      <c r="H4802" t="s">
        <v>16481</v>
      </c>
      <c r="J4802" t="s">
        <v>15097</v>
      </c>
      <c r="K4802" s="2" t="str">
        <f>HYPERLINK("http://collections.slsa.sa.gov.au/mpcimg/29250/B29176.htm")</f>
        <v>http://collections.slsa.sa.gov.au/mpcimg/29250/B29176.htm</v>
      </c>
    </row>
    <row r="4803" spans="1:11" x14ac:dyDescent="0.25">
      <c r="A4803" t="s">
        <v>16482</v>
      </c>
      <c r="B4803" s="1" t="str">
        <f>HYPERLINK("https://www.catalog.slsa.sa.gov.au/record=b2041321")</f>
        <v>https://www.catalog.slsa.sa.gov.au/record=b2041321</v>
      </c>
      <c r="C4803" s="1" t="str">
        <f>HYPERLINK("https://www.catalog.slsa.sa.gov.au/xrecord=b2041321")</f>
        <v>https://www.catalog.slsa.sa.gov.au/xrecord=b2041321</v>
      </c>
      <c r="E4803" t="s">
        <v>16483</v>
      </c>
      <c r="F4803" t="s">
        <v>1926</v>
      </c>
      <c r="G4803" t="s">
        <v>16484</v>
      </c>
      <c r="H4803" t="s">
        <v>16485</v>
      </c>
      <c r="I4803" t="s">
        <v>16486</v>
      </c>
      <c r="J4803" t="s">
        <v>15103</v>
      </c>
      <c r="K4803" s="2" t="str">
        <f>HYPERLINK("http://collections.slsa.sa.gov.au/mpcimg/36000/B35989.htm")</f>
        <v>http://collections.slsa.sa.gov.au/mpcimg/36000/B35989.htm</v>
      </c>
    </row>
    <row r="4804" spans="1:11" x14ac:dyDescent="0.25">
      <c r="A4804" t="s">
        <v>16487</v>
      </c>
      <c r="B4804" s="1" t="str">
        <f>HYPERLINK("https://www.catalog.slsa.sa.gov.au/record=b2041322")</f>
        <v>https://www.catalog.slsa.sa.gov.au/record=b2041322</v>
      </c>
      <c r="C4804" s="1" t="str">
        <f>HYPERLINK("https://www.catalog.slsa.sa.gov.au/xrecord=b2041322")</f>
        <v>https://www.catalog.slsa.sa.gov.au/xrecord=b2041322</v>
      </c>
      <c r="E4804" t="s">
        <v>16488</v>
      </c>
      <c r="F4804" t="s">
        <v>1926</v>
      </c>
      <c r="G4804" t="s">
        <v>16489</v>
      </c>
      <c r="H4804" t="s">
        <v>16485</v>
      </c>
      <c r="I4804" t="s">
        <v>16486</v>
      </c>
      <c r="J4804" t="s">
        <v>15103</v>
      </c>
      <c r="K4804" s="2" t="str">
        <f>HYPERLINK("http://collections.slsa.sa.gov.au/mpcimg/36000/B35990.htm")</f>
        <v>http://collections.slsa.sa.gov.au/mpcimg/36000/B35990.htm</v>
      </c>
    </row>
    <row r="4805" spans="1:11" x14ac:dyDescent="0.25">
      <c r="A4805" t="s">
        <v>16490</v>
      </c>
      <c r="B4805" s="1" t="str">
        <f>HYPERLINK("https://www.catalog.slsa.sa.gov.au/record=b2041323")</f>
        <v>https://www.catalog.slsa.sa.gov.au/record=b2041323</v>
      </c>
      <c r="C4805" s="1" t="str">
        <f>HYPERLINK("https://www.catalog.slsa.sa.gov.au/xrecord=b2041323")</f>
        <v>https://www.catalog.slsa.sa.gov.au/xrecord=b2041323</v>
      </c>
      <c r="E4805" t="s">
        <v>16491</v>
      </c>
      <c r="F4805" t="s">
        <v>1926</v>
      </c>
      <c r="G4805" t="s">
        <v>16492</v>
      </c>
      <c r="H4805" t="s">
        <v>16493</v>
      </c>
      <c r="I4805" t="s">
        <v>16486</v>
      </c>
      <c r="J4805" t="s">
        <v>15103</v>
      </c>
      <c r="K4805" s="2" t="str">
        <f>HYPERLINK("http://collections.slsa.sa.gov.au/mpcimg/36000/B35991.htm")</f>
        <v>http://collections.slsa.sa.gov.au/mpcimg/36000/B35991.htm</v>
      </c>
    </row>
    <row r="4806" spans="1:11" x14ac:dyDescent="0.25">
      <c r="A4806" t="s">
        <v>16494</v>
      </c>
      <c r="B4806" s="1" t="str">
        <f>HYPERLINK("https://www.catalog.slsa.sa.gov.au/record=b2041324")</f>
        <v>https://www.catalog.slsa.sa.gov.au/record=b2041324</v>
      </c>
      <c r="C4806" s="1" t="str">
        <f>HYPERLINK("https://www.catalog.slsa.sa.gov.au/xrecord=b2041324")</f>
        <v>https://www.catalog.slsa.sa.gov.au/xrecord=b2041324</v>
      </c>
      <c r="E4806" t="s">
        <v>16488</v>
      </c>
      <c r="F4806" t="s">
        <v>1926</v>
      </c>
      <c r="G4806" t="s">
        <v>16495</v>
      </c>
      <c r="H4806" t="s">
        <v>16496</v>
      </c>
      <c r="I4806" t="s">
        <v>16486</v>
      </c>
      <c r="J4806" t="s">
        <v>15103</v>
      </c>
      <c r="K4806" s="2" t="str">
        <f>HYPERLINK("http://collections.slsa.sa.gov.au/mpcimg/36000/B35992.htm")</f>
        <v>http://collections.slsa.sa.gov.au/mpcimg/36000/B35992.htm</v>
      </c>
    </row>
    <row r="4807" spans="1:11" x14ac:dyDescent="0.25">
      <c r="A4807" t="s">
        <v>16497</v>
      </c>
      <c r="B4807" s="1" t="str">
        <f>HYPERLINK("https://www.catalog.slsa.sa.gov.au/record=b2041325")</f>
        <v>https://www.catalog.slsa.sa.gov.au/record=b2041325</v>
      </c>
      <c r="C4807" s="1" t="str">
        <f>HYPERLINK("https://www.catalog.slsa.sa.gov.au/xrecord=b2041325")</f>
        <v>https://www.catalog.slsa.sa.gov.au/xrecord=b2041325</v>
      </c>
      <c r="E4807" t="s">
        <v>16488</v>
      </c>
      <c r="F4807" t="s">
        <v>1926</v>
      </c>
      <c r="G4807" t="s">
        <v>16498</v>
      </c>
      <c r="H4807" t="s">
        <v>16499</v>
      </c>
      <c r="I4807" t="s">
        <v>16500</v>
      </c>
      <c r="J4807" t="s">
        <v>15103</v>
      </c>
      <c r="K4807" s="2" t="str">
        <f>HYPERLINK("http://collections.slsa.sa.gov.au/mpcimg/36000/B35993.htm")</f>
        <v>http://collections.slsa.sa.gov.au/mpcimg/36000/B35993.htm</v>
      </c>
    </row>
    <row r="4808" spans="1:11" x14ac:dyDescent="0.25">
      <c r="A4808" t="s">
        <v>16501</v>
      </c>
      <c r="B4808" s="1" t="str">
        <f>HYPERLINK("https://www.catalog.slsa.sa.gov.au/record=b2041326")</f>
        <v>https://www.catalog.slsa.sa.gov.au/record=b2041326</v>
      </c>
      <c r="C4808" s="1" t="str">
        <f>HYPERLINK("https://www.catalog.slsa.sa.gov.au/xrecord=b2041326")</f>
        <v>https://www.catalog.slsa.sa.gov.au/xrecord=b2041326</v>
      </c>
      <c r="E4808" t="s">
        <v>16502</v>
      </c>
      <c r="F4808" t="s">
        <v>1926</v>
      </c>
      <c r="G4808" t="s">
        <v>16503</v>
      </c>
      <c r="H4808" t="s">
        <v>16504</v>
      </c>
      <c r="I4808" t="s">
        <v>16505</v>
      </c>
      <c r="J4808" t="s">
        <v>15103</v>
      </c>
      <c r="K4808" s="2" t="str">
        <f>HYPERLINK("http://collections.slsa.sa.gov.au/mpcimg/36000/B35995.htm")</f>
        <v>http://collections.slsa.sa.gov.au/mpcimg/36000/B35995.htm</v>
      </c>
    </row>
    <row r="4809" spans="1:11" x14ac:dyDescent="0.25">
      <c r="A4809" t="s">
        <v>16506</v>
      </c>
      <c r="B4809" s="1" t="str">
        <f>HYPERLINK("https://www.catalog.slsa.sa.gov.au/record=b2041327")</f>
        <v>https://www.catalog.slsa.sa.gov.au/record=b2041327</v>
      </c>
      <c r="C4809" s="1" t="str">
        <f>HYPERLINK("https://www.catalog.slsa.sa.gov.au/xrecord=b2041327")</f>
        <v>https://www.catalog.slsa.sa.gov.au/xrecord=b2041327</v>
      </c>
      <c r="E4809" t="s">
        <v>16507</v>
      </c>
      <c r="F4809" t="s">
        <v>1926</v>
      </c>
      <c r="G4809" t="s">
        <v>16508</v>
      </c>
      <c r="H4809" t="s">
        <v>16509</v>
      </c>
      <c r="I4809" t="s">
        <v>16510</v>
      </c>
      <c r="J4809" t="s">
        <v>15103</v>
      </c>
      <c r="K4809" s="2" t="str">
        <f>HYPERLINK("http://collections.slsa.sa.gov.au/mpcimg/36000/B35996.htm")</f>
        <v>http://collections.slsa.sa.gov.au/mpcimg/36000/B35996.htm</v>
      </c>
    </row>
    <row r="4810" spans="1:11" x14ac:dyDescent="0.25">
      <c r="A4810" t="s">
        <v>16511</v>
      </c>
      <c r="B4810" s="1" t="str">
        <f>HYPERLINK("https://www.catalog.slsa.sa.gov.au/record=b2041328")</f>
        <v>https://www.catalog.slsa.sa.gov.au/record=b2041328</v>
      </c>
      <c r="C4810" s="1" t="str">
        <f>HYPERLINK("https://www.catalog.slsa.sa.gov.au/xrecord=b2041328")</f>
        <v>https://www.catalog.slsa.sa.gov.au/xrecord=b2041328</v>
      </c>
      <c r="E4810" t="s">
        <v>16512</v>
      </c>
      <c r="F4810" t="s">
        <v>1926</v>
      </c>
      <c r="G4810" t="s">
        <v>16513</v>
      </c>
      <c r="H4810" t="s">
        <v>16514</v>
      </c>
      <c r="I4810" t="s">
        <v>16515</v>
      </c>
      <c r="J4810" t="s">
        <v>15103</v>
      </c>
      <c r="K4810" s="2" t="str">
        <f>HYPERLINK("http://collections.slsa.sa.gov.au/mpcimg/36000/B35997.htm")</f>
        <v>http://collections.slsa.sa.gov.au/mpcimg/36000/B35997.htm</v>
      </c>
    </row>
    <row r="4811" spans="1:11" x14ac:dyDescent="0.25">
      <c r="A4811" t="s">
        <v>16516</v>
      </c>
      <c r="B4811" s="1" t="str">
        <f>HYPERLINK("https://www.catalog.slsa.sa.gov.au/record=b2041329")</f>
        <v>https://www.catalog.slsa.sa.gov.au/record=b2041329</v>
      </c>
      <c r="C4811" s="1" t="str">
        <f>HYPERLINK("https://www.catalog.slsa.sa.gov.au/xrecord=b2041329")</f>
        <v>https://www.catalog.slsa.sa.gov.au/xrecord=b2041329</v>
      </c>
      <c r="E4811" t="s">
        <v>16512</v>
      </c>
      <c r="F4811" t="s">
        <v>1926</v>
      </c>
      <c r="G4811" t="s">
        <v>16517</v>
      </c>
      <c r="H4811" t="s">
        <v>16518</v>
      </c>
      <c r="I4811" t="s">
        <v>16519</v>
      </c>
      <c r="J4811" t="s">
        <v>15103</v>
      </c>
      <c r="K4811" s="2" t="str">
        <f>HYPERLINK("http://collections.slsa.sa.gov.au/mpcimg/36000/B35998.htm")</f>
        <v>http://collections.slsa.sa.gov.au/mpcimg/36000/B35998.htm</v>
      </c>
    </row>
    <row r="4812" spans="1:11" x14ac:dyDescent="0.25">
      <c r="A4812" t="s">
        <v>16520</v>
      </c>
      <c r="B4812" s="1" t="str">
        <f>HYPERLINK("https://www.catalog.slsa.sa.gov.au/record=b2041331")</f>
        <v>https://www.catalog.slsa.sa.gov.au/record=b2041331</v>
      </c>
      <c r="C4812" s="1" t="str">
        <f>HYPERLINK("https://www.catalog.slsa.sa.gov.au/xrecord=b2041331")</f>
        <v>https://www.catalog.slsa.sa.gov.au/xrecord=b2041331</v>
      </c>
      <c r="E4812" t="s">
        <v>16521</v>
      </c>
      <c r="F4812" t="s">
        <v>1926</v>
      </c>
      <c r="G4812" t="s">
        <v>16522</v>
      </c>
      <c r="H4812" t="s">
        <v>16523</v>
      </c>
      <c r="I4812" t="s">
        <v>16524</v>
      </c>
      <c r="J4812" t="s">
        <v>15103</v>
      </c>
      <c r="K4812" s="2" t="str">
        <f>HYPERLINK("http://collections.slsa.sa.gov.au/mpcimg/36000/B36000.htm")</f>
        <v>http://collections.slsa.sa.gov.au/mpcimg/36000/B36000.htm</v>
      </c>
    </row>
    <row r="4813" spans="1:11" x14ac:dyDescent="0.25">
      <c r="A4813" t="s">
        <v>16525</v>
      </c>
      <c r="B4813" s="1" t="str">
        <f>HYPERLINK("https://www.catalog.slsa.sa.gov.au/record=b2041332")</f>
        <v>https://www.catalog.slsa.sa.gov.au/record=b2041332</v>
      </c>
      <c r="C4813" s="1" t="str">
        <f>HYPERLINK("https://www.catalog.slsa.sa.gov.au/xrecord=b2041332")</f>
        <v>https://www.catalog.slsa.sa.gov.au/xrecord=b2041332</v>
      </c>
      <c r="E4813" t="s">
        <v>16526</v>
      </c>
      <c r="F4813" t="s">
        <v>1926</v>
      </c>
      <c r="G4813" t="s">
        <v>14809</v>
      </c>
      <c r="H4813" t="s">
        <v>16527</v>
      </c>
      <c r="I4813" t="s">
        <v>15102</v>
      </c>
      <c r="J4813" t="s">
        <v>15103</v>
      </c>
      <c r="K4813" s="2" t="str">
        <f>HYPERLINK("http://collections.slsa.sa.gov.au/mpcimg/36250/B36001.htm")</f>
        <v>http://collections.slsa.sa.gov.au/mpcimg/36250/B36001.htm</v>
      </c>
    </row>
    <row r="4814" spans="1:11" x14ac:dyDescent="0.25">
      <c r="A4814" t="s">
        <v>16528</v>
      </c>
      <c r="B4814" s="1" t="str">
        <f>HYPERLINK("https://www.catalog.slsa.sa.gov.au/record=b2041333")</f>
        <v>https://www.catalog.slsa.sa.gov.au/record=b2041333</v>
      </c>
      <c r="C4814" s="1" t="str">
        <f>HYPERLINK("https://www.catalog.slsa.sa.gov.au/xrecord=b2041333")</f>
        <v>https://www.catalog.slsa.sa.gov.au/xrecord=b2041333</v>
      </c>
      <c r="E4814" t="s">
        <v>16529</v>
      </c>
      <c r="F4814" t="s">
        <v>1926</v>
      </c>
      <c r="G4814" t="s">
        <v>14809</v>
      </c>
      <c r="H4814" t="s">
        <v>16530</v>
      </c>
      <c r="I4814" t="s">
        <v>15102</v>
      </c>
      <c r="J4814" t="s">
        <v>15103</v>
      </c>
      <c r="K4814" s="2" t="str">
        <f>HYPERLINK("http://collections.slsa.sa.gov.au/mpcimg/36250/B36002.htm")</f>
        <v>http://collections.slsa.sa.gov.au/mpcimg/36250/B36002.htm</v>
      </c>
    </row>
    <row r="4815" spans="1:11" x14ac:dyDescent="0.25">
      <c r="A4815" t="s">
        <v>16531</v>
      </c>
      <c r="B4815" s="1" t="str">
        <f>HYPERLINK("https://www.catalog.slsa.sa.gov.au/record=b2041334")</f>
        <v>https://www.catalog.slsa.sa.gov.au/record=b2041334</v>
      </c>
      <c r="C4815" s="1" t="str">
        <f>HYPERLINK("https://www.catalog.slsa.sa.gov.au/xrecord=b2041334")</f>
        <v>https://www.catalog.slsa.sa.gov.au/xrecord=b2041334</v>
      </c>
      <c r="E4815" t="s">
        <v>16532</v>
      </c>
      <c r="F4815" t="s">
        <v>1926</v>
      </c>
      <c r="G4815" t="s">
        <v>14809</v>
      </c>
      <c r="H4815" t="s">
        <v>16533</v>
      </c>
      <c r="I4815" t="s">
        <v>16534</v>
      </c>
      <c r="J4815" t="s">
        <v>15103</v>
      </c>
      <c r="K4815" s="2" t="str">
        <f>HYPERLINK("http://collections.slsa.sa.gov.au/mpcimg/36250/B36003.htm")</f>
        <v>http://collections.slsa.sa.gov.au/mpcimg/36250/B36003.htm</v>
      </c>
    </row>
    <row r="4816" spans="1:11" x14ac:dyDescent="0.25">
      <c r="A4816" t="s">
        <v>16535</v>
      </c>
      <c r="B4816" s="1" t="str">
        <f>HYPERLINK("https://www.catalog.slsa.sa.gov.au/record=b2041335")</f>
        <v>https://www.catalog.slsa.sa.gov.au/record=b2041335</v>
      </c>
      <c r="C4816" s="1" t="str">
        <f>HYPERLINK("https://www.catalog.slsa.sa.gov.au/xrecord=b2041335")</f>
        <v>https://www.catalog.slsa.sa.gov.au/xrecord=b2041335</v>
      </c>
      <c r="D4816" t="s">
        <v>2407</v>
      </c>
      <c r="E4816" t="s">
        <v>16536</v>
      </c>
      <c r="F4816" t="s">
        <v>1926</v>
      </c>
      <c r="G4816" t="s">
        <v>14809</v>
      </c>
      <c r="H4816" t="s">
        <v>16537</v>
      </c>
      <c r="I4816" t="s">
        <v>16538</v>
      </c>
      <c r="J4816" t="s">
        <v>15103</v>
      </c>
      <c r="K4816" s="2" t="str">
        <f>HYPERLINK("http://collections.slsa.sa.gov.au/mpcimg/36250/B36004.htm")</f>
        <v>http://collections.slsa.sa.gov.au/mpcimg/36250/B36004.htm</v>
      </c>
    </row>
    <row r="4817" spans="1:11" x14ac:dyDescent="0.25">
      <c r="A4817" t="s">
        <v>16539</v>
      </c>
      <c r="B4817" s="1" t="str">
        <f>HYPERLINK("https://www.catalog.slsa.sa.gov.au/record=b2041355")</f>
        <v>https://www.catalog.slsa.sa.gov.au/record=b2041355</v>
      </c>
      <c r="C4817" s="1" t="str">
        <f>HYPERLINK("https://www.catalog.slsa.sa.gov.au/xrecord=b2041355")</f>
        <v>https://www.catalog.slsa.sa.gov.au/xrecord=b2041355</v>
      </c>
      <c r="D4817" t="s">
        <v>16540</v>
      </c>
      <c r="E4817" t="s">
        <v>16541</v>
      </c>
      <c r="F4817" t="s">
        <v>1926</v>
      </c>
      <c r="G4817" t="s">
        <v>14809</v>
      </c>
      <c r="H4817" t="s">
        <v>16542</v>
      </c>
      <c r="I4817" t="s">
        <v>16534</v>
      </c>
      <c r="J4817" t="s">
        <v>15103</v>
      </c>
      <c r="K4817" s="2" t="str">
        <f>HYPERLINK("http://collections.slsa.sa.gov.au/mpcimg/36250/B36109.htm")</f>
        <v>http://collections.slsa.sa.gov.au/mpcimg/36250/B36109.htm</v>
      </c>
    </row>
    <row r="4818" spans="1:11" x14ac:dyDescent="0.25">
      <c r="A4818" t="s">
        <v>16543</v>
      </c>
      <c r="B4818" s="1" t="str">
        <f>HYPERLINK("https://www.catalog.slsa.sa.gov.au/record=b2041435")</f>
        <v>https://www.catalog.slsa.sa.gov.au/record=b2041435</v>
      </c>
      <c r="C4818" s="1" t="str">
        <f>HYPERLINK("https://www.catalog.slsa.sa.gov.au/xrecord=b2041435")</f>
        <v>https://www.catalog.slsa.sa.gov.au/xrecord=b2041435</v>
      </c>
      <c r="E4818" t="s">
        <v>16544</v>
      </c>
      <c r="F4818" t="s">
        <v>1926</v>
      </c>
      <c r="G4818" t="s">
        <v>14771</v>
      </c>
      <c r="H4818" t="s">
        <v>16545</v>
      </c>
      <c r="I4818" t="s">
        <v>16546</v>
      </c>
      <c r="J4818" t="s">
        <v>15109</v>
      </c>
      <c r="K4818" s="2" t="str">
        <f>HYPERLINK("http://collections.slsa.sa.gov.au/mpcimg/34000/B33785.htm")</f>
        <v>http://collections.slsa.sa.gov.au/mpcimg/34000/B33785.htm</v>
      </c>
    </row>
    <row r="4819" spans="1:11" x14ac:dyDescent="0.25">
      <c r="A4819" t="s">
        <v>16547</v>
      </c>
      <c r="B4819" s="1" t="str">
        <f>HYPERLINK("https://www.catalog.slsa.sa.gov.au/record=b2041442")</f>
        <v>https://www.catalog.slsa.sa.gov.au/record=b2041442</v>
      </c>
      <c r="C4819" s="1" t="str">
        <f>HYPERLINK("https://www.catalog.slsa.sa.gov.au/xrecord=b2041442")</f>
        <v>https://www.catalog.slsa.sa.gov.au/xrecord=b2041442</v>
      </c>
      <c r="E4819" t="s">
        <v>16548</v>
      </c>
      <c r="F4819" t="s">
        <v>1926</v>
      </c>
      <c r="G4819" t="s">
        <v>16549</v>
      </c>
      <c r="H4819" t="s">
        <v>16550</v>
      </c>
      <c r="J4819" t="s">
        <v>15109</v>
      </c>
      <c r="K4819" s="2" t="str">
        <f>HYPERLINK("http://collections.slsa.sa.gov.au/mpcimg/35750/B35712.htm")</f>
        <v>http://collections.slsa.sa.gov.au/mpcimg/35750/B35712.htm</v>
      </c>
    </row>
    <row r="4820" spans="1:11" x14ac:dyDescent="0.25">
      <c r="A4820" t="s">
        <v>16551</v>
      </c>
      <c r="B4820" s="1" t="str">
        <f>HYPERLINK("https://www.catalog.slsa.sa.gov.au/record=b2041443")</f>
        <v>https://www.catalog.slsa.sa.gov.au/record=b2041443</v>
      </c>
      <c r="C4820" s="1" t="str">
        <f>HYPERLINK("https://www.catalog.slsa.sa.gov.au/xrecord=b2041443")</f>
        <v>https://www.catalog.slsa.sa.gov.au/xrecord=b2041443</v>
      </c>
      <c r="E4820" t="s">
        <v>16552</v>
      </c>
      <c r="F4820" t="s">
        <v>1926</v>
      </c>
      <c r="G4820" t="s">
        <v>16549</v>
      </c>
      <c r="H4820" t="s">
        <v>16553</v>
      </c>
      <c r="I4820" t="s">
        <v>16554</v>
      </c>
      <c r="J4820" t="s">
        <v>15109</v>
      </c>
      <c r="K4820" s="2" t="str">
        <f>HYPERLINK("http://collections.slsa.sa.gov.au/mpcimg/35750/B35713.htm")</f>
        <v>http://collections.slsa.sa.gov.au/mpcimg/35750/B35713.htm</v>
      </c>
    </row>
    <row r="4821" spans="1:11" x14ac:dyDescent="0.25">
      <c r="A4821" t="s">
        <v>16555</v>
      </c>
      <c r="B4821" s="1" t="str">
        <f>HYPERLINK("https://www.catalog.slsa.sa.gov.au/record=b2041444")</f>
        <v>https://www.catalog.slsa.sa.gov.au/record=b2041444</v>
      </c>
      <c r="C4821" s="1" t="str">
        <f>HYPERLINK("https://www.catalog.slsa.sa.gov.au/xrecord=b2041444")</f>
        <v>https://www.catalog.slsa.sa.gov.au/xrecord=b2041444</v>
      </c>
      <c r="E4821" t="s">
        <v>16556</v>
      </c>
      <c r="F4821" t="s">
        <v>1926</v>
      </c>
      <c r="G4821" t="s">
        <v>16557</v>
      </c>
      <c r="H4821" t="s">
        <v>16558</v>
      </c>
      <c r="J4821" t="s">
        <v>15109</v>
      </c>
      <c r="K4821" s="2" t="str">
        <f>HYPERLINK("http://collections.slsa.sa.gov.au/mpcimg/35750/B35714.htm")</f>
        <v>http://collections.slsa.sa.gov.au/mpcimg/35750/B35714.htm</v>
      </c>
    </row>
    <row r="4822" spans="1:11" x14ac:dyDescent="0.25">
      <c r="A4822" t="s">
        <v>16559</v>
      </c>
      <c r="B4822" s="1" t="str">
        <f>HYPERLINK("https://www.catalog.slsa.sa.gov.au/record=b2041446")</f>
        <v>https://www.catalog.slsa.sa.gov.au/record=b2041446</v>
      </c>
      <c r="C4822" s="1" t="str">
        <f>HYPERLINK("https://www.catalog.slsa.sa.gov.au/xrecord=b2041446")</f>
        <v>https://www.catalog.slsa.sa.gov.au/xrecord=b2041446</v>
      </c>
      <c r="E4822" t="s">
        <v>16560</v>
      </c>
      <c r="F4822" t="s">
        <v>1926</v>
      </c>
      <c r="G4822" t="s">
        <v>16561</v>
      </c>
      <c r="H4822" t="s">
        <v>16562</v>
      </c>
      <c r="I4822" t="s">
        <v>16563</v>
      </c>
      <c r="J4822" t="s">
        <v>15109</v>
      </c>
      <c r="K4822" s="2" t="str">
        <f>HYPERLINK("http://collections.slsa.sa.gov.au/mpcimg/35750/B35717.htm")</f>
        <v>http://collections.slsa.sa.gov.au/mpcimg/35750/B35717.htm</v>
      </c>
    </row>
    <row r="4823" spans="1:11" x14ac:dyDescent="0.25">
      <c r="A4823" t="s">
        <v>16564</v>
      </c>
      <c r="B4823" s="1" t="str">
        <f>HYPERLINK("https://www.catalog.slsa.sa.gov.au/record=b2041447")</f>
        <v>https://www.catalog.slsa.sa.gov.au/record=b2041447</v>
      </c>
      <c r="C4823" s="1" t="str">
        <f>HYPERLINK("https://www.catalog.slsa.sa.gov.au/xrecord=b2041447")</f>
        <v>https://www.catalog.slsa.sa.gov.au/xrecord=b2041447</v>
      </c>
      <c r="E4823" t="s">
        <v>16565</v>
      </c>
      <c r="F4823" t="s">
        <v>1926</v>
      </c>
      <c r="G4823" t="s">
        <v>16566</v>
      </c>
      <c r="H4823" t="s">
        <v>16567</v>
      </c>
      <c r="J4823" t="s">
        <v>15109</v>
      </c>
      <c r="K4823" s="2" t="str">
        <f>HYPERLINK("http://collections.slsa.sa.gov.au/mpcimg/35750/B35718.htm")</f>
        <v>http://collections.slsa.sa.gov.au/mpcimg/35750/B35718.htm</v>
      </c>
    </row>
    <row r="4824" spans="1:11" x14ac:dyDescent="0.25">
      <c r="A4824" t="s">
        <v>16568</v>
      </c>
      <c r="B4824" s="1" t="str">
        <f>HYPERLINK("https://www.catalog.slsa.sa.gov.au/record=b2041448")</f>
        <v>https://www.catalog.slsa.sa.gov.au/record=b2041448</v>
      </c>
      <c r="C4824" s="1" t="str">
        <f>HYPERLINK("https://www.catalog.slsa.sa.gov.au/xrecord=b2041448")</f>
        <v>https://www.catalog.slsa.sa.gov.au/xrecord=b2041448</v>
      </c>
      <c r="E4824" t="s">
        <v>16569</v>
      </c>
      <c r="F4824" t="s">
        <v>1926</v>
      </c>
      <c r="G4824" t="s">
        <v>16566</v>
      </c>
      <c r="H4824" t="s">
        <v>16570</v>
      </c>
      <c r="I4824" t="s">
        <v>16571</v>
      </c>
      <c r="J4824" t="s">
        <v>15109</v>
      </c>
      <c r="K4824" s="2" t="str">
        <f>HYPERLINK("http://collections.slsa.sa.gov.au/mpcimg/35750/B35719.htm")</f>
        <v>http://collections.slsa.sa.gov.au/mpcimg/35750/B35719.htm</v>
      </c>
    </row>
    <row r="4825" spans="1:11" x14ac:dyDescent="0.25">
      <c r="A4825" t="s">
        <v>16572</v>
      </c>
      <c r="B4825" s="1" t="str">
        <f>HYPERLINK("https://www.catalog.slsa.sa.gov.au/record=b2041449")</f>
        <v>https://www.catalog.slsa.sa.gov.au/record=b2041449</v>
      </c>
      <c r="C4825" s="1" t="str">
        <f>HYPERLINK("https://www.catalog.slsa.sa.gov.au/xrecord=b2041449")</f>
        <v>https://www.catalog.slsa.sa.gov.au/xrecord=b2041449</v>
      </c>
      <c r="E4825" t="s">
        <v>16548</v>
      </c>
      <c r="F4825" t="s">
        <v>1926</v>
      </c>
      <c r="G4825" t="s">
        <v>16573</v>
      </c>
      <c r="H4825" t="s">
        <v>16574</v>
      </c>
      <c r="J4825" t="s">
        <v>15109</v>
      </c>
      <c r="K4825" s="2" t="str">
        <f>HYPERLINK("http://collections.slsa.sa.gov.au/mpcimg/35750/B35720.htm")</f>
        <v>http://collections.slsa.sa.gov.au/mpcimg/35750/B35720.htm</v>
      </c>
    </row>
    <row r="4826" spans="1:11" x14ac:dyDescent="0.25">
      <c r="A4826" t="s">
        <v>16575</v>
      </c>
      <c r="B4826" s="1" t="str">
        <f>HYPERLINK("https://www.catalog.slsa.sa.gov.au/record=b2042049")</f>
        <v>https://www.catalog.slsa.sa.gov.au/record=b2042049</v>
      </c>
      <c r="C4826" s="1" t="str">
        <f>HYPERLINK("https://www.catalog.slsa.sa.gov.au/xrecord=b2042049")</f>
        <v>https://www.catalog.slsa.sa.gov.au/xrecord=b2042049</v>
      </c>
      <c r="E4826" t="s">
        <v>16576</v>
      </c>
      <c r="F4826" t="s">
        <v>1926</v>
      </c>
      <c r="G4826" t="s">
        <v>16577</v>
      </c>
      <c r="H4826" t="s">
        <v>16578</v>
      </c>
      <c r="J4826" t="s">
        <v>16579</v>
      </c>
      <c r="K4826" s="2" t="str">
        <f>HYPERLINK("http://collections.slsa.sa.gov.au/mpcimg/31750/B31506.htm")</f>
        <v>http://collections.slsa.sa.gov.au/mpcimg/31750/B31506.htm</v>
      </c>
    </row>
    <row r="4827" spans="1:11" x14ac:dyDescent="0.25">
      <c r="A4827" t="s">
        <v>16580</v>
      </c>
      <c r="B4827" s="1" t="str">
        <f>HYPERLINK("https://www.catalog.slsa.sa.gov.au/record=b2042050")</f>
        <v>https://www.catalog.slsa.sa.gov.au/record=b2042050</v>
      </c>
      <c r="C4827" s="1" t="str">
        <f>HYPERLINK("https://www.catalog.slsa.sa.gov.au/xrecord=b2042050")</f>
        <v>https://www.catalog.slsa.sa.gov.au/xrecord=b2042050</v>
      </c>
      <c r="E4827" t="s">
        <v>16581</v>
      </c>
      <c r="F4827" t="s">
        <v>1926</v>
      </c>
      <c r="G4827" t="s">
        <v>16577</v>
      </c>
      <c r="H4827" t="s">
        <v>16582</v>
      </c>
      <c r="I4827" t="s">
        <v>16583</v>
      </c>
      <c r="J4827" t="s">
        <v>16579</v>
      </c>
      <c r="K4827" s="2" t="str">
        <f>HYPERLINK("http://collections.slsa.sa.gov.au/mpcimg/31750/B31507.htm")</f>
        <v>http://collections.slsa.sa.gov.au/mpcimg/31750/B31507.htm</v>
      </c>
    </row>
    <row r="4828" spans="1:11" x14ac:dyDescent="0.25">
      <c r="A4828" t="s">
        <v>16584</v>
      </c>
      <c r="B4828" s="1" t="str">
        <f>HYPERLINK("https://www.catalog.slsa.sa.gov.au/record=b2042109")</f>
        <v>https://www.catalog.slsa.sa.gov.au/record=b2042109</v>
      </c>
      <c r="C4828" s="1" t="str">
        <f>HYPERLINK("https://www.catalog.slsa.sa.gov.au/xrecord=b2042109")</f>
        <v>https://www.catalog.slsa.sa.gov.au/xrecord=b2042109</v>
      </c>
      <c r="E4828" t="s">
        <v>16585</v>
      </c>
      <c r="F4828" t="s">
        <v>1926</v>
      </c>
      <c r="G4828" t="s">
        <v>16586</v>
      </c>
      <c r="H4828" t="s">
        <v>16587</v>
      </c>
      <c r="J4828" t="s">
        <v>16579</v>
      </c>
      <c r="K4828" s="2" t="str">
        <f>HYPERLINK("http://collections.slsa.sa.gov.au/mpcimg/32250/B32126.htm")</f>
        <v>http://collections.slsa.sa.gov.au/mpcimg/32250/B32126.htm</v>
      </c>
    </row>
    <row r="4829" spans="1:11" x14ac:dyDescent="0.25">
      <c r="A4829" t="s">
        <v>16588</v>
      </c>
      <c r="B4829" s="1" t="str">
        <f>HYPERLINK("https://www.catalog.slsa.sa.gov.au/record=b2042110")</f>
        <v>https://www.catalog.slsa.sa.gov.au/record=b2042110</v>
      </c>
      <c r="C4829" s="1" t="str">
        <f>HYPERLINK("https://www.catalog.slsa.sa.gov.au/xrecord=b2042110")</f>
        <v>https://www.catalog.slsa.sa.gov.au/xrecord=b2042110</v>
      </c>
      <c r="E4829" t="s">
        <v>16589</v>
      </c>
      <c r="F4829" t="s">
        <v>1926</v>
      </c>
      <c r="G4829" t="s">
        <v>16590</v>
      </c>
      <c r="H4829" t="s">
        <v>16587</v>
      </c>
      <c r="J4829" t="s">
        <v>16579</v>
      </c>
      <c r="K4829" s="2" t="str">
        <f>HYPERLINK("http://collections.slsa.sa.gov.au/mpcimg/32250/B32127.htm")</f>
        <v>http://collections.slsa.sa.gov.au/mpcimg/32250/B32127.htm</v>
      </c>
    </row>
    <row r="4830" spans="1:11" x14ac:dyDescent="0.25">
      <c r="A4830" t="s">
        <v>16591</v>
      </c>
      <c r="B4830" s="1" t="str">
        <f>HYPERLINK("https://www.catalog.slsa.sa.gov.au/record=b2042974")</f>
        <v>https://www.catalog.slsa.sa.gov.au/record=b2042974</v>
      </c>
      <c r="C4830" s="1" t="str">
        <f>HYPERLINK("https://www.catalog.slsa.sa.gov.au/xrecord=b2042974")</f>
        <v>https://www.catalog.slsa.sa.gov.au/xrecord=b2042974</v>
      </c>
      <c r="D4830" t="s">
        <v>16540</v>
      </c>
      <c r="E4830" t="s">
        <v>16592</v>
      </c>
      <c r="F4830" t="s">
        <v>1926</v>
      </c>
      <c r="G4830" t="s">
        <v>14809</v>
      </c>
      <c r="H4830" t="s">
        <v>16593</v>
      </c>
      <c r="I4830" t="s">
        <v>16594</v>
      </c>
      <c r="J4830" t="s">
        <v>16595</v>
      </c>
      <c r="K4830" s="2" t="str">
        <f>HYPERLINK("http://collections.slsa.sa.gov.au/mpcimg/36250/B36048.htm")</f>
        <v>http://collections.slsa.sa.gov.au/mpcimg/36250/B36048.htm</v>
      </c>
    </row>
    <row r="4831" spans="1:11" x14ac:dyDescent="0.25">
      <c r="A4831" t="s">
        <v>16596</v>
      </c>
      <c r="B4831" s="1" t="str">
        <f>HYPERLINK("https://www.catalog.slsa.sa.gov.au/record=b2043326")</f>
        <v>https://www.catalog.slsa.sa.gov.au/record=b2043326</v>
      </c>
      <c r="C4831" s="1" t="str">
        <f>HYPERLINK("https://www.catalog.slsa.sa.gov.au/xrecord=b2043326")</f>
        <v>https://www.catalog.slsa.sa.gov.au/xrecord=b2043326</v>
      </c>
      <c r="E4831" t="s">
        <v>16597</v>
      </c>
      <c r="F4831" t="s">
        <v>1926</v>
      </c>
      <c r="G4831" t="s">
        <v>16598</v>
      </c>
      <c r="H4831" t="s">
        <v>16599</v>
      </c>
      <c r="I4831" t="s">
        <v>16600</v>
      </c>
      <c r="J4831" t="s">
        <v>16601</v>
      </c>
      <c r="K4831" s="2" t="str">
        <f>HYPERLINK("http://collections.slsa.sa.gov.au/mpcimg/32250/B32032.htm")</f>
        <v>http://collections.slsa.sa.gov.au/mpcimg/32250/B32032.htm</v>
      </c>
    </row>
    <row r="4832" spans="1:11" x14ac:dyDescent="0.25">
      <c r="A4832" t="s">
        <v>16602</v>
      </c>
      <c r="B4832" s="1" t="str">
        <f>HYPERLINK("https://www.catalog.slsa.sa.gov.au/record=b2043327")</f>
        <v>https://www.catalog.slsa.sa.gov.au/record=b2043327</v>
      </c>
      <c r="C4832" s="1" t="str">
        <f>HYPERLINK("https://www.catalog.slsa.sa.gov.au/xrecord=b2043327")</f>
        <v>https://www.catalog.slsa.sa.gov.au/xrecord=b2043327</v>
      </c>
      <c r="E4832" t="s">
        <v>16597</v>
      </c>
      <c r="F4832" t="s">
        <v>1926</v>
      </c>
      <c r="G4832" t="s">
        <v>16603</v>
      </c>
      <c r="H4832" t="s">
        <v>16604</v>
      </c>
      <c r="I4832" t="s">
        <v>16600</v>
      </c>
      <c r="J4832" t="s">
        <v>16601</v>
      </c>
      <c r="K4832" s="2" t="str">
        <f>HYPERLINK("http://collections.slsa.sa.gov.au/mpcimg/32250/B32033.htm")</f>
        <v>http://collections.slsa.sa.gov.au/mpcimg/32250/B32033.htm</v>
      </c>
    </row>
    <row r="4833" spans="1:11" x14ac:dyDescent="0.25">
      <c r="A4833" t="s">
        <v>16605</v>
      </c>
      <c r="B4833" s="1" t="str">
        <f>HYPERLINK("https://www.catalog.slsa.sa.gov.au/record=b2043328")</f>
        <v>https://www.catalog.slsa.sa.gov.au/record=b2043328</v>
      </c>
      <c r="C4833" s="1" t="str">
        <f>HYPERLINK("https://www.catalog.slsa.sa.gov.au/xrecord=b2043328")</f>
        <v>https://www.catalog.slsa.sa.gov.au/xrecord=b2043328</v>
      </c>
      <c r="E4833" t="s">
        <v>16606</v>
      </c>
      <c r="F4833" t="s">
        <v>1926</v>
      </c>
      <c r="G4833" t="s">
        <v>14799</v>
      </c>
      <c r="H4833" t="s">
        <v>16607</v>
      </c>
      <c r="I4833" t="s">
        <v>16608</v>
      </c>
      <c r="J4833" t="s">
        <v>16601</v>
      </c>
      <c r="K4833" s="2" t="str">
        <f>HYPERLINK("http://collections.slsa.sa.gov.au/mpcimg/32250/B32052.htm")</f>
        <v>http://collections.slsa.sa.gov.au/mpcimg/32250/B32052.htm</v>
      </c>
    </row>
    <row r="4834" spans="1:11" x14ac:dyDescent="0.25">
      <c r="A4834" t="s">
        <v>16609</v>
      </c>
      <c r="B4834" s="1" t="str">
        <f>HYPERLINK("https://www.catalog.slsa.sa.gov.au/record=b2043329")</f>
        <v>https://www.catalog.slsa.sa.gov.au/record=b2043329</v>
      </c>
      <c r="C4834" s="1" t="str">
        <f>HYPERLINK("https://www.catalog.slsa.sa.gov.au/xrecord=b2043329")</f>
        <v>https://www.catalog.slsa.sa.gov.au/xrecord=b2043329</v>
      </c>
      <c r="E4834" t="s">
        <v>16610</v>
      </c>
      <c r="F4834" t="s">
        <v>1926</v>
      </c>
      <c r="G4834" t="s">
        <v>16611</v>
      </c>
      <c r="H4834" t="s">
        <v>16612</v>
      </c>
      <c r="J4834" t="s">
        <v>16601</v>
      </c>
      <c r="K4834" s="2" t="str">
        <f>HYPERLINK("http://collections.slsa.sa.gov.au/mpcimg/32250/B32053.htm")</f>
        <v>http://collections.slsa.sa.gov.au/mpcimg/32250/B32053.htm</v>
      </c>
    </row>
    <row r="4835" spans="1:11" x14ac:dyDescent="0.25">
      <c r="A4835" t="s">
        <v>16613</v>
      </c>
      <c r="B4835" s="1" t="str">
        <f>HYPERLINK("https://www.catalog.slsa.sa.gov.au/record=b2044116")</f>
        <v>https://www.catalog.slsa.sa.gov.au/record=b2044116</v>
      </c>
      <c r="C4835" s="1" t="str">
        <f>HYPERLINK("https://www.catalog.slsa.sa.gov.au/xrecord=b2044116")</f>
        <v>https://www.catalog.slsa.sa.gov.au/xrecord=b2044116</v>
      </c>
      <c r="E4835" t="s">
        <v>16614</v>
      </c>
      <c r="F4835" t="s">
        <v>1926</v>
      </c>
      <c r="G4835" t="s">
        <v>16615</v>
      </c>
      <c r="H4835" t="s">
        <v>16616</v>
      </c>
      <c r="J4835" t="s">
        <v>16617</v>
      </c>
      <c r="K4835" s="2" t="str">
        <f>HYPERLINK("http://collections.slsa.sa.gov.au/mpcimg/29000/B28974.htm")</f>
        <v>http://collections.slsa.sa.gov.au/mpcimg/29000/B28974.htm</v>
      </c>
    </row>
    <row r="4836" spans="1:11" x14ac:dyDescent="0.25">
      <c r="A4836" t="s">
        <v>16618</v>
      </c>
      <c r="B4836" s="1" t="str">
        <f>HYPERLINK("https://www.catalog.slsa.sa.gov.au/record=b2044420")</f>
        <v>https://www.catalog.slsa.sa.gov.au/record=b2044420</v>
      </c>
      <c r="C4836" s="1" t="str">
        <f>HYPERLINK("https://www.catalog.slsa.sa.gov.au/xrecord=b2044420")</f>
        <v>https://www.catalog.slsa.sa.gov.au/xrecord=b2044420</v>
      </c>
      <c r="E4836" t="s">
        <v>16619</v>
      </c>
      <c r="F4836" t="s">
        <v>1926</v>
      </c>
      <c r="G4836" t="s">
        <v>16620</v>
      </c>
      <c r="H4836" t="s">
        <v>16621</v>
      </c>
      <c r="I4836" t="s">
        <v>16622</v>
      </c>
      <c r="J4836" t="s">
        <v>15330</v>
      </c>
      <c r="K4836" s="2" t="str">
        <f>HYPERLINK("http://collections.slsa.sa.gov.au/mpcimg/50250/B50194.htm")</f>
        <v>http://collections.slsa.sa.gov.au/mpcimg/50250/B50194.htm</v>
      </c>
    </row>
    <row r="4837" spans="1:11" x14ac:dyDescent="0.25">
      <c r="A4837" t="s">
        <v>16623</v>
      </c>
      <c r="B4837" s="1" t="str">
        <f>HYPERLINK("https://www.catalog.slsa.sa.gov.au/record=b2045257")</f>
        <v>https://www.catalog.slsa.sa.gov.au/record=b2045257</v>
      </c>
      <c r="C4837" s="1" t="str">
        <f>HYPERLINK("https://www.catalog.slsa.sa.gov.au/xrecord=b2045257")</f>
        <v>https://www.catalog.slsa.sa.gov.au/xrecord=b2045257</v>
      </c>
      <c r="E4837" t="s">
        <v>15117</v>
      </c>
      <c r="F4837" t="s">
        <v>1926</v>
      </c>
      <c r="G4837" t="s">
        <v>15118</v>
      </c>
      <c r="H4837" t="s">
        <v>16624</v>
      </c>
      <c r="I4837" t="s">
        <v>16625</v>
      </c>
      <c r="J4837" t="s">
        <v>15121</v>
      </c>
      <c r="K4837" s="2" t="str">
        <f>HYPERLINK("http://collections.slsa.sa.gov.au/mpcimg/52750/B52539.htm")</f>
        <v>http://collections.slsa.sa.gov.au/mpcimg/52750/B52539.htm</v>
      </c>
    </row>
    <row r="4838" spans="1:11" x14ac:dyDescent="0.25">
      <c r="A4838" t="s">
        <v>16626</v>
      </c>
      <c r="B4838" s="1" t="str">
        <f>HYPERLINK("https://www.catalog.slsa.sa.gov.au/record=b2045760")</f>
        <v>https://www.catalog.slsa.sa.gov.au/record=b2045760</v>
      </c>
      <c r="C4838" s="1" t="str">
        <f>HYPERLINK("https://www.catalog.slsa.sa.gov.au/xrecord=b2045760")</f>
        <v>https://www.catalog.slsa.sa.gov.au/xrecord=b2045760</v>
      </c>
      <c r="E4838" t="s">
        <v>16627</v>
      </c>
      <c r="F4838" t="s">
        <v>1926</v>
      </c>
      <c r="G4838" t="s">
        <v>16628</v>
      </c>
      <c r="H4838" t="s">
        <v>16629</v>
      </c>
      <c r="J4838" t="s">
        <v>16630</v>
      </c>
      <c r="K4838" s="2" t="str">
        <f>HYPERLINK("http://collections.slsa.sa.gov.au/mpcimg/29750/B29673.htm")</f>
        <v>http://collections.slsa.sa.gov.au/mpcimg/29750/B29673.htm</v>
      </c>
    </row>
    <row r="4839" spans="1:11" x14ac:dyDescent="0.25">
      <c r="A4839" t="s">
        <v>16631</v>
      </c>
      <c r="B4839" s="1" t="str">
        <f>HYPERLINK("https://www.catalog.slsa.sa.gov.au/record=b2045764")</f>
        <v>https://www.catalog.slsa.sa.gov.au/record=b2045764</v>
      </c>
      <c r="C4839" s="1" t="str">
        <f>HYPERLINK("https://www.catalog.slsa.sa.gov.au/xrecord=b2045764")</f>
        <v>https://www.catalog.slsa.sa.gov.au/xrecord=b2045764</v>
      </c>
      <c r="E4839" t="s">
        <v>16632</v>
      </c>
      <c r="F4839" t="s">
        <v>1926</v>
      </c>
      <c r="G4839" t="s">
        <v>16263</v>
      </c>
      <c r="H4839" t="s">
        <v>16633</v>
      </c>
      <c r="J4839" t="s">
        <v>16630</v>
      </c>
      <c r="K4839" s="2" t="str">
        <f>HYPERLINK("http://collections.slsa.sa.gov.au/mpcimg/29750/B29677.htm")</f>
        <v>http://collections.slsa.sa.gov.au/mpcimg/29750/B29677.htm</v>
      </c>
    </row>
    <row r="4840" spans="1:11" x14ac:dyDescent="0.25">
      <c r="A4840" t="s">
        <v>16634</v>
      </c>
      <c r="B4840" s="1" t="str">
        <f>HYPERLINK("https://www.catalog.slsa.sa.gov.au/record=b2045845")</f>
        <v>https://www.catalog.slsa.sa.gov.au/record=b2045845</v>
      </c>
      <c r="C4840" s="1" t="str">
        <f>HYPERLINK("https://www.catalog.slsa.sa.gov.au/xrecord=b2045845")</f>
        <v>https://www.catalog.slsa.sa.gov.au/xrecord=b2045845</v>
      </c>
      <c r="E4840" t="s">
        <v>16635</v>
      </c>
      <c r="F4840" t="s">
        <v>1926</v>
      </c>
      <c r="G4840" t="s">
        <v>15955</v>
      </c>
      <c r="H4840" t="s">
        <v>16636</v>
      </c>
      <c r="J4840" t="s">
        <v>15134</v>
      </c>
      <c r="K4840" s="2" t="str">
        <f>HYPERLINK("http://collections.slsa.sa.gov.au/mpcimg/34750/B34669.htm")</f>
        <v>http://collections.slsa.sa.gov.au/mpcimg/34750/B34669.htm</v>
      </c>
    </row>
    <row r="4841" spans="1:11" x14ac:dyDescent="0.25">
      <c r="A4841" t="s">
        <v>16637</v>
      </c>
      <c r="B4841" s="1" t="str">
        <f>HYPERLINK("https://www.catalog.slsa.sa.gov.au/record=b2045862")</f>
        <v>https://www.catalog.slsa.sa.gov.au/record=b2045862</v>
      </c>
      <c r="C4841" s="1" t="str">
        <f>HYPERLINK("https://www.catalog.slsa.sa.gov.au/xrecord=b2045862")</f>
        <v>https://www.catalog.slsa.sa.gov.au/xrecord=b2045862</v>
      </c>
      <c r="D4841" t="s">
        <v>16303</v>
      </c>
      <c r="E4841" t="s">
        <v>16638</v>
      </c>
      <c r="F4841" t="s">
        <v>1926</v>
      </c>
      <c r="G4841" t="s">
        <v>16639</v>
      </c>
      <c r="H4841" t="s">
        <v>16640</v>
      </c>
      <c r="I4841" t="s">
        <v>16641</v>
      </c>
      <c r="J4841" t="s">
        <v>16642</v>
      </c>
      <c r="K4841" s="2" t="str">
        <f>HYPERLINK("http://collections.slsa.sa.gov.au/mpcimg/43750/B43520.htm")</f>
        <v>http://collections.slsa.sa.gov.au/mpcimg/43750/B43520.htm</v>
      </c>
    </row>
    <row r="4842" spans="1:11" x14ac:dyDescent="0.25">
      <c r="A4842" t="s">
        <v>16643</v>
      </c>
      <c r="B4842" s="1" t="str">
        <f>HYPERLINK("https://www.catalog.slsa.sa.gov.au/record=b2045863")</f>
        <v>https://www.catalog.slsa.sa.gov.au/record=b2045863</v>
      </c>
      <c r="C4842" s="1" t="str">
        <f>HYPERLINK("https://www.catalog.slsa.sa.gov.au/xrecord=b2045863")</f>
        <v>https://www.catalog.slsa.sa.gov.au/xrecord=b2045863</v>
      </c>
      <c r="D4842" t="s">
        <v>16303</v>
      </c>
      <c r="E4842" t="s">
        <v>16644</v>
      </c>
      <c r="F4842" t="s">
        <v>1926</v>
      </c>
      <c r="G4842" t="s">
        <v>16645</v>
      </c>
      <c r="H4842" t="s">
        <v>16646</v>
      </c>
      <c r="J4842" t="s">
        <v>16642</v>
      </c>
      <c r="K4842" s="2" t="str">
        <f>HYPERLINK("http://collections.slsa.sa.gov.au/mpcimg/43750/B43521.htm")</f>
        <v>http://collections.slsa.sa.gov.au/mpcimg/43750/B43521.htm</v>
      </c>
    </row>
    <row r="4843" spans="1:11" x14ac:dyDescent="0.25">
      <c r="A4843" t="s">
        <v>16647</v>
      </c>
      <c r="B4843" s="1" t="str">
        <f>HYPERLINK("https://www.catalog.slsa.sa.gov.au/record=b2046219")</f>
        <v>https://www.catalog.slsa.sa.gov.au/record=b2046219</v>
      </c>
      <c r="C4843" s="1" t="str">
        <f>HYPERLINK("https://www.catalog.slsa.sa.gov.au/xrecord=b2046219")</f>
        <v>https://www.catalog.slsa.sa.gov.au/xrecord=b2046219</v>
      </c>
      <c r="D4843" t="s">
        <v>16648</v>
      </c>
      <c r="E4843" t="s">
        <v>16649</v>
      </c>
      <c r="F4843" t="s">
        <v>1926</v>
      </c>
      <c r="G4843" t="s">
        <v>15767</v>
      </c>
      <c r="H4843" t="s">
        <v>16650</v>
      </c>
      <c r="I4843" t="s">
        <v>16651</v>
      </c>
      <c r="J4843" t="s">
        <v>2700</v>
      </c>
      <c r="K4843" s="2" t="str">
        <f>HYPERLINK("http://collections.slsa.sa.gov.au/mpcimg/42500/B42370.htm")</f>
        <v>http://collections.slsa.sa.gov.au/mpcimg/42500/B42370.htm</v>
      </c>
    </row>
    <row r="4844" spans="1:11" x14ac:dyDescent="0.25">
      <c r="A4844" t="s">
        <v>16652</v>
      </c>
      <c r="B4844" s="1" t="str">
        <f>HYPERLINK("https://www.catalog.slsa.sa.gov.au/record=b2046384")</f>
        <v>https://www.catalog.slsa.sa.gov.au/record=b2046384</v>
      </c>
      <c r="C4844" s="1" t="str">
        <f>HYPERLINK("https://www.catalog.slsa.sa.gov.au/xrecord=b2046384")</f>
        <v>https://www.catalog.slsa.sa.gov.au/xrecord=b2046384</v>
      </c>
      <c r="D4844" t="s">
        <v>16653</v>
      </c>
      <c r="E4844" t="s">
        <v>16654</v>
      </c>
      <c r="F4844" t="s">
        <v>1926</v>
      </c>
      <c r="G4844" t="s">
        <v>14809</v>
      </c>
      <c r="H4844" t="s">
        <v>16655</v>
      </c>
      <c r="I4844" t="s">
        <v>16656</v>
      </c>
      <c r="J4844" t="s">
        <v>15298</v>
      </c>
      <c r="K4844" s="2" t="str">
        <f>HYPERLINK("http://collections.slsa.sa.gov.au/mpcimg/36250/B36170.htm")</f>
        <v>http://collections.slsa.sa.gov.au/mpcimg/36250/B36170.htm</v>
      </c>
    </row>
    <row r="4845" spans="1:11" x14ac:dyDescent="0.25">
      <c r="A4845" t="s">
        <v>16657</v>
      </c>
      <c r="B4845" s="1" t="str">
        <f>HYPERLINK("https://www.catalog.slsa.sa.gov.au/record=b2046431")</f>
        <v>https://www.catalog.slsa.sa.gov.au/record=b2046431</v>
      </c>
      <c r="C4845" s="1" t="str">
        <f>HYPERLINK("https://www.catalog.slsa.sa.gov.au/xrecord=b2046431")</f>
        <v>https://www.catalog.slsa.sa.gov.au/xrecord=b2046431</v>
      </c>
      <c r="E4845" t="s">
        <v>16658</v>
      </c>
      <c r="F4845" t="s">
        <v>1926</v>
      </c>
      <c r="G4845" t="s">
        <v>16659</v>
      </c>
      <c r="H4845" t="s">
        <v>16660</v>
      </c>
      <c r="I4845" t="s">
        <v>16661</v>
      </c>
      <c r="J4845" t="s">
        <v>16662</v>
      </c>
      <c r="K4845" s="2" t="str">
        <f>HYPERLINK("http://collections.slsa.sa.gov.au/mpcimg/34750/B34550.htm")</f>
        <v>http://collections.slsa.sa.gov.au/mpcimg/34750/B34550.htm</v>
      </c>
    </row>
    <row r="4846" spans="1:11" x14ac:dyDescent="0.25">
      <c r="A4846" t="s">
        <v>16663</v>
      </c>
      <c r="B4846" s="1" t="str">
        <f>HYPERLINK("https://www.catalog.slsa.sa.gov.au/record=b2046432")</f>
        <v>https://www.catalog.slsa.sa.gov.au/record=b2046432</v>
      </c>
      <c r="C4846" s="1" t="str">
        <f>HYPERLINK("https://www.catalog.slsa.sa.gov.au/xrecord=b2046432")</f>
        <v>https://www.catalog.slsa.sa.gov.au/xrecord=b2046432</v>
      </c>
      <c r="E4846" t="s">
        <v>16658</v>
      </c>
      <c r="F4846" t="s">
        <v>1926</v>
      </c>
      <c r="G4846" t="s">
        <v>16659</v>
      </c>
      <c r="H4846" t="s">
        <v>16664</v>
      </c>
      <c r="I4846" t="s">
        <v>16665</v>
      </c>
      <c r="J4846" t="s">
        <v>16662</v>
      </c>
      <c r="K4846" s="2" t="str">
        <f>HYPERLINK("http://collections.slsa.sa.gov.au/mpcimg/34750/B34551.htm")</f>
        <v>http://collections.slsa.sa.gov.au/mpcimg/34750/B34551.htm</v>
      </c>
    </row>
    <row r="4847" spans="1:11" x14ac:dyDescent="0.25">
      <c r="A4847" t="s">
        <v>16666</v>
      </c>
      <c r="B4847" s="1" t="str">
        <f>HYPERLINK("https://www.catalog.slsa.sa.gov.au/record=b2046473")</f>
        <v>https://www.catalog.slsa.sa.gov.au/record=b2046473</v>
      </c>
      <c r="C4847" s="1" t="str">
        <f>HYPERLINK("https://www.catalog.slsa.sa.gov.au/xrecord=b2046473")</f>
        <v>https://www.catalog.slsa.sa.gov.au/xrecord=b2046473</v>
      </c>
      <c r="E4847" t="s">
        <v>16667</v>
      </c>
      <c r="F4847" t="s">
        <v>1926</v>
      </c>
      <c r="G4847" t="s">
        <v>14809</v>
      </c>
      <c r="H4847" t="s">
        <v>16668</v>
      </c>
      <c r="I4847" t="s">
        <v>16669</v>
      </c>
      <c r="J4847" t="s">
        <v>16662</v>
      </c>
      <c r="K4847" s="2" t="str">
        <f>HYPERLINK("http://collections.slsa.sa.gov.au/mpcimg/37750/B37656.htm")</f>
        <v>http://collections.slsa.sa.gov.au/mpcimg/37750/B37656.htm</v>
      </c>
    </row>
    <row r="4848" spans="1:11" x14ac:dyDescent="0.25">
      <c r="A4848" t="s">
        <v>16670</v>
      </c>
      <c r="B4848" s="1" t="str">
        <f>HYPERLINK("https://www.catalog.slsa.sa.gov.au/record=b2046474")</f>
        <v>https://www.catalog.slsa.sa.gov.au/record=b2046474</v>
      </c>
      <c r="C4848" s="1" t="str">
        <f>HYPERLINK("https://www.catalog.slsa.sa.gov.au/xrecord=b2046474")</f>
        <v>https://www.catalog.slsa.sa.gov.au/xrecord=b2046474</v>
      </c>
      <c r="E4848" t="s">
        <v>16667</v>
      </c>
      <c r="F4848" t="s">
        <v>1926</v>
      </c>
      <c r="G4848" t="s">
        <v>15147</v>
      </c>
      <c r="H4848" t="s">
        <v>16668</v>
      </c>
      <c r="I4848" t="s">
        <v>16669</v>
      </c>
      <c r="J4848" t="s">
        <v>16662</v>
      </c>
      <c r="K4848" s="2" t="str">
        <f>HYPERLINK("http://collections.slsa.sa.gov.au/mpcimg/37750/B37657.htm")</f>
        <v>http://collections.slsa.sa.gov.au/mpcimg/37750/B37657.htm</v>
      </c>
    </row>
    <row r="4849" spans="1:11" x14ac:dyDescent="0.25">
      <c r="A4849" t="s">
        <v>16671</v>
      </c>
      <c r="B4849" s="1" t="str">
        <f>HYPERLINK("https://www.catalog.slsa.sa.gov.au/record=b2046475")</f>
        <v>https://www.catalog.slsa.sa.gov.au/record=b2046475</v>
      </c>
      <c r="C4849" s="1" t="str">
        <f>HYPERLINK("https://www.catalog.slsa.sa.gov.au/xrecord=b2046475")</f>
        <v>https://www.catalog.slsa.sa.gov.au/xrecord=b2046475</v>
      </c>
      <c r="E4849" t="s">
        <v>16667</v>
      </c>
      <c r="F4849" t="s">
        <v>1926</v>
      </c>
      <c r="G4849" t="s">
        <v>15147</v>
      </c>
      <c r="H4849" t="s">
        <v>16668</v>
      </c>
      <c r="I4849" t="s">
        <v>16669</v>
      </c>
      <c r="J4849" t="s">
        <v>16662</v>
      </c>
      <c r="K4849" s="2" t="str">
        <f>HYPERLINK("http://collections.slsa.sa.gov.au/mpcimg/37750/B37658.htm")</f>
        <v>http://collections.slsa.sa.gov.au/mpcimg/37750/B37658.htm</v>
      </c>
    </row>
    <row r="4850" spans="1:11" x14ac:dyDescent="0.25">
      <c r="A4850" t="s">
        <v>16672</v>
      </c>
      <c r="B4850" s="1" t="str">
        <f>HYPERLINK("https://www.catalog.slsa.sa.gov.au/record=b2046689")</f>
        <v>https://www.catalog.slsa.sa.gov.au/record=b2046689</v>
      </c>
      <c r="C4850" s="1" t="str">
        <f>HYPERLINK("https://www.catalog.slsa.sa.gov.au/xrecord=b2046689")</f>
        <v>https://www.catalog.slsa.sa.gov.au/xrecord=b2046689</v>
      </c>
      <c r="E4850" t="s">
        <v>16673</v>
      </c>
      <c r="F4850" t="s">
        <v>1926</v>
      </c>
      <c r="G4850" t="s">
        <v>16674</v>
      </c>
      <c r="H4850" t="s">
        <v>16675</v>
      </c>
      <c r="I4850" t="s">
        <v>16676</v>
      </c>
      <c r="J4850" t="s">
        <v>16677</v>
      </c>
      <c r="K4850" s="2" t="str">
        <f>HYPERLINK("http://collections.slsa.sa.gov.au/mpcimg/27750/B27651.htm")</f>
        <v>http://collections.slsa.sa.gov.au/mpcimg/27750/B27651.htm</v>
      </c>
    </row>
    <row r="4851" spans="1:11" x14ac:dyDescent="0.25">
      <c r="A4851" t="s">
        <v>16678</v>
      </c>
      <c r="B4851" s="1" t="str">
        <f>HYPERLINK("https://www.catalog.slsa.sa.gov.au/record=b2046926")</f>
        <v>https://www.catalog.slsa.sa.gov.au/record=b2046926</v>
      </c>
      <c r="C4851" s="1" t="str">
        <f>HYPERLINK("https://www.catalog.slsa.sa.gov.au/xrecord=b2046926")</f>
        <v>https://www.catalog.slsa.sa.gov.au/xrecord=b2046926</v>
      </c>
      <c r="E4851" t="s">
        <v>16679</v>
      </c>
      <c r="F4851" t="s">
        <v>1926</v>
      </c>
      <c r="G4851" t="s">
        <v>16680</v>
      </c>
      <c r="H4851" t="s">
        <v>16681</v>
      </c>
      <c r="I4851" t="s">
        <v>16682</v>
      </c>
      <c r="J4851" t="s">
        <v>1809</v>
      </c>
      <c r="K4851" s="2" t="str">
        <f>HYPERLINK("http://collections.slsa.sa.gov.au/mpcimg/14750/B14646.htm")</f>
        <v>http://collections.slsa.sa.gov.au/mpcimg/14750/B14646.htm</v>
      </c>
    </row>
    <row r="4852" spans="1:11" x14ac:dyDescent="0.25">
      <c r="A4852" t="s">
        <v>16683</v>
      </c>
      <c r="B4852" s="1" t="str">
        <f>HYPERLINK("https://www.catalog.slsa.sa.gov.au/record=b2047022")</f>
        <v>https://www.catalog.slsa.sa.gov.au/record=b2047022</v>
      </c>
      <c r="C4852" s="1" t="str">
        <f>HYPERLINK("https://www.catalog.slsa.sa.gov.au/xrecord=b2047022")</f>
        <v>https://www.catalog.slsa.sa.gov.au/xrecord=b2047022</v>
      </c>
      <c r="E4852" t="s">
        <v>16684</v>
      </c>
      <c r="F4852" t="s">
        <v>1926</v>
      </c>
      <c r="G4852" t="s">
        <v>16685</v>
      </c>
      <c r="H4852" t="s">
        <v>16686</v>
      </c>
      <c r="I4852" t="s">
        <v>16687</v>
      </c>
      <c r="J4852" t="s">
        <v>1809</v>
      </c>
      <c r="K4852" s="2" t="str">
        <f>HYPERLINK("http://collections.slsa.sa.gov.au/mpcimg/33750/B33645.htm")</f>
        <v>http://collections.slsa.sa.gov.au/mpcimg/33750/B33645.htm</v>
      </c>
    </row>
    <row r="4853" spans="1:11" x14ac:dyDescent="0.25">
      <c r="A4853" t="s">
        <v>16688</v>
      </c>
      <c r="B4853" s="1" t="str">
        <f>HYPERLINK("https://www.catalog.slsa.sa.gov.au/record=b2047363")</f>
        <v>https://www.catalog.slsa.sa.gov.au/record=b2047363</v>
      </c>
      <c r="C4853" s="1" t="str">
        <f>HYPERLINK("https://www.catalog.slsa.sa.gov.au/xrecord=b2047363")</f>
        <v>https://www.catalog.slsa.sa.gov.au/xrecord=b2047363</v>
      </c>
      <c r="E4853" t="s">
        <v>16689</v>
      </c>
      <c r="F4853" t="s">
        <v>1926</v>
      </c>
      <c r="G4853" t="s">
        <v>16690</v>
      </c>
      <c r="H4853" t="s">
        <v>16691</v>
      </c>
      <c r="I4853" t="s">
        <v>16692</v>
      </c>
      <c r="J4853" t="s">
        <v>1809</v>
      </c>
      <c r="K4853" s="2" t="str">
        <f>HYPERLINK("http://collections.slsa.sa.gov.au/mpcimg/48750/B48662.htm")</f>
        <v>http://collections.slsa.sa.gov.au/mpcimg/48750/B48662.htm</v>
      </c>
    </row>
    <row r="4854" spans="1:11" x14ac:dyDescent="0.25">
      <c r="A4854" t="s">
        <v>16693</v>
      </c>
      <c r="B4854" s="1" t="str">
        <f>HYPERLINK("https://www.catalog.slsa.sa.gov.au/record=b2047552")</f>
        <v>https://www.catalog.slsa.sa.gov.au/record=b2047552</v>
      </c>
      <c r="C4854" s="1" t="str">
        <f>HYPERLINK("https://www.catalog.slsa.sa.gov.au/xrecord=b2047552")</f>
        <v>https://www.catalog.slsa.sa.gov.au/xrecord=b2047552</v>
      </c>
      <c r="E4854" t="s">
        <v>16694</v>
      </c>
      <c r="F4854" t="s">
        <v>1926</v>
      </c>
      <c r="G4854" t="s">
        <v>16695</v>
      </c>
      <c r="H4854" t="s">
        <v>16696</v>
      </c>
      <c r="I4854" t="s">
        <v>16697</v>
      </c>
      <c r="J4854" t="s">
        <v>1809</v>
      </c>
      <c r="K4854" s="2" t="str">
        <f>HYPERLINK("http://collections.slsa.sa.gov.au/mpcimg/46000/B45792.htm")</f>
        <v>http://collections.slsa.sa.gov.au/mpcimg/46000/B45792.htm</v>
      </c>
    </row>
    <row r="4855" spans="1:11" x14ac:dyDescent="0.25">
      <c r="A4855" t="s">
        <v>16698</v>
      </c>
      <c r="B4855" s="1" t="str">
        <f>HYPERLINK("https://www.catalog.slsa.sa.gov.au/record=b2047599")</f>
        <v>https://www.catalog.slsa.sa.gov.au/record=b2047599</v>
      </c>
      <c r="C4855" s="1" t="str">
        <f>HYPERLINK("https://www.catalog.slsa.sa.gov.au/xrecord=b2047599")</f>
        <v>https://www.catalog.slsa.sa.gov.au/xrecord=b2047599</v>
      </c>
      <c r="E4855" t="s">
        <v>16699</v>
      </c>
      <c r="F4855" t="s">
        <v>1926</v>
      </c>
      <c r="G4855" t="s">
        <v>16700</v>
      </c>
      <c r="H4855" t="s">
        <v>16701</v>
      </c>
      <c r="I4855" t="s">
        <v>16702</v>
      </c>
      <c r="J4855" t="s">
        <v>1809</v>
      </c>
      <c r="K4855" s="2" t="str">
        <f>HYPERLINK("http://collections.slsa.sa.gov.au/mpcimg/49500/B49354.htm")</f>
        <v>http://collections.slsa.sa.gov.au/mpcimg/49500/B49354.htm</v>
      </c>
    </row>
    <row r="4856" spans="1:11" x14ac:dyDescent="0.25">
      <c r="A4856" t="s">
        <v>16703</v>
      </c>
      <c r="B4856" s="1" t="str">
        <f>HYPERLINK("https://www.catalog.slsa.sa.gov.au/record=b2047872")</f>
        <v>https://www.catalog.slsa.sa.gov.au/record=b2047872</v>
      </c>
      <c r="C4856" s="1" t="str">
        <f>HYPERLINK("https://www.catalog.slsa.sa.gov.au/xrecord=b2047872")</f>
        <v>https://www.catalog.slsa.sa.gov.au/xrecord=b2047872</v>
      </c>
      <c r="E4856" t="s">
        <v>16704</v>
      </c>
      <c r="F4856" t="s">
        <v>1926</v>
      </c>
      <c r="G4856" t="s">
        <v>16705</v>
      </c>
      <c r="H4856" t="s">
        <v>16706</v>
      </c>
      <c r="I4856" t="s">
        <v>16707</v>
      </c>
      <c r="J4856" t="s">
        <v>1809</v>
      </c>
      <c r="K4856" s="2" t="str">
        <f>HYPERLINK("http://collections.slsa.sa.gov.au/mpcimg/32750/B32747.htm")</f>
        <v>http://collections.slsa.sa.gov.au/mpcimg/32750/B32747.htm</v>
      </c>
    </row>
    <row r="4857" spans="1:11" x14ac:dyDescent="0.25">
      <c r="A4857" t="s">
        <v>16708</v>
      </c>
      <c r="B4857" s="1" t="str">
        <f>HYPERLINK("https://www.catalog.slsa.sa.gov.au/record=b2048036")</f>
        <v>https://www.catalog.slsa.sa.gov.au/record=b2048036</v>
      </c>
      <c r="C4857" s="1" t="str">
        <f>HYPERLINK("https://www.catalog.slsa.sa.gov.au/xrecord=b2048036")</f>
        <v>https://www.catalog.slsa.sa.gov.au/xrecord=b2048036</v>
      </c>
      <c r="E4857" t="s">
        <v>16709</v>
      </c>
      <c r="F4857" t="s">
        <v>1926</v>
      </c>
      <c r="G4857" t="s">
        <v>16710</v>
      </c>
      <c r="H4857" t="s">
        <v>16711</v>
      </c>
      <c r="I4857" t="s">
        <v>16712</v>
      </c>
      <c r="J4857" t="s">
        <v>1809</v>
      </c>
      <c r="K4857" s="2" t="str">
        <f>HYPERLINK("http://collections.slsa.sa.gov.au/mpcimg/42250/B42194.htm")</f>
        <v>http://collections.slsa.sa.gov.au/mpcimg/42250/B42194.htm</v>
      </c>
    </row>
    <row r="4858" spans="1:11" x14ac:dyDescent="0.25">
      <c r="A4858" t="s">
        <v>16713</v>
      </c>
      <c r="B4858" s="1" t="str">
        <f>HYPERLINK("https://www.catalog.slsa.sa.gov.au/record=b2048767")</f>
        <v>https://www.catalog.slsa.sa.gov.au/record=b2048767</v>
      </c>
      <c r="C4858" s="1" t="str">
        <f>HYPERLINK("https://www.catalog.slsa.sa.gov.au/xrecord=b2048767")</f>
        <v>https://www.catalog.slsa.sa.gov.au/xrecord=b2048767</v>
      </c>
      <c r="D4858" t="s">
        <v>16714</v>
      </c>
      <c r="E4858" t="s">
        <v>16715</v>
      </c>
      <c r="F4858" t="s">
        <v>1926</v>
      </c>
      <c r="G4858" t="s">
        <v>16716</v>
      </c>
      <c r="H4858" t="s">
        <v>16717</v>
      </c>
      <c r="I4858" t="s">
        <v>16718</v>
      </c>
      <c r="J4858" t="s">
        <v>1809</v>
      </c>
      <c r="K4858" s="2" t="str">
        <f>HYPERLINK("http://collections.slsa.sa.gov.au/mpcimg/42000/B41916.htm")</f>
        <v>http://collections.slsa.sa.gov.au/mpcimg/42000/B41916.htm</v>
      </c>
    </row>
    <row r="4859" spans="1:11" x14ac:dyDescent="0.25">
      <c r="A4859" t="s">
        <v>16719</v>
      </c>
      <c r="B4859" s="1" t="str">
        <f>HYPERLINK("https://www.catalog.slsa.sa.gov.au/record=b2051655")</f>
        <v>https://www.catalog.slsa.sa.gov.au/record=b2051655</v>
      </c>
      <c r="C4859" s="1" t="str">
        <f>HYPERLINK("https://www.catalog.slsa.sa.gov.au/xrecord=b2051655")</f>
        <v>https://www.catalog.slsa.sa.gov.au/xrecord=b2051655</v>
      </c>
      <c r="E4859" t="s">
        <v>16720</v>
      </c>
      <c r="F4859" t="s">
        <v>1926</v>
      </c>
      <c r="G4859" t="s">
        <v>16721</v>
      </c>
      <c r="H4859" t="s">
        <v>16722</v>
      </c>
      <c r="J4859" t="s">
        <v>2510</v>
      </c>
      <c r="K4859" s="2" t="str">
        <f>HYPERLINK("http://collections.slsa.sa.gov.au/mpcimg/23250/B23156.htm")</f>
        <v>http://collections.slsa.sa.gov.au/mpcimg/23250/B23156.htm</v>
      </c>
    </row>
    <row r="4860" spans="1:11" x14ac:dyDescent="0.25">
      <c r="A4860" t="s">
        <v>16723</v>
      </c>
      <c r="B4860" s="1" t="str">
        <f>HYPERLINK("https://www.catalog.slsa.sa.gov.au/record=b2051734")</f>
        <v>https://www.catalog.slsa.sa.gov.au/record=b2051734</v>
      </c>
      <c r="C4860" s="1" t="str">
        <f>HYPERLINK("https://www.catalog.slsa.sa.gov.au/xrecord=b2051734")</f>
        <v>https://www.catalog.slsa.sa.gov.au/xrecord=b2051734</v>
      </c>
      <c r="E4860" t="s">
        <v>16724</v>
      </c>
      <c r="F4860" t="s">
        <v>1926</v>
      </c>
      <c r="G4860" t="s">
        <v>16725</v>
      </c>
      <c r="H4860" t="s">
        <v>16726</v>
      </c>
      <c r="I4860" t="s">
        <v>16727</v>
      </c>
      <c r="J4860" t="s">
        <v>2510</v>
      </c>
      <c r="K4860" s="2" t="str">
        <f>HYPERLINK("http://collections.slsa.sa.gov.au/mpcimg/26000/B25778.htm")</f>
        <v>http://collections.slsa.sa.gov.au/mpcimg/26000/B25778.htm</v>
      </c>
    </row>
    <row r="4861" spans="1:11" x14ac:dyDescent="0.25">
      <c r="A4861" t="s">
        <v>16728</v>
      </c>
      <c r="B4861" s="1" t="str">
        <f>HYPERLINK("https://www.catalog.slsa.sa.gov.au/record=b2051955")</f>
        <v>https://www.catalog.slsa.sa.gov.au/record=b2051955</v>
      </c>
      <c r="C4861" s="1" t="str">
        <f>HYPERLINK("https://www.catalog.slsa.sa.gov.au/xrecord=b2051955")</f>
        <v>https://www.catalog.slsa.sa.gov.au/xrecord=b2051955</v>
      </c>
      <c r="E4861" t="s">
        <v>16729</v>
      </c>
      <c r="F4861" t="s">
        <v>1926</v>
      </c>
      <c r="G4861" t="s">
        <v>16730</v>
      </c>
      <c r="H4861" t="s">
        <v>16731</v>
      </c>
      <c r="I4861" t="s">
        <v>16732</v>
      </c>
      <c r="J4861" t="s">
        <v>2510</v>
      </c>
      <c r="K4861" s="2" t="str">
        <f>HYPERLINK("http://collections.slsa.sa.gov.au/mpcimg/27500/B27404_9.htm")</f>
        <v>http://collections.slsa.sa.gov.au/mpcimg/27500/B27404_9.htm</v>
      </c>
    </row>
    <row r="4862" spans="1:11" x14ac:dyDescent="0.25">
      <c r="A4862" t="s">
        <v>16733</v>
      </c>
      <c r="B4862" s="1" t="str">
        <f>HYPERLINK("https://www.catalog.slsa.sa.gov.au/record=b2052465")</f>
        <v>https://www.catalog.slsa.sa.gov.au/record=b2052465</v>
      </c>
      <c r="C4862" s="1" t="str">
        <f>HYPERLINK("https://www.catalog.slsa.sa.gov.au/xrecord=b2052465")</f>
        <v>https://www.catalog.slsa.sa.gov.au/xrecord=b2052465</v>
      </c>
      <c r="E4862" t="s">
        <v>16734</v>
      </c>
      <c r="F4862" t="s">
        <v>1926</v>
      </c>
      <c r="G4862" t="s">
        <v>16735</v>
      </c>
      <c r="H4862" t="s">
        <v>16736</v>
      </c>
      <c r="I4862" t="s">
        <v>16737</v>
      </c>
      <c r="J4862" t="s">
        <v>2510</v>
      </c>
      <c r="K4862" s="2" t="str">
        <f>HYPERLINK("http://collections.slsa.sa.gov.au/mpcimg/35750/B35540.htm")</f>
        <v>http://collections.slsa.sa.gov.au/mpcimg/35750/B35540.htm</v>
      </c>
    </row>
    <row r="4863" spans="1:11" x14ac:dyDescent="0.25">
      <c r="A4863" t="s">
        <v>16738</v>
      </c>
      <c r="B4863" s="1" t="str">
        <f>HYPERLINK("https://www.catalog.slsa.sa.gov.au/record=b2052766")</f>
        <v>https://www.catalog.slsa.sa.gov.au/record=b2052766</v>
      </c>
      <c r="C4863" s="1" t="str">
        <f>HYPERLINK("https://www.catalog.slsa.sa.gov.au/xrecord=b2052766")</f>
        <v>https://www.catalog.slsa.sa.gov.au/xrecord=b2052766</v>
      </c>
      <c r="E4863" t="s">
        <v>16739</v>
      </c>
      <c r="F4863" t="s">
        <v>1926</v>
      </c>
      <c r="G4863" t="s">
        <v>14809</v>
      </c>
      <c r="H4863" t="s">
        <v>16740</v>
      </c>
      <c r="I4863" t="s">
        <v>16741</v>
      </c>
      <c r="J4863" t="s">
        <v>2510</v>
      </c>
      <c r="K4863" s="2" t="str">
        <f>HYPERLINK("http://collections.slsa.sa.gov.au/mpcimg/37750/B37721.htm")</f>
        <v>http://collections.slsa.sa.gov.au/mpcimg/37750/B37721.htm</v>
      </c>
    </row>
    <row r="4864" spans="1:11" x14ac:dyDescent="0.25">
      <c r="A4864" t="s">
        <v>16742</v>
      </c>
      <c r="B4864" s="1" t="str">
        <f>HYPERLINK("https://www.catalog.slsa.sa.gov.au/record=b2052767")</f>
        <v>https://www.catalog.slsa.sa.gov.au/record=b2052767</v>
      </c>
      <c r="C4864" s="1" t="str">
        <f>HYPERLINK("https://www.catalog.slsa.sa.gov.au/xrecord=b2052767")</f>
        <v>https://www.catalog.slsa.sa.gov.au/xrecord=b2052767</v>
      </c>
      <c r="E4864" t="s">
        <v>16739</v>
      </c>
      <c r="F4864" t="s">
        <v>1926</v>
      </c>
      <c r="G4864" t="s">
        <v>14809</v>
      </c>
      <c r="H4864" t="s">
        <v>16740</v>
      </c>
      <c r="I4864" t="s">
        <v>16741</v>
      </c>
      <c r="J4864" t="s">
        <v>2510</v>
      </c>
      <c r="K4864" s="2" t="str">
        <f>HYPERLINK("http://collections.slsa.sa.gov.au/mpcimg/37750/B37722.htm")</f>
        <v>http://collections.slsa.sa.gov.au/mpcimg/37750/B37722.htm</v>
      </c>
    </row>
    <row r="4865" spans="1:11" x14ac:dyDescent="0.25">
      <c r="A4865" t="s">
        <v>16743</v>
      </c>
      <c r="B4865" s="1" t="str">
        <f>HYPERLINK("https://www.catalog.slsa.sa.gov.au/record=b2052768")</f>
        <v>https://www.catalog.slsa.sa.gov.au/record=b2052768</v>
      </c>
      <c r="C4865" s="1" t="str">
        <f>HYPERLINK("https://www.catalog.slsa.sa.gov.au/xrecord=b2052768")</f>
        <v>https://www.catalog.slsa.sa.gov.au/xrecord=b2052768</v>
      </c>
      <c r="E4865" t="s">
        <v>16739</v>
      </c>
      <c r="F4865" t="s">
        <v>1926</v>
      </c>
      <c r="G4865" t="s">
        <v>14809</v>
      </c>
      <c r="H4865" t="s">
        <v>16740</v>
      </c>
      <c r="I4865" t="s">
        <v>16741</v>
      </c>
      <c r="J4865" t="s">
        <v>2510</v>
      </c>
      <c r="K4865" s="2" t="str">
        <f>HYPERLINK("http://collections.slsa.sa.gov.au/mpcimg/37750/B37723.htm")</f>
        <v>http://collections.slsa.sa.gov.au/mpcimg/37750/B37723.htm</v>
      </c>
    </row>
    <row r="4866" spans="1:11" x14ac:dyDescent="0.25">
      <c r="A4866" t="s">
        <v>16744</v>
      </c>
      <c r="B4866" s="1" t="str">
        <f>HYPERLINK("https://www.catalog.slsa.sa.gov.au/record=b2052773")</f>
        <v>https://www.catalog.slsa.sa.gov.au/record=b2052773</v>
      </c>
      <c r="C4866" s="1" t="str">
        <f>HYPERLINK("https://www.catalog.slsa.sa.gov.au/xrecord=b2052773")</f>
        <v>https://www.catalog.slsa.sa.gov.au/xrecord=b2052773</v>
      </c>
      <c r="E4866" t="s">
        <v>16745</v>
      </c>
      <c r="F4866" t="s">
        <v>1926</v>
      </c>
      <c r="G4866" t="s">
        <v>16290</v>
      </c>
      <c r="H4866" t="s">
        <v>16746</v>
      </c>
      <c r="I4866" t="s">
        <v>16747</v>
      </c>
      <c r="J4866" t="s">
        <v>2510</v>
      </c>
      <c r="K4866" s="2" t="str">
        <f>HYPERLINK("http://collections.slsa.sa.gov.au/mpcimg/38000/B37829.htm")</f>
        <v>http://collections.slsa.sa.gov.au/mpcimg/38000/B37829.htm</v>
      </c>
    </row>
    <row r="4867" spans="1:11" x14ac:dyDescent="0.25">
      <c r="A4867" t="s">
        <v>16748</v>
      </c>
      <c r="B4867" s="1" t="str">
        <f>HYPERLINK("https://www.catalog.slsa.sa.gov.au/record=b2052774")</f>
        <v>https://www.catalog.slsa.sa.gov.au/record=b2052774</v>
      </c>
      <c r="C4867" s="1" t="str">
        <f>HYPERLINK("https://www.catalog.slsa.sa.gov.au/xrecord=b2052774")</f>
        <v>https://www.catalog.slsa.sa.gov.au/xrecord=b2052774</v>
      </c>
      <c r="E4867" t="s">
        <v>16749</v>
      </c>
      <c r="F4867" t="s">
        <v>1926</v>
      </c>
      <c r="G4867" t="s">
        <v>16290</v>
      </c>
      <c r="H4867" t="s">
        <v>16750</v>
      </c>
      <c r="I4867" t="s">
        <v>16751</v>
      </c>
      <c r="J4867" t="s">
        <v>2510</v>
      </c>
      <c r="K4867" s="2" t="str">
        <f>HYPERLINK("http://collections.slsa.sa.gov.au/mpcimg/38000/B37830.htm")</f>
        <v>http://collections.slsa.sa.gov.au/mpcimg/38000/B37830.htm</v>
      </c>
    </row>
    <row r="4868" spans="1:11" x14ac:dyDescent="0.25">
      <c r="A4868" t="s">
        <v>16752</v>
      </c>
      <c r="B4868" s="1" t="str">
        <f>HYPERLINK("https://www.catalog.slsa.sa.gov.au/record=b2052779")</f>
        <v>https://www.catalog.slsa.sa.gov.au/record=b2052779</v>
      </c>
      <c r="C4868" s="1" t="str">
        <f>HYPERLINK("https://www.catalog.slsa.sa.gov.au/xrecord=b2052779")</f>
        <v>https://www.catalog.slsa.sa.gov.au/xrecord=b2052779</v>
      </c>
      <c r="E4868" t="s">
        <v>16753</v>
      </c>
      <c r="F4868" t="s">
        <v>1926</v>
      </c>
      <c r="G4868" t="s">
        <v>14809</v>
      </c>
      <c r="H4868" t="s">
        <v>16754</v>
      </c>
      <c r="I4868" t="s">
        <v>16755</v>
      </c>
      <c r="J4868" t="s">
        <v>2510</v>
      </c>
      <c r="K4868" s="2" t="str">
        <f>HYPERLINK("http://collections.slsa.sa.gov.au/mpcimg/38250/B38016.htm")</f>
        <v>http://collections.slsa.sa.gov.au/mpcimg/38250/B38016.htm</v>
      </c>
    </row>
    <row r="4869" spans="1:11" x14ac:dyDescent="0.25">
      <c r="A4869" t="s">
        <v>16756</v>
      </c>
      <c r="B4869" s="1" t="str">
        <f>HYPERLINK("https://www.catalog.slsa.sa.gov.au/record=b2053328")</f>
        <v>https://www.catalog.slsa.sa.gov.au/record=b2053328</v>
      </c>
      <c r="C4869" s="1" t="str">
        <f>HYPERLINK("https://www.catalog.slsa.sa.gov.au/xrecord=b2053328")</f>
        <v>https://www.catalog.slsa.sa.gov.au/xrecord=b2053328</v>
      </c>
      <c r="E4869" t="s">
        <v>16757</v>
      </c>
      <c r="F4869" t="s">
        <v>1926</v>
      </c>
      <c r="G4869" t="s">
        <v>16758</v>
      </c>
      <c r="H4869" t="s">
        <v>16759</v>
      </c>
      <c r="I4869" t="s">
        <v>16760</v>
      </c>
      <c r="J4869" t="s">
        <v>2510</v>
      </c>
      <c r="K4869" s="2" t="str">
        <f>HYPERLINK("http://collections.slsa.sa.gov.au/mpcimg/45500/B45414.htm")</f>
        <v>http://collections.slsa.sa.gov.au/mpcimg/45500/B45414.htm</v>
      </c>
    </row>
    <row r="4870" spans="1:11" x14ac:dyDescent="0.25">
      <c r="A4870" t="s">
        <v>16761</v>
      </c>
      <c r="B4870" s="1" t="str">
        <f>HYPERLINK("https://www.catalog.slsa.sa.gov.au/record=b2053861")</f>
        <v>https://www.catalog.slsa.sa.gov.au/record=b2053861</v>
      </c>
      <c r="C4870" s="1" t="str">
        <f>HYPERLINK("https://www.catalog.slsa.sa.gov.au/xrecord=b2053861")</f>
        <v>https://www.catalog.slsa.sa.gov.au/xrecord=b2053861</v>
      </c>
      <c r="E4870" t="s">
        <v>16762</v>
      </c>
      <c r="F4870" t="s">
        <v>1926</v>
      </c>
      <c r="G4870" t="s">
        <v>15031</v>
      </c>
      <c r="H4870" t="s">
        <v>16763</v>
      </c>
      <c r="I4870" t="s">
        <v>16764</v>
      </c>
      <c r="J4870" t="s">
        <v>2510</v>
      </c>
      <c r="K4870" s="2" t="str">
        <f>HYPERLINK("http://collections.slsa.sa.gov.au/mpcimg/48500/B48297.htm")</f>
        <v>http://collections.slsa.sa.gov.au/mpcimg/48500/B48297.htm</v>
      </c>
    </row>
    <row r="4871" spans="1:11" x14ac:dyDescent="0.25">
      <c r="A4871" t="s">
        <v>16765</v>
      </c>
      <c r="B4871" s="1" t="str">
        <f>HYPERLINK("https://www.catalog.slsa.sa.gov.au/record=b2055685")</f>
        <v>https://www.catalog.slsa.sa.gov.au/record=b2055685</v>
      </c>
      <c r="C4871" s="1" t="str">
        <f>HYPERLINK("https://www.catalog.slsa.sa.gov.au/xrecord=b2055685")</f>
        <v>https://www.catalog.slsa.sa.gov.au/xrecord=b2055685</v>
      </c>
      <c r="D4871" t="s">
        <v>16540</v>
      </c>
      <c r="E4871" t="s">
        <v>16766</v>
      </c>
      <c r="F4871" t="s">
        <v>1926</v>
      </c>
      <c r="G4871" t="s">
        <v>16767</v>
      </c>
      <c r="H4871" t="s">
        <v>16768</v>
      </c>
      <c r="J4871" t="s">
        <v>16769</v>
      </c>
      <c r="K4871" s="2" t="str">
        <f>HYPERLINK("http://collections.slsa.sa.gov.au/mpcimg/46250/B46179.htm")</f>
        <v>http://collections.slsa.sa.gov.au/mpcimg/46250/B46179.htm</v>
      </c>
    </row>
    <row r="4872" spans="1:11" x14ac:dyDescent="0.25">
      <c r="A4872" t="s">
        <v>16770</v>
      </c>
      <c r="B4872" s="1" t="str">
        <f>HYPERLINK("https://www.catalog.slsa.sa.gov.au/record=b2056289")</f>
        <v>https://www.catalog.slsa.sa.gov.au/record=b2056289</v>
      </c>
      <c r="C4872" s="1" t="str">
        <f>HYPERLINK("https://www.catalog.slsa.sa.gov.au/xrecord=b2056289")</f>
        <v>https://www.catalog.slsa.sa.gov.au/xrecord=b2056289</v>
      </c>
      <c r="E4872" t="s">
        <v>16771</v>
      </c>
      <c r="F4872" t="s">
        <v>1926</v>
      </c>
      <c r="G4872" t="s">
        <v>16772</v>
      </c>
      <c r="H4872" t="s">
        <v>16773</v>
      </c>
      <c r="I4872" t="s">
        <v>16774</v>
      </c>
      <c r="J4872" t="s">
        <v>16775</v>
      </c>
      <c r="K4872" s="2" t="str">
        <f>HYPERLINK("http://collections.slsa.sa.gov.au/mpcimg/25250/B25245.htm")</f>
        <v>http://collections.slsa.sa.gov.au/mpcimg/25250/B25245.htm</v>
      </c>
    </row>
    <row r="4873" spans="1:11" x14ac:dyDescent="0.25">
      <c r="A4873" t="s">
        <v>16776</v>
      </c>
      <c r="B4873" s="1" t="str">
        <f>HYPERLINK("https://www.catalog.slsa.sa.gov.au/record=b2056599")</f>
        <v>https://www.catalog.slsa.sa.gov.au/record=b2056599</v>
      </c>
      <c r="C4873" s="1" t="str">
        <f>HYPERLINK("https://www.catalog.slsa.sa.gov.au/xrecord=b2056599")</f>
        <v>https://www.catalog.slsa.sa.gov.au/xrecord=b2056599</v>
      </c>
      <c r="E4873" t="s">
        <v>16777</v>
      </c>
      <c r="F4873" t="s">
        <v>1926</v>
      </c>
      <c r="G4873" t="s">
        <v>16778</v>
      </c>
      <c r="H4873" t="s">
        <v>16779</v>
      </c>
      <c r="J4873" t="s">
        <v>16780</v>
      </c>
      <c r="K4873" s="2" t="str">
        <f>HYPERLINK("http://collections.slsa.sa.gov.au/mpcimg/15500/B15335.htm")</f>
        <v>http://collections.slsa.sa.gov.au/mpcimg/15500/B15335.htm</v>
      </c>
    </row>
    <row r="4874" spans="1:11" x14ac:dyDescent="0.25">
      <c r="A4874" t="s">
        <v>16781</v>
      </c>
      <c r="B4874" s="1" t="str">
        <f>HYPERLINK("https://www.catalog.slsa.sa.gov.au/record=b2057426")</f>
        <v>https://www.catalog.slsa.sa.gov.au/record=b2057426</v>
      </c>
      <c r="C4874" s="1" t="str">
        <f>HYPERLINK("https://www.catalog.slsa.sa.gov.au/xrecord=b2057426")</f>
        <v>https://www.catalog.slsa.sa.gov.au/xrecord=b2057426</v>
      </c>
      <c r="E4874" t="s">
        <v>16771</v>
      </c>
      <c r="F4874" t="s">
        <v>1926</v>
      </c>
      <c r="G4874" t="s">
        <v>16782</v>
      </c>
      <c r="H4874" t="s">
        <v>16783</v>
      </c>
      <c r="J4874" t="s">
        <v>16784</v>
      </c>
      <c r="K4874" s="2" t="str">
        <f>HYPERLINK("http://collections.slsa.sa.gov.au/mpcimg/41750/B41592.htm")</f>
        <v>http://collections.slsa.sa.gov.au/mpcimg/41750/B41592.htm</v>
      </c>
    </row>
    <row r="4875" spans="1:11" x14ac:dyDescent="0.25">
      <c r="A4875" t="s">
        <v>16785</v>
      </c>
      <c r="B4875" s="1" t="str">
        <f>HYPERLINK("https://www.catalog.slsa.sa.gov.au/record=b2057533")</f>
        <v>https://www.catalog.slsa.sa.gov.au/record=b2057533</v>
      </c>
      <c r="C4875" s="1" t="str">
        <f>HYPERLINK("https://www.catalog.slsa.sa.gov.au/xrecord=b2057533")</f>
        <v>https://www.catalog.slsa.sa.gov.au/xrecord=b2057533</v>
      </c>
      <c r="E4875" t="s">
        <v>16786</v>
      </c>
      <c r="F4875" t="s">
        <v>1926</v>
      </c>
      <c r="G4875" t="s">
        <v>16787</v>
      </c>
      <c r="H4875" t="s">
        <v>16788</v>
      </c>
      <c r="J4875" t="s">
        <v>16789</v>
      </c>
      <c r="K4875" s="2" t="str">
        <f>HYPERLINK("http://collections.slsa.sa.gov.au/mpcimg/45500/B45411.htm")</f>
        <v>http://collections.slsa.sa.gov.au/mpcimg/45500/B45411.htm</v>
      </c>
    </row>
    <row r="4876" spans="1:11" x14ac:dyDescent="0.25">
      <c r="A4876" t="s">
        <v>16790</v>
      </c>
      <c r="B4876" s="1" t="str">
        <f>HYPERLINK("https://www.catalog.slsa.sa.gov.au/record=b2057589")</f>
        <v>https://www.catalog.slsa.sa.gov.au/record=b2057589</v>
      </c>
      <c r="C4876" s="1" t="str">
        <f>HYPERLINK("https://www.catalog.slsa.sa.gov.au/xrecord=b2057589")</f>
        <v>https://www.catalog.slsa.sa.gov.au/xrecord=b2057589</v>
      </c>
      <c r="E4876" t="s">
        <v>16791</v>
      </c>
      <c r="F4876" t="s">
        <v>1926</v>
      </c>
      <c r="G4876" t="s">
        <v>16792</v>
      </c>
      <c r="H4876" t="s">
        <v>16793</v>
      </c>
      <c r="J4876" t="s">
        <v>16794</v>
      </c>
      <c r="K4876" s="2" t="str">
        <f>HYPERLINK("http://collections.slsa.sa.gov.au/mpcimg/15500/B15327.htm")</f>
        <v>http://collections.slsa.sa.gov.au/mpcimg/15500/B15327.htm</v>
      </c>
    </row>
    <row r="4877" spans="1:11" x14ac:dyDescent="0.25">
      <c r="A4877" t="s">
        <v>16795</v>
      </c>
      <c r="B4877" s="1" t="str">
        <f>HYPERLINK("https://www.catalog.slsa.sa.gov.au/record=b2058029")</f>
        <v>https://www.catalog.slsa.sa.gov.au/record=b2058029</v>
      </c>
      <c r="C4877" s="1" t="str">
        <f>HYPERLINK("https://www.catalog.slsa.sa.gov.au/xrecord=b2058029")</f>
        <v>https://www.catalog.slsa.sa.gov.au/xrecord=b2058029</v>
      </c>
      <c r="E4877" t="s">
        <v>16796</v>
      </c>
      <c r="F4877" t="s">
        <v>1926</v>
      </c>
      <c r="G4877" t="s">
        <v>16797</v>
      </c>
      <c r="H4877" t="s">
        <v>16798</v>
      </c>
      <c r="J4877" t="s">
        <v>16799</v>
      </c>
      <c r="K4877" s="2" t="str">
        <f>HYPERLINK("http://collections.slsa.sa.gov.au/mpcimg/26000/B25765.htm")</f>
        <v>http://collections.slsa.sa.gov.au/mpcimg/26000/B25765.htm</v>
      </c>
    </row>
    <row r="4878" spans="1:11" x14ac:dyDescent="0.25">
      <c r="A4878" t="s">
        <v>16800</v>
      </c>
      <c r="B4878" s="1" t="str">
        <f>HYPERLINK("https://www.catalog.slsa.sa.gov.au/record=b2058105")</f>
        <v>https://www.catalog.slsa.sa.gov.au/record=b2058105</v>
      </c>
      <c r="C4878" s="1" t="str">
        <f>HYPERLINK("https://www.catalog.slsa.sa.gov.au/xrecord=b2058105")</f>
        <v>https://www.catalog.slsa.sa.gov.au/xrecord=b2058105</v>
      </c>
      <c r="E4878" t="s">
        <v>16771</v>
      </c>
      <c r="F4878" t="s">
        <v>1926</v>
      </c>
      <c r="G4878" t="s">
        <v>16801</v>
      </c>
      <c r="H4878" t="s">
        <v>16802</v>
      </c>
      <c r="J4878" t="s">
        <v>16803</v>
      </c>
      <c r="K4878" s="2" t="str">
        <f>HYPERLINK("http://collections.slsa.sa.gov.au/mpcimg/45500/B45413.htm")</f>
        <v>http://collections.slsa.sa.gov.au/mpcimg/45500/B45413.htm</v>
      </c>
    </row>
    <row r="4879" spans="1:11" x14ac:dyDescent="0.25">
      <c r="A4879" t="s">
        <v>16804</v>
      </c>
      <c r="B4879" s="1" t="str">
        <f>HYPERLINK("https://www.catalog.slsa.sa.gov.au/record=b2058157")</f>
        <v>https://www.catalog.slsa.sa.gov.au/record=b2058157</v>
      </c>
      <c r="C4879" s="1" t="str">
        <f>HYPERLINK("https://www.catalog.slsa.sa.gov.au/xrecord=b2058157")</f>
        <v>https://www.catalog.slsa.sa.gov.au/xrecord=b2058157</v>
      </c>
      <c r="E4879" t="s">
        <v>16805</v>
      </c>
      <c r="F4879" t="s">
        <v>1926</v>
      </c>
      <c r="G4879" t="s">
        <v>16806</v>
      </c>
      <c r="H4879" t="s">
        <v>16807</v>
      </c>
      <c r="J4879" t="s">
        <v>16808</v>
      </c>
      <c r="K4879" s="2" t="str">
        <f>HYPERLINK("http://collections.slsa.sa.gov.au/mpcimg/45500/B45412.htm")</f>
        <v>http://collections.slsa.sa.gov.au/mpcimg/45500/B45412.htm</v>
      </c>
    </row>
    <row r="4880" spans="1:11" x14ac:dyDescent="0.25">
      <c r="A4880" t="s">
        <v>16809</v>
      </c>
      <c r="B4880" s="1" t="str">
        <f>HYPERLINK("https://www.catalog.slsa.sa.gov.au/record=b2058628")</f>
        <v>https://www.catalog.slsa.sa.gov.au/record=b2058628</v>
      </c>
      <c r="C4880" s="1" t="str">
        <f>HYPERLINK("https://www.catalog.slsa.sa.gov.au/xrecord=b2058628")</f>
        <v>https://www.catalog.slsa.sa.gov.au/xrecord=b2058628</v>
      </c>
      <c r="E4880" t="s">
        <v>16810</v>
      </c>
      <c r="F4880" t="s">
        <v>1926</v>
      </c>
      <c r="G4880" t="s">
        <v>16778</v>
      </c>
      <c r="H4880" t="s">
        <v>16811</v>
      </c>
      <c r="J4880" t="s">
        <v>16812</v>
      </c>
      <c r="K4880" s="2" t="str">
        <f>HYPERLINK("http://collections.slsa.sa.gov.au/mpcimg/35000/B34894.htm")</f>
        <v>http://collections.slsa.sa.gov.au/mpcimg/35000/B34894.htm</v>
      </c>
    </row>
    <row r="4881" spans="1:11" x14ac:dyDescent="0.25">
      <c r="A4881" t="s">
        <v>16813</v>
      </c>
      <c r="B4881" s="1" t="str">
        <f>HYPERLINK("https://www.catalog.slsa.sa.gov.au/record=b2060646")</f>
        <v>https://www.catalog.slsa.sa.gov.au/record=b2060646</v>
      </c>
      <c r="C4881" s="1" t="str">
        <f>HYPERLINK("https://www.catalog.slsa.sa.gov.au/xrecord=b2060646")</f>
        <v>https://www.catalog.slsa.sa.gov.au/xrecord=b2060646</v>
      </c>
      <c r="D4881" t="s">
        <v>16814</v>
      </c>
      <c r="E4881" t="s">
        <v>16815</v>
      </c>
      <c r="F4881" t="s">
        <v>1926</v>
      </c>
      <c r="G4881" t="s">
        <v>15147</v>
      </c>
      <c r="H4881" t="s">
        <v>16816</v>
      </c>
      <c r="I4881" t="s">
        <v>16817</v>
      </c>
      <c r="J4881" t="s">
        <v>16818</v>
      </c>
      <c r="K4881" s="2" t="str">
        <f>HYPERLINK("http://collections.slsa.sa.gov.au/mpcimg/38000/B37788.htm")</f>
        <v>http://collections.slsa.sa.gov.au/mpcimg/38000/B37788.htm</v>
      </c>
    </row>
    <row r="4882" spans="1:11" x14ac:dyDescent="0.25">
      <c r="A4882" t="s">
        <v>16819</v>
      </c>
      <c r="B4882" s="1" t="str">
        <f>HYPERLINK("https://www.catalog.slsa.sa.gov.au/record=b2060647")</f>
        <v>https://www.catalog.slsa.sa.gov.au/record=b2060647</v>
      </c>
      <c r="C4882" s="1" t="str">
        <f>HYPERLINK("https://www.catalog.slsa.sa.gov.au/xrecord=b2060647")</f>
        <v>https://www.catalog.slsa.sa.gov.au/xrecord=b2060647</v>
      </c>
      <c r="E4882" t="s">
        <v>16820</v>
      </c>
      <c r="F4882" t="s">
        <v>1926</v>
      </c>
      <c r="G4882" t="s">
        <v>15147</v>
      </c>
      <c r="H4882" t="s">
        <v>16821</v>
      </c>
      <c r="I4882" t="s">
        <v>16822</v>
      </c>
      <c r="J4882" t="s">
        <v>16818</v>
      </c>
      <c r="K4882" s="2" t="str">
        <f>HYPERLINK("http://collections.slsa.sa.gov.au/mpcimg/38000/B37789.htm")</f>
        <v>http://collections.slsa.sa.gov.au/mpcimg/38000/B37789.htm</v>
      </c>
    </row>
    <row r="4883" spans="1:11" x14ac:dyDescent="0.25">
      <c r="A4883" t="s">
        <v>16823</v>
      </c>
      <c r="B4883" s="1" t="str">
        <f>HYPERLINK("https://www.catalog.slsa.sa.gov.au/record=b2060648")</f>
        <v>https://www.catalog.slsa.sa.gov.au/record=b2060648</v>
      </c>
      <c r="C4883" s="1" t="str">
        <f>HYPERLINK("https://www.catalog.slsa.sa.gov.au/xrecord=b2060648")</f>
        <v>https://www.catalog.slsa.sa.gov.au/xrecord=b2060648</v>
      </c>
      <c r="E4883" t="s">
        <v>16815</v>
      </c>
      <c r="F4883" t="s">
        <v>1926</v>
      </c>
      <c r="G4883" t="s">
        <v>15147</v>
      </c>
      <c r="H4883" t="s">
        <v>16824</v>
      </c>
      <c r="I4883" t="s">
        <v>16825</v>
      </c>
      <c r="J4883" t="s">
        <v>16818</v>
      </c>
      <c r="K4883" s="2" t="str">
        <f>HYPERLINK("http://collections.slsa.sa.gov.au/mpcimg/38000/B37790.htm")</f>
        <v>http://collections.slsa.sa.gov.au/mpcimg/38000/B37790.htm</v>
      </c>
    </row>
    <row r="4884" spans="1:11" x14ac:dyDescent="0.25">
      <c r="A4884" t="s">
        <v>16826</v>
      </c>
      <c r="B4884" s="1" t="str">
        <f>HYPERLINK("https://www.catalog.slsa.sa.gov.au/record=b2060705")</f>
        <v>https://www.catalog.slsa.sa.gov.au/record=b2060705</v>
      </c>
      <c r="C4884" s="1" t="str">
        <f>HYPERLINK("https://www.catalog.slsa.sa.gov.au/xrecord=b2060705")</f>
        <v>https://www.catalog.slsa.sa.gov.au/xrecord=b2060705</v>
      </c>
      <c r="E4884" t="s">
        <v>16827</v>
      </c>
      <c r="F4884" t="s">
        <v>1926</v>
      </c>
      <c r="G4884" t="s">
        <v>16674</v>
      </c>
      <c r="H4884" t="s">
        <v>16828</v>
      </c>
      <c r="J4884" t="s">
        <v>16829</v>
      </c>
      <c r="K4884" s="2" t="str">
        <f>HYPERLINK("http://collections.slsa.sa.gov.au/mpcimg/12750/B12527.htm")</f>
        <v>http://collections.slsa.sa.gov.au/mpcimg/12750/B12527.htm</v>
      </c>
    </row>
    <row r="4885" spans="1:11" x14ac:dyDescent="0.25">
      <c r="A4885" t="s">
        <v>16830</v>
      </c>
      <c r="B4885" s="1" t="str">
        <f>HYPERLINK("https://www.catalog.slsa.sa.gov.au/record=b2062627")</f>
        <v>https://www.catalog.slsa.sa.gov.au/record=b2062627</v>
      </c>
      <c r="C4885" s="1" t="str">
        <f>HYPERLINK("https://www.catalog.slsa.sa.gov.au/xrecord=b2062627")</f>
        <v>https://www.catalog.slsa.sa.gov.au/xrecord=b2062627</v>
      </c>
      <c r="D4885" t="s">
        <v>16831</v>
      </c>
      <c r="E4885" t="s">
        <v>16771</v>
      </c>
      <c r="F4885" t="s">
        <v>1926</v>
      </c>
      <c r="G4885" t="s">
        <v>16832</v>
      </c>
      <c r="H4885" t="s">
        <v>16833</v>
      </c>
      <c r="J4885" t="s">
        <v>16834</v>
      </c>
      <c r="K4885" s="2" t="str">
        <f>HYPERLINK("http://collections.slsa.sa.gov.au/mpcimg/15000/B14902.htm")</f>
        <v>http://collections.slsa.sa.gov.au/mpcimg/15000/B14902.htm</v>
      </c>
    </row>
    <row r="4886" spans="1:11" x14ac:dyDescent="0.25">
      <c r="A4886" t="s">
        <v>16835</v>
      </c>
      <c r="B4886" s="1" t="str">
        <f>HYPERLINK("https://www.catalog.slsa.sa.gov.au/record=b2065326")</f>
        <v>https://www.catalog.slsa.sa.gov.au/record=b2065326</v>
      </c>
      <c r="C4886" s="1" t="str">
        <f>HYPERLINK("https://www.catalog.slsa.sa.gov.au/xrecord=b2065326")</f>
        <v>https://www.catalog.slsa.sa.gov.au/xrecord=b2065326</v>
      </c>
      <c r="D4886" t="s">
        <v>2939</v>
      </c>
      <c r="E4886" t="s">
        <v>16836</v>
      </c>
      <c r="F4886" t="s">
        <v>1926</v>
      </c>
      <c r="G4886" t="s">
        <v>16837</v>
      </c>
      <c r="H4886" t="s">
        <v>16838</v>
      </c>
      <c r="I4886" t="s">
        <v>16839</v>
      </c>
      <c r="J4886" t="s">
        <v>16840</v>
      </c>
      <c r="K4886" s="2" t="str">
        <f>HYPERLINK("http://collections.slsa.sa.gov.au/mpcimg/48750/B48534.htm")</f>
        <v>http://collections.slsa.sa.gov.au/mpcimg/48750/B48534.htm</v>
      </c>
    </row>
    <row r="4887" spans="1:11" x14ac:dyDescent="0.25">
      <c r="A4887" t="s">
        <v>16841</v>
      </c>
      <c r="B4887" s="1" t="str">
        <f>HYPERLINK("https://www.catalog.slsa.sa.gov.au/record=b2065571")</f>
        <v>https://www.catalog.slsa.sa.gov.au/record=b2065571</v>
      </c>
      <c r="C4887" s="1" t="str">
        <f>HYPERLINK("https://www.catalog.slsa.sa.gov.au/xrecord=b2065571")</f>
        <v>https://www.catalog.slsa.sa.gov.au/xrecord=b2065571</v>
      </c>
      <c r="E4887" t="s">
        <v>16842</v>
      </c>
      <c r="F4887" t="s">
        <v>1926</v>
      </c>
      <c r="G4887" t="s">
        <v>16843</v>
      </c>
      <c r="H4887" t="s">
        <v>16844</v>
      </c>
      <c r="J4887" t="s">
        <v>16845</v>
      </c>
      <c r="K4887" s="2" t="str">
        <f>HYPERLINK("http://collections.slsa.sa.gov.au/mpcimg/15250/B15110.htm")</f>
        <v>http://collections.slsa.sa.gov.au/mpcimg/15250/B15110.htm</v>
      </c>
    </row>
    <row r="4888" spans="1:11" x14ac:dyDescent="0.25">
      <c r="A4888" t="s">
        <v>16846</v>
      </c>
      <c r="B4888" s="1" t="str">
        <f>HYPERLINK("https://www.catalog.slsa.sa.gov.au/record=b2065572")</f>
        <v>https://www.catalog.slsa.sa.gov.au/record=b2065572</v>
      </c>
      <c r="C4888" s="1" t="str">
        <f>HYPERLINK("https://www.catalog.slsa.sa.gov.au/xrecord=b2065572")</f>
        <v>https://www.catalog.slsa.sa.gov.au/xrecord=b2065572</v>
      </c>
      <c r="E4888" t="s">
        <v>16847</v>
      </c>
      <c r="F4888" t="s">
        <v>1926</v>
      </c>
      <c r="G4888" t="s">
        <v>16848</v>
      </c>
      <c r="H4888" t="s">
        <v>16849</v>
      </c>
      <c r="J4888" t="s">
        <v>16845</v>
      </c>
      <c r="K4888" s="2" t="str">
        <f>HYPERLINK("http://collections.slsa.sa.gov.au/mpcimg/16500/B16490.htm")</f>
        <v>http://collections.slsa.sa.gov.au/mpcimg/16500/B16490.htm</v>
      </c>
    </row>
    <row r="4889" spans="1:11" x14ac:dyDescent="0.25">
      <c r="A4889" t="s">
        <v>16850</v>
      </c>
      <c r="B4889" s="1" t="str">
        <f>HYPERLINK("https://www.catalog.slsa.sa.gov.au/record=b2065878")</f>
        <v>https://www.catalog.slsa.sa.gov.au/record=b2065878</v>
      </c>
      <c r="C4889" s="1" t="str">
        <f>HYPERLINK("https://www.catalog.slsa.sa.gov.au/xrecord=b2065878")</f>
        <v>https://www.catalog.slsa.sa.gov.au/xrecord=b2065878</v>
      </c>
      <c r="E4889" t="s">
        <v>16851</v>
      </c>
      <c r="F4889" t="s">
        <v>1926</v>
      </c>
      <c r="G4889" t="s">
        <v>16674</v>
      </c>
      <c r="H4889" t="s">
        <v>16852</v>
      </c>
      <c r="I4889" t="s">
        <v>16853</v>
      </c>
      <c r="J4889" t="s">
        <v>16854</v>
      </c>
      <c r="K4889" s="2" t="str">
        <f>HYPERLINK("http://collections.slsa.sa.gov.au/mpcimg/15500/B15499.htm")</f>
        <v>http://collections.slsa.sa.gov.au/mpcimg/15500/B15499.htm</v>
      </c>
    </row>
    <row r="4890" spans="1:11" x14ac:dyDescent="0.25">
      <c r="A4890" t="s">
        <v>16855</v>
      </c>
      <c r="B4890" s="1" t="str">
        <f>HYPERLINK("https://www.catalog.slsa.sa.gov.au/record=b2067017")</f>
        <v>https://www.catalog.slsa.sa.gov.au/record=b2067017</v>
      </c>
      <c r="C4890" s="1" t="str">
        <f>HYPERLINK("https://www.catalog.slsa.sa.gov.au/xrecord=b2067017")</f>
        <v>https://www.catalog.slsa.sa.gov.au/xrecord=b2067017</v>
      </c>
      <c r="E4890" t="s">
        <v>15201</v>
      </c>
      <c r="F4890" t="s">
        <v>1926</v>
      </c>
      <c r="G4890" t="s">
        <v>16856</v>
      </c>
      <c r="H4890" t="s">
        <v>15203</v>
      </c>
      <c r="J4890" t="s">
        <v>15204</v>
      </c>
      <c r="K4890" s="2" t="str">
        <f>HYPERLINK("http://collections.slsa.sa.gov.au/mpcimg/45500/B45409.htm")</f>
        <v>http://collections.slsa.sa.gov.au/mpcimg/45500/B45409.htm</v>
      </c>
    </row>
    <row r="4891" spans="1:11" x14ac:dyDescent="0.25">
      <c r="A4891" t="s">
        <v>16857</v>
      </c>
      <c r="B4891" s="1" t="str">
        <f>HYPERLINK("https://www.catalog.slsa.sa.gov.au/record=b2067042")</f>
        <v>https://www.catalog.slsa.sa.gov.au/record=b2067042</v>
      </c>
      <c r="C4891" s="1" t="str">
        <f>HYPERLINK("https://www.catalog.slsa.sa.gov.au/xrecord=b2067042")</f>
        <v>https://www.catalog.slsa.sa.gov.au/xrecord=b2067042</v>
      </c>
      <c r="E4891" t="s">
        <v>16858</v>
      </c>
      <c r="F4891" t="s">
        <v>1926</v>
      </c>
      <c r="G4891" t="s">
        <v>5070</v>
      </c>
      <c r="H4891" t="s">
        <v>16859</v>
      </c>
      <c r="J4891" t="s">
        <v>16860</v>
      </c>
      <c r="K4891" s="2" t="str">
        <f>HYPERLINK("http://collections.slsa.sa.gov.au/mpcimg/15250/B15068.htm")</f>
        <v>http://collections.slsa.sa.gov.au/mpcimg/15250/B15068.htm</v>
      </c>
    </row>
    <row r="4892" spans="1:11" x14ac:dyDescent="0.25">
      <c r="A4892" t="s">
        <v>16861</v>
      </c>
      <c r="B4892" s="1" t="str">
        <f>HYPERLINK("https://www.catalog.slsa.sa.gov.au/record=b2067209")</f>
        <v>https://www.catalog.slsa.sa.gov.au/record=b2067209</v>
      </c>
      <c r="C4892" s="1" t="str">
        <f>HYPERLINK("https://www.catalog.slsa.sa.gov.au/xrecord=b2067209")</f>
        <v>https://www.catalog.slsa.sa.gov.au/xrecord=b2067209</v>
      </c>
      <c r="E4892" t="s">
        <v>16862</v>
      </c>
      <c r="F4892" t="s">
        <v>1926</v>
      </c>
      <c r="G4892" t="s">
        <v>16863</v>
      </c>
      <c r="H4892" t="s">
        <v>16864</v>
      </c>
      <c r="I4892" t="s">
        <v>16865</v>
      </c>
      <c r="J4892" t="s">
        <v>16866</v>
      </c>
      <c r="K4892" s="2" t="str">
        <f>HYPERLINK("http://collections.slsa.sa.gov.au/mpcimg/14250/B14145.htm")</f>
        <v>http://collections.slsa.sa.gov.au/mpcimg/14250/B14145.htm</v>
      </c>
    </row>
    <row r="4893" spans="1:11" x14ac:dyDescent="0.25">
      <c r="A4893" t="s">
        <v>16867</v>
      </c>
      <c r="B4893" s="1" t="str">
        <f>HYPERLINK("https://www.catalog.slsa.sa.gov.au/record=b2067631")</f>
        <v>https://www.catalog.slsa.sa.gov.au/record=b2067631</v>
      </c>
      <c r="C4893" s="1" t="str">
        <f>HYPERLINK("https://www.catalog.slsa.sa.gov.au/xrecord=b2067631")</f>
        <v>https://www.catalog.slsa.sa.gov.au/xrecord=b2067631</v>
      </c>
      <c r="E4893" t="s">
        <v>16868</v>
      </c>
      <c r="F4893" t="s">
        <v>1926</v>
      </c>
      <c r="G4893" t="s">
        <v>5070</v>
      </c>
      <c r="H4893" t="s">
        <v>16869</v>
      </c>
      <c r="I4893" t="s">
        <v>16870</v>
      </c>
      <c r="J4893" t="s">
        <v>16871</v>
      </c>
      <c r="K4893" s="2" t="str">
        <f>HYPERLINK("http://collections.slsa.sa.gov.au/mpcimg/15000/B14982.htm")</f>
        <v>http://collections.slsa.sa.gov.au/mpcimg/15000/B14982.htm</v>
      </c>
    </row>
    <row r="4894" spans="1:11" x14ac:dyDescent="0.25">
      <c r="A4894" t="s">
        <v>16872</v>
      </c>
      <c r="B4894" s="1" t="str">
        <f>HYPERLINK("https://www.catalog.slsa.sa.gov.au/record=b2068127")</f>
        <v>https://www.catalog.slsa.sa.gov.au/record=b2068127</v>
      </c>
      <c r="C4894" s="1" t="str">
        <f>HYPERLINK("https://www.catalog.slsa.sa.gov.au/xrecord=b2068127")</f>
        <v>https://www.catalog.slsa.sa.gov.au/xrecord=b2068127</v>
      </c>
      <c r="E4894" t="s">
        <v>16873</v>
      </c>
      <c r="F4894" t="s">
        <v>1926</v>
      </c>
      <c r="G4894" t="s">
        <v>16874</v>
      </c>
      <c r="H4894" t="s">
        <v>16875</v>
      </c>
      <c r="J4894" t="s">
        <v>16876</v>
      </c>
      <c r="K4894" s="2" t="str">
        <f>HYPERLINK("http://collections.slsa.sa.gov.au/mpcimg/45500/B45410.htm")</f>
        <v>http://collections.slsa.sa.gov.au/mpcimg/45500/B45410.htm</v>
      </c>
    </row>
    <row r="4895" spans="1:11" x14ac:dyDescent="0.25">
      <c r="A4895" t="s">
        <v>16877</v>
      </c>
      <c r="B4895" s="1" t="str">
        <f>HYPERLINK("https://www.catalog.slsa.sa.gov.au/record=b2068141")</f>
        <v>https://www.catalog.slsa.sa.gov.au/record=b2068141</v>
      </c>
      <c r="C4895" s="1" t="str">
        <f>HYPERLINK("https://www.catalog.slsa.sa.gov.au/xrecord=b2068141")</f>
        <v>https://www.catalog.slsa.sa.gov.au/xrecord=b2068141</v>
      </c>
      <c r="E4895" t="s">
        <v>16873</v>
      </c>
      <c r="F4895" t="s">
        <v>1926</v>
      </c>
      <c r="G4895" t="s">
        <v>15031</v>
      </c>
      <c r="H4895" t="s">
        <v>16878</v>
      </c>
      <c r="J4895" t="s">
        <v>16876</v>
      </c>
      <c r="K4895" s="2" t="str">
        <f>HYPERLINK("http://collections.slsa.sa.gov.au/mpcimg/48000/B47956.htm")</f>
        <v>http://collections.slsa.sa.gov.au/mpcimg/48000/B47956.htm</v>
      </c>
    </row>
    <row r="4896" spans="1:11" x14ac:dyDescent="0.25">
      <c r="A4896" t="s">
        <v>16879</v>
      </c>
      <c r="B4896" s="1" t="str">
        <f>HYPERLINK("https://www.catalog.slsa.sa.gov.au/record=b2068291")</f>
        <v>https://www.catalog.slsa.sa.gov.au/record=b2068291</v>
      </c>
      <c r="C4896" s="1" t="str">
        <f>HYPERLINK("https://www.catalog.slsa.sa.gov.au/xrecord=b2068291")</f>
        <v>https://www.catalog.slsa.sa.gov.au/xrecord=b2068291</v>
      </c>
      <c r="E4896" t="s">
        <v>16880</v>
      </c>
      <c r="F4896" t="s">
        <v>1926</v>
      </c>
      <c r="G4896" t="s">
        <v>16881</v>
      </c>
      <c r="H4896" t="s">
        <v>16882</v>
      </c>
      <c r="J4896" t="s">
        <v>16883</v>
      </c>
      <c r="K4896" s="2" t="str">
        <f>HYPERLINK("http://collections.slsa.sa.gov.au/mpcimg/31000/B30800.htm")</f>
        <v>http://collections.slsa.sa.gov.au/mpcimg/31000/B30800.htm</v>
      </c>
    </row>
    <row r="4897" spans="1:11" x14ac:dyDescent="0.25">
      <c r="A4897" t="s">
        <v>16884</v>
      </c>
      <c r="B4897" s="1" t="str">
        <f>HYPERLINK("https://www.catalog.slsa.sa.gov.au/record=b2068969")</f>
        <v>https://www.catalog.slsa.sa.gov.au/record=b2068969</v>
      </c>
      <c r="C4897" s="1" t="str">
        <f>HYPERLINK("https://www.catalog.slsa.sa.gov.au/xrecord=b2068969")</f>
        <v>https://www.catalog.slsa.sa.gov.au/xrecord=b2068969</v>
      </c>
      <c r="E4897" t="s">
        <v>16885</v>
      </c>
      <c r="F4897" t="s">
        <v>1926</v>
      </c>
      <c r="G4897" t="s">
        <v>16886</v>
      </c>
      <c r="H4897" t="s">
        <v>16887</v>
      </c>
      <c r="J4897" t="s">
        <v>15209</v>
      </c>
      <c r="K4897" s="2" t="str">
        <f>HYPERLINK("http://collections.slsa.sa.gov.au/mpcimg/17250/B17162_1.htm")</f>
        <v>http://collections.slsa.sa.gov.au/mpcimg/17250/B17162_1.htm</v>
      </c>
    </row>
    <row r="4898" spans="1:11" x14ac:dyDescent="0.25">
      <c r="A4898" t="s">
        <v>16888</v>
      </c>
      <c r="B4898" s="1" t="str">
        <f>HYPERLINK("https://www.catalog.slsa.sa.gov.au/record=b2068970")</f>
        <v>https://www.catalog.slsa.sa.gov.au/record=b2068970</v>
      </c>
      <c r="C4898" s="1" t="str">
        <f>HYPERLINK("https://www.catalog.slsa.sa.gov.au/xrecord=b2068970")</f>
        <v>https://www.catalog.slsa.sa.gov.au/xrecord=b2068970</v>
      </c>
      <c r="E4898" t="s">
        <v>16885</v>
      </c>
      <c r="F4898" t="s">
        <v>1926</v>
      </c>
      <c r="G4898" t="s">
        <v>16886</v>
      </c>
      <c r="H4898" t="s">
        <v>16887</v>
      </c>
      <c r="J4898" t="s">
        <v>15209</v>
      </c>
      <c r="K4898" s="2" t="str">
        <f>HYPERLINK("http://collections.slsa.sa.gov.au/mpcimg/17250/B17162_2.htm")</f>
        <v>http://collections.slsa.sa.gov.au/mpcimg/17250/B17162_2.htm</v>
      </c>
    </row>
    <row r="4899" spans="1:11" x14ac:dyDescent="0.25">
      <c r="A4899" t="s">
        <v>16889</v>
      </c>
      <c r="B4899" s="1" t="str">
        <f>HYPERLINK("https://www.catalog.slsa.sa.gov.au/record=b2068971")</f>
        <v>https://www.catalog.slsa.sa.gov.au/record=b2068971</v>
      </c>
      <c r="C4899" s="1" t="str">
        <f>HYPERLINK("https://www.catalog.slsa.sa.gov.au/xrecord=b2068971")</f>
        <v>https://www.catalog.slsa.sa.gov.au/xrecord=b2068971</v>
      </c>
      <c r="E4899" t="s">
        <v>16885</v>
      </c>
      <c r="F4899" t="s">
        <v>1926</v>
      </c>
      <c r="G4899" t="s">
        <v>16886</v>
      </c>
      <c r="H4899" t="s">
        <v>16890</v>
      </c>
      <c r="J4899" t="s">
        <v>15209</v>
      </c>
      <c r="K4899" s="2" t="str">
        <f>HYPERLINK("http://collections.slsa.sa.gov.au/mpcimg/17250/B17162_3.htm")</f>
        <v>http://collections.slsa.sa.gov.au/mpcimg/17250/B17162_3.htm</v>
      </c>
    </row>
    <row r="4900" spans="1:11" x14ac:dyDescent="0.25">
      <c r="A4900" t="s">
        <v>16891</v>
      </c>
      <c r="B4900" s="1" t="str">
        <f>HYPERLINK("https://www.catalog.slsa.sa.gov.au/record=b2068972")</f>
        <v>https://www.catalog.slsa.sa.gov.au/record=b2068972</v>
      </c>
      <c r="C4900" s="1" t="str">
        <f>HYPERLINK("https://www.catalog.slsa.sa.gov.au/xrecord=b2068972")</f>
        <v>https://www.catalog.slsa.sa.gov.au/xrecord=b2068972</v>
      </c>
      <c r="E4900" t="s">
        <v>16885</v>
      </c>
      <c r="F4900" t="s">
        <v>1926</v>
      </c>
      <c r="G4900" t="s">
        <v>16886</v>
      </c>
      <c r="H4900" t="s">
        <v>16890</v>
      </c>
      <c r="J4900" t="s">
        <v>15209</v>
      </c>
      <c r="K4900" s="2" t="str">
        <f>HYPERLINK("http://collections.slsa.sa.gov.au/mpcimg/17250/B17162_4.htm")</f>
        <v>http://collections.slsa.sa.gov.au/mpcimg/17250/B17162_4.htm</v>
      </c>
    </row>
    <row r="4901" spans="1:11" x14ac:dyDescent="0.25">
      <c r="A4901" t="s">
        <v>16892</v>
      </c>
      <c r="B4901" s="1" t="str">
        <f>HYPERLINK("https://www.catalog.slsa.sa.gov.au/record=b2068973")</f>
        <v>https://www.catalog.slsa.sa.gov.au/record=b2068973</v>
      </c>
      <c r="C4901" s="1" t="str">
        <f>HYPERLINK("https://www.catalog.slsa.sa.gov.au/xrecord=b2068973")</f>
        <v>https://www.catalog.slsa.sa.gov.au/xrecord=b2068973</v>
      </c>
      <c r="E4901" t="s">
        <v>16885</v>
      </c>
      <c r="F4901" t="s">
        <v>1926</v>
      </c>
      <c r="G4901" t="s">
        <v>16886</v>
      </c>
      <c r="H4901" t="s">
        <v>16890</v>
      </c>
      <c r="J4901" t="s">
        <v>15209</v>
      </c>
      <c r="K4901" s="2" t="str">
        <f>HYPERLINK("http://collections.slsa.sa.gov.au/mpcimg/17250/B17162_5.htm")</f>
        <v>http://collections.slsa.sa.gov.au/mpcimg/17250/B17162_5.htm</v>
      </c>
    </row>
    <row r="4902" spans="1:11" x14ac:dyDescent="0.25">
      <c r="A4902" t="s">
        <v>16893</v>
      </c>
      <c r="B4902" s="1" t="str">
        <f>HYPERLINK("https://www.catalog.slsa.sa.gov.au/record=b2068974")</f>
        <v>https://www.catalog.slsa.sa.gov.au/record=b2068974</v>
      </c>
      <c r="C4902" s="1" t="str">
        <f>HYPERLINK("https://www.catalog.slsa.sa.gov.au/xrecord=b2068974")</f>
        <v>https://www.catalog.slsa.sa.gov.au/xrecord=b2068974</v>
      </c>
      <c r="E4902" t="s">
        <v>16894</v>
      </c>
      <c r="F4902" t="s">
        <v>1926</v>
      </c>
      <c r="G4902" t="s">
        <v>16886</v>
      </c>
      <c r="H4902" t="s">
        <v>16895</v>
      </c>
      <c r="I4902" t="s">
        <v>16896</v>
      </c>
      <c r="J4902" t="s">
        <v>15209</v>
      </c>
      <c r="K4902" s="2" t="str">
        <f>HYPERLINK("http://collections.slsa.sa.gov.au/mpcimg/17250/B17163_1.htm")</f>
        <v>http://collections.slsa.sa.gov.au/mpcimg/17250/B17163_1.htm</v>
      </c>
    </row>
    <row r="4903" spans="1:11" x14ac:dyDescent="0.25">
      <c r="A4903" t="s">
        <v>16897</v>
      </c>
      <c r="B4903" s="1" t="str">
        <f>HYPERLINK("https://www.catalog.slsa.sa.gov.au/record=b2068975")</f>
        <v>https://www.catalog.slsa.sa.gov.au/record=b2068975</v>
      </c>
      <c r="C4903" s="1" t="str">
        <f>HYPERLINK("https://www.catalog.slsa.sa.gov.au/xrecord=b2068975")</f>
        <v>https://www.catalog.slsa.sa.gov.au/xrecord=b2068975</v>
      </c>
      <c r="E4903" t="s">
        <v>16894</v>
      </c>
      <c r="F4903" t="s">
        <v>1926</v>
      </c>
      <c r="G4903" t="s">
        <v>16886</v>
      </c>
      <c r="H4903" t="s">
        <v>16895</v>
      </c>
      <c r="I4903" t="s">
        <v>16896</v>
      </c>
      <c r="J4903" t="s">
        <v>15209</v>
      </c>
      <c r="K4903" s="2" t="str">
        <f>HYPERLINK("http://collections.slsa.sa.gov.au/mpcimg/17250/B17163_2.htm")</f>
        <v>http://collections.slsa.sa.gov.au/mpcimg/17250/B17163_2.htm</v>
      </c>
    </row>
    <row r="4904" spans="1:11" x14ac:dyDescent="0.25">
      <c r="A4904" t="s">
        <v>16898</v>
      </c>
      <c r="B4904" s="1" t="str">
        <f>HYPERLINK("https://www.catalog.slsa.sa.gov.au/record=b2068976")</f>
        <v>https://www.catalog.slsa.sa.gov.au/record=b2068976</v>
      </c>
      <c r="C4904" s="1" t="str">
        <f>HYPERLINK("https://www.catalog.slsa.sa.gov.au/xrecord=b2068976")</f>
        <v>https://www.catalog.slsa.sa.gov.au/xrecord=b2068976</v>
      </c>
      <c r="E4904" t="s">
        <v>16894</v>
      </c>
      <c r="F4904" t="s">
        <v>1926</v>
      </c>
      <c r="G4904" t="s">
        <v>16886</v>
      </c>
      <c r="H4904" t="s">
        <v>16895</v>
      </c>
      <c r="I4904" t="s">
        <v>16896</v>
      </c>
      <c r="J4904" t="s">
        <v>15209</v>
      </c>
      <c r="K4904" s="2" t="str">
        <f>HYPERLINK("http://collections.slsa.sa.gov.au/mpcimg/17250/B17163_3.htm")</f>
        <v>http://collections.slsa.sa.gov.au/mpcimg/17250/B17163_3.htm</v>
      </c>
    </row>
    <row r="4905" spans="1:11" x14ac:dyDescent="0.25">
      <c r="A4905" t="s">
        <v>16899</v>
      </c>
      <c r="B4905" s="1" t="str">
        <f>HYPERLINK("https://www.catalog.slsa.sa.gov.au/record=b2069003")</f>
        <v>https://www.catalog.slsa.sa.gov.au/record=b2069003</v>
      </c>
      <c r="C4905" s="1" t="str">
        <f>HYPERLINK("https://www.catalog.slsa.sa.gov.au/xrecord=b2069003")</f>
        <v>https://www.catalog.slsa.sa.gov.au/xrecord=b2069003</v>
      </c>
      <c r="E4905" t="s">
        <v>15206</v>
      </c>
      <c r="F4905" t="s">
        <v>1926</v>
      </c>
      <c r="G4905" t="s">
        <v>15164</v>
      </c>
      <c r="H4905" t="s">
        <v>16900</v>
      </c>
      <c r="I4905" t="s">
        <v>15208</v>
      </c>
      <c r="J4905" t="s">
        <v>15209</v>
      </c>
      <c r="K4905" s="2" t="str">
        <f>HYPERLINK("http://collections.slsa.sa.gov.au/mpcimg/18250/B18211.htm")</f>
        <v>http://collections.slsa.sa.gov.au/mpcimg/18250/B18211.htm</v>
      </c>
    </row>
    <row r="4906" spans="1:11" x14ac:dyDescent="0.25">
      <c r="A4906" t="s">
        <v>16901</v>
      </c>
      <c r="B4906" s="1" t="str">
        <f>HYPERLINK("https://www.catalog.slsa.sa.gov.au/record=b2069076")</f>
        <v>https://www.catalog.slsa.sa.gov.au/record=b2069076</v>
      </c>
      <c r="C4906" s="1" t="str">
        <f>HYPERLINK("https://www.catalog.slsa.sa.gov.au/xrecord=b2069076")</f>
        <v>https://www.catalog.slsa.sa.gov.au/xrecord=b2069076</v>
      </c>
      <c r="E4906" t="s">
        <v>16902</v>
      </c>
      <c r="F4906" t="s">
        <v>1926</v>
      </c>
      <c r="G4906" t="s">
        <v>16263</v>
      </c>
      <c r="H4906" t="s">
        <v>16903</v>
      </c>
      <c r="I4906" t="s">
        <v>16904</v>
      </c>
      <c r="J4906" t="s">
        <v>15209</v>
      </c>
      <c r="K4906" s="2" t="str">
        <f>HYPERLINK("http://collections.slsa.sa.gov.au/mpcimg/26750/B26591.htm")</f>
        <v>http://collections.slsa.sa.gov.au/mpcimg/26750/B26591.htm</v>
      </c>
    </row>
    <row r="4907" spans="1:11" x14ac:dyDescent="0.25">
      <c r="A4907" t="s">
        <v>16905</v>
      </c>
      <c r="B4907" s="1" t="str">
        <f>HYPERLINK("https://www.catalog.slsa.sa.gov.au/record=b2069077")</f>
        <v>https://www.catalog.slsa.sa.gov.au/record=b2069077</v>
      </c>
      <c r="C4907" s="1" t="str">
        <f>HYPERLINK("https://www.catalog.slsa.sa.gov.au/xrecord=b2069077")</f>
        <v>https://www.catalog.slsa.sa.gov.au/xrecord=b2069077</v>
      </c>
      <c r="E4907" t="s">
        <v>16902</v>
      </c>
      <c r="F4907" t="s">
        <v>1926</v>
      </c>
      <c r="G4907" t="s">
        <v>16628</v>
      </c>
      <c r="H4907" t="s">
        <v>16906</v>
      </c>
      <c r="I4907" t="s">
        <v>16904</v>
      </c>
      <c r="J4907" t="s">
        <v>15209</v>
      </c>
      <c r="K4907" s="2" t="str">
        <f>HYPERLINK("http://collections.slsa.sa.gov.au/mpcimg/26750/B26592.htm")</f>
        <v>http://collections.slsa.sa.gov.au/mpcimg/26750/B26592.htm</v>
      </c>
    </row>
    <row r="4908" spans="1:11" x14ac:dyDescent="0.25">
      <c r="A4908" t="s">
        <v>16907</v>
      </c>
      <c r="B4908" s="1" t="str">
        <f>HYPERLINK("https://www.catalog.slsa.sa.gov.au/record=b2069081")</f>
        <v>https://www.catalog.slsa.sa.gov.au/record=b2069081</v>
      </c>
      <c r="C4908" s="1" t="str">
        <f>HYPERLINK("https://www.catalog.slsa.sa.gov.au/xrecord=b2069081")</f>
        <v>https://www.catalog.slsa.sa.gov.au/xrecord=b2069081</v>
      </c>
      <c r="E4908" t="s">
        <v>16908</v>
      </c>
      <c r="F4908" t="s">
        <v>1926</v>
      </c>
      <c r="G4908" t="s">
        <v>16263</v>
      </c>
      <c r="H4908" t="s">
        <v>16909</v>
      </c>
      <c r="I4908" t="s">
        <v>16910</v>
      </c>
      <c r="J4908" t="s">
        <v>15209</v>
      </c>
      <c r="K4908" s="2" t="str">
        <f>HYPERLINK("http://collections.slsa.sa.gov.au/mpcimg/26750/B26597.htm")</f>
        <v>http://collections.slsa.sa.gov.au/mpcimg/26750/B26597.htm</v>
      </c>
    </row>
    <row r="4909" spans="1:11" x14ac:dyDescent="0.25">
      <c r="A4909" t="s">
        <v>16911</v>
      </c>
      <c r="B4909" s="1" t="str">
        <f>HYPERLINK("https://www.catalog.slsa.sa.gov.au/record=b2069082")</f>
        <v>https://www.catalog.slsa.sa.gov.au/record=b2069082</v>
      </c>
      <c r="C4909" s="1" t="str">
        <f>HYPERLINK("https://www.catalog.slsa.sa.gov.au/xrecord=b2069082")</f>
        <v>https://www.catalog.slsa.sa.gov.au/xrecord=b2069082</v>
      </c>
      <c r="E4909" t="s">
        <v>16912</v>
      </c>
      <c r="F4909" t="s">
        <v>1926</v>
      </c>
      <c r="G4909" t="s">
        <v>14799</v>
      </c>
      <c r="H4909" t="s">
        <v>16913</v>
      </c>
      <c r="I4909" t="s">
        <v>16914</v>
      </c>
      <c r="J4909" t="s">
        <v>16915</v>
      </c>
      <c r="K4909" s="2" t="str">
        <f>HYPERLINK("http://collections.slsa.sa.gov.au/mpcimg/26750/B26600.htm")</f>
        <v>http://collections.slsa.sa.gov.au/mpcimg/26750/B26600.htm</v>
      </c>
    </row>
    <row r="4910" spans="1:11" x14ac:dyDescent="0.25">
      <c r="A4910" t="s">
        <v>16916</v>
      </c>
      <c r="B4910" s="1" t="str">
        <f>HYPERLINK("https://www.catalog.slsa.sa.gov.au/record=b2072611")</f>
        <v>https://www.catalog.slsa.sa.gov.au/record=b2072611</v>
      </c>
      <c r="C4910" s="1" t="str">
        <f>HYPERLINK("https://www.catalog.slsa.sa.gov.au/xrecord=b2072611")</f>
        <v>https://www.catalog.slsa.sa.gov.au/xrecord=b2072611</v>
      </c>
      <c r="E4910" t="s">
        <v>16917</v>
      </c>
      <c r="F4910" t="s">
        <v>1926</v>
      </c>
      <c r="G4910" t="s">
        <v>15216</v>
      </c>
      <c r="H4910" t="s">
        <v>16918</v>
      </c>
      <c r="I4910" t="s">
        <v>16919</v>
      </c>
      <c r="J4910" t="s">
        <v>15219</v>
      </c>
      <c r="K4910" s="2" t="str">
        <f>HYPERLINK("http://collections.slsa.sa.gov.au/mpcimg/46750/B46528_106.htm")</f>
        <v>http://collections.slsa.sa.gov.au/mpcimg/46750/B46528_106.htm</v>
      </c>
    </row>
    <row r="4911" spans="1:11" x14ac:dyDescent="0.25">
      <c r="A4911" t="s">
        <v>16920</v>
      </c>
      <c r="B4911" s="1" t="str">
        <f>HYPERLINK("https://www.catalog.slsa.sa.gov.au/record=b2072612")</f>
        <v>https://www.catalog.slsa.sa.gov.au/record=b2072612</v>
      </c>
      <c r="C4911" s="1" t="str">
        <f>HYPERLINK("https://www.catalog.slsa.sa.gov.au/xrecord=b2072612")</f>
        <v>https://www.catalog.slsa.sa.gov.au/xrecord=b2072612</v>
      </c>
      <c r="E4911" t="s">
        <v>15215</v>
      </c>
      <c r="F4911" t="s">
        <v>1926</v>
      </c>
      <c r="G4911" t="s">
        <v>15216</v>
      </c>
      <c r="H4911" t="s">
        <v>16921</v>
      </c>
      <c r="I4911" t="s">
        <v>16922</v>
      </c>
      <c r="J4911" t="s">
        <v>15219</v>
      </c>
      <c r="K4911" s="2" t="str">
        <f>HYPERLINK("http://collections.slsa.sa.gov.au/mpcimg/46750/B46528_107.htm")</f>
        <v>http://collections.slsa.sa.gov.au/mpcimg/46750/B46528_107.htm</v>
      </c>
    </row>
    <row r="4912" spans="1:11" x14ac:dyDescent="0.25">
      <c r="A4912" t="s">
        <v>16923</v>
      </c>
      <c r="B4912" s="1" t="str">
        <f>HYPERLINK("https://www.catalog.slsa.sa.gov.au/record=b2072613")</f>
        <v>https://www.catalog.slsa.sa.gov.au/record=b2072613</v>
      </c>
      <c r="C4912" s="1" t="str">
        <f>HYPERLINK("https://www.catalog.slsa.sa.gov.au/xrecord=b2072613")</f>
        <v>https://www.catalog.slsa.sa.gov.au/xrecord=b2072613</v>
      </c>
      <c r="E4912" t="s">
        <v>15215</v>
      </c>
      <c r="F4912" t="s">
        <v>1926</v>
      </c>
      <c r="G4912" t="s">
        <v>15216</v>
      </c>
      <c r="H4912" t="s">
        <v>16924</v>
      </c>
      <c r="I4912" t="s">
        <v>15218</v>
      </c>
      <c r="J4912" t="s">
        <v>15219</v>
      </c>
      <c r="K4912" s="2" t="str">
        <f>HYPERLINK("http://collections.slsa.sa.gov.au/mpcimg/46750/B46528_108.htm")</f>
        <v>http://collections.slsa.sa.gov.au/mpcimg/46750/B46528_108.htm</v>
      </c>
    </row>
    <row r="4913" spans="1:11" x14ac:dyDescent="0.25">
      <c r="A4913" t="s">
        <v>16925</v>
      </c>
      <c r="B4913" s="1" t="str">
        <f>HYPERLINK("https://www.catalog.slsa.sa.gov.au/record=b2072614")</f>
        <v>https://www.catalog.slsa.sa.gov.au/record=b2072614</v>
      </c>
      <c r="C4913" s="1" t="str">
        <f>HYPERLINK("https://www.catalog.slsa.sa.gov.au/xrecord=b2072614")</f>
        <v>https://www.catalog.slsa.sa.gov.au/xrecord=b2072614</v>
      </c>
      <c r="E4913" t="s">
        <v>15215</v>
      </c>
      <c r="F4913" t="s">
        <v>1926</v>
      </c>
      <c r="G4913" t="s">
        <v>15216</v>
      </c>
      <c r="H4913" t="s">
        <v>16926</v>
      </c>
      <c r="I4913" t="s">
        <v>16927</v>
      </c>
      <c r="J4913" t="s">
        <v>15219</v>
      </c>
      <c r="K4913" s="2" t="str">
        <f>HYPERLINK("http://collections.slsa.sa.gov.au/mpcimg/46750/B46528_109.htm")</f>
        <v>http://collections.slsa.sa.gov.au/mpcimg/46750/B46528_109.htm</v>
      </c>
    </row>
    <row r="4914" spans="1:11" x14ac:dyDescent="0.25">
      <c r="A4914" t="s">
        <v>16928</v>
      </c>
      <c r="B4914" s="1" t="str">
        <f>HYPERLINK("https://www.catalog.slsa.sa.gov.au/record=b2072615")</f>
        <v>https://www.catalog.slsa.sa.gov.au/record=b2072615</v>
      </c>
      <c r="C4914" s="1" t="str">
        <f>HYPERLINK("https://www.catalog.slsa.sa.gov.au/xrecord=b2072615")</f>
        <v>https://www.catalog.slsa.sa.gov.au/xrecord=b2072615</v>
      </c>
      <c r="E4914" t="s">
        <v>16929</v>
      </c>
      <c r="F4914" t="s">
        <v>1926</v>
      </c>
      <c r="G4914" t="s">
        <v>15216</v>
      </c>
      <c r="H4914" t="s">
        <v>16930</v>
      </c>
      <c r="I4914" t="s">
        <v>16931</v>
      </c>
      <c r="J4914" t="s">
        <v>15219</v>
      </c>
      <c r="K4914" s="2" t="str">
        <f>HYPERLINK("http://collections.slsa.sa.gov.au/mpcimg/46750/B46528_110.htm")</f>
        <v>http://collections.slsa.sa.gov.au/mpcimg/46750/B46528_110.htm</v>
      </c>
    </row>
    <row r="4915" spans="1:11" x14ac:dyDescent="0.25">
      <c r="A4915" t="s">
        <v>16932</v>
      </c>
      <c r="B4915" s="1" t="str">
        <f>HYPERLINK("https://www.catalog.slsa.sa.gov.au/record=b2072616")</f>
        <v>https://www.catalog.slsa.sa.gov.au/record=b2072616</v>
      </c>
      <c r="C4915" s="1" t="str">
        <f>HYPERLINK("https://www.catalog.slsa.sa.gov.au/xrecord=b2072616")</f>
        <v>https://www.catalog.slsa.sa.gov.au/xrecord=b2072616</v>
      </c>
      <c r="E4915" t="s">
        <v>15215</v>
      </c>
      <c r="F4915" t="s">
        <v>1926</v>
      </c>
      <c r="G4915" t="s">
        <v>15216</v>
      </c>
      <c r="H4915" t="s">
        <v>16933</v>
      </c>
      <c r="I4915" t="s">
        <v>15244</v>
      </c>
      <c r="J4915" t="s">
        <v>15219</v>
      </c>
      <c r="K4915" s="2" t="str">
        <f>HYPERLINK("http://collections.slsa.sa.gov.au/mpcimg/46750/B46528_111.htm")</f>
        <v>http://collections.slsa.sa.gov.au/mpcimg/46750/B46528_111.htm</v>
      </c>
    </row>
    <row r="4916" spans="1:11" x14ac:dyDescent="0.25">
      <c r="A4916" t="s">
        <v>16934</v>
      </c>
      <c r="B4916" s="1" t="str">
        <f>HYPERLINK("https://www.catalog.slsa.sa.gov.au/record=b2072617")</f>
        <v>https://www.catalog.slsa.sa.gov.au/record=b2072617</v>
      </c>
      <c r="C4916" s="1" t="str">
        <f>HYPERLINK("https://www.catalog.slsa.sa.gov.au/xrecord=b2072617")</f>
        <v>https://www.catalog.slsa.sa.gov.au/xrecord=b2072617</v>
      </c>
      <c r="E4916" t="s">
        <v>15215</v>
      </c>
      <c r="F4916" t="s">
        <v>1926</v>
      </c>
      <c r="G4916" t="s">
        <v>15216</v>
      </c>
      <c r="H4916" t="s">
        <v>16935</v>
      </c>
      <c r="I4916" t="s">
        <v>16936</v>
      </c>
      <c r="J4916" t="s">
        <v>15219</v>
      </c>
      <c r="K4916" s="2" t="str">
        <f>HYPERLINK("http://collections.slsa.sa.gov.au/mpcimg/46750/B46528_112.htm")</f>
        <v>http://collections.slsa.sa.gov.au/mpcimg/46750/B46528_112.htm</v>
      </c>
    </row>
    <row r="4917" spans="1:11" x14ac:dyDescent="0.25">
      <c r="A4917" t="s">
        <v>16937</v>
      </c>
      <c r="B4917" s="1" t="str">
        <f>HYPERLINK("https://www.catalog.slsa.sa.gov.au/record=b2072618")</f>
        <v>https://www.catalog.slsa.sa.gov.au/record=b2072618</v>
      </c>
      <c r="C4917" s="1" t="str">
        <f>HYPERLINK("https://www.catalog.slsa.sa.gov.au/xrecord=b2072618")</f>
        <v>https://www.catalog.slsa.sa.gov.au/xrecord=b2072618</v>
      </c>
      <c r="E4917" t="s">
        <v>16938</v>
      </c>
      <c r="F4917" t="s">
        <v>1926</v>
      </c>
      <c r="G4917" t="s">
        <v>15216</v>
      </c>
      <c r="H4917" t="s">
        <v>16939</v>
      </c>
      <c r="I4917" t="s">
        <v>15223</v>
      </c>
      <c r="J4917" t="s">
        <v>15219</v>
      </c>
      <c r="K4917" s="2" t="str">
        <f>HYPERLINK("http://collections.slsa.sa.gov.au/mpcimg/46750/B46528_113.htm")</f>
        <v>http://collections.slsa.sa.gov.au/mpcimg/46750/B46528_113.htm</v>
      </c>
    </row>
    <row r="4918" spans="1:11" x14ac:dyDescent="0.25">
      <c r="A4918" t="s">
        <v>16940</v>
      </c>
      <c r="B4918" s="1" t="str">
        <f>HYPERLINK("https://www.catalog.slsa.sa.gov.au/record=b2072646")</f>
        <v>https://www.catalog.slsa.sa.gov.au/record=b2072646</v>
      </c>
      <c r="C4918" s="1" t="str">
        <f>HYPERLINK("https://www.catalog.slsa.sa.gov.au/xrecord=b2072646")</f>
        <v>https://www.catalog.slsa.sa.gov.au/xrecord=b2072646</v>
      </c>
      <c r="D4918" t="s">
        <v>16941</v>
      </c>
      <c r="E4918" t="s">
        <v>16942</v>
      </c>
      <c r="F4918" t="s">
        <v>1926</v>
      </c>
      <c r="G4918" t="s">
        <v>16943</v>
      </c>
      <c r="H4918" t="s">
        <v>16944</v>
      </c>
      <c r="I4918" t="s">
        <v>15251</v>
      </c>
      <c r="J4918" t="s">
        <v>15219</v>
      </c>
      <c r="K4918" s="2" t="str">
        <f>HYPERLINK("http://collections.slsa.sa.gov.au/mpcimg/46750/B46528_141.htm")</f>
        <v>http://collections.slsa.sa.gov.au/mpcimg/46750/B46528_141.htm</v>
      </c>
    </row>
    <row r="4919" spans="1:11" x14ac:dyDescent="0.25">
      <c r="A4919" t="s">
        <v>16945</v>
      </c>
      <c r="B4919" s="1" t="str">
        <f>HYPERLINK("https://www.catalog.slsa.sa.gov.au/record=b2072647")</f>
        <v>https://www.catalog.slsa.sa.gov.au/record=b2072647</v>
      </c>
      <c r="C4919" s="1" t="str">
        <f>HYPERLINK("https://www.catalog.slsa.sa.gov.au/xrecord=b2072647")</f>
        <v>https://www.catalog.slsa.sa.gov.au/xrecord=b2072647</v>
      </c>
      <c r="D4919" t="s">
        <v>16941</v>
      </c>
      <c r="E4919" t="s">
        <v>16946</v>
      </c>
      <c r="F4919" t="s">
        <v>1926</v>
      </c>
      <c r="G4919" t="s">
        <v>16947</v>
      </c>
      <c r="H4919" t="s">
        <v>16948</v>
      </c>
      <c r="I4919" t="s">
        <v>15251</v>
      </c>
      <c r="J4919" t="s">
        <v>15219</v>
      </c>
      <c r="K4919" s="2" t="str">
        <f>HYPERLINK("http://collections.slsa.sa.gov.au/mpcimg/46750/B46528_142.htm")</f>
        <v>http://collections.slsa.sa.gov.au/mpcimg/46750/B46528_142.htm</v>
      </c>
    </row>
    <row r="4920" spans="1:11" x14ac:dyDescent="0.25">
      <c r="A4920" t="s">
        <v>16949</v>
      </c>
      <c r="B4920" s="1" t="str">
        <f>HYPERLINK("https://www.catalog.slsa.sa.gov.au/record=b2072649")</f>
        <v>https://www.catalog.slsa.sa.gov.au/record=b2072649</v>
      </c>
      <c r="C4920" s="1" t="str">
        <f>HYPERLINK("https://www.catalog.slsa.sa.gov.au/xrecord=b2072649")</f>
        <v>https://www.catalog.slsa.sa.gov.au/xrecord=b2072649</v>
      </c>
      <c r="D4920" t="s">
        <v>16941</v>
      </c>
      <c r="E4920" t="s">
        <v>16950</v>
      </c>
      <c r="F4920" t="s">
        <v>1926</v>
      </c>
      <c r="G4920" t="s">
        <v>16951</v>
      </c>
      <c r="H4920" t="s">
        <v>16952</v>
      </c>
      <c r="I4920" t="s">
        <v>16953</v>
      </c>
      <c r="J4920" t="s">
        <v>15219</v>
      </c>
      <c r="K4920" s="2" t="str">
        <f>HYPERLINK("http://collections.slsa.sa.gov.au/mpcimg/46750/B46528_144.htm")</f>
        <v>http://collections.slsa.sa.gov.au/mpcimg/46750/B46528_144.htm</v>
      </c>
    </row>
    <row r="4921" spans="1:11" x14ac:dyDescent="0.25">
      <c r="A4921" t="s">
        <v>16954</v>
      </c>
      <c r="B4921" s="1" t="str">
        <f>HYPERLINK("https://www.catalog.slsa.sa.gov.au/record=b2072650")</f>
        <v>https://www.catalog.slsa.sa.gov.au/record=b2072650</v>
      </c>
      <c r="C4921" s="1" t="str">
        <f>HYPERLINK("https://www.catalog.slsa.sa.gov.au/xrecord=b2072650")</f>
        <v>https://www.catalog.slsa.sa.gov.au/xrecord=b2072650</v>
      </c>
      <c r="D4921" t="s">
        <v>16941</v>
      </c>
      <c r="E4921" t="s">
        <v>16955</v>
      </c>
      <c r="F4921" t="s">
        <v>1926</v>
      </c>
      <c r="G4921" t="s">
        <v>16956</v>
      </c>
      <c r="H4921" t="s">
        <v>16957</v>
      </c>
      <c r="I4921" t="s">
        <v>15226</v>
      </c>
      <c r="J4921" t="s">
        <v>15219</v>
      </c>
      <c r="K4921" s="2" t="str">
        <f>HYPERLINK("http://collections.slsa.sa.gov.au/mpcimg/46750/B46528_145.htm")</f>
        <v>http://collections.slsa.sa.gov.au/mpcimg/46750/B46528_145.htm</v>
      </c>
    </row>
    <row r="4922" spans="1:11" x14ac:dyDescent="0.25">
      <c r="A4922" t="s">
        <v>16958</v>
      </c>
      <c r="B4922" s="1" t="str">
        <f>HYPERLINK("https://www.catalog.slsa.sa.gov.au/record=b2072651")</f>
        <v>https://www.catalog.slsa.sa.gov.au/record=b2072651</v>
      </c>
      <c r="C4922" s="1" t="str">
        <f>HYPERLINK("https://www.catalog.slsa.sa.gov.au/xrecord=b2072651")</f>
        <v>https://www.catalog.slsa.sa.gov.au/xrecord=b2072651</v>
      </c>
      <c r="D4922" t="s">
        <v>16941</v>
      </c>
      <c r="E4922" t="s">
        <v>16955</v>
      </c>
      <c r="F4922" t="s">
        <v>1926</v>
      </c>
      <c r="G4922" t="s">
        <v>16959</v>
      </c>
      <c r="H4922" t="s">
        <v>16957</v>
      </c>
      <c r="I4922" t="s">
        <v>15226</v>
      </c>
      <c r="J4922" t="s">
        <v>15219</v>
      </c>
      <c r="K4922" s="2" t="str">
        <f>HYPERLINK("http://collections.slsa.sa.gov.au/mpcimg/46750/B46528_146.htm")</f>
        <v>http://collections.slsa.sa.gov.au/mpcimg/46750/B46528_146.htm</v>
      </c>
    </row>
    <row r="4923" spans="1:11" x14ac:dyDescent="0.25">
      <c r="A4923" t="s">
        <v>16960</v>
      </c>
      <c r="B4923" s="1" t="str">
        <f>HYPERLINK("https://www.catalog.slsa.sa.gov.au/record=b2072652")</f>
        <v>https://www.catalog.slsa.sa.gov.au/record=b2072652</v>
      </c>
      <c r="C4923" s="1" t="str">
        <f>HYPERLINK("https://www.catalog.slsa.sa.gov.au/xrecord=b2072652")</f>
        <v>https://www.catalog.slsa.sa.gov.au/xrecord=b2072652</v>
      </c>
      <c r="D4923" t="s">
        <v>16941</v>
      </c>
      <c r="E4923" t="s">
        <v>16955</v>
      </c>
      <c r="F4923" t="s">
        <v>1926</v>
      </c>
      <c r="G4923" t="s">
        <v>16961</v>
      </c>
      <c r="H4923" t="s">
        <v>16957</v>
      </c>
      <c r="I4923" t="s">
        <v>15226</v>
      </c>
      <c r="J4923" t="s">
        <v>15219</v>
      </c>
      <c r="K4923" s="2" t="str">
        <f>HYPERLINK("http://collections.slsa.sa.gov.au/mpcimg/46750/B46528_147.htm")</f>
        <v>http://collections.slsa.sa.gov.au/mpcimg/46750/B46528_147.htm</v>
      </c>
    </row>
    <row r="4924" spans="1:11" x14ac:dyDescent="0.25">
      <c r="A4924" t="s">
        <v>16962</v>
      </c>
      <c r="B4924" s="1" t="str">
        <f>HYPERLINK("https://www.catalog.slsa.sa.gov.au/record=b2072653")</f>
        <v>https://www.catalog.slsa.sa.gov.au/record=b2072653</v>
      </c>
      <c r="C4924" s="1" t="str">
        <f>HYPERLINK("https://www.catalog.slsa.sa.gov.au/xrecord=b2072653")</f>
        <v>https://www.catalog.slsa.sa.gov.au/xrecord=b2072653</v>
      </c>
      <c r="D4924" t="s">
        <v>16941</v>
      </c>
      <c r="E4924" t="s">
        <v>16955</v>
      </c>
      <c r="F4924" t="s">
        <v>1926</v>
      </c>
      <c r="G4924" t="s">
        <v>16961</v>
      </c>
      <c r="H4924" t="s">
        <v>16957</v>
      </c>
      <c r="I4924" t="s">
        <v>15226</v>
      </c>
      <c r="J4924" t="s">
        <v>15219</v>
      </c>
      <c r="K4924" s="2" t="str">
        <f>HYPERLINK("http://collections.slsa.sa.gov.au/mpcimg/46750/B46528_148.htm")</f>
        <v>http://collections.slsa.sa.gov.au/mpcimg/46750/B46528_148.htm</v>
      </c>
    </row>
    <row r="4925" spans="1:11" x14ac:dyDescent="0.25">
      <c r="A4925" t="s">
        <v>16963</v>
      </c>
      <c r="B4925" s="1" t="str">
        <f>HYPERLINK("https://www.catalog.slsa.sa.gov.au/record=b2072654")</f>
        <v>https://www.catalog.slsa.sa.gov.au/record=b2072654</v>
      </c>
      <c r="C4925" s="1" t="str">
        <f>HYPERLINK("https://www.catalog.slsa.sa.gov.au/xrecord=b2072654")</f>
        <v>https://www.catalog.slsa.sa.gov.au/xrecord=b2072654</v>
      </c>
      <c r="D4925" t="s">
        <v>16941</v>
      </c>
      <c r="E4925" t="s">
        <v>16964</v>
      </c>
      <c r="F4925" t="s">
        <v>1926</v>
      </c>
      <c r="G4925" t="s">
        <v>16965</v>
      </c>
      <c r="H4925" t="s">
        <v>16966</v>
      </c>
      <c r="I4925" t="s">
        <v>16967</v>
      </c>
      <c r="J4925" t="s">
        <v>15219</v>
      </c>
      <c r="K4925" s="2" t="str">
        <f>HYPERLINK("http://collections.slsa.sa.gov.au/mpcimg/46750/B46528_149.htm")</f>
        <v>http://collections.slsa.sa.gov.au/mpcimg/46750/B46528_149.htm</v>
      </c>
    </row>
    <row r="4926" spans="1:11" x14ac:dyDescent="0.25">
      <c r="A4926" t="s">
        <v>16968</v>
      </c>
      <c r="B4926" s="1" t="str">
        <f>HYPERLINK("https://www.catalog.slsa.sa.gov.au/record=b2072655")</f>
        <v>https://www.catalog.slsa.sa.gov.au/record=b2072655</v>
      </c>
      <c r="C4926" s="1" t="str">
        <f>HYPERLINK("https://www.catalog.slsa.sa.gov.au/xrecord=b2072655")</f>
        <v>https://www.catalog.slsa.sa.gov.au/xrecord=b2072655</v>
      </c>
      <c r="D4926" t="s">
        <v>16941</v>
      </c>
      <c r="E4926" t="s">
        <v>16969</v>
      </c>
      <c r="F4926" t="s">
        <v>1926</v>
      </c>
      <c r="G4926" t="s">
        <v>16970</v>
      </c>
      <c r="H4926" t="s">
        <v>16971</v>
      </c>
      <c r="I4926" t="s">
        <v>15223</v>
      </c>
      <c r="J4926" t="s">
        <v>15219</v>
      </c>
      <c r="K4926" s="2" t="str">
        <f>HYPERLINK("http://collections.slsa.sa.gov.au/mpcimg/46750/B46528_150.htm")</f>
        <v>http://collections.slsa.sa.gov.au/mpcimg/46750/B46528_150.htm</v>
      </c>
    </row>
    <row r="4927" spans="1:11" x14ac:dyDescent="0.25">
      <c r="A4927" t="s">
        <v>16972</v>
      </c>
      <c r="B4927" s="1" t="str">
        <f>HYPERLINK("https://www.catalog.slsa.sa.gov.au/record=b2072656")</f>
        <v>https://www.catalog.slsa.sa.gov.au/record=b2072656</v>
      </c>
      <c r="C4927" s="1" t="str">
        <f>HYPERLINK("https://www.catalog.slsa.sa.gov.au/xrecord=b2072656")</f>
        <v>https://www.catalog.slsa.sa.gov.au/xrecord=b2072656</v>
      </c>
      <c r="D4927" t="s">
        <v>16941</v>
      </c>
      <c r="E4927" t="s">
        <v>16969</v>
      </c>
      <c r="F4927" t="s">
        <v>1926</v>
      </c>
      <c r="G4927" t="s">
        <v>16965</v>
      </c>
      <c r="H4927" t="s">
        <v>16971</v>
      </c>
      <c r="I4927" t="s">
        <v>15223</v>
      </c>
      <c r="J4927" t="s">
        <v>15219</v>
      </c>
      <c r="K4927" s="2" t="str">
        <f>HYPERLINK("http://collections.slsa.sa.gov.au/mpcimg/46750/B46528_151.htm")</f>
        <v>http://collections.slsa.sa.gov.au/mpcimg/46750/B46528_151.htm</v>
      </c>
    </row>
    <row r="4928" spans="1:11" x14ac:dyDescent="0.25">
      <c r="A4928" t="s">
        <v>16973</v>
      </c>
      <c r="B4928" s="1" t="str">
        <f>HYPERLINK("https://www.catalog.slsa.sa.gov.au/record=b2072657")</f>
        <v>https://www.catalog.slsa.sa.gov.au/record=b2072657</v>
      </c>
      <c r="C4928" s="1" t="str">
        <f>HYPERLINK("https://www.catalog.slsa.sa.gov.au/xrecord=b2072657")</f>
        <v>https://www.catalog.slsa.sa.gov.au/xrecord=b2072657</v>
      </c>
      <c r="D4928" t="s">
        <v>16941</v>
      </c>
      <c r="E4928" t="s">
        <v>16974</v>
      </c>
      <c r="F4928" t="s">
        <v>1926</v>
      </c>
      <c r="G4928" t="s">
        <v>16947</v>
      </c>
      <c r="H4928" t="s">
        <v>16975</v>
      </c>
      <c r="I4928" t="s">
        <v>16976</v>
      </c>
      <c r="J4928" t="s">
        <v>15219</v>
      </c>
      <c r="K4928" s="2" t="str">
        <f>HYPERLINK("http://collections.slsa.sa.gov.au/mpcimg/46750/B46528_152.htm")</f>
        <v>http://collections.slsa.sa.gov.au/mpcimg/46750/B46528_152.htm</v>
      </c>
    </row>
    <row r="4929" spans="1:11" x14ac:dyDescent="0.25">
      <c r="A4929" t="s">
        <v>16977</v>
      </c>
      <c r="B4929" s="1" t="str">
        <f>HYPERLINK("https://www.catalog.slsa.sa.gov.au/record=b2072658")</f>
        <v>https://www.catalog.slsa.sa.gov.au/record=b2072658</v>
      </c>
      <c r="C4929" s="1" t="str">
        <f>HYPERLINK("https://www.catalog.slsa.sa.gov.au/xrecord=b2072658")</f>
        <v>https://www.catalog.slsa.sa.gov.au/xrecord=b2072658</v>
      </c>
      <c r="D4929" t="s">
        <v>16941</v>
      </c>
      <c r="E4929" t="s">
        <v>15215</v>
      </c>
      <c r="F4929" t="s">
        <v>1926</v>
      </c>
      <c r="G4929" t="s">
        <v>16978</v>
      </c>
      <c r="H4929" t="s">
        <v>16979</v>
      </c>
      <c r="I4929" t="s">
        <v>16980</v>
      </c>
      <c r="J4929" t="s">
        <v>15219</v>
      </c>
      <c r="K4929" s="2" t="str">
        <f>HYPERLINK("http://collections.slsa.sa.gov.au/mpcimg/46750/B46528_153.htm")</f>
        <v>http://collections.slsa.sa.gov.au/mpcimg/46750/B46528_153.htm</v>
      </c>
    </row>
    <row r="4930" spans="1:11" x14ac:dyDescent="0.25">
      <c r="A4930" t="s">
        <v>16981</v>
      </c>
      <c r="B4930" s="1" t="str">
        <f>HYPERLINK("https://www.catalog.slsa.sa.gov.au/record=b2072659")</f>
        <v>https://www.catalog.slsa.sa.gov.au/record=b2072659</v>
      </c>
      <c r="C4930" s="1" t="str">
        <f>HYPERLINK("https://www.catalog.slsa.sa.gov.au/xrecord=b2072659")</f>
        <v>https://www.catalog.slsa.sa.gov.au/xrecord=b2072659</v>
      </c>
      <c r="D4930" t="s">
        <v>16941</v>
      </c>
      <c r="E4930" t="s">
        <v>16982</v>
      </c>
      <c r="F4930" t="s">
        <v>1926</v>
      </c>
      <c r="G4930" t="s">
        <v>16983</v>
      </c>
      <c r="H4930" t="s">
        <v>16984</v>
      </c>
      <c r="I4930" t="s">
        <v>16985</v>
      </c>
      <c r="J4930" t="s">
        <v>15219</v>
      </c>
      <c r="K4930" s="2" t="str">
        <f>HYPERLINK("http://collections.slsa.sa.gov.au/mpcimg/46750/B46528_154.htm")</f>
        <v>http://collections.slsa.sa.gov.au/mpcimg/46750/B46528_154.htm</v>
      </c>
    </row>
    <row r="4931" spans="1:11" x14ac:dyDescent="0.25">
      <c r="A4931" t="s">
        <v>16986</v>
      </c>
      <c r="B4931" s="1" t="str">
        <f>HYPERLINK("https://www.catalog.slsa.sa.gov.au/record=b2072661")</f>
        <v>https://www.catalog.slsa.sa.gov.au/record=b2072661</v>
      </c>
      <c r="C4931" s="1" t="str">
        <f>HYPERLINK("https://www.catalog.slsa.sa.gov.au/xrecord=b2072661")</f>
        <v>https://www.catalog.slsa.sa.gov.au/xrecord=b2072661</v>
      </c>
      <c r="D4931" t="s">
        <v>16941</v>
      </c>
      <c r="E4931" t="s">
        <v>16987</v>
      </c>
      <c r="F4931" t="s">
        <v>1926</v>
      </c>
      <c r="G4931" t="s">
        <v>16988</v>
      </c>
      <c r="H4931" t="s">
        <v>16989</v>
      </c>
      <c r="I4931" t="s">
        <v>15244</v>
      </c>
      <c r="J4931" t="s">
        <v>15219</v>
      </c>
      <c r="K4931" s="2" t="str">
        <f>HYPERLINK("http://collections.slsa.sa.gov.au/mpcimg/46750/B46528_156.htm")</f>
        <v>http://collections.slsa.sa.gov.au/mpcimg/46750/B46528_156.htm</v>
      </c>
    </row>
    <row r="4932" spans="1:11" x14ac:dyDescent="0.25">
      <c r="A4932" t="s">
        <v>16990</v>
      </c>
      <c r="B4932" s="1" t="str">
        <f>HYPERLINK("https://www.catalog.slsa.sa.gov.au/record=b2072662")</f>
        <v>https://www.catalog.slsa.sa.gov.au/record=b2072662</v>
      </c>
      <c r="C4932" s="1" t="str">
        <f>HYPERLINK("https://www.catalog.slsa.sa.gov.au/xrecord=b2072662")</f>
        <v>https://www.catalog.slsa.sa.gov.au/xrecord=b2072662</v>
      </c>
      <c r="D4932" t="s">
        <v>16941</v>
      </c>
      <c r="E4932" t="s">
        <v>16991</v>
      </c>
      <c r="F4932" t="s">
        <v>1926</v>
      </c>
      <c r="G4932" t="s">
        <v>16983</v>
      </c>
      <c r="H4932" t="s">
        <v>16992</v>
      </c>
      <c r="I4932" t="s">
        <v>15251</v>
      </c>
      <c r="J4932" t="s">
        <v>15219</v>
      </c>
      <c r="K4932" s="2" t="str">
        <f>HYPERLINK("http://collections.slsa.sa.gov.au/mpcimg/46750/B46528_157.htm")</f>
        <v>http://collections.slsa.sa.gov.au/mpcimg/46750/B46528_157.htm</v>
      </c>
    </row>
    <row r="4933" spans="1:11" x14ac:dyDescent="0.25">
      <c r="A4933" t="s">
        <v>16993</v>
      </c>
      <c r="B4933" s="1" t="str">
        <f>HYPERLINK("https://www.catalog.slsa.sa.gov.au/record=b2072663")</f>
        <v>https://www.catalog.slsa.sa.gov.au/record=b2072663</v>
      </c>
      <c r="C4933" s="1" t="str">
        <f>HYPERLINK("https://www.catalog.slsa.sa.gov.au/xrecord=b2072663")</f>
        <v>https://www.catalog.slsa.sa.gov.au/xrecord=b2072663</v>
      </c>
      <c r="D4933" t="s">
        <v>16941</v>
      </c>
      <c r="E4933" t="s">
        <v>16994</v>
      </c>
      <c r="F4933" t="s">
        <v>1926</v>
      </c>
      <c r="G4933" t="s">
        <v>16995</v>
      </c>
      <c r="H4933" t="s">
        <v>16996</v>
      </c>
      <c r="I4933" t="s">
        <v>15251</v>
      </c>
      <c r="J4933" t="s">
        <v>15219</v>
      </c>
      <c r="K4933" s="2" t="str">
        <f>HYPERLINK("http://collections.slsa.sa.gov.au/mpcimg/46750/B46528_158.htm")</f>
        <v>http://collections.slsa.sa.gov.au/mpcimg/46750/B46528_158.htm</v>
      </c>
    </row>
    <row r="4934" spans="1:11" x14ac:dyDescent="0.25">
      <c r="A4934" t="s">
        <v>16997</v>
      </c>
      <c r="B4934" s="1" t="str">
        <f>HYPERLINK("https://www.catalog.slsa.sa.gov.au/record=b2072664")</f>
        <v>https://www.catalog.slsa.sa.gov.au/record=b2072664</v>
      </c>
      <c r="C4934" s="1" t="str">
        <f>HYPERLINK("https://www.catalog.slsa.sa.gov.au/xrecord=b2072664")</f>
        <v>https://www.catalog.slsa.sa.gov.au/xrecord=b2072664</v>
      </c>
      <c r="D4934" t="s">
        <v>16941</v>
      </c>
      <c r="E4934" t="s">
        <v>16998</v>
      </c>
      <c r="F4934" t="s">
        <v>1926</v>
      </c>
      <c r="G4934" t="s">
        <v>16999</v>
      </c>
      <c r="H4934" t="s">
        <v>17000</v>
      </c>
      <c r="I4934" t="s">
        <v>17001</v>
      </c>
      <c r="J4934" t="s">
        <v>15219</v>
      </c>
      <c r="K4934" s="2" t="str">
        <f>HYPERLINK("http://collections.slsa.sa.gov.au/mpcimg/46750/B46528_159.htm")</f>
        <v>http://collections.slsa.sa.gov.au/mpcimg/46750/B46528_159.htm</v>
      </c>
    </row>
    <row r="4935" spans="1:11" x14ac:dyDescent="0.25">
      <c r="A4935" t="s">
        <v>17002</v>
      </c>
      <c r="B4935" s="1" t="str">
        <f>HYPERLINK("https://www.catalog.slsa.sa.gov.au/record=b2072665")</f>
        <v>https://www.catalog.slsa.sa.gov.au/record=b2072665</v>
      </c>
      <c r="C4935" s="1" t="str">
        <f>HYPERLINK("https://www.catalog.slsa.sa.gov.au/xrecord=b2072665")</f>
        <v>https://www.catalog.slsa.sa.gov.au/xrecord=b2072665</v>
      </c>
      <c r="D4935" t="s">
        <v>16941</v>
      </c>
      <c r="E4935" t="s">
        <v>17003</v>
      </c>
      <c r="F4935" t="s">
        <v>1926</v>
      </c>
      <c r="G4935" t="s">
        <v>17004</v>
      </c>
      <c r="H4935" t="s">
        <v>17005</v>
      </c>
      <c r="I4935" t="s">
        <v>15251</v>
      </c>
      <c r="J4935" t="s">
        <v>15219</v>
      </c>
      <c r="K4935" s="2" t="str">
        <f>HYPERLINK("http://collections.slsa.sa.gov.au/mpcimg/46750/B46528_160.htm")</f>
        <v>http://collections.slsa.sa.gov.au/mpcimg/46750/B46528_160.htm</v>
      </c>
    </row>
    <row r="4936" spans="1:11" x14ac:dyDescent="0.25">
      <c r="A4936" t="s">
        <v>17006</v>
      </c>
      <c r="B4936" s="1" t="str">
        <f>HYPERLINK("https://www.catalog.slsa.sa.gov.au/record=b2072666")</f>
        <v>https://www.catalog.slsa.sa.gov.au/record=b2072666</v>
      </c>
      <c r="C4936" s="1" t="str">
        <f>HYPERLINK("https://www.catalog.slsa.sa.gov.au/xrecord=b2072666")</f>
        <v>https://www.catalog.slsa.sa.gov.au/xrecord=b2072666</v>
      </c>
      <c r="D4936" t="s">
        <v>16941</v>
      </c>
      <c r="E4936" t="s">
        <v>17007</v>
      </c>
      <c r="F4936" t="s">
        <v>1926</v>
      </c>
      <c r="G4936" t="s">
        <v>17008</v>
      </c>
      <c r="H4936" t="s">
        <v>17009</v>
      </c>
      <c r="I4936" t="s">
        <v>15251</v>
      </c>
      <c r="J4936" t="s">
        <v>15219</v>
      </c>
      <c r="K4936" s="2" t="str">
        <f>HYPERLINK("http://collections.slsa.sa.gov.au/mpcimg/46750/B46528_161.htm")</f>
        <v>http://collections.slsa.sa.gov.au/mpcimg/46750/B46528_161.htm</v>
      </c>
    </row>
    <row r="4937" spans="1:11" x14ac:dyDescent="0.25">
      <c r="A4937" t="s">
        <v>17010</v>
      </c>
      <c r="B4937" s="1" t="str">
        <f>HYPERLINK("https://www.catalog.slsa.sa.gov.au/record=b2072668")</f>
        <v>https://www.catalog.slsa.sa.gov.au/record=b2072668</v>
      </c>
      <c r="C4937" s="1" t="str">
        <f>HYPERLINK("https://www.catalog.slsa.sa.gov.au/xrecord=b2072668")</f>
        <v>https://www.catalog.slsa.sa.gov.au/xrecord=b2072668</v>
      </c>
      <c r="D4937" t="s">
        <v>16941</v>
      </c>
      <c r="E4937" t="s">
        <v>17011</v>
      </c>
      <c r="F4937" t="s">
        <v>1926</v>
      </c>
      <c r="G4937" t="s">
        <v>16983</v>
      </c>
      <c r="H4937" t="s">
        <v>17012</v>
      </c>
      <c r="I4937" t="s">
        <v>17013</v>
      </c>
      <c r="J4937" t="s">
        <v>15219</v>
      </c>
      <c r="K4937" s="2" t="str">
        <f>HYPERLINK("http://collections.slsa.sa.gov.au/mpcimg/46750/B46528_163.htm")</f>
        <v>http://collections.slsa.sa.gov.au/mpcimg/46750/B46528_163.htm</v>
      </c>
    </row>
    <row r="4938" spans="1:11" x14ac:dyDescent="0.25">
      <c r="A4938" t="s">
        <v>17014</v>
      </c>
      <c r="B4938" s="1" t="str">
        <f>HYPERLINK("https://www.catalog.slsa.sa.gov.au/record=b2072669")</f>
        <v>https://www.catalog.slsa.sa.gov.au/record=b2072669</v>
      </c>
      <c r="C4938" s="1" t="str">
        <f>HYPERLINK("https://www.catalog.slsa.sa.gov.au/xrecord=b2072669")</f>
        <v>https://www.catalog.slsa.sa.gov.au/xrecord=b2072669</v>
      </c>
      <c r="D4938" t="s">
        <v>16941</v>
      </c>
      <c r="E4938" t="s">
        <v>17015</v>
      </c>
      <c r="F4938" t="s">
        <v>1926</v>
      </c>
      <c r="G4938" t="s">
        <v>17004</v>
      </c>
      <c r="H4938" t="s">
        <v>17016</v>
      </c>
      <c r="I4938" t="s">
        <v>17017</v>
      </c>
      <c r="J4938" t="s">
        <v>15219</v>
      </c>
      <c r="K4938" s="2" t="str">
        <f>HYPERLINK("http://collections.slsa.sa.gov.au/mpcimg/46750/B46528_164.htm")</f>
        <v>http://collections.slsa.sa.gov.au/mpcimg/46750/B46528_164.htm</v>
      </c>
    </row>
    <row r="4939" spans="1:11" x14ac:dyDescent="0.25">
      <c r="A4939" t="s">
        <v>17018</v>
      </c>
      <c r="B4939" s="1" t="str">
        <f>HYPERLINK("https://www.catalog.slsa.sa.gov.au/record=b2072670")</f>
        <v>https://www.catalog.slsa.sa.gov.au/record=b2072670</v>
      </c>
      <c r="C4939" s="1" t="str">
        <f>HYPERLINK("https://www.catalog.slsa.sa.gov.au/xrecord=b2072670")</f>
        <v>https://www.catalog.slsa.sa.gov.au/xrecord=b2072670</v>
      </c>
      <c r="D4939" t="s">
        <v>16941</v>
      </c>
      <c r="E4939" t="s">
        <v>17019</v>
      </c>
      <c r="F4939" t="s">
        <v>1926</v>
      </c>
      <c r="G4939" t="s">
        <v>17020</v>
      </c>
      <c r="H4939" t="s">
        <v>17021</v>
      </c>
      <c r="I4939" t="s">
        <v>15218</v>
      </c>
      <c r="J4939" t="s">
        <v>15219</v>
      </c>
      <c r="K4939" s="2" t="str">
        <f>HYPERLINK("http://collections.slsa.sa.gov.au/mpcimg/46750/B46528_165.htm")</f>
        <v>http://collections.slsa.sa.gov.au/mpcimg/46750/B46528_165.htm</v>
      </c>
    </row>
    <row r="4940" spans="1:11" x14ac:dyDescent="0.25">
      <c r="A4940" t="s">
        <v>17022</v>
      </c>
      <c r="B4940" s="1" t="str">
        <f>HYPERLINK("https://www.catalog.slsa.sa.gov.au/record=b2072671")</f>
        <v>https://www.catalog.slsa.sa.gov.au/record=b2072671</v>
      </c>
      <c r="C4940" s="1" t="str">
        <f>HYPERLINK("https://www.catalog.slsa.sa.gov.au/xrecord=b2072671")</f>
        <v>https://www.catalog.slsa.sa.gov.au/xrecord=b2072671</v>
      </c>
      <c r="D4940" t="s">
        <v>16941</v>
      </c>
      <c r="E4940" t="s">
        <v>17019</v>
      </c>
      <c r="F4940" t="s">
        <v>1926</v>
      </c>
      <c r="G4940" t="s">
        <v>16956</v>
      </c>
      <c r="H4940" t="s">
        <v>17021</v>
      </c>
      <c r="I4940" t="s">
        <v>15218</v>
      </c>
      <c r="J4940" t="s">
        <v>15219</v>
      </c>
      <c r="K4940" s="2" t="str">
        <f>HYPERLINK("http://collections.slsa.sa.gov.au/mpcimg/46750/B46528_166.htm")</f>
        <v>http://collections.slsa.sa.gov.au/mpcimg/46750/B46528_166.htm</v>
      </c>
    </row>
    <row r="4941" spans="1:11" x14ac:dyDescent="0.25">
      <c r="A4941" t="s">
        <v>17023</v>
      </c>
      <c r="B4941" s="1" t="str">
        <f>HYPERLINK("https://www.catalog.slsa.sa.gov.au/record=b2072711")</f>
        <v>https://www.catalog.slsa.sa.gov.au/record=b2072711</v>
      </c>
      <c r="C4941" s="1" t="str">
        <f>HYPERLINK("https://www.catalog.slsa.sa.gov.au/xrecord=b2072711")</f>
        <v>https://www.catalog.slsa.sa.gov.au/xrecord=b2072711</v>
      </c>
      <c r="D4941" t="s">
        <v>16941</v>
      </c>
      <c r="E4941" t="s">
        <v>17024</v>
      </c>
      <c r="F4941" t="s">
        <v>1926</v>
      </c>
      <c r="G4941" t="s">
        <v>17025</v>
      </c>
      <c r="H4941" t="s">
        <v>17026</v>
      </c>
      <c r="I4941" t="s">
        <v>17027</v>
      </c>
      <c r="J4941" t="s">
        <v>15219</v>
      </c>
      <c r="K4941" s="2" t="str">
        <f>HYPERLINK("http://collections.slsa.sa.gov.au/mpcimg/46750/B46528_206.htm")</f>
        <v>http://collections.slsa.sa.gov.au/mpcimg/46750/B46528_206.htm</v>
      </c>
    </row>
    <row r="4942" spans="1:11" x14ac:dyDescent="0.25">
      <c r="A4942" t="s">
        <v>17028</v>
      </c>
      <c r="B4942" s="1" t="str">
        <f>HYPERLINK("https://www.catalog.slsa.sa.gov.au/record=b2072712")</f>
        <v>https://www.catalog.slsa.sa.gov.au/record=b2072712</v>
      </c>
      <c r="C4942" s="1" t="str">
        <f>HYPERLINK("https://www.catalog.slsa.sa.gov.au/xrecord=b2072712")</f>
        <v>https://www.catalog.slsa.sa.gov.au/xrecord=b2072712</v>
      </c>
      <c r="D4942" t="s">
        <v>16941</v>
      </c>
      <c r="E4942" t="s">
        <v>17029</v>
      </c>
      <c r="F4942" t="s">
        <v>1926</v>
      </c>
      <c r="G4942" t="s">
        <v>17030</v>
      </c>
      <c r="H4942" t="s">
        <v>17031</v>
      </c>
      <c r="I4942" t="s">
        <v>17032</v>
      </c>
      <c r="J4942" t="s">
        <v>15219</v>
      </c>
      <c r="K4942" s="2" t="str">
        <f>HYPERLINK("http://collections.slsa.sa.gov.au/mpcimg/46750/B46528_207.htm")</f>
        <v>http://collections.slsa.sa.gov.au/mpcimg/46750/B46528_207.htm</v>
      </c>
    </row>
    <row r="4943" spans="1:11" x14ac:dyDescent="0.25">
      <c r="A4943" t="s">
        <v>17033</v>
      </c>
      <c r="B4943" s="1" t="str">
        <f>HYPERLINK("https://www.catalog.slsa.sa.gov.au/record=b2072713")</f>
        <v>https://www.catalog.slsa.sa.gov.au/record=b2072713</v>
      </c>
      <c r="C4943" s="1" t="str">
        <f>HYPERLINK("https://www.catalog.slsa.sa.gov.au/xrecord=b2072713")</f>
        <v>https://www.catalog.slsa.sa.gov.au/xrecord=b2072713</v>
      </c>
      <c r="D4943" t="s">
        <v>16941</v>
      </c>
      <c r="E4943" t="s">
        <v>17029</v>
      </c>
      <c r="F4943" t="s">
        <v>1926</v>
      </c>
      <c r="G4943" t="s">
        <v>17034</v>
      </c>
      <c r="H4943" t="s">
        <v>17035</v>
      </c>
      <c r="I4943" t="s">
        <v>17032</v>
      </c>
      <c r="J4943" t="s">
        <v>15219</v>
      </c>
      <c r="K4943" s="2" t="str">
        <f>HYPERLINK("http://collections.slsa.sa.gov.au/mpcimg/46750/B46528_208.htm")</f>
        <v>http://collections.slsa.sa.gov.au/mpcimg/46750/B46528_208.htm</v>
      </c>
    </row>
    <row r="4944" spans="1:11" x14ac:dyDescent="0.25">
      <c r="A4944" t="s">
        <v>17036</v>
      </c>
      <c r="B4944" s="1" t="str">
        <f>HYPERLINK("https://www.catalog.slsa.sa.gov.au/record=b2072721")</f>
        <v>https://www.catalog.slsa.sa.gov.au/record=b2072721</v>
      </c>
      <c r="C4944" s="1" t="str">
        <f>HYPERLINK("https://www.catalog.slsa.sa.gov.au/xrecord=b2072721")</f>
        <v>https://www.catalog.slsa.sa.gov.au/xrecord=b2072721</v>
      </c>
      <c r="D4944" t="s">
        <v>16941</v>
      </c>
      <c r="E4944" t="s">
        <v>17037</v>
      </c>
      <c r="F4944" t="s">
        <v>1926</v>
      </c>
      <c r="G4944" t="s">
        <v>17038</v>
      </c>
      <c r="H4944" t="s">
        <v>17039</v>
      </c>
      <c r="I4944" t="s">
        <v>17040</v>
      </c>
      <c r="J4944" t="s">
        <v>15219</v>
      </c>
      <c r="K4944" s="2" t="str">
        <f>HYPERLINK("http://collections.slsa.sa.gov.au/mpcimg/46750/B46528_216.htm")</f>
        <v>http://collections.slsa.sa.gov.au/mpcimg/46750/B46528_216.htm</v>
      </c>
    </row>
    <row r="4945" spans="1:11" x14ac:dyDescent="0.25">
      <c r="A4945" t="s">
        <v>17041</v>
      </c>
      <c r="B4945" s="1" t="str">
        <f>HYPERLINK("https://www.catalog.slsa.sa.gov.au/record=b2072722")</f>
        <v>https://www.catalog.slsa.sa.gov.au/record=b2072722</v>
      </c>
      <c r="C4945" s="1" t="str">
        <f>HYPERLINK("https://www.catalog.slsa.sa.gov.au/xrecord=b2072722")</f>
        <v>https://www.catalog.slsa.sa.gov.au/xrecord=b2072722</v>
      </c>
      <c r="D4945" t="s">
        <v>16941</v>
      </c>
      <c r="E4945" t="s">
        <v>17042</v>
      </c>
      <c r="F4945" t="s">
        <v>1926</v>
      </c>
      <c r="G4945" t="s">
        <v>17043</v>
      </c>
      <c r="H4945" t="s">
        <v>17044</v>
      </c>
      <c r="I4945" t="s">
        <v>15251</v>
      </c>
      <c r="J4945" t="s">
        <v>15219</v>
      </c>
      <c r="K4945" s="2" t="str">
        <f>HYPERLINK("http://collections.slsa.sa.gov.au/mpcimg/46750/B46528_217.htm")</f>
        <v>http://collections.slsa.sa.gov.au/mpcimg/46750/B46528_217.htm</v>
      </c>
    </row>
    <row r="4946" spans="1:11" x14ac:dyDescent="0.25">
      <c r="A4946" t="s">
        <v>17045</v>
      </c>
      <c r="B4946" s="1" t="str">
        <f>HYPERLINK("https://www.catalog.slsa.sa.gov.au/record=b2072723")</f>
        <v>https://www.catalog.slsa.sa.gov.au/record=b2072723</v>
      </c>
      <c r="C4946" s="1" t="str">
        <f>HYPERLINK("https://www.catalog.slsa.sa.gov.au/xrecord=b2072723")</f>
        <v>https://www.catalog.slsa.sa.gov.au/xrecord=b2072723</v>
      </c>
      <c r="D4946" t="s">
        <v>16941</v>
      </c>
      <c r="E4946" t="s">
        <v>17046</v>
      </c>
      <c r="F4946" t="s">
        <v>1926</v>
      </c>
      <c r="G4946" t="s">
        <v>17038</v>
      </c>
      <c r="H4946" t="s">
        <v>17047</v>
      </c>
      <c r="I4946" t="s">
        <v>17048</v>
      </c>
      <c r="J4946" t="s">
        <v>15219</v>
      </c>
      <c r="K4946" s="2" t="str">
        <f>HYPERLINK("http://collections.slsa.sa.gov.au/mpcimg/46750/B46528_218.htm")</f>
        <v>http://collections.slsa.sa.gov.au/mpcimg/46750/B46528_218.htm</v>
      </c>
    </row>
    <row r="4947" spans="1:11" x14ac:dyDescent="0.25">
      <c r="A4947" t="s">
        <v>17049</v>
      </c>
      <c r="B4947" s="1" t="str">
        <f>HYPERLINK("https://www.catalog.slsa.sa.gov.au/record=b2072724")</f>
        <v>https://www.catalog.slsa.sa.gov.au/record=b2072724</v>
      </c>
      <c r="C4947" s="1" t="str">
        <f>HYPERLINK("https://www.catalog.slsa.sa.gov.au/xrecord=b2072724")</f>
        <v>https://www.catalog.slsa.sa.gov.au/xrecord=b2072724</v>
      </c>
      <c r="D4947" t="s">
        <v>16941</v>
      </c>
      <c r="E4947" t="s">
        <v>17050</v>
      </c>
      <c r="F4947" t="s">
        <v>1926</v>
      </c>
      <c r="G4947" t="s">
        <v>17038</v>
      </c>
      <c r="H4947" t="s">
        <v>17051</v>
      </c>
      <c r="I4947" t="s">
        <v>17048</v>
      </c>
      <c r="J4947" t="s">
        <v>15219</v>
      </c>
      <c r="K4947" s="2" t="str">
        <f>HYPERLINK("http://collections.slsa.sa.gov.au/mpcimg/46750/B46528_219.htm")</f>
        <v>http://collections.slsa.sa.gov.au/mpcimg/46750/B46528_219.htm</v>
      </c>
    </row>
    <row r="4948" spans="1:11" x14ac:dyDescent="0.25">
      <c r="A4948" t="s">
        <v>17052</v>
      </c>
      <c r="B4948" s="1" t="str">
        <f>HYPERLINK("https://www.catalog.slsa.sa.gov.au/record=b2072725")</f>
        <v>https://www.catalog.slsa.sa.gov.au/record=b2072725</v>
      </c>
      <c r="C4948" s="1" t="str">
        <f>HYPERLINK("https://www.catalog.slsa.sa.gov.au/xrecord=b2072725")</f>
        <v>https://www.catalog.slsa.sa.gov.au/xrecord=b2072725</v>
      </c>
      <c r="D4948" t="s">
        <v>16941</v>
      </c>
      <c r="E4948" t="s">
        <v>17053</v>
      </c>
      <c r="F4948" t="s">
        <v>1926</v>
      </c>
      <c r="G4948" t="s">
        <v>17038</v>
      </c>
      <c r="H4948" t="s">
        <v>17054</v>
      </c>
      <c r="I4948" t="s">
        <v>15218</v>
      </c>
      <c r="J4948" t="s">
        <v>15219</v>
      </c>
      <c r="K4948" s="2" t="str">
        <f>HYPERLINK("http://collections.slsa.sa.gov.au/mpcimg/46750/B46528_220.htm")</f>
        <v>http://collections.slsa.sa.gov.au/mpcimg/46750/B46528_220.htm</v>
      </c>
    </row>
    <row r="4949" spans="1:11" x14ac:dyDescent="0.25">
      <c r="A4949" t="s">
        <v>17055</v>
      </c>
      <c r="B4949" s="1" t="str">
        <f>HYPERLINK("https://www.catalog.slsa.sa.gov.au/record=b2072726")</f>
        <v>https://www.catalog.slsa.sa.gov.au/record=b2072726</v>
      </c>
      <c r="C4949" s="1" t="str">
        <f>HYPERLINK("https://www.catalog.slsa.sa.gov.au/xrecord=b2072726")</f>
        <v>https://www.catalog.slsa.sa.gov.au/xrecord=b2072726</v>
      </c>
      <c r="D4949" t="s">
        <v>16941</v>
      </c>
      <c r="E4949" t="s">
        <v>17056</v>
      </c>
      <c r="F4949" t="s">
        <v>1926</v>
      </c>
      <c r="G4949" t="s">
        <v>17038</v>
      </c>
      <c r="H4949" t="s">
        <v>17057</v>
      </c>
      <c r="I4949" t="s">
        <v>17048</v>
      </c>
      <c r="J4949" t="s">
        <v>15219</v>
      </c>
      <c r="K4949" s="2" t="str">
        <f>HYPERLINK("http://collections.slsa.sa.gov.au/mpcimg/46750/B46528_221.htm")</f>
        <v>http://collections.slsa.sa.gov.au/mpcimg/46750/B46528_221.htm</v>
      </c>
    </row>
    <row r="4950" spans="1:11" x14ac:dyDescent="0.25">
      <c r="A4950" t="s">
        <v>17058</v>
      </c>
      <c r="B4950" s="1" t="str">
        <f>HYPERLINK("https://www.catalog.slsa.sa.gov.au/record=b2072730")</f>
        <v>https://www.catalog.slsa.sa.gov.au/record=b2072730</v>
      </c>
      <c r="C4950" s="1" t="str">
        <f>HYPERLINK("https://www.catalog.slsa.sa.gov.au/xrecord=b2072730")</f>
        <v>https://www.catalog.slsa.sa.gov.au/xrecord=b2072730</v>
      </c>
      <c r="D4950" t="s">
        <v>16941</v>
      </c>
      <c r="E4950" t="s">
        <v>17059</v>
      </c>
      <c r="F4950" t="s">
        <v>1926</v>
      </c>
      <c r="G4950" t="s">
        <v>17038</v>
      </c>
      <c r="H4950" t="s">
        <v>17060</v>
      </c>
      <c r="I4950" t="s">
        <v>17061</v>
      </c>
      <c r="J4950" t="s">
        <v>15219</v>
      </c>
      <c r="K4950" s="2" t="str">
        <f>HYPERLINK("http://collections.slsa.sa.gov.au/mpcimg/46750/B46528_225.htm")</f>
        <v>http://collections.slsa.sa.gov.au/mpcimg/46750/B46528_225.htm</v>
      </c>
    </row>
    <row r="4951" spans="1:11" x14ac:dyDescent="0.25">
      <c r="A4951" t="s">
        <v>17062</v>
      </c>
      <c r="B4951" s="1" t="str">
        <f>HYPERLINK("https://www.catalog.slsa.sa.gov.au/record=b2072734")</f>
        <v>https://www.catalog.slsa.sa.gov.au/record=b2072734</v>
      </c>
      <c r="C4951" s="1" t="str">
        <f>HYPERLINK("https://www.catalog.slsa.sa.gov.au/xrecord=b2072734")</f>
        <v>https://www.catalog.slsa.sa.gov.au/xrecord=b2072734</v>
      </c>
      <c r="D4951" t="s">
        <v>16941</v>
      </c>
      <c r="E4951" t="s">
        <v>17063</v>
      </c>
      <c r="F4951" t="s">
        <v>1926</v>
      </c>
      <c r="G4951" t="s">
        <v>17038</v>
      </c>
      <c r="H4951" t="s">
        <v>17064</v>
      </c>
      <c r="I4951" t="s">
        <v>15223</v>
      </c>
      <c r="J4951" t="s">
        <v>15219</v>
      </c>
      <c r="K4951" s="2" t="str">
        <f>HYPERLINK("http://collections.slsa.sa.gov.au/mpcimg/46750/B46528_229.htm")</f>
        <v>http://collections.slsa.sa.gov.au/mpcimg/46750/B46528_229.htm</v>
      </c>
    </row>
    <row r="4952" spans="1:11" x14ac:dyDescent="0.25">
      <c r="A4952" t="s">
        <v>17065</v>
      </c>
      <c r="B4952" s="1" t="str">
        <f>HYPERLINK("https://www.catalog.slsa.sa.gov.au/record=b2072735")</f>
        <v>https://www.catalog.slsa.sa.gov.au/record=b2072735</v>
      </c>
      <c r="C4952" s="1" t="str">
        <f>HYPERLINK("https://www.catalog.slsa.sa.gov.au/xrecord=b2072735")</f>
        <v>https://www.catalog.slsa.sa.gov.au/xrecord=b2072735</v>
      </c>
      <c r="D4952" t="s">
        <v>16941</v>
      </c>
      <c r="E4952" t="s">
        <v>17066</v>
      </c>
      <c r="F4952" t="s">
        <v>1926</v>
      </c>
      <c r="G4952" t="s">
        <v>17038</v>
      </c>
      <c r="H4952" t="s">
        <v>17067</v>
      </c>
      <c r="I4952" t="s">
        <v>16976</v>
      </c>
      <c r="J4952" t="s">
        <v>15219</v>
      </c>
      <c r="K4952" s="2" t="str">
        <f>HYPERLINK("http://collections.slsa.sa.gov.au/mpcimg/46750/B46528_230.htm")</f>
        <v>http://collections.slsa.sa.gov.au/mpcimg/46750/B46528_230.htm</v>
      </c>
    </row>
    <row r="4953" spans="1:11" x14ac:dyDescent="0.25">
      <c r="A4953" t="s">
        <v>17068</v>
      </c>
      <c r="B4953" s="1" t="str">
        <f>HYPERLINK("https://www.catalog.slsa.sa.gov.au/record=b2072736")</f>
        <v>https://www.catalog.slsa.sa.gov.au/record=b2072736</v>
      </c>
      <c r="C4953" s="1" t="str">
        <f>HYPERLINK("https://www.catalog.slsa.sa.gov.au/xrecord=b2072736")</f>
        <v>https://www.catalog.slsa.sa.gov.au/xrecord=b2072736</v>
      </c>
      <c r="D4953" t="s">
        <v>16941</v>
      </c>
      <c r="E4953" t="s">
        <v>17069</v>
      </c>
      <c r="F4953" t="s">
        <v>1926</v>
      </c>
      <c r="G4953" t="s">
        <v>17038</v>
      </c>
      <c r="H4953" t="s">
        <v>17070</v>
      </c>
      <c r="I4953" t="s">
        <v>16976</v>
      </c>
      <c r="J4953" t="s">
        <v>15219</v>
      </c>
      <c r="K4953" s="2" t="str">
        <f>HYPERLINK("http://collections.slsa.sa.gov.au/mpcimg/46750/B46528_231.htm")</f>
        <v>http://collections.slsa.sa.gov.au/mpcimg/46750/B46528_231.htm</v>
      </c>
    </row>
    <row r="4954" spans="1:11" x14ac:dyDescent="0.25">
      <c r="A4954" t="s">
        <v>17071</v>
      </c>
      <c r="B4954" s="1" t="str">
        <f>HYPERLINK("https://www.catalog.slsa.sa.gov.au/record=b2072737")</f>
        <v>https://www.catalog.slsa.sa.gov.au/record=b2072737</v>
      </c>
      <c r="C4954" s="1" t="str">
        <f>HYPERLINK("https://www.catalog.slsa.sa.gov.au/xrecord=b2072737")</f>
        <v>https://www.catalog.slsa.sa.gov.au/xrecord=b2072737</v>
      </c>
      <c r="D4954" t="s">
        <v>16941</v>
      </c>
      <c r="E4954" t="s">
        <v>17056</v>
      </c>
      <c r="F4954" t="s">
        <v>1926</v>
      </c>
      <c r="G4954" t="s">
        <v>17038</v>
      </c>
      <c r="H4954" t="s">
        <v>17072</v>
      </c>
      <c r="I4954" t="s">
        <v>16936</v>
      </c>
      <c r="J4954" t="s">
        <v>15219</v>
      </c>
      <c r="K4954" s="2" t="str">
        <f>HYPERLINK("http://collections.slsa.sa.gov.au/mpcimg/46750/B46528_232.htm")</f>
        <v>http://collections.slsa.sa.gov.au/mpcimg/46750/B46528_232.htm</v>
      </c>
    </row>
    <row r="4955" spans="1:11" x14ac:dyDescent="0.25">
      <c r="A4955" t="s">
        <v>17073</v>
      </c>
      <c r="B4955" s="1" t="str">
        <f>HYPERLINK("https://www.catalog.slsa.sa.gov.au/record=b2072740")</f>
        <v>https://www.catalog.slsa.sa.gov.au/record=b2072740</v>
      </c>
      <c r="C4955" s="1" t="str">
        <f>HYPERLINK("https://www.catalog.slsa.sa.gov.au/xrecord=b2072740")</f>
        <v>https://www.catalog.slsa.sa.gov.au/xrecord=b2072740</v>
      </c>
      <c r="D4955" t="s">
        <v>16941</v>
      </c>
      <c r="E4955" t="s">
        <v>17074</v>
      </c>
      <c r="F4955" t="s">
        <v>1926</v>
      </c>
      <c r="G4955" t="s">
        <v>17038</v>
      </c>
      <c r="H4955" t="s">
        <v>17075</v>
      </c>
      <c r="I4955" t="s">
        <v>15251</v>
      </c>
      <c r="J4955" t="s">
        <v>15219</v>
      </c>
      <c r="K4955" s="2" t="str">
        <f>HYPERLINK("http://collections.slsa.sa.gov.au/mpcimg/46750/B46528_235.htm")</f>
        <v>http://collections.slsa.sa.gov.au/mpcimg/46750/B46528_235.htm</v>
      </c>
    </row>
    <row r="4956" spans="1:11" x14ac:dyDescent="0.25">
      <c r="A4956" t="s">
        <v>17076</v>
      </c>
      <c r="B4956" s="1" t="str">
        <f>HYPERLINK("https://www.catalog.slsa.sa.gov.au/record=b2072741")</f>
        <v>https://www.catalog.slsa.sa.gov.au/record=b2072741</v>
      </c>
      <c r="C4956" s="1" t="str">
        <f>HYPERLINK("https://www.catalog.slsa.sa.gov.au/xrecord=b2072741")</f>
        <v>https://www.catalog.slsa.sa.gov.au/xrecord=b2072741</v>
      </c>
      <c r="D4956" t="s">
        <v>16941</v>
      </c>
      <c r="E4956" t="s">
        <v>17077</v>
      </c>
      <c r="F4956" t="s">
        <v>1926</v>
      </c>
      <c r="G4956" t="s">
        <v>17038</v>
      </c>
      <c r="H4956" t="s">
        <v>17078</v>
      </c>
      <c r="I4956" t="s">
        <v>16985</v>
      </c>
      <c r="J4956" t="s">
        <v>15219</v>
      </c>
      <c r="K4956" s="2" t="str">
        <f>HYPERLINK("http://collections.slsa.sa.gov.au/mpcimg/46750/B46528_236.htm")</f>
        <v>http://collections.slsa.sa.gov.au/mpcimg/46750/B46528_236.htm</v>
      </c>
    </row>
    <row r="4957" spans="1:11" x14ac:dyDescent="0.25">
      <c r="A4957" t="s">
        <v>17079</v>
      </c>
      <c r="B4957" s="1" t="str">
        <f>HYPERLINK("https://www.catalog.slsa.sa.gov.au/record=b2072742")</f>
        <v>https://www.catalog.slsa.sa.gov.au/record=b2072742</v>
      </c>
      <c r="C4957" s="1" t="str">
        <f>HYPERLINK("https://www.catalog.slsa.sa.gov.au/xrecord=b2072742")</f>
        <v>https://www.catalog.slsa.sa.gov.au/xrecord=b2072742</v>
      </c>
      <c r="D4957" t="s">
        <v>16941</v>
      </c>
      <c r="E4957" t="s">
        <v>17080</v>
      </c>
      <c r="F4957" t="s">
        <v>1926</v>
      </c>
      <c r="G4957" t="s">
        <v>17038</v>
      </c>
      <c r="H4957" t="s">
        <v>17081</v>
      </c>
      <c r="I4957" t="s">
        <v>17082</v>
      </c>
      <c r="J4957" t="s">
        <v>15219</v>
      </c>
      <c r="K4957" s="2" t="str">
        <f>HYPERLINK("http://collections.slsa.sa.gov.au/mpcimg/46750/B46528_237.htm")</f>
        <v>http://collections.slsa.sa.gov.au/mpcimg/46750/B46528_237.htm</v>
      </c>
    </row>
    <row r="4958" spans="1:11" x14ac:dyDescent="0.25">
      <c r="A4958" t="s">
        <v>17083</v>
      </c>
      <c r="B4958" s="1" t="str">
        <f>HYPERLINK("https://www.catalog.slsa.sa.gov.au/record=b2072743")</f>
        <v>https://www.catalog.slsa.sa.gov.au/record=b2072743</v>
      </c>
      <c r="C4958" s="1" t="str">
        <f>HYPERLINK("https://www.catalog.slsa.sa.gov.au/xrecord=b2072743")</f>
        <v>https://www.catalog.slsa.sa.gov.au/xrecord=b2072743</v>
      </c>
      <c r="D4958" t="s">
        <v>16941</v>
      </c>
      <c r="E4958" t="s">
        <v>17084</v>
      </c>
      <c r="F4958" t="s">
        <v>1926</v>
      </c>
      <c r="G4958" t="s">
        <v>17038</v>
      </c>
      <c r="H4958" t="s">
        <v>17085</v>
      </c>
      <c r="I4958" t="s">
        <v>15251</v>
      </c>
      <c r="J4958" t="s">
        <v>15219</v>
      </c>
      <c r="K4958" s="2" t="str">
        <f>HYPERLINK("http://collections.slsa.sa.gov.au/mpcimg/46750/B46528_238.htm")</f>
        <v>http://collections.slsa.sa.gov.au/mpcimg/46750/B46528_238.htm</v>
      </c>
    </row>
    <row r="4959" spans="1:11" x14ac:dyDescent="0.25">
      <c r="A4959" t="s">
        <v>17086</v>
      </c>
      <c r="B4959" s="1" t="str">
        <f>HYPERLINK("https://www.catalog.slsa.sa.gov.au/record=b2072745")</f>
        <v>https://www.catalog.slsa.sa.gov.au/record=b2072745</v>
      </c>
      <c r="C4959" s="1" t="str">
        <f>HYPERLINK("https://www.catalog.slsa.sa.gov.au/xrecord=b2072745")</f>
        <v>https://www.catalog.slsa.sa.gov.au/xrecord=b2072745</v>
      </c>
      <c r="D4959" t="s">
        <v>16941</v>
      </c>
      <c r="E4959" t="s">
        <v>17087</v>
      </c>
      <c r="F4959" t="s">
        <v>1926</v>
      </c>
      <c r="G4959" t="s">
        <v>17038</v>
      </c>
      <c r="H4959" t="s">
        <v>17088</v>
      </c>
      <c r="I4959" t="s">
        <v>17089</v>
      </c>
      <c r="J4959" t="s">
        <v>15219</v>
      </c>
      <c r="K4959" s="2" t="str">
        <f>HYPERLINK("http://collections.slsa.sa.gov.au/mpcimg/46750/B46528_240.htm")</f>
        <v>http://collections.slsa.sa.gov.au/mpcimg/46750/B46528_240.htm</v>
      </c>
    </row>
    <row r="4960" spans="1:11" x14ac:dyDescent="0.25">
      <c r="A4960" t="s">
        <v>17090</v>
      </c>
      <c r="B4960" s="1" t="str">
        <f>HYPERLINK("https://www.catalog.slsa.sa.gov.au/record=b2072746")</f>
        <v>https://www.catalog.slsa.sa.gov.au/record=b2072746</v>
      </c>
      <c r="C4960" s="1" t="str">
        <f>HYPERLINK("https://www.catalog.slsa.sa.gov.au/xrecord=b2072746")</f>
        <v>https://www.catalog.slsa.sa.gov.au/xrecord=b2072746</v>
      </c>
      <c r="D4960" t="s">
        <v>16941</v>
      </c>
      <c r="E4960" t="s">
        <v>17091</v>
      </c>
      <c r="F4960" t="s">
        <v>1926</v>
      </c>
      <c r="G4960" t="s">
        <v>17038</v>
      </c>
      <c r="H4960" t="s">
        <v>17092</v>
      </c>
      <c r="I4960" t="s">
        <v>17089</v>
      </c>
      <c r="J4960" t="s">
        <v>15219</v>
      </c>
      <c r="K4960" s="2" t="str">
        <f>HYPERLINK("http://collections.slsa.sa.gov.au/mpcimg/46750/B46528_241.htm")</f>
        <v>http://collections.slsa.sa.gov.au/mpcimg/46750/B46528_241.htm</v>
      </c>
    </row>
    <row r="4961" spans="1:11" x14ac:dyDescent="0.25">
      <c r="A4961" t="s">
        <v>17093</v>
      </c>
      <c r="B4961" s="1" t="str">
        <f>HYPERLINK("https://www.catalog.slsa.sa.gov.au/record=b2072747")</f>
        <v>https://www.catalog.slsa.sa.gov.au/record=b2072747</v>
      </c>
      <c r="C4961" s="1" t="str">
        <f>HYPERLINK("https://www.catalog.slsa.sa.gov.au/xrecord=b2072747")</f>
        <v>https://www.catalog.slsa.sa.gov.au/xrecord=b2072747</v>
      </c>
      <c r="D4961" t="s">
        <v>16941</v>
      </c>
      <c r="E4961" t="s">
        <v>17094</v>
      </c>
      <c r="F4961" t="s">
        <v>1926</v>
      </c>
      <c r="G4961" t="s">
        <v>17095</v>
      </c>
      <c r="H4961" t="s">
        <v>17096</v>
      </c>
      <c r="I4961" t="s">
        <v>15251</v>
      </c>
      <c r="J4961" t="s">
        <v>15219</v>
      </c>
      <c r="K4961" s="2" t="str">
        <f>HYPERLINK("http://collections.slsa.sa.gov.au/mpcimg/46750/B46528_242.htm")</f>
        <v>http://collections.slsa.sa.gov.au/mpcimg/46750/B46528_242.htm</v>
      </c>
    </row>
    <row r="4962" spans="1:11" x14ac:dyDescent="0.25">
      <c r="A4962" t="s">
        <v>17097</v>
      </c>
      <c r="B4962" s="1" t="str">
        <f>HYPERLINK("https://www.catalog.slsa.sa.gov.au/record=b2072748")</f>
        <v>https://www.catalog.slsa.sa.gov.au/record=b2072748</v>
      </c>
      <c r="C4962" s="1" t="str">
        <f>HYPERLINK("https://www.catalog.slsa.sa.gov.au/xrecord=b2072748")</f>
        <v>https://www.catalog.slsa.sa.gov.au/xrecord=b2072748</v>
      </c>
      <c r="D4962" t="s">
        <v>16941</v>
      </c>
      <c r="E4962" t="s">
        <v>17098</v>
      </c>
      <c r="F4962" t="s">
        <v>1926</v>
      </c>
      <c r="G4962" t="s">
        <v>17095</v>
      </c>
      <c r="H4962" t="s">
        <v>17099</v>
      </c>
      <c r="I4962" t="s">
        <v>17089</v>
      </c>
      <c r="J4962" t="s">
        <v>15219</v>
      </c>
      <c r="K4962" s="2" t="str">
        <f>HYPERLINK("http://collections.slsa.sa.gov.au/mpcimg/46750/B46528_243.htm")</f>
        <v>http://collections.slsa.sa.gov.au/mpcimg/46750/B46528_243.htm</v>
      </c>
    </row>
    <row r="4963" spans="1:11" x14ac:dyDescent="0.25">
      <c r="A4963" t="s">
        <v>17100</v>
      </c>
      <c r="B4963" s="1" t="str">
        <f>HYPERLINK("https://www.catalog.slsa.sa.gov.au/record=b2072749")</f>
        <v>https://www.catalog.slsa.sa.gov.au/record=b2072749</v>
      </c>
      <c r="C4963" s="1" t="str">
        <f>HYPERLINK("https://www.catalog.slsa.sa.gov.au/xrecord=b2072749")</f>
        <v>https://www.catalog.slsa.sa.gov.au/xrecord=b2072749</v>
      </c>
      <c r="D4963" t="s">
        <v>16941</v>
      </c>
      <c r="E4963" t="s">
        <v>17101</v>
      </c>
      <c r="F4963" t="s">
        <v>1926</v>
      </c>
      <c r="G4963" t="s">
        <v>17095</v>
      </c>
      <c r="H4963" t="s">
        <v>17102</v>
      </c>
      <c r="I4963" t="s">
        <v>15226</v>
      </c>
      <c r="J4963" t="s">
        <v>15219</v>
      </c>
      <c r="K4963" s="2" t="str">
        <f>HYPERLINK("http://collections.slsa.sa.gov.au/mpcimg/46750/B46528_244.htm")</f>
        <v>http://collections.slsa.sa.gov.au/mpcimg/46750/B46528_244.htm</v>
      </c>
    </row>
    <row r="4964" spans="1:11" x14ac:dyDescent="0.25">
      <c r="A4964" t="s">
        <v>17103</v>
      </c>
      <c r="B4964" s="1" t="str">
        <f>HYPERLINK("https://www.catalog.slsa.sa.gov.au/record=b2072750")</f>
        <v>https://www.catalog.slsa.sa.gov.au/record=b2072750</v>
      </c>
      <c r="C4964" s="1" t="str">
        <f>HYPERLINK("https://www.catalog.slsa.sa.gov.au/xrecord=b2072750")</f>
        <v>https://www.catalog.slsa.sa.gov.au/xrecord=b2072750</v>
      </c>
      <c r="D4964" t="s">
        <v>16941</v>
      </c>
      <c r="E4964" t="s">
        <v>17101</v>
      </c>
      <c r="F4964" t="s">
        <v>1926</v>
      </c>
      <c r="G4964" t="s">
        <v>17095</v>
      </c>
      <c r="H4964" t="s">
        <v>17102</v>
      </c>
      <c r="I4964" t="s">
        <v>15226</v>
      </c>
      <c r="J4964" t="s">
        <v>15219</v>
      </c>
      <c r="K4964" s="2" t="str">
        <f>HYPERLINK("http://collections.slsa.sa.gov.au/mpcimg/46750/B46528_245.htm")</f>
        <v>http://collections.slsa.sa.gov.au/mpcimg/46750/B46528_245.htm</v>
      </c>
    </row>
    <row r="4965" spans="1:11" x14ac:dyDescent="0.25">
      <c r="A4965" t="s">
        <v>17104</v>
      </c>
      <c r="B4965" s="1" t="str">
        <f>HYPERLINK("https://www.catalog.slsa.sa.gov.au/record=b2072751")</f>
        <v>https://www.catalog.slsa.sa.gov.au/record=b2072751</v>
      </c>
      <c r="C4965" s="1" t="str">
        <f>HYPERLINK("https://www.catalog.slsa.sa.gov.au/xrecord=b2072751")</f>
        <v>https://www.catalog.slsa.sa.gov.au/xrecord=b2072751</v>
      </c>
      <c r="D4965" t="s">
        <v>16941</v>
      </c>
      <c r="E4965" t="s">
        <v>17101</v>
      </c>
      <c r="F4965" t="s">
        <v>1926</v>
      </c>
      <c r="G4965" t="s">
        <v>17095</v>
      </c>
      <c r="H4965" t="s">
        <v>17102</v>
      </c>
      <c r="I4965" t="s">
        <v>15226</v>
      </c>
      <c r="J4965" t="s">
        <v>15219</v>
      </c>
      <c r="K4965" s="2" t="str">
        <f>HYPERLINK("http://collections.slsa.sa.gov.au/mpcimg/46750/B46528_246.htm")</f>
        <v>http://collections.slsa.sa.gov.au/mpcimg/46750/B46528_246.htm</v>
      </c>
    </row>
    <row r="4966" spans="1:11" x14ac:dyDescent="0.25">
      <c r="A4966" t="s">
        <v>17105</v>
      </c>
      <c r="B4966" s="1" t="str">
        <f>HYPERLINK("https://www.catalog.slsa.sa.gov.au/record=b2072752")</f>
        <v>https://www.catalog.slsa.sa.gov.au/record=b2072752</v>
      </c>
      <c r="C4966" s="1" t="str">
        <f>HYPERLINK("https://www.catalog.slsa.sa.gov.au/xrecord=b2072752")</f>
        <v>https://www.catalog.slsa.sa.gov.au/xrecord=b2072752</v>
      </c>
      <c r="D4966" t="s">
        <v>16941</v>
      </c>
      <c r="E4966" t="s">
        <v>17106</v>
      </c>
      <c r="F4966" t="s">
        <v>1926</v>
      </c>
      <c r="G4966" t="s">
        <v>17095</v>
      </c>
      <c r="H4966" t="s">
        <v>17107</v>
      </c>
      <c r="I4966" t="s">
        <v>15251</v>
      </c>
      <c r="J4966" t="s">
        <v>15219</v>
      </c>
      <c r="K4966" s="2" t="str">
        <f>HYPERLINK("http://collections.slsa.sa.gov.au/mpcimg/46750/B46528_247.htm")</f>
        <v>http://collections.slsa.sa.gov.au/mpcimg/46750/B46528_247.htm</v>
      </c>
    </row>
    <row r="4967" spans="1:11" x14ac:dyDescent="0.25">
      <c r="A4967" t="s">
        <v>17108</v>
      </c>
      <c r="B4967" s="1" t="str">
        <f>HYPERLINK("https://www.catalog.slsa.sa.gov.au/record=b2073597")</f>
        <v>https://www.catalog.slsa.sa.gov.au/record=b2073597</v>
      </c>
      <c r="C4967" s="1" t="str">
        <f>HYPERLINK("https://www.catalog.slsa.sa.gov.au/xrecord=b2073597")</f>
        <v>https://www.catalog.slsa.sa.gov.au/xrecord=b2073597</v>
      </c>
      <c r="E4967" t="s">
        <v>17109</v>
      </c>
      <c r="F4967" t="s">
        <v>1926</v>
      </c>
      <c r="G4967" t="s">
        <v>17110</v>
      </c>
      <c r="H4967" t="s">
        <v>17111</v>
      </c>
      <c r="I4967" t="s">
        <v>17112</v>
      </c>
      <c r="J4967" t="s">
        <v>17113</v>
      </c>
      <c r="K4967" s="2" t="str">
        <f>HYPERLINK("http://collections.slsa.sa.gov.au/mpcimg/63250/B63133.htm")</f>
        <v>http://collections.slsa.sa.gov.au/mpcimg/63250/B63133.htm</v>
      </c>
    </row>
    <row r="4968" spans="1:11" x14ac:dyDescent="0.25">
      <c r="A4968" t="s">
        <v>17114</v>
      </c>
      <c r="B4968" s="1" t="str">
        <f>HYPERLINK("https://www.catalog.slsa.sa.gov.au/record=b2073598")</f>
        <v>https://www.catalog.slsa.sa.gov.au/record=b2073598</v>
      </c>
      <c r="C4968" s="1" t="str">
        <f>HYPERLINK("https://www.catalog.slsa.sa.gov.au/xrecord=b2073598")</f>
        <v>https://www.catalog.slsa.sa.gov.au/xrecord=b2073598</v>
      </c>
      <c r="D4968" t="s">
        <v>16432</v>
      </c>
      <c r="E4968" t="s">
        <v>17115</v>
      </c>
      <c r="F4968" t="s">
        <v>1926</v>
      </c>
      <c r="G4968" t="s">
        <v>17116</v>
      </c>
      <c r="H4968" t="s">
        <v>17117</v>
      </c>
      <c r="I4968" t="s">
        <v>17118</v>
      </c>
      <c r="J4968" t="s">
        <v>17119</v>
      </c>
      <c r="K4968" s="2" t="str">
        <f>HYPERLINK("http://collections.slsa.sa.gov.au/mpcimg/63250/B63134.htm")</f>
        <v>http://collections.slsa.sa.gov.au/mpcimg/63250/B63134.htm</v>
      </c>
    </row>
    <row r="4969" spans="1:11" x14ac:dyDescent="0.25">
      <c r="A4969" t="s">
        <v>17120</v>
      </c>
      <c r="B4969" s="1" t="str">
        <f>HYPERLINK("https://www.catalog.slsa.sa.gov.au/record=b2073599")</f>
        <v>https://www.catalog.slsa.sa.gov.au/record=b2073599</v>
      </c>
      <c r="C4969" s="1" t="str">
        <f>HYPERLINK("https://www.catalog.slsa.sa.gov.au/xrecord=b2073599")</f>
        <v>https://www.catalog.slsa.sa.gov.au/xrecord=b2073599</v>
      </c>
      <c r="D4969" t="s">
        <v>16432</v>
      </c>
      <c r="E4969" t="s">
        <v>15196</v>
      </c>
      <c r="F4969" t="s">
        <v>1926</v>
      </c>
      <c r="G4969" t="s">
        <v>17121</v>
      </c>
      <c r="H4969" t="s">
        <v>17122</v>
      </c>
      <c r="I4969" t="s">
        <v>17123</v>
      </c>
      <c r="J4969" t="s">
        <v>17124</v>
      </c>
      <c r="K4969" s="2" t="str">
        <f>HYPERLINK("http://collections.slsa.sa.gov.au/mpcimg/63250/B63135.htm")</f>
        <v>http://collections.slsa.sa.gov.au/mpcimg/63250/B63135.htm</v>
      </c>
    </row>
    <row r="4970" spans="1:11" x14ac:dyDescent="0.25">
      <c r="A4970" t="s">
        <v>17125</v>
      </c>
      <c r="B4970" s="1" t="str">
        <f>HYPERLINK("https://www.catalog.slsa.sa.gov.au/record=b2073600")</f>
        <v>https://www.catalog.slsa.sa.gov.au/record=b2073600</v>
      </c>
      <c r="C4970" s="1" t="str">
        <f>HYPERLINK("https://www.catalog.slsa.sa.gov.au/xrecord=b2073600")</f>
        <v>https://www.catalog.slsa.sa.gov.au/xrecord=b2073600</v>
      </c>
      <c r="E4970" t="s">
        <v>17126</v>
      </c>
      <c r="F4970" t="s">
        <v>1926</v>
      </c>
      <c r="G4970" t="s">
        <v>17127</v>
      </c>
      <c r="H4970" t="s">
        <v>17128</v>
      </c>
      <c r="I4970" t="s">
        <v>17129</v>
      </c>
      <c r="J4970" t="s">
        <v>17130</v>
      </c>
      <c r="K4970" s="2" t="str">
        <f>HYPERLINK("http://collections.slsa.sa.gov.au/mpcimg/63250/B63136.htm")</f>
        <v>http://collections.slsa.sa.gov.au/mpcimg/63250/B63136.htm</v>
      </c>
    </row>
    <row r="4971" spans="1:11" x14ac:dyDescent="0.25">
      <c r="A4971" t="s">
        <v>17131</v>
      </c>
      <c r="B4971" s="1" t="str">
        <f>HYPERLINK("https://www.catalog.slsa.sa.gov.au/record=b2073601")</f>
        <v>https://www.catalog.slsa.sa.gov.au/record=b2073601</v>
      </c>
      <c r="C4971" s="1" t="str">
        <f>HYPERLINK("https://www.catalog.slsa.sa.gov.au/xrecord=b2073601")</f>
        <v>https://www.catalog.slsa.sa.gov.au/xrecord=b2073601</v>
      </c>
      <c r="E4971" t="s">
        <v>17132</v>
      </c>
      <c r="F4971" t="s">
        <v>1926</v>
      </c>
      <c r="G4971" t="s">
        <v>17110</v>
      </c>
      <c r="H4971" t="s">
        <v>17133</v>
      </c>
      <c r="I4971" t="s">
        <v>17134</v>
      </c>
      <c r="J4971" t="s">
        <v>17135</v>
      </c>
      <c r="K4971" s="2" t="str">
        <f>HYPERLINK("http://collections.slsa.sa.gov.au/mpcimg/63250/B63137.htm")</f>
        <v>http://collections.slsa.sa.gov.au/mpcimg/63250/B63137.htm</v>
      </c>
    </row>
    <row r="4972" spans="1:11" x14ac:dyDescent="0.25">
      <c r="A4972" t="s">
        <v>17136</v>
      </c>
      <c r="B4972" s="1" t="str">
        <f>HYPERLINK("https://www.catalog.slsa.sa.gov.au/record=b2073602")</f>
        <v>https://www.catalog.slsa.sa.gov.au/record=b2073602</v>
      </c>
      <c r="C4972" s="1" t="str">
        <f>HYPERLINK("https://www.catalog.slsa.sa.gov.au/xrecord=b2073602")</f>
        <v>https://www.catalog.slsa.sa.gov.au/xrecord=b2073602</v>
      </c>
      <c r="D4972" t="s">
        <v>16432</v>
      </c>
      <c r="E4972" t="s">
        <v>17109</v>
      </c>
      <c r="F4972" t="s">
        <v>1926</v>
      </c>
      <c r="G4972" t="s">
        <v>17137</v>
      </c>
      <c r="H4972" t="s">
        <v>17138</v>
      </c>
      <c r="I4972" t="s">
        <v>17139</v>
      </c>
      <c r="J4972" t="s">
        <v>17113</v>
      </c>
      <c r="K4972" s="2" t="str">
        <f>HYPERLINK("http://collections.slsa.sa.gov.au/mpcimg/63250/B63138.htm")</f>
        <v>http://collections.slsa.sa.gov.au/mpcimg/63250/B63138.htm</v>
      </c>
    </row>
    <row r="4973" spans="1:11" x14ac:dyDescent="0.25">
      <c r="A4973" t="s">
        <v>17140</v>
      </c>
      <c r="B4973" s="1" t="str">
        <f>HYPERLINK("https://www.catalog.slsa.sa.gov.au/record=b2073603")</f>
        <v>https://www.catalog.slsa.sa.gov.au/record=b2073603</v>
      </c>
      <c r="C4973" s="1" t="str">
        <f>HYPERLINK("https://www.catalog.slsa.sa.gov.au/xrecord=b2073603")</f>
        <v>https://www.catalog.slsa.sa.gov.au/xrecord=b2073603</v>
      </c>
      <c r="E4973" t="s">
        <v>17141</v>
      </c>
      <c r="F4973" t="s">
        <v>1926</v>
      </c>
      <c r="G4973" t="s">
        <v>17110</v>
      </c>
      <c r="H4973" t="s">
        <v>17142</v>
      </c>
      <c r="I4973" t="s">
        <v>17143</v>
      </c>
      <c r="J4973" t="s">
        <v>17144</v>
      </c>
      <c r="K4973" s="2" t="str">
        <f>HYPERLINK("http://collections.slsa.sa.gov.au/mpcimg/63250/B63139.htm")</f>
        <v>http://collections.slsa.sa.gov.au/mpcimg/63250/B63139.htm</v>
      </c>
    </row>
    <row r="4974" spans="1:11" x14ac:dyDescent="0.25">
      <c r="A4974" t="s">
        <v>17145</v>
      </c>
      <c r="B4974" s="1" t="str">
        <f>HYPERLINK("https://www.catalog.slsa.sa.gov.au/record=b2073604")</f>
        <v>https://www.catalog.slsa.sa.gov.au/record=b2073604</v>
      </c>
      <c r="C4974" s="1" t="str">
        <f>HYPERLINK("https://www.catalog.slsa.sa.gov.au/xrecord=b2073604")</f>
        <v>https://www.catalog.slsa.sa.gov.au/xrecord=b2073604</v>
      </c>
      <c r="D4974" t="s">
        <v>16432</v>
      </c>
      <c r="E4974" t="s">
        <v>17146</v>
      </c>
      <c r="F4974" t="s">
        <v>1926</v>
      </c>
      <c r="G4974" t="s">
        <v>17147</v>
      </c>
      <c r="H4974" t="s">
        <v>17148</v>
      </c>
      <c r="I4974" t="s">
        <v>17149</v>
      </c>
      <c r="J4974" t="s">
        <v>17150</v>
      </c>
      <c r="K4974" s="2" t="str">
        <f>HYPERLINK("http://collections.slsa.sa.gov.au/mpcimg/63250/B63140.htm")</f>
        <v>http://collections.slsa.sa.gov.au/mpcimg/63250/B63140.htm</v>
      </c>
    </row>
    <row r="4975" spans="1:11" x14ac:dyDescent="0.25">
      <c r="A4975" t="s">
        <v>17151</v>
      </c>
      <c r="B4975" s="1" t="str">
        <f>HYPERLINK("https://www.catalog.slsa.sa.gov.au/record=b2073606")</f>
        <v>https://www.catalog.slsa.sa.gov.au/record=b2073606</v>
      </c>
      <c r="C4975" s="1" t="str">
        <f>HYPERLINK("https://www.catalog.slsa.sa.gov.au/xrecord=b2073606")</f>
        <v>https://www.catalog.slsa.sa.gov.au/xrecord=b2073606</v>
      </c>
      <c r="D4975" t="s">
        <v>16432</v>
      </c>
      <c r="E4975" t="s">
        <v>17152</v>
      </c>
      <c r="F4975" t="s">
        <v>1926</v>
      </c>
      <c r="G4975" t="s">
        <v>17147</v>
      </c>
      <c r="H4975" t="s">
        <v>17153</v>
      </c>
      <c r="I4975" t="s">
        <v>17154</v>
      </c>
      <c r="J4975" t="s">
        <v>17155</v>
      </c>
      <c r="K4975" s="2" t="str">
        <f>HYPERLINK("http://collections.slsa.sa.gov.au/mpcimg/63250/B63141.htm")</f>
        <v>http://collections.slsa.sa.gov.au/mpcimg/63250/B63141.htm</v>
      </c>
    </row>
    <row r="4976" spans="1:11" x14ac:dyDescent="0.25">
      <c r="A4976" t="s">
        <v>17156</v>
      </c>
      <c r="B4976" s="1" t="str">
        <f>HYPERLINK("https://www.catalog.slsa.sa.gov.au/record=b2073607")</f>
        <v>https://www.catalog.slsa.sa.gov.au/record=b2073607</v>
      </c>
      <c r="C4976" s="1" t="str">
        <f>HYPERLINK("https://www.catalog.slsa.sa.gov.au/xrecord=b2073607")</f>
        <v>https://www.catalog.slsa.sa.gov.au/xrecord=b2073607</v>
      </c>
      <c r="E4976" t="s">
        <v>17157</v>
      </c>
      <c r="F4976" t="s">
        <v>1926</v>
      </c>
      <c r="G4976" t="s">
        <v>17158</v>
      </c>
      <c r="H4976" t="s">
        <v>17159</v>
      </c>
      <c r="I4976" t="s">
        <v>17160</v>
      </c>
      <c r="J4976" t="s">
        <v>16812</v>
      </c>
      <c r="K4976" s="2" t="str">
        <f>HYPERLINK("http://collections.slsa.sa.gov.au/mpcimg/63250/B63142.htm")</f>
        <v>http://collections.slsa.sa.gov.au/mpcimg/63250/B63142.htm</v>
      </c>
    </row>
    <row r="4977" spans="1:11" x14ac:dyDescent="0.25">
      <c r="A4977" t="s">
        <v>17161</v>
      </c>
      <c r="B4977" s="1" t="str">
        <f>HYPERLINK("https://www.catalog.slsa.sa.gov.au/record=b2073608")</f>
        <v>https://www.catalog.slsa.sa.gov.au/record=b2073608</v>
      </c>
      <c r="C4977" s="1" t="str">
        <f>HYPERLINK("https://www.catalog.slsa.sa.gov.au/xrecord=b2073608")</f>
        <v>https://www.catalog.slsa.sa.gov.au/xrecord=b2073608</v>
      </c>
      <c r="D4977" t="s">
        <v>16432</v>
      </c>
      <c r="E4977" t="s">
        <v>17146</v>
      </c>
      <c r="F4977" t="s">
        <v>1926</v>
      </c>
      <c r="G4977" t="s">
        <v>17162</v>
      </c>
      <c r="H4977" t="s">
        <v>17163</v>
      </c>
      <c r="I4977" t="s">
        <v>17164</v>
      </c>
      <c r="J4977" t="s">
        <v>17150</v>
      </c>
      <c r="K4977" s="2" t="str">
        <f>HYPERLINK("http://collections.slsa.sa.gov.au/mpcimg/63250/B63143.htm")</f>
        <v>http://collections.slsa.sa.gov.au/mpcimg/63250/B63143.htm</v>
      </c>
    </row>
    <row r="4978" spans="1:11" x14ac:dyDescent="0.25">
      <c r="A4978" t="s">
        <v>17165</v>
      </c>
      <c r="B4978" s="1" t="str">
        <f>HYPERLINK("https://www.catalog.slsa.sa.gov.au/record=b2073609")</f>
        <v>https://www.catalog.slsa.sa.gov.au/record=b2073609</v>
      </c>
      <c r="C4978" s="1" t="str">
        <f>HYPERLINK("https://www.catalog.slsa.sa.gov.au/xrecord=b2073609")</f>
        <v>https://www.catalog.slsa.sa.gov.au/xrecord=b2073609</v>
      </c>
      <c r="D4978" t="s">
        <v>16432</v>
      </c>
      <c r="E4978" t="s">
        <v>17166</v>
      </c>
      <c r="F4978" t="s">
        <v>1926</v>
      </c>
      <c r="G4978" t="s">
        <v>17167</v>
      </c>
      <c r="H4978" t="s">
        <v>17168</v>
      </c>
      <c r="I4978" t="s">
        <v>17169</v>
      </c>
      <c r="J4978" t="s">
        <v>17113</v>
      </c>
      <c r="K4978" s="2" t="str">
        <f>HYPERLINK("http://collections.slsa.sa.gov.au/mpcimg/63250/B63144.htm")</f>
        <v>http://collections.slsa.sa.gov.au/mpcimg/63250/B63144.htm</v>
      </c>
    </row>
    <row r="4979" spans="1:11" x14ac:dyDescent="0.25">
      <c r="A4979" t="s">
        <v>17170</v>
      </c>
      <c r="B4979" s="1" t="str">
        <f>HYPERLINK("https://www.catalog.slsa.sa.gov.au/record=b2073610")</f>
        <v>https://www.catalog.slsa.sa.gov.au/record=b2073610</v>
      </c>
      <c r="C4979" s="1" t="str">
        <f>HYPERLINK("https://www.catalog.slsa.sa.gov.au/xrecord=b2073610")</f>
        <v>https://www.catalog.slsa.sa.gov.au/xrecord=b2073610</v>
      </c>
      <c r="D4979" t="s">
        <v>16432</v>
      </c>
      <c r="E4979" t="s">
        <v>17146</v>
      </c>
      <c r="F4979" t="s">
        <v>1926</v>
      </c>
      <c r="G4979" t="s">
        <v>17147</v>
      </c>
      <c r="H4979" t="s">
        <v>17171</v>
      </c>
      <c r="I4979" t="s">
        <v>17164</v>
      </c>
      <c r="J4979" t="s">
        <v>17150</v>
      </c>
      <c r="K4979" s="2" t="str">
        <f>HYPERLINK("http://collections.slsa.sa.gov.au/mpcimg/63250/B63145.htm")</f>
        <v>http://collections.slsa.sa.gov.au/mpcimg/63250/B63145.htm</v>
      </c>
    </row>
    <row r="4980" spans="1:11" x14ac:dyDescent="0.25">
      <c r="A4980" t="s">
        <v>17172</v>
      </c>
      <c r="B4980" s="1" t="str">
        <f>HYPERLINK("https://www.catalog.slsa.sa.gov.au/record=b2073611")</f>
        <v>https://www.catalog.slsa.sa.gov.au/record=b2073611</v>
      </c>
      <c r="C4980" s="1" t="str">
        <f>HYPERLINK("https://www.catalog.slsa.sa.gov.au/xrecord=b2073611")</f>
        <v>https://www.catalog.slsa.sa.gov.au/xrecord=b2073611</v>
      </c>
      <c r="D4980" t="s">
        <v>5929</v>
      </c>
      <c r="E4980" t="s">
        <v>6080</v>
      </c>
      <c r="F4980" t="s">
        <v>1926</v>
      </c>
      <c r="G4980" t="s">
        <v>17173</v>
      </c>
      <c r="H4980" t="s">
        <v>17174</v>
      </c>
      <c r="I4980" t="s">
        <v>17175</v>
      </c>
      <c r="J4980" t="s">
        <v>17176</v>
      </c>
      <c r="K4980" s="2" t="str">
        <f>HYPERLINK("http://collections.slsa.sa.gov.au/mpcimg/63250/B63146.htm")</f>
        <v>http://collections.slsa.sa.gov.au/mpcimg/63250/B63146.htm</v>
      </c>
    </row>
    <row r="4981" spans="1:11" x14ac:dyDescent="0.25">
      <c r="A4981" t="s">
        <v>17177</v>
      </c>
      <c r="B4981" s="1" t="str">
        <f>HYPERLINK("https://www.catalog.slsa.sa.gov.au/record=b2073612")</f>
        <v>https://www.catalog.slsa.sa.gov.au/record=b2073612</v>
      </c>
      <c r="C4981" s="1" t="str">
        <f>HYPERLINK("https://www.catalog.slsa.sa.gov.au/xrecord=b2073612")</f>
        <v>https://www.catalog.slsa.sa.gov.au/xrecord=b2073612</v>
      </c>
      <c r="D4981" t="s">
        <v>16432</v>
      </c>
      <c r="E4981" t="s">
        <v>17178</v>
      </c>
      <c r="F4981" t="s">
        <v>1926</v>
      </c>
      <c r="G4981" t="s">
        <v>17167</v>
      </c>
      <c r="H4981" t="s">
        <v>17179</v>
      </c>
      <c r="I4981" t="s">
        <v>17180</v>
      </c>
      <c r="J4981" t="s">
        <v>17181</v>
      </c>
      <c r="K4981" s="2" t="str">
        <f>HYPERLINK("http://collections.slsa.sa.gov.au/mpcimg/63250/B63147.htm")</f>
        <v>http://collections.slsa.sa.gov.au/mpcimg/63250/B63147.htm</v>
      </c>
    </row>
    <row r="4982" spans="1:11" x14ac:dyDescent="0.25">
      <c r="A4982" t="s">
        <v>17182</v>
      </c>
      <c r="B4982" s="1" t="str">
        <f>HYPERLINK("https://www.catalog.slsa.sa.gov.au/record=b2073613")</f>
        <v>https://www.catalog.slsa.sa.gov.au/record=b2073613</v>
      </c>
      <c r="C4982" s="1" t="str">
        <f>HYPERLINK("https://www.catalog.slsa.sa.gov.au/xrecord=b2073613")</f>
        <v>https://www.catalog.slsa.sa.gov.au/xrecord=b2073613</v>
      </c>
      <c r="E4982" t="s">
        <v>17109</v>
      </c>
      <c r="F4982" t="s">
        <v>1926</v>
      </c>
      <c r="G4982" t="s">
        <v>17183</v>
      </c>
      <c r="H4982" t="s">
        <v>17184</v>
      </c>
      <c r="I4982" t="s">
        <v>17185</v>
      </c>
      <c r="J4982" t="s">
        <v>16769</v>
      </c>
      <c r="K4982" s="2" t="str">
        <f>HYPERLINK("http://collections.slsa.sa.gov.au/mpcimg/63250/B63148.htm")</f>
        <v>http://collections.slsa.sa.gov.au/mpcimg/63250/B63148.htm</v>
      </c>
    </row>
    <row r="4983" spans="1:11" x14ac:dyDescent="0.25">
      <c r="A4983" t="s">
        <v>17186</v>
      </c>
      <c r="B4983" s="1" t="str">
        <f>HYPERLINK("https://www.catalog.slsa.sa.gov.au/record=b2073614")</f>
        <v>https://www.catalog.slsa.sa.gov.au/record=b2073614</v>
      </c>
      <c r="C4983" s="1" t="str">
        <f>HYPERLINK("https://www.catalog.slsa.sa.gov.au/xrecord=b2073614")</f>
        <v>https://www.catalog.slsa.sa.gov.au/xrecord=b2073614</v>
      </c>
      <c r="E4983" t="s">
        <v>3355</v>
      </c>
      <c r="F4983" t="s">
        <v>1926</v>
      </c>
      <c r="G4983" t="s">
        <v>17187</v>
      </c>
      <c r="H4983" t="s">
        <v>17188</v>
      </c>
      <c r="I4983" t="s">
        <v>17189</v>
      </c>
      <c r="J4983" t="s">
        <v>17190</v>
      </c>
      <c r="K4983" s="2" t="str">
        <f>HYPERLINK("http://collections.slsa.sa.gov.au/mpcimg/63250/B63149.htm")</f>
        <v>http://collections.slsa.sa.gov.au/mpcimg/63250/B63149.htm</v>
      </c>
    </row>
    <row r="4984" spans="1:11" x14ac:dyDescent="0.25">
      <c r="A4984" t="s">
        <v>17191</v>
      </c>
      <c r="B4984" s="1" t="str">
        <f>HYPERLINK("https://www.catalog.slsa.sa.gov.au/record=b2073615")</f>
        <v>https://www.catalog.slsa.sa.gov.au/record=b2073615</v>
      </c>
      <c r="C4984" s="1" t="str">
        <f>HYPERLINK("https://www.catalog.slsa.sa.gov.au/xrecord=b2073615")</f>
        <v>https://www.catalog.slsa.sa.gov.au/xrecord=b2073615</v>
      </c>
      <c r="E4984" t="s">
        <v>17141</v>
      </c>
      <c r="F4984" t="s">
        <v>1926</v>
      </c>
      <c r="G4984" t="s">
        <v>17147</v>
      </c>
      <c r="H4984" t="s">
        <v>17192</v>
      </c>
      <c r="I4984" t="s">
        <v>17193</v>
      </c>
      <c r="J4984" t="s">
        <v>17144</v>
      </c>
      <c r="K4984" s="2" t="str">
        <f>HYPERLINK("http://collections.slsa.sa.gov.au/mpcimg/63250/B63150.htm")</f>
        <v>http://collections.slsa.sa.gov.au/mpcimg/63250/B63150.htm</v>
      </c>
    </row>
    <row r="4985" spans="1:11" x14ac:dyDescent="0.25">
      <c r="A4985" t="s">
        <v>17194</v>
      </c>
      <c r="B4985" s="1" t="str">
        <f>HYPERLINK("https://www.catalog.slsa.sa.gov.au/record=b2073616")</f>
        <v>https://www.catalog.slsa.sa.gov.au/record=b2073616</v>
      </c>
      <c r="C4985" s="1" t="str">
        <f>HYPERLINK("https://www.catalog.slsa.sa.gov.au/xrecord=b2073616")</f>
        <v>https://www.catalog.slsa.sa.gov.au/xrecord=b2073616</v>
      </c>
      <c r="D4985" t="s">
        <v>16432</v>
      </c>
      <c r="E4985" t="s">
        <v>17195</v>
      </c>
      <c r="F4985" t="s">
        <v>1926</v>
      </c>
      <c r="G4985" t="s">
        <v>17196</v>
      </c>
      <c r="H4985" t="s">
        <v>17197</v>
      </c>
      <c r="I4985" t="s">
        <v>17198</v>
      </c>
      <c r="J4985" t="s">
        <v>16845</v>
      </c>
      <c r="K4985" s="2" t="str">
        <f>HYPERLINK("http://collections.slsa.sa.gov.au/mpcimg/63250/B63151.htm")</f>
        <v>http://collections.slsa.sa.gov.au/mpcimg/63250/B63151.htm</v>
      </c>
    </row>
    <row r="4986" spans="1:11" x14ac:dyDescent="0.25">
      <c r="A4986" t="s">
        <v>17199</v>
      </c>
      <c r="B4986" s="1" t="str">
        <f>HYPERLINK("https://www.catalog.slsa.sa.gov.au/record=b2073617")</f>
        <v>https://www.catalog.slsa.sa.gov.au/record=b2073617</v>
      </c>
      <c r="C4986" s="1" t="str">
        <f>HYPERLINK("https://www.catalog.slsa.sa.gov.au/xrecord=b2073617")</f>
        <v>https://www.catalog.slsa.sa.gov.au/xrecord=b2073617</v>
      </c>
      <c r="E4986" t="s">
        <v>17200</v>
      </c>
      <c r="F4986" t="s">
        <v>1926</v>
      </c>
      <c r="G4986" t="s">
        <v>17201</v>
      </c>
      <c r="H4986" t="s">
        <v>17202</v>
      </c>
      <c r="I4986" t="s">
        <v>17203</v>
      </c>
      <c r="J4986" t="s">
        <v>17204</v>
      </c>
      <c r="K4986" s="2" t="str">
        <f>HYPERLINK("http://collections.slsa.sa.gov.au/mpcimg/63250/B63152.htm")</f>
        <v>http://collections.slsa.sa.gov.au/mpcimg/63250/B63152.htm</v>
      </c>
    </row>
    <row r="4987" spans="1:11" x14ac:dyDescent="0.25">
      <c r="A4987" t="s">
        <v>17205</v>
      </c>
      <c r="B4987" s="1" t="str">
        <f>HYPERLINK("https://www.catalog.slsa.sa.gov.au/record=b2073618")</f>
        <v>https://www.catalog.slsa.sa.gov.au/record=b2073618</v>
      </c>
      <c r="C4987" s="1" t="str">
        <f>HYPERLINK("https://www.catalog.slsa.sa.gov.au/xrecord=b2073618")</f>
        <v>https://www.catalog.slsa.sa.gov.au/xrecord=b2073618</v>
      </c>
      <c r="E4987" t="s">
        <v>17206</v>
      </c>
      <c r="F4987" t="s">
        <v>1926</v>
      </c>
      <c r="G4987" t="s">
        <v>17207</v>
      </c>
      <c r="H4987" t="s">
        <v>17208</v>
      </c>
      <c r="I4987" t="s">
        <v>17209</v>
      </c>
      <c r="J4987" t="s">
        <v>16421</v>
      </c>
      <c r="K4987" s="2" t="str">
        <f>HYPERLINK("http://collections.slsa.sa.gov.au/mpcimg/63250/B63153.htm")</f>
        <v>http://collections.slsa.sa.gov.au/mpcimg/63250/B63153.htm</v>
      </c>
    </row>
    <row r="4988" spans="1:11" x14ac:dyDescent="0.25">
      <c r="A4988" t="s">
        <v>17210</v>
      </c>
      <c r="B4988" s="1" t="str">
        <f>HYPERLINK("https://www.catalog.slsa.sa.gov.au/record=b2073619")</f>
        <v>https://www.catalog.slsa.sa.gov.au/record=b2073619</v>
      </c>
      <c r="C4988" s="1" t="str">
        <f>HYPERLINK("https://www.catalog.slsa.sa.gov.au/xrecord=b2073619")</f>
        <v>https://www.catalog.slsa.sa.gov.au/xrecord=b2073619</v>
      </c>
      <c r="E4988" t="s">
        <v>17211</v>
      </c>
      <c r="F4988" t="s">
        <v>1926</v>
      </c>
      <c r="G4988" t="s">
        <v>17212</v>
      </c>
      <c r="H4988" t="s">
        <v>17213</v>
      </c>
      <c r="I4988" t="s">
        <v>17214</v>
      </c>
      <c r="J4988" t="s">
        <v>16421</v>
      </c>
      <c r="K4988" s="2" t="str">
        <f>HYPERLINK("http://collections.slsa.sa.gov.au/mpcimg/63250/B63154.htm")</f>
        <v>http://collections.slsa.sa.gov.au/mpcimg/63250/B63154.htm</v>
      </c>
    </row>
    <row r="4989" spans="1:11" x14ac:dyDescent="0.25">
      <c r="A4989" t="s">
        <v>17215</v>
      </c>
      <c r="B4989" s="1" t="str">
        <f>HYPERLINK("https://www.catalog.slsa.sa.gov.au/record=b2073620")</f>
        <v>https://www.catalog.slsa.sa.gov.au/record=b2073620</v>
      </c>
      <c r="C4989" s="1" t="str">
        <f>HYPERLINK("https://www.catalog.slsa.sa.gov.au/xrecord=b2073620")</f>
        <v>https://www.catalog.slsa.sa.gov.au/xrecord=b2073620</v>
      </c>
      <c r="E4989" t="s">
        <v>17216</v>
      </c>
      <c r="F4989" t="s">
        <v>1926</v>
      </c>
      <c r="G4989" t="s">
        <v>17217</v>
      </c>
      <c r="H4989" t="s">
        <v>17218</v>
      </c>
      <c r="I4989" t="s">
        <v>17219</v>
      </c>
      <c r="J4989" t="s">
        <v>16421</v>
      </c>
      <c r="K4989" s="2" t="str">
        <f>HYPERLINK("http://collections.slsa.sa.gov.au/mpcimg/63250/B63155.htm")</f>
        <v>http://collections.slsa.sa.gov.au/mpcimg/63250/B63155.htm</v>
      </c>
    </row>
    <row r="4990" spans="1:11" x14ac:dyDescent="0.25">
      <c r="A4990" t="s">
        <v>17220</v>
      </c>
      <c r="B4990" s="1" t="str">
        <f>HYPERLINK("https://www.catalog.slsa.sa.gov.au/record=b2073621")</f>
        <v>https://www.catalog.slsa.sa.gov.au/record=b2073621</v>
      </c>
      <c r="C4990" s="1" t="str">
        <f>HYPERLINK("https://www.catalog.slsa.sa.gov.au/xrecord=b2073621")</f>
        <v>https://www.catalog.slsa.sa.gov.au/xrecord=b2073621</v>
      </c>
      <c r="E4990" t="s">
        <v>17221</v>
      </c>
      <c r="F4990" t="s">
        <v>1926</v>
      </c>
      <c r="G4990" t="s">
        <v>17222</v>
      </c>
      <c r="H4990" t="s">
        <v>17223</v>
      </c>
      <c r="I4990" t="s">
        <v>17224</v>
      </c>
      <c r="J4990" t="s">
        <v>16421</v>
      </c>
      <c r="K4990" s="2" t="str">
        <f>HYPERLINK("http://collections.slsa.sa.gov.au/mpcimg/63250/B63156.htm")</f>
        <v>http://collections.slsa.sa.gov.au/mpcimg/63250/B63156.htm</v>
      </c>
    </row>
    <row r="4991" spans="1:11" x14ac:dyDescent="0.25">
      <c r="A4991" t="s">
        <v>17225</v>
      </c>
      <c r="B4991" s="1" t="str">
        <f>HYPERLINK("https://www.catalog.slsa.sa.gov.au/record=b2073622")</f>
        <v>https://www.catalog.slsa.sa.gov.au/record=b2073622</v>
      </c>
      <c r="C4991" s="1" t="str">
        <f>HYPERLINK("https://www.catalog.slsa.sa.gov.au/xrecord=b2073622")</f>
        <v>https://www.catalog.slsa.sa.gov.au/xrecord=b2073622</v>
      </c>
      <c r="E4991" t="s">
        <v>17226</v>
      </c>
      <c r="F4991" t="s">
        <v>1926</v>
      </c>
      <c r="G4991" t="s">
        <v>17227</v>
      </c>
      <c r="H4991" t="s">
        <v>17228</v>
      </c>
      <c r="I4991" t="s">
        <v>17229</v>
      </c>
      <c r="J4991" t="s">
        <v>16421</v>
      </c>
      <c r="K4991" s="2" t="str">
        <f>HYPERLINK("http://collections.slsa.sa.gov.au/mpcimg/63250/B63157.htm")</f>
        <v>http://collections.slsa.sa.gov.au/mpcimg/63250/B63157.htm</v>
      </c>
    </row>
    <row r="4992" spans="1:11" x14ac:dyDescent="0.25">
      <c r="A4992" t="s">
        <v>17230</v>
      </c>
      <c r="B4992" s="1" t="str">
        <f>HYPERLINK("https://www.catalog.slsa.sa.gov.au/record=b2073623")</f>
        <v>https://www.catalog.slsa.sa.gov.au/record=b2073623</v>
      </c>
      <c r="C4992" s="1" t="str">
        <f>HYPERLINK("https://www.catalog.slsa.sa.gov.au/xrecord=b2073623")</f>
        <v>https://www.catalog.slsa.sa.gov.au/xrecord=b2073623</v>
      </c>
      <c r="E4992" t="s">
        <v>17231</v>
      </c>
      <c r="F4992" t="s">
        <v>1926</v>
      </c>
      <c r="G4992" t="s">
        <v>17227</v>
      </c>
      <c r="H4992" t="s">
        <v>17232</v>
      </c>
      <c r="I4992" t="s">
        <v>17233</v>
      </c>
      <c r="J4992" t="s">
        <v>16421</v>
      </c>
      <c r="K4992" s="2" t="str">
        <f>HYPERLINK("http://collections.slsa.sa.gov.au/mpcimg/63250/B63158.htm")</f>
        <v>http://collections.slsa.sa.gov.au/mpcimg/63250/B63158.htm</v>
      </c>
    </row>
    <row r="4993" spans="1:11" x14ac:dyDescent="0.25">
      <c r="A4993" t="s">
        <v>17234</v>
      </c>
      <c r="B4993" s="1" t="str">
        <f>HYPERLINK("https://www.catalog.slsa.sa.gov.au/record=b2073624")</f>
        <v>https://www.catalog.slsa.sa.gov.au/record=b2073624</v>
      </c>
      <c r="C4993" s="1" t="str">
        <f>HYPERLINK("https://www.catalog.slsa.sa.gov.au/xrecord=b2073624")</f>
        <v>https://www.catalog.slsa.sa.gov.au/xrecord=b2073624</v>
      </c>
      <c r="E4993" t="s">
        <v>17235</v>
      </c>
      <c r="F4993" t="s">
        <v>1926</v>
      </c>
      <c r="G4993" t="s">
        <v>17236</v>
      </c>
      <c r="H4993" t="s">
        <v>17237</v>
      </c>
      <c r="I4993" t="s">
        <v>17238</v>
      </c>
      <c r="J4993" t="s">
        <v>16421</v>
      </c>
      <c r="K4993" s="2" t="str">
        <f>HYPERLINK("http://collections.slsa.sa.gov.au/mpcimg/63250/B63159.htm")</f>
        <v>http://collections.slsa.sa.gov.au/mpcimg/63250/B63159.htm</v>
      </c>
    </row>
    <row r="4994" spans="1:11" x14ac:dyDescent="0.25">
      <c r="A4994" t="s">
        <v>17239</v>
      </c>
      <c r="B4994" s="1" t="str">
        <f>HYPERLINK("https://www.catalog.slsa.sa.gov.au/record=b2073625")</f>
        <v>https://www.catalog.slsa.sa.gov.au/record=b2073625</v>
      </c>
      <c r="C4994" s="1" t="str">
        <f>HYPERLINK("https://www.catalog.slsa.sa.gov.au/xrecord=b2073625")</f>
        <v>https://www.catalog.slsa.sa.gov.au/xrecord=b2073625</v>
      </c>
      <c r="E4994" t="s">
        <v>17240</v>
      </c>
      <c r="F4994" t="s">
        <v>1926</v>
      </c>
      <c r="G4994" t="s">
        <v>17241</v>
      </c>
      <c r="H4994" t="s">
        <v>17242</v>
      </c>
      <c r="I4994" t="s">
        <v>17243</v>
      </c>
      <c r="J4994" t="s">
        <v>16421</v>
      </c>
      <c r="K4994" s="2" t="str">
        <f>HYPERLINK("http://collections.slsa.sa.gov.au/mpcimg/63250/B63160.htm")</f>
        <v>http://collections.slsa.sa.gov.au/mpcimg/63250/B63160.htm</v>
      </c>
    </row>
    <row r="4995" spans="1:11" x14ac:dyDescent="0.25">
      <c r="A4995" t="s">
        <v>17244</v>
      </c>
      <c r="B4995" s="1" t="str">
        <f>HYPERLINK("https://www.catalog.slsa.sa.gov.au/record=b2073626")</f>
        <v>https://www.catalog.slsa.sa.gov.au/record=b2073626</v>
      </c>
      <c r="C4995" s="1" t="str">
        <f>HYPERLINK("https://www.catalog.slsa.sa.gov.au/xrecord=b2073626")</f>
        <v>https://www.catalog.slsa.sa.gov.au/xrecord=b2073626</v>
      </c>
      <c r="E4995" t="s">
        <v>17245</v>
      </c>
      <c r="F4995" t="s">
        <v>1926</v>
      </c>
      <c r="G4995" t="s">
        <v>17227</v>
      </c>
      <c r="H4995" t="s">
        <v>17246</v>
      </c>
      <c r="I4995" t="s">
        <v>17247</v>
      </c>
      <c r="J4995" t="s">
        <v>17248</v>
      </c>
      <c r="K4995" s="2" t="str">
        <f>HYPERLINK("http://collections.slsa.sa.gov.au/mpcimg/63250/B63161.htm")</f>
        <v>http://collections.slsa.sa.gov.au/mpcimg/63250/B63161.htm</v>
      </c>
    </row>
    <row r="4996" spans="1:11" x14ac:dyDescent="0.25">
      <c r="A4996" t="s">
        <v>17249</v>
      </c>
      <c r="B4996" s="1" t="str">
        <f>HYPERLINK("https://www.catalog.slsa.sa.gov.au/record=b2073627")</f>
        <v>https://www.catalog.slsa.sa.gov.au/record=b2073627</v>
      </c>
      <c r="C4996" s="1" t="str">
        <f>HYPERLINK("https://www.catalog.slsa.sa.gov.au/xrecord=b2073627")</f>
        <v>https://www.catalog.slsa.sa.gov.au/xrecord=b2073627</v>
      </c>
      <c r="E4996" t="s">
        <v>17250</v>
      </c>
      <c r="F4996" t="s">
        <v>1926</v>
      </c>
      <c r="G4996" t="s">
        <v>17227</v>
      </c>
      <c r="H4996" t="s">
        <v>17251</v>
      </c>
      <c r="I4996" t="s">
        <v>17252</v>
      </c>
      <c r="J4996" t="s">
        <v>17253</v>
      </c>
      <c r="K4996" s="2" t="str">
        <f>HYPERLINK("http://collections.slsa.sa.gov.au/mpcimg/63250/B63162.htm")</f>
        <v>http://collections.slsa.sa.gov.au/mpcimg/63250/B63162.htm</v>
      </c>
    </row>
    <row r="4997" spans="1:11" x14ac:dyDescent="0.25">
      <c r="A4997" t="s">
        <v>17254</v>
      </c>
      <c r="B4997" s="1" t="str">
        <f>HYPERLINK("https://www.catalog.slsa.sa.gov.au/record=b2073628")</f>
        <v>https://www.catalog.slsa.sa.gov.au/record=b2073628</v>
      </c>
      <c r="C4997" s="1" t="str">
        <f>HYPERLINK("https://www.catalog.slsa.sa.gov.au/xrecord=b2073628")</f>
        <v>https://www.catalog.slsa.sa.gov.au/xrecord=b2073628</v>
      </c>
      <c r="D4997" t="s">
        <v>16432</v>
      </c>
      <c r="E4997" t="s">
        <v>17255</v>
      </c>
      <c r="F4997" t="s">
        <v>1926</v>
      </c>
      <c r="G4997" t="s">
        <v>17256</v>
      </c>
      <c r="H4997" t="s">
        <v>17257</v>
      </c>
      <c r="I4997" t="s">
        <v>17258</v>
      </c>
      <c r="J4997" t="s">
        <v>16617</v>
      </c>
      <c r="K4997" s="2" t="str">
        <f>HYPERLINK("http://collections.slsa.sa.gov.au/mpcimg/63250/B63163.htm")</f>
        <v>http://collections.slsa.sa.gov.au/mpcimg/63250/B63163.htm</v>
      </c>
    </row>
    <row r="4998" spans="1:11" x14ac:dyDescent="0.25">
      <c r="A4998" t="s">
        <v>17259</v>
      </c>
      <c r="B4998" s="1" t="str">
        <f>HYPERLINK("https://www.catalog.slsa.sa.gov.au/record=b2073629")</f>
        <v>https://www.catalog.slsa.sa.gov.au/record=b2073629</v>
      </c>
      <c r="C4998" s="1" t="str">
        <f>HYPERLINK("https://www.catalog.slsa.sa.gov.au/xrecord=b2073629")</f>
        <v>https://www.catalog.slsa.sa.gov.au/xrecord=b2073629</v>
      </c>
      <c r="E4998" t="s">
        <v>17260</v>
      </c>
      <c r="F4998" t="s">
        <v>1926</v>
      </c>
      <c r="G4998" t="s">
        <v>17261</v>
      </c>
      <c r="H4998" t="s">
        <v>17262</v>
      </c>
      <c r="I4998" t="s">
        <v>17263</v>
      </c>
      <c r="J4998" t="s">
        <v>16617</v>
      </c>
      <c r="K4998" s="2" t="str">
        <f>HYPERLINK("http://collections.slsa.sa.gov.au/mpcimg/63250/B63164.htm")</f>
        <v>http://collections.slsa.sa.gov.au/mpcimg/63250/B63164.htm</v>
      </c>
    </row>
    <row r="4999" spans="1:11" x14ac:dyDescent="0.25">
      <c r="A4999" t="s">
        <v>17264</v>
      </c>
      <c r="B4999" s="1" t="str">
        <f>HYPERLINK("https://www.catalog.slsa.sa.gov.au/record=b2073630")</f>
        <v>https://www.catalog.slsa.sa.gov.au/record=b2073630</v>
      </c>
      <c r="C4999" s="1" t="str">
        <f>HYPERLINK("https://www.catalog.slsa.sa.gov.au/xrecord=b2073630")</f>
        <v>https://www.catalog.slsa.sa.gov.au/xrecord=b2073630</v>
      </c>
      <c r="E4999" t="s">
        <v>17265</v>
      </c>
      <c r="F4999" t="s">
        <v>1926</v>
      </c>
      <c r="G4999" t="s">
        <v>17266</v>
      </c>
      <c r="H4999" t="s">
        <v>17267</v>
      </c>
      <c r="I4999" t="s">
        <v>17268</v>
      </c>
      <c r="J4999" t="s">
        <v>16617</v>
      </c>
      <c r="K4999" s="2" t="str">
        <f>HYPERLINK("http://collections.slsa.sa.gov.au/mpcimg/63250/B63165.htm")</f>
        <v>http://collections.slsa.sa.gov.au/mpcimg/63250/B63165.htm</v>
      </c>
    </row>
    <row r="5000" spans="1:11" x14ac:dyDescent="0.25">
      <c r="A5000" t="s">
        <v>17269</v>
      </c>
      <c r="B5000" s="1" t="str">
        <f>HYPERLINK("https://www.catalog.slsa.sa.gov.au/record=b2073631")</f>
        <v>https://www.catalog.slsa.sa.gov.au/record=b2073631</v>
      </c>
      <c r="C5000" s="1" t="str">
        <f>HYPERLINK("https://www.catalog.slsa.sa.gov.au/xrecord=b2073631")</f>
        <v>https://www.catalog.slsa.sa.gov.au/xrecord=b2073631</v>
      </c>
      <c r="E5000" t="s">
        <v>17270</v>
      </c>
      <c r="F5000" t="s">
        <v>1926</v>
      </c>
      <c r="G5000" t="s">
        <v>17261</v>
      </c>
      <c r="H5000" t="s">
        <v>17271</v>
      </c>
      <c r="I5000" t="s">
        <v>17272</v>
      </c>
      <c r="J5000" t="s">
        <v>17273</v>
      </c>
      <c r="K5000" s="2" t="str">
        <f>HYPERLINK("http://collections.slsa.sa.gov.au/mpcimg/63250/B63166.htm")</f>
        <v>http://collections.slsa.sa.gov.au/mpcimg/63250/B63166.htm</v>
      </c>
    </row>
    <row r="5001" spans="1:11" x14ac:dyDescent="0.25">
      <c r="A5001" t="s">
        <v>17274</v>
      </c>
      <c r="B5001" s="1" t="str">
        <f>HYPERLINK("https://www.catalog.slsa.sa.gov.au/record=b2073632")</f>
        <v>https://www.catalog.slsa.sa.gov.au/record=b2073632</v>
      </c>
      <c r="C5001" s="1" t="str">
        <f>HYPERLINK("https://www.catalog.slsa.sa.gov.au/xrecord=b2073632")</f>
        <v>https://www.catalog.slsa.sa.gov.au/xrecord=b2073632</v>
      </c>
      <c r="D5001" t="s">
        <v>16432</v>
      </c>
      <c r="E5001" t="s">
        <v>17275</v>
      </c>
      <c r="F5001" t="s">
        <v>1926</v>
      </c>
      <c r="G5001" t="s">
        <v>17276</v>
      </c>
      <c r="H5001" t="s">
        <v>17277</v>
      </c>
      <c r="I5001" t="s">
        <v>17278</v>
      </c>
      <c r="J5001" t="s">
        <v>16617</v>
      </c>
      <c r="K5001" s="2" t="str">
        <f>HYPERLINK("http://collections.slsa.sa.gov.au/mpcimg/63250/B63167.htm")</f>
        <v>http://collections.slsa.sa.gov.au/mpcimg/63250/B63167.htm</v>
      </c>
    </row>
    <row r="5002" spans="1:11" x14ac:dyDescent="0.25">
      <c r="A5002" t="s">
        <v>17279</v>
      </c>
      <c r="B5002" s="1" t="str">
        <f>HYPERLINK("https://www.catalog.slsa.sa.gov.au/record=b2073991")</f>
        <v>https://www.catalog.slsa.sa.gov.au/record=b2073991</v>
      </c>
      <c r="C5002" s="1" t="str">
        <f>HYPERLINK("https://www.catalog.slsa.sa.gov.au/xrecord=b2073991")</f>
        <v>https://www.catalog.slsa.sa.gov.au/xrecord=b2073991</v>
      </c>
      <c r="D5002" t="s">
        <v>17280</v>
      </c>
      <c r="E5002" t="s">
        <v>17281</v>
      </c>
      <c r="F5002" t="s">
        <v>1926</v>
      </c>
      <c r="G5002" t="s">
        <v>17282</v>
      </c>
      <c r="H5002" t="s">
        <v>17283</v>
      </c>
      <c r="I5002" t="s">
        <v>17284</v>
      </c>
      <c r="J5002" t="s">
        <v>17285</v>
      </c>
      <c r="K5002" s="2" t="str">
        <f>HYPERLINK("http://collections.slsa.sa.gov.au/mpcimg/63750/B63550.htm")</f>
        <v>http://collections.slsa.sa.gov.au/mpcimg/63750/B63550.htm</v>
      </c>
    </row>
    <row r="5003" spans="1:11" x14ac:dyDescent="0.25">
      <c r="A5003" t="s">
        <v>17286</v>
      </c>
      <c r="B5003" s="1" t="str">
        <f>HYPERLINK("https://www.catalog.slsa.sa.gov.au/record=b2073992")</f>
        <v>https://www.catalog.slsa.sa.gov.au/record=b2073992</v>
      </c>
      <c r="C5003" s="1" t="str">
        <f>HYPERLINK("https://www.catalog.slsa.sa.gov.au/xrecord=b2073992")</f>
        <v>https://www.catalog.slsa.sa.gov.au/xrecord=b2073992</v>
      </c>
      <c r="D5003" t="s">
        <v>17280</v>
      </c>
      <c r="E5003" t="s">
        <v>17281</v>
      </c>
      <c r="F5003" t="s">
        <v>1926</v>
      </c>
      <c r="G5003" t="s">
        <v>17287</v>
      </c>
      <c r="H5003" t="s">
        <v>17288</v>
      </c>
      <c r="I5003" t="s">
        <v>17284</v>
      </c>
      <c r="J5003" t="s">
        <v>17285</v>
      </c>
      <c r="K5003" s="2" t="str">
        <f>HYPERLINK("http://collections.slsa.sa.gov.au/mpcimg/63750/B63551.htm")</f>
        <v>http://collections.slsa.sa.gov.au/mpcimg/63750/B63551.htm</v>
      </c>
    </row>
    <row r="5004" spans="1:11" x14ac:dyDescent="0.25">
      <c r="A5004" t="s">
        <v>17289</v>
      </c>
      <c r="B5004" s="1" t="str">
        <f>HYPERLINK("https://www.catalog.slsa.sa.gov.au/record=b2073993")</f>
        <v>https://www.catalog.slsa.sa.gov.au/record=b2073993</v>
      </c>
      <c r="C5004" s="1" t="str">
        <f>HYPERLINK("https://www.catalog.slsa.sa.gov.au/xrecord=b2073993")</f>
        <v>https://www.catalog.slsa.sa.gov.au/xrecord=b2073993</v>
      </c>
      <c r="D5004" t="s">
        <v>17280</v>
      </c>
      <c r="E5004" t="s">
        <v>17281</v>
      </c>
      <c r="F5004" t="s">
        <v>1926</v>
      </c>
      <c r="G5004" t="s">
        <v>17290</v>
      </c>
      <c r="H5004" t="s">
        <v>17288</v>
      </c>
      <c r="I5004" t="s">
        <v>17284</v>
      </c>
      <c r="J5004" t="s">
        <v>17285</v>
      </c>
      <c r="K5004" s="2" t="str">
        <f>HYPERLINK("http://collections.slsa.sa.gov.au/mpcimg/63750/B63552.htm")</f>
        <v>http://collections.slsa.sa.gov.au/mpcimg/63750/B63552.htm</v>
      </c>
    </row>
    <row r="5005" spans="1:11" x14ac:dyDescent="0.25">
      <c r="A5005" t="s">
        <v>17291</v>
      </c>
      <c r="B5005" s="1" t="str">
        <f>HYPERLINK("https://www.catalog.slsa.sa.gov.au/record=b2073994")</f>
        <v>https://www.catalog.slsa.sa.gov.au/record=b2073994</v>
      </c>
      <c r="C5005" s="1" t="str">
        <f>HYPERLINK("https://www.catalog.slsa.sa.gov.au/xrecord=b2073994")</f>
        <v>https://www.catalog.slsa.sa.gov.au/xrecord=b2073994</v>
      </c>
      <c r="D5005" t="s">
        <v>17280</v>
      </c>
      <c r="E5005" t="s">
        <v>17281</v>
      </c>
      <c r="F5005" t="s">
        <v>1926</v>
      </c>
      <c r="G5005" t="s">
        <v>17292</v>
      </c>
      <c r="H5005" t="s">
        <v>17288</v>
      </c>
      <c r="I5005" t="s">
        <v>17284</v>
      </c>
      <c r="J5005" t="s">
        <v>17285</v>
      </c>
      <c r="K5005" s="2" t="str">
        <f>HYPERLINK("http://collections.slsa.sa.gov.au/mpcimg/63750/B63553.htm")</f>
        <v>http://collections.slsa.sa.gov.au/mpcimg/63750/B63553.htm</v>
      </c>
    </row>
    <row r="5006" spans="1:11" x14ac:dyDescent="0.25">
      <c r="A5006" t="s">
        <v>17293</v>
      </c>
      <c r="B5006" s="1" t="str">
        <f>HYPERLINK("https://www.catalog.slsa.sa.gov.au/record=b2074044")</f>
        <v>https://www.catalog.slsa.sa.gov.au/record=b2074044</v>
      </c>
      <c r="C5006" s="1" t="str">
        <f>HYPERLINK("https://www.catalog.slsa.sa.gov.au/xrecord=b2074044")</f>
        <v>https://www.catalog.slsa.sa.gov.au/xrecord=b2074044</v>
      </c>
      <c r="E5006" t="s">
        <v>17294</v>
      </c>
      <c r="F5006" t="s">
        <v>1926</v>
      </c>
      <c r="G5006" t="s">
        <v>17295</v>
      </c>
      <c r="H5006" t="s">
        <v>17296</v>
      </c>
      <c r="I5006" t="s">
        <v>17297</v>
      </c>
      <c r="J5006" t="s">
        <v>2510</v>
      </c>
      <c r="K5006" s="2" t="str">
        <f>HYPERLINK("http://collections.slsa.sa.gov.au/mpcimg/63750/B63501.htm")</f>
        <v>http://collections.slsa.sa.gov.au/mpcimg/63750/B63501.htm</v>
      </c>
    </row>
    <row r="5007" spans="1:11" x14ac:dyDescent="0.25">
      <c r="A5007" t="s">
        <v>17298</v>
      </c>
      <c r="B5007" s="1" t="str">
        <f>HYPERLINK("https://www.catalog.slsa.sa.gov.au/record=b2074993")</f>
        <v>https://www.catalog.slsa.sa.gov.au/record=b2074993</v>
      </c>
      <c r="C5007" s="1" t="str">
        <f>HYPERLINK("https://www.catalog.slsa.sa.gov.au/xrecord=b2074993")</f>
        <v>https://www.catalog.slsa.sa.gov.au/xrecord=b2074993</v>
      </c>
      <c r="E5007" t="s">
        <v>17299</v>
      </c>
      <c r="F5007" t="s">
        <v>1926</v>
      </c>
      <c r="G5007" t="s">
        <v>17300</v>
      </c>
      <c r="H5007" t="s">
        <v>17301</v>
      </c>
      <c r="I5007" t="s">
        <v>17302</v>
      </c>
      <c r="J5007" t="s">
        <v>17303</v>
      </c>
      <c r="K5007" s="2" t="str">
        <f>HYPERLINK("http://collections.slsa.sa.gov.au/mpcimg/62000/B61781.htm")</f>
        <v>http://collections.slsa.sa.gov.au/mpcimg/62000/B61781.htm</v>
      </c>
    </row>
    <row r="5008" spans="1:11" x14ac:dyDescent="0.25">
      <c r="A5008" t="s">
        <v>17304</v>
      </c>
      <c r="B5008" s="1" t="str">
        <f>HYPERLINK("https://www.catalog.slsa.sa.gov.au/record=b2075057")</f>
        <v>https://www.catalog.slsa.sa.gov.au/record=b2075057</v>
      </c>
      <c r="C5008" s="1" t="str">
        <f>HYPERLINK("https://www.catalog.slsa.sa.gov.au/xrecord=b2075057")</f>
        <v>https://www.catalog.slsa.sa.gov.au/xrecord=b2075057</v>
      </c>
      <c r="E5008" t="s">
        <v>17305</v>
      </c>
      <c r="F5008" t="s">
        <v>1926</v>
      </c>
      <c r="G5008" t="s">
        <v>17306</v>
      </c>
      <c r="H5008" t="s">
        <v>17307</v>
      </c>
      <c r="I5008" t="s">
        <v>17308</v>
      </c>
      <c r="J5008" t="s">
        <v>1809</v>
      </c>
      <c r="K5008" s="2" t="str">
        <f>HYPERLINK("http://collections.slsa.sa.gov.au/mpcimg/62000/B61845.htm")</f>
        <v>http://collections.slsa.sa.gov.au/mpcimg/62000/B61845.htm</v>
      </c>
    </row>
    <row r="5009" spans="1:11" x14ac:dyDescent="0.25">
      <c r="A5009" t="s">
        <v>17309</v>
      </c>
      <c r="B5009" s="1" t="str">
        <f>HYPERLINK("https://www.catalog.slsa.sa.gov.au/record=b2075158")</f>
        <v>https://www.catalog.slsa.sa.gov.au/record=b2075158</v>
      </c>
      <c r="C5009" s="1" t="str">
        <f>HYPERLINK("https://www.catalog.slsa.sa.gov.au/xrecord=b2075158")</f>
        <v>https://www.catalog.slsa.sa.gov.au/xrecord=b2075158</v>
      </c>
      <c r="E5009" t="s">
        <v>17310</v>
      </c>
      <c r="F5009" t="s">
        <v>1926</v>
      </c>
      <c r="G5009" t="s">
        <v>15269</v>
      </c>
      <c r="H5009" t="s">
        <v>17311</v>
      </c>
      <c r="I5009" t="s">
        <v>17312</v>
      </c>
      <c r="J5009" t="s">
        <v>1809</v>
      </c>
      <c r="K5009" s="2" t="str">
        <f>HYPERLINK("http://collections.slsa.sa.gov.au/mpcimg/62000/B61946.htm")</f>
        <v>http://collections.slsa.sa.gov.au/mpcimg/62000/B61946.htm</v>
      </c>
    </row>
    <row r="5010" spans="1:11" x14ac:dyDescent="0.25">
      <c r="A5010" t="s">
        <v>17313</v>
      </c>
      <c r="B5010" s="1" t="str">
        <f>HYPERLINK("https://www.catalog.slsa.sa.gov.au/record=b2075298")</f>
        <v>https://www.catalog.slsa.sa.gov.au/record=b2075298</v>
      </c>
      <c r="C5010" s="1" t="str">
        <f>HYPERLINK("https://www.catalog.slsa.sa.gov.au/xrecord=b2075298")</f>
        <v>https://www.catalog.slsa.sa.gov.au/xrecord=b2075298</v>
      </c>
      <c r="D5010" t="s">
        <v>17314</v>
      </c>
      <c r="E5010" t="s">
        <v>17315</v>
      </c>
      <c r="F5010" t="s">
        <v>1926</v>
      </c>
      <c r="G5010" t="s">
        <v>17316</v>
      </c>
      <c r="H5010" t="s">
        <v>17317</v>
      </c>
      <c r="I5010" t="s">
        <v>17318</v>
      </c>
      <c r="J5010" t="s">
        <v>2510</v>
      </c>
      <c r="K5010" s="2" t="str">
        <f>HYPERLINK("http://collections.slsa.sa.gov.au/mpcimg/62250/B62086.htm")</f>
        <v>http://collections.slsa.sa.gov.au/mpcimg/62250/B62086.htm</v>
      </c>
    </row>
    <row r="5011" spans="1:11" x14ac:dyDescent="0.25">
      <c r="A5011" t="s">
        <v>17319</v>
      </c>
      <c r="B5011" s="1" t="str">
        <f>HYPERLINK("https://www.catalog.slsa.sa.gov.au/record=b2075299")</f>
        <v>https://www.catalog.slsa.sa.gov.au/record=b2075299</v>
      </c>
      <c r="C5011" s="1" t="str">
        <f>HYPERLINK("https://www.catalog.slsa.sa.gov.au/xrecord=b2075299")</f>
        <v>https://www.catalog.slsa.sa.gov.au/xrecord=b2075299</v>
      </c>
      <c r="D5011" t="s">
        <v>17320</v>
      </c>
      <c r="E5011" t="s">
        <v>17315</v>
      </c>
      <c r="F5011" t="s">
        <v>1926</v>
      </c>
      <c r="G5011" t="s">
        <v>17321</v>
      </c>
      <c r="H5011" t="s">
        <v>17322</v>
      </c>
      <c r="I5011" t="s">
        <v>17318</v>
      </c>
      <c r="J5011" t="s">
        <v>2510</v>
      </c>
      <c r="K5011" s="2" t="str">
        <f>HYPERLINK("http://collections.slsa.sa.gov.au/mpcimg/62250/B62087.htm")</f>
        <v>http://collections.slsa.sa.gov.au/mpcimg/62250/B62087.htm</v>
      </c>
    </row>
    <row r="5012" spans="1:11" x14ac:dyDescent="0.25">
      <c r="A5012" t="s">
        <v>17323</v>
      </c>
      <c r="B5012" s="1" t="str">
        <f>HYPERLINK("https://www.catalog.slsa.sa.gov.au/record=b2075331")</f>
        <v>https://www.catalog.slsa.sa.gov.au/record=b2075331</v>
      </c>
      <c r="C5012" s="1" t="str">
        <f>HYPERLINK("https://www.catalog.slsa.sa.gov.au/xrecord=b2075331")</f>
        <v>https://www.catalog.slsa.sa.gov.au/xrecord=b2075331</v>
      </c>
      <c r="E5012" t="s">
        <v>17324</v>
      </c>
      <c r="F5012" t="s">
        <v>1926</v>
      </c>
      <c r="G5012" t="s">
        <v>15269</v>
      </c>
      <c r="H5012" t="s">
        <v>17325</v>
      </c>
      <c r="I5012" t="s">
        <v>17326</v>
      </c>
      <c r="J5012" t="s">
        <v>2510</v>
      </c>
      <c r="K5012" s="2" t="str">
        <f>HYPERLINK("http://collections.slsa.sa.gov.au/mpcimg/62250/B62121.htm")</f>
        <v>http://collections.slsa.sa.gov.au/mpcimg/62250/B62121.htm</v>
      </c>
    </row>
    <row r="5013" spans="1:11" x14ac:dyDescent="0.25">
      <c r="A5013" t="s">
        <v>17327</v>
      </c>
      <c r="B5013" s="1" t="str">
        <f>HYPERLINK("https://www.catalog.slsa.sa.gov.au/record=b2075332")</f>
        <v>https://www.catalog.slsa.sa.gov.au/record=b2075332</v>
      </c>
      <c r="C5013" s="1" t="str">
        <f>HYPERLINK("https://www.catalog.slsa.sa.gov.au/xrecord=b2075332")</f>
        <v>https://www.catalog.slsa.sa.gov.au/xrecord=b2075332</v>
      </c>
      <c r="E5013" t="s">
        <v>17324</v>
      </c>
      <c r="F5013" t="s">
        <v>1926</v>
      </c>
      <c r="G5013" t="s">
        <v>15269</v>
      </c>
      <c r="H5013" t="s">
        <v>17328</v>
      </c>
      <c r="I5013" t="s">
        <v>17326</v>
      </c>
      <c r="J5013" t="s">
        <v>2510</v>
      </c>
      <c r="K5013" s="2" t="str">
        <f>HYPERLINK("http://collections.slsa.sa.gov.au/mpcimg/62250/B62122.htm")</f>
        <v>http://collections.slsa.sa.gov.au/mpcimg/62250/B62122.htm</v>
      </c>
    </row>
    <row r="5014" spans="1:11" x14ac:dyDescent="0.25">
      <c r="A5014" t="s">
        <v>17329</v>
      </c>
      <c r="B5014" s="1" t="str">
        <f>HYPERLINK("https://www.catalog.slsa.sa.gov.au/record=b2075333")</f>
        <v>https://www.catalog.slsa.sa.gov.au/record=b2075333</v>
      </c>
      <c r="C5014" s="1" t="str">
        <f>HYPERLINK("https://www.catalog.slsa.sa.gov.au/xrecord=b2075333")</f>
        <v>https://www.catalog.slsa.sa.gov.au/xrecord=b2075333</v>
      </c>
      <c r="E5014" t="s">
        <v>17324</v>
      </c>
      <c r="F5014" t="s">
        <v>1926</v>
      </c>
      <c r="G5014" t="s">
        <v>15269</v>
      </c>
      <c r="H5014" t="s">
        <v>17330</v>
      </c>
      <c r="I5014" t="s">
        <v>17326</v>
      </c>
      <c r="J5014" t="s">
        <v>2510</v>
      </c>
      <c r="K5014" s="2" t="str">
        <f>HYPERLINK("http://collections.slsa.sa.gov.au/mpcimg/62250/B62123.htm")</f>
        <v>http://collections.slsa.sa.gov.au/mpcimg/62250/B62123.htm</v>
      </c>
    </row>
    <row r="5015" spans="1:11" x14ac:dyDescent="0.25">
      <c r="A5015" t="s">
        <v>17331</v>
      </c>
      <c r="B5015" s="1" t="str">
        <f>HYPERLINK("https://www.catalog.slsa.sa.gov.au/record=b2075334")</f>
        <v>https://www.catalog.slsa.sa.gov.au/record=b2075334</v>
      </c>
      <c r="C5015" s="1" t="str">
        <f>HYPERLINK("https://www.catalog.slsa.sa.gov.au/xrecord=b2075334")</f>
        <v>https://www.catalog.slsa.sa.gov.au/xrecord=b2075334</v>
      </c>
      <c r="E5015" t="s">
        <v>17324</v>
      </c>
      <c r="F5015" t="s">
        <v>1926</v>
      </c>
      <c r="G5015" t="s">
        <v>15269</v>
      </c>
      <c r="H5015" t="s">
        <v>17332</v>
      </c>
      <c r="I5015" t="s">
        <v>17333</v>
      </c>
      <c r="J5015" t="s">
        <v>2510</v>
      </c>
      <c r="K5015" s="2" t="str">
        <f>HYPERLINK("http://collections.slsa.sa.gov.au/mpcimg/62250/B62124.htm")</f>
        <v>http://collections.slsa.sa.gov.au/mpcimg/62250/B62124.htm</v>
      </c>
    </row>
    <row r="5016" spans="1:11" x14ac:dyDescent="0.25">
      <c r="A5016" t="s">
        <v>17334</v>
      </c>
      <c r="B5016" s="1" t="str">
        <f>HYPERLINK("https://www.catalog.slsa.sa.gov.au/record=b2075340")</f>
        <v>https://www.catalog.slsa.sa.gov.au/record=b2075340</v>
      </c>
      <c r="C5016" s="1" t="str">
        <f>HYPERLINK("https://www.catalog.slsa.sa.gov.au/xrecord=b2075340")</f>
        <v>https://www.catalog.slsa.sa.gov.au/xrecord=b2075340</v>
      </c>
      <c r="D5016" t="s">
        <v>17335</v>
      </c>
      <c r="E5016" t="s">
        <v>17336</v>
      </c>
      <c r="F5016" t="s">
        <v>1926</v>
      </c>
      <c r="G5016" t="s">
        <v>15269</v>
      </c>
      <c r="H5016" t="s">
        <v>17337</v>
      </c>
      <c r="I5016" t="s">
        <v>17338</v>
      </c>
      <c r="J5016" t="s">
        <v>2510</v>
      </c>
      <c r="K5016" s="2" t="str">
        <f>HYPERLINK("http://collections.slsa.sa.gov.au/mpcimg/62250/B62130.htm")</f>
        <v>http://collections.slsa.sa.gov.au/mpcimg/62250/B62130.htm</v>
      </c>
    </row>
    <row r="5017" spans="1:11" x14ac:dyDescent="0.25">
      <c r="A5017" t="s">
        <v>17339</v>
      </c>
      <c r="B5017" s="1" t="str">
        <f>HYPERLINK("https://www.catalog.slsa.sa.gov.au/record=b2075341")</f>
        <v>https://www.catalog.slsa.sa.gov.au/record=b2075341</v>
      </c>
      <c r="C5017" s="1" t="str">
        <f>HYPERLINK("https://www.catalog.slsa.sa.gov.au/xrecord=b2075341")</f>
        <v>https://www.catalog.slsa.sa.gov.au/xrecord=b2075341</v>
      </c>
      <c r="D5017" t="s">
        <v>17335</v>
      </c>
      <c r="E5017" t="s">
        <v>17336</v>
      </c>
      <c r="F5017" t="s">
        <v>1926</v>
      </c>
      <c r="G5017" t="s">
        <v>15269</v>
      </c>
      <c r="H5017" t="s">
        <v>17337</v>
      </c>
      <c r="I5017" t="s">
        <v>17338</v>
      </c>
      <c r="J5017" t="s">
        <v>2510</v>
      </c>
      <c r="K5017" s="2" t="str">
        <f>HYPERLINK("http://collections.slsa.sa.gov.au/mpcimg/62250/B62131.htm")</f>
        <v>http://collections.slsa.sa.gov.au/mpcimg/62250/B62131.htm</v>
      </c>
    </row>
    <row r="5018" spans="1:11" x14ac:dyDescent="0.25">
      <c r="A5018" t="s">
        <v>17340</v>
      </c>
      <c r="B5018" s="1" t="str">
        <f>HYPERLINK("https://www.catalog.slsa.sa.gov.au/record=b2075501")</f>
        <v>https://www.catalog.slsa.sa.gov.au/record=b2075501</v>
      </c>
      <c r="C5018" s="1" t="str">
        <f>HYPERLINK("https://www.catalog.slsa.sa.gov.au/xrecord=b2075501")</f>
        <v>https://www.catalog.slsa.sa.gov.au/xrecord=b2075501</v>
      </c>
      <c r="E5018" t="s">
        <v>17341</v>
      </c>
      <c r="F5018" t="s">
        <v>1926</v>
      </c>
      <c r="G5018" t="s">
        <v>15052</v>
      </c>
      <c r="H5018" t="s">
        <v>17342</v>
      </c>
      <c r="I5018" t="s">
        <v>17343</v>
      </c>
      <c r="J5018" t="s">
        <v>15919</v>
      </c>
      <c r="K5018" s="2" t="str">
        <f>HYPERLINK("http://collections.slsa.sa.gov.au/mpcimg/62500/B62291.htm")</f>
        <v>http://collections.slsa.sa.gov.au/mpcimg/62500/B62291.htm</v>
      </c>
    </row>
    <row r="5019" spans="1:11" x14ac:dyDescent="0.25">
      <c r="A5019" t="s">
        <v>17344</v>
      </c>
      <c r="B5019" s="1" t="str">
        <f>HYPERLINK("https://www.catalog.slsa.sa.gov.au/record=b2075564")</f>
        <v>https://www.catalog.slsa.sa.gov.au/record=b2075564</v>
      </c>
      <c r="C5019" s="1" t="str">
        <f>HYPERLINK("https://www.catalog.slsa.sa.gov.au/xrecord=b2075564")</f>
        <v>https://www.catalog.slsa.sa.gov.au/xrecord=b2075564</v>
      </c>
      <c r="E5019" t="s">
        <v>17345</v>
      </c>
      <c r="F5019" t="s">
        <v>1926</v>
      </c>
      <c r="G5019" t="s">
        <v>15269</v>
      </c>
      <c r="H5019" t="s">
        <v>17346</v>
      </c>
      <c r="I5019" t="s">
        <v>17347</v>
      </c>
      <c r="J5019" t="s">
        <v>17348</v>
      </c>
      <c r="K5019" s="2" t="str">
        <f>HYPERLINK("http://collections.slsa.sa.gov.au/mpcimg/62500/B62354.htm")</f>
        <v>http://collections.slsa.sa.gov.au/mpcimg/62500/B62354.htm</v>
      </c>
    </row>
    <row r="5020" spans="1:11" x14ac:dyDescent="0.25">
      <c r="A5020" t="s">
        <v>17349</v>
      </c>
      <c r="B5020" s="1" t="str">
        <f>HYPERLINK("https://www.catalog.slsa.sa.gov.au/record=b2075596")</f>
        <v>https://www.catalog.slsa.sa.gov.au/record=b2075596</v>
      </c>
      <c r="C5020" s="1" t="str">
        <f>HYPERLINK("https://www.catalog.slsa.sa.gov.au/xrecord=b2075596")</f>
        <v>https://www.catalog.slsa.sa.gov.au/xrecord=b2075596</v>
      </c>
      <c r="D5020" t="s">
        <v>17350</v>
      </c>
      <c r="E5020" t="s">
        <v>17351</v>
      </c>
      <c r="F5020" t="s">
        <v>1926</v>
      </c>
      <c r="G5020" t="s">
        <v>17352</v>
      </c>
      <c r="H5020" t="s">
        <v>17353</v>
      </c>
      <c r="I5020" t="s">
        <v>15475</v>
      </c>
      <c r="J5020" t="s">
        <v>2510</v>
      </c>
      <c r="K5020" s="2" t="str">
        <f>HYPERLINK("http://collections.slsa.sa.gov.au/mpcimg/64500/B64377.htm")</f>
        <v>http://collections.slsa.sa.gov.au/mpcimg/64500/B64377.htm</v>
      </c>
    </row>
    <row r="5021" spans="1:11" x14ac:dyDescent="0.25">
      <c r="A5021" t="s">
        <v>17354</v>
      </c>
      <c r="B5021" s="1" t="str">
        <f>HYPERLINK("https://www.catalog.slsa.sa.gov.au/record=b2075920")</f>
        <v>https://www.catalog.slsa.sa.gov.au/record=b2075920</v>
      </c>
      <c r="C5021" s="1" t="str">
        <f>HYPERLINK("https://www.catalog.slsa.sa.gov.au/xrecord=b2075920")</f>
        <v>https://www.catalog.slsa.sa.gov.au/xrecord=b2075920</v>
      </c>
      <c r="E5021" t="s">
        <v>17355</v>
      </c>
      <c r="F5021" t="s">
        <v>1926</v>
      </c>
      <c r="G5021" t="s">
        <v>17356</v>
      </c>
      <c r="H5021" t="s">
        <v>17357</v>
      </c>
      <c r="I5021" t="s">
        <v>17358</v>
      </c>
      <c r="J5021" t="s">
        <v>4661</v>
      </c>
      <c r="K5021" s="2" t="str">
        <f>HYPERLINK("http://collections.slsa.sa.gov.au/mpcimg/54000/B53860.htm")</f>
        <v>http://collections.slsa.sa.gov.au/mpcimg/54000/B53860.htm</v>
      </c>
    </row>
    <row r="5022" spans="1:11" x14ac:dyDescent="0.25">
      <c r="A5022" t="s">
        <v>17359</v>
      </c>
      <c r="B5022" s="1" t="str">
        <f>HYPERLINK("https://www.catalog.slsa.sa.gov.au/record=b2077215")</f>
        <v>https://www.catalog.slsa.sa.gov.au/record=b2077215</v>
      </c>
      <c r="C5022" s="1" t="str">
        <f>HYPERLINK("https://www.catalog.slsa.sa.gov.au/xrecord=b2077215")</f>
        <v>https://www.catalog.slsa.sa.gov.au/xrecord=b2077215</v>
      </c>
      <c r="E5022" t="s">
        <v>17360</v>
      </c>
      <c r="F5022" t="s">
        <v>1926</v>
      </c>
      <c r="G5022" t="s">
        <v>17361</v>
      </c>
      <c r="H5022" t="s">
        <v>17362</v>
      </c>
      <c r="I5022" t="s">
        <v>17363</v>
      </c>
      <c r="J5022" t="s">
        <v>2510</v>
      </c>
      <c r="K5022" s="2" t="str">
        <f>HYPERLINK("http://collections.slsa.sa.gov.au/mpcimg/55250/B55162.htm")</f>
        <v>http://collections.slsa.sa.gov.au/mpcimg/55250/B55162.htm</v>
      </c>
    </row>
    <row r="5023" spans="1:11" x14ac:dyDescent="0.25">
      <c r="A5023" t="s">
        <v>17364</v>
      </c>
      <c r="B5023" s="1" t="str">
        <f>HYPERLINK("https://www.catalog.slsa.sa.gov.au/record=b2077352")</f>
        <v>https://www.catalog.slsa.sa.gov.au/record=b2077352</v>
      </c>
      <c r="C5023" s="1" t="str">
        <f>HYPERLINK("https://www.catalog.slsa.sa.gov.au/xrecord=b2077352")</f>
        <v>https://www.catalog.slsa.sa.gov.au/xrecord=b2077352</v>
      </c>
      <c r="E5023" t="s">
        <v>17365</v>
      </c>
      <c r="F5023" t="s">
        <v>1926</v>
      </c>
      <c r="G5023" t="s">
        <v>17356</v>
      </c>
      <c r="H5023" t="s">
        <v>17366</v>
      </c>
      <c r="I5023" t="s">
        <v>17367</v>
      </c>
      <c r="J5023" t="s">
        <v>15820</v>
      </c>
      <c r="K5023" s="2" t="str">
        <f>HYPERLINK("http://collections.slsa.sa.gov.au/mpcimg/55500/B55299.htm")</f>
        <v>http://collections.slsa.sa.gov.au/mpcimg/55500/B55299.htm</v>
      </c>
    </row>
    <row r="5024" spans="1:11" x14ac:dyDescent="0.25">
      <c r="A5024" t="s">
        <v>17368</v>
      </c>
      <c r="B5024" s="1" t="str">
        <f>HYPERLINK("https://www.catalog.slsa.sa.gov.au/record=b2077952")</f>
        <v>https://www.catalog.slsa.sa.gov.au/record=b2077952</v>
      </c>
      <c r="C5024" s="1" t="str">
        <f>HYPERLINK("https://www.catalog.slsa.sa.gov.au/xrecord=b2077952")</f>
        <v>https://www.catalog.slsa.sa.gov.au/xrecord=b2077952</v>
      </c>
      <c r="E5024" t="s">
        <v>17369</v>
      </c>
      <c r="F5024" t="s">
        <v>1926</v>
      </c>
      <c r="G5024" t="s">
        <v>17370</v>
      </c>
      <c r="H5024" t="s">
        <v>17371</v>
      </c>
      <c r="J5024" t="s">
        <v>16467</v>
      </c>
      <c r="K5024" s="2" t="str">
        <f>HYPERLINK("http://collections.slsa.sa.gov.au/mpcimg/56000/B55875.htm")</f>
        <v>http://collections.slsa.sa.gov.au/mpcimg/56000/B55875.htm</v>
      </c>
    </row>
    <row r="5025" spans="1:11" x14ac:dyDescent="0.25">
      <c r="A5025" t="s">
        <v>17372</v>
      </c>
      <c r="B5025" s="1" t="str">
        <f>HYPERLINK("https://www.catalog.slsa.sa.gov.au/record=b2077953")</f>
        <v>https://www.catalog.slsa.sa.gov.au/record=b2077953</v>
      </c>
      <c r="C5025" s="1" t="str">
        <f>HYPERLINK("https://www.catalog.slsa.sa.gov.au/xrecord=b2077953")</f>
        <v>https://www.catalog.slsa.sa.gov.au/xrecord=b2077953</v>
      </c>
      <c r="E5025" t="s">
        <v>17373</v>
      </c>
      <c r="F5025" t="s">
        <v>1926</v>
      </c>
      <c r="G5025" t="s">
        <v>17374</v>
      </c>
      <c r="H5025" t="s">
        <v>17375</v>
      </c>
      <c r="I5025" t="s">
        <v>17376</v>
      </c>
      <c r="J5025" t="s">
        <v>15900</v>
      </c>
      <c r="K5025" s="2" t="str">
        <f>HYPERLINK("http://collections.slsa.sa.gov.au/mpcimg/56000/B55876.htm")</f>
        <v>http://collections.slsa.sa.gov.au/mpcimg/56000/B55876.htm</v>
      </c>
    </row>
    <row r="5026" spans="1:11" x14ac:dyDescent="0.25">
      <c r="A5026" t="s">
        <v>17377</v>
      </c>
      <c r="B5026" s="1" t="str">
        <f>HYPERLINK("https://www.catalog.slsa.sa.gov.au/record=b2077995")</f>
        <v>https://www.catalog.slsa.sa.gov.au/record=b2077995</v>
      </c>
      <c r="C5026" s="1" t="str">
        <f>HYPERLINK("https://www.catalog.slsa.sa.gov.au/xrecord=b2077995")</f>
        <v>https://www.catalog.slsa.sa.gov.au/xrecord=b2077995</v>
      </c>
      <c r="D5026" t="s">
        <v>17378</v>
      </c>
      <c r="E5026" t="s">
        <v>17379</v>
      </c>
      <c r="F5026" t="s">
        <v>1926</v>
      </c>
      <c r="G5026" t="s">
        <v>17380</v>
      </c>
      <c r="H5026" t="s">
        <v>17381</v>
      </c>
      <c r="I5026" t="s">
        <v>17382</v>
      </c>
      <c r="J5026" t="s">
        <v>17383</v>
      </c>
      <c r="K5026" s="2" t="str">
        <f>HYPERLINK("http://collections.slsa.sa.gov.au/mpcimg/56000/B55918.htm")</f>
        <v>http://collections.slsa.sa.gov.au/mpcimg/56000/B55918.htm</v>
      </c>
    </row>
    <row r="5027" spans="1:11" x14ac:dyDescent="0.25">
      <c r="A5027" t="s">
        <v>17384</v>
      </c>
      <c r="B5027" s="1" t="str">
        <f>HYPERLINK("https://www.catalog.slsa.sa.gov.au/record=b2078450")</f>
        <v>https://www.catalog.slsa.sa.gov.au/record=b2078450</v>
      </c>
      <c r="C5027" s="1" t="str">
        <f>HYPERLINK("https://www.catalog.slsa.sa.gov.au/xrecord=b2078450")</f>
        <v>https://www.catalog.slsa.sa.gov.au/xrecord=b2078450</v>
      </c>
      <c r="E5027" t="s">
        <v>17385</v>
      </c>
      <c r="F5027" t="s">
        <v>1926</v>
      </c>
      <c r="G5027" t="s">
        <v>17386</v>
      </c>
      <c r="H5027" t="s">
        <v>17387</v>
      </c>
      <c r="I5027" t="s">
        <v>17388</v>
      </c>
      <c r="J5027" t="s">
        <v>2510</v>
      </c>
      <c r="K5027" s="2" t="str">
        <f>HYPERLINK("http://collections.slsa.sa.gov.au/mpcimg/56500/B56375.htm")</f>
        <v>http://collections.slsa.sa.gov.au/mpcimg/56500/B56375.htm</v>
      </c>
    </row>
    <row r="5028" spans="1:11" x14ac:dyDescent="0.25">
      <c r="A5028" t="s">
        <v>17389</v>
      </c>
      <c r="B5028" s="1" t="str">
        <f>HYPERLINK("https://www.catalog.slsa.sa.gov.au/record=b2078945")</f>
        <v>https://www.catalog.slsa.sa.gov.au/record=b2078945</v>
      </c>
      <c r="C5028" s="1" t="str">
        <f>HYPERLINK("https://www.catalog.slsa.sa.gov.au/xrecord=b2078945")</f>
        <v>https://www.catalog.slsa.sa.gov.au/xrecord=b2078945</v>
      </c>
      <c r="E5028" t="s">
        <v>17390</v>
      </c>
      <c r="F5028" t="s">
        <v>1926</v>
      </c>
      <c r="G5028" t="s">
        <v>17391</v>
      </c>
      <c r="H5028" t="s">
        <v>17392</v>
      </c>
      <c r="I5028" t="s">
        <v>17393</v>
      </c>
      <c r="J5028" t="s">
        <v>1809</v>
      </c>
      <c r="K5028" s="2" t="str">
        <f>HYPERLINK("http://collections.slsa.sa.gov.au/mpcimg/57000/B56876.htm")</f>
        <v>http://collections.slsa.sa.gov.au/mpcimg/57000/B56876.htm</v>
      </c>
    </row>
    <row r="5029" spans="1:11" x14ac:dyDescent="0.25">
      <c r="A5029" t="s">
        <v>17394</v>
      </c>
      <c r="B5029" s="1" t="str">
        <f>HYPERLINK("https://www.catalog.slsa.sa.gov.au/record=b2078946")</f>
        <v>https://www.catalog.slsa.sa.gov.au/record=b2078946</v>
      </c>
      <c r="C5029" s="1" t="str">
        <f>HYPERLINK("https://www.catalog.slsa.sa.gov.au/xrecord=b2078946")</f>
        <v>https://www.catalog.slsa.sa.gov.au/xrecord=b2078946</v>
      </c>
      <c r="E5029" t="s">
        <v>17395</v>
      </c>
      <c r="F5029" t="s">
        <v>1926</v>
      </c>
      <c r="G5029" t="s">
        <v>17396</v>
      </c>
      <c r="H5029" t="s">
        <v>17397</v>
      </c>
      <c r="I5029" t="s">
        <v>17398</v>
      </c>
      <c r="J5029" t="s">
        <v>1809</v>
      </c>
      <c r="K5029" s="2" t="str">
        <f>HYPERLINK("http://collections.slsa.sa.gov.au/mpcimg/57000/B56877.htm")</f>
        <v>http://collections.slsa.sa.gov.au/mpcimg/57000/B56877.htm</v>
      </c>
    </row>
    <row r="5030" spans="1:11" x14ac:dyDescent="0.25">
      <c r="A5030" t="s">
        <v>17399</v>
      </c>
      <c r="B5030" s="1" t="str">
        <f>HYPERLINK("https://www.catalog.slsa.sa.gov.au/record=b2078947")</f>
        <v>https://www.catalog.slsa.sa.gov.au/record=b2078947</v>
      </c>
      <c r="C5030" s="1" t="str">
        <f>HYPERLINK("https://www.catalog.slsa.sa.gov.au/xrecord=b2078947")</f>
        <v>https://www.catalog.slsa.sa.gov.au/xrecord=b2078947</v>
      </c>
      <c r="E5030" t="s">
        <v>17400</v>
      </c>
      <c r="F5030" t="s">
        <v>1926</v>
      </c>
      <c r="G5030" t="s">
        <v>17401</v>
      </c>
      <c r="H5030" t="s">
        <v>17402</v>
      </c>
      <c r="I5030" t="s">
        <v>17403</v>
      </c>
      <c r="J5030" t="s">
        <v>1809</v>
      </c>
      <c r="K5030" s="2" t="str">
        <f>HYPERLINK("http://collections.slsa.sa.gov.au/mpcimg/57000/B56878.htm")</f>
        <v>http://collections.slsa.sa.gov.au/mpcimg/57000/B56878.htm</v>
      </c>
    </row>
    <row r="5031" spans="1:11" x14ac:dyDescent="0.25">
      <c r="A5031" t="s">
        <v>17404</v>
      </c>
      <c r="B5031" s="1" t="str">
        <f>HYPERLINK("https://www.catalog.slsa.sa.gov.au/record=b2079576")</f>
        <v>https://www.catalog.slsa.sa.gov.au/record=b2079576</v>
      </c>
      <c r="C5031" s="1" t="str">
        <f>HYPERLINK("https://www.catalog.slsa.sa.gov.au/xrecord=b2079576")</f>
        <v>https://www.catalog.slsa.sa.gov.au/xrecord=b2079576</v>
      </c>
      <c r="E5031" t="s">
        <v>17405</v>
      </c>
      <c r="F5031" t="s">
        <v>1926</v>
      </c>
      <c r="G5031" t="s">
        <v>17406</v>
      </c>
      <c r="H5031" t="s">
        <v>17407</v>
      </c>
      <c r="I5031" t="s">
        <v>17408</v>
      </c>
      <c r="J5031" t="s">
        <v>17409</v>
      </c>
      <c r="K5031" s="2" t="str">
        <f>HYPERLINK("http://collections.slsa.sa.gov.au/mpcimg/57750/B57508.htm")</f>
        <v>http://collections.slsa.sa.gov.au/mpcimg/57750/B57508.htm</v>
      </c>
    </row>
    <row r="5032" spans="1:11" x14ac:dyDescent="0.25">
      <c r="A5032" t="s">
        <v>17410</v>
      </c>
      <c r="B5032" s="1" t="str">
        <f>HYPERLINK("https://www.catalog.slsa.sa.gov.au/record=b2079635")</f>
        <v>https://www.catalog.slsa.sa.gov.au/record=b2079635</v>
      </c>
      <c r="C5032" s="1" t="str">
        <f>HYPERLINK("https://www.catalog.slsa.sa.gov.au/xrecord=b2079635")</f>
        <v>https://www.catalog.slsa.sa.gov.au/xrecord=b2079635</v>
      </c>
      <c r="E5032" t="s">
        <v>17411</v>
      </c>
      <c r="F5032" t="s">
        <v>1926</v>
      </c>
      <c r="G5032" t="s">
        <v>17412</v>
      </c>
      <c r="H5032" t="s">
        <v>17413</v>
      </c>
      <c r="I5032" t="s">
        <v>17414</v>
      </c>
      <c r="J5032" t="s">
        <v>3486</v>
      </c>
      <c r="K5032" s="2" t="str">
        <f>HYPERLINK("http://collections.slsa.sa.gov.au/mpcimg/57750/B57567.htm")</f>
        <v>http://collections.slsa.sa.gov.au/mpcimg/57750/B57567.htm</v>
      </c>
    </row>
    <row r="5033" spans="1:11" x14ac:dyDescent="0.25">
      <c r="A5033" t="s">
        <v>17415</v>
      </c>
      <c r="B5033" s="1" t="str">
        <f>HYPERLINK("https://www.catalog.slsa.sa.gov.au/record=b2079900")</f>
        <v>https://www.catalog.slsa.sa.gov.au/record=b2079900</v>
      </c>
      <c r="C5033" s="1" t="str">
        <f>HYPERLINK("https://www.catalog.slsa.sa.gov.au/xrecord=b2079900")</f>
        <v>https://www.catalog.slsa.sa.gov.au/xrecord=b2079900</v>
      </c>
      <c r="E5033" t="s">
        <v>17416</v>
      </c>
      <c r="F5033" t="s">
        <v>1926</v>
      </c>
      <c r="G5033" t="s">
        <v>15269</v>
      </c>
      <c r="H5033" t="s">
        <v>17417</v>
      </c>
      <c r="I5033" t="s">
        <v>17418</v>
      </c>
      <c r="J5033" t="s">
        <v>17419</v>
      </c>
      <c r="K5033" s="2" t="str">
        <f>HYPERLINK("http://collections.slsa.sa.gov.au/mpcimg/58000/B57833.htm")</f>
        <v>http://collections.slsa.sa.gov.au/mpcimg/58000/B57833.htm</v>
      </c>
    </row>
    <row r="5034" spans="1:11" x14ac:dyDescent="0.25">
      <c r="A5034" t="s">
        <v>17420</v>
      </c>
      <c r="B5034" s="1" t="str">
        <f>HYPERLINK("https://www.catalog.slsa.sa.gov.au/record=b2079919")</f>
        <v>https://www.catalog.slsa.sa.gov.au/record=b2079919</v>
      </c>
      <c r="C5034" s="1" t="str">
        <f>HYPERLINK("https://www.catalog.slsa.sa.gov.au/xrecord=b2079919")</f>
        <v>https://www.catalog.slsa.sa.gov.au/xrecord=b2079919</v>
      </c>
      <c r="E5034" t="s">
        <v>17421</v>
      </c>
      <c r="F5034" t="s">
        <v>1926</v>
      </c>
      <c r="G5034" t="s">
        <v>15269</v>
      </c>
      <c r="H5034" t="s">
        <v>17422</v>
      </c>
      <c r="I5034" t="s">
        <v>17423</v>
      </c>
      <c r="J5034" t="s">
        <v>17383</v>
      </c>
      <c r="K5034" s="2" t="str">
        <f>HYPERLINK("http://collections.slsa.sa.gov.au/mpcimg/58000/B57852.htm")</f>
        <v>http://collections.slsa.sa.gov.au/mpcimg/58000/B57852.htm</v>
      </c>
    </row>
    <row r="5035" spans="1:11" x14ac:dyDescent="0.25">
      <c r="A5035" t="s">
        <v>17424</v>
      </c>
      <c r="B5035" s="1" t="str">
        <f>HYPERLINK("https://www.catalog.slsa.sa.gov.au/record=b2079920")</f>
        <v>https://www.catalog.slsa.sa.gov.au/record=b2079920</v>
      </c>
      <c r="C5035" s="1" t="str">
        <f>HYPERLINK("https://www.catalog.slsa.sa.gov.au/xrecord=b2079920")</f>
        <v>https://www.catalog.slsa.sa.gov.au/xrecord=b2079920</v>
      </c>
      <c r="E5035" t="s">
        <v>17425</v>
      </c>
      <c r="F5035" t="s">
        <v>1926</v>
      </c>
      <c r="G5035" t="s">
        <v>15269</v>
      </c>
      <c r="H5035" t="s">
        <v>17426</v>
      </c>
      <c r="I5035" t="s">
        <v>17427</v>
      </c>
      <c r="J5035" t="s">
        <v>17428</v>
      </c>
      <c r="K5035" s="2" t="str">
        <f>HYPERLINK("http://collections.slsa.sa.gov.au/mpcimg/58000/B57853.htm")</f>
        <v>http://collections.slsa.sa.gov.au/mpcimg/58000/B57853.htm</v>
      </c>
    </row>
    <row r="5036" spans="1:11" x14ac:dyDescent="0.25">
      <c r="A5036" t="s">
        <v>17429</v>
      </c>
      <c r="B5036" s="1" t="str">
        <f>HYPERLINK("https://www.catalog.slsa.sa.gov.au/record=b2079969")</f>
        <v>https://www.catalog.slsa.sa.gov.au/record=b2079969</v>
      </c>
      <c r="C5036" s="1" t="str">
        <f>HYPERLINK("https://www.catalog.slsa.sa.gov.au/xrecord=b2079969")</f>
        <v>https://www.catalog.slsa.sa.gov.au/xrecord=b2079969</v>
      </c>
      <c r="E5036" t="s">
        <v>17430</v>
      </c>
      <c r="F5036" t="s">
        <v>1926</v>
      </c>
      <c r="G5036" t="s">
        <v>15269</v>
      </c>
      <c r="H5036" t="s">
        <v>17431</v>
      </c>
      <c r="I5036" t="s">
        <v>17432</v>
      </c>
      <c r="J5036" t="s">
        <v>15900</v>
      </c>
      <c r="K5036" s="2" t="str">
        <f>HYPERLINK("http://collections.slsa.sa.gov.au/mpcimg/58000/B57902.htm")</f>
        <v>http://collections.slsa.sa.gov.au/mpcimg/58000/B57902.htm</v>
      </c>
    </row>
    <row r="5037" spans="1:11" x14ac:dyDescent="0.25">
      <c r="A5037" t="s">
        <v>17433</v>
      </c>
      <c r="B5037" s="1" t="str">
        <f>HYPERLINK("https://www.catalog.slsa.sa.gov.au/record=b2079971")</f>
        <v>https://www.catalog.slsa.sa.gov.au/record=b2079971</v>
      </c>
      <c r="C5037" s="1" t="str">
        <f>HYPERLINK("https://www.catalog.slsa.sa.gov.au/xrecord=b2079971")</f>
        <v>https://www.catalog.slsa.sa.gov.au/xrecord=b2079971</v>
      </c>
      <c r="E5037" t="s">
        <v>17434</v>
      </c>
      <c r="F5037" t="s">
        <v>1926</v>
      </c>
      <c r="G5037" t="s">
        <v>15269</v>
      </c>
      <c r="H5037" t="s">
        <v>17435</v>
      </c>
      <c r="I5037" t="s">
        <v>17436</v>
      </c>
      <c r="J5037" t="s">
        <v>2510</v>
      </c>
      <c r="K5037" s="2" t="str">
        <f>HYPERLINK("http://collections.slsa.sa.gov.au/mpcimg/58000/B57904.htm")</f>
        <v>http://collections.slsa.sa.gov.au/mpcimg/58000/B57904.htm</v>
      </c>
    </row>
    <row r="5038" spans="1:11" x14ac:dyDescent="0.25">
      <c r="A5038" t="s">
        <v>17437</v>
      </c>
      <c r="B5038" s="1" t="str">
        <f>HYPERLINK("https://www.catalog.slsa.sa.gov.au/record=b2080017")</f>
        <v>https://www.catalog.slsa.sa.gov.au/record=b2080017</v>
      </c>
      <c r="C5038" s="1" t="str">
        <f>HYPERLINK("https://www.catalog.slsa.sa.gov.au/xrecord=b2080017")</f>
        <v>https://www.catalog.slsa.sa.gov.au/xrecord=b2080017</v>
      </c>
      <c r="E5038" t="s">
        <v>17438</v>
      </c>
      <c r="F5038" t="s">
        <v>1926</v>
      </c>
      <c r="G5038" t="s">
        <v>15269</v>
      </c>
      <c r="H5038" t="s">
        <v>17439</v>
      </c>
      <c r="I5038" t="s">
        <v>17440</v>
      </c>
      <c r="J5038" t="s">
        <v>17441</v>
      </c>
      <c r="K5038" s="2" t="str">
        <f>HYPERLINK("http://collections.slsa.sa.gov.au/mpcimg/58000/B57950.htm")</f>
        <v>http://collections.slsa.sa.gov.au/mpcimg/58000/B57950.htm</v>
      </c>
    </row>
    <row r="5039" spans="1:11" x14ac:dyDescent="0.25">
      <c r="A5039" t="s">
        <v>17442</v>
      </c>
      <c r="B5039" s="1" t="str">
        <f>HYPERLINK("https://www.catalog.slsa.sa.gov.au/record=b2080087")</f>
        <v>https://www.catalog.slsa.sa.gov.au/record=b2080087</v>
      </c>
      <c r="C5039" s="1" t="str">
        <f>HYPERLINK("https://www.catalog.slsa.sa.gov.au/xrecord=b2080087")</f>
        <v>https://www.catalog.slsa.sa.gov.au/xrecord=b2080087</v>
      </c>
      <c r="E5039" t="s">
        <v>17443</v>
      </c>
      <c r="F5039" t="s">
        <v>1926</v>
      </c>
      <c r="G5039" t="s">
        <v>15269</v>
      </c>
      <c r="H5039" t="s">
        <v>17444</v>
      </c>
      <c r="I5039" t="s">
        <v>15297</v>
      </c>
      <c r="J5039" t="s">
        <v>15298</v>
      </c>
      <c r="K5039" s="2" t="str">
        <f>HYPERLINK("http://collections.slsa.sa.gov.au/mpcimg/58250/B58021.htm")</f>
        <v>http://collections.slsa.sa.gov.au/mpcimg/58250/B58021.htm</v>
      </c>
    </row>
    <row r="5040" spans="1:11" x14ac:dyDescent="0.25">
      <c r="A5040" t="s">
        <v>17445</v>
      </c>
      <c r="B5040" s="1" t="str">
        <f>HYPERLINK("https://www.catalog.slsa.sa.gov.au/record=b2080088")</f>
        <v>https://www.catalog.slsa.sa.gov.au/record=b2080088</v>
      </c>
      <c r="C5040" s="1" t="str">
        <f>HYPERLINK("https://www.catalog.slsa.sa.gov.au/xrecord=b2080088")</f>
        <v>https://www.catalog.slsa.sa.gov.au/xrecord=b2080088</v>
      </c>
      <c r="E5040" t="s">
        <v>17443</v>
      </c>
      <c r="F5040" t="s">
        <v>1926</v>
      </c>
      <c r="G5040" t="s">
        <v>15269</v>
      </c>
      <c r="H5040" t="s">
        <v>17446</v>
      </c>
      <c r="I5040" t="s">
        <v>15297</v>
      </c>
      <c r="J5040" t="s">
        <v>15298</v>
      </c>
      <c r="K5040" s="2" t="str">
        <f>HYPERLINK("http://collections.slsa.sa.gov.au/mpcimg/58250/B58022.htm")</f>
        <v>http://collections.slsa.sa.gov.au/mpcimg/58250/B58022.htm</v>
      </c>
    </row>
    <row r="5041" spans="1:11" x14ac:dyDescent="0.25">
      <c r="A5041" t="s">
        <v>17447</v>
      </c>
      <c r="B5041" s="1" t="str">
        <f>HYPERLINK("https://www.catalog.slsa.sa.gov.au/record=b2080091")</f>
        <v>https://www.catalog.slsa.sa.gov.au/record=b2080091</v>
      </c>
      <c r="C5041" s="1" t="str">
        <f>HYPERLINK("https://www.catalog.slsa.sa.gov.au/xrecord=b2080091")</f>
        <v>https://www.catalog.slsa.sa.gov.au/xrecord=b2080091</v>
      </c>
      <c r="E5041" t="s">
        <v>15303</v>
      </c>
      <c r="F5041" t="s">
        <v>1926</v>
      </c>
      <c r="G5041" t="s">
        <v>15269</v>
      </c>
      <c r="H5041" t="s">
        <v>17448</v>
      </c>
      <c r="I5041" t="s">
        <v>17449</v>
      </c>
      <c r="J5041" t="s">
        <v>15298</v>
      </c>
      <c r="K5041" s="2" t="str">
        <f>HYPERLINK("http://collections.slsa.sa.gov.au/mpcimg/58250/B58025.htm")</f>
        <v>http://collections.slsa.sa.gov.au/mpcimg/58250/B58025.htm</v>
      </c>
    </row>
    <row r="5042" spans="1:11" x14ac:dyDescent="0.25">
      <c r="A5042" t="s">
        <v>17450</v>
      </c>
      <c r="B5042" s="1" t="str">
        <f>HYPERLINK("https://www.catalog.slsa.sa.gov.au/record=b2080096")</f>
        <v>https://www.catalog.slsa.sa.gov.au/record=b2080096</v>
      </c>
      <c r="C5042" s="1" t="str">
        <f>HYPERLINK("https://www.catalog.slsa.sa.gov.au/xrecord=b2080096")</f>
        <v>https://www.catalog.slsa.sa.gov.au/xrecord=b2080096</v>
      </c>
      <c r="E5042" t="s">
        <v>17451</v>
      </c>
      <c r="F5042" t="s">
        <v>1926</v>
      </c>
      <c r="G5042" t="s">
        <v>15269</v>
      </c>
      <c r="H5042" t="s">
        <v>17452</v>
      </c>
      <c r="I5042" t="s">
        <v>17453</v>
      </c>
      <c r="J5042" t="s">
        <v>15298</v>
      </c>
      <c r="K5042" s="2" t="str">
        <f>HYPERLINK("http://collections.slsa.sa.gov.au/mpcimg/58250/B58030.htm")</f>
        <v>http://collections.slsa.sa.gov.au/mpcimg/58250/B58030.htm</v>
      </c>
    </row>
    <row r="5043" spans="1:11" x14ac:dyDescent="0.25">
      <c r="A5043" t="s">
        <v>17454</v>
      </c>
      <c r="B5043" s="1" t="str">
        <f>HYPERLINK("https://www.catalog.slsa.sa.gov.au/record=b2080098")</f>
        <v>https://www.catalog.slsa.sa.gov.au/record=b2080098</v>
      </c>
      <c r="C5043" s="1" t="str">
        <f>HYPERLINK("https://www.catalog.slsa.sa.gov.au/xrecord=b2080098")</f>
        <v>https://www.catalog.slsa.sa.gov.au/xrecord=b2080098</v>
      </c>
      <c r="E5043" t="s">
        <v>17455</v>
      </c>
      <c r="F5043" t="s">
        <v>1926</v>
      </c>
      <c r="G5043" t="s">
        <v>15269</v>
      </c>
      <c r="H5043" t="s">
        <v>17456</v>
      </c>
      <c r="I5043" t="s">
        <v>17457</v>
      </c>
      <c r="J5043" t="s">
        <v>15298</v>
      </c>
      <c r="K5043" s="2" t="str">
        <f>HYPERLINK("http://collections.slsa.sa.gov.au/mpcimg/58250/B58032.htm")</f>
        <v>http://collections.slsa.sa.gov.au/mpcimg/58250/B58032.htm</v>
      </c>
    </row>
    <row r="5044" spans="1:11" x14ac:dyDescent="0.25">
      <c r="A5044" t="s">
        <v>17458</v>
      </c>
      <c r="B5044" s="1" t="str">
        <f>HYPERLINK("https://www.catalog.slsa.sa.gov.au/record=b2080111")</f>
        <v>https://www.catalog.slsa.sa.gov.au/record=b2080111</v>
      </c>
      <c r="C5044" s="1" t="str">
        <f>HYPERLINK("https://www.catalog.slsa.sa.gov.au/xrecord=b2080111")</f>
        <v>https://www.catalog.slsa.sa.gov.au/xrecord=b2080111</v>
      </c>
      <c r="E5044" t="s">
        <v>17459</v>
      </c>
      <c r="F5044" t="s">
        <v>1926</v>
      </c>
      <c r="G5044" t="s">
        <v>15269</v>
      </c>
      <c r="H5044" t="s">
        <v>17460</v>
      </c>
      <c r="I5044" t="s">
        <v>17461</v>
      </c>
      <c r="J5044" t="s">
        <v>15298</v>
      </c>
      <c r="K5044" s="2" t="str">
        <f>HYPERLINK("http://collections.slsa.sa.gov.au/mpcimg/58250/B58045.htm")</f>
        <v>http://collections.slsa.sa.gov.au/mpcimg/58250/B58045.htm</v>
      </c>
    </row>
    <row r="5045" spans="1:11" x14ac:dyDescent="0.25">
      <c r="A5045" t="s">
        <v>17462</v>
      </c>
      <c r="B5045" s="1" t="str">
        <f>HYPERLINK("https://www.catalog.slsa.sa.gov.au/record=b2080112")</f>
        <v>https://www.catalog.slsa.sa.gov.au/record=b2080112</v>
      </c>
      <c r="C5045" s="1" t="str">
        <f>HYPERLINK("https://www.catalog.slsa.sa.gov.au/xrecord=b2080112")</f>
        <v>https://www.catalog.slsa.sa.gov.au/xrecord=b2080112</v>
      </c>
      <c r="E5045" t="s">
        <v>17463</v>
      </c>
      <c r="F5045" t="s">
        <v>1926</v>
      </c>
      <c r="G5045" t="s">
        <v>15269</v>
      </c>
      <c r="H5045" t="s">
        <v>17464</v>
      </c>
      <c r="I5045" t="s">
        <v>17461</v>
      </c>
      <c r="J5045" t="s">
        <v>15298</v>
      </c>
      <c r="K5045" s="2" t="str">
        <f>HYPERLINK("http://collections.slsa.sa.gov.au/mpcimg/58250/B58046.htm")</f>
        <v>http://collections.slsa.sa.gov.au/mpcimg/58250/B58046.htm</v>
      </c>
    </row>
    <row r="5046" spans="1:11" x14ac:dyDescent="0.25">
      <c r="A5046" t="s">
        <v>17465</v>
      </c>
      <c r="B5046" s="1" t="str">
        <f>HYPERLINK("https://www.catalog.slsa.sa.gov.au/record=b2080125")</f>
        <v>https://www.catalog.slsa.sa.gov.au/record=b2080125</v>
      </c>
      <c r="C5046" s="1" t="str">
        <f>HYPERLINK("https://www.catalog.slsa.sa.gov.au/xrecord=b2080125")</f>
        <v>https://www.catalog.slsa.sa.gov.au/xrecord=b2080125</v>
      </c>
      <c r="E5046" t="s">
        <v>17466</v>
      </c>
      <c r="F5046" t="s">
        <v>1926</v>
      </c>
      <c r="G5046" t="s">
        <v>15269</v>
      </c>
      <c r="H5046" t="s">
        <v>17467</v>
      </c>
      <c r="I5046" t="s">
        <v>17468</v>
      </c>
      <c r="J5046" t="s">
        <v>15298</v>
      </c>
      <c r="K5046" s="2" t="str">
        <f>HYPERLINK("http://collections.slsa.sa.gov.au/mpcimg/58250/B58059.htm")</f>
        <v>http://collections.slsa.sa.gov.au/mpcimg/58250/B58059.htm</v>
      </c>
    </row>
    <row r="5047" spans="1:11" x14ac:dyDescent="0.25">
      <c r="A5047" t="s">
        <v>17469</v>
      </c>
      <c r="B5047" s="1" t="str">
        <f>HYPERLINK("https://www.catalog.slsa.sa.gov.au/record=b2080137")</f>
        <v>https://www.catalog.slsa.sa.gov.au/record=b2080137</v>
      </c>
      <c r="C5047" s="1" t="str">
        <f>HYPERLINK("https://www.catalog.slsa.sa.gov.au/xrecord=b2080137")</f>
        <v>https://www.catalog.slsa.sa.gov.au/xrecord=b2080137</v>
      </c>
      <c r="E5047" t="s">
        <v>17470</v>
      </c>
      <c r="F5047" t="s">
        <v>1926</v>
      </c>
      <c r="G5047" t="s">
        <v>15269</v>
      </c>
      <c r="H5047" t="s">
        <v>17471</v>
      </c>
      <c r="I5047" t="s">
        <v>17472</v>
      </c>
      <c r="J5047" t="s">
        <v>15298</v>
      </c>
      <c r="K5047" s="2" t="str">
        <f>HYPERLINK("http://collections.slsa.sa.gov.au/mpcimg/58250/B58071.htm")</f>
        <v>http://collections.slsa.sa.gov.au/mpcimg/58250/B58071.htm</v>
      </c>
    </row>
    <row r="5048" spans="1:11" x14ac:dyDescent="0.25">
      <c r="A5048" t="s">
        <v>17473</v>
      </c>
      <c r="B5048" s="1" t="str">
        <f>HYPERLINK("https://www.catalog.slsa.sa.gov.au/record=b2080141")</f>
        <v>https://www.catalog.slsa.sa.gov.au/record=b2080141</v>
      </c>
      <c r="C5048" s="1" t="str">
        <f>HYPERLINK("https://www.catalog.slsa.sa.gov.au/xrecord=b2080141")</f>
        <v>https://www.catalog.slsa.sa.gov.au/xrecord=b2080141</v>
      </c>
      <c r="E5048" t="s">
        <v>17474</v>
      </c>
      <c r="F5048" t="s">
        <v>1926</v>
      </c>
      <c r="G5048" t="s">
        <v>15269</v>
      </c>
      <c r="H5048" t="s">
        <v>17475</v>
      </c>
      <c r="I5048" t="s">
        <v>17472</v>
      </c>
      <c r="J5048" t="s">
        <v>15298</v>
      </c>
      <c r="K5048" s="2" t="str">
        <f>HYPERLINK("http://collections.slsa.sa.gov.au/mpcimg/58250/B58075.htm")</f>
        <v>http://collections.slsa.sa.gov.au/mpcimg/58250/B58075.htm</v>
      </c>
    </row>
    <row r="5049" spans="1:11" x14ac:dyDescent="0.25">
      <c r="A5049" t="s">
        <v>17476</v>
      </c>
      <c r="B5049" s="1" t="str">
        <f>HYPERLINK("https://www.catalog.slsa.sa.gov.au/record=b2080145")</f>
        <v>https://www.catalog.slsa.sa.gov.au/record=b2080145</v>
      </c>
      <c r="C5049" s="1" t="str">
        <f>HYPERLINK("https://www.catalog.slsa.sa.gov.au/xrecord=b2080145")</f>
        <v>https://www.catalog.slsa.sa.gov.au/xrecord=b2080145</v>
      </c>
      <c r="E5049" t="s">
        <v>17477</v>
      </c>
      <c r="F5049" t="s">
        <v>1926</v>
      </c>
      <c r="G5049" t="s">
        <v>17478</v>
      </c>
      <c r="H5049" t="s">
        <v>17479</v>
      </c>
      <c r="I5049" t="s">
        <v>17480</v>
      </c>
      <c r="J5049" t="s">
        <v>15298</v>
      </c>
      <c r="K5049" s="2" t="str">
        <f>HYPERLINK("http://collections.slsa.sa.gov.au/mpcimg/58250/B58079.htm")</f>
        <v>http://collections.slsa.sa.gov.au/mpcimg/58250/B58079.htm</v>
      </c>
    </row>
    <row r="5050" spans="1:11" x14ac:dyDescent="0.25">
      <c r="A5050" t="s">
        <v>17481</v>
      </c>
      <c r="B5050" s="1" t="str">
        <f>HYPERLINK("https://www.catalog.slsa.sa.gov.au/record=b2080153")</f>
        <v>https://www.catalog.slsa.sa.gov.au/record=b2080153</v>
      </c>
      <c r="C5050" s="1" t="str">
        <f>HYPERLINK("https://www.catalog.slsa.sa.gov.au/xrecord=b2080153")</f>
        <v>https://www.catalog.slsa.sa.gov.au/xrecord=b2080153</v>
      </c>
      <c r="E5050" t="s">
        <v>17482</v>
      </c>
      <c r="F5050" t="s">
        <v>1926</v>
      </c>
      <c r="G5050" t="s">
        <v>15269</v>
      </c>
      <c r="H5050" t="s">
        <v>17483</v>
      </c>
      <c r="I5050" t="s">
        <v>17484</v>
      </c>
      <c r="J5050" t="s">
        <v>15298</v>
      </c>
      <c r="K5050" s="2" t="str">
        <f>HYPERLINK("http://collections.slsa.sa.gov.au/mpcimg/58250/B58087.htm")</f>
        <v>http://collections.slsa.sa.gov.au/mpcimg/58250/B58087.htm</v>
      </c>
    </row>
    <row r="5051" spans="1:11" x14ac:dyDescent="0.25">
      <c r="A5051" t="s">
        <v>17485</v>
      </c>
      <c r="B5051" s="1" t="str">
        <f>HYPERLINK("https://www.catalog.slsa.sa.gov.au/record=b2080226")</f>
        <v>https://www.catalog.slsa.sa.gov.au/record=b2080226</v>
      </c>
      <c r="C5051" s="1" t="str">
        <f>HYPERLINK("https://www.catalog.slsa.sa.gov.au/xrecord=b2080226")</f>
        <v>https://www.catalog.slsa.sa.gov.au/xrecord=b2080226</v>
      </c>
      <c r="E5051" t="s">
        <v>17486</v>
      </c>
      <c r="F5051" t="s">
        <v>1926</v>
      </c>
      <c r="G5051" t="s">
        <v>15269</v>
      </c>
      <c r="H5051" t="s">
        <v>17487</v>
      </c>
      <c r="I5051" t="s">
        <v>17488</v>
      </c>
      <c r="J5051" t="s">
        <v>17489</v>
      </c>
      <c r="K5051" s="2" t="str">
        <f>HYPERLINK("http://collections.slsa.sa.gov.au/mpcimg/58250/B58160.htm")</f>
        <v>http://collections.slsa.sa.gov.au/mpcimg/58250/B58160.htm</v>
      </c>
    </row>
    <row r="5052" spans="1:11" x14ac:dyDescent="0.25">
      <c r="A5052" t="s">
        <v>17490</v>
      </c>
      <c r="B5052" s="1" t="str">
        <f>HYPERLINK("https://www.catalog.slsa.sa.gov.au/record=b2080227")</f>
        <v>https://www.catalog.slsa.sa.gov.au/record=b2080227</v>
      </c>
      <c r="C5052" s="1" t="str">
        <f>HYPERLINK("https://www.catalog.slsa.sa.gov.au/xrecord=b2080227")</f>
        <v>https://www.catalog.slsa.sa.gov.au/xrecord=b2080227</v>
      </c>
      <c r="E5052" t="s">
        <v>17486</v>
      </c>
      <c r="F5052" t="s">
        <v>1926</v>
      </c>
      <c r="G5052" t="s">
        <v>15269</v>
      </c>
      <c r="H5052" t="s">
        <v>17491</v>
      </c>
      <c r="I5052" t="s">
        <v>17488</v>
      </c>
      <c r="J5052" t="s">
        <v>17489</v>
      </c>
      <c r="K5052" s="2" t="str">
        <f>HYPERLINK("http://collections.slsa.sa.gov.au/mpcimg/58250/B58161.htm")</f>
        <v>http://collections.slsa.sa.gov.au/mpcimg/58250/B58161.htm</v>
      </c>
    </row>
    <row r="5053" spans="1:11" x14ac:dyDescent="0.25">
      <c r="A5053" t="s">
        <v>17492</v>
      </c>
      <c r="B5053" s="1" t="str">
        <f>HYPERLINK("https://www.catalog.slsa.sa.gov.au/record=b2080536")</f>
        <v>https://www.catalog.slsa.sa.gov.au/record=b2080536</v>
      </c>
      <c r="C5053" s="1" t="str">
        <f>HYPERLINK("https://www.catalog.slsa.sa.gov.au/xrecord=b2080536")</f>
        <v>https://www.catalog.slsa.sa.gov.au/xrecord=b2080536</v>
      </c>
      <c r="E5053" t="s">
        <v>17493</v>
      </c>
      <c r="F5053" t="s">
        <v>1926</v>
      </c>
      <c r="G5053" t="s">
        <v>15269</v>
      </c>
      <c r="H5053" t="s">
        <v>17494</v>
      </c>
      <c r="I5053" t="s">
        <v>17495</v>
      </c>
      <c r="J5053" t="s">
        <v>2510</v>
      </c>
      <c r="K5053" s="2" t="str">
        <f>HYPERLINK("http://collections.slsa.sa.gov.au/mpcimg/58500/B58470.htm")</f>
        <v>http://collections.slsa.sa.gov.au/mpcimg/58500/B58470.htm</v>
      </c>
    </row>
    <row r="5054" spans="1:11" x14ac:dyDescent="0.25">
      <c r="A5054" t="s">
        <v>17496</v>
      </c>
      <c r="B5054" s="1" t="str">
        <f>HYPERLINK("https://www.catalog.slsa.sa.gov.au/record=b2080570")</f>
        <v>https://www.catalog.slsa.sa.gov.au/record=b2080570</v>
      </c>
      <c r="C5054" s="1" t="str">
        <f>HYPERLINK("https://www.catalog.slsa.sa.gov.au/xrecord=b2080570")</f>
        <v>https://www.catalog.slsa.sa.gov.au/xrecord=b2080570</v>
      </c>
      <c r="E5054" t="s">
        <v>17497</v>
      </c>
      <c r="F5054" t="s">
        <v>1926</v>
      </c>
      <c r="G5054" t="s">
        <v>17498</v>
      </c>
      <c r="H5054" t="s">
        <v>17499</v>
      </c>
      <c r="I5054" t="s">
        <v>17500</v>
      </c>
      <c r="J5054" t="s">
        <v>2510</v>
      </c>
      <c r="K5054" s="2" t="str">
        <f>HYPERLINK("http://collections.slsa.sa.gov.au/mpcimg/58750/B58504.htm")</f>
        <v>http://collections.slsa.sa.gov.au/mpcimg/58750/B58504.htm</v>
      </c>
    </row>
    <row r="5055" spans="1:11" x14ac:dyDescent="0.25">
      <c r="A5055" t="s">
        <v>17501</v>
      </c>
      <c r="B5055" s="1" t="str">
        <f>HYPERLINK("https://www.catalog.slsa.sa.gov.au/record=b2080571")</f>
        <v>https://www.catalog.slsa.sa.gov.au/record=b2080571</v>
      </c>
      <c r="C5055" s="1" t="str">
        <f>HYPERLINK("https://www.catalog.slsa.sa.gov.au/xrecord=b2080571")</f>
        <v>https://www.catalog.slsa.sa.gov.au/xrecord=b2080571</v>
      </c>
      <c r="E5055" t="s">
        <v>17502</v>
      </c>
      <c r="F5055" t="s">
        <v>1926</v>
      </c>
      <c r="G5055" t="s">
        <v>17503</v>
      </c>
      <c r="H5055" t="s">
        <v>17504</v>
      </c>
      <c r="I5055" t="s">
        <v>17500</v>
      </c>
      <c r="J5055" t="s">
        <v>2510</v>
      </c>
      <c r="K5055" s="2" t="str">
        <f>HYPERLINK("http://collections.slsa.sa.gov.au/mpcimg/58750/B58505.htm")</f>
        <v>http://collections.slsa.sa.gov.au/mpcimg/58750/B58505.htm</v>
      </c>
    </row>
    <row r="5056" spans="1:11" x14ac:dyDescent="0.25">
      <c r="A5056" t="s">
        <v>17505</v>
      </c>
      <c r="B5056" s="1" t="str">
        <f>HYPERLINK("https://www.catalog.slsa.sa.gov.au/record=b2080572")</f>
        <v>https://www.catalog.slsa.sa.gov.au/record=b2080572</v>
      </c>
      <c r="C5056" s="1" t="str">
        <f>HYPERLINK("https://www.catalog.slsa.sa.gov.au/xrecord=b2080572")</f>
        <v>https://www.catalog.slsa.sa.gov.au/xrecord=b2080572</v>
      </c>
      <c r="E5056" t="s">
        <v>17506</v>
      </c>
      <c r="F5056" t="s">
        <v>1926</v>
      </c>
      <c r="G5056" t="s">
        <v>17507</v>
      </c>
      <c r="H5056" t="s">
        <v>17508</v>
      </c>
      <c r="I5056" t="s">
        <v>17500</v>
      </c>
      <c r="J5056" t="s">
        <v>2510</v>
      </c>
      <c r="K5056" s="2" t="str">
        <f>HYPERLINK("http://collections.slsa.sa.gov.au/mpcimg/58750/B58506.htm")</f>
        <v>http://collections.slsa.sa.gov.au/mpcimg/58750/B58506.htm</v>
      </c>
    </row>
    <row r="5057" spans="1:11" x14ac:dyDescent="0.25">
      <c r="A5057" t="s">
        <v>17509</v>
      </c>
      <c r="B5057" s="1" t="str">
        <f>HYPERLINK("https://www.catalog.slsa.sa.gov.au/record=b2080573")</f>
        <v>https://www.catalog.slsa.sa.gov.au/record=b2080573</v>
      </c>
      <c r="C5057" s="1" t="str">
        <f>HYPERLINK("https://www.catalog.slsa.sa.gov.au/xrecord=b2080573")</f>
        <v>https://www.catalog.slsa.sa.gov.au/xrecord=b2080573</v>
      </c>
      <c r="E5057" t="s">
        <v>17510</v>
      </c>
      <c r="F5057" t="s">
        <v>1926</v>
      </c>
      <c r="G5057" t="s">
        <v>17511</v>
      </c>
      <c r="H5057" t="s">
        <v>17512</v>
      </c>
      <c r="I5057" t="s">
        <v>17500</v>
      </c>
      <c r="J5057" t="s">
        <v>2510</v>
      </c>
      <c r="K5057" s="2" t="str">
        <f>HYPERLINK("http://collections.slsa.sa.gov.au/mpcimg/58750/B58507.htm")</f>
        <v>http://collections.slsa.sa.gov.au/mpcimg/58750/B58507.htm</v>
      </c>
    </row>
    <row r="5058" spans="1:11" x14ac:dyDescent="0.25">
      <c r="A5058" t="s">
        <v>17513</v>
      </c>
      <c r="B5058" s="1" t="str">
        <f>HYPERLINK("https://www.catalog.slsa.sa.gov.au/record=b2080576")</f>
        <v>https://www.catalog.slsa.sa.gov.au/record=b2080576</v>
      </c>
      <c r="C5058" s="1" t="str">
        <f>HYPERLINK("https://www.catalog.slsa.sa.gov.au/xrecord=b2080576")</f>
        <v>https://www.catalog.slsa.sa.gov.au/xrecord=b2080576</v>
      </c>
      <c r="E5058" t="s">
        <v>17514</v>
      </c>
      <c r="F5058" t="s">
        <v>1926</v>
      </c>
      <c r="G5058" t="s">
        <v>15269</v>
      </c>
      <c r="H5058" t="s">
        <v>17515</v>
      </c>
      <c r="I5058" t="s">
        <v>17516</v>
      </c>
      <c r="J5058" t="s">
        <v>2510</v>
      </c>
      <c r="K5058" s="2" t="str">
        <f>HYPERLINK("http://collections.slsa.sa.gov.au/mpcimg/58750/B58510.htm")</f>
        <v>http://collections.slsa.sa.gov.au/mpcimg/58750/B58510.htm</v>
      </c>
    </row>
    <row r="5059" spans="1:11" x14ac:dyDescent="0.25">
      <c r="A5059" t="s">
        <v>17517</v>
      </c>
      <c r="B5059" s="1" t="str">
        <f>HYPERLINK("https://www.catalog.slsa.sa.gov.au/record=b2080780")</f>
        <v>https://www.catalog.slsa.sa.gov.au/record=b2080780</v>
      </c>
      <c r="C5059" s="1" t="str">
        <f>HYPERLINK("https://www.catalog.slsa.sa.gov.au/xrecord=b2080780")</f>
        <v>https://www.catalog.slsa.sa.gov.au/xrecord=b2080780</v>
      </c>
      <c r="E5059" t="s">
        <v>17518</v>
      </c>
      <c r="F5059" t="s">
        <v>1926</v>
      </c>
      <c r="G5059" t="s">
        <v>15269</v>
      </c>
      <c r="H5059" t="s">
        <v>17519</v>
      </c>
      <c r="I5059" t="s">
        <v>17520</v>
      </c>
      <c r="J5059" t="s">
        <v>17521</v>
      </c>
      <c r="K5059" s="2" t="str">
        <f>HYPERLINK("http://collections.slsa.sa.gov.au/mpcimg/58750/B58714.htm")</f>
        <v>http://collections.slsa.sa.gov.au/mpcimg/58750/B58714.htm</v>
      </c>
    </row>
    <row r="5060" spans="1:11" x14ac:dyDescent="0.25">
      <c r="A5060" t="s">
        <v>17522</v>
      </c>
      <c r="B5060" s="1" t="str">
        <f>HYPERLINK("https://www.catalog.slsa.sa.gov.au/record=b2081205")</f>
        <v>https://www.catalog.slsa.sa.gov.au/record=b2081205</v>
      </c>
      <c r="C5060" s="1" t="str">
        <f>HYPERLINK("https://www.catalog.slsa.sa.gov.au/xrecord=b2081205")</f>
        <v>https://www.catalog.slsa.sa.gov.au/xrecord=b2081205</v>
      </c>
      <c r="E5060" t="s">
        <v>17523</v>
      </c>
      <c r="F5060" t="s">
        <v>1926</v>
      </c>
      <c r="G5060" t="s">
        <v>15269</v>
      </c>
      <c r="H5060" t="s">
        <v>17524</v>
      </c>
      <c r="I5060" t="s">
        <v>17525</v>
      </c>
      <c r="J5060" t="s">
        <v>17526</v>
      </c>
      <c r="K5060" s="2" t="str">
        <f>HYPERLINK("http://collections.slsa.sa.gov.au/mpcimg/59250/B59141.htm")</f>
        <v>http://collections.slsa.sa.gov.au/mpcimg/59250/B59141.htm</v>
      </c>
    </row>
    <row r="5061" spans="1:11" x14ac:dyDescent="0.25">
      <c r="A5061" t="s">
        <v>17527</v>
      </c>
      <c r="B5061" s="1" t="str">
        <f>HYPERLINK("https://www.catalog.slsa.sa.gov.au/record=b2081541")</f>
        <v>https://www.catalog.slsa.sa.gov.au/record=b2081541</v>
      </c>
      <c r="C5061" s="1" t="str">
        <f>HYPERLINK("https://www.catalog.slsa.sa.gov.au/xrecord=b2081541")</f>
        <v>https://www.catalog.slsa.sa.gov.au/xrecord=b2081541</v>
      </c>
      <c r="E5061" t="s">
        <v>17528</v>
      </c>
      <c r="F5061" t="s">
        <v>1926</v>
      </c>
      <c r="G5061" t="s">
        <v>17529</v>
      </c>
      <c r="H5061" t="s">
        <v>17530</v>
      </c>
      <c r="I5061" t="s">
        <v>17531</v>
      </c>
      <c r="J5061" t="s">
        <v>2510</v>
      </c>
      <c r="K5061" s="2" t="str">
        <f>HYPERLINK("http://collections.slsa.sa.gov.au/mpcimg/59500/B59477.htm")</f>
        <v>http://collections.slsa.sa.gov.au/mpcimg/59500/B59477.htm</v>
      </c>
    </row>
    <row r="5062" spans="1:11" x14ac:dyDescent="0.25">
      <c r="A5062" t="s">
        <v>17532</v>
      </c>
      <c r="B5062" s="1" t="str">
        <f>HYPERLINK("https://www.catalog.slsa.sa.gov.au/record=b2081542")</f>
        <v>https://www.catalog.slsa.sa.gov.au/record=b2081542</v>
      </c>
      <c r="C5062" s="1" t="str">
        <f>HYPERLINK("https://www.catalog.slsa.sa.gov.au/xrecord=b2081542")</f>
        <v>https://www.catalog.slsa.sa.gov.au/xrecord=b2081542</v>
      </c>
      <c r="E5062" t="s">
        <v>17533</v>
      </c>
      <c r="F5062" t="s">
        <v>1926</v>
      </c>
      <c r="G5062" t="s">
        <v>17534</v>
      </c>
      <c r="H5062" t="s">
        <v>17535</v>
      </c>
      <c r="I5062" t="s">
        <v>17536</v>
      </c>
      <c r="J5062" t="s">
        <v>1809</v>
      </c>
      <c r="K5062" s="2" t="str">
        <f>HYPERLINK("http://collections.slsa.sa.gov.au/mpcimg/59500/B59478.htm")</f>
        <v>http://collections.slsa.sa.gov.au/mpcimg/59500/B59478.htm</v>
      </c>
    </row>
    <row r="5063" spans="1:11" x14ac:dyDescent="0.25">
      <c r="A5063" t="s">
        <v>17537</v>
      </c>
      <c r="B5063" s="1" t="str">
        <f>HYPERLINK("https://www.catalog.slsa.sa.gov.au/record=b2081564")</f>
        <v>https://www.catalog.slsa.sa.gov.au/record=b2081564</v>
      </c>
      <c r="C5063" s="1" t="str">
        <f>HYPERLINK("https://www.catalog.slsa.sa.gov.au/xrecord=b2081564")</f>
        <v>https://www.catalog.slsa.sa.gov.au/xrecord=b2081564</v>
      </c>
      <c r="E5063" t="s">
        <v>17538</v>
      </c>
      <c r="F5063" t="s">
        <v>1926</v>
      </c>
      <c r="G5063" t="s">
        <v>15269</v>
      </c>
      <c r="H5063" t="s">
        <v>17539</v>
      </c>
      <c r="I5063" t="s">
        <v>17540</v>
      </c>
      <c r="J5063" t="s">
        <v>2510</v>
      </c>
      <c r="K5063" s="2" t="str">
        <f>HYPERLINK("http://collections.slsa.sa.gov.au/mpcimg/59500/B59500.htm")</f>
        <v>http://collections.slsa.sa.gov.au/mpcimg/59500/B59500.htm</v>
      </c>
    </row>
    <row r="5064" spans="1:11" x14ac:dyDescent="0.25">
      <c r="A5064" t="s">
        <v>17541</v>
      </c>
      <c r="B5064" s="1" t="str">
        <f>HYPERLINK("https://www.catalog.slsa.sa.gov.au/record=b2081651")</f>
        <v>https://www.catalog.slsa.sa.gov.au/record=b2081651</v>
      </c>
      <c r="C5064" s="1" t="str">
        <f>HYPERLINK("https://www.catalog.slsa.sa.gov.au/xrecord=b2081651")</f>
        <v>https://www.catalog.slsa.sa.gov.au/xrecord=b2081651</v>
      </c>
      <c r="E5064" t="s">
        <v>17542</v>
      </c>
      <c r="F5064" t="s">
        <v>1926</v>
      </c>
      <c r="G5064" t="s">
        <v>15269</v>
      </c>
      <c r="H5064" t="s">
        <v>17543</v>
      </c>
      <c r="I5064" t="s">
        <v>17544</v>
      </c>
      <c r="J5064" t="s">
        <v>2510</v>
      </c>
      <c r="K5064" s="2" t="str">
        <f>HYPERLINK("http://collections.slsa.sa.gov.au/mpcimg/59750/B59589.htm")</f>
        <v>http://collections.slsa.sa.gov.au/mpcimg/59750/B59589.htm</v>
      </c>
    </row>
    <row r="5065" spans="1:11" x14ac:dyDescent="0.25">
      <c r="A5065" t="s">
        <v>17545</v>
      </c>
      <c r="B5065" s="1" t="str">
        <f>HYPERLINK("https://www.catalog.slsa.sa.gov.au/record=b2081652")</f>
        <v>https://www.catalog.slsa.sa.gov.au/record=b2081652</v>
      </c>
      <c r="C5065" s="1" t="str">
        <f>HYPERLINK("https://www.catalog.slsa.sa.gov.au/xrecord=b2081652")</f>
        <v>https://www.catalog.slsa.sa.gov.au/xrecord=b2081652</v>
      </c>
      <c r="E5065" t="s">
        <v>17546</v>
      </c>
      <c r="F5065" t="s">
        <v>1926</v>
      </c>
      <c r="G5065" t="s">
        <v>15269</v>
      </c>
      <c r="H5065" t="s">
        <v>17547</v>
      </c>
      <c r="I5065" t="s">
        <v>17544</v>
      </c>
      <c r="J5065" t="s">
        <v>2510</v>
      </c>
      <c r="K5065" s="2" t="str">
        <f>HYPERLINK("http://collections.slsa.sa.gov.au/mpcimg/59750/B59590.htm")</f>
        <v>http://collections.slsa.sa.gov.au/mpcimg/59750/B59590.htm</v>
      </c>
    </row>
    <row r="5066" spans="1:11" x14ac:dyDescent="0.25">
      <c r="A5066" t="s">
        <v>17548</v>
      </c>
      <c r="B5066" s="1" t="str">
        <f>HYPERLINK("https://www.catalog.slsa.sa.gov.au/record=b2081653")</f>
        <v>https://www.catalog.slsa.sa.gov.au/record=b2081653</v>
      </c>
      <c r="C5066" s="1" t="str">
        <f>HYPERLINK("https://www.catalog.slsa.sa.gov.au/xrecord=b2081653")</f>
        <v>https://www.catalog.slsa.sa.gov.au/xrecord=b2081653</v>
      </c>
      <c r="E5066" t="s">
        <v>17549</v>
      </c>
      <c r="F5066" t="s">
        <v>1926</v>
      </c>
      <c r="G5066" t="s">
        <v>15269</v>
      </c>
      <c r="H5066" t="s">
        <v>17550</v>
      </c>
      <c r="I5066" t="s">
        <v>17551</v>
      </c>
      <c r="J5066" t="s">
        <v>2510</v>
      </c>
      <c r="K5066" s="2" t="str">
        <f>HYPERLINK("http://collections.slsa.sa.gov.au/mpcimg/59750/B59591.htm")</f>
        <v>http://collections.slsa.sa.gov.au/mpcimg/59750/B59591.htm</v>
      </c>
    </row>
    <row r="5067" spans="1:11" x14ac:dyDescent="0.25">
      <c r="A5067" t="s">
        <v>17552</v>
      </c>
      <c r="B5067" s="1" t="str">
        <f>HYPERLINK("https://www.catalog.slsa.sa.gov.au/record=b2081654")</f>
        <v>https://www.catalog.slsa.sa.gov.au/record=b2081654</v>
      </c>
      <c r="C5067" s="1" t="str">
        <f>HYPERLINK("https://www.catalog.slsa.sa.gov.au/xrecord=b2081654")</f>
        <v>https://www.catalog.slsa.sa.gov.au/xrecord=b2081654</v>
      </c>
      <c r="E5067" t="s">
        <v>17553</v>
      </c>
      <c r="F5067" t="s">
        <v>1926</v>
      </c>
      <c r="G5067" t="s">
        <v>15269</v>
      </c>
      <c r="H5067" t="s">
        <v>17554</v>
      </c>
      <c r="I5067" t="s">
        <v>17544</v>
      </c>
      <c r="J5067" t="s">
        <v>2510</v>
      </c>
      <c r="K5067" s="2" t="str">
        <f>HYPERLINK("http://collections.slsa.sa.gov.au/mpcimg/59750/B59592.htm")</f>
        <v>http://collections.slsa.sa.gov.au/mpcimg/59750/B59592.htm</v>
      </c>
    </row>
    <row r="5068" spans="1:11" x14ac:dyDescent="0.25">
      <c r="A5068" t="s">
        <v>17555</v>
      </c>
      <c r="B5068" s="1" t="str">
        <f>HYPERLINK("https://www.catalog.slsa.sa.gov.au/record=b2081659")</f>
        <v>https://www.catalog.slsa.sa.gov.au/record=b2081659</v>
      </c>
      <c r="C5068" s="1" t="str">
        <f>HYPERLINK("https://www.catalog.slsa.sa.gov.au/xrecord=b2081659")</f>
        <v>https://www.catalog.slsa.sa.gov.au/xrecord=b2081659</v>
      </c>
      <c r="E5068" t="s">
        <v>17556</v>
      </c>
      <c r="F5068" t="s">
        <v>1926</v>
      </c>
      <c r="G5068" t="s">
        <v>17557</v>
      </c>
      <c r="H5068" t="s">
        <v>17558</v>
      </c>
      <c r="I5068" t="s">
        <v>17559</v>
      </c>
      <c r="J5068" t="s">
        <v>16340</v>
      </c>
      <c r="K5068" s="2" t="str">
        <f>HYPERLINK("http://collections.slsa.sa.gov.au/mpcimg/59750/B59597.htm")</f>
        <v>http://collections.slsa.sa.gov.au/mpcimg/59750/B59597.htm</v>
      </c>
    </row>
    <row r="5069" spans="1:11" x14ac:dyDescent="0.25">
      <c r="A5069" t="s">
        <v>17560</v>
      </c>
      <c r="B5069" s="1" t="str">
        <f>HYPERLINK("https://www.catalog.slsa.sa.gov.au/record=b2082701")</f>
        <v>https://www.catalog.slsa.sa.gov.au/record=b2082701</v>
      </c>
      <c r="C5069" s="1" t="str">
        <f>HYPERLINK("https://www.catalog.slsa.sa.gov.au/xrecord=b2082701")</f>
        <v>https://www.catalog.slsa.sa.gov.au/xrecord=b2082701</v>
      </c>
      <c r="E5069" t="s">
        <v>17561</v>
      </c>
      <c r="F5069" t="s">
        <v>1926</v>
      </c>
      <c r="G5069" t="s">
        <v>15269</v>
      </c>
      <c r="H5069" t="s">
        <v>17562</v>
      </c>
      <c r="I5069" t="s">
        <v>17563</v>
      </c>
      <c r="J5069" t="s">
        <v>16769</v>
      </c>
      <c r="K5069" s="2" t="str">
        <f>HYPERLINK("http://collections.slsa.sa.gov.au/mpcimg/60750/B60641.htm")</f>
        <v>http://collections.slsa.sa.gov.au/mpcimg/60750/B60641.htm</v>
      </c>
    </row>
    <row r="5070" spans="1:11" x14ac:dyDescent="0.25">
      <c r="A5070" t="s">
        <v>17564</v>
      </c>
      <c r="B5070" s="1" t="str">
        <f>HYPERLINK("https://www.catalog.slsa.sa.gov.au/record=b2082702")</f>
        <v>https://www.catalog.slsa.sa.gov.au/record=b2082702</v>
      </c>
      <c r="C5070" s="1" t="str">
        <f>HYPERLINK("https://www.catalog.slsa.sa.gov.au/xrecord=b2082702")</f>
        <v>https://www.catalog.slsa.sa.gov.au/xrecord=b2082702</v>
      </c>
      <c r="E5070" t="s">
        <v>17565</v>
      </c>
      <c r="F5070" t="s">
        <v>1926</v>
      </c>
      <c r="G5070" t="s">
        <v>15269</v>
      </c>
      <c r="H5070" t="s">
        <v>17566</v>
      </c>
      <c r="I5070" t="s">
        <v>17567</v>
      </c>
      <c r="J5070" t="s">
        <v>16775</v>
      </c>
      <c r="K5070" s="2" t="str">
        <f>HYPERLINK("http://collections.slsa.sa.gov.au/mpcimg/60750/B60642.htm")</f>
        <v>http://collections.slsa.sa.gov.au/mpcimg/60750/B60642.htm</v>
      </c>
    </row>
    <row r="5071" spans="1:11" x14ac:dyDescent="0.25">
      <c r="A5071" t="s">
        <v>17568</v>
      </c>
      <c r="B5071" s="1" t="str">
        <f>HYPERLINK("https://www.catalog.slsa.sa.gov.au/record=b2082703")</f>
        <v>https://www.catalog.slsa.sa.gov.au/record=b2082703</v>
      </c>
      <c r="C5071" s="1" t="str">
        <f>HYPERLINK("https://www.catalog.slsa.sa.gov.au/xrecord=b2082703")</f>
        <v>https://www.catalog.slsa.sa.gov.au/xrecord=b2082703</v>
      </c>
      <c r="E5071" t="s">
        <v>17569</v>
      </c>
      <c r="F5071" t="s">
        <v>1926</v>
      </c>
      <c r="G5071" t="s">
        <v>15269</v>
      </c>
      <c r="H5071" t="s">
        <v>17570</v>
      </c>
      <c r="I5071" t="s">
        <v>17571</v>
      </c>
      <c r="J5071" t="s">
        <v>17572</v>
      </c>
      <c r="K5071" s="2" t="str">
        <f>HYPERLINK("http://collections.slsa.sa.gov.au/mpcimg/60750/B60643.htm")</f>
        <v>http://collections.slsa.sa.gov.au/mpcimg/60750/B60643.htm</v>
      </c>
    </row>
    <row r="5072" spans="1:11" x14ac:dyDescent="0.25">
      <c r="A5072" t="s">
        <v>17573</v>
      </c>
      <c r="B5072" s="1" t="str">
        <f>HYPERLINK("https://www.catalog.slsa.sa.gov.au/record=b2082704")</f>
        <v>https://www.catalog.slsa.sa.gov.au/record=b2082704</v>
      </c>
      <c r="C5072" s="1" t="str">
        <f>HYPERLINK("https://www.catalog.slsa.sa.gov.au/xrecord=b2082704")</f>
        <v>https://www.catalog.slsa.sa.gov.au/xrecord=b2082704</v>
      </c>
      <c r="E5072" t="s">
        <v>17574</v>
      </c>
      <c r="F5072" t="s">
        <v>1926</v>
      </c>
      <c r="G5072" t="s">
        <v>15269</v>
      </c>
      <c r="H5072" t="s">
        <v>17575</v>
      </c>
      <c r="I5072" t="s">
        <v>17576</v>
      </c>
      <c r="J5072" t="s">
        <v>17577</v>
      </c>
      <c r="K5072" s="2" t="str">
        <f>HYPERLINK("http://collections.slsa.sa.gov.au/mpcimg/60750/B60644.htm")</f>
        <v>http://collections.slsa.sa.gov.au/mpcimg/60750/B60644.htm</v>
      </c>
    </row>
    <row r="5073" spans="1:11" x14ac:dyDescent="0.25">
      <c r="A5073" t="s">
        <v>17578</v>
      </c>
      <c r="B5073" s="1" t="str">
        <f>HYPERLINK("https://www.catalog.slsa.sa.gov.au/record=b2082705")</f>
        <v>https://www.catalog.slsa.sa.gov.au/record=b2082705</v>
      </c>
      <c r="C5073" s="1" t="str">
        <f>HYPERLINK("https://www.catalog.slsa.sa.gov.au/xrecord=b2082705")</f>
        <v>https://www.catalog.slsa.sa.gov.au/xrecord=b2082705</v>
      </c>
      <c r="E5073" t="s">
        <v>17579</v>
      </c>
      <c r="F5073" t="s">
        <v>1926</v>
      </c>
      <c r="G5073" t="s">
        <v>15269</v>
      </c>
      <c r="H5073" t="s">
        <v>17580</v>
      </c>
      <c r="I5073" t="s">
        <v>17581</v>
      </c>
      <c r="J5073" t="s">
        <v>17577</v>
      </c>
      <c r="K5073" s="2" t="str">
        <f>HYPERLINK("http://collections.slsa.sa.gov.au/mpcimg/60750/B60645.htm")</f>
        <v>http://collections.slsa.sa.gov.au/mpcimg/60750/B60645.htm</v>
      </c>
    </row>
    <row r="5074" spans="1:11" x14ac:dyDescent="0.25">
      <c r="A5074" t="s">
        <v>17582</v>
      </c>
      <c r="B5074" s="1" t="str">
        <f>HYPERLINK("https://www.catalog.slsa.sa.gov.au/record=b2082706")</f>
        <v>https://www.catalog.slsa.sa.gov.au/record=b2082706</v>
      </c>
      <c r="C5074" s="1" t="str">
        <f>HYPERLINK("https://www.catalog.slsa.sa.gov.au/xrecord=b2082706")</f>
        <v>https://www.catalog.slsa.sa.gov.au/xrecord=b2082706</v>
      </c>
      <c r="E5074" t="s">
        <v>17583</v>
      </c>
      <c r="F5074" t="s">
        <v>1926</v>
      </c>
      <c r="G5074" t="s">
        <v>15269</v>
      </c>
      <c r="H5074" t="s">
        <v>17584</v>
      </c>
      <c r="I5074" t="s">
        <v>17585</v>
      </c>
      <c r="J5074" t="s">
        <v>17586</v>
      </c>
      <c r="K5074" s="2" t="str">
        <f>HYPERLINK("http://collections.slsa.sa.gov.au/mpcimg/60750/B60646.htm")</f>
        <v>http://collections.slsa.sa.gov.au/mpcimg/60750/B60646.htm</v>
      </c>
    </row>
    <row r="5075" spans="1:11" x14ac:dyDescent="0.25">
      <c r="A5075" t="s">
        <v>17587</v>
      </c>
      <c r="B5075" s="1" t="str">
        <f>HYPERLINK("https://www.catalog.slsa.sa.gov.au/record=b2082707")</f>
        <v>https://www.catalog.slsa.sa.gov.au/record=b2082707</v>
      </c>
      <c r="C5075" s="1" t="str">
        <f>HYPERLINK("https://www.catalog.slsa.sa.gov.au/xrecord=b2082707")</f>
        <v>https://www.catalog.slsa.sa.gov.au/xrecord=b2082707</v>
      </c>
      <c r="E5075" t="s">
        <v>17588</v>
      </c>
      <c r="F5075" t="s">
        <v>1926</v>
      </c>
      <c r="G5075" t="s">
        <v>15269</v>
      </c>
      <c r="H5075" t="s">
        <v>17589</v>
      </c>
      <c r="I5075" t="s">
        <v>17590</v>
      </c>
      <c r="J5075" t="s">
        <v>15919</v>
      </c>
      <c r="K5075" s="2" t="str">
        <f>HYPERLINK("http://collections.slsa.sa.gov.au/mpcimg/60750/B60647.htm")</f>
        <v>http://collections.slsa.sa.gov.au/mpcimg/60750/B60647.htm</v>
      </c>
    </row>
    <row r="5076" spans="1:11" x14ac:dyDescent="0.25">
      <c r="A5076" t="s">
        <v>17591</v>
      </c>
      <c r="B5076" s="1" t="str">
        <f>HYPERLINK("https://www.catalog.slsa.sa.gov.au/record=b2082708")</f>
        <v>https://www.catalog.slsa.sa.gov.au/record=b2082708</v>
      </c>
      <c r="C5076" s="1" t="str">
        <f>HYPERLINK("https://www.catalog.slsa.sa.gov.au/xrecord=b2082708")</f>
        <v>https://www.catalog.slsa.sa.gov.au/xrecord=b2082708</v>
      </c>
      <c r="E5076" t="s">
        <v>17592</v>
      </c>
      <c r="F5076" t="s">
        <v>1926</v>
      </c>
      <c r="G5076" t="s">
        <v>15269</v>
      </c>
      <c r="H5076" t="s">
        <v>17593</v>
      </c>
      <c r="I5076" t="s">
        <v>17594</v>
      </c>
      <c r="J5076" t="s">
        <v>17595</v>
      </c>
      <c r="K5076" s="2" t="str">
        <f>HYPERLINK("http://collections.slsa.sa.gov.au/mpcimg/60750/B60648.htm")</f>
        <v>http://collections.slsa.sa.gov.au/mpcimg/60750/B60648.htm</v>
      </c>
    </row>
    <row r="5077" spans="1:11" x14ac:dyDescent="0.25">
      <c r="A5077" t="s">
        <v>17596</v>
      </c>
      <c r="B5077" s="1" t="str">
        <f>HYPERLINK("https://www.catalog.slsa.sa.gov.au/record=b2082709")</f>
        <v>https://www.catalog.slsa.sa.gov.au/record=b2082709</v>
      </c>
      <c r="C5077" s="1" t="str">
        <f>HYPERLINK("https://www.catalog.slsa.sa.gov.au/xrecord=b2082709")</f>
        <v>https://www.catalog.slsa.sa.gov.au/xrecord=b2082709</v>
      </c>
      <c r="E5077" t="s">
        <v>17597</v>
      </c>
      <c r="F5077" t="s">
        <v>1926</v>
      </c>
      <c r="G5077" t="s">
        <v>15269</v>
      </c>
      <c r="H5077" t="s">
        <v>17598</v>
      </c>
      <c r="I5077" t="s">
        <v>17599</v>
      </c>
      <c r="J5077" t="s">
        <v>17600</v>
      </c>
      <c r="K5077" s="2" t="str">
        <f>HYPERLINK("http://collections.slsa.sa.gov.au/mpcimg/60750/B60649.htm")</f>
        <v>http://collections.slsa.sa.gov.au/mpcimg/60750/B60649.htm</v>
      </c>
    </row>
    <row r="5078" spans="1:11" x14ac:dyDescent="0.25">
      <c r="A5078" t="s">
        <v>17601</v>
      </c>
      <c r="B5078" s="1" t="str">
        <f>HYPERLINK("https://www.catalog.slsa.sa.gov.au/record=b2082710")</f>
        <v>https://www.catalog.slsa.sa.gov.au/record=b2082710</v>
      </c>
      <c r="C5078" s="1" t="str">
        <f>HYPERLINK("https://www.catalog.slsa.sa.gov.au/xrecord=b2082710")</f>
        <v>https://www.catalog.slsa.sa.gov.au/xrecord=b2082710</v>
      </c>
      <c r="E5078" t="s">
        <v>17602</v>
      </c>
      <c r="F5078" t="s">
        <v>1926</v>
      </c>
      <c r="G5078" t="s">
        <v>15269</v>
      </c>
      <c r="H5078" t="s">
        <v>17603</v>
      </c>
      <c r="I5078" t="s">
        <v>17604</v>
      </c>
      <c r="J5078" t="s">
        <v>17605</v>
      </c>
      <c r="K5078" s="2" t="str">
        <f>HYPERLINK("http://collections.slsa.sa.gov.au/mpcimg/60750/B60650.htm")</f>
        <v>http://collections.slsa.sa.gov.au/mpcimg/60750/B60650.htm</v>
      </c>
    </row>
    <row r="5079" spans="1:11" x14ac:dyDescent="0.25">
      <c r="A5079" t="s">
        <v>17606</v>
      </c>
      <c r="B5079" s="1" t="str">
        <f>HYPERLINK("https://www.catalog.slsa.sa.gov.au/record=b2082711")</f>
        <v>https://www.catalog.slsa.sa.gov.au/record=b2082711</v>
      </c>
      <c r="C5079" s="1" t="str">
        <f>HYPERLINK("https://www.catalog.slsa.sa.gov.au/xrecord=b2082711")</f>
        <v>https://www.catalog.slsa.sa.gov.au/xrecord=b2082711</v>
      </c>
      <c r="E5079" t="s">
        <v>17607</v>
      </c>
      <c r="F5079" t="s">
        <v>1926</v>
      </c>
      <c r="G5079" t="s">
        <v>15269</v>
      </c>
      <c r="H5079" t="s">
        <v>17608</v>
      </c>
      <c r="I5079" t="s">
        <v>17609</v>
      </c>
      <c r="J5079" t="s">
        <v>17610</v>
      </c>
      <c r="K5079" s="2" t="str">
        <f>HYPERLINK("http://collections.slsa.sa.gov.au/mpcimg/60750/B60651.htm")</f>
        <v>http://collections.slsa.sa.gov.au/mpcimg/60750/B60651.htm</v>
      </c>
    </row>
    <row r="5080" spans="1:11" x14ac:dyDescent="0.25">
      <c r="A5080" t="s">
        <v>17611</v>
      </c>
      <c r="B5080" s="1" t="str">
        <f>HYPERLINK("https://www.catalog.slsa.sa.gov.au/record=b2082712")</f>
        <v>https://www.catalog.slsa.sa.gov.au/record=b2082712</v>
      </c>
      <c r="C5080" s="1" t="str">
        <f>HYPERLINK("https://www.catalog.slsa.sa.gov.au/xrecord=b2082712")</f>
        <v>https://www.catalog.slsa.sa.gov.au/xrecord=b2082712</v>
      </c>
      <c r="E5080" t="s">
        <v>17612</v>
      </c>
      <c r="F5080" t="s">
        <v>1926</v>
      </c>
      <c r="G5080" t="s">
        <v>15269</v>
      </c>
      <c r="H5080" t="s">
        <v>17613</v>
      </c>
      <c r="I5080" t="s">
        <v>17614</v>
      </c>
      <c r="J5080" t="s">
        <v>17615</v>
      </c>
      <c r="K5080" s="2" t="str">
        <f>HYPERLINK("http://collections.slsa.sa.gov.au/mpcimg/60750/B60652.htm")</f>
        <v>http://collections.slsa.sa.gov.au/mpcimg/60750/B60652.htm</v>
      </c>
    </row>
    <row r="5081" spans="1:11" x14ac:dyDescent="0.25">
      <c r="A5081" t="s">
        <v>17616</v>
      </c>
      <c r="B5081" s="1" t="str">
        <f>HYPERLINK("https://www.catalog.slsa.sa.gov.au/record=b2082713")</f>
        <v>https://www.catalog.slsa.sa.gov.au/record=b2082713</v>
      </c>
      <c r="C5081" s="1" t="str">
        <f>HYPERLINK("https://www.catalog.slsa.sa.gov.au/xrecord=b2082713")</f>
        <v>https://www.catalog.slsa.sa.gov.au/xrecord=b2082713</v>
      </c>
      <c r="E5081" t="s">
        <v>17617</v>
      </c>
      <c r="F5081" t="s">
        <v>1926</v>
      </c>
      <c r="G5081" t="s">
        <v>15269</v>
      </c>
      <c r="H5081" t="s">
        <v>17618</v>
      </c>
      <c r="I5081" t="s">
        <v>11017</v>
      </c>
      <c r="J5081" t="s">
        <v>17619</v>
      </c>
      <c r="K5081" s="2" t="str">
        <f>HYPERLINK("http://collections.slsa.sa.gov.au/mpcimg/60750/B60653.htm")</f>
        <v>http://collections.slsa.sa.gov.au/mpcimg/60750/B60653.htm</v>
      </c>
    </row>
    <row r="5082" spans="1:11" x14ac:dyDescent="0.25">
      <c r="A5082" t="s">
        <v>17620</v>
      </c>
      <c r="B5082" s="1" t="str">
        <f>HYPERLINK("https://www.catalog.slsa.sa.gov.au/record=b2082727")</f>
        <v>https://www.catalog.slsa.sa.gov.au/record=b2082727</v>
      </c>
      <c r="C5082" s="1" t="str">
        <f>HYPERLINK("https://www.catalog.slsa.sa.gov.au/xrecord=b2082727")</f>
        <v>https://www.catalog.slsa.sa.gov.au/xrecord=b2082727</v>
      </c>
      <c r="E5082" t="s">
        <v>17621</v>
      </c>
      <c r="F5082" t="s">
        <v>1926</v>
      </c>
      <c r="G5082" t="s">
        <v>15269</v>
      </c>
      <c r="H5082" t="s">
        <v>17622</v>
      </c>
      <c r="I5082" t="s">
        <v>17623</v>
      </c>
      <c r="J5082" t="s">
        <v>16370</v>
      </c>
      <c r="K5082" s="2" t="str">
        <f>HYPERLINK("http://collections.slsa.sa.gov.au/mpcimg/60750/B60667.htm")</f>
        <v>http://collections.slsa.sa.gov.au/mpcimg/60750/B60667.htm</v>
      </c>
    </row>
    <row r="5083" spans="1:11" x14ac:dyDescent="0.25">
      <c r="A5083" t="s">
        <v>17624</v>
      </c>
      <c r="B5083" s="1" t="str">
        <f>HYPERLINK("https://www.catalog.slsa.sa.gov.au/record=b2082728")</f>
        <v>https://www.catalog.slsa.sa.gov.au/record=b2082728</v>
      </c>
      <c r="C5083" s="1" t="str">
        <f>HYPERLINK("https://www.catalog.slsa.sa.gov.au/xrecord=b2082728")</f>
        <v>https://www.catalog.slsa.sa.gov.au/xrecord=b2082728</v>
      </c>
      <c r="E5083" t="s">
        <v>17625</v>
      </c>
      <c r="F5083" t="s">
        <v>1926</v>
      </c>
      <c r="G5083" t="s">
        <v>15269</v>
      </c>
      <c r="H5083" t="s">
        <v>17626</v>
      </c>
      <c r="I5083" t="s">
        <v>17627</v>
      </c>
      <c r="J5083" t="s">
        <v>17628</v>
      </c>
      <c r="K5083" s="2" t="str">
        <f>HYPERLINK("http://collections.slsa.sa.gov.au/mpcimg/60750/B60668.htm")</f>
        <v>http://collections.slsa.sa.gov.au/mpcimg/60750/B60668.htm</v>
      </c>
    </row>
    <row r="5084" spans="1:11" x14ac:dyDescent="0.25">
      <c r="A5084" t="s">
        <v>17629</v>
      </c>
      <c r="B5084" s="1" t="str">
        <f>HYPERLINK("https://www.catalog.slsa.sa.gov.au/record=b2082729")</f>
        <v>https://www.catalog.slsa.sa.gov.au/record=b2082729</v>
      </c>
      <c r="C5084" s="1" t="str">
        <f>HYPERLINK("https://www.catalog.slsa.sa.gov.au/xrecord=b2082729")</f>
        <v>https://www.catalog.slsa.sa.gov.au/xrecord=b2082729</v>
      </c>
      <c r="E5084" t="s">
        <v>17630</v>
      </c>
      <c r="F5084" t="s">
        <v>1926</v>
      </c>
      <c r="G5084" t="s">
        <v>15269</v>
      </c>
      <c r="H5084" t="s">
        <v>17631</v>
      </c>
      <c r="I5084" t="s">
        <v>17632</v>
      </c>
      <c r="J5084" t="s">
        <v>17586</v>
      </c>
      <c r="K5084" s="2" t="str">
        <f>HYPERLINK("http://collections.slsa.sa.gov.au/mpcimg/60750/B60669.htm")</f>
        <v>http://collections.slsa.sa.gov.au/mpcimg/60750/B60669.htm</v>
      </c>
    </row>
    <row r="5085" spans="1:11" x14ac:dyDescent="0.25">
      <c r="A5085" t="s">
        <v>17633</v>
      </c>
      <c r="B5085" s="1" t="str">
        <f>HYPERLINK("https://www.catalog.slsa.sa.gov.au/record=b2082730")</f>
        <v>https://www.catalog.slsa.sa.gov.au/record=b2082730</v>
      </c>
      <c r="C5085" s="1" t="str">
        <f>HYPERLINK("https://www.catalog.slsa.sa.gov.au/xrecord=b2082730")</f>
        <v>https://www.catalog.slsa.sa.gov.au/xrecord=b2082730</v>
      </c>
      <c r="E5085" t="s">
        <v>17634</v>
      </c>
      <c r="F5085" t="s">
        <v>1926</v>
      </c>
      <c r="G5085" t="s">
        <v>15269</v>
      </c>
      <c r="H5085" t="s">
        <v>17635</v>
      </c>
      <c r="I5085" t="s">
        <v>17636</v>
      </c>
      <c r="J5085" t="s">
        <v>16780</v>
      </c>
      <c r="K5085" s="2" t="str">
        <f>HYPERLINK("http://collections.slsa.sa.gov.au/mpcimg/60750/B60670.htm")</f>
        <v>http://collections.slsa.sa.gov.au/mpcimg/60750/B60670.htm</v>
      </c>
    </row>
    <row r="5086" spans="1:11" x14ac:dyDescent="0.25">
      <c r="A5086" t="s">
        <v>17637</v>
      </c>
      <c r="B5086" s="1" t="str">
        <f>HYPERLINK("https://www.catalog.slsa.sa.gov.au/record=b2082951")</f>
        <v>https://www.catalog.slsa.sa.gov.au/record=b2082951</v>
      </c>
      <c r="C5086" s="1" t="str">
        <f>HYPERLINK("https://www.catalog.slsa.sa.gov.au/xrecord=b2082951")</f>
        <v>https://www.catalog.slsa.sa.gov.au/xrecord=b2082951</v>
      </c>
      <c r="E5086" t="s">
        <v>17638</v>
      </c>
      <c r="F5086" t="s">
        <v>1926</v>
      </c>
      <c r="G5086" t="s">
        <v>17639</v>
      </c>
      <c r="H5086" t="s">
        <v>17640</v>
      </c>
      <c r="I5086" t="s">
        <v>17641</v>
      </c>
      <c r="J5086" t="s">
        <v>5399</v>
      </c>
      <c r="K5086" s="2" t="str">
        <f>HYPERLINK("http://collections.slsa.sa.gov.au/mpcimg/61000/B60891.htm")</f>
        <v>http://collections.slsa.sa.gov.au/mpcimg/61000/B60891.htm</v>
      </c>
    </row>
    <row r="5087" spans="1:11" x14ac:dyDescent="0.25">
      <c r="A5087" t="s">
        <v>17642</v>
      </c>
      <c r="B5087" s="1" t="str">
        <f>HYPERLINK("https://www.catalog.slsa.sa.gov.au/record=b2082952")</f>
        <v>https://www.catalog.slsa.sa.gov.au/record=b2082952</v>
      </c>
      <c r="C5087" s="1" t="str">
        <f>HYPERLINK("https://www.catalog.slsa.sa.gov.au/xrecord=b2082952")</f>
        <v>https://www.catalog.slsa.sa.gov.au/xrecord=b2082952</v>
      </c>
      <c r="E5087" t="s">
        <v>17638</v>
      </c>
      <c r="F5087" t="s">
        <v>1926</v>
      </c>
      <c r="G5087" t="s">
        <v>17639</v>
      </c>
      <c r="H5087" t="s">
        <v>17643</v>
      </c>
      <c r="I5087" t="s">
        <v>17641</v>
      </c>
      <c r="J5087" t="s">
        <v>5399</v>
      </c>
      <c r="K5087" s="2" t="str">
        <f>HYPERLINK("http://collections.slsa.sa.gov.au/mpcimg/61000/B60892.htm")</f>
        <v>http://collections.slsa.sa.gov.au/mpcimg/61000/B60892.htm</v>
      </c>
    </row>
    <row r="5088" spans="1:11" x14ac:dyDescent="0.25">
      <c r="A5088" t="s">
        <v>17644</v>
      </c>
      <c r="B5088" s="1" t="str">
        <f>HYPERLINK("https://www.catalog.slsa.sa.gov.au/record=b2082953")</f>
        <v>https://www.catalog.slsa.sa.gov.au/record=b2082953</v>
      </c>
      <c r="C5088" s="1" t="str">
        <f>HYPERLINK("https://www.catalog.slsa.sa.gov.au/xrecord=b2082953")</f>
        <v>https://www.catalog.slsa.sa.gov.au/xrecord=b2082953</v>
      </c>
      <c r="E5088" t="s">
        <v>17638</v>
      </c>
      <c r="F5088" t="s">
        <v>1926</v>
      </c>
      <c r="G5088" t="s">
        <v>17639</v>
      </c>
      <c r="H5088" t="s">
        <v>17645</v>
      </c>
      <c r="J5088" t="s">
        <v>5399</v>
      </c>
      <c r="K5088" s="2" t="str">
        <f>HYPERLINK("http://collections.slsa.sa.gov.au/mpcimg/61000/B60893.htm")</f>
        <v>http://collections.slsa.sa.gov.au/mpcimg/61000/B60893.htm</v>
      </c>
    </row>
    <row r="5089" spans="1:11" x14ac:dyDescent="0.25">
      <c r="A5089" t="s">
        <v>17646</v>
      </c>
      <c r="B5089" s="1" t="str">
        <f>HYPERLINK("https://www.catalog.slsa.sa.gov.au/record=b2083429")</f>
        <v>https://www.catalog.slsa.sa.gov.au/record=b2083429</v>
      </c>
      <c r="C5089" s="1" t="str">
        <f>HYPERLINK("https://www.catalog.slsa.sa.gov.au/xrecord=b2083429")</f>
        <v>https://www.catalog.slsa.sa.gov.au/xrecord=b2083429</v>
      </c>
      <c r="E5089" t="s">
        <v>17647</v>
      </c>
      <c r="F5089" t="s">
        <v>1926</v>
      </c>
      <c r="G5089" t="s">
        <v>17648</v>
      </c>
      <c r="H5089" t="s">
        <v>17649</v>
      </c>
      <c r="I5089" t="s">
        <v>17571</v>
      </c>
      <c r="J5089" t="s">
        <v>17650</v>
      </c>
      <c r="K5089" s="2" t="str">
        <f>HYPERLINK("http://collections.slsa.sa.gov.au/mpcimg/61500/B61476.htm")</f>
        <v>http://collections.slsa.sa.gov.au/mpcimg/61500/B61476.htm</v>
      </c>
    </row>
    <row r="5090" spans="1:11" x14ac:dyDescent="0.25">
      <c r="A5090" t="s">
        <v>17651</v>
      </c>
      <c r="B5090" s="1" t="str">
        <f>HYPERLINK("https://www.catalog.slsa.sa.gov.au/record=b2083549")</f>
        <v>https://www.catalog.slsa.sa.gov.au/record=b2083549</v>
      </c>
      <c r="C5090" s="1" t="str">
        <f>HYPERLINK("https://www.catalog.slsa.sa.gov.au/xrecord=b2083549")</f>
        <v>https://www.catalog.slsa.sa.gov.au/xrecord=b2083549</v>
      </c>
      <c r="E5090" t="s">
        <v>17652</v>
      </c>
      <c r="F5090" t="s">
        <v>1926</v>
      </c>
      <c r="G5090" t="s">
        <v>17653</v>
      </c>
      <c r="H5090" t="s">
        <v>17654</v>
      </c>
      <c r="I5090" t="s">
        <v>17655</v>
      </c>
      <c r="J5090" t="s">
        <v>2807</v>
      </c>
      <c r="K5090" s="2" t="str">
        <f>HYPERLINK("http://collections.slsa.sa.gov.au/mpcimg/61750/B61567.htm")</f>
        <v>http://collections.slsa.sa.gov.au/mpcimg/61750/B61567.htm</v>
      </c>
    </row>
    <row r="5091" spans="1:11" x14ac:dyDescent="0.25">
      <c r="A5091" t="s">
        <v>17656</v>
      </c>
      <c r="B5091" s="1" t="str">
        <f>HYPERLINK("https://www.catalog.slsa.sa.gov.au/record=b2083679")</f>
        <v>https://www.catalog.slsa.sa.gov.au/record=b2083679</v>
      </c>
      <c r="C5091" s="1" t="str">
        <f>HYPERLINK("https://www.catalog.slsa.sa.gov.au/xrecord=b2083679")</f>
        <v>https://www.catalog.slsa.sa.gov.au/xrecord=b2083679</v>
      </c>
      <c r="D5091" t="s">
        <v>2584</v>
      </c>
      <c r="E5091" t="s">
        <v>17657</v>
      </c>
      <c r="F5091" t="s">
        <v>1926</v>
      </c>
      <c r="G5091" t="s">
        <v>17658</v>
      </c>
      <c r="H5091" t="s">
        <v>17659</v>
      </c>
      <c r="I5091" t="s">
        <v>17660</v>
      </c>
      <c r="J5091" t="s">
        <v>1809</v>
      </c>
      <c r="K5091" s="2" t="str">
        <f>HYPERLINK("http://collections.slsa.sa.gov.au/mpcimg/62500/B62411.htm")</f>
        <v>http://collections.slsa.sa.gov.au/mpcimg/62500/B62411.htm</v>
      </c>
    </row>
    <row r="5092" spans="1:11" x14ac:dyDescent="0.25">
      <c r="A5092" t="s">
        <v>17661</v>
      </c>
      <c r="B5092" s="1" t="str">
        <f>HYPERLINK("https://www.catalog.slsa.sa.gov.au/record=b2083967")</f>
        <v>https://www.catalog.slsa.sa.gov.au/record=b2083967</v>
      </c>
      <c r="C5092" s="1" t="str">
        <f>HYPERLINK("https://www.catalog.slsa.sa.gov.au/xrecord=b2083967")</f>
        <v>https://www.catalog.slsa.sa.gov.au/xrecord=b2083967</v>
      </c>
      <c r="E5092" t="s">
        <v>17662</v>
      </c>
      <c r="F5092" t="s">
        <v>1926</v>
      </c>
      <c r="G5092" t="s">
        <v>17663</v>
      </c>
      <c r="H5092" t="s">
        <v>17664</v>
      </c>
      <c r="I5092" t="s">
        <v>17641</v>
      </c>
      <c r="J5092" t="s">
        <v>5399</v>
      </c>
      <c r="K5092" s="2" t="str">
        <f>HYPERLINK("http://collections.slsa.sa.gov.au/mpcimg/62750/B62699.htm")</f>
        <v>http://collections.slsa.sa.gov.au/mpcimg/62750/B62699.htm</v>
      </c>
    </row>
    <row r="5093" spans="1:11" x14ac:dyDescent="0.25">
      <c r="A5093" t="s">
        <v>17665</v>
      </c>
      <c r="B5093" s="1" t="str">
        <f>HYPERLINK("https://www.catalog.slsa.sa.gov.au/record=b2084025")</f>
        <v>https://www.catalog.slsa.sa.gov.au/record=b2084025</v>
      </c>
      <c r="C5093" s="1" t="str">
        <f>HYPERLINK("https://www.catalog.slsa.sa.gov.au/xrecord=b2084025")</f>
        <v>https://www.catalog.slsa.sa.gov.au/xrecord=b2084025</v>
      </c>
      <c r="E5093" t="s">
        <v>17666</v>
      </c>
      <c r="F5093" t="s">
        <v>1926</v>
      </c>
      <c r="G5093" t="s">
        <v>17667</v>
      </c>
      <c r="H5093" t="s">
        <v>17668</v>
      </c>
      <c r="I5093" t="s">
        <v>15218</v>
      </c>
      <c r="J5093" t="s">
        <v>2510</v>
      </c>
      <c r="K5093" s="2" t="str">
        <f>HYPERLINK("http://collections.slsa.sa.gov.au/mpcimg/63000/B62757.htm")</f>
        <v>http://collections.slsa.sa.gov.au/mpcimg/63000/B62757.htm</v>
      </c>
    </row>
    <row r="5094" spans="1:11" x14ac:dyDescent="0.25">
      <c r="A5094" t="s">
        <v>17669</v>
      </c>
      <c r="B5094" s="1" t="str">
        <f>HYPERLINK("https://www.catalog.slsa.sa.gov.au/record=b2086926")</f>
        <v>https://www.catalog.slsa.sa.gov.au/record=b2086926</v>
      </c>
      <c r="C5094" s="1" t="str">
        <f>HYPERLINK("https://www.catalog.slsa.sa.gov.au/xrecord=b2086926")</f>
        <v>https://www.catalog.slsa.sa.gov.au/xrecord=b2086926</v>
      </c>
      <c r="E5094" t="s">
        <v>17670</v>
      </c>
      <c r="F5094" t="s">
        <v>1926</v>
      </c>
      <c r="G5094" t="s">
        <v>15955</v>
      </c>
      <c r="H5094" t="s">
        <v>17671</v>
      </c>
      <c r="I5094" t="s">
        <v>2760</v>
      </c>
      <c r="J5094" t="s">
        <v>17672</v>
      </c>
      <c r="K5094" s="2" t="str">
        <f>HYPERLINK("http://collections.slsa.sa.gov.au/mpcimg/68500/B68355.htm")</f>
        <v>http://collections.slsa.sa.gov.au/mpcimg/68500/B68355.htm</v>
      </c>
    </row>
    <row r="5095" spans="1:11" x14ac:dyDescent="0.25">
      <c r="A5095" t="s">
        <v>17673</v>
      </c>
      <c r="B5095" s="1" t="str">
        <f>HYPERLINK("https://www.catalog.slsa.sa.gov.au/record=b2086927")</f>
        <v>https://www.catalog.slsa.sa.gov.au/record=b2086927</v>
      </c>
      <c r="C5095" s="1" t="str">
        <f>HYPERLINK("https://www.catalog.slsa.sa.gov.au/xrecord=b2086927")</f>
        <v>https://www.catalog.slsa.sa.gov.au/xrecord=b2086927</v>
      </c>
      <c r="E5095" t="s">
        <v>17674</v>
      </c>
      <c r="F5095" t="s">
        <v>1926</v>
      </c>
      <c r="G5095" t="s">
        <v>15955</v>
      </c>
      <c r="H5095" t="s">
        <v>17675</v>
      </c>
      <c r="I5095" t="s">
        <v>2760</v>
      </c>
      <c r="J5095" t="s">
        <v>2510</v>
      </c>
      <c r="K5095" s="2" t="str">
        <f>HYPERLINK("http://collections.slsa.sa.gov.au/mpcimg/68500/B68356.htm")</f>
        <v>http://collections.slsa.sa.gov.au/mpcimg/68500/B68356.htm</v>
      </c>
    </row>
    <row r="5096" spans="1:11" x14ac:dyDescent="0.25">
      <c r="A5096" t="s">
        <v>17676</v>
      </c>
      <c r="B5096" s="1" t="str">
        <f>HYPERLINK("https://www.catalog.slsa.sa.gov.au/record=b2087694")</f>
        <v>https://www.catalog.slsa.sa.gov.au/record=b2087694</v>
      </c>
      <c r="C5096" s="1" t="str">
        <f>HYPERLINK("https://www.catalog.slsa.sa.gov.au/xrecord=b2087694")</f>
        <v>https://www.catalog.slsa.sa.gov.au/xrecord=b2087694</v>
      </c>
      <c r="D5096" t="s">
        <v>16540</v>
      </c>
      <c r="E5096" t="s">
        <v>17677</v>
      </c>
      <c r="F5096" t="s">
        <v>1926</v>
      </c>
      <c r="G5096" t="s">
        <v>17678</v>
      </c>
      <c r="H5096" t="s">
        <v>17679</v>
      </c>
      <c r="I5096" t="s">
        <v>17680</v>
      </c>
      <c r="J5096" t="s">
        <v>1809</v>
      </c>
      <c r="K5096" s="2" t="str">
        <f>HYPERLINK("http://collections.slsa.sa.gov.au/mpcimg/68500/B68402.htm")</f>
        <v>http://collections.slsa.sa.gov.au/mpcimg/68500/B68402.htm</v>
      </c>
    </row>
    <row r="5097" spans="1:11" x14ac:dyDescent="0.25">
      <c r="A5097" t="s">
        <v>17681</v>
      </c>
      <c r="B5097" s="1" t="str">
        <f>HYPERLINK("https://www.catalog.slsa.sa.gov.au/record=b2089623")</f>
        <v>https://www.catalog.slsa.sa.gov.au/record=b2089623</v>
      </c>
      <c r="C5097" s="1" t="str">
        <f>HYPERLINK("https://www.catalog.slsa.sa.gov.au/xrecord=b2089623")</f>
        <v>https://www.catalog.slsa.sa.gov.au/xrecord=b2089623</v>
      </c>
      <c r="D5097" t="s">
        <v>16540</v>
      </c>
      <c r="E5097" t="s">
        <v>17682</v>
      </c>
      <c r="F5097" t="s">
        <v>1926</v>
      </c>
      <c r="G5097" t="s">
        <v>17683</v>
      </c>
      <c r="H5097" t="s">
        <v>17684</v>
      </c>
      <c r="I5097" t="s">
        <v>17685</v>
      </c>
      <c r="J5097" t="s">
        <v>15023</v>
      </c>
      <c r="K5097" s="2" t="str">
        <f>HYPERLINK("http://collections.slsa.sa.gov.au/mpcimg/68750/B68526.htm")</f>
        <v>http://collections.slsa.sa.gov.au/mpcimg/68750/B68526.htm</v>
      </c>
    </row>
    <row r="5098" spans="1:11" x14ac:dyDescent="0.25">
      <c r="A5098" t="s">
        <v>17686</v>
      </c>
      <c r="B5098" s="1" t="str">
        <f>HYPERLINK("https://www.catalog.slsa.sa.gov.au/record=b2089632")</f>
        <v>https://www.catalog.slsa.sa.gov.au/record=b2089632</v>
      </c>
      <c r="C5098" s="1" t="str">
        <f>HYPERLINK("https://www.catalog.slsa.sa.gov.au/xrecord=b2089632")</f>
        <v>https://www.catalog.slsa.sa.gov.au/xrecord=b2089632</v>
      </c>
      <c r="E5098" t="s">
        <v>17687</v>
      </c>
      <c r="F5098" t="s">
        <v>1926</v>
      </c>
      <c r="G5098" t="s">
        <v>14799</v>
      </c>
      <c r="H5098" t="s">
        <v>17688</v>
      </c>
      <c r="I5098" t="s">
        <v>17689</v>
      </c>
      <c r="J5098" t="s">
        <v>2510</v>
      </c>
      <c r="K5098" s="2" t="str">
        <f>HYPERLINK("http://collections.slsa.sa.gov.au/mpcimg/68750/B68535.htm")</f>
        <v>http://collections.slsa.sa.gov.au/mpcimg/68750/B68535.htm</v>
      </c>
    </row>
    <row r="5099" spans="1:11" x14ac:dyDescent="0.25">
      <c r="A5099" t="s">
        <v>17690</v>
      </c>
      <c r="B5099" s="1" t="str">
        <f>HYPERLINK("https://www.catalog.slsa.sa.gov.au/record=b2089633")</f>
        <v>https://www.catalog.slsa.sa.gov.au/record=b2089633</v>
      </c>
      <c r="C5099" s="1" t="str">
        <f>HYPERLINK("https://www.catalog.slsa.sa.gov.au/xrecord=b2089633")</f>
        <v>https://www.catalog.slsa.sa.gov.au/xrecord=b2089633</v>
      </c>
      <c r="E5099" t="s">
        <v>17691</v>
      </c>
      <c r="F5099" t="s">
        <v>1926</v>
      </c>
      <c r="G5099" t="s">
        <v>14799</v>
      </c>
      <c r="H5099" t="s">
        <v>17692</v>
      </c>
      <c r="I5099" t="s">
        <v>17689</v>
      </c>
      <c r="J5099" t="s">
        <v>2510</v>
      </c>
      <c r="K5099" s="2" t="str">
        <f>HYPERLINK("http://collections.slsa.sa.gov.au/mpcimg/68750/B68536.htm")</f>
        <v>http://collections.slsa.sa.gov.au/mpcimg/68750/B68536.htm</v>
      </c>
    </row>
    <row r="5100" spans="1:11" x14ac:dyDescent="0.25">
      <c r="A5100" t="s">
        <v>17693</v>
      </c>
      <c r="B5100" s="1" t="str">
        <f>HYPERLINK("https://www.catalog.slsa.sa.gov.au/record=b2089634")</f>
        <v>https://www.catalog.slsa.sa.gov.au/record=b2089634</v>
      </c>
      <c r="C5100" s="1" t="str">
        <f>HYPERLINK("https://www.catalog.slsa.sa.gov.au/xrecord=b2089634")</f>
        <v>https://www.catalog.slsa.sa.gov.au/xrecord=b2089634</v>
      </c>
      <c r="E5100" t="s">
        <v>17691</v>
      </c>
      <c r="F5100" t="s">
        <v>1926</v>
      </c>
      <c r="G5100" t="s">
        <v>14799</v>
      </c>
      <c r="H5100" t="s">
        <v>17692</v>
      </c>
      <c r="I5100" t="s">
        <v>17689</v>
      </c>
      <c r="J5100" t="s">
        <v>2510</v>
      </c>
      <c r="K5100" s="2" t="str">
        <f>HYPERLINK("http://collections.slsa.sa.gov.au/mpcimg/68750/B68537.htm")</f>
        <v>http://collections.slsa.sa.gov.au/mpcimg/68750/B68537.htm</v>
      </c>
    </row>
    <row r="5101" spans="1:11" x14ac:dyDescent="0.25">
      <c r="A5101" t="s">
        <v>17694</v>
      </c>
      <c r="B5101" s="1" t="str">
        <f>HYPERLINK("https://www.catalog.slsa.sa.gov.au/record=b2089635")</f>
        <v>https://www.catalog.slsa.sa.gov.au/record=b2089635</v>
      </c>
      <c r="C5101" s="1" t="str">
        <f>HYPERLINK("https://www.catalog.slsa.sa.gov.au/xrecord=b2089635")</f>
        <v>https://www.catalog.slsa.sa.gov.au/xrecord=b2089635</v>
      </c>
      <c r="E5101" t="s">
        <v>17695</v>
      </c>
      <c r="F5101" t="s">
        <v>1926</v>
      </c>
      <c r="G5101" t="s">
        <v>14799</v>
      </c>
      <c r="H5101" t="s">
        <v>17696</v>
      </c>
      <c r="I5101" t="s">
        <v>17689</v>
      </c>
      <c r="J5101" t="s">
        <v>2510</v>
      </c>
      <c r="K5101" s="2" t="str">
        <f>HYPERLINK("http://collections.slsa.sa.gov.au/mpcimg/68750/B68538.htm")</f>
        <v>http://collections.slsa.sa.gov.au/mpcimg/68750/B68538.htm</v>
      </c>
    </row>
    <row r="5102" spans="1:11" x14ac:dyDescent="0.25">
      <c r="A5102" t="s">
        <v>17697</v>
      </c>
      <c r="B5102" s="1" t="str">
        <f>HYPERLINK("https://www.catalog.slsa.sa.gov.au/record=b2090269")</f>
        <v>https://www.catalog.slsa.sa.gov.au/record=b2090269</v>
      </c>
      <c r="C5102" s="1" t="str">
        <f>HYPERLINK("https://www.catalog.slsa.sa.gov.au/xrecord=b2090269")</f>
        <v>https://www.catalog.slsa.sa.gov.au/xrecord=b2090269</v>
      </c>
      <c r="E5102" t="s">
        <v>15365</v>
      </c>
      <c r="F5102" t="s">
        <v>1926</v>
      </c>
      <c r="G5102" t="s">
        <v>17698</v>
      </c>
      <c r="H5102" t="s">
        <v>17699</v>
      </c>
      <c r="I5102" t="s">
        <v>15400</v>
      </c>
      <c r="J5102" t="s">
        <v>15341</v>
      </c>
      <c r="K5102" s="2" t="str">
        <f>HYPERLINK("http://collections.slsa.sa.gov.au/mpcimg/59000/B58892_115.htm")</f>
        <v>http://collections.slsa.sa.gov.au/mpcimg/59000/B58892_115.htm</v>
      </c>
    </row>
    <row r="5103" spans="1:11" x14ac:dyDescent="0.25">
      <c r="A5103" t="s">
        <v>17700</v>
      </c>
      <c r="B5103" s="1" t="str">
        <f>HYPERLINK("https://www.catalog.slsa.sa.gov.au/record=b2090535")</f>
        <v>https://www.catalog.slsa.sa.gov.au/record=b2090535</v>
      </c>
      <c r="C5103" s="1" t="str">
        <f>HYPERLINK("https://www.catalog.slsa.sa.gov.au/xrecord=b2090535")</f>
        <v>https://www.catalog.slsa.sa.gov.au/xrecord=b2090535</v>
      </c>
      <c r="E5103" t="s">
        <v>15394</v>
      </c>
      <c r="F5103" t="s">
        <v>1926</v>
      </c>
      <c r="G5103" t="s">
        <v>17701</v>
      </c>
      <c r="H5103" t="s">
        <v>17702</v>
      </c>
      <c r="I5103" t="s">
        <v>17703</v>
      </c>
      <c r="J5103" t="s">
        <v>15341</v>
      </c>
      <c r="K5103" s="2" t="str">
        <f>HYPERLINK("http://collections.slsa.sa.gov.au/mpcimg/59000/B58892_371.htm")</f>
        <v>http://collections.slsa.sa.gov.au/mpcimg/59000/B58892_371.htm</v>
      </c>
    </row>
    <row r="5104" spans="1:11" x14ac:dyDescent="0.25">
      <c r="A5104" t="s">
        <v>17704</v>
      </c>
      <c r="B5104" s="1" t="str">
        <f>HYPERLINK("https://www.catalog.slsa.sa.gov.au/record=b2090724")</f>
        <v>https://www.catalog.slsa.sa.gov.au/record=b2090724</v>
      </c>
      <c r="C5104" s="1" t="str">
        <f>HYPERLINK("https://www.catalog.slsa.sa.gov.au/xrecord=b2090724")</f>
        <v>https://www.catalog.slsa.sa.gov.au/xrecord=b2090724</v>
      </c>
      <c r="E5104" t="s">
        <v>15402</v>
      </c>
      <c r="F5104" t="s">
        <v>1926</v>
      </c>
      <c r="G5104" t="s">
        <v>17705</v>
      </c>
      <c r="H5104" t="s">
        <v>17706</v>
      </c>
      <c r="I5104" t="s">
        <v>17703</v>
      </c>
      <c r="J5104" t="s">
        <v>15341</v>
      </c>
      <c r="K5104" s="2" t="str">
        <f>HYPERLINK("http://collections.slsa.sa.gov.au/mpcimg/59000/B58892_511.htm")</f>
        <v>http://collections.slsa.sa.gov.au/mpcimg/59000/B58892_511.htm</v>
      </c>
    </row>
    <row r="5105" spans="1:11" x14ac:dyDescent="0.25">
      <c r="A5105" t="s">
        <v>17707</v>
      </c>
      <c r="B5105" s="1" t="str">
        <f>HYPERLINK("https://www.catalog.slsa.sa.gov.au/record=b2090739")</f>
        <v>https://www.catalog.slsa.sa.gov.au/record=b2090739</v>
      </c>
      <c r="C5105" s="1" t="str">
        <f>HYPERLINK("https://www.catalog.slsa.sa.gov.au/xrecord=b2090739")</f>
        <v>https://www.catalog.slsa.sa.gov.au/xrecord=b2090739</v>
      </c>
      <c r="E5105" t="s">
        <v>15402</v>
      </c>
      <c r="F5105" t="s">
        <v>1926</v>
      </c>
      <c r="G5105" t="s">
        <v>17708</v>
      </c>
      <c r="H5105" t="s">
        <v>17709</v>
      </c>
      <c r="I5105" t="s">
        <v>17710</v>
      </c>
      <c r="J5105" t="s">
        <v>15341</v>
      </c>
      <c r="K5105" s="2" t="str">
        <f>HYPERLINK("http://collections.slsa.sa.gov.au/mpcimg/59000/B58892_526.htm")</f>
        <v>http://collections.slsa.sa.gov.au/mpcimg/59000/B58892_526.htm</v>
      </c>
    </row>
    <row r="5106" spans="1:11" x14ac:dyDescent="0.25">
      <c r="A5106" t="s">
        <v>17711</v>
      </c>
      <c r="B5106" s="1" t="str">
        <f>HYPERLINK("https://www.catalog.slsa.sa.gov.au/record=b2091996")</f>
        <v>https://www.catalog.slsa.sa.gov.au/record=b2091996</v>
      </c>
      <c r="C5106" s="1" t="str">
        <f>HYPERLINK("https://www.catalog.slsa.sa.gov.au/xrecord=b2091996")</f>
        <v>https://www.catalog.slsa.sa.gov.au/xrecord=b2091996</v>
      </c>
      <c r="E5106" t="s">
        <v>17712</v>
      </c>
      <c r="F5106" t="s">
        <v>1926</v>
      </c>
      <c r="G5106" t="s">
        <v>17713</v>
      </c>
      <c r="H5106" t="s">
        <v>17714</v>
      </c>
      <c r="I5106" t="s">
        <v>17715</v>
      </c>
      <c r="J5106" t="s">
        <v>14768</v>
      </c>
      <c r="K5106" s="2" t="str">
        <f>HYPERLINK("http://collections.slsa.sa.gov.au/mpcimg/61250/B61020_17.htm")</f>
        <v>http://collections.slsa.sa.gov.au/mpcimg/61250/B61020_17.htm</v>
      </c>
    </row>
    <row r="5107" spans="1:11" x14ac:dyDescent="0.25">
      <c r="A5107" t="s">
        <v>17716</v>
      </c>
      <c r="B5107" s="1" t="str">
        <f>HYPERLINK("https://www.catalog.slsa.sa.gov.au/record=b2091997")</f>
        <v>https://www.catalog.slsa.sa.gov.au/record=b2091997</v>
      </c>
      <c r="C5107" s="1" t="str">
        <f>HYPERLINK("https://www.catalog.slsa.sa.gov.au/xrecord=b2091997")</f>
        <v>https://www.catalog.slsa.sa.gov.au/xrecord=b2091997</v>
      </c>
      <c r="E5107" t="s">
        <v>2695</v>
      </c>
      <c r="F5107" t="s">
        <v>1926</v>
      </c>
      <c r="G5107" t="s">
        <v>17717</v>
      </c>
      <c r="H5107" t="s">
        <v>17718</v>
      </c>
      <c r="I5107" t="s">
        <v>17719</v>
      </c>
      <c r="J5107" t="s">
        <v>14768</v>
      </c>
      <c r="K5107" s="2" t="str">
        <f>HYPERLINK("http://collections.slsa.sa.gov.au/mpcimg/61250/B61020_19.htm")</f>
        <v>http://collections.slsa.sa.gov.au/mpcimg/61250/B61020_19.htm</v>
      </c>
    </row>
    <row r="5108" spans="1:11" x14ac:dyDescent="0.25">
      <c r="A5108" t="s">
        <v>17720</v>
      </c>
      <c r="B5108" s="1" t="str">
        <f>HYPERLINK("https://www.catalog.slsa.sa.gov.au/record=b2091998")</f>
        <v>https://www.catalog.slsa.sa.gov.au/record=b2091998</v>
      </c>
      <c r="C5108" s="1" t="str">
        <f>HYPERLINK("https://www.catalog.slsa.sa.gov.au/xrecord=b2091998")</f>
        <v>https://www.catalog.slsa.sa.gov.au/xrecord=b2091998</v>
      </c>
      <c r="E5108" t="s">
        <v>2695</v>
      </c>
      <c r="F5108" t="s">
        <v>1926</v>
      </c>
      <c r="G5108" t="s">
        <v>17717</v>
      </c>
      <c r="H5108" t="s">
        <v>17721</v>
      </c>
      <c r="I5108" t="s">
        <v>17719</v>
      </c>
      <c r="J5108" t="s">
        <v>14768</v>
      </c>
      <c r="K5108" s="2" t="str">
        <f>HYPERLINK("http://collections.slsa.sa.gov.au/mpcimg/61250/B61020_20.htm")</f>
        <v>http://collections.slsa.sa.gov.au/mpcimg/61250/B61020_20.htm</v>
      </c>
    </row>
    <row r="5109" spans="1:11" x14ac:dyDescent="0.25">
      <c r="A5109" t="s">
        <v>17722</v>
      </c>
      <c r="B5109" s="1" t="str">
        <f>HYPERLINK("https://www.catalog.slsa.sa.gov.au/record=b2091999")</f>
        <v>https://www.catalog.slsa.sa.gov.au/record=b2091999</v>
      </c>
      <c r="C5109" s="1" t="str">
        <f>HYPERLINK("https://www.catalog.slsa.sa.gov.au/xrecord=b2091999")</f>
        <v>https://www.catalog.slsa.sa.gov.au/xrecord=b2091999</v>
      </c>
      <c r="E5109" t="s">
        <v>17723</v>
      </c>
      <c r="F5109" t="s">
        <v>1926</v>
      </c>
      <c r="G5109" t="s">
        <v>17717</v>
      </c>
      <c r="H5109" t="s">
        <v>17724</v>
      </c>
      <c r="I5109" t="s">
        <v>17725</v>
      </c>
      <c r="J5109" t="s">
        <v>14768</v>
      </c>
      <c r="K5109" s="2" t="str">
        <f>HYPERLINK("http://collections.slsa.sa.gov.au/mpcimg/61250/B61020_21.htm")</f>
        <v>http://collections.slsa.sa.gov.au/mpcimg/61250/B61020_21.htm</v>
      </c>
    </row>
    <row r="5110" spans="1:11" x14ac:dyDescent="0.25">
      <c r="A5110" t="s">
        <v>17726</v>
      </c>
      <c r="B5110" s="1" t="str">
        <f>HYPERLINK("https://www.catalog.slsa.sa.gov.au/record=b2092000")</f>
        <v>https://www.catalog.slsa.sa.gov.au/record=b2092000</v>
      </c>
      <c r="C5110" s="1" t="str">
        <f>HYPERLINK("https://www.catalog.slsa.sa.gov.au/xrecord=b2092000")</f>
        <v>https://www.catalog.slsa.sa.gov.au/xrecord=b2092000</v>
      </c>
      <c r="E5110" t="s">
        <v>17727</v>
      </c>
      <c r="F5110" t="s">
        <v>1926</v>
      </c>
      <c r="G5110" t="s">
        <v>17717</v>
      </c>
      <c r="H5110" t="s">
        <v>17728</v>
      </c>
      <c r="I5110" t="s">
        <v>17729</v>
      </c>
      <c r="J5110" t="s">
        <v>14768</v>
      </c>
      <c r="K5110" s="2" t="str">
        <f>HYPERLINK("http://collections.slsa.sa.gov.au/mpcimg/61250/B61020_22.htm")</f>
        <v>http://collections.slsa.sa.gov.au/mpcimg/61250/B61020_22.htm</v>
      </c>
    </row>
    <row r="5111" spans="1:11" x14ac:dyDescent="0.25">
      <c r="A5111" t="s">
        <v>17730</v>
      </c>
      <c r="B5111" s="1" t="str">
        <f>HYPERLINK("https://www.catalog.slsa.sa.gov.au/record=b2092001")</f>
        <v>https://www.catalog.slsa.sa.gov.au/record=b2092001</v>
      </c>
      <c r="C5111" s="1" t="str">
        <f>HYPERLINK("https://www.catalog.slsa.sa.gov.au/xrecord=b2092001")</f>
        <v>https://www.catalog.slsa.sa.gov.au/xrecord=b2092001</v>
      </c>
      <c r="E5111" t="s">
        <v>17731</v>
      </c>
      <c r="F5111" t="s">
        <v>1926</v>
      </c>
      <c r="G5111" t="s">
        <v>15632</v>
      </c>
      <c r="H5111" t="s">
        <v>17732</v>
      </c>
      <c r="I5111" t="s">
        <v>17733</v>
      </c>
      <c r="J5111" t="s">
        <v>14768</v>
      </c>
      <c r="K5111" s="2" t="str">
        <f>HYPERLINK("http://collections.slsa.sa.gov.au/mpcimg/61250/B61020_23.htm")</f>
        <v>http://collections.slsa.sa.gov.au/mpcimg/61250/B61020_23.htm</v>
      </c>
    </row>
    <row r="5112" spans="1:11" x14ac:dyDescent="0.25">
      <c r="A5112" t="s">
        <v>17734</v>
      </c>
      <c r="B5112" s="1" t="str">
        <f>HYPERLINK("https://www.catalog.slsa.sa.gov.au/record=b2092003")</f>
        <v>https://www.catalog.slsa.sa.gov.au/record=b2092003</v>
      </c>
      <c r="C5112" s="1" t="str">
        <f>HYPERLINK("https://www.catalog.slsa.sa.gov.au/xrecord=b2092003")</f>
        <v>https://www.catalog.slsa.sa.gov.au/xrecord=b2092003</v>
      </c>
      <c r="E5112" t="s">
        <v>17735</v>
      </c>
      <c r="F5112" t="s">
        <v>1926</v>
      </c>
      <c r="G5112" t="s">
        <v>17736</v>
      </c>
      <c r="H5112" t="s">
        <v>17737</v>
      </c>
      <c r="I5112" t="s">
        <v>17738</v>
      </c>
      <c r="J5112" t="s">
        <v>14768</v>
      </c>
      <c r="K5112" s="2" t="str">
        <f>HYPERLINK("http://collections.slsa.sa.gov.au/mpcimg/61250/B61020_25.htm")</f>
        <v>http://collections.slsa.sa.gov.au/mpcimg/61250/B61020_25.htm</v>
      </c>
    </row>
    <row r="5113" spans="1:11" x14ac:dyDescent="0.25">
      <c r="A5113" t="s">
        <v>17739</v>
      </c>
      <c r="B5113" s="1" t="str">
        <f>HYPERLINK("https://www.catalog.slsa.sa.gov.au/record=b2092004")</f>
        <v>https://www.catalog.slsa.sa.gov.au/record=b2092004</v>
      </c>
      <c r="C5113" s="1" t="str">
        <f>HYPERLINK("https://www.catalog.slsa.sa.gov.au/xrecord=b2092004")</f>
        <v>https://www.catalog.slsa.sa.gov.au/xrecord=b2092004</v>
      </c>
      <c r="E5113" t="s">
        <v>17735</v>
      </c>
      <c r="F5113" t="s">
        <v>1926</v>
      </c>
      <c r="G5113" t="s">
        <v>17717</v>
      </c>
      <c r="H5113" t="s">
        <v>17740</v>
      </c>
      <c r="I5113" t="s">
        <v>17738</v>
      </c>
      <c r="J5113" t="s">
        <v>14768</v>
      </c>
      <c r="K5113" s="2" t="str">
        <f>HYPERLINK("http://collections.slsa.sa.gov.au/mpcimg/61250/B61020_26.htm")</f>
        <v>http://collections.slsa.sa.gov.au/mpcimg/61250/B61020_26.htm</v>
      </c>
    </row>
    <row r="5114" spans="1:11" x14ac:dyDescent="0.25">
      <c r="A5114" t="s">
        <v>17741</v>
      </c>
      <c r="B5114" s="1" t="str">
        <f>HYPERLINK("https://www.catalog.slsa.sa.gov.au/record=b2092005")</f>
        <v>https://www.catalog.slsa.sa.gov.au/record=b2092005</v>
      </c>
      <c r="C5114" s="1" t="str">
        <f>HYPERLINK("https://www.catalog.slsa.sa.gov.au/xrecord=b2092005")</f>
        <v>https://www.catalog.slsa.sa.gov.au/xrecord=b2092005</v>
      </c>
      <c r="E5114" t="s">
        <v>17742</v>
      </c>
      <c r="F5114" t="s">
        <v>1926</v>
      </c>
      <c r="G5114" t="s">
        <v>17717</v>
      </c>
      <c r="H5114" t="s">
        <v>17743</v>
      </c>
      <c r="I5114" t="s">
        <v>17744</v>
      </c>
      <c r="J5114" t="s">
        <v>14768</v>
      </c>
      <c r="K5114" s="2" t="str">
        <f>HYPERLINK("http://collections.slsa.sa.gov.au/mpcimg/61250/B61020_27.htm")</f>
        <v>http://collections.slsa.sa.gov.au/mpcimg/61250/B61020_27.htm</v>
      </c>
    </row>
    <row r="5115" spans="1:11" x14ac:dyDescent="0.25">
      <c r="A5115" t="s">
        <v>17745</v>
      </c>
      <c r="B5115" s="1" t="str">
        <f>HYPERLINK("https://www.catalog.slsa.sa.gov.au/record=b2092006")</f>
        <v>https://www.catalog.slsa.sa.gov.au/record=b2092006</v>
      </c>
      <c r="C5115" s="1" t="str">
        <f>HYPERLINK("https://www.catalog.slsa.sa.gov.au/xrecord=b2092006")</f>
        <v>https://www.catalog.slsa.sa.gov.au/xrecord=b2092006</v>
      </c>
      <c r="E5115" t="s">
        <v>17746</v>
      </c>
      <c r="F5115" t="s">
        <v>1926</v>
      </c>
      <c r="G5115" t="s">
        <v>17717</v>
      </c>
      <c r="H5115" t="s">
        <v>17747</v>
      </c>
      <c r="I5115" t="s">
        <v>17748</v>
      </c>
      <c r="J5115" t="s">
        <v>14768</v>
      </c>
      <c r="K5115" s="2" t="str">
        <f>HYPERLINK("http://collections.slsa.sa.gov.au/mpcimg/61250/B61020_28.htm")</f>
        <v>http://collections.slsa.sa.gov.au/mpcimg/61250/B61020_28.htm</v>
      </c>
    </row>
    <row r="5116" spans="1:11" x14ac:dyDescent="0.25">
      <c r="A5116" t="s">
        <v>17749</v>
      </c>
      <c r="B5116" s="1" t="str">
        <f>HYPERLINK("https://www.catalog.slsa.sa.gov.au/record=b2092007")</f>
        <v>https://www.catalog.slsa.sa.gov.au/record=b2092007</v>
      </c>
      <c r="C5116" s="1" t="str">
        <f>HYPERLINK("https://www.catalog.slsa.sa.gov.au/xrecord=b2092007")</f>
        <v>https://www.catalog.slsa.sa.gov.au/xrecord=b2092007</v>
      </c>
      <c r="E5116" t="s">
        <v>17750</v>
      </c>
      <c r="F5116" t="s">
        <v>1926</v>
      </c>
      <c r="G5116" t="s">
        <v>17717</v>
      </c>
      <c r="H5116" t="s">
        <v>17751</v>
      </c>
      <c r="I5116" t="s">
        <v>17752</v>
      </c>
      <c r="J5116" t="s">
        <v>14768</v>
      </c>
      <c r="K5116" s="2" t="str">
        <f>HYPERLINK("http://collections.slsa.sa.gov.au/mpcimg/61250/B61020_29.htm")</f>
        <v>http://collections.slsa.sa.gov.au/mpcimg/61250/B61020_29.htm</v>
      </c>
    </row>
    <row r="5117" spans="1:11" x14ac:dyDescent="0.25">
      <c r="A5117" t="s">
        <v>17753</v>
      </c>
      <c r="B5117" s="1" t="str">
        <f>HYPERLINK("https://www.catalog.slsa.sa.gov.au/record=b2092009")</f>
        <v>https://www.catalog.slsa.sa.gov.au/record=b2092009</v>
      </c>
      <c r="C5117" s="1" t="str">
        <f>HYPERLINK("https://www.catalog.slsa.sa.gov.au/xrecord=b2092009")</f>
        <v>https://www.catalog.slsa.sa.gov.au/xrecord=b2092009</v>
      </c>
      <c r="E5117" t="s">
        <v>17754</v>
      </c>
      <c r="F5117" t="s">
        <v>1926</v>
      </c>
      <c r="G5117" t="s">
        <v>17717</v>
      </c>
      <c r="H5117" t="s">
        <v>17755</v>
      </c>
      <c r="I5117" t="s">
        <v>17756</v>
      </c>
      <c r="J5117" t="s">
        <v>14768</v>
      </c>
      <c r="K5117" s="2" t="str">
        <f>HYPERLINK("http://collections.slsa.sa.gov.au/mpcimg/61250/B61020_31.htm")</f>
        <v>http://collections.slsa.sa.gov.au/mpcimg/61250/B61020_31.htm</v>
      </c>
    </row>
    <row r="5118" spans="1:11" x14ac:dyDescent="0.25">
      <c r="A5118" t="s">
        <v>17757</v>
      </c>
      <c r="B5118" s="1" t="str">
        <f>HYPERLINK("https://www.catalog.slsa.sa.gov.au/record=b2092010")</f>
        <v>https://www.catalog.slsa.sa.gov.au/record=b2092010</v>
      </c>
      <c r="C5118" s="1" t="str">
        <f>HYPERLINK("https://www.catalog.slsa.sa.gov.au/xrecord=b2092010")</f>
        <v>https://www.catalog.slsa.sa.gov.au/xrecord=b2092010</v>
      </c>
      <c r="E5118" t="s">
        <v>17754</v>
      </c>
      <c r="F5118" t="s">
        <v>1926</v>
      </c>
      <c r="G5118" t="s">
        <v>17717</v>
      </c>
      <c r="H5118" t="s">
        <v>17758</v>
      </c>
      <c r="I5118" t="s">
        <v>17756</v>
      </c>
      <c r="J5118" t="s">
        <v>14768</v>
      </c>
      <c r="K5118" s="2" t="str">
        <f>HYPERLINK("http://collections.slsa.sa.gov.au/mpcimg/61250/B61020_32.htm")</f>
        <v>http://collections.slsa.sa.gov.au/mpcimg/61250/B61020_32.htm</v>
      </c>
    </row>
    <row r="5119" spans="1:11" x14ac:dyDescent="0.25">
      <c r="A5119" t="s">
        <v>17759</v>
      </c>
      <c r="B5119" s="1" t="str">
        <f>HYPERLINK("https://www.catalog.slsa.sa.gov.au/record=b2092011")</f>
        <v>https://www.catalog.slsa.sa.gov.au/record=b2092011</v>
      </c>
      <c r="C5119" s="1" t="str">
        <f>HYPERLINK("https://www.catalog.slsa.sa.gov.au/xrecord=b2092011")</f>
        <v>https://www.catalog.slsa.sa.gov.au/xrecord=b2092011</v>
      </c>
      <c r="E5119" t="s">
        <v>17754</v>
      </c>
      <c r="F5119" t="s">
        <v>1926</v>
      </c>
      <c r="G5119" t="s">
        <v>17717</v>
      </c>
      <c r="H5119" t="s">
        <v>17760</v>
      </c>
      <c r="I5119" t="s">
        <v>17761</v>
      </c>
      <c r="J5119" t="s">
        <v>14768</v>
      </c>
      <c r="K5119" s="2" t="str">
        <f>HYPERLINK("http://collections.slsa.sa.gov.au/mpcimg/61250/B61020_33.htm")</f>
        <v>http://collections.slsa.sa.gov.au/mpcimg/61250/B61020_33.htm</v>
      </c>
    </row>
    <row r="5120" spans="1:11" x14ac:dyDescent="0.25">
      <c r="A5120" t="s">
        <v>17762</v>
      </c>
      <c r="B5120" s="1" t="str">
        <f>HYPERLINK("https://www.catalog.slsa.sa.gov.au/record=b2092012")</f>
        <v>https://www.catalog.slsa.sa.gov.au/record=b2092012</v>
      </c>
      <c r="C5120" s="1" t="str">
        <f>HYPERLINK("https://www.catalog.slsa.sa.gov.au/xrecord=b2092012")</f>
        <v>https://www.catalog.slsa.sa.gov.au/xrecord=b2092012</v>
      </c>
      <c r="E5120" t="s">
        <v>17754</v>
      </c>
      <c r="F5120" t="s">
        <v>1926</v>
      </c>
      <c r="G5120" t="s">
        <v>17717</v>
      </c>
      <c r="H5120" t="s">
        <v>17763</v>
      </c>
      <c r="I5120" t="s">
        <v>17764</v>
      </c>
      <c r="J5120" t="s">
        <v>14768</v>
      </c>
      <c r="K5120" s="2" t="str">
        <f>HYPERLINK("http://collections.slsa.sa.gov.au/mpcimg/61250/B61020_34.htm")</f>
        <v>http://collections.slsa.sa.gov.au/mpcimg/61250/B61020_34.htm</v>
      </c>
    </row>
    <row r="5121" spans="1:11" x14ac:dyDescent="0.25">
      <c r="A5121" t="s">
        <v>17765</v>
      </c>
      <c r="B5121" s="1" t="str">
        <f>HYPERLINK("https://www.catalog.slsa.sa.gov.au/record=b2092013")</f>
        <v>https://www.catalog.slsa.sa.gov.au/record=b2092013</v>
      </c>
      <c r="C5121" s="1" t="str">
        <f>HYPERLINK("https://www.catalog.slsa.sa.gov.au/xrecord=b2092013")</f>
        <v>https://www.catalog.slsa.sa.gov.au/xrecord=b2092013</v>
      </c>
      <c r="E5121" t="s">
        <v>17766</v>
      </c>
      <c r="F5121" t="s">
        <v>1926</v>
      </c>
      <c r="G5121" t="s">
        <v>17717</v>
      </c>
      <c r="H5121" t="s">
        <v>17767</v>
      </c>
      <c r="I5121" t="s">
        <v>17768</v>
      </c>
      <c r="J5121" t="s">
        <v>14768</v>
      </c>
      <c r="K5121" s="2" t="str">
        <f>HYPERLINK("http://collections.slsa.sa.gov.au/mpcimg/61250/B61020_35.htm")</f>
        <v>http://collections.slsa.sa.gov.au/mpcimg/61250/B61020_35.htm</v>
      </c>
    </row>
    <row r="5122" spans="1:11" x14ac:dyDescent="0.25">
      <c r="A5122" t="s">
        <v>17769</v>
      </c>
      <c r="B5122" s="1" t="str">
        <f>HYPERLINK("https://www.catalog.slsa.sa.gov.au/record=b2092014")</f>
        <v>https://www.catalog.slsa.sa.gov.au/record=b2092014</v>
      </c>
      <c r="C5122" s="1" t="str">
        <f>HYPERLINK("https://www.catalog.slsa.sa.gov.au/xrecord=b2092014")</f>
        <v>https://www.catalog.slsa.sa.gov.au/xrecord=b2092014</v>
      </c>
      <c r="E5122" t="s">
        <v>17770</v>
      </c>
      <c r="F5122" t="s">
        <v>1926</v>
      </c>
      <c r="G5122" t="s">
        <v>17717</v>
      </c>
      <c r="H5122" t="s">
        <v>17771</v>
      </c>
      <c r="I5122" t="s">
        <v>17772</v>
      </c>
      <c r="J5122" t="s">
        <v>14768</v>
      </c>
      <c r="K5122" s="2" t="str">
        <f>HYPERLINK("http://collections.slsa.sa.gov.au/mpcimg/61250/B61020_36.htm")</f>
        <v>http://collections.slsa.sa.gov.au/mpcimg/61250/B61020_36.htm</v>
      </c>
    </row>
    <row r="5123" spans="1:11" x14ac:dyDescent="0.25">
      <c r="A5123" t="s">
        <v>17773</v>
      </c>
      <c r="B5123" s="1" t="str">
        <f>HYPERLINK("https://www.catalog.slsa.sa.gov.au/record=b2092015")</f>
        <v>https://www.catalog.slsa.sa.gov.au/record=b2092015</v>
      </c>
      <c r="C5123" s="1" t="str">
        <f>HYPERLINK("https://www.catalog.slsa.sa.gov.au/xrecord=b2092015")</f>
        <v>https://www.catalog.slsa.sa.gov.au/xrecord=b2092015</v>
      </c>
      <c r="E5123" t="s">
        <v>17774</v>
      </c>
      <c r="F5123" t="s">
        <v>1926</v>
      </c>
      <c r="G5123" t="s">
        <v>17717</v>
      </c>
      <c r="H5123" t="s">
        <v>17775</v>
      </c>
      <c r="I5123" t="s">
        <v>17776</v>
      </c>
      <c r="J5123" t="s">
        <v>14768</v>
      </c>
      <c r="K5123" s="2" t="str">
        <f>HYPERLINK("http://collections.slsa.sa.gov.au/mpcimg/61250/B61020_37.htm")</f>
        <v>http://collections.slsa.sa.gov.au/mpcimg/61250/B61020_37.htm</v>
      </c>
    </row>
    <row r="5124" spans="1:11" x14ac:dyDescent="0.25">
      <c r="A5124" t="s">
        <v>17777</v>
      </c>
      <c r="B5124" s="1" t="str">
        <f>HYPERLINK("https://www.catalog.slsa.sa.gov.au/record=b2092016")</f>
        <v>https://www.catalog.slsa.sa.gov.au/record=b2092016</v>
      </c>
      <c r="C5124" s="1" t="str">
        <f>HYPERLINK("https://www.catalog.slsa.sa.gov.au/xrecord=b2092016")</f>
        <v>https://www.catalog.slsa.sa.gov.au/xrecord=b2092016</v>
      </c>
      <c r="E5124" t="s">
        <v>17778</v>
      </c>
      <c r="F5124" t="s">
        <v>1926</v>
      </c>
      <c r="G5124" t="s">
        <v>17717</v>
      </c>
      <c r="H5124" t="s">
        <v>17779</v>
      </c>
      <c r="I5124" t="s">
        <v>17780</v>
      </c>
      <c r="J5124" t="s">
        <v>14768</v>
      </c>
      <c r="K5124" s="2" t="str">
        <f>HYPERLINK("http://collections.slsa.sa.gov.au/mpcimg/61250/B61020_38.htm")</f>
        <v>http://collections.slsa.sa.gov.au/mpcimg/61250/B61020_38.htm</v>
      </c>
    </row>
    <row r="5125" spans="1:11" x14ac:dyDescent="0.25">
      <c r="A5125" t="s">
        <v>17781</v>
      </c>
      <c r="B5125" s="1" t="str">
        <f>HYPERLINK("https://www.catalog.slsa.sa.gov.au/record=b2092017")</f>
        <v>https://www.catalog.slsa.sa.gov.au/record=b2092017</v>
      </c>
      <c r="C5125" s="1" t="str">
        <f>HYPERLINK("https://www.catalog.slsa.sa.gov.au/xrecord=b2092017")</f>
        <v>https://www.catalog.slsa.sa.gov.au/xrecord=b2092017</v>
      </c>
      <c r="E5125" t="s">
        <v>17782</v>
      </c>
      <c r="F5125" t="s">
        <v>1926</v>
      </c>
      <c r="G5125" t="s">
        <v>17717</v>
      </c>
      <c r="H5125" t="s">
        <v>17783</v>
      </c>
      <c r="I5125" t="s">
        <v>17784</v>
      </c>
      <c r="J5125" t="s">
        <v>14768</v>
      </c>
      <c r="K5125" s="2" t="str">
        <f>HYPERLINK("http://collections.slsa.sa.gov.au/mpcimg/61250/B61020_39.htm")</f>
        <v>http://collections.slsa.sa.gov.au/mpcimg/61250/B61020_39.htm</v>
      </c>
    </row>
    <row r="5126" spans="1:11" x14ac:dyDescent="0.25">
      <c r="A5126" t="s">
        <v>17785</v>
      </c>
      <c r="B5126" s="1" t="str">
        <f>HYPERLINK("https://www.catalog.slsa.sa.gov.au/record=b2092018")</f>
        <v>https://www.catalog.slsa.sa.gov.au/record=b2092018</v>
      </c>
      <c r="C5126" s="1" t="str">
        <f>HYPERLINK("https://www.catalog.slsa.sa.gov.au/xrecord=b2092018")</f>
        <v>https://www.catalog.slsa.sa.gov.au/xrecord=b2092018</v>
      </c>
      <c r="E5126" t="s">
        <v>17786</v>
      </c>
      <c r="F5126" t="s">
        <v>1926</v>
      </c>
      <c r="G5126" t="s">
        <v>17717</v>
      </c>
      <c r="H5126" t="s">
        <v>17787</v>
      </c>
      <c r="I5126" t="s">
        <v>17788</v>
      </c>
      <c r="J5126" t="s">
        <v>14768</v>
      </c>
      <c r="K5126" s="2" t="str">
        <f>HYPERLINK("http://collections.slsa.sa.gov.au/mpcimg/61250/B61020_41.htm")</f>
        <v>http://collections.slsa.sa.gov.au/mpcimg/61250/B61020_41.htm</v>
      </c>
    </row>
    <row r="5127" spans="1:11" x14ac:dyDescent="0.25">
      <c r="A5127" t="s">
        <v>17789</v>
      </c>
      <c r="B5127" s="1" t="str">
        <f>HYPERLINK("https://www.catalog.slsa.sa.gov.au/record=b2092019")</f>
        <v>https://www.catalog.slsa.sa.gov.au/record=b2092019</v>
      </c>
      <c r="C5127" s="1" t="str">
        <f>HYPERLINK("https://www.catalog.slsa.sa.gov.au/xrecord=b2092019")</f>
        <v>https://www.catalog.slsa.sa.gov.au/xrecord=b2092019</v>
      </c>
      <c r="E5127" t="s">
        <v>17790</v>
      </c>
      <c r="F5127" t="s">
        <v>1926</v>
      </c>
      <c r="G5127" t="s">
        <v>17717</v>
      </c>
      <c r="H5127" t="s">
        <v>17791</v>
      </c>
      <c r="I5127" t="s">
        <v>17792</v>
      </c>
      <c r="J5127" t="s">
        <v>14768</v>
      </c>
      <c r="K5127" s="2" t="str">
        <f>HYPERLINK("http://collections.slsa.sa.gov.au/mpcimg/61250/B61020_40.htm")</f>
        <v>http://collections.slsa.sa.gov.au/mpcimg/61250/B61020_40.htm</v>
      </c>
    </row>
    <row r="5128" spans="1:11" x14ac:dyDescent="0.25">
      <c r="A5128" t="s">
        <v>17793</v>
      </c>
      <c r="B5128" s="1" t="str">
        <f>HYPERLINK("https://www.catalog.slsa.sa.gov.au/record=b2092020")</f>
        <v>https://www.catalog.slsa.sa.gov.au/record=b2092020</v>
      </c>
      <c r="C5128" s="1" t="str">
        <f>HYPERLINK("https://www.catalog.slsa.sa.gov.au/xrecord=b2092020")</f>
        <v>https://www.catalog.slsa.sa.gov.au/xrecord=b2092020</v>
      </c>
      <c r="E5128" t="s">
        <v>17794</v>
      </c>
      <c r="F5128" t="s">
        <v>1926</v>
      </c>
      <c r="G5128" t="s">
        <v>17717</v>
      </c>
      <c r="H5128" t="s">
        <v>17795</v>
      </c>
      <c r="I5128" t="s">
        <v>17796</v>
      </c>
      <c r="J5128" t="s">
        <v>14768</v>
      </c>
      <c r="K5128" s="2" t="str">
        <f>HYPERLINK("http://collections.slsa.sa.gov.au/mpcimg/61250/B61020_42.htm")</f>
        <v>http://collections.slsa.sa.gov.au/mpcimg/61250/B61020_42.htm</v>
      </c>
    </row>
    <row r="5129" spans="1:11" x14ac:dyDescent="0.25">
      <c r="A5129" t="s">
        <v>17797</v>
      </c>
      <c r="B5129" s="1" t="str">
        <f>HYPERLINK("https://www.catalog.slsa.sa.gov.au/record=b2092021")</f>
        <v>https://www.catalog.slsa.sa.gov.au/record=b2092021</v>
      </c>
      <c r="C5129" s="1" t="str">
        <f>HYPERLINK("https://www.catalog.slsa.sa.gov.au/xrecord=b2092021")</f>
        <v>https://www.catalog.slsa.sa.gov.au/xrecord=b2092021</v>
      </c>
      <c r="E5129" t="s">
        <v>17798</v>
      </c>
      <c r="F5129" t="s">
        <v>1926</v>
      </c>
      <c r="G5129" t="s">
        <v>17717</v>
      </c>
      <c r="H5129" t="s">
        <v>17799</v>
      </c>
      <c r="J5129" t="s">
        <v>14768</v>
      </c>
      <c r="K5129" s="2" t="str">
        <f>HYPERLINK("http://collections.slsa.sa.gov.au/mpcimg/61250/B61020_43.htm")</f>
        <v>http://collections.slsa.sa.gov.au/mpcimg/61250/B61020_43.htm</v>
      </c>
    </row>
    <row r="5130" spans="1:11" x14ac:dyDescent="0.25">
      <c r="A5130" t="s">
        <v>17800</v>
      </c>
      <c r="B5130" s="1" t="str">
        <f>HYPERLINK("https://www.catalog.slsa.sa.gov.au/record=b2092022")</f>
        <v>https://www.catalog.slsa.sa.gov.au/record=b2092022</v>
      </c>
      <c r="C5130" s="1" t="str">
        <f>HYPERLINK("https://www.catalog.slsa.sa.gov.au/xrecord=b2092022")</f>
        <v>https://www.catalog.slsa.sa.gov.au/xrecord=b2092022</v>
      </c>
      <c r="E5130" t="s">
        <v>17801</v>
      </c>
      <c r="F5130" t="s">
        <v>1926</v>
      </c>
      <c r="G5130" t="s">
        <v>17717</v>
      </c>
      <c r="H5130" t="s">
        <v>17802</v>
      </c>
      <c r="I5130" t="s">
        <v>17803</v>
      </c>
      <c r="J5130" t="s">
        <v>14768</v>
      </c>
      <c r="K5130" s="2" t="str">
        <f>HYPERLINK("http://collections.slsa.sa.gov.au/mpcimg/61250/B61020_44.htm")</f>
        <v>http://collections.slsa.sa.gov.au/mpcimg/61250/B61020_44.htm</v>
      </c>
    </row>
    <row r="5131" spans="1:11" x14ac:dyDescent="0.25">
      <c r="A5131" t="s">
        <v>17804</v>
      </c>
      <c r="B5131" s="1" t="str">
        <f>HYPERLINK("https://www.catalog.slsa.sa.gov.au/record=b2092023")</f>
        <v>https://www.catalog.slsa.sa.gov.au/record=b2092023</v>
      </c>
      <c r="C5131" s="1" t="str">
        <f>HYPERLINK("https://www.catalog.slsa.sa.gov.au/xrecord=b2092023")</f>
        <v>https://www.catalog.slsa.sa.gov.au/xrecord=b2092023</v>
      </c>
      <c r="E5131" t="s">
        <v>17805</v>
      </c>
      <c r="F5131" t="s">
        <v>1926</v>
      </c>
      <c r="G5131" t="s">
        <v>17717</v>
      </c>
      <c r="H5131" t="s">
        <v>17806</v>
      </c>
      <c r="I5131" t="s">
        <v>17807</v>
      </c>
      <c r="J5131" t="s">
        <v>14768</v>
      </c>
      <c r="K5131" s="2" t="str">
        <f>HYPERLINK("http://collections.slsa.sa.gov.au/mpcimg/61250/B61020_45.htm")</f>
        <v>http://collections.slsa.sa.gov.au/mpcimg/61250/B61020_45.htm</v>
      </c>
    </row>
    <row r="5132" spans="1:11" x14ac:dyDescent="0.25">
      <c r="A5132" t="s">
        <v>17808</v>
      </c>
      <c r="B5132" s="1" t="str">
        <f>HYPERLINK("https://www.catalog.slsa.sa.gov.au/record=b2092024")</f>
        <v>https://www.catalog.slsa.sa.gov.au/record=b2092024</v>
      </c>
      <c r="C5132" s="1" t="str">
        <f>HYPERLINK("https://www.catalog.slsa.sa.gov.au/xrecord=b2092024")</f>
        <v>https://www.catalog.slsa.sa.gov.au/xrecord=b2092024</v>
      </c>
      <c r="E5132" t="s">
        <v>16847</v>
      </c>
      <c r="F5132" t="s">
        <v>1926</v>
      </c>
      <c r="G5132" t="s">
        <v>17717</v>
      </c>
      <c r="H5132" t="s">
        <v>17809</v>
      </c>
      <c r="I5132" t="s">
        <v>17198</v>
      </c>
      <c r="J5132" t="s">
        <v>14768</v>
      </c>
      <c r="K5132" s="2" t="str">
        <f>HYPERLINK("http://collections.slsa.sa.gov.au/mpcimg/61250/B61020_46.htm")</f>
        <v>http://collections.slsa.sa.gov.au/mpcimg/61250/B61020_46.htm</v>
      </c>
    </row>
    <row r="5133" spans="1:11" x14ac:dyDescent="0.25">
      <c r="A5133" t="s">
        <v>17810</v>
      </c>
      <c r="B5133" s="1" t="str">
        <f>HYPERLINK("https://www.catalog.slsa.sa.gov.au/record=b2092025")</f>
        <v>https://www.catalog.slsa.sa.gov.au/record=b2092025</v>
      </c>
      <c r="C5133" s="1" t="str">
        <f>HYPERLINK("https://www.catalog.slsa.sa.gov.au/xrecord=b2092025")</f>
        <v>https://www.catalog.slsa.sa.gov.au/xrecord=b2092025</v>
      </c>
      <c r="E5133" t="s">
        <v>17811</v>
      </c>
      <c r="F5133" t="s">
        <v>1926</v>
      </c>
      <c r="G5133" t="s">
        <v>17717</v>
      </c>
      <c r="H5133" t="s">
        <v>17812</v>
      </c>
      <c r="I5133" t="s">
        <v>17813</v>
      </c>
      <c r="J5133" t="s">
        <v>14768</v>
      </c>
      <c r="K5133" s="2" t="str">
        <f>HYPERLINK("http://collections.slsa.sa.gov.au/mpcimg/61250/B61020_47.htm")</f>
        <v>http://collections.slsa.sa.gov.au/mpcimg/61250/B61020_47.htm</v>
      </c>
    </row>
    <row r="5134" spans="1:11" x14ac:dyDescent="0.25">
      <c r="A5134" t="s">
        <v>17814</v>
      </c>
      <c r="B5134" s="1" t="str">
        <f>HYPERLINK("https://www.catalog.slsa.sa.gov.au/record=b2092026")</f>
        <v>https://www.catalog.slsa.sa.gov.au/record=b2092026</v>
      </c>
      <c r="C5134" s="1" t="str">
        <f>HYPERLINK("https://www.catalog.slsa.sa.gov.au/xrecord=b2092026")</f>
        <v>https://www.catalog.slsa.sa.gov.au/xrecord=b2092026</v>
      </c>
      <c r="E5134" t="s">
        <v>17811</v>
      </c>
      <c r="F5134" t="s">
        <v>1926</v>
      </c>
      <c r="G5134" t="s">
        <v>17717</v>
      </c>
      <c r="H5134" t="s">
        <v>17815</v>
      </c>
      <c r="I5134" t="s">
        <v>17813</v>
      </c>
      <c r="J5134" t="s">
        <v>14768</v>
      </c>
      <c r="K5134" s="2" t="str">
        <f>HYPERLINK("http://collections.slsa.sa.gov.au/mpcimg/61250/B61020_48.htm")</f>
        <v>http://collections.slsa.sa.gov.au/mpcimg/61250/B61020_48.htm</v>
      </c>
    </row>
    <row r="5135" spans="1:11" x14ac:dyDescent="0.25">
      <c r="A5135" t="s">
        <v>17816</v>
      </c>
      <c r="B5135" s="1" t="str">
        <f>HYPERLINK("https://www.catalog.slsa.sa.gov.au/record=b2092027")</f>
        <v>https://www.catalog.slsa.sa.gov.au/record=b2092027</v>
      </c>
      <c r="C5135" s="1" t="str">
        <f>HYPERLINK("https://www.catalog.slsa.sa.gov.au/xrecord=b2092027")</f>
        <v>https://www.catalog.slsa.sa.gov.au/xrecord=b2092027</v>
      </c>
      <c r="E5135" t="s">
        <v>17811</v>
      </c>
      <c r="F5135" t="s">
        <v>1926</v>
      </c>
      <c r="G5135" t="s">
        <v>17717</v>
      </c>
      <c r="H5135" t="s">
        <v>17817</v>
      </c>
      <c r="I5135" t="s">
        <v>17813</v>
      </c>
      <c r="J5135" t="s">
        <v>14768</v>
      </c>
      <c r="K5135" s="2" t="str">
        <f>HYPERLINK("http://collections.slsa.sa.gov.au/mpcimg/61250/B61020_50.htm")</f>
        <v>http://collections.slsa.sa.gov.au/mpcimg/61250/B61020_50.htm</v>
      </c>
    </row>
    <row r="5136" spans="1:11" x14ac:dyDescent="0.25">
      <c r="A5136" t="s">
        <v>17818</v>
      </c>
      <c r="B5136" s="1" t="str">
        <f>HYPERLINK("https://www.catalog.slsa.sa.gov.au/record=b2092028")</f>
        <v>https://www.catalog.slsa.sa.gov.au/record=b2092028</v>
      </c>
      <c r="C5136" s="1" t="str">
        <f>HYPERLINK("https://www.catalog.slsa.sa.gov.au/xrecord=b2092028")</f>
        <v>https://www.catalog.slsa.sa.gov.au/xrecord=b2092028</v>
      </c>
      <c r="E5136" t="s">
        <v>17819</v>
      </c>
      <c r="F5136" t="s">
        <v>1926</v>
      </c>
      <c r="G5136" t="s">
        <v>17717</v>
      </c>
      <c r="H5136" t="s">
        <v>17820</v>
      </c>
      <c r="I5136" t="s">
        <v>17821</v>
      </c>
      <c r="J5136" t="s">
        <v>14768</v>
      </c>
      <c r="K5136" s="2" t="str">
        <f>HYPERLINK("http://collections.slsa.sa.gov.au/mpcimg/61250/B61020_49.htm")</f>
        <v>http://collections.slsa.sa.gov.au/mpcimg/61250/B61020_49.htm</v>
      </c>
    </row>
    <row r="5137" spans="1:11" x14ac:dyDescent="0.25">
      <c r="A5137" t="s">
        <v>17822</v>
      </c>
      <c r="B5137" s="1" t="str">
        <f>HYPERLINK("https://www.catalog.slsa.sa.gov.au/record=b2092029")</f>
        <v>https://www.catalog.slsa.sa.gov.au/record=b2092029</v>
      </c>
      <c r="C5137" s="1" t="str">
        <f>HYPERLINK("https://www.catalog.slsa.sa.gov.au/xrecord=b2092029")</f>
        <v>https://www.catalog.slsa.sa.gov.au/xrecord=b2092029</v>
      </c>
      <c r="E5137" t="s">
        <v>17823</v>
      </c>
      <c r="F5137" t="s">
        <v>1926</v>
      </c>
      <c r="G5137" t="s">
        <v>17824</v>
      </c>
      <c r="H5137" t="s">
        <v>17825</v>
      </c>
      <c r="I5137" t="s">
        <v>17826</v>
      </c>
      <c r="J5137" t="s">
        <v>14768</v>
      </c>
      <c r="K5137" s="2" t="str">
        <f>HYPERLINK("http://collections.slsa.sa.gov.au/mpcimg/61250/B61020_52.htm")</f>
        <v>http://collections.slsa.sa.gov.au/mpcimg/61250/B61020_52.htm</v>
      </c>
    </row>
    <row r="5138" spans="1:11" x14ac:dyDescent="0.25">
      <c r="A5138" t="s">
        <v>17827</v>
      </c>
      <c r="B5138" s="1" t="str">
        <f>HYPERLINK("https://www.catalog.slsa.sa.gov.au/record=b2092030")</f>
        <v>https://www.catalog.slsa.sa.gov.au/record=b2092030</v>
      </c>
      <c r="C5138" s="1" t="str">
        <f>HYPERLINK("https://www.catalog.slsa.sa.gov.au/xrecord=b2092030")</f>
        <v>https://www.catalog.slsa.sa.gov.au/xrecord=b2092030</v>
      </c>
      <c r="E5138" t="s">
        <v>16847</v>
      </c>
      <c r="F5138" t="s">
        <v>1926</v>
      </c>
      <c r="G5138" t="s">
        <v>17717</v>
      </c>
      <c r="H5138" t="s">
        <v>17828</v>
      </c>
      <c r="I5138" t="s">
        <v>17198</v>
      </c>
      <c r="J5138" t="s">
        <v>14768</v>
      </c>
      <c r="K5138" s="2" t="str">
        <f>HYPERLINK("http://collections.slsa.sa.gov.au/mpcimg/61250/B61020_51.htm")</f>
        <v>http://collections.slsa.sa.gov.au/mpcimg/61250/B61020_51.htm</v>
      </c>
    </row>
    <row r="5139" spans="1:11" x14ac:dyDescent="0.25">
      <c r="A5139" t="s">
        <v>17829</v>
      </c>
      <c r="B5139" s="1" t="str">
        <f>HYPERLINK("https://www.catalog.slsa.sa.gov.au/record=b2092031")</f>
        <v>https://www.catalog.slsa.sa.gov.au/record=b2092031</v>
      </c>
      <c r="C5139" s="1" t="str">
        <f>HYPERLINK("https://www.catalog.slsa.sa.gov.au/xrecord=b2092031")</f>
        <v>https://www.catalog.slsa.sa.gov.au/xrecord=b2092031</v>
      </c>
      <c r="E5139" t="s">
        <v>17830</v>
      </c>
      <c r="F5139" t="s">
        <v>1926</v>
      </c>
      <c r="G5139" t="s">
        <v>17831</v>
      </c>
      <c r="H5139" t="s">
        <v>17832</v>
      </c>
      <c r="J5139" t="s">
        <v>14768</v>
      </c>
      <c r="K5139" s="2" t="str">
        <f>HYPERLINK("http://collections.slsa.sa.gov.au/mpcimg/61250/B61020_53.htm")</f>
        <v>http://collections.slsa.sa.gov.au/mpcimg/61250/B61020_53.htm</v>
      </c>
    </row>
    <row r="5140" spans="1:11" x14ac:dyDescent="0.25">
      <c r="A5140" t="s">
        <v>17833</v>
      </c>
      <c r="B5140" s="1" t="str">
        <f>HYPERLINK("https://www.catalog.slsa.sa.gov.au/record=b2092032")</f>
        <v>https://www.catalog.slsa.sa.gov.au/record=b2092032</v>
      </c>
      <c r="C5140" s="1" t="str">
        <f>HYPERLINK("https://www.catalog.slsa.sa.gov.au/xrecord=b2092032")</f>
        <v>https://www.catalog.slsa.sa.gov.au/xrecord=b2092032</v>
      </c>
      <c r="E5140" t="s">
        <v>17834</v>
      </c>
      <c r="F5140" t="s">
        <v>1926</v>
      </c>
      <c r="G5140" t="s">
        <v>17831</v>
      </c>
      <c r="H5140" t="s">
        <v>17835</v>
      </c>
      <c r="I5140" t="s">
        <v>17836</v>
      </c>
      <c r="J5140" t="s">
        <v>14768</v>
      </c>
      <c r="K5140" s="2" t="str">
        <f>HYPERLINK("http://collections.slsa.sa.gov.au/mpcimg/61250/B61020_54.htm")</f>
        <v>http://collections.slsa.sa.gov.au/mpcimg/61250/B61020_54.htm</v>
      </c>
    </row>
    <row r="5141" spans="1:11" x14ac:dyDescent="0.25">
      <c r="A5141" t="s">
        <v>17837</v>
      </c>
      <c r="B5141" s="1" t="str">
        <f>HYPERLINK("https://www.catalog.slsa.sa.gov.au/record=b2092033")</f>
        <v>https://www.catalog.slsa.sa.gov.au/record=b2092033</v>
      </c>
      <c r="C5141" s="1" t="str">
        <f>HYPERLINK("https://www.catalog.slsa.sa.gov.au/xrecord=b2092033")</f>
        <v>https://www.catalog.slsa.sa.gov.au/xrecord=b2092033</v>
      </c>
      <c r="E5141" t="s">
        <v>17838</v>
      </c>
      <c r="F5141" t="s">
        <v>1926</v>
      </c>
      <c r="G5141" t="s">
        <v>17717</v>
      </c>
      <c r="H5141" t="s">
        <v>17839</v>
      </c>
      <c r="I5141" t="s">
        <v>17840</v>
      </c>
      <c r="J5141" t="s">
        <v>14768</v>
      </c>
      <c r="K5141" s="2" t="str">
        <f>HYPERLINK("http://collections.slsa.sa.gov.au/mpcimg/61250/B61020_55.htm")</f>
        <v>http://collections.slsa.sa.gov.au/mpcimg/61250/B61020_55.htm</v>
      </c>
    </row>
    <row r="5142" spans="1:11" x14ac:dyDescent="0.25">
      <c r="A5142" t="s">
        <v>17841</v>
      </c>
      <c r="B5142" s="1" t="str">
        <f>HYPERLINK("https://www.catalog.slsa.sa.gov.au/record=b2092034")</f>
        <v>https://www.catalog.slsa.sa.gov.au/record=b2092034</v>
      </c>
      <c r="C5142" s="1" t="str">
        <f>HYPERLINK("https://www.catalog.slsa.sa.gov.au/xrecord=b2092034")</f>
        <v>https://www.catalog.slsa.sa.gov.au/xrecord=b2092034</v>
      </c>
      <c r="E5142" t="s">
        <v>17838</v>
      </c>
      <c r="F5142" t="s">
        <v>1926</v>
      </c>
      <c r="G5142" t="s">
        <v>17842</v>
      </c>
      <c r="H5142" t="s">
        <v>17843</v>
      </c>
      <c r="I5142" t="s">
        <v>17840</v>
      </c>
      <c r="J5142" t="s">
        <v>14768</v>
      </c>
      <c r="K5142" s="2" t="str">
        <f>HYPERLINK("http://collections.slsa.sa.gov.au/mpcimg/61250/B61020_56.htm")</f>
        <v>http://collections.slsa.sa.gov.au/mpcimg/61250/B61020_56.htm</v>
      </c>
    </row>
    <row r="5143" spans="1:11" x14ac:dyDescent="0.25">
      <c r="A5143" t="s">
        <v>17844</v>
      </c>
      <c r="B5143" s="1" t="str">
        <f>HYPERLINK("https://www.catalog.slsa.sa.gov.au/record=b2092035")</f>
        <v>https://www.catalog.slsa.sa.gov.au/record=b2092035</v>
      </c>
      <c r="C5143" s="1" t="str">
        <f>HYPERLINK("https://www.catalog.slsa.sa.gov.au/xrecord=b2092035")</f>
        <v>https://www.catalog.slsa.sa.gov.au/xrecord=b2092035</v>
      </c>
      <c r="E5143" t="s">
        <v>17845</v>
      </c>
      <c r="F5143" t="s">
        <v>1926</v>
      </c>
      <c r="G5143" t="s">
        <v>17846</v>
      </c>
      <c r="H5143" t="s">
        <v>17847</v>
      </c>
      <c r="I5143" t="s">
        <v>17848</v>
      </c>
      <c r="J5143" t="s">
        <v>14768</v>
      </c>
      <c r="K5143" s="2" t="str">
        <f>HYPERLINK("http://collections.slsa.sa.gov.au/mpcimg/61250/B61020_57.htm")</f>
        <v>http://collections.slsa.sa.gov.au/mpcimg/61250/B61020_57.htm</v>
      </c>
    </row>
    <row r="5144" spans="1:11" x14ac:dyDescent="0.25">
      <c r="A5144" t="s">
        <v>17849</v>
      </c>
      <c r="B5144" s="1" t="str">
        <f>HYPERLINK("https://www.catalog.slsa.sa.gov.au/record=b2092036")</f>
        <v>https://www.catalog.slsa.sa.gov.au/record=b2092036</v>
      </c>
      <c r="C5144" s="1" t="str">
        <f>HYPERLINK("https://www.catalog.slsa.sa.gov.au/xrecord=b2092036")</f>
        <v>https://www.catalog.slsa.sa.gov.au/xrecord=b2092036</v>
      </c>
      <c r="E5144" t="s">
        <v>17850</v>
      </c>
      <c r="F5144" t="s">
        <v>1926</v>
      </c>
      <c r="G5144" t="s">
        <v>17846</v>
      </c>
      <c r="H5144" t="s">
        <v>17851</v>
      </c>
      <c r="I5144" t="s">
        <v>17852</v>
      </c>
      <c r="J5144" t="s">
        <v>14768</v>
      </c>
      <c r="K5144" s="2" t="str">
        <f>HYPERLINK("http://collections.slsa.sa.gov.au/mpcimg/61250/B61020_58.htm")</f>
        <v>http://collections.slsa.sa.gov.au/mpcimg/61250/B61020_58.htm</v>
      </c>
    </row>
    <row r="5145" spans="1:11" x14ac:dyDescent="0.25">
      <c r="A5145" t="s">
        <v>17853</v>
      </c>
      <c r="B5145" s="1" t="str">
        <f>HYPERLINK("https://www.catalog.slsa.sa.gov.au/record=b2092037")</f>
        <v>https://www.catalog.slsa.sa.gov.au/record=b2092037</v>
      </c>
      <c r="C5145" s="1" t="str">
        <f>HYPERLINK("https://www.catalog.slsa.sa.gov.au/xrecord=b2092037")</f>
        <v>https://www.catalog.slsa.sa.gov.au/xrecord=b2092037</v>
      </c>
      <c r="E5145" t="s">
        <v>17854</v>
      </c>
      <c r="F5145" t="s">
        <v>1926</v>
      </c>
      <c r="G5145" t="s">
        <v>17855</v>
      </c>
      <c r="H5145" t="s">
        <v>17856</v>
      </c>
      <c r="I5145" t="s">
        <v>17857</v>
      </c>
      <c r="J5145" t="s">
        <v>14768</v>
      </c>
      <c r="K5145" s="2" t="str">
        <f>HYPERLINK("http://collections.slsa.sa.gov.au/mpcimg/61250/B61020_59.htm")</f>
        <v>http://collections.slsa.sa.gov.au/mpcimg/61250/B61020_59.htm</v>
      </c>
    </row>
    <row r="5146" spans="1:11" x14ac:dyDescent="0.25">
      <c r="A5146" t="s">
        <v>17858</v>
      </c>
      <c r="B5146" s="1" t="str">
        <f>HYPERLINK("https://www.catalog.slsa.sa.gov.au/record=b2092038")</f>
        <v>https://www.catalog.slsa.sa.gov.au/record=b2092038</v>
      </c>
      <c r="C5146" s="1" t="str">
        <f>HYPERLINK("https://www.catalog.slsa.sa.gov.au/xrecord=b2092038")</f>
        <v>https://www.catalog.slsa.sa.gov.au/xrecord=b2092038</v>
      </c>
      <c r="E5146" t="s">
        <v>17859</v>
      </c>
      <c r="F5146" t="s">
        <v>1926</v>
      </c>
      <c r="G5146" t="s">
        <v>17855</v>
      </c>
      <c r="H5146" t="s">
        <v>17860</v>
      </c>
      <c r="I5146" t="s">
        <v>17861</v>
      </c>
      <c r="J5146" t="s">
        <v>14768</v>
      </c>
      <c r="K5146" s="2" t="str">
        <f>HYPERLINK("http://collections.slsa.sa.gov.au/mpcimg/61250/B61020_60.htm")</f>
        <v>http://collections.slsa.sa.gov.au/mpcimg/61250/B61020_60.htm</v>
      </c>
    </row>
    <row r="5147" spans="1:11" x14ac:dyDescent="0.25">
      <c r="A5147" t="s">
        <v>17862</v>
      </c>
      <c r="B5147" s="1" t="str">
        <f>HYPERLINK("https://www.catalog.slsa.sa.gov.au/record=b2092039")</f>
        <v>https://www.catalog.slsa.sa.gov.au/record=b2092039</v>
      </c>
      <c r="C5147" s="1" t="str">
        <f>HYPERLINK("https://www.catalog.slsa.sa.gov.au/xrecord=b2092039")</f>
        <v>https://www.catalog.slsa.sa.gov.au/xrecord=b2092039</v>
      </c>
      <c r="E5147" t="s">
        <v>17863</v>
      </c>
      <c r="F5147" t="s">
        <v>1926</v>
      </c>
      <c r="G5147" t="s">
        <v>17855</v>
      </c>
      <c r="H5147" t="s">
        <v>17864</v>
      </c>
      <c r="I5147" t="s">
        <v>17865</v>
      </c>
      <c r="J5147" t="s">
        <v>14768</v>
      </c>
      <c r="K5147" s="2" t="str">
        <f>HYPERLINK("http://collections.slsa.sa.gov.au/mpcimg/61250/B61020_61.htm")</f>
        <v>http://collections.slsa.sa.gov.au/mpcimg/61250/B61020_61.htm</v>
      </c>
    </row>
    <row r="5148" spans="1:11" x14ac:dyDescent="0.25">
      <c r="A5148" t="s">
        <v>17866</v>
      </c>
      <c r="B5148" s="1" t="str">
        <f>HYPERLINK("https://www.catalog.slsa.sa.gov.au/record=b2092040")</f>
        <v>https://www.catalog.slsa.sa.gov.au/record=b2092040</v>
      </c>
      <c r="C5148" s="1" t="str">
        <f>HYPERLINK("https://www.catalog.slsa.sa.gov.au/xrecord=b2092040")</f>
        <v>https://www.catalog.slsa.sa.gov.au/xrecord=b2092040</v>
      </c>
      <c r="E5148" t="s">
        <v>17867</v>
      </c>
      <c r="F5148" t="s">
        <v>1926</v>
      </c>
      <c r="G5148" t="s">
        <v>17855</v>
      </c>
      <c r="H5148" t="s">
        <v>17868</v>
      </c>
      <c r="I5148" t="s">
        <v>17869</v>
      </c>
      <c r="J5148" t="s">
        <v>14768</v>
      </c>
      <c r="K5148" s="2" t="str">
        <f>HYPERLINK("http://collections.slsa.sa.gov.au/mpcimg/61250/B61020_62.htm")</f>
        <v>http://collections.slsa.sa.gov.au/mpcimg/61250/B61020_62.htm</v>
      </c>
    </row>
    <row r="5149" spans="1:11" x14ac:dyDescent="0.25">
      <c r="A5149" t="s">
        <v>17870</v>
      </c>
      <c r="B5149" s="1" t="str">
        <f>HYPERLINK("https://www.catalog.slsa.sa.gov.au/record=b2092041")</f>
        <v>https://www.catalog.slsa.sa.gov.au/record=b2092041</v>
      </c>
      <c r="C5149" s="1" t="str">
        <f>HYPERLINK("https://www.catalog.slsa.sa.gov.au/xrecord=b2092041")</f>
        <v>https://www.catalog.slsa.sa.gov.au/xrecord=b2092041</v>
      </c>
      <c r="E5149" t="s">
        <v>17871</v>
      </c>
      <c r="F5149" t="s">
        <v>1926</v>
      </c>
      <c r="G5149" t="s">
        <v>17872</v>
      </c>
      <c r="H5149" t="s">
        <v>17873</v>
      </c>
      <c r="I5149" t="s">
        <v>17874</v>
      </c>
      <c r="J5149" t="s">
        <v>14768</v>
      </c>
      <c r="K5149" s="2" t="str">
        <f>HYPERLINK("http://collections.slsa.sa.gov.au/mpcimg/61250/B61020_63.htm")</f>
        <v>http://collections.slsa.sa.gov.au/mpcimg/61250/B61020_63.htm</v>
      </c>
    </row>
    <row r="5150" spans="1:11" x14ac:dyDescent="0.25">
      <c r="A5150" t="s">
        <v>17875</v>
      </c>
      <c r="B5150" s="1" t="str">
        <f>HYPERLINK("https://www.catalog.slsa.sa.gov.au/record=b2092043")</f>
        <v>https://www.catalog.slsa.sa.gov.au/record=b2092043</v>
      </c>
      <c r="C5150" s="1" t="str">
        <f>HYPERLINK("https://www.catalog.slsa.sa.gov.au/xrecord=b2092043")</f>
        <v>https://www.catalog.slsa.sa.gov.au/xrecord=b2092043</v>
      </c>
      <c r="E5150" t="s">
        <v>17876</v>
      </c>
      <c r="F5150" t="s">
        <v>1926</v>
      </c>
      <c r="G5150" t="s">
        <v>17877</v>
      </c>
      <c r="H5150" t="s">
        <v>17878</v>
      </c>
      <c r="I5150" t="s">
        <v>17879</v>
      </c>
      <c r="J5150" t="s">
        <v>14768</v>
      </c>
      <c r="K5150" s="2" t="str">
        <f>HYPERLINK("http://collections.slsa.sa.gov.au/mpcimg/61250/B61020_64.htm")</f>
        <v>http://collections.slsa.sa.gov.au/mpcimg/61250/B61020_64.htm</v>
      </c>
    </row>
    <row r="5151" spans="1:11" x14ac:dyDescent="0.25">
      <c r="A5151" t="s">
        <v>17880</v>
      </c>
      <c r="B5151" s="1" t="str">
        <f>HYPERLINK("https://www.catalog.slsa.sa.gov.au/record=b2092044")</f>
        <v>https://www.catalog.slsa.sa.gov.au/record=b2092044</v>
      </c>
      <c r="C5151" s="1" t="str">
        <f>HYPERLINK("https://www.catalog.slsa.sa.gov.au/xrecord=b2092044")</f>
        <v>https://www.catalog.slsa.sa.gov.au/xrecord=b2092044</v>
      </c>
      <c r="E5151" t="s">
        <v>17881</v>
      </c>
      <c r="F5151" t="s">
        <v>1926</v>
      </c>
      <c r="G5151" t="s">
        <v>17855</v>
      </c>
      <c r="H5151" t="s">
        <v>17882</v>
      </c>
      <c r="I5151" t="s">
        <v>17883</v>
      </c>
      <c r="J5151" t="s">
        <v>14768</v>
      </c>
      <c r="K5151" s="2" t="str">
        <f>HYPERLINK("http://collections.slsa.sa.gov.au/mpcimg/61250/B61020_65.htm")</f>
        <v>http://collections.slsa.sa.gov.au/mpcimg/61250/B61020_65.htm</v>
      </c>
    </row>
    <row r="5152" spans="1:11" x14ac:dyDescent="0.25">
      <c r="A5152" t="s">
        <v>17884</v>
      </c>
      <c r="B5152" s="1" t="str">
        <f>HYPERLINK("https://www.catalog.slsa.sa.gov.au/record=b2092046")</f>
        <v>https://www.catalog.slsa.sa.gov.au/record=b2092046</v>
      </c>
      <c r="C5152" s="1" t="str">
        <f>HYPERLINK("https://www.catalog.slsa.sa.gov.au/xrecord=b2092046")</f>
        <v>https://www.catalog.slsa.sa.gov.au/xrecord=b2092046</v>
      </c>
      <c r="E5152" t="s">
        <v>17885</v>
      </c>
      <c r="F5152" t="s">
        <v>1926</v>
      </c>
      <c r="G5152" t="s">
        <v>17886</v>
      </c>
      <c r="H5152" t="s">
        <v>17887</v>
      </c>
      <c r="I5152" t="s">
        <v>17888</v>
      </c>
      <c r="J5152" t="s">
        <v>14768</v>
      </c>
      <c r="K5152" s="2" t="str">
        <f>HYPERLINK("http://collections.slsa.sa.gov.au/mpcimg/61250/B61020_66.htm")</f>
        <v>http://collections.slsa.sa.gov.au/mpcimg/61250/B61020_66.htm</v>
      </c>
    </row>
    <row r="5153" spans="1:11" x14ac:dyDescent="0.25">
      <c r="A5153" t="s">
        <v>17889</v>
      </c>
      <c r="B5153" s="1" t="str">
        <f>HYPERLINK("https://www.catalog.slsa.sa.gov.au/record=b2092047")</f>
        <v>https://www.catalog.slsa.sa.gov.au/record=b2092047</v>
      </c>
      <c r="C5153" s="1" t="str">
        <f>HYPERLINK("https://www.catalog.slsa.sa.gov.au/xrecord=b2092047")</f>
        <v>https://www.catalog.slsa.sa.gov.au/xrecord=b2092047</v>
      </c>
      <c r="E5153" t="s">
        <v>14888</v>
      </c>
      <c r="F5153" t="s">
        <v>1926</v>
      </c>
      <c r="G5153" t="s">
        <v>17890</v>
      </c>
      <c r="H5153" t="s">
        <v>17891</v>
      </c>
      <c r="I5153" t="s">
        <v>17892</v>
      </c>
      <c r="J5153" t="s">
        <v>14768</v>
      </c>
      <c r="K5153" s="2" t="str">
        <f>HYPERLINK("http://collections.slsa.sa.gov.au/mpcimg/61250/B61020_67.htm")</f>
        <v>http://collections.slsa.sa.gov.au/mpcimg/61250/B61020_67.htm</v>
      </c>
    </row>
    <row r="5154" spans="1:11" x14ac:dyDescent="0.25">
      <c r="A5154" t="s">
        <v>17893</v>
      </c>
      <c r="B5154" s="1" t="str">
        <f>HYPERLINK("https://www.catalog.slsa.sa.gov.au/record=b2092049")</f>
        <v>https://www.catalog.slsa.sa.gov.au/record=b2092049</v>
      </c>
      <c r="C5154" s="1" t="str">
        <f>HYPERLINK("https://www.catalog.slsa.sa.gov.au/xrecord=b2092049")</f>
        <v>https://www.catalog.slsa.sa.gov.au/xrecord=b2092049</v>
      </c>
      <c r="E5154" t="s">
        <v>17894</v>
      </c>
      <c r="F5154" t="s">
        <v>1926</v>
      </c>
      <c r="G5154" t="s">
        <v>17895</v>
      </c>
      <c r="H5154" t="s">
        <v>17896</v>
      </c>
      <c r="I5154" t="s">
        <v>17897</v>
      </c>
      <c r="J5154" t="s">
        <v>14768</v>
      </c>
      <c r="K5154" s="2" t="str">
        <f>HYPERLINK("http://collections.slsa.sa.gov.au/mpcimg/61250/B61020_68.htm")</f>
        <v>http://collections.slsa.sa.gov.au/mpcimg/61250/B61020_68.htm</v>
      </c>
    </row>
    <row r="5155" spans="1:11" x14ac:dyDescent="0.25">
      <c r="A5155" t="s">
        <v>17898</v>
      </c>
      <c r="B5155" s="1" t="str">
        <f>HYPERLINK("https://www.catalog.slsa.sa.gov.au/record=b2092050")</f>
        <v>https://www.catalog.slsa.sa.gov.au/record=b2092050</v>
      </c>
      <c r="C5155" s="1" t="str">
        <f>HYPERLINK("https://www.catalog.slsa.sa.gov.au/xrecord=b2092050")</f>
        <v>https://www.catalog.slsa.sa.gov.au/xrecord=b2092050</v>
      </c>
      <c r="E5155" t="s">
        <v>17899</v>
      </c>
      <c r="F5155" t="s">
        <v>1926</v>
      </c>
      <c r="G5155" t="s">
        <v>17900</v>
      </c>
      <c r="H5155" t="s">
        <v>17901</v>
      </c>
      <c r="I5155" t="s">
        <v>17902</v>
      </c>
      <c r="J5155" t="s">
        <v>14768</v>
      </c>
      <c r="K5155" s="2" t="str">
        <f>HYPERLINK("http://collections.slsa.sa.gov.au/mpcimg/61250/B61020_69.htm")</f>
        <v>http://collections.slsa.sa.gov.au/mpcimg/61250/B61020_69.htm</v>
      </c>
    </row>
    <row r="5156" spans="1:11" x14ac:dyDescent="0.25">
      <c r="A5156" t="s">
        <v>17903</v>
      </c>
      <c r="B5156" s="1" t="str">
        <f>HYPERLINK("https://www.catalog.slsa.sa.gov.au/record=b2092051")</f>
        <v>https://www.catalog.slsa.sa.gov.au/record=b2092051</v>
      </c>
      <c r="C5156" s="1" t="str">
        <f>HYPERLINK("https://www.catalog.slsa.sa.gov.au/xrecord=b2092051")</f>
        <v>https://www.catalog.slsa.sa.gov.au/xrecord=b2092051</v>
      </c>
      <c r="E5156" t="s">
        <v>17904</v>
      </c>
      <c r="F5156" t="s">
        <v>1926</v>
      </c>
      <c r="G5156" t="s">
        <v>17855</v>
      </c>
      <c r="H5156" t="s">
        <v>17905</v>
      </c>
      <c r="I5156" t="s">
        <v>17906</v>
      </c>
      <c r="J5156" t="s">
        <v>14768</v>
      </c>
      <c r="K5156" s="2" t="str">
        <f>HYPERLINK("http://collections.slsa.sa.gov.au/mpcimg/61250/B61020_70.htm")</f>
        <v>http://collections.slsa.sa.gov.au/mpcimg/61250/B61020_70.htm</v>
      </c>
    </row>
    <row r="5157" spans="1:11" x14ac:dyDescent="0.25">
      <c r="A5157" t="s">
        <v>17907</v>
      </c>
      <c r="B5157" s="1" t="str">
        <f>HYPERLINK("https://www.catalog.slsa.sa.gov.au/record=b2092054")</f>
        <v>https://www.catalog.slsa.sa.gov.au/record=b2092054</v>
      </c>
      <c r="C5157" s="1" t="str">
        <f>HYPERLINK("https://www.catalog.slsa.sa.gov.au/xrecord=b2092054")</f>
        <v>https://www.catalog.slsa.sa.gov.au/xrecord=b2092054</v>
      </c>
      <c r="E5157" t="s">
        <v>17908</v>
      </c>
      <c r="F5157" t="s">
        <v>1926</v>
      </c>
      <c r="G5157" t="s">
        <v>17736</v>
      </c>
      <c r="H5157" t="s">
        <v>17909</v>
      </c>
      <c r="I5157" t="s">
        <v>17910</v>
      </c>
      <c r="J5157" t="s">
        <v>14768</v>
      </c>
      <c r="K5157" s="2" t="str">
        <f>HYPERLINK("http://collections.slsa.sa.gov.au/mpcimg/61250/B61020_71.htm")</f>
        <v>http://collections.slsa.sa.gov.au/mpcimg/61250/B61020_71.htm</v>
      </c>
    </row>
    <row r="5158" spans="1:11" x14ac:dyDescent="0.25">
      <c r="A5158" t="s">
        <v>17911</v>
      </c>
      <c r="B5158" s="1" t="str">
        <f>HYPERLINK("https://www.catalog.slsa.sa.gov.au/record=b2092055")</f>
        <v>https://www.catalog.slsa.sa.gov.au/record=b2092055</v>
      </c>
      <c r="C5158" s="1" t="str">
        <f>HYPERLINK("https://www.catalog.slsa.sa.gov.au/xrecord=b2092055")</f>
        <v>https://www.catalog.slsa.sa.gov.au/xrecord=b2092055</v>
      </c>
      <c r="E5158" t="s">
        <v>17912</v>
      </c>
      <c r="F5158" t="s">
        <v>1926</v>
      </c>
      <c r="G5158" t="s">
        <v>17717</v>
      </c>
      <c r="H5158" t="s">
        <v>17913</v>
      </c>
      <c r="I5158" t="s">
        <v>17914</v>
      </c>
      <c r="J5158" t="s">
        <v>14768</v>
      </c>
      <c r="K5158" s="2" t="str">
        <f>HYPERLINK("http://collections.slsa.sa.gov.au/mpcimg/61250/B61020_72.htm")</f>
        <v>http://collections.slsa.sa.gov.au/mpcimg/61250/B61020_72.htm</v>
      </c>
    </row>
    <row r="5159" spans="1:11" x14ac:dyDescent="0.25">
      <c r="A5159" t="s">
        <v>17915</v>
      </c>
      <c r="B5159" s="1" t="str">
        <f>HYPERLINK("https://www.catalog.slsa.sa.gov.au/record=b2092057")</f>
        <v>https://www.catalog.slsa.sa.gov.au/record=b2092057</v>
      </c>
      <c r="C5159" s="1" t="str">
        <f>HYPERLINK("https://www.catalog.slsa.sa.gov.au/xrecord=b2092057")</f>
        <v>https://www.catalog.slsa.sa.gov.au/xrecord=b2092057</v>
      </c>
      <c r="E5159" t="s">
        <v>17912</v>
      </c>
      <c r="F5159" t="s">
        <v>1926</v>
      </c>
      <c r="G5159" t="s">
        <v>17855</v>
      </c>
      <c r="H5159" t="s">
        <v>17916</v>
      </c>
      <c r="I5159" t="s">
        <v>17914</v>
      </c>
      <c r="J5159" t="s">
        <v>14768</v>
      </c>
      <c r="K5159" s="2" t="str">
        <f>HYPERLINK("http://collections.slsa.sa.gov.au/mpcimg/61250/B61020_73.htm")</f>
        <v>http://collections.slsa.sa.gov.au/mpcimg/61250/B61020_73.htm</v>
      </c>
    </row>
    <row r="5160" spans="1:11" x14ac:dyDescent="0.25">
      <c r="A5160" t="s">
        <v>17917</v>
      </c>
      <c r="B5160" s="1" t="str">
        <f>HYPERLINK("https://www.catalog.slsa.sa.gov.au/record=b2092058")</f>
        <v>https://www.catalog.slsa.sa.gov.au/record=b2092058</v>
      </c>
      <c r="C5160" s="1" t="str">
        <f>HYPERLINK("https://www.catalog.slsa.sa.gov.au/xrecord=b2092058")</f>
        <v>https://www.catalog.slsa.sa.gov.au/xrecord=b2092058</v>
      </c>
      <c r="E5160" t="s">
        <v>17918</v>
      </c>
      <c r="F5160" t="s">
        <v>1926</v>
      </c>
      <c r="G5160" t="s">
        <v>17736</v>
      </c>
      <c r="H5160" t="s">
        <v>17919</v>
      </c>
      <c r="I5160" t="s">
        <v>17920</v>
      </c>
      <c r="J5160" t="s">
        <v>14768</v>
      </c>
      <c r="K5160" s="2" t="str">
        <f>HYPERLINK("http://collections.slsa.sa.gov.au/mpcimg/61250/B61020_74.htm")</f>
        <v>http://collections.slsa.sa.gov.au/mpcimg/61250/B61020_74.htm</v>
      </c>
    </row>
    <row r="5161" spans="1:11" x14ac:dyDescent="0.25">
      <c r="A5161" t="s">
        <v>17921</v>
      </c>
      <c r="B5161" s="1" t="str">
        <f>HYPERLINK("https://www.catalog.slsa.sa.gov.au/record=b2092059")</f>
        <v>https://www.catalog.slsa.sa.gov.au/record=b2092059</v>
      </c>
      <c r="C5161" s="1" t="str">
        <f>HYPERLINK("https://www.catalog.slsa.sa.gov.au/xrecord=b2092059")</f>
        <v>https://www.catalog.slsa.sa.gov.au/xrecord=b2092059</v>
      </c>
      <c r="E5161" t="s">
        <v>17922</v>
      </c>
      <c r="F5161" t="s">
        <v>1926</v>
      </c>
      <c r="G5161" t="s">
        <v>17717</v>
      </c>
      <c r="H5161" t="s">
        <v>17923</v>
      </c>
      <c r="I5161" t="s">
        <v>17924</v>
      </c>
      <c r="J5161" t="s">
        <v>14768</v>
      </c>
      <c r="K5161" s="2" t="str">
        <f>HYPERLINK("http://collections.slsa.sa.gov.au/mpcimg/61250/B61020_75.htm")</f>
        <v>http://collections.slsa.sa.gov.au/mpcimg/61250/B61020_75.htm</v>
      </c>
    </row>
    <row r="5162" spans="1:11" x14ac:dyDescent="0.25">
      <c r="A5162" t="s">
        <v>17925</v>
      </c>
      <c r="B5162" s="1" t="str">
        <f>HYPERLINK("https://www.catalog.slsa.sa.gov.au/record=b2092062")</f>
        <v>https://www.catalog.slsa.sa.gov.au/record=b2092062</v>
      </c>
      <c r="C5162" s="1" t="str">
        <f>HYPERLINK("https://www.catalog.slsa.sa.gov.au/xrecord=b2092062")</f>
        <v>https://www.catalog.slsa.sa.gov.au/xrecord=b2092062</v>
      </c>
      <c r="E5162" t="s">
        <v>17926</v>
      </c>
      <c r="F5162" t="s">
        <v>1926</v>
      </c>
      <c r="G5162" t="s">
        <v>17855</v>
      </c>
      <c r="H5162" t="s">
        <v>17927</v>
      </c>
      <c r="I5162" t="s">
        <v>17928</v>
      </c>
      <c r="J5162" t="s">
        <v>14768</v>
      </c>
      <c r="K5162" s="2" t="str">
        <f>HYPERLINK("http://collections.slsa.sa.gov.au/mpcimg/61250/B61020_78.htm")</f>
        <v>http://collections.slsa.sa.gov.au/mpcimg/61250/B61020_78.htm</v>
      </c>
    </row>
    <row r="5163" spans="1:11" x14ac:dyDescent="0.25">
      <c r="A5163" t="s">
        <v>17929</v>
      </c>
      <c r="B5163" s="1" t="str">
        <f>HYPERLINK("https://www.catalog.slsa.sa.gov.au/record=b2092063")</f>
        <v>https://www.catalog.slsa.sa.gov.au/record=b2092063</v>
      </c>
      <c r="C5163" s="1" t="str">
        <f>HYPERLINK("https://www.catalog.slsa.sa.gov.au/xrecord=b2092063")</f>
        <v>https://www.catalog.slsa.sa.gov.au/xrecord=b2092063</v>
      </c>
      <c r="E5163" t="s">
        <v>17930</v>
      </c>
      <c r="F5163" t="s">
        <v>1926</v>
      </c>
      <c r="G5163" t="s">
        <v>17855</v>
      </c>
      <c r="H5163" t="s">
        <v>17931</v>
      </c>
      <c r="I5163" t="s">
        <v>17932</v>
      </c>
      <c r="J5163" t="s">
        <v>14768</v>
      </c>
      <c r="K5163" s="2" t="str">
        <f>HYPERLINK("http://collections.slsa.sa.gov.au/mpcimg/61250/B61020_79.htm")</f>
        <v>http://collections.slsa.sa.gov.au/mpcimg/61250/B61020_79.htm</v>
      </c>
    </row>
    <row r="5164" spans="1:11" x14ac:dyDescent="0.25">
      <c r="A5164" t="s">
        <v>17933</v>
      </c>
      <c r="B5164" s="1" t="str">
        <f>HYPERLINK("https://www.catalog.slsa.sa.gov.au/record=b2092064")</f>
        <v>https://www.catalog.slsa.sa.gov.au/record=b2092064</v>
      </c>
      <c r="C5164" s="1" t="str">
        <f>HYPERLINK("https://www.catalog.slsa.sa.gov.au/xrecord=b2092064")</f>
        <v>https://www.catalog.slsa.sa.gov.au/xrecord=b2092064</v>
      </c>
      <c r="E5164" t="s">
        <v>17805</v>
      </c>
      <c r="F5164" t="s">
        <v>1926</v>
      </c>
      <c r="G5164" t="s">
        <v>17934</v>
      </c>
      <c r="H5164" t="s">
        <v>17935</v>
      </c>
      <c r="I5164" t="s">
        <v>17936</v>
      </c>
      <c r="J5164" t="s">
        <v>14768</v>
      </c>
      <c r="K5164" s="2" t="str">
        <f>HYPERLINK("http://collections.slsa.sa.gov.au/mpcimg/61250/B61020_80.htm")</f>
        <v>http://collections.slsa.sa.gov.au/mpcimg/61250/B61020_80.htm</v>
      </c>
    </row>
    <row r="5165" spans="1:11" x14ac:dyDescent="0.25">
      <c r="A5165" t="s">
        <v>17937</v>
      </c>
      <c r="B5165" s="1" t="str">
        <f>HYPERLINK("https://www.catalog.slsa.sa.gov.au/record=b2092065")</f>
        <v>https://www.catalog.slsa.sa.gov.au/record=b2092065</v>
      </c>
      <c r="C5165" s="1" t="str">
        <f>HYPERLINK("https://www.catalog.slsa.sa.gov.au/xrecord=b2092065")</f>
        <v>https://www.catalog.slsa.sa.gov.au/xrecord=b2092065</v>
      </c>
      <c r="E5165" t="s">
        <v>17938</v>
      </c>
      <c r="F5165" t="s">
        <v>1926</v>
      </c>
      <c r="G5165" t="s">
        <v>17855</v>
      </c>
      <c r="H5165" t="s">
        <v>17939</v>
      </c>
      <c r="I5165" t="s">
        <v>17940</v>
      </c>
      <c r="J5165" t="s">
        <v>14768</v>
      </c>
      <c r="K5165" s="2" t="str">
        <f>HYPERLINK("http://collections.slsa.sa.gov.au/mpcimg/61250/B61020_81.htm")</f>
        <v>http://collections.slsa.sa.gov.au/mpcimg/61250/B61020_81.htm</v>
      </c>
    </row>
    <row r="5166" spans="1:11" x14ac:dyDescent="0.25">
      <c r="A5166" t="s">
        <v>17941</v>
      </c>
      <c r="B5166" s="1" t="str">
        <f>HYPERLINK("https://www.catalog.slsa.sa.gov.au/record=b2092066")</f>
        <v>https://www.catalog.slsa.sa.gov.au/record=b2092066</v>
      </c>
      <c r="C5166" s="1" t="str">
        <f>HYPERLINK("https://www.catalog.slsa.sa.gov.au/xrecord=b2092066")</f>
        <v>https://www.catalog.slsa.sa.gov.au/xrecord=b2092066</v>
      </c>
      <c r="E5166" t="s">
        <v>17942</v>
      </c>
      <c r="F5166" t="s">
        <v>1926</v>
      </c>
      <c r="G5166" t="s">
        <v>17736</v>
      </c>
      <c r="H5166" t="s">
        <v>17943</v>
      </c>
      <c r="I5166" t="s">
        <v>17944</v>
      </c>
      <c r="J5166" t="s">
        <v>14768</v>
      </c>
      <c r="K5166" s="2" t="str">
        <f>HYPERLINK("http://collections.slsa.sa.gov.au/mpcimg/61250/B61020_82.htm")</f>
        <v>http://collections.slsa.sa.gov.au/mpcimg/61250/B61020_82.htm</v>
      </c>
    </row>
    <row r="5167" spans="1:11" x14ac:dyDescent="0.25">
      <c r="A5167" t="s">
        <v>17945</v>
      </c>
      <c r="B5167" s="1" t="str">
        <f>HYPERLINK("https://www.catalog.slsa.sa.gov.au/record=b2092067")</f>
        <v>https://www.catalog.slsa.sa.gov.au/record=b2092067</v>
      </c>
      <c r="C5167" s="1" t="str">
        <f>HYPERLINK("https://www.catalog.slsa.sa.gov.au/xrecord=b2092067")</f>
        <v>https://www.catalog.slsa.sa.gov.au/xrecord=b2092067</v>
      </c>
      <c r="E5167" t="s">
        <v>17946</v>
      </c>
      <c r="F5167" t="s">
        <v>1926</v>
      </c>
      <c r="G5167" t="s">
        <v>17831</v>
      </c>
      <c r="H5167" t="s">
        <v>17947</v>
      </c>
      <c r="I5167" t="s">
        <v>17948</v>
      </c>
      <c r="J5167" t="s">
        <v>14768</v>
      </c>
      <c r="K5167" s="2" t="str">
        <f>HYPERLINK("http://collections.slsa.sa.gov.au/mpcimg/61250/B61020_83.htm")</f>
        <v>http://collections.slsa.sa.gov.au/mpcimg/61250/B61020_83.htm</v>
      </c>
    </row>
    <row r="5168" spans="1:11" x14ac:dyDescent="0.25">
      <c r="A5168" t="s">
        <v>17949</v>
      </c>
      <c r="B5168" s="1" t="str">
        <f>HYPERLINK("https://www.catalog.slsa.sa.gov.au/record=b2092068")</f>
        <v>https://www.catalog.slsa.sa.gov.au/record=b2092068</v>
      </c>
      <c r="C5168" s="1" t="str">
        <f>HYPERLINK("https://www.catalog.slsa.sa.gov.au/xrecord=b2092068")</f>
        <v>https://www.catalog.slsa.sa.gov.au/xrecord=b2092068</v>
      </c>
      <c r="E5168" t="s">
        <v>17950</v>
      </c>
      <c r="F5168" t="s">
        <v>1926</v>
      </c>
      <c r="G5168" t="s">
        <v>17951</v>
      </c>
      <c r="H5168" t="s">
        <v>17952</v>
      </c>
      <c r="I5168" t="s">
        <v>17914</v>
      </c>
      <c r="J5168" t="s">
        <v>14768</v>
      </c>
      <c r="K5168" s="2" t="str">
        <f>HYPERLINK("http://collections.slsa.sa.gov.au/mpcimg/61250/B61020_84.htm")</f>
        <v>http://collections.slsa.sa.gov.au/mpcimg/61250/B61020_84.htm</v>
      </c>
    </row>
    <row r="5169" spans="1:11" x14ac:dyDescent="0.25">
      <c r="A5169" t="s">
        <v>17953</v>
      </c>
      <c r="B5169" s="1" t="str">
        <f>HYPERLINK("https://www.catalog.slsa.sa.gov.au/record=b2092069")</f>
        <v>https://www.catalog.slsa.sa.gov.au/record=b2092069</v>
      </c>
      <c r="C5169" s="1" t="str">
        <f>HYPERLINK("https://www.catalog.slsa.sa.gov.au/xrecord=b2092069")</f>
        <v>https://www.catalog.slsa.sa.gov.au/xrecord=b2092069</v>
      </c>
      <c r="E5169" t="s">
        <v>17950</v>
      </c>
      <c r="F5169" t="s">
        <v>1926</v>
      </c>
      <c r="G5169" t="s">
        <v>17954</v>
      </c>
      <c r="H5169" t="s">
        <v>17955</v>
      </c>
      <c r="I5169" t="s">
        <v>17914</v>
      </c>
      <c r="J5169" t="s">
        <v>14768</v>
      </c>
      <c r="K5169" s="2" t="str">
        <f>HYPERLINK("http://collections.slsa.sa.gov.au/mpcimg/61250/B61020_85.htm")</f>
        <v>http://collections.slsa.sa.gov.au/mpcimg/61250/B61020_85.htm</v>
      </c>
    </row>
    <row r="5170" spans="1:11" x14ac:dyDescent="0.25">
      <c r="A5170" t="s">
        <v>17956</v>
      </c>
      <c r="B5170" s="1" t="str">
        <f>HYPERLINK("https://www.catalog.slsa.sa.gov.au/record=b2092070")</f>
        <v>https://www.catalog.slsa.sa.gov.au/record=b2092070</v>
      </c>
      <c r="C5170" s="1" t="str">
        <f>HYPERLINK("https://www.catalog.slsa.sa.gov.au/xrecord=b2092070")</f>
        <v>https://www.catalog.slsa.sa.gov.au/xrecord=b2092070</v>
      </c>
      <c r="E5170" t="s">
        <v>17950</v>
      </c>
      <c r="F5170" t="s">
        <v>1926</v>
      </c>
      <c r="G5170" t="s">
        <v>17957</v>
      </c>
      <c r="H5170" t="s">
        <v>17958</v>
      </c>
      <c r="I5170" t="s">
        <v>17914</v>
      </c>
      <c r="J5170" t="s">
        <v>14768</v>
      </c>
      <c r="K5170" s="2" t="str">
        <f>HYPERLINK("http://collections.slsa.sa.gov.au/mpcimg/61250/B61020_86.htm")</f>
        <v>http://collections.slsa.sa.gov.au/mpcimg/61250/B61020_86.htm</v>
      </c>
    </row>
    <row r="5171" spans="1:11" x14ac:dyDescent="0.25">
      <c r="A5171" t="s">
        <v>17959</v>
      </c>
      <c r="B5171" s="1" t="str">
        <f>HYPERLINK("https://www.catalog.slsa.sa.gov.au/record=b2092071")</f>
        <v>https://www.catalog.slsa.sa.gov.au/record=b2092071</v>
      </c>
      <c r="C5171" s="1" t="str">
        <f>HYPERLINK("https://www.catalog.slsa.sa.gov.au/xrecord=b2092071")</f>
        <v>https://www.catalog.slsa.sa.gov.au/xrecord=b2092071</v>
      </c>
      <c r="E5171" t="s">
        <v>5365</v>
      </c>
      <c r="F5171" t="s">
        <v>1926</v>
      </c>
      <c r="G5171" t="s">
        <v>17960</v>
      </c>
      <c r="H5171" t="s">
        <v>17961</v>
      </c>
      <c r="I5171" t="s">
        <v>17134</v>
      </c>
      <c r="J5171" t="s">
        <v>14768</v>
      </c>
      <c r="K5171" s="2" t="str">
        <f>HYPERLINK("http://collections.slsa.sa.gov.au/mpcimg/61250/B61020_87.htm")</f>
        <v>http://collections.slsa.sa.gov.au/mpcimg/61250/B61020_87.htm</v>
      </c>
    </row>
    <row r="5172" spans="1:11" x14ac:dyDescent="0.25">
      <c r="A5172" t="s">
        <v>17962</v>
      </c>
      <c r="B5172" s="1" t="str">
        <f>HYPERLINK("https://www.catalog.slsa.sa.gov.au/record=b2092072")</f>
        <v>https://www.catalog.slsa.sa.gov.au/record=b2092072</v>
      </c>
      <c r="C5172" s="1" t="str">
        <f>HYPERLINK("https://www.catalog.slsa.sa.gov.au/xrecord=b2092072")</f>
        <v>https://www.catalog.slsa.sa.gov.au/xrecord=b2092072</v>
      </c>
      <c r="E5172" t="s">
        <v>17963</v>
      </c>
      <c r="F5172" t="s">
        <v>1926</v>
      </c>
      <c r="G5172" t="s">
        <v>17964</v>
      </c>
      <c r="H5172" t="s">
        <v>17965</v>
      </c>
      <c r="I5172" t="s">
        <v>17966</v>
      </c>
      <c r="J5172" t="s">
        <v>14768</v>
      </c>
      <c r="K5172" s="2" t="str">
        <f>HYPERLINK("http://collections.slsa.sa.gov.au/mpcimg/61250/B61020_88.htm")</f>
        <v>http://collections.slsa.sa.gov.au/mpcimg/61250/B61020_88.htm</v>
      </c>
    </row>
    <row r="5173" spans="1:11" x14ac:dyDescent="0.25">
      <c r="A5173" t="s">
        <v>17967</v>
      </c>
      <c r="B5173" s="1" t="str">
        <f>HYPERLINK("https://www.catalog.slsa.sa.gov.au/record=b2092073")</f>
        <v>https://www.catalog.slsa.sa.gov.au/record=b2092073</v>
      </c>
      <c r="C5173" s="1" t="str">
        <f>HYPERLINK("https://www.catalog.slsa.sa.gov.au/xrecord=b2092073")</f>
        <v>https://www.catalog.slsa.sa.gov.au/xrecord=b2092073</v>
      </c>
      <c r="E5173" t="s">
        <v>17963</v>
      </c>
      <c r="F5173" t="s">
        <v>1926</v>
      </c>
      <c r="G5173" t="s">
        <v>17968</v>
      </c>
      <c r="H5173" t="s">
        <v>17969</v>
      </c>
      <c r="I5173" t="s">
        <v>17966</v>
      </c>
      <c r="J5173" t="s">
        <v>14768</v>
      </c>
      <c r="K5173" s="2" t="str">
        <f>HYPERLINK("http://collections.slsa.sa.gov.au/mpcimg/61250/B61020_89.htm")</f>
        <v>http://collections.slsa.sa.gov.au/mpcimg/61250/B61020_89.htm</v>
      </c>
    </row>
    <row r="5174" spans="1:11" x14ac:dyDescent="0.25">
      <c r="A5174" t="s">
        <v>17970</v>
      </c>
      <c r="B5174" s="1" t="str">
        <f>HYPERLINK("https://www.catalog.slsa.sa.gov.au/record=b2092074")</f>
        <v>https://www.catalog.slsa.sa.gov.au/record=b2092074</v>
      </c>
      <c r="C5174" s="1" t="str">
        <f>HYPERLINK("https://www.catalog.slsa.sa.gov.au/xrecord=b2092074")</f>
        <v>https://www.catalog.slsa.sa.gov.au/xrecord=b2092074</v>
      </c>
      <c r="E5174" t="s">
        <v>17735</v>
      </c>
      <c r="F5174" t="s">
        <v>1926</v>
      </c>
      <c r="G5174" t="s">
        <v>17971</v>
      </c>
      <c r="H5174" t="s">
        <v>17972</v>
      </c>
      <c r="I5174" t="s">
        <v>17738</v>
      </c>
      <c r="J5174" t="s">
        <v>14768</v>
      </c>
      <c r="K5174" s="2" t="str">
        <f>HYPERLINK("http://collections.slsa.sa.gov.au/mpcimg/61250/B61020_92.htm")</f>
        <v>http://collections.slsa.sa.gov.au/mpcimg/61250/B61020_92.htm</v>
      </c>
    </row>
    <row r="5175" spans="1:11" x14ac:dyDescent="0.25">
      <c r="A5175" t="s">
        <v>17973</v>
      </c>
      <c r="B5175" s="1" t="str">
        <f>HYPERLINK("https://www.catalog.slsa.sa.gov.au/record=b2092075")</f>
        <v>https://www.catalog.slsa.sa.gov.au/record=b2092075</v>
      </c>
      <c r="C5175" s="1" t="str">
        <f>HYPERLINK("https://www.catalog.slsa.sa.gov.au/xrecord=b2092075")</f>
        <v>https://www.catalog.slsa.sa.gov.au/xrecord=b2092075</v>
      </c>
      <c r="E5175" t="s">
        <v>5365</v>
      </c>
      <c r="F5175" t="s">
        <v>1926</v>
      </c>
      <c r="G5175" t="s">
        <v>17974</v>
      </c>
      <c r="H5175" t="s">
        <v>17975</v>
      </c>
      <c r="I5175" t="s">
        <v>17134</v>
      </c>
      <c r="J5175" t="s">
        <v>14768</v>
      </c>
      <c r="K5175" s="2" t="str">
        <f>HYPERLINK("http://collections.slsa.sa.gov.au/mpcimg/61250/B61020_91.htm")</f>
        <v>http://collections.slsa.sa.gov.au/mpcimg/61250/B61020_91.htm</v>
      </c>
    </row>
    <row r="5176" spans="1:11" x14ac:dyDescent="0.25">
      <c r="A5176" t="s">
        <v>17976</v>
      </c>
      <c r="B5176" s="1" t="str">
        <f>HYPERLINK("https://www.catalog.slsa.sa.gov.au/record=b2092076")</f>
        <v>https://www.catalog.slsa.sa.gov.au/record=b2092076</v>
      </c>
      <c r="C5176" s="1" t="str">
        <f>HYPERLINK("https://www.catalog.slsa.sa.gov.au/xrecord=b2092076")</f>
        <v>https://www.catalog.slsa.sa.gov.au/xrecord=b2092076</v>
      </c>
      <c r="E5176" t="s">
        <v>17963</v>
      </c>
      <c r="F5176" t="s">
        <v>1926</v>
      </c>
      <c r="G5176" t="s">
        <v>17954</v>
      </c>
      <c r="H5176" t="s">
        <v>17977</v>
      </c>
      <c r="I5176" t="s">
        <v>17966</v>
      </c>
      <c r="J5176" t="s">
        <v>14768</v>
      </c>
      <c r="K5176" s="2" t="str">
        <f>HYPERLINK("http://collections.slsa.sa.gov.au/mpcimg/61250/B61020_93.htm")</f>
        <v>http://collections.slsa.sa.gov.au/mpcimg/61250/B61020_93.htm</v>
      </c>
    </row>
    <row r="5177" spans="1:11" x14ac:dyDescent="0.25">
      <c r="A5177" t="s">
        <v>17978</v>
      </c>
      <c r="B5177" s="1" t="str">
        <f>HYPERLINK("https://www.catalog.slsa.sa.gov.au/record=b2092077")</f>
        <v>https://www.catalog.slsa.sa.gov.au/record=b2092077</v>
      </c>
      <c r="C5177" s="1" t="str">
        <f>HYPERLINK("https://www.catalog.slsa.sa.gov.au/xrecord=b2092077")</f>
        <v>https://www.catalog.slsa.sa.gov.au/xrecord=b2092077</v>
      </c>
      <c r="E5177" t="s">
        <v>17979</v>
      </c>
      <c r="F5177" t="s">
        <v>1926</v>
      </c>
      <c r="G5177" t="s">
        <v>17717</v>
      </c>
      <c r="H5177" t="s">
        <v>17980</v>
      </c>
      <c r="I5177" t="s">
        <v>17981</v>
      </c>
      <c r="J5177" t="s">
        <v>14768</v>
      </c>
      <c r="K5177" s="2" t="str">
        <f>HYPERLINK("http://collections.slsa.sa.gov.au/mpcimg/61250/B61020_94.htm")</f>
        <v>http://collections.slsa.sa.gov.au/mpcimg/61250/B61020_94.htm</v>
      </c>
    </row>
    <row r="5178" spans="1:11" x14ac:dyDescent="0.25">
      <c r="A5178" t="s">
        <v>17982</v>
      </c>
      <c r="B5178" s="1" t="str">
        <f>HYPERLINK("https://www.catalog.slsa.sa.gov.au/record=b2092078")</f>
        <v>https://www.catalog.slsa.sa.gov.au/record=b2092078</v>
      </c>
      <c r="C5178" s="1" t="str">
        <f>HYPERLINK("https://www.catalog.slsa.sa.gov.au/xrecord=b2092078")</f>
        <v>https://www.catalog.slsa.sa.gov.au/xrecord=b2092078</v>
      </c>
      <c r="E5178" t="s">
        <v>17983</v>
      </c>
      <c r="F5178" t="s">
        <v>1926</v>
      </c>
      <c r="G5178" t="s">
        <v>17984</v>
      </c>
      <c r="H5178" t="s">
        <v>17985</v>
      </c>
      <c r="I5178" t="s">
        <v>17986</v>
      </c>
      <c r="J5178" t="s">
        <v>14768</v>
      </c>
      <c r="K5178" s="2" t="str">
        <f>HYPERLINK("http://collections.slsa.sa.gov.au/mpcimg/61250/B61020_95.htm")</f>
        <v>http://collections.slsa.sa.gov.au/mpcimg/61250/B61020_95.htm</v>
      </c>
    </row>
    <row r="5179" spans="1:11" x14ac:dyDescent="0.25">
      <c r="A5179" t="s">
        <v>17987</v>
      </c>
      <c r="B5179" s="1" t="str">
        <f>HYPERLINK("https://www.catalog.slsa.sa.gov.au/record=b2092079")</f>
        <v>https://www.catalog.slsa.sa.gov.au/record=b2092079</v>
      </c>
      <c r="C5179" s="1" t="str">
        <f>HYPERLINK("https://www.catalog.slsa.sa.gov.au/xrecord=b2092079")</f>
        <v>https://www.catalog.slsa.sa.gov.au/xrecord=b2092079</v>
      </c>
      <c r="E5179" t="s">
        <v>2695</v>
      </c>
      <c r="F5179" t="s">
        <v>1926</v>
      </c>
      <c r="G5179" t="s">
        <v>17988</v>
      </c>
      <c r="H5179" t="s">
        <v>17989</v>
      </c>
      <c r="I5179" t="s">
        <v>17719</v>
      </c>
      <c r="J5179" t="s">
        <v>14768</v>
      </c>
      <c r="K5179" s="2" t="str">
        <f>HYPERLINK("http://collections.slsa.sa.gov.au/mpcimg/61250/B61020_96.htm")</f>
        <v>http://collections.slsa.sa.gov.au/mpcimg/61250/B61020_96.htm</v>
      </c>
    </row>
    <row r="5180" spans="1:11" x14ac:dyDescent="0.25">
      <c r="A5180" t="s">
        <v>17990</v>
      </c>
      <c r="B5180" s="1" t="str">
        <f>HYPERLINK("https://www.catalog.slsa.sa.gov.au/record=b2092080")</f>
        <v>https://www.catalog.slsa.sa.gov.au/record=b2092080</v>
      </c>
      <c r="C5180" s="1" t="str">
        <f>HYPERLINK("https://www.catalog.slsa.sa.gov.au/xrecord=b2092080")</f>
        <v>https://www.catalog.slsa.sa.gov.au/xrecord=b2092080</v>
      </c>
      <c r="E5180" t="s">
        <v>17991</v>
      </c>
      <c r="F5180" t="s">
        <v>1926</v>
      </c>
      <c r="G5180" t="s">
        <v>17717</v>
      </c>
      <c r="H5180" t="s">
        <v>17992</v>
      </c>
      <c r="I5180" t="s">
        <v>17993</v>
      </c>
      <c r="J5180" t="s">
        <v>14768</v>
      </c>
      <c r="K5180" s="2" t="str">
        <f>HYPERLINK("http://collections.slsa.sa.gov.au/mpcimg/61250/B61020_97.htm")</f>
        <v>http://collections.slsa.sa.gov.au/mpcimg/61250/B61020_97.htm</v>
      </c>
    </row>
    <row r="5181" spans="1:11" x14ac:dyDescent="0.25">
      <c r="A5181" t="s">
        <v>17994</v>
      </c>
      <c r="B5181" s="1" t="str">
        <f>HYPERLINK("https://www.catalog.slsa.sa.gov.au/record=b2092081")</f>
        <v>https://www.catalog.slsa.sa.gov.au/record=b2092081</v>
      </c>
      <c r="C5181" s="1" t="str">
        <f>HYPERLINK("https://www.catalog.slsa.sa.gov.au/xrecord=b2092081")</f>
        <v>https://www.catalog.slsa.sa.gov.au/xrecord=b2092081</v>
      </c>
      <c r="E5181" t="s">
        <v>17995</v>
      </c>
      <c r="F5181" t="s">
        <v>1926</v>
      </c>
      <c r="G5181" t="s">
        <v>17996</v>
      </c>
      <c r="H5181" t="s">
        <v>17997</v>
      </c>
      <c r="I5181" t="s">
        <v>16870</v>
      </c>
      <c r="J5181" t="s">
        <v>14768</v>
      </c>
      <c r="K5181" s="2" t="str">
        <f>HYPERLINK("http://collections.slsa.sa.gov.au/mpcimg/61250/B61020_98.htm")</f>
        <v>http://collections.slsa.sa.gov.au/mpcimg/61250/B61020_98.htm</v>
      </c>
    </row>
    <row r="5182" spans="1:11" x14ac:dyDescent="0.25">
      <c r="A5182" t="s">
        <v>17998</v>
      </c>
      <c r="B5182" s="1" t="str">
        <f>HYPERLINK("https://www.catalog.slsa.sa.gov.au/record=b2092083")</f>
        <v>https://www.catalog.slsa.sa.gov.au/record=b2092083</v>
      </c>
      <c r="C5182" s="1" t="str">
        <f>HYPERLINK("https://www.catalog.slsa.sa.gov.au/xrecord=b2092083")</f>
        <v>https://www.catalog.slsa.sa.gov.au/xrecord=b2092083</v>
      </c>
      <c r="E5182" t="s">
        <v>17999</v>
      </c>
      <c r="F5182" t="s">
        <v>1926</v>
      </c>
      <c r="G5182" t="s">
        <v>17855</v>
      </c>
      <c r="H5182" t="s">
        <v>18000</v>
      </c>
      <c r="I5182" t="s">
        <v>17796</v>
      </c>
      <c r="J5182" t="s">
        <v>14768</v>
      </c>
      <c r="K5182" s="2" t="str">
        <f>HYPERLINK("http://collections.slsa.sa.gov.au/mpcimg/61250/B61020_100.htm")</f>
        <v>http://collections.slsa.sa.gov.au/mpcimg/61250/B61020_100.htm</v>
      </c>
    </row>
    <row r="5183" spans="1:11" x14ac:dyDescent="0.25">
      <c r="A5183" t="s">
        <v>18001</v>
      </c>
      <c r="B5183" s="1" t="str">
        <f>HYPERLINK("https://www.catalog.slsa.sa.gov.au/record=b2092084")</f>
        <v>https://www.catalog.slsa.sa.gov.au/record=b2092084</v>
      </c>
      <c r="C5183" s="1" t="str">
        <f>HYPERLINK("https://www.catalog.slsa.sa.gov.au/xrecord=b2092084")</f>
        <v>https://www.catalog.slsa.sa.gov.au/xrecord=b2092084</v>
      </c>
      <c r="E5183" t="s">
        <v>18002</v>
      </c>
      <c r="F5183" t="s">
        <v>1926</v>
      </c>
      <c r="G5183" t="s">
        <v>17855</v>
      </c>
      <c r="H5183" t="s">
        <v>18003</v>
      </c>
      <c r="I5183" t="s">
        <v>18004</v>
      </c>
      <c r="J5183" t="s">
        <v>14768</v>
      </c>
      <c r="K5183" s="2" t="str">
        <f>HYPERLINK("http://collections.slsa.sa.gov.au/mpcimg/61250/B61020_101.htm")</f>
        <v>http://collections.slsa.sa.gov.au/mpcimg/61250/B61020_101.htm</v>
      </c>
    </row>
    <row r="5184" spans="1:11" x14ac:dyDescent="0.25">
      <c r="A5184" t="s">
        <v>18005</v>
      </c>
      <c r="B5184" s="1" t="str">
        <f>HYPERLINK("https://www.catalog.slsa.sa.gov.au/record=b2092085")</f>
        <v>https://www.catalog.slsa.sa.gov.au/record=b2092085</v>
      </c>
      <c r="C5184" s="1" t="str">
        <f>HYPERLINK("https://www.catalog.slsa.sa.gov.au/xrecord=b2092085")</f>
        <v>https://www.catalog.slsa.sa.gov.au/xrecord=b2092085</v>
      </c>
      <c r="E5184" t="s">
        <v>18006</v>
      </c>
      <c r="F5184" t="s">
        <v>1926</v>
      </c>
      <c r="G5184" t="s">
        <v>18007</v>
      </c>
      <c r="H5184" t="s">
        <v>18008</v>
      </c>
      <c r="I5184" t="s">
        <v>16013</v>
      </c>
      <c r="J5184" t="s">
        <v>14768</v>
      </c>
      <c r="K5184" s="2" t="str">
        <f>HYPERLINK("http://collections.slsa.sa.gov.au/mpcimg/61250/B61020_102.htm")</f>
        <v>http://collections.slsa.sa.gov.au/mpcimg/61250/B61020_102.htm</v>
      </c>
    </row>
    <row r="5185" spans="1:11" x14ac:dyDescent="0.25">
      <c r="A5185" t="s">
        <v>18009</v>
      </c>
      <c r="B5185" s="1" t="str">
        <f>HYPERLINK("https://www.catalog.slsa.sa.gov.au/record=b2092086")</f>
        <v>https://www.catalog.slsa.sa.gov.au/record=b2092086</v>
      </c>
      <c r="C5185" s="1" t="str">
        <f>HYPERLINK("https://www.catalog.slsa.sa.gov.au/xrecord=b2092086")</f>
        <v>https://www.catalog.slsa.sa.gov.au/xrecord=b2092086</v>
      </c>
      <c r="E5185" t="s">
        <v>18010</v>
      </c>
      <c r="F5185" t="s">
        <v>1926</v>
      </c>
      <c r="G5185" t="s">
        <v>18011</v>
      </c>
      <c r="H5185" t="s">
        <v>18012</v>
      </c>
      <c r="I5185" t="s">
        <v>16013</v>
      </c>
      <c r="J5185" t="s">
        <v>14768</v>
      </c>
      <c r="K5185" s="2" t="str">
        <f>HYPERLINK("http://collections.slsa.sa.gov.au/mpcimg/61250/B61020_103.htm")</f>
        <v>http://collections.slsa.sa.gov.au/mpcimg/61250/B61020_103.htm</v>
      </c>
    </row>
    <row r="5186" spans="1:11" x14ac:dyDescent="0.25">
      <c r="A5186" t="s">
        <v>18013</v>
      </c>
      <c r="B5186" s="1" t="str">
        <f>HYPERLINK("https://www.catalog.slsa.sa.gov.au/record=b2092087")</f>
        <v>https://www.catalog.slsa.sa.gov.au/record=b2092087</v>
      </c>
      <c r="C5186" s="1" t="str">
        <f>HYPERLINK("https://www.catalog.slsa.sa.gov.au/xrecord=b2092087")</f>
        <v>https://www.catalog.slsa.sa.gov.au/xrecord=b2092087</v>
      </c>
      <c r="E5186" t="s">
        <v>16805</v>
      </c>
      <c r="F5186" t="s">
        <v>1926</v>
      </c>
      <c r="G5186" t="s">
        <v>18014</v>
      </c>
      <c r="H5186" t="s">
        <v>18015</v>
      </c>
      <c r="I5186" t="s">
        <v>18016</v>
      </c>
      <c r="J5186" t="s">
        <v>14768</v>
      </c>
      <c r="K5186" s="2" t="str">
        <f>HYPERLINK("http://collections.slsa.sa.gov.au/mpcimg/61250/B61020_104.htm")</f>
        <v>http://collections.slsa.sa.gov.au/mpcimg/61250/B61020_104.htm</v>
      </c>
    </row>
    <row r="5187" spans="1:11" x14ac:dyDescent="0.25">
      <c r="A5187" t="s">
        <v>18017</v>
      </c>
      <c r="B5187" s="1" t="str">
        <f>HYPERLINK("https://www.catalog.slsa.sa.gov.au/record=b2092089")</f>
        <v>https://www.catalog.slsa.sa.gov.au/record=b2092089</v>
      </c>
      <c r="C5187" s="1" t="str">
        <f>HYPERLINK("https://www.catalog.slsa.sa.gov.au/xrecord=b2092089")</f>
        <v>https://www.catalog.slsa.sa.gov.au/xrecord=b2092089</v>
      </c>
      <c r="E5187" t="s">
        <v>18018</v>
      </c>
      <c r="F5187" t="s">
        <v>1926</v>
      </c>
      <c r="G5187" t="s">
        <v>18019</v>
      </c>
      <c r="H5187" t="s">
        <v>18020</v>
      </c>
      <c r="I5187" t="s">
        <v>18021</v>
      </c>
      <c r="J5187" t="s">
        <v>14768</v>
      </c>
      <c r="K5187" s="2" t="str">
        <f>HYPERLINK("http://collections.slsa.sa.gov.au/mpcimg/61250/B61020_106.htm")</f>
        <v>http://collections.slsa.sa.gov.au/mpcimg/61250/B61020_106.htm</v>
      </c>
    </row>
    <row r="5188" spans="1:11" x14ac:dyDescent="0.25">
      <c r="A5188" t="s">
        <v>18022</v>
      </c>
      <c r="B5188" s="1" t="str">
        <f>HYPERLINK("https://www.catalog.slsa.sa.gov.au/record=b2092090")</f>
        <v>https://www.catalog.slsa.sa.gov.au/record=b2092090</v>
      </c>
      <c r="C5188" s="1" t="str">
        <f>HYPERLINK("https://www.catalog.slsa.sa.gov.au/xrecord=b2092090")</f>
        <v>https://www.catalog.slsa.sa.gov.au/xrecord=b2092090</v>
      </c>
      <c r="E5188" t="s">
        <v>18023</v>
      </c>
      <c r="F5188" t="s">
        <v>1926</v>
      </c>
      <c r="G5188" t="s">
        <v>17842</v>
      </c>
      <c r="H5188" t="s">
        <v>18024</v>
      </c>
      <c r="I5188" t="s">
        <v>18025</v>
      </c>
      <c r="J5188" t="s">
        <v>14768</v>
      </c>
      <c r="K5188" s="2" t="str">
        <f>HYPERLINK("http://collections.slsa.sa.gov.au/mpcimg/61250/B61020_107.htm")</f>
        <v>http://collections.slsa.sa.gov.au/mpcimg/61250/B61020_107.htm</v>
      </c>
    </row>
    <row r="5189" spans="1:11" x14ac:dyDescent="0.25">
      <c r="A5189" t="s">
        <v>18026</v>
      </c>
      <c r="B5189" s="1" t="str">
        <f>HYPERLINK("https://www.catalog.slsa.sa.gov.au/record=b2092091")</f>
        <v>https://www.catalog.slsa.sa.gov.au/record=b2092091</v>
      </c>
      <c r="C5189" s="1" t="str">
        <f>HYPERLINK("https://www.catalog.slsa.sa.gov.au/xrecord=b2092091")</f>
        <v>https://www.catalog.slsa.sa.gov.au/xrecord=b2092091</v>
      </c>
      <c r="E5189" t="s">
        <v>18027</v>
      </c>
      <c r="F5189" t="s">
        <v>1926</v>
      </c>
      <c r="G5189" t="s">
        <v>17717</v>
      </c>
      <c r="H5189" t="s">
        <v>18028</v>
      </c>
      <c r="I5189" t="s">
        <v>18029</v>
      </c>
      <c r="J5189" t="s">
        <v>14768</v>
      </c>
      <c r="K5189" s="2" t="str">
        <f>HYPERLINK("http://collections.slsa.sa.gov.au/mpcimg/61250/B61020_108.htm")</f>
        <v>http://collections.slsa.sa.gov.au/mpcimg/61250/B61020_108.htm</v>
      </c>
    </row>
    <row r="5190" spans="1:11" x14ac:dyDescent="0.25">
      <c r="A5190" t="s">
        <v>18030</v>
      </c>
      <c r="B5190" s="1" t="str">
        <f>HYPERLINK("https://www.catalog.slsa.sa.gov.au/record=b2092092")</f>
        <v>https://www.catalog.slsa.sa.gov.au/record=b2092092</v>
      </c>
      <c r="C5190" s="1" t="str">
        <f>HYPERLINK("https://www.catalog.slsa.sa.gov.au/xrecord=b2092092")</f>
        <v>https://www.catalog.slsa.sa.gov.au/xrecord=b2092092</v>
      </c>
      <c r="E5190" t="s">
        <v>17942</v>
      </c>
      <c r="F5190" t="s">
        <v>1926</v>
      </c>
      <c r="G5190" t="s">
        <v>18031</v>
      </c>
      <c r="H5190" t="s">
        <v>18032</v>
      </c>
      <c r="I5190" t="s">
        <v>17944</v>
      </c>
      <c r="J5190" t="s">
        <v>14768</v>
      </c>
      <c r="K5190" s="2" t="str">
        <f>HYPERLINK("http://collections.slsa.sa.gov.au/mpcimg/61250/B61020_109.htm")</f>
        <v>http://collections.slsa.sa.gov.au/mpcimg/61250/B61020_109.htm</v>
      </c>
    </row>
    <row r="5191" spans="1:11" x14ac:dyDescent="0.25">
      <c r="A5191" t="s">
        <v>18033</v>
      </c>
      <c r="B5191" s="1" t="str">
        <f>HYPERLINK("https://www.catalog.slsa.sa.gov.au/record=b2092093")</f>
        <v>https://www.catalog.slsa.sa.gov.au/record=b2092093</v>
      </c>
      <c r="C5191" s="1" t="str">
        <f>HYPERLINK("https://www.catalog.slsa.sa.gov.au/xrecord=b2092093")</f>
        <v>https://www.catalog.slsa.sa.gov.au/xrecord=b2092093</v>
      </c>
      <c r="E5191" t="s">
        <v>18034</v>
      </c>
      <c r="F5191" t="s">
        <v>1926</v>
      </c>
      <c r="G5191" t="s">
        <v>18035</v>
      </c>
      <c r="H5191" t="s">
        <v>18036</v>
      </c>
      <c r="I5191" t="s">
        <v>18037</v>
      </c>
      <c r="J5191" t="s">
        <v>14768</v>
      </c>
      <c r="K5191" s="2" t="str">
        <f>HYPERLINK("http://collections.slsa.sa.gov.au/mpcimg/61250/B61020_110.htm")</f>
        <v>http://collections.slsa.sa.gov.au/mpcimg/61250/B61020_110.htm</v>
      </c>
    </row>
    <row r="5192" spans="1:11" x14ac:dyDescent="0.25">
      <c r="A5192" t="s">
        <v>18038</v>
      </c>
      <c r="B5192" s="1" t="str">
        <f>HYPERLINK("https://www.catalog.slsa.sa.gov.au/record=b2092094")</f>
        <v>https://www.catalog.slsa.sa.gov.au/record=b2092094</v>
      </c>
      <c r="C5192" s="1" t="str">
        <f>HYPERLINK("https://www.catalog.slsa.sa.gov.au/xrecord=b2092094")</f>
        <v>https://www.catalog.slsa.sa.gov.au/xrecord=b2092094</v>
      </c>
      <c r="E5192" t="s">
        <v>18034</v>
      </c>
      <c r="F5192" t="s">
        <v>1926</v>
      </c>
      <c r="G5192" t="s">
        <v>17988</v>
      </c>
      <c r="H5192" t="s">
        <v>18039</v>
      </c>
      <c r="I5192" t="s">
        <v>18040</v>
      </c>
      <c r="J5192" t="s">
        <v>14768</v>
      </c>
      <c r="K5192" s="2" t="str">
        <f>HYPERLINK("http://collections.slsa.sa.gov.au/mpcimg/61250/B61020_111.htm")</f>
        <v>http://collections.slsa.sa.gov.au/mpcimg/61250/B61020_111.htm</v>
      </c>
    </row>
    <row r="5193" spans="1:11" x14ac:dyDescent="0.25">
      <c r="A5193" t="s">
        <v>18041</v>
      </c>
      <c r="B5193" s="1" t="str">
        <f>HYPERLINK("https://www.catalog.slsa.sa.gov.au/record=b2092095")</f>
        <v>https://www.catalog.slsa.sa.gov.au/record=b2092095</v>
      </c>
      <c r="C5193" s="1" t="str">
        <f>HYPERLINK("https://www.catalog.slsa.sa.gov.au/xrecord=b2092095")</f>
        <v>https://www.catalog.slsa.sa.gov.au/xrecord=b2092095</v>
      </c>
      <c r="E5193" t="s">
        <v>18042</v>
      </c>
      <c r="F5193" t="s">
        <v>1926</v>
      </c>
      <c r="G5193" t="s">
        <v>18043</v>
      </c>
      <c r="H5193" t="s">
        <v>18044</v>
      </c>
      <c r="I5193" t="s">
        <v>18045</v>
      </c>
      <c r="J5193" t="s">
        <v>14768</v>
      </c>
      <c r="K5193" s="2" t="str">
        <f>HYPERLINK("http://collections.slsa.sa.gov.au/mpcimg/61250/B61020_112.htm")</f>
        <v>http://collections.slsa.sa.gov.au/mpcimg/61250/B61020_112.htm</v>
      </c>
    </row>
    <row r="5194" spans="1:11" x14ac:dyDescent="0.25">
      <c r="A5194" t="s">
        <v>18046</v>
      </c>
      <c r="B5194" s="1" t="str">
        <f>HYPERLINK("https://www.catalog.slsa.sa.gov.au/record=b2092096")</f>
        <v>https://www.catalog.slsa.sa.gov.au/record=b2092096</v>
      </c>
      <c r="C5194" s="1" t="str">
        <f>HYPERLINK("https://www.catalog.slsa.sa.gov.au/xrecord=b2092096")</f>
        <v>https://www.catalog.slsa.sa.gov.au/xrecord=b2092096</v>
      </c>
      <c r="E5194" t="s">
        <v>17942</v>
      </c>
      <c r="F5194" t="s">
        <v>1926</v>
      </c>
      <c r="G5194" t="s">
        <v>18047</v>
      </c>
      <c r="H5194" t="s">
        <v>18048</v>
      </c>
      <c r="I5194" t="s">
        <v>17944</v>
      </c>
      <c r="J5194" t="s">
        <v>14768</v>
      </c>
      <c r="K5194" s="2" t="str">
        <f>HYPERLINK("http://collections.slsa.sa.gov.au/mpcimg/61250/B61020_113.htm")</f>
        <v>http://collections.slsa.sa.gov.au/mpcimg/61250/B61020_113.htm</v>
      </c>
    </row>
    <row r="5195" spans="1:11" x14ac:dyDescent="0.25">
      <c r="A5195" t="s">
        <v>18049</v>
      </c>
      <c r="B5195" s="1" t="str">
        <f>HYPERLINK("https://www.catalog.slsa.sa.gov.au/record=b2092097")</f>
        <v>https://www.catalog.slsa.sa.gov.au/record=b2092097</v>
      </c>
      <c r="C5195" s="1" t="str">
        <f>HYPERLINK("https://www.catalog.slsa.sa.gov.au/xrecord=b2092097")</f>
        <v>https://www.catalog.slsa.sa.gov.au/xrecord=b2092097</v>
      </c>
      <c r="E5195" t="s">
        <v>17942</v>
      </c>
      <c r="F5195" t="s">
        <v>1926</v>
      </c>
      <c r="G5195" t="s">
        <v>17736</v>
      </c>
      <c r="H5195" t="s">
        <v>18050</v>
      </c>
      <c r="I5195" t="s">
        <v>17944</v>
      </c>
      <c r="J5195" t="s">
        <v>14768</v>
      </c>
      <c r="K5195" s="2" t="str">
        <f>HYPERLINK("http://collections.slsa.sa.gov.au/mpcimg/61250/B61020_115.htm")</f>
        <v>http://collections.slsa.sa.gov.au/mpcimg/61250/B61020_115.htm</v>
      </c>
    </row>
    <row r="5196" spans="1:11" x14ac:dyDescent="0.25">
      <c r="A5196" t="s">
        <v>18051</v>
      </c>
      <c r="B5196" s="1" t="str">
        <f>HYPERLINK("https://www.catalog.slsa.sa.gov.au/record=b2092098")</f>
        <v>https://www.catalog.slsa.sa.gov.au/record=b2092098</v>
      </c>
      <c r="C5196" s="1" t="str">
        <f>HYPERLINK("https://www.catalog.slsa.sa.gov.au/xrecord=b2092098")</f>
        <v>https://www.catalog.slsa.sa.gov.au/xrecord=b2092098</v>
      </c>
      <c r="E5196" t="s">
        <v>18052</v>
      </c>
      <c r="F5196" t="s">
        <v>1926</v>
      </c>
      <c r="G5196" t="s">
        <v>18053</v>
      </c>
      <c r="H5196" t="s">
        <v>18054</v>
      </c>
      <c r="I5196" t="s">
        <v>18055</v>
      </c>
      <c r="J5196" t="s">
        <v>14768</v>
      </c>
      <c r="K5196" s="2" t="str">
        <f>HYPERLINK("http://collections.slsa.sa.gov.au/mpcimg/61250/B61020_114.htm")</f>
        <v>http://collections.slsa.sa.gov.au/mpcimg/61250/B61020_114.htm</v>
      </c>
    </row>
    <row r="5197" spans="1:11" x14ac:dyDescent="0.25">
      <c r="A5197" t="s">
        <v>18056</v>
      </c>
      <c r="B5197" s="1" t="str">
        <f>HYPERLINK("https://www.catalog.slsa.sa.gov.au/record=b2092099")</f>
        <v>https://www.catalog.slsa.sa.gov.au/record=b2092099</v>
      </c>
      <c r="C5197" s="1" t="str">
        <f>HYPERLINK("https://www.catalog.slsa.sa.gov.au/xrecord=b2092099")</f>
        <v>https://www.catalog.slsa.sa.gov.au/xrecord=b2092099</v>
      </c>
      <c r="E5197" t="s">
        <v>18057</v>
      </c>
      <c r="F5197" t="s">
        <v>1926</v>
      </c>
      <c r="G5197" t="s">
        <v>17855</v>
      </c>
      <c r="H5197" t="s">
        <v>18058</v>
      </c>
      <c r="I5197" t="s">
        <v>18059</v>
      </c>
      <c r="J5197" t="s">
        <v>14768</v>
      </c>
      <c r="K5197" s="2" t="str">
        <f>HYPERLINK("http://collections.slsa.sa.gov.au/mpcimg/61250/B61020_116.htm")</f>
        <v>http://collections.slsa.sa.gov.au/mpcimg/61250/B61020_116.htm</v>
      </c>
    </row>
    <row r="5198" spans="1:11" x14ac:dyDescent="0.25">
      <c r="A5198" t="s">
        <v>18060</v>
      </c>
      <c r="B5198" s="1" t="str">
        <f>HYPERLINK("https://www.catalog.slsa.sa.gov.au/record=b2092100")</f>
        <v>https://www.catalog.slsa.sa.gov.au/record=b2092100</v>
      </c>
      <c r="C5198" s="1" t="str">
        <f>HYPERLINK("https://www.catalog.slsa.sa.gov.au/xrecord=b2092100")</f>
        <v>https://www.catalog.slsa.sa.gov.au/xrecord=b2092100</v>
      </c>
      <c r="E5198" t="s">
        <v>18061</v>
      </c>
      <c r="F5198" t="s">
        <v>1926</v>
      </c>
      <c r="G5198" t="s">
        <v>17855</v>
      </c>
      <c r="H5198" t="s">
        <v>18062</v>
      </c>
      <c r="I5198" t="s">
        <v>18063</v>
      </c>
      <c r="J5198" t="s">
        <v>14768</v>
      </c>
      <c r="K5198" s="2" t="str">
        <f>HYPERLINK("http://collections.slsa.sa.gov.au/mpcimg/61250/B61020_117.htm")</f>
        <v>http://collections.slsa.sa.gov.au/mpcimg/61250/B61020_117.htm</v>
      </c>
    </row>
    <row r="5199" spans="1:11" x14ac:dyDescent="0.25">
      <c r="A5199" t="s">
        <v>18064</v>
      </c>
      <c r="B5199" s="1" t="str">
        <f>HYPERLINK("https://www.catalog.slsa.sa.gov.au/record=b2092101")</f>
        <v>https://www.catalog.slsa.sa.gov.au/record=b2092101</v>
      </c>
      <c r="C5199" s="1" t="str">
        <f>HYPERLINK("https://www.catalog.slsa.sa.gov.au/xrecord=b2092101")</f>
        <v>https://www.catalog.slsa.sa.gov.au/xrecord=b2092101</v>
      </c>
      <c r="E5199" t="s">
        <v>18065</v>
      </c>
      <c r="F5199" t="s">
        <v>1926</v>
      </c>
      <c r="G5199" t="s">
        <v>17960</v>
      </c>
      <c r="H5199" t="s">
        <v>18066</v>
      </c>
      <c r="I5199" t="s">
        <v>18067</v>
      </c>
      <c r="J5199" t="s">
        <v>14768</v>
      </c>
      <c r="K5199" s="2" t="str">
        <f>HYPERLINK("http://collections.slsa.sa.gov.au/mpcimg/61250/B61020_118.htm")</f>
        <v>http://collections.slsa.sa.gov.au/mpcimg/61250/B61020_118.htm</v>
      </c>
    </row>
    <row r="5200" spans="1:11" x14ac:dyDescent="0.25">
      <c r="A5200" t="s">
        <v>18068</v>
      </c>
      <c r="B5200" s="1" t="str">
        <f>HYPERLINK("https://www.catalog.slsa.sa.gov.au/record=b2092102")</f>
        <v>https://www.catalog.slsa.sa.gov.au/record=b2092102</v>
      </c>
      <c r="C5200" s="1" t="str">
        <f>HYPERLINK("https://www.catalog.slsa.sa.gov.au/xrecord=b2092102")</f>
        <v>https://www.catalog.slsa.sa.gov.au/xrecord=b2092102</v>
      </c>
      <c r="E5200" t="s">
        <v>18065</v>
      </c>
      <c r="F5200" t="s">
        <v>1926</v>
      </c>
      <c r="G5200" t="s">
        <v>17855</v>
      </c>
      <c r="H5200" t="s">
        <v>18066</v>
      </c>
      <c r="I5200" t="s">
        <v>18067</v>
      </c>
      <c r="J5200" t="s">
        <v>14768</v>
      </c>
      <c r="K5200" s="2" t="str">
        <f>HYPERLINK("http://collections.slsa.sa.gov.au/mpcimg/61250/B61020_119.htm")</f>
        <v>http://collections.slsa.sa.gov.au/mpcimg/61250/B61020_119.htm</v>
      </c>
    </row>
    <row r="5201" spans="1:11" x14ac:dyDescent="0.25">
      <c r="A5201" t="s">
        <v>18069</v>
      </c>
      <c r="B5201" s="1" t="str">
        <f>HYPERLINK("https://www.catalog.slsa.sa.gov.au/record=b2092103")</f>
        <v>https://www.catalog.slsa.sa.gov.au/record=b2092103</v>
      </c>
      <c r="C5201" s="1" t="str">
        <f>HYPERLINK("https://www.catalog.slsa.sa.gov.au/xrecord=b2092103")</f>
        <v>https://www.catalog.slsa.sa.gov.au/xrecord=b2092103</v>
      </c>
      <c r="E5201" t="s">
        <v>18070</v>
      </c>
      <c r="F5201" t="s">
        <v>1926</v>
      </c>
      <c r="G5201" t="s">
        <v>17736</v>
      </c>
      <c r="H5201" t="s">
        <v>18071</v>
      </c>
      <c r="I5201" t="s">
        <v>18072</v>
      </c>
      <c r="J5201" t="s">
        <v>14768</v>
      </c>
      <c r="K5201" s="2" t="str">
        <f>HYPERLINK("http://collections.slsa.sa.gov.au/mpcimg/61250/B61020_120.htm")</f>
        <v>http://collections.slsa.sa.gov.au/mpcimg/61250/B61020_120.htm</v>
      </c>
    </row>
    <row r="5202" spans="1:11" x14ac:dyDescent="0.25">
      <c r="A5202" t="s">
        <v>18073</v>
      </c>
      <c r="B5202" s="1" t="str">
        <f>HYPERLINK("https://www.catalog.slsa.sa.gov.au/record=b2092104")</f>
        <v>https://www.catalog.slsa.sa.gov.au/record=b2092104</v>
      </c>
      <c r="C5202" s="1" t="str">
        <f>HYPERLINK("https://www.catalog.slsa.sa.gov.au/xrecord=b2092104")</f>
        <v>https://www.catalog.slsa.sa.gov.au/xrecord=b2092104</v>
      </c>
      <c r="E5202" t="s">
        <v>18074</v>
      </c>
      <c r="F5202" t="s">
        <v>1926</v>
      </c>
      <c r="G5202" t="s">
        <v>17855</v>
      </c>
      <c r="H5202" t="s">
        <v>18075</v>
      </c>
      <c r="I5202" t="s">
        <v>18076</v>
      </c>
      <c r="J5202" t="s">
        <v>14768</v>
      </c>
      <c r="K5202" s="2" t="str">
        <f>HYPERLINK("http://collections.slsa.sa.gov.au/mpcimg/61250/B61020_121.htm")</f>
        <v>http://collections.slsa.sa.gov.au/mpcimg/61250/B61020_121.htm</v>
      </c>
    </row>
    <row r="5203" spans="1:11" x14ac:dyDescent="0.25">
      <c r="A5203" t="s">
        <v>18077</v>
      </c>
      <c r="B5203" s="1" t="str">
        <f>HYPERLINK("https://www.catalog.slsa.sa.gov.au/record=b2092105")</f>
        <v>https://www.catalog.slsa.sa.gov.au/record=b2092105</v>
      </c>
      <c r="C5203" s="1" t="str">
        <f>HYPERLINK("https://www.catalog.slsa.sa.gov.au/xrecord=b2092105")</f>
        <v>https://www.catalog.slsa.sa.gov.au/xrecord=b2092105</v>
      </c>
      <c r="E5203" t="s">
        <v>18078</v>
      </c>
      <c r="F5203" t="s">
        <v>1926</v>
      </c>
      <c r="G5203" t="s">
        <v>17846</v>
      </c>
      <c r="H5203" t="s">
        <v>18079</v>
      </c>
      <c r="I5203" t="s">
        <v>18080</v>
      </c>
      <c r="J5203" t="s">
        <v>14768</v>
      </c>
      <c r="K5203" s="2" t="str">
        <f>HYPERLINK("http://collections.slsa.sa.gov.au/mpcimg/61250/B61020_122.htm")</f>
        <v>http://collections.slsa.sa.gov.au/mpcimg/61250/B61020_122.htm</v>
      </c>
    </row>
    <row r="5204" spans="1:11" x14ac:dyDescent="0.25">
      <c r="A5204" t="s">
        <v>18081</v>
      </c>
      <c r="B5204" s="1" t="str">
        <f>HYPERLINK("https://www.catalog.slsa.sa.gov.au/record=b2092106")</f>
        <v>https://www.catalog.slsa.sa.gov.au/record=b2092106</v>
      </c>
      <c r="C5204" s="1" t="str">
        <f>HYPERLINK("https://www.catalog.slsa.sa.gov.au/xrecord=b2092106")</f>
        <v>https://www.catalog.slsa.sa.gov.au/xrecord=b2092106</v>
      </c>
      <c r="E5204" t="s">
        <v>18082</v>
      </c>
      <c r="F5204" t="s">
        <v>1926</v>
      </c>
      <c r="G5204" t="s">
        <v>18083</v>
      </c>
      <c r="H5204" t="s">
        <v>18084</v>
      </c>
      <c r="I5204" t="s">
        <v>17861</v>
      </c>
      <c r="J5204" t="s">
        <v>14768</v>
      </c>
      <c r="K5204" s="2" t="str">
        <f>HYPERLINK("http://collections.slsa.sa.gov.au/mpcimg/61250/B61020_123.htm")</f>
        <v>http://collections.slsa.sa.gov.au/mpcimg/61250/B61020_123.htm</v>
      </c>
    </row>
    <row r="5205" spans="1:11" x14ac:dyDescent="0.25">
      <c r="A5205" t="s">
        <v>18085</v>
      </c>
      <c r="B5205" s="1" t="str">
        <f>HYPERLINK("https://www.catalog.slsa.sa.gov.au/record=b2092124")</f>
        <v>https://www.catalog.slsa.sa.gov.au/record=b2092124</v>
      </c>
      <c r="C5205" s="1" t="str">
        <f>HYPERLINK("https://www.catalog.slsa.sa.gov.au/xrecord=b2092124")</f>
        <v>https://www.catalog.slsa.sa.gov.au/xrecord=b2092124</v>
      </c>
      <c r="E5205" t="s">
        <v>18086</v>
      </c>
      <c r="F5205" t="s">
        <v>1926</v>
      </c>
      <c r="G5205" t="s">
        <v>18019</v>
      </c>
      <c r="H5205" t="s">
        <v>18087</v>
      </c>
      <c r="J5205" t="s">
        <v>14768</v>
      </c>
      <c r="K5205" s="2" t="str">
        <f>HYPERLINK("http://collections.slsa.sa.gov.au/mpcimg/61250/B61020_124.htm")</f>
        <v>http://collections.slsa.sa.gov.au/mpcimg/61250/B61020_124.htm</v>
      </c>
    </row>
    <row r="5206" spans="1:11" x14ac:dyDescent="0.25">
      <c r="A5206" t="s">
        <v>18088</v>
      </c>
      <c r="B5206" s="1" t="str">
        <f>HYPERLINK("https://www.catalog.slsa.sa.gov.au/record=b2092125")</f>
        <v>https://www.catalog.slsa.sa.gov.au/record=b2092125</v>
      </c>
      <c r="C5206" s="1" t="str">
        <f>HYPERLINK("https://www.catalog.slsa.sa.gov.au/xrecord=b2092125")</f>
        <v>https://www.catalog.slsa.sa.gov.au/xrecord=b2092125</v>
      </c>
      <c r="E5206" t="s">
        <v>18089</v>
      </c>
      <c r="F5206" t="s">
        <v>1926</v>
      </c>
      <c r="G5206" t="s">
        <v>17957</v>
      </c>
      <c r="H5206" t="s">
        <v>18090</v>
      </c>
      <c r="J5206" t="s">
        <v>14768</v>
      </c>
      <c r="K5206" s="2" t="str">
        <f>HYPERLINK("http://collections.slsa.sa.gov.au/mpcimg/61250/B61020_125.htm")</f>
        <v>http://collections.slsa.sa.gov.au/mpcimg/61250/B61020_125.htm</v>
      </c>
    </row>
    <row r="5207" spans="1:11" x14ac:dyDescent="0.25">
      <c r="A5207" t="s">
        <v>18091</v>
      </c>
      <c r="B5207" s="1" t="str">
        <f>HYPERLINK("https://www.catalog.slsa.sa.gov.au/record=b2092126")</f>
        <v>https://www.catalog.slsa.sa.gov.au/record=b2092126</v>
      </c>
      <c r="C5207" s="1" t="str">
        <f>HYPERLINK("https://www.catalog.slsa.sa.gov.au/xrecord=b2092126")</f>
        <v>https://www.catalog.slsa.sa.gov.au/xrecord=b2092126</v>
      </c>
      <c r="E5207" t="s">
        <v>3351</v>
      </c>
      <c r="F5207" t="s">
        <v>1926</v>
      </c>
      <c r="G5207" t="s">
        <v>18092</v>
      </c>
      <c r="H5207" t="s">
        <v>18093</v>
      </c>
      <c r="I5207" t="s">
        <v>17175</v>
      </c>
      <c r="J5207" t="s">
        <v>14768</v>
      </c>
      <c r="K5207" s="2" t="str">
        <f>HYPERLINK("http://collections.slsa.sa.gov.au/mpcimg/61250/B61020_126.htm")</f>
        <v>http://collections.slsa.sa.gov.au/mpcimg/61250/B61020_126.htm</v>
      </c>
    </row>
    <row r="5208" spans="1:11" x14ac:dyDescent="0.25">
      <c r="A5208" t="s">
        <v>18094</v>
      </c>
      <c r="B5208" s="1" t="str">
        <f>HYPERLINK("https://www.catalog.slsa.sa.gov.au/record=b2092127")</f>
        <v>https://www.catalog.slsa.sa.gov.au/record=b2092127</v>
      </c>
      <c r="C5208" s="1" t="str">
        <f>HYPERLINK("https://www.catalog.slsa.sa.gov.au/xrecord=b2092127")</f>
        <v>https://www.catalog.slsa.sa.gov.au/xrecord=b2092127</v>
      </c>
      <c r="E5208" t="s">
        <v>18095</v>
      </c>
      <c r="F5208" t="s">
        <v>1926</v>
      </c>
      <c r="G5208" t="s">
        <v>18096</v>
      </c>
      <c r="H5208" t="s">
        <v>18097</v>
      </c>
      <c r="I5208" t="s">
        <v>18098</v>
      </c>
      <c r="J5208" t="s">
        <v>14768</v>
      </c>
      <c r="K5208" s="2" t="str">
        <f>HYPERLINK("http://collections.slsa.sa.gov.au/mpcimg/61250/B61020_127.htm")</f>
        <v>http://collections.slsa.sa.gov.au/mpcimg/61250/B61020_127.htm</v>
      </c>
    </row>
    <row r="5209" spans="1:11" x14ac:dyDescent="0.25">
      <c r="A5209" t="s">
        <v>18099</v>
      </c>
      <c r="B5209" s="1" t="str">
        <f>HYPERLINK("https://www.catalog.slsa.sa.gov.au/record=b2092128")</f>
        <v>https://www.catalog.slsa.sa.gov.au/record=b2092128</v>
      </c>
      <c r="C5209" s="1" t="str">
        <f>HYPERLINK("https://www.catalog.slsa.sa.gov.au/xrecord=b2092128")</f>
        <v>https://www.catalog.slsa.sa.gov.au/xrecord=b2092128</v>
      </c>
      <c r="E5209" t="s">
        <v>17735</v>
      </c>
      <c r="F5209" t="s">
        <v>1926</v>
      </c>
      <c r="G5209" t="s">
        <v>17846</v>
      </c>
      <c r="H5209" t="s">
        <v>18100</v>
      </c>
      <c r="I5209" t="s">
        <v>18101</v>
      </c>
      <c r="J5209" t="s">
        <v>14768</v>
      </c>
      <c r="K5209" s="2" t="str">
        <f>HYPERLINK("http://collections.slsa.sa.gov.au/mpcimg/61250/B61020_128.htm")</f>
        <v>http://collections.slsa.sa.gov.au/mpcimg/61250/B61020_128.htm</v>
      </c>
    </row>
    <row r="5210" spans="1:11" x14ac:dyDescent="0.25">
      <c r="A5210" t="s">
        <v>18102</v>
      </c>
      <c r="B5210" s="1" t="str">
        <f>HYPERLINK("https://www.catalog.slsa.sa.gov.au/record=b2092129")</f>
        <v>https://www.catalog.slsa.sa.gov.au/record=b2092129</v>
      </c>
      <c r="C5210" s="1" t="str">
        <f>HYPERLINK("https://www.catalog.slsa.sa.gov.au/xrecord=b2092129")</f>
        <v>https://www.catalog.slsa.sa.gov.au/xrecord=b2092129</v>
      </c>
      <c r="E5210" t="s">
        <v>17963</v>
      </c>
      <c r="F5210" t="s">
        <v>1926</v>
      </c>
      <c r="G5210" t="s">
        <v>17855</v>
      </c>
      <c r="H5210" t="s">
        <v>18103</v>
      </c>
      <c r="I5210" t="s">
        <v>17966</v>
      </c>
      <c r="J5210" t="s">
        <v>14768</v>
      </c>
      <c r="K5210" s="2" t="str">
        <f>HYPERLINK("http://collections.slsa.sa.gov.au/mpcimg/61250/B61020_129.htm")</f>
        <v>http://collections.slsa.sa.gov.au/mpcimg/61250/B61020_129.htm</v>
      </c>
    </row>
    <row r="5211" spans="1:11" x14ac:dyDescent="0.25">
      <c r="A5211" t="s">
        <v>18104</v>
      </c>
      <c r="B5211" s="1" t="str">
        <f>HYPERLINK("https://www.catalog.slsa.sa.gov.au/record=b2092130")</f>
        <v>https://www.catalog.slsa.sa.gov.au/record=b2092130</v>
      </c>
      <c r="C5211" s="1" t="str">
        <f>HYPERLINK("https://www.catalog.slsa.sa.gov.au/xrecord=b2092130")</f>
        <v>https://www.catalog.slsa.sa.gov.au/xrecord=b2092130</v>
      </c>
      <c r="E5211" t="s">
        <v>17995</v>
      </c>
      <c r="F5211" t="s">
        <v>1926</v>
      </c>
      <c r="G5211" t="s">
        <v>17855</v>
      </c>
      <c r="H5211" t="s">
        <v>18105</v>
      </c>
      <c r="I5211" t="s">
        <v>17129</v>
      </c>
      <c r="J5211" t="s">
        <v>14768</v>
      </c>
      <c r="K5211" s="2" t="str">
        <f>HYPERLINK("http://collections.slsa.sa.gov.au/mpcimg/61250/B61020_130.htm")</f>
        <v>http://collections.slsa.sa.gov.au/mpcimg/61250/B61020_130.htm</v>
      </c>
    </row>
    <row r="5212" spans="1:11" x14ac:dyDescent="0.25">
      <c r="A5212" t="s">
        <v>18106</v>
      </c>
      <c r="B5212" s="1" t="str">
        <f>HYPERLINK("https://www.catalog.slsa.sa.gov.au/record=b2092131")</f>
        <v>https://www.catalog.slsa.sa.gov.au/record=b2092131</v>
      </c>
      <c r="C5212" s="1" t="str">
        <f>HYPERLINK("https://www.catalog.slsa.sa.gov.au/xrecord=b2092131")</f>
        <v>https://www.catalog.slsa.sa.gov.au/xrecord=b2092131</v>
      </c>
      <c r="E5212" t="s">
        <v>18107</v>
      </c>
      <c r="F5212" t="s">
        <v>1926</v>
      </c>
      <c r="G5212" t="s">
        <v>18019</v>
      </c>
      <c r="H5212" t="s">
        <v>18108</v>
      </c>
      <c r="I5212" t="s">
        <v>18109</v>
      </c>
      <c r="J5212" t="s">
        <v>14768</v>
      </c>
      <c r="K5212" s="2" t="str">
        <f>HYPERLINK("http://collections.slsa.sa.gov.au/mpcimg/61250/B61020_132.htm")</f>
        <v>http://collections.slsa.sa.gov.au/mpcimg/61250/B61020_132.htm</v>
      </c>
    </row>
    <row r="5213" spans="1:11" x14ac:dyDescent="0.25">
      <c r="A5213" t="s">
        <v>18110</v>
      </c>
      <c r="B5213" s="1" t="str">
        <f>HYPERLINK("https://www.catalog.slsa.sa.gov.au/record=b2092132")</f>
        <v>https://www.catalog.slsa.sa.gov.au/record=b2092132</v>
      </c>
      <c r="C5213" s="1" t="str">
        <f>HYPERLINK("https://www.catalog.slsa.sa.gov.au/xrecord=b2092132")</f>
        <v>https://www.catalog.slsa.sa.gov.au/xrecord=b2092132</v>
      </c>
      <c r="E5213" t="s">
        <v>17995</v>
      </c>
      <c r="F5213" t="s">
        <v>1926</v>
      </c>
      <c r="G5213" t="s">
        <v>18111</v>
      </c>
      <c r="H5213" t="s">
        <v>18105</v>
      </c>
      <c r="I5213" t="s">
        <v>17129</v>
      </c>
      <c r="J5213" t="s">
        <v>14768</v>
      </c>
      <c r="K5213" s="2" t="str">
        <f>HYPERLINK("http://collections.slsa.sa.gov.au/mpcimg/61250/B61020_131.htm")</f>
        <v>http://collections.slsa.sa.gov.au/mpcimg/61250/B61020_131.htm</v>
      </c>
    </row>
    <row r="5214" spans="1:11" x14ac:dyDescent="0.25">
      <c r="A5214" t="s">
        <v>18112</v>
      </c>
      <c r="B5214" s="1" t="str">
        <f>HYPERLINK("https://www.catalog.slsa.sa.gov.au/record=b2092133")</f>
        <v>https://www.catalog.slsa.sa.gov.au/record=b2092133</v>
      </c>
      <c r="C5214" s="1" t="str">
        <f>HYPERLINK("https://www.catalog.slsa.sa.gov.au/xrecord=b2092133")</f>
        <v>https://www.catalog.slsa.sa.gov.au/xrecord=b2092133</v>
      </c>
      <c r="E5214" t="s">
        <v>18113</v>
      </c>
      <c r="F5214" t="s">
        <v>1926</v>
      </c>
      <c r="G5214" t="s">
        <v>18114</v>
      </c>
      <c r="H5214" t="s">
        <v>18115</v>
      </c>
      <c r="I5214" t="s">
        <v>18116</v>
      </c>
      <c r="J5214" t="s">
        <v>14768</v>
      </c>
      <c r="K5214" s="2" t="str">
        <f>HYPERLINK("http://collections.slsa.sa.gov.au/mpcimg/61250/B61020_133.htm")</f>
        <v>http://collections.slsa.sa.gov.au/mpcimg/61250/B61020_133.htm</v>
      </c>
    </row>
    <row r="5215" spans="1:11" x14ac:dyDescent="0.25">
      <c r="A5215" t="s">
        <v>18117</v>
      </c>
      <c r="B5215" s="1" t="str">
        <f>HYPERLINK("https://www.catalog.slsa.sa.gov.au/record=b2092134")</f>
        <v>https://www.catalog.slsa.sa.gov.au/record=b2092134</v>
      </c>
      <c r="C5215" s="1" t="str">
        <f>HYPERLINK("https://www.catalog.slsa.sa.gov.au/xrecord=b2092134")</f>
        <v>https://www.catalog.slsa.sa.gov.au/xrecord=b2092134</v>
      </c>
      <c r="E5215" t="s">
        <v>17950</v>
      </c>
      <c r="F5215" t="s">
        <v>1926</v>
      </c>
      <c r="G5215" t="s">
        <v>17855</v>
      </c>
      <c r="H5215" t="s">
        <v>18118</v>
      </c>
      <c r="I5215" t="s">
        <v>17914</v>
      </c>
      <c r="J5215" t="s">
        <v>14768</v>
      </c>
      <c r="K5215" s="2" t="str">
        <f>HYPERLINK("http://collections.slsa.sa.gov.au/mpcimg/61250/B61020_134.htm")</f>
        <v>http://collections.slsa.sa.gov.au/mpcimg/61250/B61020_134.htm</v>
      </c>
    </row>
    <row r="5216" spans="1:11" x14ac:dyDescent="0.25">
      <c r="A5216" t="s">
        <v>18119</v>
      </c>
      <c r="B5216" s="1" t="str">
        <f>HYPERLINK("https://www.catalog.slsa.sa.gov.au/record=b2092135")</f>
        <v>https://www.catalog.slsa.sa.gov.au/record=b2092135</v>
      </c>
      <c r="C5216" s="1" t="str">
        <f>HYPERLINK("https://www.catalog.slsa.sa.gov.au/xrecord=b2092135")</f>
        <v>https://www.catalog.slsa.sa.gov.au/xrecord=b2092135</v>
      </c>
      <c r="E5216" t="s">
        <v>17950</v>
      </c>
      <c r="F5216" t="s">
        <v>1926</v>
      </c>
      <c r="G5216" t="s">
        <v>18114</v>
      </c>
      <c r="H5216" t="s">
        <v>18120</v>
      </c>
      <c r="I5216" t="s">
        <v>17914</v>
      </c>
      <c r="J5216" t="s">
        <v>14768</v>
      </c>
      <c r="K5216" s="2" t="str">
        <f>HYPERLINK("http://collections.slsa.sa.gov.au/mpcimg/61250/B61020_135.htm")</f>
        <v>http://collections.slsa.sa.gov.au/mpcimg/61250/B61020_135.htm</v>
      </c>
    </row>
    <row r="5217" spans="1:11" x14ac:dyDescent="0.25">
      <c r="A5217" t="s">
        <v>18121</v>
      </c>
      <c r="B5217" s="1" t="str">
        <f>HYPERLINK("https://www.catalog.slsa.sa.gov.au/record=b2092136")</f>
        <v>https://www.catalog.slsa.sa.gov.au/record=b2092136</v>
      </c>
      <c r="C5217" s="1" t="str">
        <f>HYPERLINK("https://www.catalog.slsa.sa.gov.au/xrecord=b2092136")</f>
        <v>https://www.catalog.slsa.sa.gov.au/xrecord=b2092136</v>
      </c>
      <c r="E5217" t="s">
        <v>17963</v>
      </c>
      <c r="F5217" t="s">
        <v>1926</v>
      </c>
      <c r="G5217" t="s">
        <v>17957</v>
      </c>
      <c r="H5217" t="s">
        <v>18103</v>
      </c>
      <c r="I5217" t="s">
        <v>17966</v>
      </c>
      <c r="J5217" t="s">
        <v>14768</v>
      </c>
      <c r="K5217" s="2" t="str">
        <f>HYPERLINK("http://collections.slsa.sa.gov.au/mpcimg/61250/B61020_136.htm")</f>
        <v>http://collections.slsa.sa.gov.au/mpcimg/61250/B61020_136.htm</v>
      </c>
    </row>
    <row r="5218" spans="1:11" x14ac:dyDescent="0.25">
      <c r="A5218" t="s">
        <v>18122</v>
      </c>
      <c r="B5218" s="1" t="str">
        <f>HYPERLINK("https://www.catalog.slsa.sa.gov.au/record=b2092137")</f>
        <v>https://www.catalog.slsa.sa.gov.au/record=b2092137</v>
      </c>
      <c r="C5218" s="1" t="str">
        <f>HYPERLINK("https://www.catalog.slsa.sa.gov.au/xrecord=b2092137")</f>
        <v>https://www.catalog.slsa.sa.gov.au/xrecord=b2092137</v>
      </c>
      <c r="E5218" t="s">
        <v>18123</v>
      </c>
      <c r="F5218" t="s">
        <v>1926</v>
      </c>
      <c r="G5218" t="s">
        <v>17736</v>
      </c>
      <c r="H5218" t="s">
        <v>18124</v>
      </c>
      <c r="I5218" t="s">
        <v>18125</v>
      </c>
      <c r="J5218" t="s">
        <v>14768</v>
      </c>
      <c r="K5218" s="2" t="str">
        <f>HYPERLINK("http://collections.slsa.sa.gov.au/mpcimg/61250/B61020_137.htm")</f>
        <v>http://collections.slsa.sa.gov.au/mpcimg/61250/B61020_137.htm</v>
      </c>
    </row>
    <row r="5219" spans="1:11" x14ac:dyDescent="0.25">
      <c r="A5219" t="s">
        <v>18126</v>
      </c>
      <c r="B5219" s="1" t="str">
        <f>HYPERLINK("https://www.catalog.slsa.sa.gov.au/record=b2092138")</f>
        <v>https://www.catalog.slsa.sa.gov.au/record=b2092138</v>
      </c>
      <c r="C5219" s="1" t="str">
        <f>HYPERLINK("https://www.catalog.slsa.sa.gov.au/xrecord=b2092138")</f>
        <v>https://www.catalog.slsa.sa.gov.au/xrecord=b2092138</v>
      </c>
      <c r="E5219" t="s">
        <v>18127</v>
      </c>
      <c r="F5219" t="s">
        <v>1926</v>
      </c>
      <c r="G5219" t="s">
        <v>18128</v>
      </c>
      <c r="H5219" t="s">
        <v>18129</v>
      </c>
      <c r="I5219" t="s">
        <v>18130</v>
      </c>
      <c r="J5219" t="s">
        <v>14768</v>
      </c>
      <c r="K5219" s="2" t="str">
        <f>HYPERLINK("http://collections.slsa.sa.gov.au/mpcimg/61250/B61020_138.htm")</f>
        <v>http://collections.slsa.sa.gov.au/mpcimg/61250/B61020_138.htm</v>
      </c>
    </row>
    <row r="5220" spans="1:11" x14ac:dyDescent="0.25">
      <c r="A5220" t="s">
        <v>18131</v>
      </c>
      <c r="B5220" s="1" t="str">
        <f>HYPERLINK("https://www.catalog.slsa.sa.gov.au/record=b2092139")</f>
        <v>https://www.catalog.slsa.sa.gov.au/record=b2092139</v>
      </c>
      <c r="C5220" s="1" t="str">
        <f>HYPERLINK("https://www.catalog.slsa.sa.gov.au/xrecord=b2092139")</f>
        <v>https://www.catalog.slsa.sa.gov.au/xrecord=b2092139</v>
      </c>
      <c r="E5220" t="s">
        <v>16146</v>
      </c>
      <c r="F5220" t="s">
        <v>1926</v>
      </c>
      <c r="G5220" t="s">
        <v>18132</v>
      </c>
      <c r="H5220" t="s">
        <v>18133</v>
      </c>
      <c r="I5220" t="s">
        <v>17879</v>
      </c>
      <c r="J5220" t="s">
        <v>14768</v>
      </c>
      <c r="K5220" s="2" t="str">
        <f>HYPERLINK("http://collections.slsa.sa.gov.au/mpcimg/61250/B61020_139.htm")</f>
        <v>http://collections.slsa.sa.gov.au/mpcimg/61250/B61020_139.htm</v>
      </c>
    </row>
    <row r="5221" spans="1:11" x14ac:dyDescent="0.25">
      <c r="A5221" t="s">
        <v>18134</v>
      </c>
      <c r="B5221" s="1" t="str">
        <f>HYPERLINK("https://www.catalog.slsa.sa.gov.au/record=b2092140")</f>
        <v>https://www.catalog.slsa.sa.gov.au/record=b2092140</v>
      </c>
      <c r="C5221" s="1" t="str">
        <f>HYPERLINK("https://www.catalog.slsa.sa.gov.au/xrecord=b2092140")</f>
        <v>https://www.catalog.slsa.sa.gov.au/xrecord=b2092140</v>
      </c>
      <c r="E5221" t="s">
        <v>18135</v>
      </c>
      <c r="F5221" t="s">
        <v>1926</v>
      </c>
      <c r="G5221" t="s">
        <v>18136</v>
      </c>
      <c r="H5221" t="s">
        <v>18137</v>
      </c>
      <c r="I5221" t="s">
        <v>18138</v>
      </c>
      <c r="J5221" t="s">
        <v>14768</v>
      </c>
      <c r="K5221" s="2" t="str">
        <f>HYPERLINK("http://collections.slsa.sa.gov.au/mpcimg/61250/B61020_140.htm")</f>
        <v>http://collections.slsa.sa.gov.au/mpcimg/61250/B61020_140.htm</v>
      </c>
    </row>
    <row r="5222" spans="1:11" x14ac:dyDescent="0.25">
      <c r="A5222" t="s">
        <v>18139</v>
      </c>
      <c r="B5222" s="1" t="str">
        <f>HYPERLINK("https://www.catalog.slsa.sa.gov.au/record=b2092141")</f>
        <v>https://www.catalog.slsa.sa.gov.au/record=b2092141</v>
      </c>
      <c r="C5222" s="1" t="str">
        <f>HYPERLINK("https://www.catalog.slsa.sa.gov.au/xrecord=b2092141")</f>
        <v>https://www.catalog.slsa.sa.gov.au/xrecord=b2092141</v>
      </c>
      <c r="E5222" t="s">
        <v>18140</v>
      </c>
      <c r="F5222" t="s">
        <v>1926</v>
      </c>
      <c r="G5222" t="s">
        <v>18136</v>
      </c>
      <c r="H5222" t="s">
        <v>18141</v>
      </c>
      <c r="I5222" t="s">
        <v>18138</v>
      </c>
      <c r="J5222" t="s">
        <v>14768</v>
      </c>
      <c r="K5222" s="2" t="str">
        <f>HYPERLINK("http://collections.slsa.sa.gov.au/mpcimg/61250/B61020_141.htm")</f>
        <v>http://collections.slsa.sa.gov.au/mpcimg/61250/B61020_141.htm</v>
      </c>
    </row>
    <row r="5223" spans="1:11" x14ac:dyDescent="0.25">
      <c r="A5223" t="s">
        <v>18142</v>
      </c>
      <c r="B5223" s="1" t="str">
        <f>HYPERLINK("https://www.catalog.slsa.sa.gov.au/record=b2092142")</f>
        <v>https://www.catalog.slsa.sa.gov.au/record=b2092142</v>
      </c>
      <c r="C5223" s="1" t="str">
        <f>HYPERLINK("https://www.catalog.slsa.sa.gov.au/xrecord=b2092142")</f>
        <v>https://www.catalog.slsa.sa.gov.au/xrecord=b2092142</v>
      </c>
      <c r="E5223" t="s">
        <v>18143</v>
      </c>
      <c r="F5223" t="s">
        <v>1926</v>
      </c>
      <c r="G5223" t="s">
        <v>17846</v>
      </c>
      <c r="H5223" t="s">
        <v>18144</v>
      </c>
      <c r="I5223" t="s">
        <v>18145</v>
      </c>
      <c r="J5223" t="s">
        <v>14768</v>
      </c>
      <c r="K5223" s="2" t="str">
        <f>HYPERLINK("http://collections.slsa.sa.gov.au/mpcimg/61250/B61020_142.htm")</f>
        <v>http://collections.slsa.sa.gov.au/mpcimg/61250/B61020_142.htm</v>
      </c>
    </row>
    <row r="5224" spans="1:11" x14ac:dyDescent="0.25">
      <c r="A5224" t="s">
        <v>18146</v>
      </c>
      <c r="B5224" s="1" t="str">
        <f>HYPERLINK("https://www.catalog.slsa.sa.gov.au/record=b2092143")</f>
        <v>https://www.catalog.slsa.sa.gov.au/record=b2092143</v>
      </c>
      <c r="C5224" s="1" t="str">
        <f>HYPERLINK("https://www.catalog.slsa.sa.gov.au/xrecord=b2092143")</f>
        <v>https://www.catalog.slsa.sa.gov.au/xrecord=b2092143</v>
      </c>
      <c r="E5224" t="s">
        <v>18147</v>
      </c>
      <c r="F5224" t="s">
        <v>1926</v>
      </c>
      <c r="G5224" t="s">
        <v>18148</v>
      </c>
      <c r="H5224" t="s">
        <v>18149</v>
      </c>
      <c r="I5224" t="s">
        <v>18147</v>
      </c>
      <c r="J5224" t="s">
        <v>14768</v>
      </c>
      <c r="K5224" s="2" t="str">
        <f>HYPERLINK("http://collections.slsa.sa.gov.au/mpcimg/61250/B61020_143.htm")</f>
        <v>http://collections.slsa.sa.gov.au/mpcimg/61250/B61020_143.htm</v>
      </c>
    </row>
    <row r="5225" spans="1:11" x14ac:dyDescent="0.25">
      <c r="A5225" t="s">
        <v>18150</v>
      </c>
      <c r="B5225" s="1" t="str">
        <f>HYPERLINK("https://www.catalog.slsa.sa.gov.au/record=b2092144")</f>
        <v>https://www.catalog.slsa.sa.gov.au/record=b2092144</v>
      </c>
      <c r="C5225" s="1" t="str">
        <f>HYPERLINK("https://www.catalog.slsa.sa.gov.au/xrecord=b2092144")</f>
        <v>https://www.catalog.slsa.sa.gov.au/xrecord=b2092144</v>
      </c>
      <c r="E5225" t="s">
        <v>18151</v>
      </c>
      <c r="F5225" t="s">
        <v>1926</v>
      </c>
      <c r="G5225" t="s">
        <v>17846</v>
      </c>
      <c r="H5225" t="s">
        <v>18152</v>
      </c>
      <c r="I5225" t="s">
        <v>16232</v>
      </c>
      <c r="J5225" t="s">
        <v>14768</v>
      </c>
      <c r="K5225" s="2" t="str">
        <f>HYPERLINK("http://collections.slsa.sa.gov.au/mpcimg/61250/B61020_144.htm")</f>
        <v>http://collections.slsa.sa.gov.au/mpcimg/61250/B61020_144.htm</v>
      </c>
    </row>
    <row r="5226" spans="1:11" x14ac:dyDescent="0.25">
      <c r="A5226" t="s">
        <v>18153</v>
      </c>
      <c r="B5226" s="1" t="str">
        <f>HYPERLINK("https://www.catalog.slsa.sa.gov.au/record=b2092145")</f>
        <v>https://www.catalog.slsa.sa.gov.au/record=b2092145</v>
      </c>
      <c r="C5226" s="1" t="str">
        <f>HYPERLINK("https://www.catalog.slsa.sa.gov.au/xrecord=b2092145")</f>
        <v>https://www.catalog.slsa.sa.gov.au/xrecord=b2092145</v>
      </c>
      <c r="E5226" t="s">
        <v>17881</v>
      </c>
      <c r="F5226" t="s">
        <v>1926</v>
      </c>
      <c r="G5226" t="s">
        <v>17736</v>
      </c>
      <c r="H5226" t="s">
        <v>18154</v>
      </c>
      <c r="I5226" t="s">
        <v>17883</v>
      </c>
      <c r="J5226" t="s">
        <v>14768</v>
      </c>
      <c r="K5226" s="2" t="str">
        <f>HYPERLINK("http://collections.slsa.sa.gov.au/mpcimg/61250/B61020_145.htm")</f>
        <v>http://collections.slsa.sa.gov.au/mpcimg/61250/B61020_145.htm</v>
      </c>
    </row>
    <row r="5227" spans="1:11" x14ac:dyDescent="0.25">
      <c r="A5227" t="s">
        <v>18155</v>
      </c>
      <c r="B5227" s="1" t="str">
        <f>HYPERLINK("https://www.catalog.slsa.sa.gov.au/record=b2092146")</f>
        <v>https://www.catalog.slsa.sa.gov.au/record=b2092146</v>
      </c>
      <c r="C5227" s="1" t="str">
        <f>HYPERLINK("https://www.catalog.slsa.sa.gov.au/xrecord=b2092146")</f>
        <v>https://www.catalog.slsa.sa.gov.au/xrecord=b2092146</v>
      </c>
      <c r="E5227" t="s">
        <v>18156</v>
      </c>
      <c r="F5227" t="s">
        <v>1926</v>
      </c>
      <c r="G5227" t="s">
        <v>18007</v>
      </c>
      <c r="H5227" t="s">
        <v>18157</v>
      </c>
      <c r="I5227" t="s">
        <v>18158</v>
      </c>
      <c r="J5227" t="s">
        <v>14768</v>
      </c>
      <c r="K5227" s="2" t="str">
        <f>HYPERLINK("http://collections.slsa.sa.gov.au/mpcimg/61250/B61020_146.htm")</f>
        <v>http://collections.slsa.sa.gov.au/mpcimg/61250/B61020_146.htm</v>
      </c>
    </row>
    <row r="5228" spans="1:11" x14ac:dyDescent="0.25">
      <c r="A5228" t="s">
        <v>18159</v>
      </c>
      <c r="B5228" s="1" t="str">
        <f>HYPERLINK("https://www.catalog.slsa.sa.gov.au/record=b2092147")</f>
        <v>https://www.catalog.slsa.sa.gov.au/record=b2092147</v>
      </c>
      <c r="C5228" s="1" t="str">
        <f>HYPERLINK("https://www.catalog.slsa.sa.gov.au/xrecord=b2092147")</f>
        <v>https://www.catalog.slsa.sa.gov.au/xrecord=b2092147</v>
      </c>
      <c r="E5228" t="s">
        <v>18160</v>
      </c>
      <c r="F5228" t="s">
        <v>1926</v>
      </c>
      <c r="G5228" t="s">
        <v>18161</v>
      </c>
      <c r="H5228" t="s">
        <v>18162</v>
      </c>
      <c r="I5228" t="s">
        <v>18163</v>
      </c>
      <c r="J5228" t="s">
        <v>14768</v>
      </c>
      <c r="K5228" s="2" t="str">
        <f>HYPERLINK("http://collections.slsa.sa.gov.au/mpcimg/61250/B61020_147.htm")</f>
        <v>http://collections.slsa.sa.gov.au/mpcimg/61250/B61020_147.htm</v>
      </c>
    </row>
    <row r="5229" spans="1:11" x14ac:dyDescent="0.25">
      <c r="A5229" t="s">
        <v>18164</v>
      </c>
      <c r="B5229" s="1" t="str">
        <f>HYPERLINK("https://www.catalog.slsa.sa.gov.au/record=b2092148")</f>
        <v>https://www.catalog.slsa.sa.gov.au/record=b2092148</v>
      </c>
      <c r="C5229" s="1" t="str">
        <f>HYPERLINK("https://www.catalog.slsa.sa.gov.au/xrecord=b2092148")</f>
        <v>https://www.catalog.slsa.sa.gov.au/xrecord=b2092148</v>
      </c>
      <c r="E5229" t="s">
        <v>18165</v>
      </c>
      <c r="F5229" t="s">
        <v>1926</v>
      </c>
      <c r="G5229" t="s">
        <v>18114</v>
      </c>
      <c r="H5229" t="s">
        <v>18166</v>
      </c>
      <c r="I5229" t="s">
        <v>18167</v>
      </c>
      <c r="J5229" t="s">
        <v>14768</v>
      </c>
      <c r="K5229" s="2" t="str">
        <f>HYPERLINK("http://collections.slsa.sa.gov.au/mpcimg/61250/B61020_148.htm")</f>
        <v>http://collections.slsa.sa.gov.au/mpcimg/61250/B61020_148.htm</v>
      </c>
    </row>
    <row r="5230" spans="1:11" x14ac:dyDescent="0.25">
      <c r="A5230" t="s">
        <v>18168</v>
      </c>
      <c r="B5230" s="1" t="str">
        <f>HYPERLINK("https://www.catalog.slsa.sa.gov.au/record=b2092149")</f>
        <v>https://www.catalog.slsa.sa.gov.au/record=b2092149</v>
      </c>
      <c r="C5230" s="1" t="str">
        <f>HYPERLINK("https://www.catalog.slsa.sa.gov.au/xrecord=b2092149")</f>
        <v>https://www.catalog.slsa.sa.gov.au/xrecord=b2092149</v>
      </c>
      <c r="E5230" t="s">
        <v>18169</v>
      </c>
      <c r="F5230" t="s">
        <v>1926</v>
      </c>
      <c r="G5230" t="s">
        <v>18019</v>
      </c>
      <c r="H5230" t="s">
        <v>18170</v>
      </c>
      <c r="I5230" t="s">
        <v>18171</v>
      </c>
      <c r="J5230" t="s">
        <v>14768</v>
      </c>
      <c r="K5230" s="2" t="str">
        <f>HYPERLINK("http://collections.slsa.sa.gov.au/mpcimg/61250/B61020_149.htm")</f>
        <v>http://collections.slsa.sa.gov.au/mpcimg/61250/B61020_149.htm</v>
      </c>
    </row>
    <row r="5231" spans="1:11" x14ac:dyDescent="0.25">
      <c r="A5231" t="s">
        <v>18172</v>
      </c>
      <c r="B5231" s="1" t="str">
        <f>HYPERLINK("https://www.catalog.slsa.sa.gov.au/record=b2092150")</f>
        <v>https://www.catalog.slsa.sa.gov.au/record=b2092150</v>
      </c>
      <c r="C5231" s="1" t="str">
        <f>HYPERLINK("https://www.catalog.slsa.sa.gov.au/xrecord=b2092150")</f>
        <v>https://www.catalog.slsa.sa.gov.au/xrecord=b2092150</v>
      </c>
      <c r="E5231" t="s">
        <v>18173</v>
      </c>
      <c r="F5231" t="s">
        <v>1926</v>
      </c>
      <c r="G5231" t="s">
        <v>17855</v>
      </c>
      <c r="H5231" t="s">
        <v>18174</v>
      </c>
      <c r="I5231" t="s">
        <v>18175</v>
      </c>
      <c r="J5231" t="s">
        <v>14768</v>
      </c>
      <c r="K5231" s="2" t="str">
        <f>HYPERLINK("http://collections.slsa.sa.gov.au/mpcimg/61250/B61020_150.htm")</f>
        <v>http://collections.slsa.sa.gov.au/mpcimg/61250/B61020_150.htm</v>
      </c>
    </row>
    <row r="5232" spans="1:11" x14ac:dyDescent="0.25">
      <c r="A5232" t="s">
        <v>18176</v>
      </c>
      <c r="B5232" s="1" t="str">
        <f>HYPERLINK("https://www.catalog.slsa.sa.gov.au/record=b2092151")</f>
        <v>https://www.catalog.slsa.sa.gov.au/record=b2092151</v>
      </c>
      <c r="C5232" s="1" t="str">
        <f>HYPERLINK("https://www.catalog.slsa.sa.gov.au/xrecord=b2092151")</f>
        <v>https://www.catalog.slsa.sa.gov.au/xrecord=b2092151</v>
      </c>
      <c r="E5232" t="s">
        <v>18177</v>
      </c>
      <c r="F5232" t="s">
        <v>1926</v>
      </c>
      <c r="G5232" t="s">
        <v>18114</v>
      </c>
      <c r="H5232" t="s">
        <v>18178</v>
      </c>
      <c r="I5232" t="s">
        <v>18179</v>
      </c>
      <c r="J5232" t="s">
        <v>14768</v>
      </c>
      <c r="K5232" s="2" t="str">
        <f>HYPERLINK("http://collections.slsa.sa.gov.au/mpcimg/61250/B61020_151.htm")</f>
        <v>http://collections.slsa.sa.gov.au/mpcimg/61250/B61020_151.htm</v>
      </c>
    </row>
    <row r="5233" spans="1:11" x14ac:dyDescent="0.25">
      <c r="A5233" t="s">
        <v>18180</v>
      </c>
      <c r="B5233" s="1" t="str">
        <f>HYPERLINK("https://www.catalog.slsa.sa.gov.au/record=b2092152")</f>
        <v>https://www.catalog.slsa.sa.gov.au/record=b2092152</v>
      </c>
      <c r="C5233" s="1" t="str">
        <f>HYPERLINK("https://www.catalog.slsa.sa.gov.au/xrecord=b2092152")</f>
        <v>https://www.catalog.slsa.sa.gov.au/xrecord=b2092152</v>
      </c>
      <c r="E5233" t="s">
        <v>18181</v>
      </c>
      <c r="F5233" t="s">
        <v>1926</v>
      </c>
      <c r="G5233" t="s">
        <v>18182</v>
      </c>
      <c r="H5233" t="s">
        <v>18183</v>
      </c>
      <c r="I5233" t="s">
        <v>18184</v>
      </c>
      <c r="J5233" t="s">
        <v>14768</v>
      </c>
      <c r="K5233" s="2" t="str">
        <f>HYPERLINK("http://collections.slsa.sa.gov.au/mpcimg/61250/B61020_152.htm")</f>
        <v>http://collections.slsa.sa.gov.au/mpcimg/61250/B61020_152.htm</v>
      </c>
    </row>
    <row r="5234" spans="1:11" x14ac:dyDescent="0.25">
      <c r="A5234" t="s">
        <v>18185</v>
      </c>
      <c r="B5234" s="1" t="str">
        <f>HYPERLINK("https://www.catalog.slsa.sa.gov.au/record=b2092153")</f>
        <v>https://www.catalog.slsa.sa.gov.au/record=b2092153</v>
      </c>
      <c r="C5234" s="1" t="str">
        <f>HYPERLINK("https://www.catalog.slsa.sa.gov.au/xrecord=b2092153")</f>
        <v>https://www.catalog.slsa.sa.gov.au/xrecord=b2092153</v>
      </c>
      <c r="E5234" t="s">
        <v>18186</v>
      </c>
      <c r="F5234" t="s">
        <v>1926</v>
      </c>
      <c r="G5234" t="s">
        <v>18083</v>
      </c>
      <c r="H5234" t="s">
        <v>18187</v>
      </c>
      <c r="I5234" t="s">
        <v>18188</v>
      </c>
      <c r="J5234" t="s">
        <v>14768</v>
      </c>
      <c r="K5234" s="2" t="str">
        <f>HYPERLINK("http://collections.slsa.sa.gov.au/mpcimg/61250/B61020_153.htm")</f>
        <v>http://collections.slsa.sa.gov.au/mpcimg/61250/B61020_153.htm</v>
      </c>
    </row>
    <row r="5235" spans="1:11" x14ac:dyDescent="0.25">
      <c r="A5235" t="s">
        <v>18189</v>
      </c>
      <c r="B5235" s="1" t="str">
        <f>HYPERLINK("https://www.catalog.slsa.sa.gov.au/record=b2092154")</f>
        <v>https://www.catalog.slsa.sa.gov.au/record=b2092154</v>
      </c>
      <c r="C5235" s="1" t="str">
        <f>HYPERLINK("https://www.catalog.slsa.sa.gov.au/xrecord=b2092154")</f>
        <v>https://www.catalog.slsa.sa.gov.au/xrecord=b2092154</v>
      </c>
      <c r="E5235" t="s">
        <v>18190</v>
      </c>
      <c r="F5235" t="s">
        <v>1926</v>
      </c>
      <c r="G5235" t="s">
        <v>17846</v>
      </c>
      <c r="H5235" t="s">
        <v>18191</v>
      </c>
      <c r="I5235" t="s">
        <v>18192</v>
      </c>
      <c r="J5235" t="s">
        <v>14768</v>
      </c>
      <c r="K5235" s="2" t="str">
        <f>HYPERLINK("http://collections.slsa.sa.gov.au/mpcimg/61250/B61020_154.htm")</f>
        <v>http://collections.slsa.sa.gov.au/mpcimg/61250/B61020_154.htm</v>
      </c>
    </row>
    <row r="5236" spans="1:11" x14ac:dyDescent="0.25">
      <c r="A5236" t="s">
        <v>18193</v>
      </c>
      <c r="B5236" s="1" t="str">
        <f>HYPERLINK("https://www.catalog.slsa.sa.gov.au/record=b2092155")</f>
        <v>https://www.catalog.slsa.sa.gov.au/record=b2092155</v>
      </c>
      <c r="C5236" s="1" t="str">
        <f>HYPERLINK("https://www.catalog.slsa.sa.gov.au/xrecord=b2092155")</f>
        <v>https://www.catalog.slsa.sa.gov.au/xrecord=b2092155</v>
      </c>
      <c r="E5236" t="s">
        <v>18194</v>
      </c>
      <c r="F5236" t="s">
        <v>1926</v>
      </c>
      <c r="G5236" t="s">
        <v>17855</v>
      </c>
      <c r="H5236" t="s">
        <v>18195</v>
      </c>
      <c r="I5236" t="s">
        <v>18184</v>
      </c>
      <c r="J5236" t="s">
        <v>14768</v>
      </c>
      <c r="K5236" s="2" t="str">
        <f>HYPERLINK("http://collections.slsa.sa.gov.au/mpcimg/61250/B61020_155.htm")</f>
        <v>http://collections.slsa.sa.gov.au/mpcimg/61250/B61020_155.htm</v>
      </c>
    </row>
    <row r="5237" spans="1:11" x14ac:dyDescent="0.25">
      <c r="A5237" t="s">
        <v>18196</v>
      </c>
      <c r="B5237" s="1" t="str">
        <f>HYPERLINK("https://www.catalog.slsa.sa.gov.au/record=b2092156")</f>
        <v>https://www.catalog.slsa.sa.gov.au/record=b2092156</v>
      </c>
      <c r="C5237" s="1" t="str">
        <f>HYPERLINK("https://www.catalog.slsa.sa.gov.au/xrecord=b2092156")</f>
        <v>https://www.catalog.slsa.sa.gov.au/xrecord=b2092156</v>
      </c>
      <c r="E5237" t="s">
        <v>18197</v>
      </c>
      <c r="F5237" t="s">
        <v>1926</v>
      </c>
      <c r="G5237" t="s">
        <v>18132</v>
      </c>
      <c r="H5237" t="s">
        <v>18198</v>
      </c>
      <c r="I5237" t="s">
        <v>18199</v>
      </c>
      <c r="J5237" t="s">
        <v>14768</v>
      </c>
      <c r="K5237" s="2" t="str">
        <f>HYPERLINK("http://collections.slsa.sa.gov.au/mpcimg/61250/B61020_156.htm")</f>
        <v>http://collections.slsa.sa.gov.au/mpcimg/61250/B61020_156.htm</v>
      </c>
    </row>
    <row r="5238" spans="1:11" x14ac:dyDescent="0.25">
      <c r="A5238" t="s">
        <v>18200</v>
      </c>
      <c r="B5238" s="1" t="str">
        <f>HYPERLINK("https://www.catalog.slsa.sa.gov.au/record=b2092158")</f>
        <v>https://www.catalog.slsa.sa.gov.au/record=b2092158</v>
      </c>
      <c r="C5238" s="1" t="str">
        <f>HYPERLINK("https://www.catalog.slsa.sa.gov.au/xrecord=b2092158")</f>
        <v>https://www.catalog.slsa.sa.gov.au/xrecord=b2092158</v>
      </c>
      <c r="E5238" t="s">
        <v>18201</v>
      </c>
      <c r="F5238" t="s">
        <v>1926</v>
      </c>
      <c r="G5238" t="s">
        <v>18019</v>
      </c>
      <c r="H5238" t="s">
        <v>18202</v>
      </c>
      <c r="I5238" t="s">
        <v>17883</v>
      </c>
      <c r="J5238" t="s">
        <v>14768</v>
      </c>
      <c r="K5238" s="2" t="str">
        <f>HYPERLINK("http://collections.slsa.sa.gov.au/mpcimg/61250/B61020_158.htm")</f>
        <v>http://collections.slsa.sa.gov.au/mpcimg/61250/B61020_158.htm</v>
      </c>
    </row>
    <row r="5239" spans="1:11" x14ac:dyDescent="0.25">
      <c r="A5239" t="s">
        <v>18203</v>
      </c>
      <c r="B5239" s="1" t="str">
        <f>HYPERLINK("https://www.catalog.slsa.sa.gov.au/record=b2092160")</f>
        <v>https://www.catalog.slsa.sa.gov.au/record=b2092160</v>
      </c>
      <c r="C5239" s="1" t="str">
        <f>HYPERLINK("https://www.catalog.slsa.sa.gov.au/xrecord=b2092160")</f>
        <v>https://www.catalog.slsa.sa.gov.au/xrecord=b2092160</v>
      </c>
      <c r="E5239" t="s">
        <v>18204</v>
      </c>
      <c r="F5239" t="s">
        <v>1926</v>
      </c>
      <c r="G5239" t="s">
        <v>18114</v>
      </c>
      <c r="H5239" t="s">
        <v>18205</v>
      </c>
      <c r="I5239" t="s">
        <v>18206</v>
      </c>
      <c r="J5239" t="s">
        <v>14768</v>
      </c>
      <c r="K5239" s="2" t="str">
        <f>HYPERLINK("http://collections.slsa.sa.gov.au/mpcimg/61250/B61020_159.htm")</f>
        <v>http://collections.slsa.sa.gov.au/mpcimg/61250/B61020_159.htm</v>
      </c>
    </row>
    <row r="5240" spans="1:11" x14ac:dyDescent="0.25">
      <c r="A5240" t="s">
        <v>18207</v>
      </c>
      <c r="B5240" s="1" t="str">
        <f>HYPERLINK("https://www.catalog.slsa.sa.gov.au/record=b2092166")</f>
        <v>https://www.catalog.slsa.sa.gov.au/record=b2092166</v>
      </c>
      <c r="C5240" s="1" t="str">
        <f>HYPERLINK("https://www.catalog.slsa.sa.gov.au/xrecord=b2092166")</f>
        <v>https://www.catalog.slsa.sa.gov.au/xrecord=b2092166</v>
      </c>
      <c r="E5240" t="s">
        <v>18208</v>
      </c>
      <c r="F5240" t="s">
        <v>1926</v>
      </c>
      <c r="G5240" t="s">
        <v>18128</v>
      </c>
      <c r="H5240" t="s">
        <v>18209</v>
      </c>
      <c r="I5240" t="s">
        <v>18210</v>
      </c>
      <c r="J5240" t="s">
        <v>14768</v>
      </c>
      <c r="K5240" s="2" t="str">
        <f>HYPERLINK("http://collections.slsa.sa.gov.au/mpcimg/61250/B61020_160.htm")</f>
        <v>http://collections.slsa.sa.gov.au/mpcimg/61250/B61020_160.htm</v>
      </c>
    </row>
    <row r="5241" spans="1:11" x14ac:dyDescent="0.25">
      <c r="A5241" t="s">
        <v>18211</v>
      </c>
      <c r="B5241" s="1" t="str">
        <f>HYPERLINK("https://www.catalog.slsa.sa.gov.au/record=b2092168")</f>
        <v>https://www.catalog.slsa.sa.gov.au/record=b2092168</v>
      </c>
      <c r="C5241" s="1" t="str">
        <f>HYPERLINK("https://www.catalog.slsa.sa.gov.au/xrecord=b2092168")</f>
        <v>https://www.catalog.slsa.sa.gov.au/xrecord=b2092168</v>
      </c>
      <c r="E5241" t="s">
        <v>18212</v>
      </c>
      <c r="F5241" t="s">
        <v>1926</v>
      </c>
      <c r="G5241" t="s">
        <v>18019</v>
      </c>
      <c r="H5241" t="s">
        <v>18213</v>
      </c>
      <c r="I5241" t="s">
        <v>18214</v>
      </c>
      <c r="J5241" t="s">
        <v>14768</v>
      </c>
      <c r="K5241" s="2" t="str">
        <f>HYPERLINK("http://collections.slsa.sa.gov.au/mpcimg/61250/B61020_161.htm")</f>
        <v>http://collections.slsa.sa.gov.au/mpcimg/61250/B61020_161.htm</v>
      </c>
    </row>
    <row r="5242" spans="1:11" x14ac:dyDescent="0.25">
      <c r="A5242" t="s">
        <v>18215</v>
      </c>
      <c r="B5242" s="1" t="str">
        <f>HYPERLINK("https://www.catalog.slsa.sa.gov.au/record=b2092174")</f>
        <v>https://www.catalog.slsa.sa.gov.au/record=b2092174</v>
      </c>
      <c r="C5242" s="1" t="str">
        <f>HYPERLINK("https://www.catalog.slsa.sa.gov.au/xrecord=b2092174")</f>
        <v>https://www.catalog.slsa.sa.gov.au/xrecord=b2092174</v>
      </c>
      <c r="E5242" t="s">
        <v>18216</v>
      </c>
      <c r="F5242" t="s">
        <v>1926</v>
      </c>
      <c r="G5242" t="s">
        <v>18217</v>
      </c>
      <c r="H5242" t="s">
        <v>18218</v>
      </c>
      <c r="I5242" t="s">
        <v>18219</v>
      </c>
      <c r="J5242" t="s">
        <v>14768</v>
      </c>
      <c r="K5242" s="2" t="str">
        <f>HYPERLINK("http://collections.slsa.sa.gov.au/mpcimg/61250/B61020_162.htm")</f>
        <v>http://collections.slsa.sa.gov.au/mpcimg/61250/B61020_162.htm</v>
      </c>
    </row>
    <row r="5243" spans="1:11" x14ac:dyDescent="0.25">
      <c r="A5243" t="s">
        <v>18220</v>
      </c>
      <c r="B5243" s="1" t="str">
        <f>HYPERLINK("https://www.catalog.slsa.sa.gov.au/record=b2092178")</f>
        <v>https://www.catalog.slsa.sa.gov.au/record=b2092178</v>
      </c>
      <c r="C5243" s="1" t="str">
        <f>HYPERLINK("https://www.catalog.slsa.sa.gov.au/xrecord=b2092178")</f>
        <v>https://www.catalog.slsa.sa.gov.au/xrecord=b2092178</v>
      </c>
      <c r="E5243" t="s">
        <v>18221</v>
      </c>
      <c r="F5243" t="s">
        <v>1926</v>
      </c>
      <c r="G5243" t="s">
        <v>18222</v>
      </c>
      <c r="H5243" t="s">
        <v>18223</v>
      </c>
      <c r="I5243" t="s">
        <v>18224</v>
      </c>
      <c r="J5243" t="s">
        <v>14768</v>
      </c>
      <c r="K5243" s="2" t="str">
        <f>HYPERLINK("http://collections.slsa.sa.gov.au/mpcimg/61250/B61020_163.htm")</f>
        <v>http://collections.slsa.sa.gov.au/mpcimg/61250/B61020_163.htm</v>
      </c>
    </row>
    <row r="5244" spans="1:11" x14ac:dyDescent="0.25">
      <c r="A5244" t="s">
        <v>18225</v>
      </c>
      <c r="B5244" s="1" t="str">
        <f>HYPERLINK("https://www.catalog.slsa.sa.gov.au/record=b2092186")</f>
        <v>https://www.catalog.slsa.sa.gov.au/record=b2092186</v>
      </c>
      <c r="C5244" s="1" t="str">
        <f>HYPERLINK("https://www.catalog.slsa.sa.gov.au/xrecord=b2092186")</f>
        <v>https://www.catalog.slsa.sa.gov.au/xrecord=b2092186</v>
      </c>
      <c r="E5244" t="s">
        <v>18226</v>
      </c>
      <c r="F5244" t="s">
        <v>1926</v>
      </c>
      <c r="G5244" t="s">
        <v>18007</v>
      </c>
      <c r="H5244" t="s">
        <v>18227</v>
      </c>
      <c r="I5244" t="s">
        <v>18228</v>
      </c>
      <c r="J5244" t="s">
        <v>14768</v>
      </c>
      <c r="K5244" s="2" t="str">
        <f>HYPERLINK("http://collections.slsa.sa.gov.au/mpcimg/61250/B61020_164.htm")</f>
        <v>http://collections.slsa.sa.gov.au/mpcimg/61250/B61020_164.htm</v>
      </c>
    </row>
    <row r="5245" spans="1:11" x14ac:dyDescent="0.25">
      <c r="A5245" t="s">
        <v>18229</v>
      </c>
      <c r="B5245" s="1" t="str">
        <f>HYPERLINK("https://www.catalog.slsa.sa.gov.au/record=b2092188")</f>
        <v>https://www.catalog.slsa.sa.gov.au/record=b2092188</v>
      </c>
      <c r="C5245" s="1" t="str">
        <f>HYPERLINK("https://www.catalog.slsa.sa.gov.au/xrecord=b2092188")</f>
        <v>https://www.catalog.slsa.sa.gov.au/xrecord=b2092188</v>
      </c>
      <c r="E5245" t="s">
        <v>18230</v>
      </c>
      <c r="F5245" t="s">
        <v>1926</v>
      </c>
      <c r="G5245" t="s">
        <v>18019</v>
      </c>
      <c r="H5245" t="s">
        <v>18231</v>
      </c>
      <c r="I5245" t="s">
        <v>18232</v>
      </c>
      <c r="J5245" t="s">
        <v>14768</v>
      </c>
      <c r="K5245" s="2" t="str">
        <f>HYPERLINK("http://collections.slsa.sa.gov.au/mpcimg/61250/B61020_165.htm")</f>
        <v>http://collections.slsa.sa.gov.au/mpcimg/61250/B61020_165.htm</v>
      </c>
    </row>
    <row r="5246" spans="1:11" x14ac:dyDescent="0.25">
      <c r="A5246" t="s">
        <v>18233</v>
      </c>
      <c r="B5246" s="1" t="str">
        <f>HYPERLINK("https://www.catalog.slsa.sa.gov.au/record=b2092190")</f>
        <v>https://www.catalog.slsa.sa.gov.au/record=b2092190</v>
      </c>
      <c r="C5246" s="1" t="str">
        <f>HYPERLINK("https://www.catalog.slsa.sa.gov.au/xrecord=b2092190")</f>
        <v>https://www.catalog.slsa.sa.gov.au/xrecord=b2092190</v>
      </c>
      <c r="E5246" t="s">
        <v>18234</v>
      </c>
      <c r="F5246" t="s">
        <v>1926</v>
      </c>
      <c r="G5246" t="s">
        <v>18114</v>
      </c>
      <c r="H5246" t="s">
        <v>18235</v>
      </c>
      <c r="I5246" t="s">
        <v>18236</v>
      </c>
      <c r="J5246" t="s">
        <v>14768</v>
      </c>
      <c r="K5246" s="2" t="str">
        <f>HYPERLINK("http://collections.slsa.sa.gov.au/mpcimg/61250/B61020_166.htm")</f>
        <v>http://collections.slsa.sa.gov.au/mpcimg/61250/B61020_166.htm</v>
      </c>
    </row>
    <row r="5247" spans="1:11" x14ac:dyDescent="0.25">
      <c r="A5247" t="s">
        <v>18237</v>
      </c>
      <c r="B5247" s="1" t="str">
        <f>HYPERLINK("https://www.catalog.slsa.sa.gov.au/record=b2092192")</f>
        <v>https://www.catalog.slsa.sa.gov.au/record=b2092192</v>
      </c>
      <c r="C5247" s="1" t="str">
        <f>HYPERLINK("https://www.catalog.slsa.sa.gov.au/xrecord=b2092192")</f>
        <v>https://www.catalog.slsa.sa.gov.au/xrecord=b2092192</v>
      </c>
      <c r="E5247" t="s">
        <v>17834</v>
      </c>
      <c r="F5247" t="s">
        <v>1926</v>
      </c>
      <c r="G5247" t="s">
        <v>17846</v>
      </c>
      <c r="H5247" t="s">
        <v>18238</v>
      </c>
      <c r="I5247" t="s">
        <v>17836</v>
      </c>
      <c r="J5247" t="s">
        <v>14768</v>
      </c>
      <c r="K5247" s="2" t="str">
        <f>HYPERLINK("http://collections.slsa.sa.gov.au/mpcimg/61250/B61020_167.htm")</f>
        <v>http://collections.slsa.sa.gov.au/mpcimg/61250/B61020_167.htm</v>
      </c>
    </row>
    <row r="5248" spans="1:11" x14ac:dyDescent="0.25">
      <c r="A5248" t="s">
        <v>18239</v>
      </c>
      <c r="B5248" s="1" t="str">
        <f>HYPERLINK("https://www.catalog.slsa.sa.gov.au/record=b2092195")</f>
        <v>https://www.catalog.slsa.sa.gov.au/record=b2092195</v>
      </c>
      <c r="C5248" s="1" t="str">
        <f>HYPERLINK("https://www.catalog.slsa.sa.gov.au/xrecord=b2092195")</f>
        <v>https://www.catalog.slsa.sa.gov.au/xrecord=b2092195</v>
      </c>
      <c r="E5248" t="s">
        <v>18240</v>
      </c>
      <c r="F5248" t="s">
        <v>1926</v>
      </c>
      <c r="G5248" t="s">
        <v>17736</v>
      </c>
      <c r="H5248" t="s">
        <v>18241</v>
      </c>
      <c r="I5248" t="s">
        <v>18242</v>
      </c>
      <c r="J5248" t="s">
        <v>14768</v>
      </c>
      <c r="K5248" s="2" t="str">
        <f>HYPERLINK("http://collections.slsa.sa.gov.au/mpcimg/61250/B61020_168.htm")</f>
        <v>http://collections.slsa.sa.gov.au/mpcimg/61250/B61020_168.htm</v>
      </c>
    </row>
    <row r="5249" spans="1:11" x14ac:dyDescent="0.25">
      <c r="A5249" t="s">
        <v>18243</v>
      </c>
      <c r="B5249" s="1" t="str">
        <f>HYPERLINK("https://www.catalog.slsa.sa.gov.au/record=b2092197")</f>
        <v>https://www.catalog.slsa.sa.gov.au/record=b2092197</v>
      </c>
      <c r="C5249" s="1" t="str">
        <f>HYPERLINK("https://www.catalog.slsa.sa.gov.au/xrecord=b2092197")</f>
        <v>https://www.catalog.slsa.sa.gov.au/xrecord=b2092197</v>
      </c>
      <c r="E5249" t="s">
        <v>17834</v>
      </c>
      <c r="F5249" t="s">
        <v>1926</v>
      </c>
      <c r="G5249" t="s">
        <v>18083</v>
      </c>
      <c r="H5249" t="s">
        <v>18244</v>
      </c>
      <c r="I5249" t="s">
        <v>18245</v>
      </c>
      <c r="J5249" t="s">
        <v>14768</v>
      </c>
      <c r="K5249" s="2" t="str">
        <f>HYPERLINK("http://collections.slsa.sa.gov.au/mpcimg/61250/B61020_169.htm")</f>
        <v>http://collections.slsa.sa.gov.au/mpcimg/61250/B61020_169.htm</v>
      </c>
    </row>
    <row r="5250" spans="1:11" x14ac:dyDescent="0.25">
      <c r="A5250" t="s">
        <v>18246</v>
      </c>
      <c r="B5250" s="1" t="str">
        <f>HYPERLINK("https://www.catalog.slsa.sa.gov.au/record=b2092200")</f>
        <v>https://www.catalog.slsa.sa.gov.au/record=b2092200</v>
      </c>
      <c r="C5250" s="1" t="str">
        <f>HYPERLINK("https://www.catalog.slsa.sa.gov.au/xrecord=b2092200")</f>
        <v>https://www.catalog.slsa.sa.gov.au/xrecord=b2092200</v>
      </c>
      <c r="E5250" t="s">
        <v>18247</v>
      </c>
      <c r="F5250" t="s">
        <v>1926</v>
      </c>
      <c r="G5250" t="s">
        <v>17855</v>
      </c>
      <c r="H5250" t="s">
        <v>18248</v>
      </c>
      <c r="I5250" t="s">
        <v>18249</v>
      </c>
      <c r="J5250" t="s">
        <v>14768</v>
      </c>
      <c r="K5250" s="2" t="str">
        <f>HYPERLINK("http://collections.slsa.sa.gov.au/mpcimg/61250/B61020_170.htm")</f>
        <v>http://collections.slsa.sa.gov.au/mpcimg/61250/B61020_170.htm</v>
      </c>
    </row>
    <row r="5251" spans="1:11" x14ac:dyDescent="0.25">
      <c r="A5251" t="s">
        <v>18250</v>
      </c>
      <c r="B5251" s="1" t="str">
        <f>HYPERLINK("https://www.catalog.slsa.sa.gov.au/record=b2092203")</f>
        <v>https://www.catalog.slsa.sa.gov.au/record=b2092203</v>
      </c>
      <c r="C5251" s="1" t="str">
        <f>HYPERLINK("https://www.catalog.slsa.sa.gov.au/xrecord=b2092203")</f>
        <v>https://www.catalog.slsa.sa.gov.au/xrecord=b2092203</v>
      </c>
      <c r="E5251" t="s">
        <v>18251</v>
      </c>
      <c r="F5251" t="s">
        <v>1926</v>
      </c>
      <c r="G5251" t="s">
        <v>18019</v>
      </c>
      <c r="H5251" t="s">
        <v>18252</v>
      </c>
      <c r="I5251" t="s">
        <v>18253</v>
      </c>
      <c r="J5251" t="s">
        <v>14768</v>
      </c>
      <c r="K5251" s="2" t="str">
        <f>HYPERLINK("http://collections.slsa.sa.gov.au/mpcimg/61250/B61020_171.htm")</f>
        <v>http://collections.slsa.sa.gov.au/mpcimg/61250/B61020_171.htm</v>
      </c>
    </row>
    <row r="5252" spans="1:11" x14ac:dyDescent="0.25">
      <c r="A5252" t="s">
        <v>18254</v>
      </c>
      <c r="B5252" s="1" t="str">
        <f>HYPERLINK("https://www.catalog.slsa.sa.gov.au/record=b2092207")</f>
        <v>https://www.catalog.slsa.sa.gov.au/record=b2092207</v>
      </c>
      <c r="C5252" s="1" t="str">
        <f>HYPERLINK("https://www.catalog.slsa.sa.gov.au/xrecord=b2092207")</f>
        <v>https://www.catalog.slsa.sa.gov.au/xrecord=b2092207</v>
      </c>
      <c r="E5252" t="s">
        <v>18255</v>
      </c>
      <c r="F5252" t="s">
        <v>1926</v>
      </c>
      <c r="G5252" t="s">
        <v>17736</v>
      </c>
      <c r="H5252" t="s">
        <v>18256</v>
      </c>
      <c r="I5252" t="s">
        <v>18257</v>
      </c>
      <c r="J5252" t="s">
        <v>14768</v>
      </c>
      <c r="K5252" s="2" t="str">
        <f>HYPERLINK("http://collections.slsa.sa.gov.au/mpcimg/61250/B61020_172.htm")</f>
        <v>http://collections.slsa.sa.gov.au/mpcimg/61250/B61020_172.htm</v>
      </c>
    </row>
    <row r="5253" spans="1:11" x14ac:dyDescent="0.25">
      <c r="A5253" t="s">
        <v>18258</v>
      </c>
      <c r="B5253" s="1" t="str">
        <f>HYPERLINK("https://www.catalog.slsa.sa.gov.au/record=b2092208")</f>
        <v>https://www.catalog.slsa.sa.gov.au/record=b2092208</v>
      </c>
      <c r="C5253" s="1" t="str">
        <f>HYPERLINK("https://www.catalog.slsa.sa.gov.au/xrecord=b2092208")</f>
        <v>https://www.catalog.slsa.sa.gov.au/xrecord=b2092208</v>
      </c>
      <c r="E5253" t="s">
        <v>18259</v>
      </c>
      <c r="F5253" t="s">
        <v>1926</v>
      </c>
      <c r="G5253" t="s">
        <v>17855</v>
      </c>
      <c r="H5253" t="s">
        <v>18260</v>
      </c>
      <c r="I5253" t="s">
        <v>18261</v>
      </c>
      <c r="J5253" t="s">
        <v>14768</v>
      </c>
      <c r="K5253" s="2" t="str">
        <f>HYPERLINK("http://collections.slsa.sa.gov.au/mpcimg/61250/B61020_173.htm")</f>
        <v>http://collections.slsa.sa.gov.au/mpcimg/61250/B61020_173.htm</v>
      </c>
    </row>
    <row r="5254" spans="1:11" x14ac:dyDescent="0.25">
      <c r="A5254" t="s">
        <v>18262</v>
      </c>
      <c r="B5254" s="1" t="str">
        <f>HYPERLINK("https://www.catalog.slsa.sa.gov.au/record=b2092209")</f>
        <v>https://www.catalog.slsa.sa.gov.au/record=b2092209</v>
      </c>
      <c r="C5254" s="1" t="str">
        <f>HYPERLINK("https://www.catalog.slsa.sa.gov.au/xrecord=b2092209")</f>
        <v>https://www.catalog.slsa.sa.gov.au/xrecord=b2092209</v>
      </c>
      <c r="E5254" t="s">
        <v>18263</v>
      </c>
      <c r="F5254" t="s">
        <v>1926</v>
      </c>
      <c r="G5254" t="s">
        <v>17988</v>
      </c>
      <c r="H5254" t="s">
        <v>18264</v>
      </c>
      <c r="I5254" t="s">
        <v>18265</v>
      </c>
      <c r="J5254" t="s">
        <v>14768</v>
      </c>
      <c r="K5254" s="2" t="str">
        <f>HYPERLINK("http://collections.slsa.sa.gov.au/mpcimg/61250/B61020_174.htm")</f>
        <v>http://collections.slsa.sa.gov.au/mpcimg/61250/B61020_174.htm</v>
      </c>
    </row>
    <row r="5255" spans="1:11" x14ac:dyDescent="0.25">
      <c r="A5255" t="s">
        <v>18266</v>
      </c>
      <c r="B5255" s="1" t="str">
        <f>HYPERLINK("https://www.catalog.slsa.sa.gov.au/record=b2092210")</f>
        <v>https://www.catalog.slsa.sa.gov.au/record=b2092210</v>
      </c>
      <c r="C5255" s="1" t="str">
        <f>HYPERLINK("https://www.catalog.slsa.sa.gov.au/xrecord=b2092210")</f>
        <v>https://www.catalog.slsa.sa.gov.au/xrecord=b2092210</v>
      </c>
      <c r="E5255" t="s">
        <v>17918</v>
      </c>
      <c r="F5255" t="s">
        <v>1926</v>
      </c>
      <c r="G5255" t="s">
        <v>17831</v>
      </c>
      <c r="H5255" t="s">
        <v>18267</v>
      </c>
      <c r="I5255" t="s">
        <v>17920</v>
      </c>
      <c r="J5255" t="s">
        <v>14768</v>
      </c>
      <c r="K5255" s="2" t="str">
        <f>HYPERLINK("http://collections.slsa.sa.gov.au/mpcimg/61250/B61020_175.htm")</f>
        <v>http://collections.slsa.sa.gov.au/mpcimg/61250/B61020_175.htm</v>
      </c>
    </row>
    <row r="5256" spans="1:11" x14ac:dyDescent="0.25">
      <c r="A5256" t="s">
        <v>18268</v>
      </c>
      <c r="B5256" s="1" t="str">
        <f>HYPERLINK("https://www.catalog.slsa.sa.gov.au/record=b2092212")</f>
        <v>https://www.catalog.slsa.sa.gov.au/record=b2092212</v>
      </c>
      <c r="C5256" s="1" t="str">
        <f>HYPERLINK("https://www.catalog.slsa.sa.gov.au/xrecord=b2092212")</f>
        <v>https://www.catalog.slsa.sa.gov.au/xrecord=b2092212</v>
      </c>
      <c r="E5256" t="s">
        <v>18269</v>
      </c>
      <c r="F5256" t="s">
        <v>1926</v>
      </c>
      <c r="G5256" t="s">
        <v>18128</v>
      </c>
      <c r="H5256" t="s">
        <v>18270</v>
      </c>
      <c r="I5256" t="s">
        <v>18271</v>
      </c>
      <c r="J5256" t="s">
        <v>14768</v>
      </c>
      <c r="K5256" s="2" t="str">
        <f>HYPERLINK("http://collections.slsa.sa.gov.au/mpcimg/61250/B61020_176.htm")</f>
        <v>http://collections.slsa.sa.gov.au/mpcimg/61250/B61020_176.htm</v>
      </c>
    </row>
    <row r="5257" spans="1:11" x14ac:dyDescent="0.25">
      <c r="A5257" t="s">
        <v>18272</v>
      </c>
      <c r="B5257" s="1" t="str">
        <f>HYPERLINK("https://www.catalog.slsa.sa.gov.au/record=b2092214")</f>
        <v>https://www.catalog.slsa.sa.gov.au/record=b2092214</v>
      </c>
      <c r="C5257" s="1" t="str">
        <f>HYPERLINK("https://www.catalog.slsa.sa.gov.au/xrecord=b2092214")</f>
        <v>https://www.catalog.slsa.sa.gov.au/xrecord=b2092214</v>
      </c>
      <c r="E5257" t="s">
        <v>18273</v>
      </c>
      <c r="F5257" t="s">
        <v>1926</v>
      </c>
      <c r="G5257" t="s">
        <v>18007</v>
      </c>
      <c r="H5257" t="s">
        <v>18274</v>
      </c>
      <c r="I5257" t="s">
        <v>18275</v>
      </c>
      <c r="J5257" t="s">
        <v>14768</v>
      </c>
      <c r="K5257" s="2" t="str">
        <f>HYPERLINK("http://collections.slsa.sa.gov.au/mpcimg/61250/B61020_177.htm")</f>
        <v>http://collections.slsa.sa.gov.au/mpcimg/61250/B61020_177.htm</v>
      </c>
    </row>
    <row r="5258" spans="1:11" x14ac:dyDescent="0.25">
      <c r="A5258" t="s">
        <v>18276</v>
      </c>
      <c r="B5258" s="1" t="str">
        <f>HYPERLINK("https://www.catalog.slsa.sa.gov.au/record=b2092215")</f>
        <v>https://www.catalog.slsa.sa.gov.au/record=b2092215</v>
      </c>
      <c r="C5258" s="1" t="str">
        <f>HYPERLINK("https://www.catalog.slsa.sa.gov.au/xrecord=b2092215")</f>
        <v>https://www.catalog.slsa.sa.gov.au/xrecord=b2092215</v>
      </c>
      <c r="E5258" t="s">
        <v>18269</v>
      </c>
      <c r="F5258" t="s">
        <v>1926</v>
      </c>
      <c r="G5258" t="s">
        <v>18277</v>
      </c>
      <c r="H5258" t="s">
        <v>18278</v>
      </c>
      <c r="I5258" t="s">
        <v>18271</v>
      </c>
      <c r="J5258" t="s">
        <v>14768</v>
      </c>
      <c r="K5258" s="2" t="str">
        <f>HYPERLINK("http://collections.slsa.sa.gov.au/mpcimg/61250/B61020_178.htm")</f>
        <v>http://collections.slsa.sa.gov.au/mpcimg/61250/B61020_178.htm</v>
      </c>
    </row>
    <row r="5259" spans="1:11" x14ac:dyDescent="0.25">
      <c r="A5259" t="s">
        <v>18279</v>
      </c>
      <c r="B5259" s="1" t="str">
        <f>HYPERLINK("https://www.catalog.slsa.sa.gov.au/record=b2092217")</f>
        <v>https://www.catalog.slsa.sa.gov.au/record=b2092217</v>
      </c>
      <c r="C5259" s="1" t="str">
        <f>HYPERLINK("https://www.catalog.slsa.sa.gov.au/xrecord=b2092217")</f>
        <v>https://www.catalog.slsa.sa.gov.au/xrecord=b2092217</v>
      </c>
      <c r="E5259" t="s">
        <v>18280</v>
      </c>
      <c r="F5259" t="s">
        <v>1926</v>
      </c>
      <c r="G5259" t="s">
        <v>18281</v>
      </c>
      <c r="H5259" t="s">
        <v>18282</v>
      </c>
      <c r="I5259" t="s">
        <v>18283</v>
      </c>
      <c r="J5259" t="s">
        <v>14768</v>
      </c>
      <c r="K5259" s="2" t="str">
        <f>HYPERLINK("http://collections.slsa.sa.gov.au/mpcimg/61250/B61020_179.htm")</f>
        <v>http://collections.slsa.sa.gov.au/mpcimg/61250/B61020_179.htm</v>
      </c>
    </row>
    <row r="5260" spans="1:11" x14ac:dyDescent="0.25">
      <c r="A5260" t="s">
        <v>18284</v>
      </c>
      <c r="B5260" s="1" t="str">
        <f>HYPERLINK("https://www.catalog.slsa.sa.gov.au/record=b2092218")</f>
        <v>https://www.catalog.slsa.sa.gov.au/record=b2092218</v>
      </c>
      <c r="C5260" s="1" t="str">
        <f>HYPERLINK("https://www.catalog.slsa.sa.gov.au/xrecord=b2092218")</f>
        <v>https://www.catalog.slsa.sa.gov.au/xrecord=b2092218</v>
      </c>
      <c r="E5260" t="s">
        <v>18280</v>
      </c>
      <c r="F5260" t="s">
        <v>1926</v>
      </c>
      <c r="G5260" t="s">
        <v>18285</v>
      </c>
      <c r="H5260" t="s">
        <v>18286</v>
      </c>
      <c r="I5260" t="s">
        <v>18283</v>
      </c>
      <c r="J5260" t="s">
        <v>14768</v>
      </c>
      <c r="K5260" s="2" t="str">
        <f>HYPERLINK("http://collections.slsa.sa.gov.au/mpcimg/61250/B61020_180.htm")</f>
        <v>http://collections.slsa.sa.gov.au/mpcimg/61250/B61020_180.htm</v>
      </c>
    </row>
    <row r="5261" spans="1:11" x14ac:dyDescent="0.25">
      <c r="A5261" t="s">
        <v>18287</v>
      </c>
      <c r="B5261" s="1" t="str">
        <f>HYPERLINK("https://www.catalog.slsa.sa.gov.au/record=b2092221")</f>
        <v>https://www.catalog.slsa.sa.gov.au/record=b2092221</v>
      </c>
      <c r="C5261" s="1" t="str">
        <f>HYPERLINK("https://www.catalog.slsa.sa.gov.au/xrecord=b2092221")</f>
        <v>https://www.catalog.slsa.sa.gov.au/xrecord=b2092221</v>
      </c>
      <c r="E5261" t="s">
        <v>18288</v>
      </c>
      <c r="F5261" t="s">
        <v>1926</v>
      </c>
      <c r="G5261" t="s">
        <v>18114</v>
      </c>
      <c r="H5261" t="s">
        <v>18289</v>
      </c>
      <c r="I5261" t="s">
        <v>18290</v>
      </c>
      <c r="J5261" t="s">
        <v>14768</v>
      </c>
      <c r="K5261" s="2" t="str">
        <f>HYPERLINK("http://collections.slsa.sa.gov.au/mpcimg/61250/B61020_181.htm")</f>
        <v>http://collections.slsa.sa.gov.au/mpcimg/61250/B61020_181.htm</v>
      </c>
    </row>
    <row r="5262" spans="1:11" x14ac:dyDescent="0.25">
      <c r="A5262" t="s">
        <v>18291</v>
      </c>
      <c r="B5262" s="1" t="str">
        <f>HYPERLINK("https://www.catalog.slsa.sa.gov.au/record=b2092222")</f>
        <v>https://www.catalog.slsa.sa.gov.au/record=b2092222</v>
      </c>
      <c r="C5262" s="1" t="str">
        <f>HYPERLINK("https://www.catalog.slsa.sa.gov.au/xrecord=b2092222")</f>
        <v>https://www.catalog.slsa.sa.gov.au/xrecord=b2092222</v>
      </c>
      <c r="E5262" t="s">
        <v>18292</v>
      </c>
      <c r="F5262" t="s">
        <v>1926</v>
      </c>
      <c r="G5262" t="s">
        <v>18293</v>
      </c>
      <c r="H5262" t="s">
        <v>18294</v>
      </c>
      <c r="I5262" t="s">
        <v>18295</v>
      </c>
      <c r="J5262" t="s">
        <v>14768</v>
      </c>
      <c r="K5262" s="2" t="str">
        <f>HYPERLINK("http://collections.slsa.sa.gov.au/mpcimg/61250/B61020_182.htm")</f>
        <v>http://collections.slsa.sa.gov.au/mpcimg/61250/B61020_182.htm</v>
      </c>
    </row>
    <row r="5263" spans="1:11" x14ac:dyDescent="0.25">
      <c r="A5263" t="s">
        <v>18296</v>
      </c>
      <c r="B5263" s="1" t="str">
        <f>HYPERLINK("https://www.catalog.slsa.sa.gov.au/record=b2092223")</f>
        <v>https://www.catalog.slsa.sa.gov.au/record=b2092223</v>
      </c>
      <c r="C5263" s="1" t="str">
        <f>HYPERLINK("https://www.catalog.slsa.sa.gov.au/xrecord=b2092223")</f>
        <v>https://www.catalog.slsa.sa.gov.au/xrecord=b2092223</v>
      </c>
      <c r="E5263" t="s">
        <v>18297</v>
      </c>
      <c r="F5263" t="s">
        <v>1926</v>
      </c>
      <c r="G5263" t="s">
        <v>18298</v>
      </c>
      <c r="H5263" t="s">
        <v>18299</v>
      </c>
      <c r="I5263" t="s">
        <v>18300</v>
      </c>
      <c r="J5263" t="s">
        <v>14768</v>
      </c>
      <c r="K5263" s="2" t="str">
        <f>HYPERLINK("http://collections.slsa.sa.gov.au/mpcimg/61250/B61020_183.htm")</f>
        <v>http://collections.slsa.sa.gov.au/mpcimg/61250/B61020_183.htm</v>
      </c>
    </row>
    <row r="5264" spans="1:11" x14ac:dyDescent="0.25">
      <c r="A5264" t="s">
        <v>18301</v>
      </c>
      <c r="B5264" s="1" t="str">
        <f>HYPERLINK("https://www.catalog.slsa.sa.gov.au/record=b2092226")</f>
        <v>https://www.catalog.slsa.sa.gov.au/record=b2092226</v>
      </c>
      <c r="C5264" s="1" t="str">
        <f>HYPERLINK("https://www.catalog.slsa.sa.gov.au/xrecord=b2092226")</f>
        <v>https://www.catalog.slsa.sa.gov.au/xrecord=b2092226</v>
      </c>
      <c r="E5264" t="s">
        <v>18302</v>
      </c>
      <c r="F5264" t="s">
        <v>1926</v>
      </c>
      <c r="G5264" t="s">
        <v>15632</v>
      </c>
      <c r="H5264" t="s">
        <v>18303</v>
      </c>
      <c r="I5264" t="s">
        <v>18304</v>
      </c>
      <c r="J5264" t="s">
        <v>14768</v>
      </c>
      <c r="K5264" s="2" t="str">
        <f>HYPERLINK("http://collections.slsa.sa.gov.au/mpcimg/61250/B61020_18.htm")</f>
        <v>http://collections.slsa.sa.gov.au/mpcimg/61250/B61020_18.htm</v>
      </c>
    </row>
    <row r="5265" spans="1:11" x14ac:dyDescent="0.25">
      <c r="A5265" t="s">
        <v>18305</v>
      </c>
      <c r="B5265" s="1" t="str">
        <f>HYPERLINK("https://www.catalog.slsa.sa.gov.au/record=b2092230")</f>
        <v>https://www.catalog.slsa.sa.gov.au/record=b2092230</v>
      </c>
      <c r="C5265" s="1" t="str">
        <f>HYPERLINK("https://www.catalog.slsa.sa.gov.au/xrecord=b2092230")</f>
        <v>https://www.catalog.slsa.sa.gov.au/xrecord=b2092230</v>
      </c>
      <c r="E5265" t="s">
        <v>17735</v>
      </c>
      <c r="F5265" t="s">
        <v>1926</v>
      </c>
      <c r="G5265" t="s">
        <v>18306</v>
      </c>
      <c r="H5265" t="s">
        <v>18307</v>
      </c>
      <c r="I5265" t="s">
        <v>17738</v>
      </c>
      <c r="J5265" t="s">
        <v>14768</v>
      </c>
      <c r="K5265" s="2" t="str">
        <f>HYPERLINK("http://collections.slsa.sa.gov.au/mpcimg/61250/B61020_90.htm")</f>
        <v>http://collections.slsa.sa.gov.au/mpcimg/61250/B61020_90.htm</v>
      </c>
    </row>
    <row r="5266" spans="1:11" x14ac:dyDescent="0.25">
      <c r="A5266" t="s">
        <v>18308</v>
      </c>
      <c r="B5266" s="1" t="str">
        <f>HYPERLINK("https://www.catalog.slsa.sa.gov.au/record=b2097036")</f>
        <v>https://www.catalog.slsa.sa.gov.au/record=b2097036</v>
      </c>
      <c r="C5266" s="1" t="str">
        <f>HYPERLINK("https://www.catalog.slsa.sa.gov.au/xrecord=b2097036")</f>
        <v>https://www.catalog.slsa.sa.gov.au/xrecord=b2097036</v>
      </c>
      <c r="E5266" t="s">
        <v>18309</v>
      </c>
      <c r="F5266" t="s">
        <v>1926</v>
      </c>
      <c r="G5266" t="s">
        <v>18310</v>
      </c>
      <c r="H5266" t="s">
        <v>18311</v>
      </c>
      <c r="I5266" t="s">
        <v>18312</v>
      </c>
      <c r="J5266" t="s">
        <v>16173</v>
      </c>
      <c r="K5266" s="2" t="str">
        <f>HYPERLINK("http://collections.slsa.sa.gov.au/mpcimg/69000/B68899.htm")</f>
        <v>http://collections.slsa.sa.gov.au/mpcimg/69000/B68899.htm</v>
      </c>
    </row>
    <row r="5267" spans="1:11" x14ac:dyDescent="0.25">
      <c r="A5267" t="s">
        <v>18313</v>
      </c>
      <c r="B5267" s="1" t="str">
        <f>HYPERLINK("https://www.catalog.slsa.sa.gov.au/record=b2097037")</f>
        <v>https://www.catalog.slsa.sa.gov.au/record=b2097037</v>
      </c>
      <c r="C5267" s="1" t="str">
        <f>HYPERLINK("https://www.catalog.slsa.sa.gov.au/xrecord=b2097037")</f>
        <v>https://www.catalog.slsa.sa.gov.au/xrecord=b2097037</v>
      </c>
      <c r="E5267" t="s">
        <v>18314</v>
      </c>
      <c r="F5267" t="s">
        <v>1926</v>
      </c>
      <c r="G5267" t="s">
        <v>18315</v>
      </c>
      <c r="H5267" t="s">
        <v>18316</v>
      </c>
      <c r="I5267" t="s">
        <v>18317</v>
      </c>
      <c r="J5267" t="s">
        <v>18318</v>
      </c>
      <c r="K5267" s="2" t="str">
        <f>HYPERLINK("http://collections.slsa.sa.gov.au/mpcimg/69000/B68900.htm")</f>
        <v>http://collections.slsa.sa.gov.au/mpcimg/69000/B68900.htm</v>
      </c>
    </row>
    <row r="5268" spans="1:11" x14ac:dyDescent="0.25">
      <c r="A5268" t="s">
        <v>18319</v>
      </c>
      <c r="B5268" s="1" t="str">
        <f>HYPERLINK("https://www.catalog.slsa.sa.gov.au/record=b2097693")</f>
        <v>https://www.catalog.slsa.sa.gov.au/record=b2097693</v>
      </c>
      <c r="C5268" s="1" t="str">
        <f>HYPERLINK("https://www.catalog.slsa.sa.gov.au/xrecord=b2097693")</f>
        <v>https://www.catalog.slsa.sa.gov.au/xrecord=b2097693</v>
      </c>
      <c r="E5268" t="s">
        <v>18320</v>
      </c>
      <c r="F5268" t="s">
        <v>1926</v>
      </c>
      <c r="G5268" t="s">
        <v>18321</v>
      </c>
      <c r="H5268" t="s">
        <v>18322</v>
      </c>
      <c r="I5268" t="s">
        <v>18323</v>
      </c>
      <c r="J5268" t="s">
        <v>14768</v>
      </c>
      <c r="K5268" s="2" t="str">
        <f>HYPERLINK("http://collections.slsa.sa.gov.au/mpcimg/48500/B48482_88.htm")</f>
        <v>http://collections.slsa.sa.gov.au/mpcimg/48500/B48482_88.htm</v>
      </c>
    </row>
    <row r="5269" spans="1:11" x14ac:dyDescent="0.25">
      <c r="A5269" t="s">
        <v>18324</v>
      </c>
      <c r="B5269" s="1" t="str">
        <f>HYPERLINK("https://www.catalog.slsa.sa.gov.au/record=b2097694")</f>
        <v>https://www.catalog.slsa.sa.gov.au/record=b2097694</v>
      </c>
      <c r="C5269" s="1" t="str">
        <f>HYPERLINK("https://www.catalog.slsa.sa.gov.au/xrecord=b2097694")</f>
        <v>https://www.catalog.slsa.sa.gov.au/xrecord=b2097694</v>
      </c>
      <c r="E5269" t="s">
        <v>18325</v>
      </c>
      <c r="F5269" t="s">
        <v>1926</v>
      </c>
      <c r="G5269" t="s">
        <v>18326</v>
      </c>
      <c r="H5269" t="s">
        <v>18322</v>
      </c>
      <c r="I5269" t="s">
        <v>18323</v>
      </c>
      <c r="J5269" t="s">
        <v>14768</v>
      </c>
      <c r="K5269" s="2" t="str">
        <f>HYPERLINK("http://collections.slsa.sa.gov.au/mpcimg/48500/B48482_89.htm")</f>
        <v>http://collections.slsa.sa.gov.au/mpcimg/48500/B48482_89.htm</v>
      </c>
    </row>
    <row r="5270" spans="1:11" x14ac:dyDescent="0.25">
      <c r="A5270" t="s">
        <v>18327</v>
      </c>
      <c r="B5270" s="1" t="str">
        <f>HYPERLINK("https://www.catalog.slsa.sa.gov.au/record=b2097695")</f>
        <v>https://www.catalog.slsa.sa.gov.au/record=b2097695</v>
      </c>
      <c r="C5270" s="1" t="str">
        <f>HYPERLINK("https://www.catalog.slsa.sa.gov.au/xrecord=b2097695")</f>
        <v>https://www.catalog.slsa.sa.gov.au/xrecord=b2097695</v>
      </c>
      <c r="E5270" t="s">
        <v>18328</v>
      </c>
      <c r="F5270" t="s">
        <v>1926</v>
      </c>
      <c r="G5270" t="s">
        <v>18329</v>
      </c>
      <c r="H5270" t="s">
        <v>18330</v>
      </c>
      <c r="J5270" t="s">
        <v>14768</v>
      </c>
      <c r="K5270" s="2" t="str">
        <f>HYPERLINK("http://collections.slsa.sa.gov.au/mpcimg/48500/B48482_90.htm")</f>
        <v>http://collections.slsa.sa.gov.au/mpcimg/48500/B48482_90.htm</v>
      </c>
    </row>
    <row r="5271" spans="1:11" x14ac:dyDescent="0.25">
      <c r="A5271" t="s">
        <v>18331</v>
      </c>
      <c r="B5271" s="1" t="str">
        <f>HYPERLINK("https://www.catalog.slsa.sa.gov.au/record=b2102392")</f>
        <v>https://www.catalog.slsa.sa.gov.au/record=b2102392</v>
      </c>
      <c r="C5271" s="1" t="str">
        <f>HYPERLINK("https://www.catalog.slsa.sa.gov.au/xrecord=b2102392")</f>
        <v>https://www.catalog.slsa.sa.gov.au/xrecord=b2102392</v>
      </c>
      <c r="E5271" t="s">
        <v>18332</v>
      </c>
      <c r="F5271" t="s">
        <v>1926</v>
      </c>
      <c r="G5271" t="s">
        <v>18333</v>
      </c>
      <c r="H5271" t="s">
        <v>18334</v>
      </c>
      <c r="I5271" t="s">
        <v>18335</v>
      </c>
      <c r="J5271" t="s">
        <v>15525</v>
      </c>
      <c r="K5271" s="2" t="str">
        <f>HYPERLINK("http://collections.slsa.sa.gov.au/mpcimg/69250/B69028.htm")</f>
        <v>http://collections.slsa.sa.gov.au/mpcimg/69250/B69028.htm</v>
      </c>
    </row>
    <row r="5272" spans="1:11" x14ac:dyDescent="0.25">
      <c r="A5272" t="s">
        <v>18336</v>
      </c>
      <c r="B5272" s="1" t="str">
        <f>HYPERLINK("https://www.catalog.slsa.sa.gov.au/record=b2105782")</f>
        <v>https://www.catalog.slsa.sa.gov.au/record=b2105782</v>
      </c>
      <c r="C5272" s="1" t="str">
        <f>HYPERLINK("https://www.catalog.slsa.sa.gov.au/xrecord=b2105782")</f>
        <v>https://www.catalog.slsa.sa.gov.au/xrecord=b2105782</v>
      </c>
      <c r="E5272" t="s">
        <v>18337</v>
      </c>
      <c r="F5272" t="s">
        <v>1926</v>
      </c>
      <c r="G5272" t="s">
        <v>18338</v>
      </c>
      <c r="H5272" t="s">
        <v>18339</v>
      </c>
      <c r="I5272" t="s">
        <v>18340</v>
      </c>
      <c r="J5272" t="s">
        <v>15023</v>
      </c>
      <c r="K5272" s="2" t="str">
        <f>HYPERLINK("http://collections.slsa.sa.gov.au/mpcimg/69250/B69064.htm")</f>
        <v>http://collections.slsa.sa.gov.au/mpcimg/69250/B69064.htm</v>
      </c>
    </row>
    <row r="5273" spans="1:11" x14ac:dyDescent="0.25">
      <c r="A5273" t="s">
        <v>18341</v>
      </c>
      <c r="B5273" s="1" t="str">
        <f>HYPERLINK("https://www.catalog.slsa.sa.gov.au/record=b2106048")</f>
        <v>https://www.catalog.slsa.sa.gov.au/record=b2106048</v>
      </c>
      <c r="C5273" s="1" t="str">
        <f>HYPERLINK("https://www.catalog.slsa.sa.gov.au/xrecord=b2106048")</f>
        <v>https://www.catalog.slsa.sa.gov.au/xrecord=b2106048</v>
      </c>
      <c r="E5273" t="s">
        <v>18332</v>
      </c>
      <c r="F5273" t="s">
        <v>1926</v>
      </c>
      <c r="G5273" t="s">
        <v>18342</v>
      </c>
      <c r="H5273" t="s">
        <v>18334</v>
      </c>
      <c r="I5273" t="s">
        <v>18343</v>
      </c>
      <c r="J5273" t="s">
        <v>15525</v>
      </c>
      <c r="K5273" s="2" t="str">
        <f>HYPERLINK("http://collections.slsa.sa.gov.au/mpcimg/69250/B69190.htm")</f>
        <v>http://collections.slsa.sa.gov.au/mpcimg/69250/B69190.htm</v>
      </c>
    </row>
    <row r="5274" spans="1:11" x14ac:dyDescent="0.25">
      <c r="A5274" t="s">
        <v>18344</v>
      </c>
      <c r="B5274" s="1" t="str">
        <f>HYPERLINK("https://www.catalog.slsa.sa.gov.au/record=b2106049")</f>
        <v>https://www.catalog.slsa.sa.gov.au/record=b2106049</v>
      </c>
      <c r="C5274" s="1" t="str">
        <f>HYPERLINK("https://www.catalog.slsa.sa.gov.au/xrecord=b2106049")</f>
        <v>https://www.catalog.slsa.sa.gov.au/xrecord=b2106049</v>
      </c>
      <c r="E5274" t="s">
        <v>18345</v>
      </c>
      <c r="F5274" t="s">
        <v>1926</v>
      </c>
      <c r="G5274" t="s">
        <v>18346</v>
      </c>
      <c r="H5274" t="s">
        <v>18347</v>
      </c>
      <c r="I5274" t="s">
        <v>18348</v>
      </c>
      <c r="J5274" t="s">
        <v>15525</v>
      </c>
      <c r="K5274" s="2" t="str">
        <f>HYPERLINK("http://collections.slsa.sa.gov.au/mpcimg/69250/B69191.htm")</f>
        <v>http://collections.slsa.sa.gov.au/mpcimg/69250/B69191.htm</v>
      </c>
    </row>
    <row r="5275" spans="1:11" x14ac:dyDescent="0.25">
      <c r="A5275" t="s">
        <v>18349</v>
      </c>
      <c r="B5275" s="1" t="str">
        <f>HYPERLINK("https://www.catalog.slsa.sa.gov.au/record=b2106050")</f>
        <v>https://www.catalog.slsa.sa.gov.au/record=b2106050</v>
      </c>
      <c r="C5275" s="1" t="str">
        <f>HYPERLINK("https://www.catalog.slsa.sa.gov.au/xrecord=b2106050")</f>
        <v>https://www.catalog.slsa.sa.gov.au/xrecord=b2106050</v>
      </c>
      <c r="E5275" t="s">
        <v>18350</v>
      </c>
      <c r="F5275" t="s">
        <v>1926</v>
      </c>
      <c r="G5275" t="s">
        <v>18351</v>
      </c>
      <c r="H5275" t="s">
        <v>18352</v>
      </c>
      <c r="I5275" t="s">
        <v>18353</v>
      </c>
      <c r="J5275" t="s">
        <v>15525</v>
      </c>
      <c r="K5275" s="2" t="str">
        <f>HYPERLINK("http://collections.slsa.sa.gov.au/mpcimg/69250/B69192.htm")</f>
        <v>http://collections.slsa.sa.gov.au/mpcimg/69250/B69192.htm</v>
      </c>
    </row>
    <row r="5276" spans="1:11" x14ac:dyDescent="0.25">
      <c r="A5276" t="s">
        <v>18354</v>
      </c>
      <c r="B5276" s="1" t="str">
        <f>HYPERLINK("https://www.catalog.slsa.sa.gov.au/record=b2106051")</f>
        <v>https://www.catalog.slsa.sa.gov.au/record=b2106051</v>
      </c>
      <c r="C5276" s="1" t="str">
        <f>HYPERLINK("https://www.catalog.slsa.sa.gov.au/xrecord=b2106051")</f>
        <v>https://www.catalog.slsa.sa.gov.au/xrecord=b2106051</v>
      </c>
      <c r="E5276" t="s">
        <v>18355</v>
      </c>
      <c r="F5276" t="s">
        <v>1926</v>
      </c>
      <c r="G5276" t="s">
        <v>18351</v>
      </c>
      <c r="H5276" t="s">
        <v>18356</v>
      </c>
      <c r="I5276" t="s">
        <v>18357</v>
      </c>
      <c r="J5276" t="s">
        <v>15525</v>
      </c>
      <c r="K5276" s="2" t="str">
        <f>HYPERLINK("http://collections.slsa.sa.gov.au/mpcimg/69250/B69193.htm")</f>
        <v>http://collections.slsa.sa.gov.au/mpcimg/69250/B69193.htm</v>
      </c>
    </row>
    <row r="5277" spans="1:11" x14ac:dyDescent="0.25">
      <c r="A5277" t="s">
        <v>18358</v>
      </c>
      <c r="B5277" s="1" t="str">
        <f>HYPERLINK("https://www.catalog.slsa.sa.gov.au/record=b2106052")</f>
        <v>https://www.catalog.slsa.sa.gov.au/record=b2106052</v>
      </c>
      <c r="C5277" s="1" t="str">
        <f>HYPERLINK("https://www.catalog.slsa.sa.gov.au/xrecord=b2106052")</f>
        <v>https://www.catalog.slsa.sa.gov.au/xrecord=b2106052</v>
      </c>
      <c r="E5277" t="s">
        <v>18359</v>
      </c>
      <c r="F5277" t="s">
        <v>1926</v>
      </c>
      <c r="G5277" t="s">
        <v>18351</v>
      </c>
      <c r="H5277" t="s">
        <v>18360</v>
      </c>
      <c r="I5277" t="s">
        <v>18361</v>
      </c>
      <c r="J5277" t="s">
        <v>15525</v>
      </c>
      <c r="K5277" s="2" t="str">
        <f>HYPERLINK("http://collections.slsa.sa.gov.au/mpcimg/69250/B69194.htm")</f>
        <v>http://collections.slsa.sa.gov.au/mpcimg/69250/B69194.htm</v>
      </c>
    </row>
    <row r="5278" spans="1:11" x14ac:dyDescent="0.25">
      <c r="A5278" t="s">
        <v>18362</v>
      </c>
      <c r="B5278" s="1" t="str">
        <f>HYPERLINK("https://www.catalog.slsa.sa.gov.au/record=b2106053")</f>
        <v>https://www.catalog.slsa.sa.gov.au/record=b2106053</v>
      </c>
      <c r="C5278" s="1" t="str">
        <f>HYPERLINK("https://www.catalog.slsa.sa.gov.au/xrecord=b2106053")</f>
        <v>https://www.catalog.slsa.sa.gov.au/xrecord=b2106053</v>
      </c>
      <c r="E5278" t="s">
        <v>18363</v>
      </c>
      <c r="F5278" t="s">
        <v>1926</v>
      </c>
      <c r="G5278" t="s">
        <v>18342</v>
      </c>
      <c r="H5278" t="s">
        <v>18364</v>
      </c>
      <c r="I5278" t="s">
        <v>18365</v>
      </c>
      <c r="J5278" t="s">
        <v>15525</v>
      </c>
      <c r="K5278" s="2" t="str">
        <f>HYPERLINK("http://collections.slsa.sa.gov.au/mpcimg/69250/B69195.htm")</f>
        <v>http://collections.slsa.sa.gov.au/mpcimg/69250/B69195.htm</v>
      </c>
    </row>
    <row r="5279" spans="1:11" x14ac:dyDescent="0.25">
      <c r="A5279" t="s">
        <v>18366</v>
      </c>
      <c r="B5279" s="1" t="str">
        <f>HYPERLINK("https://www.catalog.slsa.sa.gov.au/record=b2106054")</f>
        <v>https://www.catalog.slsa.sa.gov.au/record=b2106054</v>
      </c>
      <c r="C5279" s="1" t="str">
        <f>HYPERLINK("https://www.catalog.slsa.sa.gov.au/xrecord=b2106054")</f>
        <v>https://www.catalog.slsa.sa.gov.au/xrecord=b2106054</v>
      </c>
      <c r="E5279" t="s">
        <v>18367</v>
      </c>
      <c r="F5279" t="s">
        <v>1926</v>
      </c>
      <c r="G5279" t="s">
        <v>18342</v>
      </c>
      <c r="H5279" t="s">
        <v>18368</v>
      </c>
      <c r="I5279" t="s">
        <v>18369</v>
      </c>
      <c r="J5279" t="s">
        <v>15525</v>
      </c>
      <c r="K5279" s="2" t="str">
        <f>HYPERLINK("http://collections.slsa.sa.gov.au/mpcimg/69250/B69196.htm")</f>
        <v>http://collections.slsa.sa.gov.au/mpcimg/69250/B69196.htm</v>
      </c>
    </row>
    <row r="5280" spans="1:11" x14ac:dyDescent="0.25">
      <c r="A5280" t="s">
        <v>18370</v>
      </c>
      <c r="B5280" s="1" t="str">
        <f>HYPERLINK("https://www.catalog.slsa.sa.gov.au/record=b2106484")</f>
        <v>https://www.catalog.slsa.sa.gov.au/record=b2106484</v>
      </c>
      <c r="C5280" s="1" t="str">
        <f>HYPERLINK("https://www.catalog.slsa.sa.gov.au/xrecord=b2106484")</f>
        <v>https://www.catalog.slsa.sa.gov.au/xrecord=b2106484</v>
      </c>
      <c r="E5280" t="s">
        <v>18371</v>
      </c>
      <c r="F5280" t="s">
        <v>1926</v>
      </c>
      <c r="G5280" t="s">
        <v>18372</v>
      </c>
      <c r="H5280" t="s">
        <v>18373</v>
      </c>
      <c r="I5280" t="s">
        <v>18374</v>
      </c>
      <c r="J5280" t="s">
        <v>1809</v>
      </c>
      <c r="K5280" s="2" t="str">
        <f>HYPERLINK("http://collections.slsa.sa.gov.au/mpcimg/69500/B69311.htm")</f>
        <v>http://collections.slsa.sa.gov.au/mpcimg/69500/B69311.htm</v>
      </c>
    </row>
    <row r="5281" spans="1:11" x14ac:dyDescent="0.25">
      <c r="A5281" t="s">
        <v>18375</v>
      </c>
      <c r="B5281" s="1" t="str">
        <f>HYPERLINK("https://www.catalog.slsa.sa.gov.au/record=b2106716")</f>
        <v>https://www.catalog.slsa.sa.gov.au/record=b2106716</v>
      </c>
      <c r="C5281" s="1" t="str">
        <f>HYPERLINK("https://www.catalog.slsa.sa.gov.au/xrecord=b2106716")</f>
        <v>https://www.catalog.slsa.sa.gov.au/xrecord=b2106716</v>
      </c>
      <c r="D5281" t="s">
        <v>18376</v>
      </c>
      <c r="E5281" t="s">
        <v>18377</v>
      </c>
      <c r="F5281" t="s">
        <v>1926</v>
      </c>
      <c r="G5281" t="s">
        <v>18378</v>
      </c>
      <c r="H5281" t="s">
        <v>18379</v>
      </c>
      <c r="I5281" t="s">
        <v>18380</v>
      </c>
      <c r="J5281" t="s">
        <v>18381</v>
      </c>
      <c r="K5281" s="2" t="str">
        <f>HYPERLINK("http://collections.slsa.sa.gov.au/mpcimg/69500/B69392.htm")</f>
        <v>http://collections.slsa.sa.gov.au/mpcimg/69500/B69392.htm</v>
      </c>
    </row>
    <row r="5282" spans="1:11" x14ac:dyDescent="0.25">
      <c r="A5282" t="s">
        <v>18382</v>
      </c>
      <c r="B5282" s="1" t="str">
        <f>HYPERLINK("https://www.catalog.slsa.sa.gov.au/record=b2106717")</f>
        <v>https://www.catalog.slsa.sa.gov.au/record=b2106717</v>
      </c>
      <c r="C5282" s="1" t="str">
        <f>HYPERLINK("https://www.catalog.slsa.sa.gov.au/xrecord=b2106717")</f>
        <v>https://www.catalog.slsa.sa.gov.au/xrecord=b2106717</v>
      </c>
      <c r="D5282" t="s">
        <v>18376</v>
      </c>
      <c r="E5282" t="s">
        <v>18383</v>
      </c>
      <c r="F5282" t="s">
        <v>1926</v>
      </c>
      <c r="G5282" t="s">
        <v>18378</v>
      </c>
      <c r="H5282" t="s">
        <v>18384</v>
      </c>
      <c r="I5282" t="s">
        <v>18385</v>
      </c>
      <c r="J5282" t="s">
        <v>18381</v>
      </c>
      <c r="K5282" s="2" t="str">
        <f>HYPERLINK("http://collections.slsa.sa.gov.au/mpcimg/69500/B69393.htm")</f>
        <v>http://collections.slsa.sa.gov.au/mpcimg/69500/B69393.htm</v>
      </c>
    </row>
    <row r="5283" spans="1:11" x14ac:dyDescent="0.25">
      <c r="A5283" t="s">
        <v>18386</v>
      </c>
      <c r="B5283" s="1" t="str">
        <f>HYPERLINK("https://www.catalog.slsa.sa.gov.au/record=b2106718")</f>
        <v>https://www.catalog.slsa.sa.gov.au/record=b2106718</v>
      </c>
      <c r="C5283" s="1" t="str">
        <f>HYPERLINK("https://www.catalog.slsa.sa.gov.au/xrecord=b2106718")</f>
        <v>https://www.catalog.slsa.sa.gov.au/xrecord=b2106718</v>
      </c>
      <c r="D5283" t="s">
        <v>18376</v>
      </c>
      <c r="E5283" t="s">
        <v>18387</v>
      </c>
      <c r="F5283" t="s">
        <v>1926</v>
      </c>
      <c r="G5283" t="s">
        <v>18378</v>
      </c>
      <c r="H5283" t="s">
        <v>18388</v>
      </c>
      <c r="I5283" t="s">
        <v>18389</v>
      </c>
      <c r="J5283" t="s">
        <v>18381</v>
      </c>
      <c r="K5283" s="2" t="str">
        <f>HYPERLINK("http://collections.slsa.sa.gov.au/mpcimg/69500/B69394.htm")</f>
        <v>http://collections.slsa.sa.gov.au/mpcimg/69500/B69394.htm</v>
      </c>
    </row>
    <row r="5284" spans="1:11" x14ac:dyDescent="0.25">
      <c r="A5284" t="s">
        <v>18390</v>
      </c>
      <c r="B5284" s="1" t="str">
        <f>HYPERLINK("https://www.catalog.slsa.sa.gov.au/record=b2106719")</f>
        <v>https://www.catalog.slsa.sa.gov.au/record=b2106719</v>
      </c>
      <c r="C5284" s="1" t="str">
        <f>HYPERLINK("https://www.catalog.slsa.sa.gov.au/xrecord=b2106719")</f>
        <v>https://www.catalog.slsa.sa.gov.au/xrecord=b2106719</v>
      </c>
      <c r="D5284" t="s">
        <v>18376</v>
      </c>
      <c r="E5284" t="s">
        <v>18377</v>
      </c>
      <c r="F5284" t="s">
        <v>1926</v>
      </c>
      <c r="G5284" t="s">
        <v>18378</v>
      </c>
      <c r="H5284" t="s">
        <v>18391</v>
      </c>
      <c r="I5284" t="s">
        <v>18389</v>
      </c>
      <c r="J5284" t="s">
        <v>18381</v>
      </c>
      <c r="K5284" s="2" t="str">
        <f>HYPERLINK("http://collections.slsa.sa.gov.au/mpcimg/69500/B69395.htm")</f>
        <v>http://collections.slsa.sa.gov.au/mpcimg/69500/B69395.htm</v>
      </c>
    </row>
    <row r="5285" spans="1:11" x14ac:dyDescent="0.25">
      <c r="A5285" t="s">
        <v>18392</v>
      </c>
      <c r="B5285" s="1" t="str">
        <f>HYPERLINK("https://www.catalog.slsa.sa.gov.au/record=b2106720")</f>
        <v>https://www.catalog.slsa.sa.gov.au/record=b2106720</v>
      </c>
      <c r="C5285" s="1" t="str">
        <f>HYPERLINK("https://www.catalog.slsa.sa.gov.au/xrecord=b2106720")</f>
        <v>https://www.catalog.slsa.sa.gov.au/xrecord=b2106720</v>
      </c>
      <c r="D5285" t="s">
        <v>18376</v>
      </c>
      <c r="E5285" t="s">
        <v>18393</v>
      </c>
      <c r="F5285" t="s">
        <v>1926</v>
      </c>
      <c r="G5285" t="s">
        <v>18394</v>
      </c>
      <c r="H5285" t="s">
        <v>18395</v>
      </c>
      <c r="I5285" t="s">
        <v>18396</v>
      </c>
      <c r="J5285" t="s">
        <v>18397</v>
      </c>
      <c r="K5285" s="2" t="str">
        <f>HYPERLINK("http://collections.slsa.sa.gov.au/mpcimg/69500/B69396.htm")</f>
        <v>http://collections.slsa.sa.gov.au/mpcimg/69500/B69396.htm</v>
      </c>
    </row>
    <row r="5286" spans="1:11" x14ac:dyDescent="0.25">
      <c r="A5286" t="s">
        <v>18398</v>
      </c>
      <c r="B5286" s="1" t="str">
        <f>HYPERLINK("https://www.catalog.slsa.sa.gov.au/record=b2106721")</f>
        <v>https://www.catalog.slsa.sa.gov.au/record=b2106721</v>
      </c>
      <c r="C5286" s="1" t="str">
        <f>HYPERLINK("https://www.catalog.slsa.sa.gov.au/xrecord=b2106721")</f>
        <v>https://www.catalog.slsa.sa.gov.au/xrecord=b2106721</v>
      </c>
      <c r="D5286" t="s">
        <v>18376</v>
      </c>
      <c r="E5286" t="s">
        <v>18399</v>
      </c>
      <c r="F5286" t="s">
        <v>1926</v>
      </c>
      <c r="G5286" t="s">
        <v>18394</v>
      </c>
      <c r="H5286" t="s">
        <v>18400</v>
      </c>
      <c r="I5286" t="s">
        <v>18396</v>
      </c>
      <c r="J5286" t="s">
        <v>18397</v>
      </c>
      <c r="K5286" s="2" t="str">
        <f>HYPERLINK("http://collections.slsa.sa.gov.au/mpcimg/69500/B69397.htm")</f>
        <v>http://collections.slsa.sa.gov.au/mpcimg/69500/B69397.htm</v>
      </c>
    </row>
    <row r="5287" spans="1:11" x14ac:dyDescent="0.25">
      <c r="A5287" t="s">
        <v>18401</v>
      </c>
      <c r="B5287" s="1" t="str">
        <f>HYPERLINK("https://www.catalog.slsa.sa.gov.au/record=b2107979")</f>
        <v>https://www.catalog.slsa.sa.gov.au/record=b2107979</v>
      </c>
      <c r="C5287" s="1" t="str">
        <f>HYPERLINK("https://www.catalog.slsa.sa.gov.au/xrecord=b2107979")</f>
        <v>https://www.catalog.slsa.sa.gov.au/xrecord=b2107979</v>
      </c>
      <c r="E5287" t="s">
        <v>18402</v>
      </c>
      <c r="F5287" t="s">
        <v>1926</v>
      </c>
      <c r="G5287" t="s">
        <v>18403</v>
      </c>
      <c r="H5287" t="s">
        <v>18404</v>
      </c>
      <c r="I5287" t="s">
        <v>18405</v>
      </c>
      <c r="J5287" t="s">
        <v>2510</v>
      </c>
      <c r="K5287" s="2" t="str">
        <f>HYPERLINK("http://collections.slsa.sa.gov.au/mpcimg/69500/B69496.htm")</f>
        <v>http://collections.slsa.sa.gov.au/mpcimg/69500/B69496.htm</v>
      </c>
    </row>
    <row r="5288" spans="1:11" x14ac:dyDescent="0.25">
      <c r="A5288" t="s">
        <v>18406</v>
      </c>
      <c r="B5288" s="1" t="str">
        <f>HYPERLINK("https://www.catalog.slsa.sa.gov.au/record=b2107980")</f>
        <v>https://www.catalog.slsa.sa.gov.au/record=b2107980</v>
      </c>
      <c r="C5288" s="1" t="str">
        <f>HYPERLINK("https://www.catalog.slsa.sa.gov.au/xrecord=b2107980")</f>
        <v>https://www.catalog.slsa.sa.gov.au/xrecord=b2107980</v>
      </c>
      <c r="E5288" t="s">
        <v>18407</v>
      </c>
      <c r="F5288" t="s">
        <v>1926</v>
      </c>
      <c r="G5288" t="s">
        <v>18408</v>
      </c>
      <c r="H5288" t="s">
        <v>18409</v>
      </c>
      <c r="I5288" t="s">
        <v>18410</v>
      </c>
      <c r="J5288" t="s">
        <v>2510</v>
      </c>
      <c r="K5288" s="2" t="str">
        <f>HYPERLINK("http://collections.slsa.sa.gov.au/mpcimg/69500/B69497.htm")</f>
        <v>http://collections.slsa.sa.gov.au/mpcimg/69500/B69497.htm</v>
      </c>
    </row>
    <row r="5289" spans="1:11" x14ac:dyDescent="0.25">
      <c r="A5289" t="s">
        <v>18411</v>
      </c>
      <c r="B5289" s="1" t="str">
        <f>HYPERLINK("https://www.catalog.slsa.sa.gov.au/record=b2107981")</f>
        <v>https://www.catalog.slsa.sa.gov.au/record=b2107981</v>
      </c>
      <c r="C5289" s="1" t="str">
        <f>HYPERLINK("https://www.catalog.slsa.sa.gov.au/xrecord=b2107981")</f>
        <v>https://www.catalog.slsa.sa.gov.au/xrecord=b2107981</v>
      </c>
      <c r="E5289" t="s">
        <v>18412</v>
      </c>
      <c r="F5289" t="s">
        <v>1926</v>
      </c>
      <c r="G5289" t="s">
        <v>18413</v>
      </c>
      <c r="H5289" t="s">
        <v>18414</v>
      </c>
      <c r="I5289" t="s">
        <v>18410</v>
      </c>
      <c r="J5289" t="s">
        <v>2510</v>
      </c>
      <c r="K5289" s="2" t="str">
        <f>HYPERLINK("http://collections.slsa.sa.gov.au/mpcimg/69500/B69498.htm")</f>
        <v>http://collections.slsa.sa.gov.au/mpcimg/69500/B69498.htm</v>
      </c>
    </row>
    <row r="5290" spans="1:11" x14ac:dyDescent="0.25">
      <c r="A5290" t="s">
        <v>18415</v>
      </c>
      <c r="B5290" s="1" t="str">
        <f>HYPERLINK("https://www.catalog.slsa.sa.gov.au/record=b2107982")</f>
        <v>https://www.catalog.slsa.sa.gov.au/record=b2107982</v>
      </c>
      <c r="C5290" s="1" t="str">
        <f>HYPERLINK("https://www.catalog.slsa.sa.gov.au/xrecord=b2107982")</f>
        <v>https://www.catalog.slsa.sa.gov.au/xrecord=b2107982</v>
      </c>
      <c r="E5290" t="s">
        <v>18416</v>
      </c>
      <c r="F5290" t="s">
        <v>1926</v>
      </c>
      <c r="G5290" t="s">
        <v>18417</v>
      </c>
      <c r="H5290" t="s">
        <v>18418</v>
      </c>
      <c r="I5290" t="s">
        <v>18419</v>
      </c>
      <c r="J5290" t="s">
        <v>2510</v>
      </c>
      <c r="K5290" s="2" t="str">
        <f>HYPERLINK("http://collections.slsa.sa.gov.au/mpcimg/69500/B69499.htm")</f>
        <v>http://collections.slsa.sa.gov.au/mpcimg/69500/B69499.htm</v>
      </c>
    </row>
    <row r="5291" spans="1:11" x14ac:dyDescent="0.25">
      <c r="A5291" t="s">
        <v>18420</v>
      </c>
      <c r="B5291" s="1" t="str">
        <f>HYPERLINK("https://www.catalog.slsa.sa.gov.au/record=b2107983")</f>
        <v>https://www.catalog.slsa.sa.gov.au/record=b2107983</v>
      </c>
      <c r="C5291" s="1" t="str">
        <f>HYPERLINK("https://www.catalog.slsa.sa.gov.au/xrecord=b2107983")</f>
        <v>https://www.catalog.slsa.sa.gov.au/xrecord=b2107983</v>
      </c>
      <c r="E5291" t="s">
        <v>18421</v>
      </c>
      <c r="F5291" t="s">
        <v>1926</v>
      </c>
      <c r="G5291" t="s">
        <v>18422</v>
      </c>
      <c r="H5291" t="s">
        <v>18423</v>
      </c>
      <c r="I5291" t="s">
        <v>18424</v>
      </c>
      <c r="J5291" t="s">
        <v>2510</v>
      </c>
      <c r="K5291" s="2" t="str">
        <f>HYPERLINK("http://collections.slsa.sa.gov.au/mpcimg/69500/B69500.htm")</f>
        <v>http://collections.slsa.sa.gov.au/mpcimg/69500/B69500.htm</v>
      </c>
    </row>
    <row r="5292" spans="1:11" x14ac:dyDescent="0.25">
      <c r="A5292" t="s">
        <v>18425</v>
      </c>
      <c r="B5292" s="1" t="str">
        <f>HYPERLINK("https://www.catalog.slsa.sa.gov.au/record=b2107984")</f>
        <v>https://www.catalog.slsa.sa.gov.au/record=b2107984</v>
      </c>
      <c r="C5292" s="1" t="str">
        <f>HYPERLINK("https://www.catalog.slsa.sa.gov.au/xrecord=b2107984")</f>
        <v>https://www.catalog.slsa.sa.gov.au/xrecord=b2107984</v>
      </c>
      <c r="E5292" t="s">
        <v>18426</v>
      </c>
      <c r="F5292" t="s">
        <v>1926</v>
      </c>
      <c r="G5292" t="s">
        <v>18427</v>
      </c>
      <c r="H5292" t="s">
        <v>18428</v>
      </c>
      <c r="I5292" t="s">
        <v>18429</v>
      </c>
      <c r="J5292" t="s">
        <v>2510</v>
      </c>
      <c r="K5292" s="2" t="str">
        <f>HYPERLINK("http://collections.slsa.sa.gov.au/mpcimg/69750/B69501.htm")</f>
        <v>http://collections.slsa.sa.gov.au/mpcimg/69750/B69501.htm</v>
      </c>
    </row>
    <row r="5293" spans="1:11" x14ac:dyDescent="0.25">
      <c r="A5293" t="s">
        <v>18430</v>
      </c>
      <c r="B5293" s="1" t="str">
        <f>HYPERLINK("https://www.catalog.slsa.sa.gov.au/record=b2107985")</f>
        <v>https://www.catalog.slsa.sa.gov.au/record=b2107985</v>
      </c>
      <c r="C5293" s="1" t="str">
        <f>HYPERLINK("https://www.catalog.slsa.sa.gov.au/xrecord=b2107985")</f>
        <v>https://www.catalog.slsa.sa.gov.au/xrecord=b2107985</v>
      </c>
      <c r="E5293" t="s">
        <v>18431</v>
      </c>
      <c r="F5293" t="s">
        <v>1926</v>
      </c>
      <c r="G5293" t="s">
        <v>18432</v>
      </c>
      <c r="H5293" t="s">
        <v>18433</v>
      </c>
      <c r="I5293" t="s">
        <v>18410</v>
      </c>
      <c r="J5293" t="s">
        <v>2510</v>
      </c>
      <c r="K5293" s="2" t="str">
        <f>HYPERLINK("http://collections.slsa.sa.gov.au/mpcimg/69750/B69503.htm")</f>
        <v>http://collections.slsa.sa.gov.au/mpcimg/69750/B69503.htm</v>
      </c>
    </row>
    <row r="5294" spans="1:11" x14ac:dyDescent="0.25">
      <c r="A5294" t="s">
        <v>18434</v>
      </c>
      <c r="B5294" s="1" t="str">
        <f>HYPERLINK("https://www.catalog.slsa.sa.gov.au/record=b2108724")</f>
        <v>https://www.catalog.slsa.sa.gov.au/record=b2108724</v>
      </c>
      <c r="C5294" s="1" t="str">
        <f>HYPERLINK("https://www.catalog.slsa.sa.gov.au/xrecord=b2108724")</f>
        <v>https://www.catalog.slsa.sa.gov.au/xrecord=b2108724</v>
      </c>
      <c r="D5294" t="s">
        <v>18435</v>
      </c>
      <c r="E5294" t="s">
        <v>18436</v>
      </c>
      <c r="F5294" t="s">
        <v>1926</v>
      </c>
      <c r="G5294" t="s">
        <v>18437</v>
      </c>
      <c r="H5294" t="s">
        <v>18438</v>
      </c>
      <c r="I5294" t="s">
        <v>18439</v>
      </c>
      <c r="J5294" t="s">
        <v>16421</v>
      </c>
      <c r="K5294" s="2" t="str">
        <f>HYPERLINK("http://collections.slsa.sa.gov.au/mpcimg/69750/B69634_1.htm")</f>
        <v>http://collections.slsa.sa.gov.au/mpcimg/69750/B69634_1.htm</v>
      </c>
    </row>
    <row r="5295" spans="1:11" x14ac:dyDescent="0.25">
      <c r="A5295" t="s">
        <v>18440</v>
      </c>
      <c r="B5295" s="1" t="str">
        <f>HYPERLINK("https://www.catalog.slsa.sa.gov.au/record=b2108726")</f>
        <v>https://www.catalog.slsa.sa.gov.au/record=b2108726</v>
      </c>
      <c r="C5295" s="1" t="str">
        <f>HYPERLINK("https://www.catalog.slsa.sa.gov.au/xrecord=b2108726")</f>
        <v>https://www.catalog.slsa.sa.gov.au/xrecord=b2108726</v>
      </c>
      <c r="D5295" t="s">
        <v>18435</v>
      </c>
      <c r="E5295" t="s">
        <v>18441</v>
      </c>
      <c r="F5295" t="s">
        <v>1926</v>
      </c>
      <c r="G5295" t="s">
        <v>18437</v>
      </c>
      <c r="H5295" t="s">
        <v>18442</v>
      </c>
      <c r="J5295" t="s">
        <v>16421</v>
      </c>
      <c r="K5295" s="2" t="str">
        <f>HYPERLINK("http://collections.slsa.sa.gov.au/mpcimg/69750/B69634_2.htm")</f>
        <v>http://collections.slsa.sa.gov.au/mpcimg/69750/B69634_2.htm</v>
      </c>
    </row>
    <row r="5296" spans="1:11" x14ac:dyDescent="0.25">
      <c r="A5296" t="s">
        <v>18443</v>
      </c>
      <c r="B5296" s="1" t="str">
        <f>HYPERLINK("https://www.catalog.slsa.sa.gov.au/record=b2108727")</f>
        <v>https://www.catalog.slsa.sa.gov.au/record=b2108727</v>
      </c>
      <c r="C5296" s="1" t="str">
        <f>HYPERLINK("https://www.catalog.slsa.sa.gov.au/xrecord=b2108727")</f>
        <v>https://www.catalog.slsa.sa.gov.au/xrecord=b2108727</v>
      </c>
      <c r="D5296" t="s">
        <v>18435</v>
      </c>
      <c r="E5296" t="s">
        <v>18444</v>
      </c>
      <c r="F5296" t="s">
        <v>1926</v>
      </c>
      <c r="G5296" t="s">
        <v>18437</v>
      </c>
      <c r="H5296" t="s">
        <v>18445</v>
      </c>
      <c r="I5296" t="s">
        <v>18446</v>
      </c>
      <c r="J5296" t="s">
        <v>16421</v>
      </c>
      <c r="K5296" s="2" t="str">
        <f>HYPERLINK("http://collections.slsa.sa.gov.au/mpcimg/69750/B69634_3.htm")</f>
        <v>http://collections.slsa.sa.gov.au/mpcimg/69750/B69634_3.htm</v>
      </c>
    </row>
    <row r="5297" spans="1:11" x14ac:dyDescent="0.25">
      <c r="A5297" t="s">
        <v>18447</v>
      </c>
      <c r="B5297" s="1" t="str">
        <f>HYPERLINK("https://www.catalog.slsa.sa.gov.au/record=b2108728")</f>
        <v>https://www.catalog.slsa.sa.gov.au/record=b2108728</v>
      </c>
      <c r="C5297" s="1" t="str">
        <f>HYPERLINK("https://www.catalog.slsa.sa.gov.au/xrecord=b2108728")</f>
        <v>https://www.catalog.slsa.sa.gov.au/xrecord=b2108728</v>
      </c>
      <c r="D5297" t="s">
        <v>18435</v>
      </c>
      <c r="E5297" t="s">
        <v>18448</v>
      </c>
      <c r="F5297" t="s">
        <v>1926</v>
      </c>
      <c r="G5297" t="s">
        <v>18437</v>
      </c>
      <c r="H5297" t="s">
        <v>18449</v>
      </c>
      <c r="I5297" t="s">
        <v>18450</v>
      </c>
      <c r="J5297" t="s">
        <v>16421</v>
      </c>
      <c r="K5297" s="2" t="str">
        <f>HYPERLINK("http://collections.slsa.sa.gov.au/mpcimg/69750/B69634_4.htm")</f>
        <v>http://collections.slsa.sa.gov.au/mpcimg/69750/B69634_4.htm</v>
      </c>
    </row>
    <row r="5298" spans="1:11" x14ac:dyDescent="0.25">
      <c r="A5298" t="s">
        <v>18451</v>
      </c>
      <c r="B5298" s="1" t="str">
        <f>HYPERLINK("https://www.catalog.slsa.sa.gov.au/record=b2108729")</f>
        <v>https://www.catalog.slsa.sa.gov.au/record=b2108729</v>
      </c>
      <c r="C5298" s="1" t="str">
        <f>HYPERLINK("https://www.catalog.slsa.sa.gov.au/xrecord=b2108729")</f>
        <v>https://www.catalog.slsa.sa.gov.au/xrecord=b2108729</v>
      </c>
      <c r="D5298" t="s">
        <v>18435</v>
      </c>
      <c r="E5298" t="s">
        <v>18452</v>
      </c>
      <c r="F5298" t="s">
        <v>1926</v>
      </c>
      <c r="G5298" t="s">
        <v>18453</v>
      </c>
      <c r="H5298" t="s">
        <v>18454</v>
      </c>
      <c r="I5298" t="s">
        <v>18455</v>
      </c>
      <c r="J5298" t="s">
        <v>16421</v>
      </c>
      <c r="K5298" s="2" t="str">
        <f>HYPERLINK("http://collections.slsa.sa.gov.au/mpcimg/69750/B69634_5.htm")</f>
        <v>http://collections.slsa.sa.gov.au/mpcimg/69750/B69634_5.htm</v>
      </c>
    </row>
    <row r="5299" spans="1:11" x14ac:dyDescent="0.25">
      <c r="A5299" t="s">
        <v>18456</v>
      </c>
      <c r="B5299" s="1" t="str">
        <f>HYPERLINK("https://www.catalog.slsa.sa.gov.au/record=b2108730")</f>
        <v>https://www.catalog.slsa.sa.gov.au/record=b2108730</v>
      </c>
      <c r="C5299" s="1" t="str">
        <f>HYPERLINK("https://www.catalog.slsa.sa.gov.au/xrecord=b2108730")</f>
        <v>https://www.catalog.slsa.sa.gov.au/xrecord=b2108730</v>
      </c>
      <c r="D5299" t="s">
        <v>18435</v>
      </c>
      <c r="E5299" t="s">
        <v>18457</v>
      </c>
      <c r="F5299" t="s">
        <v>1926</v>
      </c>
      <c r="G5299" t="s">
        <v>18437</v>
      </c>
      <c r="H5299" t="s">
        <v>18458</v>
      </c>
      <c r="I5299" t="s">
        <v>18459</v>
      </c>
      <c r="J5299" t="s">
        <v>16421</v>
      </c>
      <c r="K5299" s="2" t="str">
        <f>HYPERLINK("http://collections.slsa.sa.gov.au/mpcimg/69750/B69634_6.htm")</f>
        <v>http://collections.slsa.sa.gov.au/mpcimg/69750/B69634_6.htm</v>
      </c>
    </row>
    <row r="5300" spans="1:11" x14ac:dyDescent="0.25">
      <c r="A5300" t="s">
        <v>18460</v>
      </c>
      <c r="B5300" s="1" t="str">
        <f>HYPERLINK("https://www.catalog.slsa.sa.gov.au/record=b2108744")</f>
        <v>https://www.catalog.slsa.sa.gov.au/record=b2108744</v>
      </c>
      <c r="C5300" s="1" t="str">
        <f>HYPERLINK("https://www.catalog.slsa.sa.gov.au/xrecord=b2108744")</f>
        <v>https://www.catalog.slsa.sa.gov.au/xrecord=b2108744</v>
      </c>
      <c r="E5300" t="s">
        <v>18461</v>
      </c>
      <c r="F5300" t="s">
        <v>1926</v>
      </c>
      <c r="G5300" t="s">
        <v>18462</v>
      </c>
      <c r="H5300" t="s">
        <v>18463</v>
      </c>
      <c r="I5300" t="s">
        <v>18464</v>
      </c>
      <c r="J5300" t="s">
        <v>14946</v>
      </c>
      <c r="K5300" s="2" t="str">
        <f>HYPERLINK("http://collections.slsa.sa.gov.au/mpcimg/69750/B69646.htm")</f>
        <v>http://collections.slsa.sa.gov.au/mpcimg/69750/B69646.htm</v>
      </c>
    </row>
    <row r="5301" spans="1:11" x14ac:dyDescent="0.25">
      <c r="A5301" t="s">
        <v>18465</v>
      </c>
      <c r="B5301" s="1" t="str">
        <f>HYPERLINK("https://www.catalog.slsa.sa.gov.au/record=b2108885")</f>
        <v>https://www.catalog.slsa.sa.gov.au/record=b2108885</v>
      </c>
      <c r="C5301" s="1" t="str">
        <f>HYPERLINK("https://www.catalog.slsa.sa.gov.au/xrecord=b2108885")</f>
        <v>https://www.catalog.slsa.sa.gov.au/xrecord=b2108885</v>
      </c>
      <c r="E5301" t="s">
        <v>18466</v>
      </c>
      <c r="F5301" t="s">
        <v>1926</v>
      </c>
      <c r="G5301" t="s">
        <v>18467</v>
      </c>
      <c r="H5301" t="s">
        <v>18468</v>
      </c>
      <c r="I5301" t="s">
        <v>18469</v>
      </c>
      <c r="J5301" t="s">
        <v>5381</v>
      </c>
      <c r="K5301" s="2" t="str">
        <f>HYPERLINK("http://collections.slsa.sa.gov.au/mpcimg/69750/B69703.htm")</f>
        <v>http://collections.slsa.sa.gov.au/mpcimg/69750/B69703.htm</v>
      </c>
    </row>
    <row r="5302" spans="1:11" x14ac:dyDescent="0.25">
      <c r="A5302" t="s">
        <v>18470</v>
      </c>
      <c r="B5302" s="1" t="str">
        <f>HYPERLINK("https://www.catalog.slsa.sa.gov.au/record=b2108886")</f>
        <v>https://www.catalog.slsa.sa.gov.au/record=b2108886</v>
      </c>
      <c r="C5302" s="1" t="str">
        <f>HYPERLINK("https://www.catalog.slsa.sa.gov.au/xrecord=b2108886")</f>
        <v>https://www.catalog.slsa.sa.gov.au/xrecord=b2108886</v>
      </c>
      <c r="E5302" t="s">
        <v>18471</v>
      </c>
      <c r="F5302" t="s">
        <v>1926</v>
      </c>
      <c r="G5302" t="s">
        <v>18472</v>
      </c>
      <c r="H5302" t="s">
        <v>18473</v>
      </c>
      <c r="I5302" t="s">
        <v>18469</v>
      </c>
      <c r="J5302" t="s">
        <v>18474</v>
      </c>
      <c r="K5302" s="2" t="str">
        <f>HYPERLINK("http://collections.slsa.sa.gov.au/mpcimg/69750/B69704.htm")</f>
        <v>http://collections.slsa.sa.gov.au/mpcimg/69750/B69704.htm</v>
      </c>
    </row>
    <row r="5303" spans="1:11" x14ac:dyDescent="0.25">
      <c r="A5303" t="s">
        <v>18475</v>
      </c>
      <c r="B5303" s="1" t="str">
        <f>HYPERLINK("https://www.catalog.slsa.sa.gov.au/record=b2108887")</f>
        <v>https://www.catalog.slsa.sa.gov.au/record=b2108887</v>
      </c>
      <c r="C5303" s="1" t="str">
        <f>HYPERLINK("https://www.catalog.slsa.sa.gov.au/xrecord=b2108887")</f>
        <v>https://www.catalog.slsa.sa.gov.au/xrecord=b2108887</v>
      </c>
      <c r="E5303" t="s">
        <v>18476</v>
      </c>
      <c r="F5303" t="s">
        <v>1926</v>
      </c>
      <c r="G5303" t="s">
        <v>18472</v>
      </c>
      <c r="H5303" t="s">
        <v>18477</v>
      </c>
      <c r="I5303" t="s">
        <v>18469</v>
      </c>
      <c r="J5303" t="s">
        <v>18478</v>
      </c>
      <c r="K5303" s="2" t="str">
        <f>HYPERLINK("http://collections.slsa.sa.gov.au/mpcimg/69750/B69705.htm")</f>
        <v>http://collections.slsa.sa.gov.au/mpcimg/69750/B69705.htm</v>
      </c>
    </row>
    <row r="5304" spans="1:11" x14ac:dyDescent="0.25">
      <c r="A5304" t="s">
        <v>18479</v>
      </c>
      <c r="B5304" s="1" t="str">
        <f>HYPERLINK("https://www.catalog.slsa.sa.gov.au/record=b2108888")</f>
        <v>https://www.catalog.slsa.sa.gov.au/record=b2108888</v>
      </c>
      <c r="C5304" s="1" t="str">
        <f>HYPERLINK("https://www.catalog.slsa.sa.gov.au/xrecord=b2108888")</f>
        <v>https://www.catalog.slsa.sa.gov.au/xrecord=b2108888</v>
      </c>
      <c r="E5304" t="s">
        <v>18480</v>
      </c>
      <c r="F5304" t="s">
        <v>1926</v>
      </c>
      <c r="G5304" t="s">
        <v>18481</v>
      </c>
      <c r="H5304" t="s">
        <v>18482</v>
      </c>
      <c r="I5304" t="s">
        <v>18469</v>
      </c>
      <c r="J5304" t="s">
        <v>5381</v>
      </c>
      <c r="K5304" s="2" t="str">
        <f>HYPERLINK("http://collections.slsa.sa.gov.au/mpcimg/69750/B69706.htm")</f>
        <v>http://collections.slsa.sa.gov.au/mpcimg/69750/B69706.htm</v>
      </c>
    </row>
    <row r="5305" spans="1:11" x14ac:dyDescent="0.25">
      <c r="A5305" t="s">
        <v>18483</v>
      </c>
      <c r="B5305" s="1" t="str">
        <f>HYPERLINK("https://www.catalog.slsa.sa.gov.au/record=b2108889")</f>
        <v>https://www.catalog.slsa.sa.gov.au/record=b2108889</v>
      </c>
      <c r="C5305" s="1" t="str">
        <f>HYPERLINK("https://www.catalog.slsa.sa.gov.au/xrecord=b2108889")</f>
        <v>https://www.catalog.slsa.sa.gov.au/xrecord=b2108889</v>
      </c>
      <c r="E5305" t="s">
        <v>18484</v>
      </c>
      <c r="F5305" t="s">
        <v>1926</v>
      </c>
      <c r="G5305" t="s">
        <v>18467</v>
      </c>
      <c r="H5305" t="s">
        <v>18485</v>
      </c>
      <c r="I5305" t="s">
        <v>18469</v>
      </c>
      <c r="J5305" t="s">
        <v>5381</v>
      </c>
      <c r="K5305" s="2" t="str">
        <f>HYPERLINK("http://collections.slsa.sa.gov.au/mpcimg/69750/B69707.htm")</f>
        <v>http://collections.slsa.sa.gov.au/mpcimg/69750/B69707.htm</v>
      </c>
    </row>
    <row r="5306" spans="1:11" x14ac:dyDescent="0.25">
      <c r="A5306" t="s">
        <v>18486</v>
      </c>
      <c r="B5306" s="1" t="str">
        <f>HYPERLINK("https://www.catalog.slsa.sa.gov.au/record=b2108890")</f>
        <v>https://www.catalog.slsa.sa.gov.au/record=b2108890</v>
      </c>
      <c r="C5306" s="1" t="str">
        <f>HYPERLINK("https://www.catalog.slsa.sa.gov.au/xrecord=b2108890")</f>
        <v>https://www.catalog.slsa.sa.gov.au/xrecord=b2108890</v>
      </c>
      <c r="E5306" t="s">
        <v>18487</v>
      </c>
      <c r="F5306" t="s">
        <v>1926</v>
      </c>
      <c r="G5306" t="s">
        <v>18488</v>
      </c>
      <c r="H5306" t="s">
        <v>18489</v>
      </c>
      <c r="I5306" t="s">
        <v>18469</v>
      </c>
      <c r="J5306" t="s">
        <v>5381</v>
      </c>
      <c r="K5306" s="2" t="str">
        <f>HYPERLINK("http://collections.slsa.sa.gov.au/mpcimg/69750/B69709.htm")</f>
        <v>http://collections.slsa.sa.gov.au/mpcimg/69750/B69709.htm</v>
      </c>
    </row>
    <row r="5307" spans="1:11" x14ac:dyDescent="0.25">
      <c r="A5307" t="s">
        <v>18490</v>
      </c>
      <c r="B5307" s="1" t="str">
        <f>HYPERLINK("https://www.catalog.slsa.sa.gov.au/record=b2108891")</f>
        <v>https://www.catalog.slsa.sa.gov.au/record=b2108891</v>
      </c>
      <c r="C5307" s="1" t="str">
        <f>HYPERLINK("https://www.catalog.slsa.sa.gov.au/xrecord=b2108891")</f>
        <v>https://www.catalog.slsa.sa.gov.au/xrecord=b2108891</v>
      </c>
      <c r="E5307" t="s">
        <v>18491</v>
      </c>
      <c r="F5307" t="s">
        <v>1926</v>
      </c>
      <c r="G5307" t="s">
        <v>18467</v>
      </c>
      <c r="H5307" t="s">
        <v>18492</v>
      </c>
      <c r="I5307" t="s">
        <v>18469</v>
      </c>
      <c r="J5307" t="s">
        <v>18478</v>
      </c>
      <c r="K5307" s="2" t="str">
        <f>HYPERLINK("http://collections.slsa.sa.gov.au/mpcimg/69750/B69708.htm")</f>
        <v>http://collections.slsa.sa.gov.au/mpcimg/69750/B69708.htm</v>
      </c>
    </row>
    <row r="5308" spans="1:11" x14ac:dyDescent="0.25">
      <c r="A5308" t="s">
        <v>18493</v>
      </c>
      <c r="B5308" s="1" t="str">
        <f>HYPERLINK("https://www.catalog.slsa.sa.gov.au/record=b2108892")</f>
        <v>https://www.catalog.slsa.sa.gov.au/record=b2108892</v>
      </c>
      <c r="C5308" s="1" t="str">
        <f>HYPERLINK("https://www.catalog.slsa.sa.gov.au/xrecord=b2108892")</f>
        <v>https://www.catalog.slsa.sa.gov.au/xrecord=b2108892</v>
      </c>
      <c r="E5308" t="s">
        <v>18494</v>
      </c>
      <c r="F5308" t="s">
        <v>1926</v>
      </c>
      <c r="G5308" t="s">
        <v>18495</v>
      </c>
      <c r="H5308" t="s">
        <v>18496</v>
      </c>
      <c r="I5308" t="s">
        <v>18469</v>
      </c>
      <c r="J5308" t="s">
        <v>5381</v>
      </c>
      <c r="K5308" s="2" t="str">
        <f>HYPERLINK("http://collections.slsa.sa.gov.au/mpcimg/69750/B69710.htm")</f>
        <v>http://collections.slsa.sa.gov.au/mpcimg/69750/B69710.htm</v>
      </c>
    </row>
    <row r="5309" spans="1:11" x14ac:dyDescent="0.25">
      <c r="A5309" t="s">
        <v>18497</v>
      </c>
      <c r="B5309" s="1" t="str">
        <f>HYPERLINK("https://www.catalog.slsa.sa.gov.au/record=b2108893")</f>
        <v>https://www.catalog.slsa.sa.gov.au/record=b2108893</v>
      </c>
      <c r="C5309" s="1" t="str">
        <f>HYPERLINK("https://www.catalog.slsa.sa.gov.au/xrecord=b2108893")</f>
        <v>https://www.catalog.slsa.sa.gov.au/xrecord=b2108893</v>
      </c>
      <c r="E5309" t="s">
        <v>18498</v>
      </c>
      <c r="F5309" t="s">
        <v>1926</v>
      </c>
      <c r="G5309" t="s">
        <v>18495</v>
      </c>
      <c r="H5309" t="s">
        <v>18499</v>
      </c>
      <c r="I5309" t="s">
        <v>18469</v>
      </c>
      <c r="J5309" t="s">
        <v>5381</v>
      </c>
      <c r="K5309" s="2" t="str">
        <f>HYPERLINK("http://collections.slsa.sa.gov.au/mpcimg/69750/B69711.htm")</f>
        <v>http://collections.slsa.sa.gov.au/mpcimg/69750/B69711.htm</v>
      </c>
    </row>
    <row r="5310" spans="1:11" x14ac:dyDescent="0.25">
      <c r="A5310" t="s">
        <v>18500</v>
      </c>
      <c r="B5310" s="1" t="str">
        <f>HYPERLINK("https://www.catalog.slsa.sa.gov.au/record=b2108894")</f>
        <v>https://www.catalog.slsa.sa.gov.au/record=b2108894</v>
      </c>
      <c r="C5310" s="1" t="str">
        <f>HYPERLINK("https://www.catalog.slsa.sa.gov.au/xrecord=b2108894")</f>
        <v>https://www.catalog.slsa.sa.gov.au/xrecord=b2108894</v>
      </c>
      <c r="E5310" t="s">
        <v>18501</v>
      </c>
      <c r="F5310" t="s">
        <v>1926</v>
      </c>
      <c r="G5310" t="s">
        <v>18495</v>
      </c>
      <c r="H5310" t="s">
        <v>18502</v>
      </c>
      <c r="I5310" t="s">
        <v>18469</v>
      </c>
      <c r="J5310" t="s">
        <v>18478</v>
      </c>
      <c r="K5310" s="2" t="str">
        <f>HYPERLINK("http://collections.slsa.sa.gov.au/mpcimg/69750/B69712.htm")</f>
        <v>http://collections.slsa.sa.gov.au/mpcimg/69750/B69712.htm</v>
      </c>
    </row>
    <row r="5311" spans="1:11" x14ac:dyDescent="0.25">
      <c r="A5311" t="s">
        <v>18503</v>
      </c>
      <c r="B5311" s="1" t="str">
        <f>HYPERLINK("https://www.catalog.slsa.sa.gov.au/record=b2108895")</f>
        <v>https://www.catalog.slsa.sa.gov.au/record=b2108895</v>
      </c>
      <c r="C5311" s="1" t="str">
        <f>HYPERLINK("https://www.catalog.slsa.sa.gov.au/xrecord=b2108895")</f>
        <v>https://www.catalog.slsa.sa.gov.au/xrecord=b2108895</v>
      </c>
      <c r="E5311" t="s">
        <v>18504</v>
      </c>
      <c r="F5311" t="s">
        <v>1926</v>
      </c>
      <c r="G5311" t="s">
        <v>18467</v>
      </c>
      <c r="H5311" t="s">
        <v>18505</v>
      </c>
      <c r="I5311" t="s">
        <v>18506</v>
      </c>
      <c r="J5311" t="s">
        <v>3486</v>
      </c>
      <c r="K5311" s="2" t="str">
        <f>HYPERLINK("http://collections.slsa.sa.gov.au/mpcimg/69750/B69713.htm")</f>
        <v>http://collections.slsa.sa.gov.au/mpcimg/69750/B69713.htm</v>
      </c>
    </row>
    <row r="5312" spans="1:11" x14ac:dyDescent="0.25">
      <c r="A5312" t="s">
        <v>18507</v>
      </c>
      <c r="B5312" s="1" t="str">
        <f>HYPERLINK("https://www.catalog.slsa.sa.gov.au/record=b2108896")</f>
        <v>https://www.catalog.slsa.sa.gov.au/record=b2108896</v>
      </c>
      <c r="C5312" s="1" t="str">
        <f>HYPERLINK("https://www.catalog.slsa.sa.gov.au/xrecord=b2108896")</f>
        <v>https://www.catalog.slsa.sa.gov.au/xrecord=b2108896</v>
      </c>
      <c r="E5312" t="s">
        <v>18508</v>
      </c>
      <c r="F5312" t="s">
        <v>1926</v>
      </c>
      <c r="G5312" t="s">
        <v>18509</v>
      </c>
      <c r="H5312" t="s">
        <v>18510</v>
      </c>
      <c r="I5312" t="s">
        <v>18511</v>
      </c>
      <c r="J5312" t="s">
        <v>5381</v>
      </c>
      <c r="K5312" s="2" t="str">
        <f>HYPERLINK("http://collections.slsa.sa.gov.au/mpcimg/69750/B69714.htm")</f>
        <v>http://collections.slsa.sa.gov.au/mpcimg/69750/B69714.htm</v>
      </c>
    </row>
    <row r="5313" spans="1:11" x14ac:dyDescent="0.25">
      <c r="A5313" t="s">
        <v>18512</v>
      </c>
      <c r="B5313" s="1" t="str">
        <f>HYPERLINK("https://www.catalog.slsa.sa.gov.au/record=b2108897")</f>
        <v>https://www.catalog.slsa.sa.gov.au/record=b2108897</v>
      </c>
      <c r="C5313" s="1" t="str">
        <f>HYPERLINK("https://www.catalog.slsa.sa.gov.au/xrecord=b2108897")</f>
        <v>https://www.catalog.slsa.sa.gov.au/xrecord=b2108897</v>
      </c>
      <c r="E5313" t="s">
        <v>18513</v>
      </c>
      <c r="F5313" t="s">
        <v>1926</v>
      </c>
      <c r="G5313" t="s">
        <v>18467</v>
      </c>
      <c r="H5313" t="s">
        <v>18514</v>
      </c>
      <c r="I5313" t="s">
        <v>18469</v>
      </c>
      <c r="J5313" t="s">
        <v>5381</v>
      </c>
      <c r="K5313" s="2" t="str">
        <f>HYPERLINK("http://collections.slsa.sa.gov.au/mpcimg/69750/B69715.htm")</f>
        <v>http://collections.slsa.sa.gov.au/mpcimg/69750/B69715.htm</v>
      </c>
    </row>
    <row r="5314" spans="1:11" x14ac:dyDescent="0.25">
      <c r="A5314" t="s">
        <v>18515</v>
      </c>
      <c r="B5314" s="1" t="str">
        <f>HYPERLINK("https://www.catalog.slsa.sa.gov.au/record=b2108898")</f>
        <v>https://www.catalog.slsa.sa.gov.au/record=b2108898</v>
      </c>
      <c r="C5314" s="1" t="str">
        <f>HYPERLINK("https://www.catalog.slsa.sa.gov.au/xrecord=b2108898")</f>
        <v>https://www.catalog.slsa.sa.gov.au/xrecord=b2108898</v>
      </c>
      <c r="E5314" t="s">
        <v>18516</v>
      </c>
      <c r="F5314" t="s">
        <v>1926</v>
      </c>
      <c r="G5314" t="s">
        <v>18467</v>
      </c>
      <c r="H5314" t="s">
        <v>18517</v>
      </c>
      <c r="I5314" t="s">
        <v>18469</v>
      </c>
      <c r="J5314" t="s">
        <v>5381</v>
      </c>
      <c r="K5314" s="2" t="str">
        <f>HYPERLINK("http://collections.slsa.sa.gov.au/mpcimg/69750/B69716.htm")</f>
        <v>http://collections.slsa.sa.gov.au/mpcimg/69750/B69716.htm</v>
      </c>
    </row>
    <row r="5315" spans="1:11" x14ac:dyDescent="0.25">
      <c r="A5315" t="s">
        <v>18518</v>
      </c>
      <c r="B5315" s="1" t="str">
        <f>HYPERLINK("https://www.catalog.slsa.sa.gov.au/record=b2108899")</f>
        <v>https://www.catalog.slsa.sa.gov.au/record=b2108899</v>
      </c>
      <c r="C5315" s="1" t="str">
        <f>HYPERLINK("https://www.catalog.slsa.sa.gov.au/xrecord=b2108899")</f>
        <v>https://www.catalog.slsa.sa.gov.au/xrecord=b2108899</v>
      </c>
      <c r="E5315" t="s">
        <v>18519</v>
      </c>
      <c r="F5315" t="s">
        <v>1926</v>
      </c>
      <c r="G5315" t="s">
        <v>18520</v>
      </c>
      <c r="H5315" t="s">
        <v>18521</v>
      </c>
      <c r="I5315" t="s">
        <v>18469</v>
      </c>
      <c r="J5315" t="s">
        <v>5381</v>
      </c>
      <c r="K5315" s="2" t="str">
        <f>HYPERLINK("http://collections.slsa.sa.gov.au/mpcimg/69750/B69717.htm")</f>
        <v>http://collections.slsa.sa.gov.au/mpcimg/69750/B69717.htm</v>
      </c>
    </row>
    <row r="5316" spans="1:11" x14ac:dyDescent="0.25">
      <c r="A5316" t="s">
        <v>18522</v>
      </c>
      <c r="B5316" s="1" t="str">
        <f>HYPERLINK("https://www.catalog.slsa.sa.gov.au/record=b2108900")</f>
        <v>https://www.catalog.slsa.sa.gov.au/record=b2108900</v>
      </c>
      <c r="C5316" s="1" t="str">
        <f>HYPERLINK("https://www.catalog.slsa.sa.gov.au/xrecord=b2108900")</f>
        <v>https://www.catalog.slsa.sa.gov.au/xrecord=b2108900</v>
      </c>
      <c r="E5316" t="s">
        <v>18523</v>
      </c>
      <c r="F5316" t="s">
        <v>1926</v>
      </c>
      <c r="G5316" t="s">
        <v>18467</v>
      </c>
      <c r="H5316" t="s">
        <v>18524</v>
      </c>
      <c r="I5316" t="s">
        <v>18469</v>
      </c>
      <c r="J5316" t="s">
        <v>5381</v>
      </c>
      <c r="K5316" s="2" t="str">
        <f>HYPERLINK("http://collections.slsa.sa.gov.au/mpcimg/69750/B69718.htm")</f>
        <v>http://collections.slsa.sa.gov.au/mpcimg/69750/B69718.htm</v>
      </c>
    </row>
    <row r="5317" spans="1:11" x14ac:dyDescent="0.25">
      <c r="A5317" t="s">
        <v>18525</v>
      </c>
      <c r="B5317" s="1" t="str">
        <f>HYPERLINK("https://www.catalog.slsa.sa.gov.au/record=b2108901")</f>
        <v>https://www.catalog.slsa.sa.gov.au/record=b2108901</v>
      </c>
      <c r="C5317" s="1" t="str">
        <f>HYPERLINK("https://www.catalog.slsa.sa.gov.au/xrecord=b2108901")</f>
        <v>https://www.catalog.slsa.sa.gov.au/xrecord=b2108901</v>
      </c>
      <c r="E5317" t="s">
        <v>18526</v>
      </c>
      <c r="F5317" t="s">
        <v>1926</v>
      </c>
      <c r="G5317" t="s">
        <v>18467</v>
      </c>
      <c r="H5317" t="s">
        <v>18527</v>
      </c>
      <c r="I5317" t="s">
        <v>18528</v>
      </c>
      <c r="J5317" t="s">
        <v>17441</v>
      </c>
      <c r="K5317" s="2" t="str">
        <f>HYPERLINK("http://collections.slsa.sa.gov.au/mpcimg/69750/B69719.htm")</f>
        <v>http://collections.slsa.sa.gov.au/mpcimg/69750/B69719.htm</v>
      </c>
    </row>
    <row r="5318" spans="1:11" x14ac:dyDescent="0.25">
      <c r="A5318" t="s">
        <v>18529</v>
      </c>
      <c r="B5318" s="1" t="str">
        <f>HYPERLINK("https://www.catalog.slsa.sa.gov.au/record=b2108902")</f>
        <v>https://www.catalog.slsa.sa.gov.au/record=b2108902</v>
      </c>
      <c r="C5318" s="1" t="str">
        <f>HYPERLINK("https://www.catalog.slsa.sa.gov.au/xrecord=b2108902")</f>
        <v>https://www.catalog.slsa.sa.gov.au/xrecord=b2108902</v>
      </c>
      <c r="E5318" t="s">
        <v>18530</v>
      </c>
      <c r="F5318" t="s">
        <v>1926</v>
      </c>
      <c r="G5318" t="s">
        <v>18467</v>
      </c>
      <c r="H5318" t="s">
        <v>18531</v>
      </c>
      <c r="I5318" t="s">
        <v>18532</v>
      </c>
      <c r="J5318" t="s">
        <v>18533</v>
      </c>
      <c r="K5318" s="2" t="str">
        <f>HYPERLINK("http://collections.slsa.sa.gov.au/mpcimg/69750/B69720.htm")</f>
        <v>http://collections.slsa.sa.gov.au/mpcimg/69750/B69720.htm</v>
      </c>
    </row>
    <row r="5319" spans="1:11" x14ac:dyDescent="0.25">
      <c r="A5319" t="s">
        <v>18534</v>
      </c>
      <c r="B5319" s="1" t="str">
        <f>HYPERLINK("https://www.catalog.slsa.sa.gov.au/record=b2108903")</f>
        <v>https://www.catalog.slsa.sa.gov.au/record=b2108903</v>
      </c>
      <c r="C5319" s="1" t="str">
        <f>HYPERLINK("https://www.catalog.slsa.sa.gov.au/xrecord=b2108903")</f>
        <v>https://www.catalog.slsa.sa.gov.au/xrecord=b2108903</v>
      </c>
      <c r="E5319" t="s">
        <v>18535</v>
      </c>
      <c r="F5319" t="s">
        <v>1926</v>
      </c>
      <c r="G5319" t="s">
        <v>18467</v>
      </c>
      <c r="H5319" t="s">
        <v>18536</v>
      </c>
      <c r="I5319" t="s">
        <v>18506</v>
      </c>
      <c r="J5319" t="s">
        <v>3486</v>
      </c>
      <c r="K5319" s="2" t="str">
        <f>HYPERLINK("http://collections.slsa.sa.gov.au/mpcimg/69750/B69721.htm")</f>
        <v>http://collections.slsa.sa.gov.au/mpcimg/69750/B69721.htm</v>
      </c>
    </row>
    <row r="5320" spans="1:11" x14ac:dyDescent="0.25">
      <c r="A5320" t="s">
        <v>18537</v>
      </c>
      <c r="B5320" s="1" t="str">
        <f>HYPERLINK("https://www.catalog.slsa.sa.gov.au/record=b2108904")</f>
        <v>https://www.catalog.slsa.sa.gov.au/record=b2108904</v>
      </c>
      <c r="C5320" s="1" t="str">
        <f>HYPERLINK("https://www.catalog.slsa.sa.gov.au/xrecord=b2108904")</f>
        <v>https://www.catalog.slsa.sa.gov.au/xrecord=b2108904</v>
      </c>
      <c r="E5320" t="s">
        <v>18538</v>
      </c>
      <c r="F5320" t="s">
        <v>1926</v>
      </c>
      <c r="G5320" t="s">
        <v>18467</v>
      </c>
      <c r="H5320" t="s">
        <v>18539</v>
      </c>
      <c r="I5320" t="s">
        <v>18469</v>
      </c>
      <c r="J5320" t="s">
        <v>5381</v>
      </c>
      <c r="K5320" s="2" t="str">
        <f>HYPERLINK("http://collections.slsa.sa.gov.au/mpcimg/69750/B69722.htm")</f>
        <v>http://collections.slsa.sa.gov.au/mpcimg/69750/B69722.htm</v>
      </c>
    </row>
    <row r="5321" spans="1:11" x14ac:dyDescent="0.25">
      <c r="A5321" t="s">
        <v>18540</v>
      </c>
      <c r="B5321" s="1" t="str">
        <f>HYPERLINK("https://www.catalog.slsa.sa.gov.au/record=b2108905")</f>
        <v>https://www.catalog.slsa.sa.gov.au/record=b2108905</v>
      </c>
      <c r="C5321" s="1" t="str">
        <f>HYPERLINK("https://www.catalog.slsa.sa.gov.au/xrecord=b2108905")</f>
        <v>https://www.catalog.slsa.sa.gov.au/xrecord=b2108905</v>
      </c>
      <c r="E5321" t="s">
        <v>18541</v>
      </c>
      <c r="F5321" t="s">
        <v>1926</v>
      </c>
      <c r="G5321" t="s">
        <v>18488</v>
      </c>
      <c r="H5321" t="s">
        <v>18542</v>
      </c>
      <c r="I5321" t="s">
        <v>18469</v>
      </c>
      <c r="J5321" t="s">
        <v>18474</v>
      </c>
      <c r="K5321" s="2" t="str">
        <f>HYPERLINK("http://collections.slsa.sa.gov.au/mpcimg/69750/B69723.htm")</f>
        <v>http://collections.slsa.sa.gov.au/mpcimg/69750/B69723.htm</v>
      </c>
    </row>
    <row r="5322" spans="1:11" x14ac:dyDescent="0.25">
      <c r="A5322" t="s">
        <v>18543</v>
      </c>
      <c r="B5322" s="1" t="str">
        <f>HYPERLINK("https://www.catalog.slsa.sa.gov.au/record=b2108906")</f>
        <v>https://www.catalog.slsa.sa.gov.au/record=b2108906</v>
      </c>
      <c r="C5322" s="1" t="str">
        <f>HYPERLINK("https://www.catalog.slsa.sa.gov.au/xrecord=b2108906")</f>
        <v>https://www.catalog.slsa.sa.gov.au/xrecord=b2108906</v>
      </c>
      <c r="E5322" t="s">
        <v>18544</v>
      </c>
      <c r="F5322" t="s">
        <v>1926</v>
      </c>
      <c r="G5322" t="s">
        <v>18488</v>
      </c>
      <c r="H5322" t="s">
        <v>18545</v>
      </c>
      <c r="I5322" t="s">
        <v>18469</v>
      </c>
      <c r="J5322" t="s">
        <v>17150</v>
      </c>
      <c r="K5322" s="2" t="str">
        <f>HYPERLINK("http://collections.slsa.sa.gov.au/mpcimg/69750/B69724.htm")</f>
        <v>http://collections.slsa.sa.gov.au/mpcimg/69750/B69724.htm</v>
      </c>
    </row>
    <row r="5323" spans="1:11" x14ac:dyDescent="0.25">
      <c r="A5323" t="s">
        <v>18546</v>
      </c>
      <c r="B5323" s="1" t="str">
        <f>HYPERLINK("https://www.catalog.slsa.sa.gov.au/record=b2108907")</f>
        <v>https://www.catalog.slsa.sa.gov.au/record=b2108907</v>
      </c>
      <c r="C5323" s="1" t="str">
        <f>HYPERLINK("https://www.catalog.slsa.sa.gov.au/xrecord=b2108907")</f>
        <v>https://www.catalog.slsa.sa.gov.au/xrecord=b2108907</v>
      </c>
      <c r="E5323" t="s">
        <v>18547</v>
      </c>
      <c r="F5323" t="s">
        <v>1926</v>
      </c>
      <c r="G5323" t="s">
        <v>18467</v>
      </c>
      <c r="H5323" t="s">
        <v>18548</v>
      </c>
      <c r="I5323" t="s">
        <v>18469</v>
      </c>
      <c r="J5323" t="s">
        <v>5381</v>
      </c>
      <c r="K5323" s="2" t="str">
        <f>HYPERLINK("http://collections.slsa.sa.gov.au/mpcimg/69750/B69725.htm")</f>
        <v>http://collections.slsa.sa.gov.au/mpcimg/69750/B69725.htm</v>
      </c>
    </row>
    <row r="5324" spans="1:11" x14ac:dyDescent="0.25">
      <c r="A5324" t="s">
        <v>18549</v>
      </c>
      <c r="B5324" s="1" t="str">
        <f>HYPERLINK("https://www.catalog.slsa.sa.gov.au/record=b2109344")</f>
        <v>https://www.catalog.slsa.sa.gov.au/record=b2109344</v>
      </c>
      <c r="C5324" s="1" t="str">
        <f>HYPERLINK("https://www.catalog.slsa.sa.gov.au/xrecord=b2109344")</f>
        <v>https://www.catalog.slsa.sa.gov.au/xrecord=b2109344</v>
      </c>
      <c r="E5324" t="s">
        <v>18550</v>
      </c>
      <c r="F5324" t="s">
        <v>1926</v>
      </c>
      <c r="G5324" t="s">
        <v>18551</v>
      </c>
      <c r="H5324" t="s">
        <v>18552</v>
      </c>
      <c r="I5324" t="s">
        <v>18553</v>
      </c>
      <c r="J5324" t="s">
        <v>14768</v>
      </c>
      <c r="K5324" s="2" t="str">
        <f>HYPERLINK("http://collections.slsa.sa.gov.au/mpcimg/70000/B69880.htm")</f>
        <v>http://collections.slsa.sa.gov.au/mpcimg/70000/B69880.htm</v>
      </c>
    </row>
    <row r="5325" spans="1:11" x14ac:dyDescent="0.25">
      <c r="A5325" t="s">
        <v>18554</v>
      </c>
      <c r="B5325" s="1" t="str">
        <f>HYPERLINK("https://www.catalog.slsa.sa.gov.au/record=b2109644")</f>
        <v>https://www.catalog.slsa.sa.gov.au/record=b2109644</v>
      </c>
      <c r="C5325" s="1" t="str">
        <f>HYPERLINK("https://www.catalog.slsa.sa.gov.au/xrecord=b2109644")</f>
        <v>https://www.catalog.slsa.sa.gov.au/xrecord=b2109644</v>
      </c>
      <c r="E5325" t="s">
        <v>18555</v>
      </c>
      <c r="F5325" t="s">
        <v>1926</v>
      </c>
      <c r="G5325" t="s">
        <v>18556</v>
      </c>
      <c r="H5325" t="s">
        <v>18557</v>
      </c>
      <c r="I5325" t="s">
        <v>18555</v>
      </c>
      <c r="J5325" t="s">
        <v>18558</v>
      </c>
      <c r="K5325" s="2" t="str">
        <f>HYPERLINK("http://collections.slsa.sa.gov.au/mpcimg/70000/B69986.htm")</f>
        <v>http://collections.slsa.sa.gov.au/mpcimg/70000/B69986.htm</v>
      </c>
    </row>
    <row r="5326" spans="1:11" x14ac:dyDescent="0.25">
      <c r="A5326" t="s">
        <v>18559</v>
      </c>
      <c r="B5326" s="1" t="str">
        <f>HYPERLINK("https://www.catalog.slsa.sa.gov.au/record=b2112580")</f>
        <v>https://www.catalog.slsa.sa.gov.au/record=b2112580</v>
      </c>
      <c r="C5326" s="1" t="str">
        <f>HYPERLINK("https://www.catalog.slsa.sa.gov.au/xrecord=b2112580")</f>
        <v>https://www.catalog.slsa.sa.gov.au/xrecord=b2112580</v>
      </c>
      <c r="E5326" t="s">
        <v>18560</v>
      </c>
      <c r="F5326" t="s">
        <v>1926</v>
      </c>
      <c r="G5326" t="s">
        <v>18561</v>
      </c>
      <c r="H5326" t="s">
        <v>18562</v>
      </c>
      <c r="I5326" t="s">
        <v>18563</v>
      </c>
      <c r="J5326" t="s">
        <v>1809</v>
      </c>
      <c r="K5326" s="2" t="str">
        <f>HYPERLINK("http://collections.slsa.sa.gov.au/mpcimg/70250/B70074.htm")</f>
        <v>http://collections.slsa.sa.gov.au/mpcimg/70250/B70074.htm</v>
      </c>
    </row>
    <row r="5327" spans="1:11" x14ac:dyDescent="0.25">
      <c r="A5327" t="s">
        <v>18564</v>
      </c>
      <c r="B5327" s="1" t="str">
        <f>HYPERLINK("https://www.catalog.slsa.sa.gov.au/record=b2113505")</f>
        <v>https://www.catalog.slsa.sa.gov.au/record=b2113505</v>
      </c>
      <c r="C5327" s="1" t="str">
        <f>HYPERLINK("https://www.catalog.slsa.sa.gov.au/xrecord=b2113505")</f>
        <v>https://www.catalog.slsa.sa.gov.au/xrecord=b2113505</v>
      </c>
      <c r="E5327" t="s">
        <v>18565</v>
      </c>
      <c r="F5327" t="s">
        <v>1926</v>
      </c>
      <c r="G5327" t="s">
        <v>18566</v>
      </c>
      <c r="H5327" t="s">
        <v>18567</v>
      </c>
      <c r="I5327" t="s">
        <v>18568</v>
      </c>
      <c r="J5327" t="s">
        <v>18569</v>
      </c>
      <c r="K5327" s="2" t="str">
        <f>HYPERLINK("http://collections.slsa.sa.gov.au/mpcimg/70250/B70091.htm")</f>
        <v>http://collections.slsa.sa.gov.au/mpcimg/70250/B70091.htm</v>
      </c>
    </row>
    <row r="5328" spans="1:11" x14ac:dyDescent="0.25">
      <c r="A5328" t="s">
        <v>18570</v>
      </c>
      <c r="B5328" s="1" t="str">
        <f>HYPERLINK("https://www.catalog.slsa.sa.gov.au/record=b2118142")</f>
        <v>https://www.catalog.slsa.sa.gov.au/record=b2118142</v>
      </c>
      <c r="C5328" s="1" t="str">
        <f>HYPERLINK("https://www.catalog.slsa.sa.gov.au/xrecord=b2118142")</f>
        <v>https://www.catalog.slsa.sa.gov.au/xrecord=b2118142</v>
      </c>
      <c r="E5328" t="s">
        <v>18571</v>
      </c>
      <c r="F5328" t="s">
        <v>1926</v>
      </c>
      <c r="G5328" t="s">
        <v>18378</v>
      </c>
      <c r="H5328" t="s">
        <v>18572</v>
      </c>
      <c r="I5328" t="s">
        <v>18573</v>
      </c>
      <c r="J5328" t="s">
        <v>2510</v>
      </c>
      <c r="K5328" s="2" t="str">
        <f>HYPERLINK("http://collections.slsa.sa.gov.au/mpcimg/70500/B70406.htm")</f>
        <v>http://collections.slsa.sa.gov.au/mpcimg/70500/B70406.htm</v>
      </c>
    </row>
    <row r="5329" spans="1:11" x14ac:dyDescent="0.25">
      <c r="A5329" t="s">
        <v>18574</v>
      </c>
      <c r="B5329" s="1" t="str">
        <f>HYPERLINK("https://www.catalog.slsa.sa.gov.au/record=b2118143")</f>
        <v>https://www.catalog.slsa.sa.gov.au/record=b2118143</v>
      </c>
      <c r="C5329" s="1" t="str">
        <f>HYPERLINK("https://www.catalog.slsa.sa.gov.au/xrecord=b2118143")</f>
        <v>https://www.catalog.slsa.sa.gov.au/xrecord=b2118143</v>
      </c>
      <c r="E5329" t="s">
        <v>18575</v>
      </c>
      <c r="F5329" t="s">
        <v>1926</v>
      </c>
      <c r="G5329" t="s">
        <v>18378</v>
      </c>
      <c r="H5329" t="s">
        <v>18576</v>
      </c>
      <c r="I5329" t="s">
        <v>18573</v>
      </c>
      <c r="J5329" t="s">
        <v>2510</v>
      </c>
      <c r="K5329" s="2" t="str">
        <f>HYPERLINK("http://collections.slsa.sa.gov.au/mpcimg/70500/B70407.htm")</f>
        <v>http://collections.slsa.sa.gov.au/mpcimg/70500/B70407.htm</v>
      </c>
    </row>
    <row r="5330" spans="1:11" x14ac:dyDescent="0.25">
      <c r="A5330" t="s">
        <v>18577</v>
      </c>
      <c r="B5330" s="1" t="str">
        <f>HYPERLINK("https://www.catalog.slsa.sa.gov.au/record=b2118144")</f>
        <v>https://www.catalog.slsa.sa.gov.au/record=b2118144</v>
      </c>
      <c r="C5330" s="1" t="str">
        <f>HYPERLINK("https://www.catalog.slsa.sa.gov.au/xrecord=b2118144")</f>
        <v>https://www.catalog.slsa.sa.gov.au/xrecord=b2118144</v>
      </c>
      <c r="E5330" t="s">
        <v>18578</v>
      </c>
      <c r="F5330" t="s">
        <v>1926</v>
      </c>
      <c r="G5330" t="s">
        <v>18579</v>
      </c>
      <c r="H5330" t="s">
        <v>18580</v>
      </c>
      <c r="I5330" t="s">
        <v>18581</v>
      </c>
      <c r="J5330" t="s">
        <v>18582</v>
      </c>
      <c r="K5330" s="2" t="str">
        <f>HYPERLINK("http://collections.slsa.sa.gov.au/mpcimg/70500/B70408.htm")</f>
        <v>http://collections.slsa.sa.gov.au/mpcimg/70500/B70408.htm</v>
      </c>
    </row>
    <row r="5331" spans="1:11" x14ac:dyDescent="0.25">
      <c r="A5331" t="s">
        <v>18583</v>
      </c>
      <c r="B5331" s="1" t="str">
        <f>HYPERLINK("https://www.catalog.slsa.sa.gov.au/record=b2118277")</f>
        <v>https://www.catalog.slsa.sa.gov.au/record=b2118277</v>
      </c>
      <c r="C5331" s="1" t="str">
        <f>HYPERLINK("https://www.catalog.slsa.sa.gov.au/xrecord=b2118277")</f>
        <v>https://www.catalog.slsa.sa.gov.au/xrecord=b2118277</v>
      </c>
      <c r="E5331" t="s">
        <v>18584</v>
      </c>
      <c r="F5331" t="s">
        <v>1926</v>
      </c>
      <c r="G5331" t="s">
        <v>18462</v>
      </c>
      <c r="H5331" t="s">
        <v>18585</v>
      </c>
      <c r="I5331" t="s">
        <v>18586</v>
      </c>
      <c r="J5331" t="s">
        <v>18587</v>
      </c>
      <c r="K5331" s="2" t="str">
        <f>HYPERLINK("http://collections.slsa.sa.gov.au/mpcimg/70500/B70444.htm")</f>
        <v>http://collections.slsa.sa.gov.au/mpcimg/70500/B70444.htm</v>
      </c>
    </row>
    <row r="5332" spans="1:11" x14ac:dyDescent="0.25">
      <c r="A5332" t="s">
        <v>18588</v>
      </c>
      <c r="B5332" s="1" t="str">
        <f>HYPERLINK("https://www.catalog.slsa.sa.gov.au/record=b2121346")</f>
        <v>https://www.catalog.slsa.sa.gov.au/record=b2121346</v>
      </c>
      <c r="C5332" s="1" t="str">
        <f>HYPERLINK("https://www.catalog.slsa.sa.gov.au/xrecord=b2121346")</f>
        <v>https://www.catalog.slsa.sa.gov.au/xrecord=b2121346</v>
      </c>
      <c r="E5332" t="s">
        <v>18589</v>
      </c>
      <c r="F5332" t="s">
        <v>1926</v>
      </c>
      <c r="G5332" t="s">
        <v>18590</v>
      </c>
      <c r="H5332" t="s">
        <v>18591</v>
      </c>
      <c r="I5332" t="s">
        <v>18592</v>
      </c>
      <c r="J5332" t="s">
        <v>2510</v>
      </c>
      <c r="K5332" s="2" t="str">
        <f>HYPERLINK("http://collections.slsa.sa.gov.au/mpcimg/70750/B70545.htm")</f>
        <v>http://collections.slsa.sa.gov.au/mpcimg/70750/B70545.htm</v>
      </c>
    </row>
    <row r="5333" spans="1:11" x14ac:dyDescent="0.25">
      <c r="A5333" t="s">
        <v>18593</v>
      </c>
      <c r="B5333" s="1" t="str">
        <f>HYPERLINK("https://www.catalog.slsa.sa.gov.au/record=b2124857")</f>
        <v>https://www.catalog.slsa.sa.gov.au/record=b2124857</v>
      </c>
      <c r="C5333" s="1" t="str">
        <f>HYPERLINK("https://www.catalog.slsa.sa.gov.au/xrecord=b2124857")</f>
        <v>https://www.catalog.slsa.sa.gov.au/xrecord=b2124857</v>
      </c>
      <c r="E5333" t="s">
        <v>18594</v>
      </c>
      <c r="F5333" t="s">
        <v>1926</v>
      </c>
      <c r="G5333" t="s">
        <v>18595</v>
      </c>
      <c r="H5333" t="s">
        <v>18596</v>
      </c>
      <c r="J5333" t="s">
        <v>18597</v>
      </c>
      <c r="K5333" s="2" t="str">
        <f>HYPERLINK("http://collections.slsa.sa.gov.au/mpcimg/69750/B69727_316.htm")</f>
        <v>http://collections.slsa.sa.gov.au/mpcimg/69750/B69727_316.htm</v>
      </c>
    </row>
    <row r="5334" spans="1:11" x14ac:dyDescent="0.25">
      <c r="A5334" t="s">
        <v>18598</v>
      </c>
      <c r="B5334" s="1" t="str">
        <f>HYPERLINK("https://www.catalog.slsa.sa.gov.au/record=b2124858")</f>
        <v>https://www.catalog.slsa.sa.gov.au/record=b2124858</v>
      </c>
      <c r="C5334" s="1" t="str">
        <f>HYPERLINK("https://www.catalog.slsa.sa.gov.au/xrecord=b2124858")</f>
        <v>https://www.catalog.slsa.sa.gov.au/xrecord=b2124858</v>
      </c>
      <c r="E5334" t="s">
        <v>18599</v>
      </c>
      <c r="F5334" t="s">
        <v>1926</v>
      </c>
      <c r="G5334" t="s">
        <v>18600</v>
      </c>
      <c r="H5334" t="s">
        <v>18601</v>
      </c>
      <c r="I5334" t="s">
        <v>5869</v>
      </c>
      <c r="J5334" t="s">
        <v>18597</v>
      </c>
      <c r="K5334" s="2" t="str">
        <f>HYPERLINK("http://collections.slsa.sa.gov.au/mpcimg/69750/B69727_317.htm")</f>
        <v>http://collections.slsa.sa.gov.au/mpcimg/69750/B69727_317.htm</v>
      </c>
    </row>
    <row r="5335" spans="1:11" x14ac:dyDescent="0.25">
      <c r="A5335" t="s">
        <v>18602</v>
      </c>
      <c r="B5335" s="1" t="str">
        <f>HYPERLINK("https://www.catalog.slsa.sa.gov.au/record=b2124859")</f>
        <v>https://www.catalog.slsa.sa.gov.au/record=b2124859</v>
      </c>
      <c r="C5335" s="1" t="str">
        <f>HYPERLINK("https://www.catalog.slsa.sa.gov.au/xrecord=b2124859")</f>
        <v>https://www.catalog.slsa.sa.gov.au/xrecord=b2124859</v>
      </c>
      <c r="E5335" t="s">
        <v>18599</v>
      </c>
      <c r="F5335" t="s">
        <v>1926</v>
      </c>
      <c r="G5335" t="s">
        <v>18600</v>
      </c>
      <c r="H5335" t="s">
        <v>18603</v>
      </c>
      <c r="I5335" t="s">
        <v>5869</v>
      </c>
      <c r="J5335" t="s">
        <v>18597</v>
      </c>
      <c r="K5335" s="2" t="str">
        <f>HYPERLINK("http://collections.slsa.sa.gov.au/mpcimg/69750/B69727_318.htm")</f>
        <v>http://collections.slsa.sa.gov.au/mpcimg/69750/B69727_318.htm</v>
      </c>
    </row>
    <row r="5336" spans="1:11" x14ac:dyDescent="0.25">
      <c r="A5336" t="s">
        <v>18604</v>
      </c>
      <c r="B5336" s="1" t="str">
        <f>HYPERLINK("https://www.catalog.slsa.sa.gov.au/record=b2124860")</f>
        <v>https://www.catalog.slsa.sa.gov.au/record=b2124860</v>
      </c>
      <c r="C5336" s="1" t="str">
        <f>HYPERLINK("https://www.catalog.slsa.sa.gov.au/xrecord=b2124860")</f>
        <v>https://www.catalog.slsa.sa.gov.au/xrecord=b2124860</v>
      </c>
      <c r="E5336" t="s">
        <v>18605</v>
      </c>
      <c r="F5336" t="s">
        <v>1926</v>
      </c>
      <c r="G5336" t="s">
        <v>18606</v>
      </c>
      <c r="H5336" t="s">
        <v>18607</v>
      </c>
      <c r="I5336" t="s">
        <v>5869</v>
      </c>
      <c r="J5336" t="s">
        <v>18597</v>
      </c>
      <c r="K5336" s="2" t="str">
        <f>HYPERLINK("http://collections.slsa.sa.gov.au/mpcimg/69750/B69727_319.htm")</f>
        <v>http://collections.slsa.sa.gov.au/mpcimg/69750/B69727_319.htm</v>
      </c>
    </row>
    <row r="5337" spans="1:11" x14ac:dyDescent="0.25">
      <c r="A5337" t="s">
        <v>18608</v>
      </c>
      <c r="B5337" s="1" t="str">
        <f>HYPERLINK("https://www.catalog.slsa.sa.gov.au/record=b2124863")</f>
        <v>https://www.catalog.slsa.sa.gov.au/record=b2124863</v>
      </c>
      <c r="C5337" s="1" t="str">
        <f>HYPERLINK("https://www.catalog.slsa.sa.gov.au/xrecord=b2124863")</f>
        <v>https://www.catalog.slsa.sa.gov.au/xrecord=b2124863</v>
      </c>
      <c r="E5337" t="s">
        <v>18609</v>
      </c>
      <c r="F5337" t="s">
        <v>1926</v>
      </c>
      <c r="G5337" t="s">
        <v>18610</v>
      </c>
      <c r="H5337" t="s">
        <v>18611</v>
      </c>
      <c r="I5337" t="s">
        <v>18612</v>
      </c>
      <c r="J5337" t="s">
        <v>18597</v>
      </c>
      <c r="K5337" s="2" t="str">
        <f>HYPERLINK("http://collections.slsa.sa.gov.au/mpcimg/69750/B69727_322.htm")</f>
        <v>http://collections.slsa.sa.gov.au/mpcimg/69750/B69727_322.htm</v>
      </c>
    </row>
    <row r="5338" spans="1:11" x14ac:dyDescent="0.25">
      <c r="A5338" t="s">
        <v>18613</v>
      </c>
      <c r="B5338" s="1" t="str">
        <f>HYPERLINK("https://www.catalog.slsa.sa.gov.au/record=b2124864")</f>
        <v>https://www.catalog.slsa.sa.gov.au/record=b2124864</v>
      </c>
      <c r="C5338" s="1" t="str">
        <f>HYPERLINK("https://www.catalog.slsa.sa.gov.au/xrecord=b2124864")</f>
        <v>https://www.catalog.slsa.sa.gov.au/xrecord=b2124864</v>
      </c>
      <c r="E5338" t="s">
        <v>18614</v>
      </c>
      <c r="F5338" t="s">
        <v>1926</v>
      </c>
      <c r="G5338" t="s">
        <v>18615</v>
      </c>
      <c r="H5338" t="s">
        <v>18616</v>
      </c>
      <c r="J5338" t="s">
        <v>18597</v>
      </c>
      <c r="K5338" s="2" t="str">
        <f>HYPERLINK("http://collections.slsa.sa.gov.au/mpcimg/69750/B69727_323.htm")</f>
        <v>http://collections.slsa.sa.gov.au/mpcimg/69750/B69727_323.htm</v>
      </c>
    </row>
    <row r="5339" spans="1:11" x14ac:dyDescent="0.25">
      <c r="A5339" t="s">
        <v>18617</v>
      </c>
      <c r="B5339" s="1" t="str">
        <f>HYPERLINK("https://www.catalog.slsa.sa.gov.au/record=b2125826")</f>
        <v>https://www.catalog.slsa.sa.gov.au/record=b2125826</v>
      </c>
      <c r="C5339" s="1" t="str">
        <f>HYPERLINK("https://www.catalog.slsa.sa.gov.au/xrecord=b2125826")</f>
        <v>https://www.catalog.slsa.sa.gov.au/xrecord=b2125826</v>
      </c>
      <c r="E5339" t="s">
        <v>18618</v>
      </c>
      <c r="F5339" t="s">
        <v>1926</v>
      </c>
      <c r="G5339" t="s">
        <v>18619</v>
      </c>
      <c r="H5339" t="s">
        <v>18620</v>
      </c>
      <c r="I5339" t="s">
        <v>18621</v>
      </c>
      <c r="J5339" t="s">
        <v>14768</v>
      </c>
      <c r="K5339" s="2" t="str">
        <f>HYPERLINK("http://collections.slsa.sa.gov.au/mpcimg/70750/B70698_18.htm")</f>
        <v>http://collections.slsa.sa.gov.au/mpcimg/70750/B70698_18.htm</v>
      </c>
    </row>
    <row r="5340" spans="1:11" x14ac:dyDescent="0.25">
      <c r="A5340" t="s">
        <v>18622</v>
      </c>
      <c r="B5340" s="1" t="str">
        <f>HYPERLINK("https://www.catalog.slsa.sa.gov.au/record=b2125827")</f>
        <v>https://www.catalog.slsa.sa.gov.au/record=b2125827</v>
      </c>
      <c r="C5340" s="1" t="str">
        <f>HYPERLINK("https://www.catalog.slsa.sa.gov.au/xrecord=b2125827")</f>
        <v>https://www.catalog.slsa.sa.gov.au/xrecord=b2125827</v>
      </c>
      <c r="E5340" t="s">
        <v>18623</v>
      </c>
      <c r="F5340" t="s">
        <v>1926</v>
      </c>
      <c r="G5340" t="s">
        <v>18624</v>
      </c>
      <c r="H5340" t="s">
        <v>18625</v>
      </c>
      <c r="I5340" t="s">
        <v>18626</v>
      </c>
      <c r="J5340" t="s">
        <v>14768</v>
      </c>
      <c r="K5340" s="2" t="str">
        <f>HYPERLINK("http://collections.slsa.sa.gov.au/mpcimg/70750/B70698_19.htm")</f>
        <v>http://collections.slsa.sa.gov.au/mpcimg/70750/B70698_19.htm</v>
      </c>
    </row>
    <row r="5341" spans="1:11" x14ac:dyDescent="0.25">
      <c r="A5341" t="s">
        <v>18627</v>
      </c>
      <c r="B5341" s="1" t="str">
        <f>HYPERLINK("https://www.catalog.slsa.sa.gov.au/record=b2125828")</f>
        <v>https://www.catalog.slsa.sa.gov.au/record=b2125828</v>
      </c>
      <c r="C5341" s="1" t="str">
        <f>HYPERLINK("https://www.catalog.slsa.sa.gov.au/xrecord=b2125828")</f>
        <v>https://www.catalog.slsa.sa.gov.au/xrecord=b2125828</v>
      </c>
      <c r="E5341" t="s">
        <v>18623</v>
      </c>
      <c r="F5341" t="s">
        <v>1926</v>
      </c>
      <c r="G5341" t="s">
        <v>18624</v>
      </c>
      <c r="H5341" t="s">
        <v>18628</v>
      </c>
      <c r="I5341" t="s">
        <v>18626</v>
      </c>
      <c r="J5341" t="s">
        <v>14768</v>
      </c>
      <c r="K5341" s="2" t="str">
        <f>HYPERLINK("http://collections.slsa.sa.gov.au/mpcimg/70750/B70698_20.htm")</f>
        <v>http://collections.slsa.sa.gov.au/mpcimg/70750/B70698_20.htm</v>
      </c>
    </row>
    <row r="5342" spans="1:11" x14ac:dyDescent="0.25">
      <c r="A5342" t="s">
        <v>18629</v>
      </c>
      <c r="B5342" s="1" t="str">
        <f>HYPERLINK("https://www.catalog.slsa.sa.gov.au/record=b2125829")</f>
        <v>https://www.catalog.slsa.sa.gov.au/record=b2125829</v>
      </c>
      <c r="C5342" s="1" t="str">
        <f>HYPERLINK("https://www.catalog.slsa.sa.gov.au/xrecord=b2125829")</f>
        <v>https://www.catalog.slsa.sa.gov.au/xrecord=b2125829</v>
      </c>
      <c r="E5342" t="s">
        <v>18630</v>
      </c>
      <c r="F5342" t="s">
        <v>1926</v>
      </c>
      <c r="G5342" t="s">
        <v>18624</v>
      </c>
      <c r="H5342" t="s">
        <v>18631</v>
      </c>
      <c r="I5342" t="s">
        <v>18626</v>
      </c>
      <c r="J5342" t="s">
        <v>14768</v>
      </c>
      <c r="K5342" s="2" t="str">
        <f>HYPERLINK("http://collections.slsa.sa.gov.au/mpcimg/70750/B70698_21.htm")</f>
        <v>http://collections.slsa.sa.gov.au/mpcimg/70750/B70698_21.htm</v>
      </c>
    </row>
    <row r="5343" spans="1:11" x14ac:dyDescent="0.25">
      <c r="A5343" t="s">
        <v>18632</v>
      </c>
      <c r="B5343" s="1" t="str">
        <f>HYPERLINK("https://www.catalog.slsa.sa.gov.au/record=b2125830")</f>
        <v>https://www.catalog.slsa.sa.gov.au/record=b2125830</v>
      </c>
      <c r="C5343" s="1" t="str">
        <f>HYPERLINK("https://www.catalog.slsa.sa.gov.au/xrecord=b2125830")</f>
        <v>https://www.catalog.slsa.sa.gov.au/xrecord=b2125830</v>
      </c>
      <c r="E5343" t="s">
        <v>18633</v>
      </c>
      <c r="F5343" t="s">
        <v>1926</v>
      </c>
      <c r="G5343" t="s">
        <v>18619</v>
      </c>
      <c r="H5343" t="s">
        <v>18634</v>
      </c>
      <c r="I5343" t="s">
        <v>18635</v>
      </c>
      <c r="J5343" t="s">
        <v>14768</v>
      </c>
      <c r="K5343" s="2" t="str">
        <f>HYPERLINK("http://collections.slsa.sa.gov.au/mpcimg/70750/B70698_22.htm")</f>
        <v>http://collections.slsa.sa.gov.au/mpcimg/70750/B70698_22.htm</v>
      </c>
    </row>
    <row r="5344" spans="1:11" x14ac:dyDescent="0.25">
      <c r="A5344" t="s">
        <v>18636</v>
      </c>
      <c r="B5344" s="1" t="str">
        <f>HYPERLINK("https://www.catalog.slsa.sa.gov.au/record=b2125831")</f>
        <v>https://www.catalog.slsa.sa.gov.au/record=b2125831</v>
      </c>
      <c r="C5344" s="1" t="str">
        <f>HYPERLINK("https://www.catalog.slsa.sa.gov.au/xrecord=b2125831")</f>
        <v>https://www.catalog.slsa.sa.gov.au/xrecord=b2125831</v>
      </c>
      <c r="E5344" t="s">
        <v>18637</v>
      </c>
      <c r="F5344" t="s">
        <v>1926</v>
      </c>
      <c r="G5344" t="s">
        <v>18624</v>
      </c>
      <c r="H5344" t="s">
        <v>18638</v>
      </c>
      <c r="I5344" t="s">
        <v>18626</v>
      </c>
      <c r="J5344" t="s">
        <v>14768</v>
      </c>
      <c r="K5344" s="2" t="str">
        <f>HYPERLINK("http://collections.slsa.sa.gov.au/mpcimg/70750/B70698_23.htm")</f>
        <v>http://collections.slsa.sa.gov.au/mpcimg/70750/B70698_23.htm</v>
      </c>
    </row>
    <row r="5345" spans="1:11" x14ac:dyDescent="0.25">
      <c r="A5345" t="s">
        <v>18639</v>
      </c>
      <c r="B5345" s="1" t="str">
        <f>HYPERLINK("https://www.catalog.slsa.sa.gov.au/record=b2125840")</f>
        <v>https://www.catalog.slsa.sa.gov.au/record=b2125840</v>
      </c>
      <c r="C5345" s="1" t="str">
        <f>HYPERLINK("https://www.catalog.slsa.sa.gov.au/xrecord=b2125840")</f>
        <v>https://www.catalog.slsa.sa.gov.au/xrecord=b2125840</v>
      </c>
      <c r="E5345" t="s">
        <v>18640</v>
      </c>
      <c r="F5345" t="s">
        <v>1926</v>
      </c>
      <c r="G5345" t="s">
        <v>18624</v>
      </c>
      <c r="H5345" t="s">
        <v>18641</v>
      </c>
      <c r="I5345" t="s">
        <v>18626</v>
      </c>
      <c r="J5345" t="s">
        <v>14768</v>
      </c>
      <c r="K5345" s="2" t="str">
        <f>HYPERLINK("http://collections.slsa.sa.gov.au/mpcimg/70750/B70698_31.htm")</f>
        <v>http://collections.slsa.sa.gov.au/mpcimg/70750/B70698_31.htm</v>
      </c>
    </row>
    <row r="5346" spans="1:11" x14ac:dyDescent="0.25">
      <c r="A5346" t="s">
        <v>18642</v>
      </c>
      <c r="B5346" s="1" t="str">
        <f>HYPERLINK("https://www.catalog.slsa.sa.gov.au/record=b2125841")</f>
        <v>https://www.catalog.slsa.sa.gov.au/record=b2125841</v>
      </c>
      <c r="C5346" s="1" t="str">
        <f>HYPERLINK("https://www.catalog.slsa.sa.gov.au/xrecord=b2125841")</f>
        <v>https://www.catalog.slsa.sa.gov.au/xrecord=b2125841</v>
      </c>
      <c r="E5346" t="s">
        <v>18643</v>
      </c>
      <c r="F5346" t="s">
        <v>1926</v>
      </c>
      <c r="G5346" t="s">
        <v>18624</v>
      </c>
      <c r="H5346" t="s">
        <v>18644</v>
      </c>
      <c r="I5346" t="s">
        <v>18626</v>
      </c>
      <c r="J5346" t="s">
        <v>14768</v>
      </c>
      <c r="K5346" s="2" t="str">
        <f>HYPERLINK("http://collections.slsa.sa.gov.au/mpcimg/70750/B70698_32.htm")</f>
        <v>http://collections.slsa.sa.gov.au/mpcimg/70750/B70698_32.htm</v>
      </c>
    </row>
    <row r="5347" spans="1:11" x14ac:dyDescent="0.25">
      <c r="A5347" t="s">
        <v>18645</v>
      </c>
      <c r="B5347" s="1" t="str">
        <f>HYPERLINK("https://www.catalog.slsa.sa.gov.au/record=b2127039")</f>
        <v>https://www.catalog.slsa.sa.gov.au/record=b2127039</v>
      </c>
      <c r="C5347" s="1" t="str">
        <f>HYPERLINK("https://www.catalog.slsa.sa.gov.au/xrecord=b2127039")</f>
        <v>https://www.catalog.slsa.sa.gov.au/xrecord=b2127039</v>
      </c>
      <c r="E5347" t="s">
        <v>18646</v>
      </c>
      <c r="F5347" t="s">
        <v>1926</v>
      </c>
      <c r="G5347" t="s">
        <v>18647</v>
      </c>
      <c r="H5347" t="s">
        <v>18648</v>
      </c>
      <c r="I5347" t="s">
        <v>18649</v>
      </c>
      <c r="J5347" t="s">
        <v>18650</v>
      </c>
      <c r="K5347" s="2" t="str">
        <f>HYPERLINK("http://collections.slsa.sa.gov.au/mpcimg/71000/B70845.htm")</f>
        <v>http://collections.slsa.sa.gov.au/mpcimg/71000/B70845.htm</v>
      </c>
    </row>
    <row r="5348" spans="1:11" x14ac:dyDescent="0.25">
      <c r="A5348" t="s">
        <v>18651</v>
      </c>
      <c r="B5348" s="1" t="str">
        <f>HYPERLINK("https://www.catalog.slsa.sa.gov.au/record=b2127061")</f>
        <v>https://www.catalog.slsa.sa.gov.au/record=b2127061</v>
      </c>
      <c r="C5348" s="1" t="str">
        <f>HYPERLINK("https://www.catalog.slsa.sa.gov.au/xrecord=b2127061")</f>
        <v>https://www.catalog.slsa.sa.gov.au/xrecord=b2127061</v>
      </c>
      <c r="E5348" t="s">
        <v>18652</v>
      </c>
      <c r="F5348" t="s">
        <v>1926</v>
      </c>
      <c r="G5348" t="s">
        <v>18653</v>
      </c>
      <c r="H5348" t="s">
        <v>18654</v>
      </c>
      <c r="I5348" t="s">
        <v>18655</v>
      </c>
      <c r="J5348" t="s">
        <v>18656</v>
      </c>
      <c r="K5348" s="2" t="str">
        <f>HYPERLINK("http://collections.slsa.sa.gov.au/mpcimg/71000/B70859_1.htm")</f>
        <v>http://collections.slsa.sa.gov.au/mpcimg/71000/B70859_1.htm</v>
      </c>
    </row>
    <row r="5349" spans="1:11" x14ac:dyDescent="0.25">
      <c r="A5349" t="s">
        <v>18657</v>
      </c>
      <c r="B5349" s="1" t="str">
        <f>HYPERLINK("https://www.catalog.slsa.sa.gov.au/record=b2127062")</f>
        <v>https://www.catalog.slsa.sa.gov.au/record=b2127062</v>
      </c>
      <c r="C5349" s="1" t="str">
        <f>HYPERLINK("https://www.catalog.slsa.sa.gov.au/xrecord=b2127062")</f>
        <v>https://www.catalog.slsa.sa.gov.au/xrecord=b2127062</v>
      </c>
      <c r="E5349" t="s">
        <v>18652</v>
      </c>
      <c r="F5349" t="s">
        <v>1926</v>
      </c>
      <c r="G5349" t="s">
        <v>18653</v>
      </c>
      <c r="H5349" t="s">
        <v>18658</v>
      </c>
      <c r="I5349" t="s">
        <v>18655</v>
      </c>
      <c r="J5349" t="s">
        <v>18656</v>
      </c>
      <c r="K5349" s="2" t="str">
        <f>HYPERLINK("http://collections.slsa.sa.gov.au/mpcimg/71000/B70859_2.htm")</f>
        <v>http://collections.slsa.sa.gov.au/mpcimg/71000/B70859_2.htm</v>
      </c>
    </row>
    <row r="5350" spans="1:11" x14ac:dyDescent="0.25">
      <c r="A5350" t="s">
        <v>18659</v>
      </c>
      <c r="B5350" s="1" t="str">
        <f>HYPERLINK("https://www.catalog.slsa.sa.gov.au/record=b2127063")</f>
        <v>https://www.catalog.slsa.sa.gov.au/record=b2127063</v>
      </c>
      <c r="C5350" s="1" t="str">
        <f>HYPERLINK("https://www.catalog.slsa.sa.gov.au/xrecord=b2127063")</f>
        <v>https://www.catalog.slsa.sa.gov.au/xrecord=b2127063</v>
      </c>
      <c r="E5350" t="s">
        <v>18652</v>
      </c>
      <c r="F5350" t="s">
        <v>1926</v>
      </c>
      <c r="G5350" t="s">
        <v>18653</v>
      </c>
      <c r="H5350" t="s">
        <v>18660</v>
      </c>
      <c r="I5350" t="s">
        <v>18655</v>
      </c>
      <c r="J5350" t="s">
        <v>18656</v>
      </c>
      <c r="K5350" s="2" t="str">
        <f>HYPERLINK("http://collections.slsa.sa.gov.au/mpcimg/71000/B70859_3.htm")</f>
        <v>http://collections.slsa.sa.gov.au/mpcimg/71000/B70859_3.htm</v>
      </c>
    </row>
    <row r="5351" spans="1:11" x14ac:dyDescent="0.25">
      <c r="A5351" t="s">
        <v>18661</v>
      </c>
      <c r="B5351" s="1" t="str">
        <f>HYPERLINK("https://www.catalog.slsa.sa.gov.au/record=b2310580")</f>
        <v>https://www.catalog.slsa.sa.gov.au/record=b2310580</v>
      </c>
      <c r="C5351" s="1" t="str">
        <f>HYPERLINK("https://www.catalog.slsa.sa.gov.au/xrecord=b2310580")</f>
        <v>https://www.catalog.slsa.sa.gov.au/xrecord=b2310580</v>
      </c>
      <c r="E5351" t="s">
        <v>18662</v>
      </c>
      <c r="F5351" t="s">
        <v>1926</v>
      </c>
      <c r="G5351" t="s">
        <v>18663</v>
      </c>
      <c r="H5351" t="s">
        <v>18664</v>
      </c>
      <c r="I5351" t="s">
        <v>18665</v>
      </c>
      <c r="J5351" t="s">
        <v>5399</v>
      </c>
      <c r="K5351" s="2" t="str">
        <f>HYPERLINK("http://collections.slsa.sa.gov.au/mpcimg/61000/B60894.htm")</f>
        <v>http://collections.slsa.sa.gov.au/mpcimg/61000/B60894.htm</v>
      </c>
    </row>
    <row r="5352" spans="1:11" x14ac:dyDescent="0.25">
      <c r="A5352" t="s">
        <v>18666</v>
      </c>
      <c r="B5352" s="1" t="str">
        <f>HYPERLINK("https://www.catalog.slsa.sa.gov.au/record=b2310581")</f>
        <v>https://www.catalog.slsa.sa.gov.au/record=b2310581</v>
      </c>
      <c r="C5352" s="1" t="str">
        <f>HYPERLINK("https://www.catalog.slsa.sa.gov.au/xrecord=b2310581")</f>
        <v>https://www.catalog.slsa.sa.gov.au/xrecord=b2310581</v>
      </c>
      <c r="E5352" t="s">
        <v>18667</v>
      </c>
      <c r="F5352" t="s">
        <v>1926</v>
      </c>
      <c r="G5352" t="s">
        <v>18663</v>
      </c>
      <c r="H5352" t="s">
        <v>18668</v>
      </c>
      <c r="I5352" t="s">
        <v>17641</v>
      </c>
      <c r="J5352" t="s">
        <v>5399</v>
      </c>
      <c r="K5352" s="2" t="str">
        <f>HYPERLINK("http://collections.slsa.sa.gov.au/mpcimg/61000/B60895.htm")</f>
        <v>http://collections.slsa.sa.gov.au/mpcimg/61000/B60895.htm</v>
      </c>
    </row>
    <row r="5353" spans="1:11" x14ac:dyDescent="0.25">
      <c r="A5353" t="s">
        <v>18669</v>
      </c>
      <c r="B5353" s="1" t="str">
        <f>HYPERLINK("https://www.catalog.slsa.sa.gov.au/record=b2310582")</f>
        <v>https://www.catalog.slsa.sa.gov.au/record=b2310582</v>
      </c>
      <c r="C5353" s="1" t="str">
        <f>HYPERLINK("https://www.catalog.slsa.sa.gov.au/xrecord=b2310582")</f>
        <v>https://www.catalog.slsa.sa.gov.au/xrecord=b2310582</v>
      </c>
      <c r="E5353" t="s">
        <v>18670</v>
      </c>
      <c r="F5353" t="s">
        <v>1926</v>
      </c>
      <c r="G5353" t="s">
        <v>18663</v>
      </c>
      <c r="H5353" t="s">
        <v>18671</v>
      </c>
      <c r="I5353" t="s">
        <v>18672</v>
      </c>
      <c r="J5353" t="s">
        <v>5399</v>
      </c>
      <c r="K5353" s="2" t="str">
        <f>HYPERLINK("http://collections.slsa.sa.gov.au/mpcimg/61000/B60896.htm")</f>
        <v>http://collections.slsa.sa.gov.au/mpcimg/61000/B60896.htm</v>
      </c>
    </row>
    <row r="5354" spans="1:11" x14ac:dyDescent="0.25">
      <c r="A5354" t="s">
        <v>18673</v>
      </c>
      <c r="B5354" s="1" t="str">
        <f>HYPERLINK("https://www.catalog.slsa.sa.gov.au/record=b2310583")</f>
        <v>https://www.catalog.slsa.sa.gov.au/record=b2310583</v>
      </c>
      <c r="C5354" s="1" t="str">
        <f>HYPERLINK("https://www.catalog.slsa.sa.gov.au/xrecord=b2310583")</f>
        <v>https://www.catalog.slsa.sa.gov.au/xrecord=b2310583</v>
      </c>
      <c r="E5354" t="s">
        <v>18674</v>
      </c>
      <c r="F5354" t="s">
        <v>1926</v>
      </c>
      <c r="G5354" t="s">
        <v>18663</v>
      </c>
      <c r="H5354" t="s">
        <v>18675</v>
      </c>
      <c r="I5354" t="s">
        <v>17641</v>
      </c>
      <c r="J5354" t="s">
        <v>5399</v>
      </c>
      <c r="K5354" s="2" t="str">
        <f>HYPERLINK("http://collections.slsa.sa.gov.au/mpcimg/61000/B60897.htm")</f>
        <v>http://collections.slsa.sa.gov.au/mpcimg/61000/B60897.htm</v>
      </c>
    </row>
    <row r="5355" spans="1:11" x14ac:dyDescent="0.25">
      <c r="A5355" t="s">
        <v>18676</v>
      </c>
      <c r="B5355" s="1" t="str">
        <f>HYPERLINK("https://www.catalog.slsa.sa.gov.au/record=b2310585")</f>
        <v>https://www.catalog.slsa.sa.gov.au/record=b2310585</v>
      </c>
      <c r="C5355" s="1" t="str">
        <f>HYPERLINK("https://www.catalog.slsa.sa.gov.au/xrecord=b2310585")</f>
        <v>https://www.catalog.slsa.sa.gov.au/xrecord=b2310585</v>
      </c>
      <c r="E5355" t="s">
        <v>18677</v>
      </c>
      <c r="F5355" t="s">
        <v>1926</v>
      </c>
      <c r="G5355" t="s">
        <v>18663</v>
      </c>
      <c r="H5355" t="s">
        <v>18678</v>
      </c>
      <c r="I5355" t="s">
        <v>17641</v>
      </c>
      <c r="J5355" t="s">
        <v>5399</v>
      </c>
      <c r="K5355" s="2" t="str">
        <f>HYPERLINK("http://collections.slsa.sa.gov.au/mpcimg/61000/B60898.htm")</f>
        <v>http://collections.slsa.sa.gov.au/mpcimg/61000/B60898.htm</v>
      </c>
    </row>
    <row r="5356" spans="1:11" x14ac:dyDescent="0.25">
      <c r="A5356" t="s">
        <v>18679</v>
      </c>
      <c r="B5356" s="1" t="str">
        <f>HYPERLINK("https://www.catalog.slsa.sa.gov.au/record=b2310588")</f>
        <v>https://www.catalog.slsa.sa.gov.au/record=b2310588</v>
      </c>
      <c r="C5356" s="1" t="str">
        <f>HYPERLINK("https://www.catalog.slsa.sa.gov.au/xrecord=b2310588")</f>
        <v>https://www.catalog.slsa.sa.gov.au/xrecord=b2310588</v>
      </c>
      <c r="E5356" t="s">
        <v>18680</v>
      </c>
      <c r="F5356" t="s">
        <v>1926</v>
      </c>
      <c r="G5356" t="s">
        <v>18663</v>
      </c>
      <c r="H5356" t="s">
        <v>18681</v>
      </c>
      <c r="I5356" t="s">
        <v>17641</v>
      </c>
      <c r="J5356" t="s">
        <v>5399</v>
      </c>
      <c r="K5356" s="2" t="str">
        <f>HYPERLINK("http://collections.slsa.sa.gov.au/mpcimg/61000/B60899.htm")</f>
        <v>http://collections.slsa.sa.gov.au/mpcimg/61000/B60899.htm</v>
      </c>
    </row>
    <row r="5357" spans="1:11" x14ac:dyDescent="0.25">
      <c r="A5357" t="s">
        <v>18682</v>
      </c>
      <c r="B5357" s="1" t="str">
        <f>HYPERLINK("https://www.catalog.slsa.sa.gov.au/record=b2310589")</f>
        <v>https://www.catalog.slsa.sa.gov.au/record=b2310589</v>
      </c>
      <c r="C5357" s="1" t="str">
        <f>HYPERLINK("https://www.catalog.slsa.sa.gov.au/xrecord=b2310589")</f>
        <v>https://www.catalog.slsa.sa.gov.au/xrecord=b2310589</v>
      </c>
      <c r="E5357" t="s">
        <v>18683</v>
      </c>
      <c r="F5357" t="s">
        <v>1926</v>
      </c>
      <c r="G5357" t="s">
        <v>18663</v>
      </c>
      <c r="H5357" t="s">
        <v>18684</v>
      </c>
      <c r="I5357" t="s">
        <v>17641</v>
      </c>
      <c r="J5357" t="s">
        <v>5399</v>
      </c>
      <c r="K5357" s="2" t="str">
        <f>HYPERLINK("http://collections.slsa.sa.gov.au/mpcimg/61000/B60902.htm")</f>
        <v>http://collections.slsa.sa.gov.au/mpcimg/61000/B60902.htm</v>
      </c>
    </row>
    <row r="5358" spans="1:11" x14ac:dyDescent="0.25">
      <c r="A5358" t="s">
        <v>18685</v>
      </c>
      <c r="B5358" s="1" t="str">
        <f>HYPERLINK("https://www.catalog.slsa.sa.gov.au/record=b2310643")</f>
        <v>https://www.catalog.slsa.sa.gov.au/record=b2310643</v>
      </c>
      <c r="C5358" s="1" t="str">
        <f>HYPERLINK("https://www.catalog.slsa.sa.gov.au/xrecord=b2310643")</f>
        <v>https://www.catalog.slsa.sa.gov.au/xrecord=b2310643</v>
      </c>
      <c r="E5358" t="s">
        <v>18686</v>
      </c>
      <c r="F5358" t="s">
        <v>1926</v>
      </c>
      <c r="G5358" t="s">
        <v>18663</v>
      </c>
      <c r="H5358" t="s">
        <v>18687</v>
      </c>
      <c r="I5358" t="s">
        <v>17641</v>
      </c>
      <c r="J5358" t="s">
        <v>5399</v>
      </c>
      <c r="K5358" s="2" t="str">
        <f>HYPERLINK("http://collections.slsa.sa.gov.au/mpcimg/61000/B60900.htm")</f>
        <v>http://collections.slsa.sa.gov.au/mpcimg/61000/B60900.htm</v>
      </c>
    </row>
    <row r="5359" spans="1:11" x14ac:dyDescent="0.25">
      <c r="A5359" t="s">
        <v>18688</v>
      </c>
      <c r="B5359" s="1" t="str">
        <f>HYPERLINK("https://www.catalog.slsa.sa.gov.au/record=b2310645")</f>
        <v>https://www.catalog.slsa.sa.gov.au/record=b2310645</v>
      </c>
      <c r="C5359" s="1" t="str">
        <f>HYPERLINK("https://www.catalog.slsa.sa.gov.au/xrecord=b2310645")</f>
        <v>https://www.catalog.slsa.sa.gov.au/xrecord=b2310645</v>
      </c>
      <c r="E5359" t="s">
        <v>18686</v>
      </c>
      <c r="F5359" t="s">
        <v>1926</v>
      </c>
      <c r="G5359" t="s">
        <v>18663</v>
      </c>
      <c r="H5359" t="s">
        <v>18689</v>
      </c>
      <c r="I5359" t="s">
        <v>17641</v>
      </c>
      <c r="J5359" t="s">
        <v>5399</v>
      </c>
      <c r="K5359" s="2" t="str">
        <f>HYPERLINK("http://collections.slsa.sa.gov.au/mpcimg/61000/B60901.htm")</f>
        <v>http://collections.slsa.sa.gov.au/mpcimg/61000/B60901.htm</v>
      </c>
    </row>
    <row r="5360" spans="1:11" x14ac:dyDescent="0.25">
      <c r="A5360" t="s">
        <v>18690</v>
      </c>
      <c r="B5360" s="1" t="str">
        <f>HYPERLINK("https://www.catalog.slsa.sa.gov.au/record=b2379792")</f>
        <v>https://www.catalog.slsa.sa.gov.au/record=b2379792</v>
      </c>
      <c r="C5360" s="1" t="str">
        <f>HYPERLINK("https://www.catalog.slsa.sa.gov.au/xrecord=b2379792")</f>
        <v>https://www.catalog.slsa.sa.gov.au/xrecord=b2379792</v>
      </c>
      <c r="D5360" t="s">
        <v>18691</v>
      </c>
      <c r="E5360" t="s">
        <v>18692</v>
      </c>
      <c r="F5360" t="s">
        <v>1926</v>
      </c>
      <c r="G5360" t="s">
        <v>7567</v>
      </c>
      <c r="H5360" t="s">
        <v>18693</v>
      </c>
      <c r="I5360" t="s">
        <v>18694</v>
      </c>
      <c r="J5360" t="s">
        <v>18695</v>
      </c>
      <c r="K5360" s="2" t="str">
        <f>HYPERLINK("http://collections.slsa.sa.gov.au/mpcimg/71750/B71706.htm")</f>
        <v>http://collections.slsa.sa.gov.au/mpcimg/71750/B71706.htm</v>
      </c>
    </row>
    <row r="5361" spans="1:11" x14ac:dyDescent="0.25">
      <c r="A5361" t="s">
        <v>18696</v>
      </c>
      <c r="B5361" s="1" t="str">
        <f>HYPERLINK("https://www.catalog.slsa.sa.gov.au/record=b2508355")</f>
        <v>https://www.catalog.slsa.sa.gov.au/record=b2508355</v>
      </c>
      <c r="C5361" s="1" t="str">
        <f>HYPERLINK("https://www.catalog.slsa.sa.gov.au/xrecord=b2508355")</f>
        <v>https://www.catalog.slsa.sa.gov.au/xrecord=b2508355</v>
      </c>
      <c r="E5361" t="s">
        <v>18697</v>
      </c>
      <c r="F5361" t="s">
        <v>1926</v>
      </c>
      <c r="G5361" t="s">
        <v>18698</v>
      </c>
      <c r="H5361" t="s">
        <v>18699</v>
      </c>
      <c r="I5361" t="s">
        <v>18700</v>
      </c>
      <c r="J5361" t="s">
        <v>2510</v>
      </c>
      <c r="K5361" s="2" t="str">
        <f>HYPERLINK("http://collections.slsa.sa.gov.au/mpcimg/67250/B67078.htm")</f>
        <v>http://collections.slsa.sa.gov.au/mpcimg/67250/B67078.htm</v>
      </c>
    </row>
    <row r="5362" spans="1:11" x14ac:dyDescent="0.25">
      <c r="A5362" t="s">
        <v>18701</v>
      </c>
      <c r="B5362" s="1" t="str">
        <f>HYPERLINK("https://www.catalog.slsa.sa.gov.au/record=b2508358")</f>
        <v>https://www.catalog.slsa.sa.gov.au/record=b2508358</v>
      </c>
      <c r="C5362" s="1" t="str">
        <f>HYPERLINK("https://www.catalog.slsa.sa.gov.au/xrecord=b2508358")</f>
        <v>https://www.catalog.slsa.sa.gov.au/xrecord=b2508358</v>
      </c>
      <c r="E5362" t="s">
        <v>18702</v>
      </c>
      <c r="F5362" t="s">
        <v>1926</v>
      </c>
      <c r="G5362" t="s">
        <v>18703</v>
      </c>
      <c r="H5362" t="s">
        <v>18704</v>
      </c>
      <c r="I5362" t="s">
        <v>18705</v>
      </c>
      <c r="J5362" t="s">
        <v>2510</v>
      </c>
      <c r="K5362" s="2" t="str">
        <f>HYPERLINK("http://collections.slsa.sa.gov.au/mpcimg/67250/B67077.htm")</f>
        <v>http://collections.slsa.sa.gov.au/mpcimg/67250/B67077.htm</v>
      </c>
    </row>
    <row r="5363" spans="1:11" x14ac:dyDescent="0.25">
      <c r="A5363" t="s">
        <v>18706</v>
      </c>
      <c r="B5363" s="1" t="str">
        <f>HYPERLINK("https://www.catalog.slsa.sa.gov.au/record=b2759502")</f>
        <v>https://www.catalog.slsa.sa.gov.au/record=b2759502</v>
      </c>
      <c r="C5363" s="1" t="str">
        <f>HYPERLINK("https://www.catalog.slsa.sa.gov.au/xrecord=b2759502")</f>
        <v>https://www.catalog.slsa.sa.gov.au/xrecord=b2759502</v>
      </c>
      <c r="E5363" t="s">
        <v>18707</v>
      </c>
      <c r="F5363" t="s">
        <v>1926</v>
      </c>
      <c r="G5363" t="s">
        <v>18708</v>
      </c>
      <c r="H5363" t="s">
        <v>18709</v>
      </c>
      <c r="I5363" t="s">
        <v>18710</v>
      </c>
      <c r="J5363" t="s">
        <v>17273</v>
      </c>
      <c r="K5363" s="2" t="str">
        <f>HYPERLINK("http://collections.slsa.sa.gov.au/mpcimg/72500/B72401.htm")</f>
        <v>http://collections.slsa.sa.gov.au/mpcimg/72500/B72401.htm</v>
      </c>
    </row>
    <row r="5364" spans="1:11" x14ac:dyDescent="0.25">
      <c r="A5364" t="s">
        <v>18711</v>
      </c>
      <c r="B5364" s="1" t="str">
        <f>HYPERLINK("https://www.catalog.slsa.sa.gov.au/record=b2760666")</f>
        <v>https://www.catalog.slsa.sa.gov.au/record=b2760666</v>
      </c>
      <c r="C5364" s="1" t="str">
        <f>HYPERLINK("https://www.catalog.slsa.sa.gov.au/xrecord=b2760666")</f>
        <v>https://www.catalog.slsa.sa.gov.au/xrecord=b2760666</v>
      </c>
      <c r="E5364" t="s">
        <v>18712</v>
      </c>
      <c r="F5364" t="s">
        <v>1926</v>
      </c>
      <c r="G5364" t="s">
        <v>18713</v>
      </c>
      <c r="H5364" t="s">
        <v>18714</v>
      </c>
      <c r="I5364" t="s">
        <v>18715</v>
      </c>
      <c r="J5364" t="s">
        <v>15900</v>
      </c>
      <c r="K5364" s="2" t="str">
        <f>HYPERLINK("http://collections.slsa.sa.gov.au/mpcimg/72500/B72461.htm")</f>
        <v>http://collections.slsa.sa.gov.au/mpcimg/72500/B72461.htm</v>
      </c>
    </row>
    <row r="5365" spans="1:11" x14ac:dyDescent="0.25">
      <c r="A5365" t="s">
        <v>18716</v>
      </c>
      <c r="B5365" s="1" t="str">
        <f>HYPERLINK("https://www.catalog.slsa.sa.gov.au/record=b2912312")</f>
        <v>https://www.catalog.slsa.sa.gov.au/record=b2912312</v>
      </c>
      <c r="C5365" s="1" t="str">
        <f>HYPERLINK("https://www.catalog.slsa.sa.gov.au/xrecord=b2912312")</f>
        <v>https://www.catalog.slsa.sa.gov.au/xrecord=b2912312</v>
      </c>
      <c r="D5365" t="s">
        <v>15280</v>
      </c>
      <c r="E5365" t="s">
        <v>18717</v>
      </c>
      <c r="F5365" t="s">
        <v>1926</v>
      </c>
      <c r="G5365" t="s">
        <v>18718</v>
      </c>
      <c r="H5365" t="s">
        <v>18719</v>
      </c>
      <c r="I5365" t="s">
        <v>18720</v>
      </c>
      <c r="J5365" t="s">
        <v>2510</v>
      </c>
      <c r="K5365" s="2" t="str">
        <f>HYPERLINK("http://collections.slsa.sa.gov.au/resource/B+72906")</f>
        <v>http://collections.slsa.sa.gov.au/resource/B+72906</v>
      </c>
    </row>
    <row r="5366" spans="1:11" x14ac:dyDescent="0.25">
      <c r="A5366" t="s">
        <v>18721</v>
      </c>
      <c r="B5366" s="1" t="str">
        <f>HYPERLINK("https://www.catalog.slsa.sa.gov.au/record=b2937782")</f>
        <v>https://www.catalog.slsa.sa.gov.au/record=b2937782</v>
      </c>
      <c r="C5366" s="1" t="str">
        <f>HYPERLINK("https://www.catalog.slsa.sa.gov.au/xrecord=b2937782")</f>
        <v>https://www.catalog.slsa.sa.gov.au/xrecord=b2937782</v>
      </c>
      <c r="D5366" t="s">
        <v>18722</v>
      </c>
      <c r="E5366" t="s">
        <v>18723</v>
      </c>
      <c r="F5366" t="s">
        <v>1926</v>
      </c>
      <c r="G5366" t="s">
        <v>18724</v>
      </c>
      <c r="H5366" t="s">
        <v>18725</v>
      </c>
      <c r="I5366" t="s">
        <v>18726</v>
      </c>
      <c r="J5366" t="s">
        <v>14899</v>
      </c>
      <c r="K5366" s="2" t="str">
        <f>HYPERLINK("http://collections.slsa.sa.gov.au/mpcimg/73750/B73632.htm")</f>
        <v>http://collections.slsa.sa.gov.au/mpcimg/73750/B73632.htm</v>
      </c>
    </row>
    <row r="5367" spans="1:11" x14ac:dyDescent="0.25">
      <c r="A5367" t="s">
        <v>18727</v>
      </c>
      <c r="B5367" s="1" t="str">
        <f>HYPERLINK("https://www.catalog.slsa.sa.gov.au/record=b3013658")</f>
        <v>https://www.catalog.slsa.sa.gov.au/record=b3013658</v>
      </c>
      <c r="C5367" s="1" t="str">
        <f>HYPERLINK("https://www.catalog.slsa.sa.gov.au/xrecord=b3013658")</f>
        <v>https://www.catalog.slsa.sa.gov.au/xrecord=b3013658</v>
      </c>
      <c r="E5367" t="s">
        <v>18728</v>
      </c>
      <c r="F5367" t="s">
        <v>1926</v>
      </c>
      <c r="G5367" t="s">
        <v>18729</v>
      </c>
      <c r="H5367" t="s">
        <v>18730</v>
      </c>
      <c r="I5367" t="s">
        <v>18731</v>
      </c>
      <c r="J5367" t="s">
        <v>2510</v>
      </c>
      <c r="K5367" s="2" t="str">
        <f>HYPERLINK("http://collections.slsa.sa.gov.au/resource/B+73755/15")</f>
        <v>http://collections.slsa.sa.gov.au/resource/B+73755/15</v>
      </c>
    </row>
    <row r="5368" spans="1:11" x14ac:dyDescent="0.25">
      <c r="A5368" t="s">
        <v>18732</v>
      </c>
      <c r="B5368" s="1" t="str">
        <f>HYPERLINK("https://www.catalog.slsa.sa.gov.au/record=b3029826")</f>
        <v>https://www.catalog.slsa.sa.gov.au/record=b3029826</v>
      </c>
      <c r="C5368" s="1" t="str">
        <f>HYPERLINK("https://www.catalog.slsa.sa.gov.au/xrecord=b3029826")</f>
        <v>https://www.catalog.slsa.sa.gov.au/xrecord=b3029826</v>
      </c>
      <c r="E5368" t="s">
        <v>18733</v>
      </c>
      <c r="F5368" t="s">
        <v>1926</v>
      </c>
      <c r="G5368" t="s">
        <v>18734</v>
      </c>
      <c r="H5368" t="s">
        <v>18735</v>
      </c>
      <c r="I5368" t="s">
        <v>18736</v>
      </c>
      <c r="J5368" t="s">
        <v>16193</v>
      </c>
      <c r="K5368" s="2" t="str">
        <f>HYPERLINK("http://collections.slsa.sa.gov.au/resource/B+74512/4")</f>
        <v>http://collections.slsa.sa.gov.au/resource/B+74512/4</v>
      </c>
    </row>
    <row r="5369" spans="1:11" x14ac:dyDescent="0.25">
      <c r="A5369" t="s">
        <v>18737</v>
      </c>
      <c r="B5369" s="1" t="str">
        <f>HYPERLINK("https://www.catalog.slsa.sa.gov.au/record=b3130214")</f>
        <v>https://www.catalog.slsa.sa.gov.au/record=b3130214</v>
      </c>
      <c r="C5369" s="1" t="str">
        <f>HYPERLINK("https://www.catalog.slsa.sa.gov.au/xrecord=b3130214")</f>
        <v>https://www.catalog.slsa.sa.gov.au/xrecord=b3130214</v>
      </c>
      <c r="E5369" t="s">
        <v>18738</v>
      </c>
      <c r="F5369" t="s">
        <v>1926</v>
      </c>
      <c r="G5369" t="s">
        <v>18739</v>
      </c>
      <c r="H5369" t="s">
        <v>18740</v>
      </c>
      <c r="I5369" t="s">
        <v>18511</v>
      </c>
      <c r="J5369" t="s">
        <v>2510</v>
      </c>
      <c r="K5369" s="2" t="str">
        <f>HYPERLINK("http://collections.slsa.sa.gov.au/resource/B+75357")</f>
        <v>http://collections.slsa.sa.gov.au/resource/B+75357</v>
      </c>
    </row>
    <row r="5370" spans="1:11" x14ac:dyDescent="0.25">
      <c r="A5370" t="s">
        <v>18741</v>
      </c>
      <c r="B5370" s="1" t="str">
        <f>HYPERLINK("https://www.catalog.slsa.sa.gov.au/record=b3130215")</f>
        <v>https://www.catalog.slsa.sa.gov.au/record=b3130215</v>
      </c>
      <c r="C5370" s="1" t="str">
        <f>HYPERLINK("https://www.catalog.slsa.sa.gov.au/xrecord=b3130215")</f>
        <v>https://www.catalog.slsa.sa.gov.au/xrecord=b3130215</v>
      </c>
      <c r="E5370" t="s">
        <v>18738</v>
      </c>
      <c r="F5370" t="s">
        <v>1926</v>
      </c>
      <c r="G5370" t="s">
        <v>18739</v>
      </c>
      <c r="H5370" t="s">
        <v>18742</v>
      </c>
      <c r="I5370" t="s">
        <v>18511</v>
      </c>
      <c r="J5370" t="s">
        <v>2510</v>
      </c>
      <c r="K5370" s="2" t="str">
        <f>HYPERLINK("http://collections.slsa.sa.gov.au/resource/B+75358")</f>
        <v>http://collections.slsa.sa.gov.au/resource/B+75358</v>
      </c>
    </row>
    <row r="5371" spans="1:11" x14ac:dyDescent="0.25">
      <c r="A5371" t="s">
        <v>18743</v>
      </c>
      <c r="B5371" s="1" t="str">
        <f>HYPERLINK("https://www.catalog.slsa.sa.gov.au/record=b3130543")</f>
        <v>https://www.catalog.slsa.sa.gov.au/record=b3130543</v>
      </c>
      <c r="C5371" s="1" t="str">
        <f>HYPERLINK("https://www.catalog.slsa.sa.gov.au/xrecord=b3130543")</f>
        <v>https://www.catalog.slsa.sa.gov.au/xrecord=b3130543</v>
      </c>
      <c r="E5371" t="s">
        <v>18744</v>
      </c>
      <c r="F5371" t="s">
        <v>1926</v>
      </c>
      <c r="G5371" t="s">
        <v>18745</v>
      </c>
      <c r="H5371" t="s">
        <v>18746</v>
      </c>
      <c r="I5371" t="s">
        <v>18747</v>
      </c>
      <c r="J5371" t="s">
        <v>2510</v>
      </c>
      <c r="K5371" s="2" t="str">
        <f>HYPERLINK("http://collections.slsa.sa.gov.au/resource/B+75425")</f>
        <v>http://collections.slsa.sa.gov.au/resource/B+75425</v>
      </c>
    </row>
    <row r="5372" spans="1:11" x14ac:dyDescent="0.25">
      <c r="A5372" t="s">
        <v>18748</v>
      </c>
      <c r="B5372" s="1" t="str">
        <f>HYPERLINK("https://www.catalog.slsa.sa.gov.au/record=b3132928")</f>
        <v>https://www.catalog.slsa.sa.gov.au/record=b3132928</v>
      </c>
      <c r="C5372" s="1" t="str">
        <f>HYPERLINK("https://www.catalog.slsa.sa.gov.au/xrecord=b3132928")</f>
        <v>https://www.catalog.slsa.sa.gov.au/xrecord=b3132928</v>
      </c>
      <c r="E5372" t="s">
        <v>18749</v>
      </c>
      <c r="F5372" t="s">
        <v>1926</v>
      </c>
      <c r="G5372" t="s">
        <v>18750</v>
      </c>
      <c r="H5372" t="s">
        <v>18751</v>
      </c>
      <c r="I5372" t="s">
        <v>18752</v>
      </c>
      <c r="J5372" t="s">
        <v>18753</v>
      </c>
      <c r="K5372" s="2" t="str">
        <f>HYPERLINK("http://collections.slsa.sa.gov.au/resource/B+75484")</f>
        <v>http://collections.slsa.sa.gov.au/resource/B+75484</v>
      </c>
    </row>
    <row r="5373" spans="1:11" x14ac:dyDescent="0.25">
      <c r="A5373" t="s">
        <v>18754</v>
      </c>
      <c r="B5373" s="1" t="str">
        <f>HYPERLINK("https://www.catalog.slsa.sa.gov.au/record=b2031698")</f>
        <v>https://www.catalog.slsa.sa.gov.au/record=b2031698</v>
      </c>
      <c r="C5373" s="1" t="str">
        <f>HYPERLINK("https://www.catalog.slsa.sa.gov.au/xrecord=b2031698")</f>
        <v>https://www.catalog.slsa.sa.gov.au/xrecord=b2031698</v>
      </c>
      <c r="E5373" t="s">
        <v>18755</v>
      </c>
      <c r="F5373" t="s">
        <v>18756</v>
      </c>
      <c r="G5373" t="s">
        <v>18757</v>
      </c>
      <c r="H5373" t="s">
        <v>18758</v>
      </c>
      <c r="I5373" t="s">
        <v>18759</v>
      </c>
      <c r="J5373" t="s">
        <v>2963</v>
      </c>
      <c r="K5373" s="2" t="str">
        <f>HYPERLINK("http://collections.slsa.sa.gov.au/mpcimg/36000/B35986.htm")</f>
        <v>http://collections.slsa.sa.gov.au/mpcimg/36000/B35986.htm</v>
      </c>
    </row>
    <row r="5374" spans="1:11" x14ac:dyDescent="0.25">
      <c r="A5374" t="s">
        <v>18760</v>
      </c>
      <c r="B5374" s="1" t="str">
        <f>HYPERLINK("https://www.catalog.slsa.sa.gov.au/record=b2092060")</f>
        <v>https://www.catalog.slsa.sa.gov.au/record=b2092060</v>
      </c>
      <c r="C5374" s="1" t="str">
        <f>HYPERLINK("https://www.catalog.slsa.sa.gov.au/xrecord=b2092060")</f>
        <v>https://www.catalog.slsa.sa.gov.au/xrecord=b2092060</v>
      </c>
      <c r="E5374" t="s">
        <v>18761</v>
      </c>
      <c r="F5374" t="s">
        <v>18756</v>
      </c>
      <c r="G5374" t="s">
        <v>18762</v>
      </c>
      <c r="H5374" t="s">
        <v>18763</v>
      </c>
      <c r="I5374" t="s">
        <v>18764</v>
      </c>
      <c r="J5374" t="s">
        <v>14768</v>
      </c>
      <c r="K5374" s="2" t="str">
        <f>HYPERLINK("http://collections.slsa.sa.gov.au/mpcimg/61250/B61020_76.htm")</f>
        <v>http://collections.slsa.sa.gov.au/mpcimg/61250/B61020_76.htm</v>
      </c>
    </row>
    <row r="5375" spans="1:11" x14ac:dyDescent="0.25">
      <c r="A5375" t="s">
        <v>18765</v>
      </c>
      <c r="B5375" s="1" t="str">
        <f>HYPERLINK("https://www.catalog.slsa.sa.gov.au/record=b2092061")</f>
        <v>https://www.catalog.slsa.sa.gov.au/record=b2092061</v>
      </c>
      <c r="C5375" s="1" t="str">
        <f>HYPERLINK("https://www.catalog.slsa.sa.gov.au/xrecord=b2092061")</f>
        <v>https://www.catalog.slsa.sa.gov.au/xrecord=b2092061</v>
      </c>
      <c r="E5375" t="s">
        <v>18761</v>
      </c>
      <c r="F5375" t="s">
        <v>18756</v>
      </c>
      <c r="G5375" t="s">
        <v>18766</v>
      </c>
      <c r="H5375" t="s">
        <v>18767</v>
      </c>
      <c r="I5375" t="s">
        <v>18768</v>
      </c>
      <c r="J5375" t="s">
        <v>14768</v>
      </c>
      <c r="K5375" s="2" t="str">
        <f>HYPERLINK("http://collections.slsa.sa.gov.au/mpcimg/61250/B61020_77.htm")</f>
        <v>http://collections.slsa.sa.gov.au/mpcimg/61250/B61020_77.htm</v>
      </c>
    </row>
    <row r="5376" spans="1:11" x14ac:dyDescent="0.25">
      <c r="A5376" t="s">
        <v>18769</v>
      </c>
      <c r="B5376" s="1" t="str">
        <f>HYPERLINK("https://www.catalog.slsa.sa.gov.au/record=b2221451")</f>
        <v>https://www.catalog.slsa.sa.gov.au/record=b2221451</v>
      </c>
      <c r="C5376" s="1" t="str">
        <f>HYPERLINK("https://www.catalog.slsa.sa.gov.au/xrecord=b2221451")</f>
        <v>https://www.catalog.slsa.sa.gov.au/xrecord=b2221451</v>
      </c>
      <c r="E5376" t="s">
        <v>18770</v>
      </c>
      <c r="F5376" t="s">
        <v>3713</v>
      </c>
      <c r="G5376" t="s">
        <v>18771</v>
      </c>
      <c r="H5376" t="s">
        <v>18772</v>
      </c>
      <c r="J5376" t="s">
        <v>2510</v>
      </c>
      <c r="K5376" s="2" t="str">
        <f>HYPERLINK("http://collections.slsa.sa.gov.au/mpcimg/71250/B71068.htm")</f>
        <v>http://collections.slsa.sa.gov.au/mpcimg/71250/B71068.htm</v>
      </c>
    </row>
    <row r="5377" spans="1:11" x14ac:dyDescent="0.25">
      <c r="A5377" t="s">
        <v>18773</v>
      </c>
      <c r="B5377" s="1" t="str">
        <f>HYPERLINK("https://www.catalog.slsa.sa.gov.au/record=b2290490")</f>
        <v>https://www.catalog.slsa.sa.gov.au/record=b2290490</v>
      </c>
      <c r="C5377" s="1" t="str">
        <f>HYPERLINK("https://www.catalog.slsa.sa.gov.au/xrecord=b2290490")</f>
        <v>https://www.catalog.slsa.sa.gov.au/xrecord=b2290490</v>
      </c>
      <c r="E5377" t="s">
        <v>18774</v>
      </c>
      <c r="F5377" t="s">
        <v>3713</v>
      </c>
      <c r="G5377" t="s">
        <v>18775</v>
      </c>
      <c r="H5377" t="s">
        <v>18776</v>
      </c>
      <c r="J5377" t="s">
        <v>18777</v>
      </c>
      <c r="K5377" s="2" t="str">
        <f>HYPERLINK("http://collections.slsa.sa.gov.au/mpcimg/71250/B71169.htm")</f>
        <v>http://collections.slsa.sa.gov.au/mpcimg/71250/B71169.htm</v>
      </c>
    </row>
    <row r="5378" spans="1:11" x14ac:dyDescent="0.25">
      <c r="A5378" t="s">
        <v>18778</v>
      </c>
      <c r="B5378" s="1" t="str">
        <f>HYPERLINK("https://www.catalog.slsa.sa.gov.au/record=b2290491")</f>
        <v>https://www.catalog.slsa.sa.gov.au/record=b2290491</v>
      </c>
      <c r="C5378" s="1" t="str">
        <f>HYPERLINK("https://www.catalog.slsa.sa.gov.au/xrecord=b2290491")</f>
        <v>https://www.catalog.slsa.sa.gov.au/xrecord=b2290491</v>
      </c>
      <c r="E5378" t="s">
        <v>18774</v>
      </c>
      <c r="F5378" t="s">
        <v>3713</v>
      </c>
      <c r="G5378" t="s">
        <v>18775</v>
      </c>
      <c r="H5378" t="s">
        <v>18779</v>
      </c>
      <c r="J5378" t="s">
        <v>18777</v>
      </c>
      <c r="K5378" s="2" t="str">
        <f>HYPERLINK("http://collections.slsa.sa.gov.au/mpcimg/71250/B71170.htm")</f>
        <v>http://collections.slsa.sa.gov.au/mpcimg/71250/B71170.htm</v>
      </c>
    </row>
    <row r="5379" spans="1:11" x14ac:dyDescent="0.25">
      <c r="A5379" t="s">
        <v>18780</v>
      </c>
      <c r="B5379" s="1" t="str">
        <f>HYPERLINK("https://www.catalog.slsa.sa.gov.au/record=b2313703")</f>
        <v>https://www.catalog.slsa.sa.gov.au/record=b2313703</v>
      </c>
      <c r="C5379" s="1" t="str">
        <f>HYPERLINK("https://www.catalog.slsa.sa.gov.au/xrecord=b2313703")</f>
        <v>https://www.catalog.slsa.sa.gov.au/xrecord=b2313703</v>
      </c>
      <c r="D5379" t="s">
        <v>18781</v>
      </c>
      <c r="E5379" t="s">
        <v>18782</v>
      </c>
      <c r="F5379" t="s">
        <v>3713</v>
      </c>
      <c r="G5379" t="s">
        <v>18783</v>
      </c>
      <c r="H5379" t="s">
        <v>18784</v>
      </c>
      <c r="I5379" t="s">
        <v>18785</v>
      </c>
      <c r="J5379" t="s">
        <v>14899</v>
      </c>
      <c r="K5379" s="2" t="str">
        <f>HYPERLINK("http://collections.slsa.sa.gov.au/mpcimg/71750/B71515.htm")</f>
        <v>http://collections.slsa.sa.gov.au/mpcimg/71750/B71515.htm</v>
      </c>
    </row>
    <row r="5380" spans="1:11" x14ac:dyDescent="0.25">
      <c r="A5380" t="s">
        <v>18786</v>
      </c>
      <c r="B5380" s="1" t="str">
        <f>HYPERLINK("https://www.catalog.slsa.sa.gov.au/record=b2508351")</f>
        <v>https://www.catalog.slsa.sa.gov.au/record=b2508351</v>
      </c>
      <c r="C5380" s="1" t="str">
        <f>HYPERLINK("https://www.catalog.slsa.sa.gov.au/xrecord=b2508351")</f>
        <v>https://www.catalog.slsa.sa.gov.au/xrecord=b2508351</v>
      </c>
      <c r="E5380" t="s">
        <v>18787</v>
      </c>
      <c r="F5380" t="s">
        <v>3713</v>
      </c>
      <c r="G5380" t="s">
        <v>18788</v>
      </c>
      <c r="H5380" t="s">
        <v>18789</v>
      </c>
      <c r="I5380" t="s">
        <v>18705</v>
      </c>
      <c r="J5380" t="s">
        <v>2510</v>
      </c>
      <c r="K5380" s="2" t="str">
        <f>HYPERLINK("http://collections.slsa.sa.gov.au/mpcimg/67250/B67083.htm")</f>
        <v>http://collections.slsa.sa.gov.au/mpcimg/67250/B67083.htm</v>
      </c>
    </row>
    <row r="5381" spans="1:11" x14ac:dyDescent="0.25">
      <c r="A5381" t="s">
        <v>18790</v>
      </c>
      <c r="B5381" s="1" t="str">
        <f>HYPERLINK("https://www.catalog.slsa.sa.gov.au/record=b2508366")</f>
        <v>https://www.catalog.slsa.sa.gov.au/record=b2508366</v>
      </c>
      <c r="C5381" s="1" t="str">
        <f>HYPERLINK("https://www.catalog.slsa.sa.gov.au/xrecord=b2508366")</f>
        <v>https://www.catalog.slsa.sa.gov.au/xrecord=b2508366</v>
      </c>
      <c r="D5381" t="s">
        <v>16653</v>
      </c>
      <c r="E5381" t="s">
        <v>18791</v>
      </c>
      <c r="F5381" t="s">
        <v>3713</v>
      </c>
      <c r="G5381" t="s">
        <v>18792</v>
      </c>
      <c r="H5381" t="s">
        <v>18793</v>
      </c>
      <c r="I5381" t="s">
        <v>18794</v>
      </c>
      <c r="J5381" t="s">
        <v>18795</v>
      </c>
      <c r="K5381" s="2" t="str">
        <f>HYPERLINK("http://collections.slsa.sa.gov.au/mpcimg/67250/B67020.htm")</f>
        <v>http://collections.slsa.sa.gov.au/mpcimg/67250/B67020.htm</v>
      </c>
    </row>
    <row r="5382" spans="1:11" x14ac:dyDescent="0.25">
      <c r="A5382" t="s">
        <v>18796</v>
      </c>
      <c r="B5382" s="1" t="str">
        <f>HYPERLINK("https://www.catalog.slsa.sa.gov.au/record=b2508367")</f>
        <v>https://www.catalog.slsa.sa.gov.au/record=b2508367</v>
      </c>
      <c r="C5382" s="1" t="str">
        <f>HYPERLINK("https://www.catalog.slsa.sa.gov.au/xrecord=b2508367")</f>
        <v>https://www.catalog.slsa.sa.gov.au/xrecord=b2508367</v>
      </c>
      <c r="D5382" t="s">
        <v>16653</v>
      </c>
      <c r="E5382" t="s">
        <v>18797</v>
      </c>
      <c r="F5382" t="s">
        <v>3713</v>
      </c>
      <c r="G5382" t="s">
        <v>18798</v>
      </c>
      <c r="H5382" t="s">
        <v>18799</v>
      </c>
      <c r="J5382" t="s">
        <v>5399</v>
      </c>
      <c r="K5382" s="2" t="str">
        <f>HYPERLINK("http://collections.slsa.sa.gov.au/mpcimg/67250/B67019.htm")</f>
        <v>http://collections.slsa.sa.gov.au/mpcimg/67250/B67019.htm</v>
      </c>
    </row>
    <row r="5383" spans="1:11" x14ac:dyDescent="0.25">
      <c r="A5383" t="s">
        <v>18800</v>
      </c>
      <c r="B5383" s="1" t="str">
        <f>HYPERLINK("https://www.catalog.slsa.sa.gov.au/record=b2508374")</f>
        <v>https://www.catalog.slsa.sa.gov.au/record=b2508374</v>
      </c>
      <c r="C5383" s="1" t="str">
        <f>HYPERLINK("https://www.catalog.slsa.sa.gov.au/xrecord=b2508374")</f>
        <v>https://www.catalog.slsa.sa.gov.au/xrecord=b2508374</v>
      </c>
      <c r="D5383" t="s">
        <v>18801</v>
      </c>
      <c r="E5383" t="s">
        <v>18802</v>
      </c>
      <c r="F5383" t="s">
        <v>3713</v>
      </c>
      <c r="G5383" t="s">
        <v>18803</v>
      </c>
      <c r="H5383" t="s">
        <v>18804</v>
      </c>
      <c r="I5383" t="s">
        <v>18805</v>
      </c>
      <c r="J5383" t="s">
        <v>16883</v>
      </c>
      <c r="K5383" s="2" t="str">
        <f>HYPERLINK("http://collections.slsa.sa.gov.au/mpcimg/67250/B67017.htm")</f>
        <v>http://collections.slsa.sa.gov.au/mpcimg/67250/B67017.htm</v>
      </c>
    </row>
    <row r="5384" spans="1:11" x14ac:dyDescent="0.25">
      <c r="A5384" t="s">
        <v>18806</v>
      </c>
      <c r="B5384" s="1" t="str">
        <f>HYPERLINK("https://www.catalog.slsa.sa.gov.au/record=b2508376")</f>
        <v>https://www.catalog.slsa.sa.gov.au/record=b2508376</v>
      </c>
      <c r="C5384" s="1" t="str">
        <f>HYPERLINK("https://www.catalog.slsa.sa.gov.au/xrecord=b2508376")</f>
        <v>https://www.catalog.slsa.sa.gov.au/xrecord=b2508376</v>
      </c>
      <c r="D5384" t="s">
        <v>16653</v>
      </c>
      <c r="E5384" t="s">
        <v>18807</v>
      </c>
      <c r="F5384" t="s">
        <v>3713</v>
      </c>
      <c r="G5384" t="s">
        <v>18808</v>
      </c>
      <c r="H5384" t="s">
        <v>18809</v>
      </c>
      <c r="I5384" t="s">
        <v>18810</v>
      </c>
      <c r="J5384" t="s">
        <v>16883</v>
      </c>
      <c r="K5384" s="2" t="str">
        <f>HYPERLINK("http://collections.slsa.sa.gov.au/mpcimg/67250/B67016.htm")</f>
        <v>http://collections.slsa.sa.gov.au/mpcimg/67250/B67016.htm</v>
      </c>
    </row>
    <row r="5385" spans="1:11" x14ac:dyDescent="0.25">
      <c r="A5385" t="s">
        <v>18811</v>
      </c>
      <c r="B5385" s="1" t="str">
        <f>HYPERLINK("https://www.catalog.slsa.sa.gov.au/record=b2508377")</f>
        <v>https://www.catalog.slsa.sa.gov.au/record=b2508377</v>
      </c>
      <c r="C5385" s="1" t="str">
        <f>HYPERLINK("https://www.catalog.slsa.sa.gov.au/xrecord=b2508377")</f>
        <v>https://www.catalog.slsa.sa.gov.au/xrecord=b2508377</v>
      </c>
      <c r="D5385" t="s">
        <v>18812</v>
      </c>
      <c r="E5385" t="s">
        <v>18813</v>
      </c>
      <c r="F5385" t="s">
        <v>3713</v>
      </c>
      <c r="G5385" t="s">
        <v>18814</v>
      </c>
      <c r="H5385" t="s">
        <v>18815</v>
      </c>
      <c r="I5385" t="s">
        <v>18816</v>
      </c>
      <c r="J5385" t="s">
        <v>2510</v>
      </c>
      <c r="K5385" s="2" t="str">
        <f>HYPERLINK("http://collections.slsa.sa.gov.au/mpcimg/67250/B67014.htm")</f>
        <v>http://collections.slsa.sa.gov.au/mpcimg/67250/B67014.htm</v>
      </c>
    </row>
    <row r="5386" spans="1:11" x14ac:dyDescent="0.25">
      <c r="A5386" t="s">
        <v>18817</v>
      </c>
      <c r="B5386" s="1" t="str">
        <f>HYPERLINK("https://www.catalog.slsa.sa.gov.au/record=b2893363")</f>
        <v>https://www.catalog.slsa.sa.gov.au/record=b2893363</v>
      </c>
      <c r="C5386" s="1" t="str">
        <f>HYPERLINK("https://www.catalog.slsa.sa.gov.au/xrecord=b2893363")</f>
        <v>https://www.catalog.slsa.sa.gov.au/xrecord=b2893363</v>
      </c>
      <c r="E5386" t="s">
        <v>18818</v>
      </c>
      <c r="F5386" t="s">
        <v>3713</v>
      </c>
      <c r="G5386" t="s">
        <v>18819</v>
      </c>
      <c r="H5386" t="s">
        <v>18820</v>
      </c>
      <c r="I5386" t="s">
        <v>18821</v>
      </c>
      <c r="J5386" t="s">
        <v>1809</v>
      </c>
      <c r="K5386" s="2" t="str">
        <f>HYPERLINK("http://collections.slsa.sa.gov.au/mpcimg/73000/B72796_5.htm")</f>
        <v>http://collections.slsa.sa.gov.au/mpcimg/73000/B72796_5.htm</v>
      </c>
    </row>
    <row r="5387" spans="1:11" x14ac:dyDescent="0.25">
      <c r="A5387" t="s">
        <v>18822</v>
      </c>
      <c r="B5387" s="1" t="str">
        <f>HYPERLINK("https://www.catalog.slsa.sa.gov.au/record=b2893810")</f>
        <v>https://www.catalog.slsa.sa.gov.au/record=b2893810</v>
      </c>
      <c r="C5387" s="1" t="str">
        <f>HYPERLINK("https://www.catalog.slsa.sa.gov.au/xrecord=b2893810")</f>
        <v>https://www.catalog.slsa.sa.gov.au/xrecord=b2893810</v>
      </c>
      <c r="E5387" t="s">
        <v>18823</v>
      </c>
      <c r="F5387" t="s">
        <v>3713</v>
      </c>
      <c r="G5387" t="s">
        <v>18824</v>
      </c>
      <c r="H5387" t="s">
        <v>18825</v>
      </c>
      <c r="I5387" t="s">
        <v>18826</v>
      </c>
      <c r="J5387" t="s">
        <v>15608</v>
      </c>
      <c r="K5387" s="2" t="str">
        <f>HYPERLINK("http://collections.slsa.sa.gov.au/mpcimg/63250/B63241_47.htm")</f>
        <v>http://collections.slsa.sa.gov.au/mpcimg/63250/B63241_47.htm</v>
      </c>
    </row>
    <row r="5388" spans="1:11" x14ac:dyDescent="0.25">
      <c r="A5388" t="s">
        <v>18827</v>
      </c>
      <c r="B5388" s="1" t="str">
        <f>HYPERLINK("https://www.catalog.slsa.sa.gov.au/record=b2893816")</f>
        <v>https://www.catalog.slsa.sa.gov.au/record=b2893816</v>
      </c>
      <c r="C5388" s="1" t="str">
        <f>HYPERLINK("https://www.catalog.slsa.sa.gov.au/xrecord=b2893816")</f>
        <v>https://www.catalog.slsa.sa.gov.au/xrecord=b2893816</v>
      </c>
      <c r="E5388" t="s">
        <v>18828</v>
      </c>
      <c r="F5388" t="s">
        <v>3713</v>
      </c>
      <c r="G5388" t="s">
        <v>18829</v>
      </c>
      <c r="H5388" t="s">
        <v>18830</v>
      </c>
      <c r="I5388" t="s">
        <v>18831</v>
      </c>
      <c r="J5388" t="s">
        <v>15608</v>
      </c>
      <c r="K5388" s="2" t="str">
        <f>HYPERLINK("http://collections.slsa.sa.gov.au/mpcimg/63250/B63241_49.htm")</f>
        <v>http://collections.slsa.sa.gov.au/mpcimg/63250/B63241_49.htm</v>
      </c>
    </row>
    <row r="5389" spans="1:11" x14ac:dyDescent="0.25">
      <c r="A5389" t="s">
        <v>18832</v>
      </c>
      <c r="B5389" s="1" t="str">
        <f>HYPERLINK("https://www.catalog.slsa.sa.gov.au/record=b2893818")</f>
        <v>https://www.catalog.slsa.sa.gov.au/record=b2893818</v>
      </c>
      <c r="C5389" s="1" t="str">
        <f>HYPERLINK("https://www.catalog.slsa.sa.gov.au/xrecord=b2893818")</f>
        <v>https://www.catalog.slsa.sa.gov.au/xrecord=b2893818</v>
      </c>
      <c r="E5389" t="s">
        <v>18833</v>
      </c>
      <c r="F5389" t="s">
        <v>3713</v>
      </c>
      <c r="G5389" t="s">
        <v>18834</v>
      </c>
      <c r="H5389" t="s">
        <v>18835</v>
      </c>
      <c r="I5389" t="s">
        <v>18836</v>
      </c>
      <c r="J5389" t="s">
        <v>15608</v>
      </c>
      <c r="K5389" s="2" t="str">
        <f>HYPERLINK("http://collections.slsa.sa.gov.au/mpcimg/63250/B63241_50.htm")</f>
        <v>http://collections.slsa.sa.gov.au/mpcimg/63250/B63241_50.htm</v>
      </c>
    </row>
    <row r="5390" spans="1:11" x14ac:dyDescent="0.25">
      <c r="A5390" t="s">
        <v>18837</v>
      </c>
      <c r="B5390" s="1" t="str">
        <f>HYPERLINK("https://www.catalog.slsa.sa.gov.au/record=b2893989")</f>
        <v>https://www.catalog.slsa.sa.gov.au/record=b2893989</v>
      </c>
      <c r="C5390" s="1" t="str">
        <f>HYPERLINK("https://www.catalog.slsa.sa.gov.au/xrecord=b2893989")</f>
        <v>https://www.catalog.slsa.sa.gov.au/xrecord=b2893989</v>
      </c>
      <c r="E5390" t="s">
        <v>18838</v>
      </c>
      <c r="F5390" t="s">
        <v>3713</v>
      </c>
      <c r="G5390" t="s">
        <v>18839</v>
      </c>
      <c r="H5390" t="s">
        <v>18840</v>
      </c>
      <c r="J5390" t="s">
        <v>15608</v>
      </c>
      <c r="K5390" s="2" t="str">
        <f>HYPERLINK("http://collections.slsa.sa.gov.au/mpcimg/63250/B63241_67.htm")</f>
        <v>http://collections.slsa.sa.gov.au/mpcimg/63250/B63241_67.htm</v>
      </c>
    </row>
    <row r="5391" spans="1:11" x14ac:dyDescent="0.25">
      <c r="A5391" t="s">
        <v>18841</v>
      </c>
      <c r="B5391" s="1" t="str">
        <f>HYPERLINK("https://www.catalog.slsa.sa.gov.au/record=b2894113")</f>
        <v>https://www.catalog.slsa.sa.gov.au/record=b2894113</v>
      </c>
      <c r="C5391" s="1" t="str">
        <f>HYPERLINK("https://www.catalog.slsa.sa.gov.au/xrecord=b2894113")</f>
        <v>https://www.catalog.slsa.sa.gov.au/xrecord=b2894113</v>
      </c>
      <c r="E5391" t="s">
        <v>18842</v>
      </c>
      <c r="F5391" t="s">
        <v>3713</v>
      </c>
      <c r="G5391" t="s">
        <v>18843</v>
      </c>
      <c r="H5391" t="s">
        <v>18844</v>
      </c>
      <c r="I5391" t="s">
        <v>18845</v>
      </c>
      <c r="J5391" t="s">
        <v>15608</v>
      </c>
      <c r="K5391" s="2" t="str">
        <f>HYPERLINK("http://collections.slsa.sa.gov.au/mpcimg/63250/B63241_107.htm")</f>
        <v>http://collections.slsa.sa.gov.au/mpcimg/63250/B63241_107.htm</v>
      </c>
    </row>
    <row r="5392" spans="1:11" x14ac:dyDescent="0.25">
      <c r="A5392" t="s">
        <v>18846</v>
      </c>
      <c r="B5392" s="1" t="str">
        <f>HYPERLINK("https://www.catalog.slsa.sa.gov.au/record=b2894117")</f>
        <v>https://www.catalog.slsa.sa.gov.au/record=b2894117</v>
      </c>
      <c r="C5392" s="1" t="str">
        <f>HYPERLINK("https://www.catalog.slsa.sa.gov.au/xrecord=b2894117")</f>
        <v>https://www.catalog.slsa.sa.gov.au/xrecord=b2894117</v>
      </c>
      <c r="E5392" t="s">
        <v>15604</v>
      </c>
      <c r="F5392" t="s">
        <v>3713</v>
      </c>
      <c r="G5392" t="s">
        <v>18847</v>
      </c>
      <c r="H5392" t="s">
        <v>18848</v>
      </c>
      <c r="I5392" t="s">
        <v>15607</v>
      </c>
      <c r="J5392" t="s">
        <v>15608</v>
      </c>
      <c r="K5392" s="2" t="str">
        <f>HYPERLINK("http://collections.slsa.sa.gov.au/mpcimg/63250/B63241_111.htm")</f>
        <v>http://collections.slsa.sa.gov.au/mpcimg/63250/B63241_111.htm</v>
      </c>
    </row>
    <row r="5393" spans="1:11" x14ac:dyDescent="0.25">
      <c r="A5393" t="s">
        <v>18849</v>
      </c>
      <c r="B5393" s="1" t="str">
        <f>HYPERLINK("https://www.catalog.slsa.sa.gov.au/record=b2911260")</f>
        <v>https://www.catalog.slsa.sa.gov.au/record=b2911260</v>
      </c>
      <c r="C5393" s="1" t="str">
        <f>HYPERLINK("https://www.catalog.slsa.sa.gov.au/xrecord=b2911260")</f>
        <v>https://www.catalog.slsa.sa.gov.au/xrecord=b2911260</v>
      </c>
      <c r="E5393" t="s">
        <v>18850</v>
      </c>
      <c r="F5393" t="s">
        <v>3713</v>
      </c>
      <c r="G5393" t="s">
        <v>18851</v>
      </c>
      <c r="H5393" t="s">
        <v>18852</v>
      </c>
      <c r="I5393" t="s">
        <v>18853</v>
      </c>
      <c r="J5393" t="s">
        <v>18656</v>
      </c>
      <c r="K5393" s="2" t="str">
        <f>HYPERLINK("http://collections.slsa.sa.gov.au/mpcimg/73000/B72823.htm")</f>
        <v>http://collections.slsa.sa.gov.au/mpcimg/73000/B72823.htm</v>
      </c>
    </row>
    <row r="5394" spans="1:11" x14ac:dyDescent="0.25">
      <c r="A5394" t="s">
        <v>18854</v>
      </c>
      <c r="B5394" s="1" t="str">
        <f>HYPERLINK("https://www.catalog.slsa.sa.gov.au/record=b3017223")</f>
        <v>https://www.catalog.slsa.sa.gov.au/record=b3017223</v>
      </c>
      <c r="C5394" s="1" t="str">
        <f>HYPERLINK("https://www.catalog.slsa.sa.gov.au/xrecord=b3017223")</f>
        <v>https://www.catalog.slsa.sa.gov.au/xrecord=b3017223</v>
      </c>
      <c r="D5394" t="s">
        <v>18855</v>
      </c>
      <c r="E5394" t="s">
        <v>18856</v>
      </c>
      <c r="F5394" t="s">
        <v>18857</v>
      </c>
      <c r="G5394" t="s">
        <v>18858</v>
      </c>
      <c r="H5394" t="s">
        <v>18859</v>
      </c>
      <c r="I5394" t="s">
        <v>18860</v>
      </c>
      <c r="J5394" t="s">
        <v>2510</v>
      </c>
      <c r="K5394" s="2" t="str">
        <f>HYPERLINK("http://collections.slsa.sa.gov.au/resource/B+74130/4")</f>
        <v>http://collections.slsa.sa.gov.au/resource/B+74130/4</v>
      </c>
    </row>
    <row r="5395" spans="1:11" x14ac:dyDescent="0.25">
      <c r="A5395" t="s">
        <v>18861</v>
      </c>
      <c r="B5395" s="1" t="str">
        <f>HYPERLINK("https://www.catalog.slsa.sa.gov.au/record=b3017226")</f>
        <v>https://www.catalog.slsa.sa.gov.au/record=b3017226</v>
      </c>
      <c r="C5395" s="1" t="str">
        <f>HYPERLINK("https://www.catalog.slsa.sa.gov.au/xrecord=b3017226")</f>
        <v>https://www.catalog.slsa.sa.gov.au/xrecord=b3017226</v>
      </c>
      <c r="D5395" t="s">
        <v>18855</v>
      </c>
      <c r="E5395" t="s">
        <v>18862</v>
      </c>
      <c r="F5395" t="s">
        <v>18857</v>
      </c>
      <c r="G5395" t="s">
        <v>18858</v>
      </c>
      <c r="H5395" t="s">
        <v>18863</v>
      </c>
      <c r="I5395" t="s">
        <v>18864</v>
      </c>
      <c r="J5395" t="s">
        <v>2510</v>
      </c>
      <c r="K5395" s="2" t="str">
        <f>HYPERLINK("http://collections.slsa.sa.gov.au/resource/B+74130/6")</f>
        <v>http://collections.slsa.sa.gov.au/resource/B+74130/6</v>
      </c>
    </row>
    <row r="5396" spans="1:11" x14ac:dyDescent="0.25">
      <c r="A5396" t="s">
        <v>18865</v>
      </c>
      <c r="B5396" s="1" t="str">
        <f>HYPERLINK("https://www.catalog.slsa.sa.gov.au/record=b3017229")</f>
        <v>https://www.catalog.slsa.sa.gov.au/record=b3017229</v>
      </c>
      <c r="C5396" s="1" t="str">
        <f>HYPERLINK("https://www.catalog.slsa.sa.gov.au/xrecord=b3017229")</f>
        <v>https://www.catalog.slsa.sa.gov.au/xrecord=b3017229</v>
      </c>
      <c r="D5396" t="s">
        <v>18855</v>
      </c>
      <c r="E5396" t="s">
        <v>18866</v>
      </c>
      <c r="F5396" t="s">
        <v>18857</v>
      </c>
      <c r="G5396" t="s">
        <v>18858</v>
      </c>
      <c r="H5396" t="s">
        <v>18867</v>
      </c>
      <c r="I5396" t="s">
        <v>18868</v>
      </c>
      <c r="J5396" t="s">
        <v>2510</v>
      </c>
      <c r="K5396" s="2" t="str">
        <f>HYPERLINK("http://collections.slsa.sa.gov.au/resource/B+74130/7")</f>
        <v>http://collections.slsa.sa.gov.au/resource/B+74130/7</v>
      </c>
    </row>
    <row r="5397" spans="1:11" x14ac:dyDescent="0.25">
      <c r="A5397" t="s">
        <v>18869</v>
      </c>
      <c r="B5397" s="1" t="str">
        <f>HYPERLINK("https://www.catalog.slsa.sa.gov.au/record=b3011456")</f>
        <v>https://www.catalog.slsa.sa.gov.au/record=b3011456</v>
      </c>
      <c r="C5397" s="1" t="str">
        <f>HYPERLINK("https://www.catalog.slsa.sa.gov.au/xrecord=b3011456")</f>
        <v>https://www.catalog.slsa.sa.gov.au/xrecord=b3011456</v>
      </c>
      <c r="E5397" t="s">
        <v>18870</v>
      </c>
      <c r="F5397" t="s">
        <v>3796</v>
      </c>
      <c r="G5397" t="s">
        <v>18871</v>
      </c>
      <c r="H5397" t="s">
        <v>18872</v>
      </c>
      <c r="I5397" t="s">
        <v>18873</v>
      </c>
      <c r="J5397" t="s">
        <v>18874</v>
      </c>
      <c r="K5397" s="2" t="str">
        <f>HYPERLINK("http://collections.slsa.sa.gov.au/resource/B+73978")</f>
        <v>http://collections.slsa.sa.gov.au/resource/B+73978</v>
      </c>
    </row>
    <row r="5398" spans="1:11" x14ac:dyDescent="0.25">
      <c r="A5398" t="s">
        <v>18875</v>
      </c>
      <c r="B5398" s="1" t="str">
        <f>HYPERLINK("https://www.catalog.slsa.sa.gov.au/record=b3011574")</f>
        <v>https://www.catalog.slsa.sa.gov.au/record=b3011574</v>
      </c>
      <c r="C5398" s="1" t="str">
        <f>HYPERLINK("https://www.catalog.slsa.sa.gov.au/xrecord=b3011574")</f>
        <v>https://www.catalog.slsa.sa.gov.au/xrecord=b3011574</v>
      </c>
      <c r="E5398" t="s">
        <v>18876</v>
      </c>
      <c r="F5398" t="s">
        <v>3796</v>
      </c>
      <c r="G5398" t="s">
        <v>18877</v>
      </c>
      <c r="H5398" t="s">
        <v>18878</v>
      </c>
      <c r="I5398" t="s">
        <v>18879</v>
      </c>
      <c r="J5398" t="s">
        <v>18874</v>
      </c>
      <c r="K5398" s="2" t="str">
        <f>HYPERLINK("http://collections.slsa.sa.gov.au/resource/B+73984")</f>
        <v>http://collections.slsa.sa.gov.au/resource/B+73984</v>
      </c>
    </row>
    <row r="5399" spans="1:11" x14ac:dyDescent="0.25">
      <c r="A5399" t="s">
        <v>18880</v>
      </c>
      <c r="B5399" s="1" t="str">
        <f>HYPERLINK("https://www.catalog.slsa.sa.gov.au/record=b2018604")</f>
        <v>https://www.catalog.slsa.sa.gov.au/record=b2018604</v>
      </c>
      <c r="C5399" s="1" t="str">
        <f>HYPERLINK("https://www.catalog.slsa.sa.gov.au/xrecord=b2018604")</f>
        <v>https://www.catalog.slsa.sa.gov.au/xrecord=b2018604</v>
      </c>
      <c r="E5399" t="s">
        <v>18881</v>
      </c>
      <c r="F5399">
        <v>1951</v>
      </c>
      <c r="G5399" t="s">
        <v>14809</v>
      </c>
      <c r="H5399" t="s">
        <v>18882</v>
      </c>
      <c r="I5399" t="s">
        <v>18883</v>
      </c>
      <c r="J5399" t="s">
        <v>14774</v>
      </c>
      <c r="K5399" s="2" t="str">
        <f>HYPERLINK("http://collections.slsa.sa.gov.au/mpcimg/39000/B38775.htm")</f>
        <v>http://collections.slsa.sa.gov.au/mpcimg/39000/B38775.htm</v>
      </c>
    </row>
    <row r="5400" spans="1:11" x14ac:dyDescent="0.25">
      <c r="A5400" t="s">
        <v>18884</v>
      </c>
      <c r="B5400" s="1" t="str">
        <f>HYPERLINK("https://www.catalog.slsa.sa.gov.au/record=b2018605")</f>
        <v>https://www.catalog.slsa.sa.gov.au/record=b2018605</v>
      </c>
      <c r="C5400" s="1" t="str">
        <f>HYPERLINK("https://www.catalog.slsa.sa.gov.au/xrecord=b2018605")</f>
        <v>https://www.catalog.slsa.sa.gov.au/xrecord=b2018605</v>
      </c>
      <c r="E5400" t="s">
        <v>18881</v>
      </c>
      <c r="F5400">
        <v>1951</v>
      </c>
      <c r="G5400" t="s">
        <v>14809</v>
      </c>
      <c r="H5400" t="s">
        <v>18885</v>
      </c>
      <c r="I5400" t="s">
        <v>18886</v>
      </c>
      <c r="J5400" t="s">
        <v>14774</v>
      </c>
      <c r="K5400" s="2" t="str">
        <f>HYPERLINK("http://collections.slsa.sa.gov.au/mpcimg/39000/B38776.htm")</f>
        <v>http://collections.slsa.sa.gov.au/mpcimg/39000/B38776.htm</v>
      </c>
    </row>
    <row r="5401" spans="1:11" x14ac:dyDescent="0.25">
      <c r="A5401" t="s">
        <v>18887</v>
      </c>
      <c r="B5401" s="1" t="str">
        <f>HYPERLINK("https://www.catalog.slsa.sa.gov.au/record=b2018804")</f>
        <v>https://www.catalog.slsa.sa.gov.au/record=b2018804</v>
      </c>
      <c r="C5401" s="1" t="str">
        <f>HYPERLINK("https://www.catalog.slsa.sa.gov.au/xrecord=b2018804")</f>
        <v>https://www.catalog.slsa.sa.gov.au/xrecord=b2018804</v>
      </c>
      <c r="E5401" t="s">
        <v>18888</v>
      </c>
      <c r="F5401">
        <v>1951</v>
      </c>
      <c r="G5401" t="s">
        <v>15164</v>
      </c>
      <c r="H5401" t="s">
        <v>18889</v>
      </c>
      <c r="I5401" t="s">
        <v>18890</v>
      </c>
      <c r="J5401" t="s">
        <v>18891</v>
      </c>
      <c r="K5401" s="2" t="str">
        <f>HYPERLINK("http://collections.slsa.sa.gov.au/mpcimg/18500/B18265.htm")</f>
        <v>http://collections.slsa.sa.gov.au/mpcimg/18500/B18265.htm</v>
      </c>
    </row>
    <row r="5402" spans="1:11" x14ac:dyDescent="0.25">
      <c r="A5402" t="s">
        <v>18892</v>
      </c>
      <c r="B5402" s="1" t="str">
        <f>HYPERLINK("https://www.catalog.slsa.sa.gov.au/record=b2018806")</f>
        <v>https://www.catalog.slsa.sa.gov.au/record=b2018806</v>
      </c>
      <c r="C5402" s="1" t="str">
        <f>HYPERLINK("https://www.catalog.slsa.sa.gov.au/xrecord=b2018806")</f>
        <v>https://www.catalog.slsa.sa.gov.au/xrecord=b2018806</v>
      </c>
      <c r="E5402" t="s">
        <v>18893</v>
      </c>
      <c r="F5402">
        <v>1951</v>
      </c>
      <c r="G5402" t="s">
        <v>15164</v>
      </c>
      <c r="H5402" t="s">
        <v>18894</v>
      </c>
      <c r="I5402" t="s">
        <v>18895</v>
      </c>
      <c r="J5402" t="s">
        <v>18891</v>
      </c>
      <c r="K5402" s="2" t="str">
        <f>HYPERLINK("http://collections.slsa.sa.gov.au/mpcimg/18500/B18267.htm")</f>
        <v>http://collections.slsa.sa.gov.au/mpcimg/18500/B18267.htm</v>
      </c>
    </row>
    <row r="5403" spans="1:11" x14ac:dyDescent="0.25">
      <c r="A5403" t="s">
        <v>18896</v>
      </c>
      <c r="B5403" s="1" t="str">
        <f>HYPERLINK("https://www.catalog.slsa.sa.gov.au/record=b2018807")</f>
        <v>https://www.catalog.slsa.sa.gov.au/record=b2018807</v>
      </c>
      <c r="C5403" s="1" t="str">
        <f>HYPERLINK("https://www.catalog.slsa.sa.gov.au/xrecord=b2018807")</f>
        <v>https://www.catalog.slsa.sa.gov.au/xrecord=b2018807</v>
      </c>
      <c r="E5403" t="s">
        <v>18897</v>
      </c>
      <c r="F5403">
        <v>1951</v>
      </c>
      <c r="G5403" t="s">
        <v>15164</v>
      </c>
      <c r="H5403" t="s">
        <v>18898</v>
      </c>
      <c r="I5403" t="s">
        <v>18899</v>
      </c>
      <c r="J5403" t="s">
        <v>18891</v>
      </c>
      <c r="K5403" s="2" t="str">
        <f>HYPERLINK("http://collections.slsa.sa.gov.au/mpcimg/18500/B18268.htm")</f>
        <v>http://collections.slsa.sa.gov.au/mpcimg/18500/B18268.htm</v>
      </c>
    </row>
    <row r="5404" spans="1:11" x14ac:dyDescent="0.25">
      <c r="A5404" t="s">
        <v>18900</v>
      </c>
      <c r="B5404" s="1" t="str">
        <f>HYPERLINK("https://www.catalog.slsa.sa.gov.au/record=b2019358")</f>
        <v>https://www.catalog.slsa.sa.gov.au/record=b2019358</v>
      </c>
      <c r="C5404" s="1" t="str">
        <f>HYPERLINK("https://www.catalog.slsa.sa.gov.au/xrecord=b2019358")</f>
        <v>https://www.catalog.slsa.sa.gov.au/xrecord=b2019358</v>
      </c>
      <c r="E5404" t="s">
        <v>18901</v>
      </c>
      <c r="F5404">
        <v>1951</v>
      </c>
      <c r="G5404" t="s">
        <v>14809</v>
      </c>
      <c r="H5404" t="s">
        <v>18902</v>
      </c>
      <c r="I5404" t="s">
        <v>18903</v>
      </c>
      <c r="J5404" t="s">
        <v>14796</v>
      </c>
      <c r="K5404" s="2" t="str">
        <f>HYPERLINK("http://collections.slsa.sa.gov.au/mpcimg/37000/B36936.htm")</f>
        <v>http://collections.slsa.sa.gov.au/mpcimg/37000/B36936.htm</v>
      </c>
    </row>
    <row r="5405" spans="1:11" x14ac:dyDescent="0.25">
      <c r="A5405" t="s">
        <v>18904</v>
      </c>
      <c r="B5405" s="1" t="str">
        <f>HYPERLINK("https://www.catalog.slsa.sa.gov.au/record=b2019359")</f>
        <v>https://www.catalog.slsa.sa.gov.au/record=b2019359</v>
      </c>
      <c r="C5405" s="1" t="str">
        <f>HYPERLINK("https://www.catalog.slsa.sa.gov.au/xrecord=b2019359")</f>
        <v>https://www.catalog.slsa.sa.gov.au/xrecord=b2019359</v>
      </c>
      <c r="E5405" t="s">
        <v>18901</v>
      </c>
      <c r="F5405">
        <v>1951</v>
      </c>
      <c r="G5405" t="s">
        <v>14809</v>
      </c>
      <c r="H5405" t="s">
        <v>18905</v>
      </c>
      <c r="I5405" t="s">
        <v>18903</v>
      </c>
      <c r="J5405" t="s">
        <v>14796</v>
      </c>
      <c r="K5405" s="2" t="str">
        <f>HYPERLINK("http://collections.slsa.sa.gov.au/mpcimg/37000/B36937.htm")</f>
        <v>http://collections.slsa.sa.gov.au/mpcimg/37000/B36937.htm</v>
      </c>
    </row>
    <row r="5406" spans="1:11" x14ac:dyDescent="0.25">
      <c r="A5406" t="s">
        <v>18906</v>
      </c>
      <c r="B5406" s="1" t="str">
        <f>HYPERLINK("https://www.catalog.slsa.sa.gov.au/record=b2019481")</f>
        <v>https://www.catalog.slsa.sa.gov.au/record=b2019481</v>
      </c>
      <c r="C5406" s="1" t="str">
        <f>HYPERLINK("https://www.catalog.slsa.sa.gov.au/xrecord=b2019481")</f>
        <v>https://www.catalog.slsa.sa.gov.au/xrecord=b2019481</v>
      </c>
      <c r="E5406" t="s">
        <v>18907</v>
      </c>
      <c r="F5406">
        <v>1951</v>
      </c>
      <c r="G5406" t="s">
        <v>18908</v>
      </c>
      <c r="H5406" t="s">
        <v>18909</v>
      </c>
      <c r="I5406" t="s">
        <v>18910</v>
      </c>
      <c r="J5406" t="s">
        <v>18911</v>
      </c>
      <c r="K5406" s="2" t="str">
        <f>HYPERLINK("http://collections.slsa.sa.gov.au/mpcimg/53500/B53388.htm")</f>
        <v>http://collections.slsa.sa.gov.au/mpcimg/53500/B53388.htm</v>
      </c>
    </row>
    <row r="5407" spans="1:11" x14ac:dyDescent="0.25">
      <c r="A5407" t="s">
        <v>18912</v>
      </c>
      <c r="B5407" s="1" t="str">
        <f>HYPERLINK("https://www.catalog.slsa.sa.gov.au/record=b2019839")</f>
        <v>https://www.catalog.slsa.sa.gov.au/record=b2019839</v>
      </c>
      <c r="C5407" s="1" t="str">
        <f>HYPERLINK("https://www.catalog.slsa.sa.gov.au/xrecord=b2019839")</f>
        <v>https://www.catalog.slsa.sa.gov.au/xrecord=b2019839</v>
      </c>
      <c r="E5407" t="s">
        <v>18913</v>
      </c>
      <c r="F5407">
        <v>1951</v>
      </c>
      <c r="G5407" t="s">
        <v>18914</v>
      </c>
      <c r="H5407" t="s">
        <v>18915</v>
      </c>
      <c r="I5407" t="s">
        <v>18916</v>
      </c>
      <c r="J5407" t="s">
        <v>15778</v>
      </c>
      <c r="K5407" s="2" t="str">
        <f>HYPERLINK("http://collections.slsa.sa.gov.au/mpcimg/42750/B42603.htm")</f>
        <v>http://collections.slsa.sa.gov.au/mpcimg/42750/B42603.htm</v>
      </c>
    </row>
    <row r="5408" spans="1:11" x14ac:dyDescent="0.25">
      <c r="A5408" t="s">
        <v>18917</v>
      </c>
      <c r="B5408" s="1" t="str">
        <f>HYPERLINK("https://www.catalog.slsa.sa.gov.au/record=b2019840")</f>
        <v>https://www.catalog.slsa.sa.gov.au/record=b2019840</v>
      </c>
      <c r="C5408" s="1" t="str">
        <f>HYPERLINK("https://www.catalog.slsa.sa.gov.au/xrecord=b2019840")</f>
        <v>https://www.catalog.slsa.sa.gov.au/xrecord=b2019840</v>
      </c>
      <c r="E5408" t="s">
        <v>18913</v>
      </c>
      <c r="F5408">
        <v>1951</v>
      </c>
      <c r="G5408" t="s">
        <v>18918</v>
      </c>
      <c r="H5408" t="s">
        <v>18919</v>
      </c>
      <c r="I5408" t="s">
        <v>18916</v>
      </c>
      <c r="J5408" t="s">
        <v>15778</v>
      </c>
      <c r="K5408" s="2" t="str">
        <f>HYPERLINK("http://collections.slsa.sa.gov.au/mpcimg/42750/B42604.htm")</f>
        <v>http://collections.slsa.sa.gov.au/mpcimg/42750/B42604.htm</v>
      </c>
    </row>
    <row r="5409" spans="1:11" x14ac:dyDescent="0.25">
      <c r="A5409" t="s">
        <v>18920</v>
      </c>
      <c r="B5409" s="1" t="str">
        <f>HYPERLINK("https://www.catalog.slsa.sa.gov.au/record=b2019841")</f>
        <v>https://www.catalog.slsa.sa.gov.au/record=b2019841</v>
      </c>
      <c r="C5409" s="1" t="str">
        <f>HYPERLINK("https://www.catalog.slsa.sa.gov.au/xrecord=b2019841")</f>
        <v>https://www.catalog.slsa.sa.gov.au/xrecord=b2019841</v>
      </c>
      <c r="E5409" t="s">
        <v>18913</v>
      </c>
      <c r="F5409">
        <v>1951</v>
      </c>
      <c r="G5409" t="s">
        <v>18921</v>
      </c>
      <c r="H5409" t="s">
        <v>18919</v>
      </c>
      <c r="I5409" t="s">
        <v>18916</v>
      </c>
      <c r="J5409" t="s">
        <v>15778</v>
      </c>
      <c r="K5409" s="2" t="str">
        <f>HYPERLINK("http://collections.slsa.sa.gov.au/mpcimg/42750/B42605.htm")</f>
        <v>http://collections.slsa.sa.gov.au/mpcimg/42750/B42605.htm</v>
      </c>
    </row>
    <row r="5410" spans="1:11" x14ac:dyDescent="0.25">
      <c r="A5410" t="s">
        <v>18922</v>
      </c>
      <c r="B5410" s="1" t="str">
        <f>HYPERLINK("https://www.catalog.slsa.sa.gov.au/record=b2019842")</f>
        <v>https://www.catalog.slsa.sa.gov.au/record=b2019842</v>
      </c>
      <c r="C5410" s="1" t="str">
        <f>HYPERLINK("https://www.catalog.slsa.sa.gov.au/xrecord=b2019842")</f>
        <v>https://www.catalog.slsa.sa.gov.au/xrecord=b2019842</v>
      </c>
      <c r="E5410" t="s">
        <v>18913</v>
      </c>
      <c r="F5410">
        <v>1951</v>
      </c>
      <c r="G5410" t="s">
        <v>18923</v>
      </c>
      <c r="H5410" t="s">
        <v>18924</v>
      </c>
      <c r="I5410" t="s">
        <v>18916</v>
      </c>
      <c r="J5410" t="s">
        <v>15778</v>
      </c>
      <c r="K5410" s="2" t="str">
        <f>HYPERLINK("http://collections.slsa.sa.gov.au/mpcimg/42750/B42606.htm")</f>
        <v>http://collections.slsa.sa.gov.au/mpcimg/42750/B42606.htm</v>
      </c>
    </row>
    <row r="5411" spans="1:11" x14ac:dyDescent="0.25">
      <c r="A5411" t="s">
        <v>18925</v>
      </c>
      <c r="B5411" s="1" t="str">
        <f>HYPERLINK("https://www.catalog.slsa.sa.gov.au/record=b2019843")</f>
        <v>https://www.catalog.slsa.sa.gov.au/record=b2019843</v>
      </c>
      <c r="C5411" s="1" t="str">
        <f>HYPERLINK("https://www.catalog.slsa.sa.gov.au/xrecord=b2019843")</f>
        <v>https://www.catalog.slsa.sa.gov.au/xrecord=b2019843</v>
      </c>
      <c r="E5411" t="s">
        <v>18913</v>
      </c>
      <c r="F5411">
        <v>1951</v>
      </c>
      <c r="G5411" t="s">
        <v>18926</v>
      </c>
      <c r="H5411" t="s">
        <v>18927</v>
      </c>
      <c r="I5411" t="s">
        <v>18916</v>
      </c>
      <c r="J5411" t="s">
        <v>15778</v>
      </c>
      <c r="K5411" s="2" t="str">
        <f>HYPERLINK("http://collections.slsa.sa.gov.au/mpcimg/42750/B42607.htm")</f>
        <v>http://collections.slsa.sa.gov.au/mpcimg/42750/B42607.htm</v>
      </c>
    </row>
    <row r="5412" spans="1:11" x14ac:dyDescent="0.25">
      <c r="A5412" t="s">
        <v>18928</v>
      </c>
      <c r="B5412" s="1" t="str">
        <f>HYPERLINK("https://www.catalog.slsa.sa.gov.au/record=b2019844")</f>
        <v>https://www.catalog.slsa.sa.gov.au/record=b2019844</v>
      </c>
      <c r="C5412" s="1" t="str">
        <f>HYPERLINK("https://www.catalog.slsa.sa.gov.au/xrecord=b2019844")</f>
        <v>https://www.catalog.slsa.sa.gov.au/xrecord=b2019844</v>
      </c>
      <c r="E5412" t="s">
        <v>18913</v>
      </c>
      <c r="F5412">
        <v>1951</v>
      </c>
      <c r="G5412" t="s">
        <v>18929</v>
      </c>
      <c r="H5412" t="s">
        <v>18930</v>
      </c>
      <c r="J5412" t="s">
        <v>15778</v>
      </c>
      <c r="K5412" s="2" t="str">
        <f>HYPERLINK("http://collections.slsa.sa.gov.au/mpcimg/42750/B42608.htm")</f>
        <v>http://collections.slsa.sa.gov.au/mpcimg/42750/B42608.htm</v>
      </c>
    </row>
    <row r="5413" spans="1:11" x14ac:dyDescent="0.25">
      <c r="A5413" t="s">
        <v>18931</v>
      </c>
      <c r="B5413" s="1" t="str">
        <f>HYPERLINK("https://www.catalog.slsa.sa.gov.au/record=b2019845")</f>
        <v>https://www.catalog.slsa.sa.gov.au/record=b2019845</v>
      </c>
      <c r="C5413" s="1" t="str">
        <f>HYPERLINK("https://www.catalog.slsa.sa.gov.au/xrecord=b2019845")</f>
        <v>https://www.catalog.slsa.sa.gov.au/xrecord=b2019845</v>
      </c>
      <c r="E5413" t="s">
        <v>18913</v>
      </c>
      <c r="F5413">
        <v>1951</v>
      </c>
      <c r="G5413" t="s">
        <v>18921</v>
      </c>
      <c r="H5413" t="s">
        <v>18932</v>
      </c>
      <c r="I5413" t="s">
        <v>18916</v>
      </c>
      <c r="J5413" t="s">
        <v>15778</v>
      </c>
      <c r="K5413" s="2" t="str">
        <f>HYPERLINK("http://collections.slsa.sa.gov.au/mpcimg/42750/B42609.htm")</f>
        <v>http://collections.slsa.sa.gov.au/mpcimg/42750/B42609.htm</v>
      </c>
    </row>
    <row r="5414" spans="1:11" x14ac:dyDescent="0.25">
      <c r="A5414" t="s">
        <v>18933</v>
      </c>
      <c r="B5414" s="1" t="str">
        <f>HYPERLINK("https://www.catalog.slsa.sa.gov.au/record=b2021086")</f>
        <v>https://www.catalog.slsa.sa.gov.au/record=b2021086</v>
      </c>
      <c r="C5414" s="1" t="str">
        <f>HYPERLINK("https://www.catalog.slsa.sa.gov.au/xrecord=b2021086")</f>
        <v>https://www.catalog.slsa.sa.gov.au/xrecord=b2021086</v>
      </c>
      <c r="E5414" t="s">
        <v>18934</v>
      </c>
      <c r="F5414">
        <v>1951</v>
      </c>
      <c r="G5414" t="s">
        <v>15164</v>
      </c>
      <c r="H5414" t="s">
        <v>18935</v>
      </c>
      <c r="J5414" t="s">
        <v>18936</v>
      </c>
      <c r="K5414" s="2" t="str">
        <f>HYPERLINK("http://collections.slsa.sa.gov.au/mpcimg/18250/B18203.htm")</f>
        <v>http://collections.slsa.sa.gov.au/mpcimg/18250/B18203.htm</v>
      </c>
    </row>
    <row r="5415" spans="1:11" x14ac:dyDescent="0.25">
      <c r="A5415" t="s">
        <v>18937</v>
      </c>
      <c r="B5415" s="1" t="str">
        <f>HYPERLINK("https://www.catalog.slsa.sa.gov.au/record=b2021512")</f>
        <v>https://www.catalog.slsa.sa.gov.au/record=b2021512</v>
      </c>
      <c r="C5415" s="1" t="str">
        <f>HYPERLINK("https://www.catalog.slsa.sa.gov.au/xrecord=b2021512")</f>
        <v>https://www.catalog.slsa.sa.gov.au/xrecord=b2021512</v>
      </c>
      <c r="E5415" t="s">
        <v>18938</v>
      </c>
      <c r="F5415">
        <v>1951</v>
      </c>
      <c r="G5415" t="s">
        <v>18939</v>
      </c>
      <c r="H5415" t="s">
        <v>15840</v>
      </c>
      <c r="I5415" t="s">
        <v>18940</v>
      </c>
      <c r="J5415" t="s">
        <v>15820</v>
      </c>
      <c r="K5415" s="2" t="str">
        <f>HYPERLINK("http://collections.slsa.sa.gov.au/mpcimg/35750/B35749.htm")</f>
        <v>http://collections.slsa.sa.gov.au/mpcimg/35750/B35749.htm</v>
      </c>
    </row>
    <row r="5416" spans="1:11" x14ac:dyDescent="0.25">
      <c r="A5416" t="s">
        <v>18941</v>
      </c>
      <c r="B5416" s="1" t="str">
        <f>HYPERLINK("https://www.catalog.slsa.sa.gov.au/record=b2021515")</f>
        <v>https://www.catalog.slsa.sa.gov.au/record=b2021515</v>
      </c>
      <c r="C5416" s="1" t="str">
        <f>HYPERLINK("https://www.catalog.slsa.sa.gov.au/xrecord=b2021515")</f>
        <v>https://www.catalog.slsa.sa.gov.au/xrecord=b2021515</v>
      </c>
      <c r="E5416" t="s">
        <v>18942</v>
      </c>
      <c r="F5416">
        <v>1951</v>
      </c>
      <c r="G5416" t="s">
        <v>15847</v>
      </c>
      <c r="H5416" t="s">
        <v>18943</v>
      </c>
      <c r="J5416" t="s">
        <v>15820</v>
      </c>
      <c r="K5416" s="2" t="str">
        <f>HYPERLINK("http://collections.slsa.sa.gov.au/mpcimg/36000/B35752.htm")</f>
        <v>http://collections.slsa.sa.gov.au/mpcimg/36000/B35752.htm</v>
      </c>
    </row>
    <row r="5417" spans="1:11" x14ac:dyDescent="0.25">
      <c r="A5417" t="s">
        <v>18944</v>
      </c>
      <c r="B5417" s="1" t="str">
        <f>HYPERLINK("https://www.catalog.slsa.sa.gov.au/record=b2023439")</f>
        <v>https://www.catalog.slsa.sa.gov.au/record=b2023439</v>
      </c>
      <c r="C5417" s="1" t="str">
        <f>HYPERLINK("https://www.catalog.slsa.sa.gov.au/xrecord=b2023439")</f>
        <v>https://www.catalog.slsa.sa.gov.au/xrecord=b2023439</v>
      </c>
      <c r="E5417" t="s">
        <v>18945</v>
      </c>
      <c r="F5417">
        <v>1951</v>
      </c>
      <c r="G5417" t="s">
        <v>18946</v>
      </c>
      <c r="H5417" t="s">
        <v>18947</v>
      </c>
      <c r="I5417" t="s">
        <v>18948</v>
      </c>
      <c r="J5417" t="s">
        <v>18949</v>
      </c>
      <c r="K5417" s="2" t="str">
        <f>HYPERLINK("http://collections.slsa.sa.gov.au/mpcimg/50750/B50704.htm")</f>
        <v>http://collections.slsa.sa.gov.au/mpcimg/50750/B50704.htm</v>
      </c>
    </row>
    <row r="5418" spans="1:11" x14ac:dyDescent="0.25">
      <c r="A5418" t="s">
        <v>18950</v>
      </c>
      <c r="B5418" s="1" t="str">
        <f>HYPERLINK("https://www.catalog.slsa.sa.gov.au/record=b2024443")</f>
        <v>https://www.catalog.slsa.sa.gov.au/record=b2024443</v>
      </c>
      <c r="C5418" s="1" t="str">
        <f>HYPERLINK("https://www.catalog.slsa.sa.gov.au/xrecord=b2024443")</f>
        <v>https://www.catalog.slsa.sa.gov.au/xrecord=b2024443</v>
      </c>
      <c r="D5418" t="s">
        <v>16303</v>
      </c>
      <c r="E5418" t="s">
        <v>14869</v>
      </c>
      <c r="F5418">
        <v>1951</v>
      </c>
      <c r="G5418" t="s">
        <v>14771</v>
      </c>
      <c r="H5418" t="s">
        <v>18951</v>
      </c>
      <c r="J5418" t="s">
        <v>18952</v>
      </c>
      <c r="K5418" s="2" t="str">
        <f>HYPERLINK("http://collections.slsa.sa.gov.au/mpcimg/19500/B19421.htm")</f>
        <v>http://collections.slsa.sa.gov.au/mpcimg/19500/B19421.htm</v>
      </c>
    </row>
    <row r="5419" spans="1:11" x14ac:dyDescent="0.25">
      <c r="A5419" t="s">
        <v>18953</v>
      </c>
      <c r="B5419" s="1" t="str">
        <f>HYPERLINK("https://www.catalog.slsa.sa.gov.au/record=b2024444")</f>
        <v>https://www.catalog.slsa.sa.gov.au/record=b2024444</v>
      </c>
      <c r="C5419" s="1" t="str">
        <f>HYPERLINK("https://www.catalog.slsa.sa.gov.au/xrecord=b2024444")</f>
        <v>https://www.catalog.slsa.sa.gov.au/xrecord=b2024444</v>
      </c>
      <c r="D5419" t="s">
        <v>16303</v>
      </c>
      <c r="E5419" t="s">
        <v>14869</v>
      </c>
      <c r="F5419">
        <v>1951</v>
      </c>
      <c r="G5419" t="s">
        <v>16674</v>
      </c>
      <c r="H5419" t="s">
        <v>18951</v>
      </c>
      <c r="J5419" t="s">
        <v>18952</v>
      </c>
      <c r="K5419" s="2" t="str">
        <f>HYPERLINK("http://collections.slsa.sa.gov.au/mpcimg/19500/B19422.htm")</f>
        <v>http://collections.slsa.sa.gov.au/mpcimg/19500/B19422.htm</v>
      </c>
    </row>
    <row r="5420" spans="1:11" x14ac:dyDescent="0.25">
      <c r="A5420" t="s">
        <v>18954</v>
      </c>
      <c r="B5420" s="1" t="str">
        <f>HYPERLINK("https://www.catalog.slsa.sa.gov.au/record=b2024445")</f>
        <v>https://www.catalog.slsa.sa.gov.au/record=b2024445</v>
      </c>
      <c r="C5420" s="1" t="str">
        <f>HYPERLINK("https://www.catalog.slsa.sa.gov.au/xrecord=b2024445")</f>
        <v>https://www.catalog.slsa.sa.gov.au/xrecord=b2024445</v>
      </c>
      <c r="D5420" t="s">
        <v>16303</v>
      </c>
      <c r="E5420" t="s">
        <v>14869</v>
      </c>
      <c r="F5420">
        <v>1951</v>
      </c>
      <c r="G5420" t="s">
        <v>14771</v>
      </c>
      <c r="H5420" t="s">
        <v>18955</v>
      </c>
      <c r="J5420" t="s">
        <v>18952</v>
      </c>
      <c r="K5420" s="2" t="str">
        <f>HYPERLINK("http://collections.slsa.sa.gov.au/mpcimg/19500/B19423.htm")</f>
        <v>http://collections.slsa.sa.gov.au/mpcimg/19500/B19423.htm</v>
      </c>
    </row>
    <row r="5421" spans="1:11" x14ac:dyDescent="0.25">
      <c r="A5421" t="s">
        <v>18956</v>
      </c>
      <c r="B5421" s="1" t="str">
        <f>HYPERLINK("https://www.catalog.slsa.sa.gov.au/record=b2024446")</f>
        <v>https://www.catalog.slsa.sa.gov.au/record=b2024446</v>
      </c>
      <c r="C5421" s="1" t="str">
        <f>HYPERLINK("https://www.catalog.slsa.sa.gov.au/xrecord=b2024446")</f>
        <v>https://www.catalog.slsa.sa.gov.au/xrecord=b2024446</v>
      </c>
      <c r="D5421" t="s">
        <v>16303</v>
      </c>
      <c r="E5421" t="s">
        <v>14869</v>
      </c>
      <c r="F5421">
        <v>1951</v>
      </c>
      <c r="G5421" t="s">
        <v>14771</v>
      </c>
      <c r="H5421" t="s">
        <v>18955</v>
      </c>
      <c r="J5421" t="s">
        <v>18952</v>
      </c>
      <c r="K5421" s="2" t="str">
        <f>HYPERLINK("http://collections.slsa.sa.gov.au/mpcimg/19500/B19424.htm")</f>
        <v>http://collections.slsa.sa.gov.au/mpcimg/19500/B19424.htm</v>
      </c>
    </row>
    <row r="5422" spans="1:11" x14ac:dyDescent="0.25">
      <c r="A5422" t="s">
        <v>18957</v>
      </c>
      <c r="B5422" s="1" t="str">
        <f>HYPERLINK("https://www.catalog.slsa.sa.gov.au/record=b2024815")</f>
        <v>https://www.catalog.slsa.sa.gov.au/record=b2024815</v>
      </c>
      <c r="C5422" s="1" t="str">
        <f>HYPERLINK("https://www.catalog.slsa.sa.gov.au/xrecord=b2024815")</f>
        <v>https://www.catalog.slsa.sa.gov.au/xrecord=b2024815</v>
      </c>
      <c r="E5422" t="s">
        <v>18958</v>
      </c>
      <c r="F5422">
        <v>1951</v>
      </c>
      <c r="G5422" t="s">
        <v>15192</v>
      </c>
      <c r="H5422" t="s">
        <v>18959</v>
      </c>
      <c r="I5422" t="s">
        <v>15938</v>
      </c>
      <c r="J5422" t="s">
        <v>15933</v>
      </c>
      <c r="K5422" s="2" t="str">
        <f>HYPERLINK("http://collections.slsa.sa.gov.au/mpcimg/21750/B21731.htm")</f>
        <v>http://collections.slsa.sa.gov.au/mpcimg/21750/B21731.htm</v>
      </c>
    </row>
    <row r="5423" spans="1:11" x14ac:dyDescent="0.25">
      <c r="A5423" t="s">
        <v>18960</v>
      </c>
      <c r="B5423" s="1" t="str">
        <f>HYPERLINK("https://www.catalog.slsa.sa.gov.au/record=b2024858")</f>
        <v>https://www.catalog.slsa.sa.gov.au/record=b2024858</v>
      </c>
      <c r="C5423" s="1" t="str">
        <f>HYPERLINK("https://www.catalog.slsa.sa.gov.au/xrecord=b2024858")</f>
        <v>https://www.catalog.slsa.sa.gov.au/xrecord=b2024858</v>
      </c>
      <c r="D5423" t="s">
        <v>16303</v>
      </c>
      <c r="E5423" t="s">
        <v>18961</v>
      </c>
      <c r="F5423">
        <v>1951</v>
      </c>
      <c r="G5423" t="s">
        <v>18962</v>
      </c>
      <c r="H5423" t="s">
        <v>15941</v>
      </c>
      <c r="I5423" t="s">
        <v>15938</v>
      </c>
      <c r="J5423" t="s">
        <v>18963</v>
      </c>
      <c r="K5423" s="2" t="str">
        <f>HYPERLINK("http://collections.slsa.sa.gov.au/mpcimg/44750/B44533.htm")</f>
        <v>http://collections.slsa.sa.gov.au/mpcimg/44750/B44533.htm</v>
      </c>
    </row>
    <row r="5424" spans="1:11" x14ac:dyDescent="0.25">
      <c r="A5424" t="s">
        <v>18964</v>
      </c>
      <c r="B5424" s="1" t="str">
        <f>HYPERLINK("https://www.catalog.slsa.sa.gov.au/record=b2026461")</f>
        <v>https://www.catalog.slsa.sa.gov.au/record=b2026461</v>
      </c>
      <c r="C5424" s="1" t="str">
        <f>HYPERLINK("https://www.catalog.slsa.sa.gov.au/xrecord=b2026461")</f>
        <v>https://www.catalog.slsa.sa.gov.au/xrecord=b2026461</v>
      </c>
      <c r="E5424" t="s">
        <v>18965</v>
      </c>
      <c r="F5424">
        <v>1951</v>
      </c>
      <c r="G5424" t="s">
        <v>15164</v>
      </c>
      <c r="H5424" t="s">
        <v>18966</v>
      </c>
      <c r="J5424" t="s">
        <v>14892</v>
      </c>
      <c r="K5424" s="2" t="str">
        <f>HYPERLINK("http://collections.slsa.sa.gov.au/mpcimg/18250/B18217.htm")</f>
        <v>http://collections.slsa.sa.gov.au/mpcimg/18250/B18217.htm</v>
      </c>
    </row>
    <row r="5425" spans="1:11" x14ac:dyDescent="0.25">
      <c r="A5425" t="s">
        <v>18967</v>
      </c>
      <c r="B5425" s="1" t="str">
        <f>HYPERLINK("https://www.catalog.slsa.sa.gov.au/record=b2026472")</f>
        <v>https://www.catalog.slsa.sa.gov.au/record=b2026472</v>
      </c>
      <c r="C5425" s="1" t="str">
        <f>HYPERLINK("https://www.catalog.slsa.sa.gov.au/xrecord=b2026472")</f>
        <v>https://www.catalog.slsa.sa.gov.au/xrecord=b2026472</v>
      </c>
      <c r="E5425" t="s">
        <v>18968</v>
      </c>
      <c r="F5425">
        <v>1951</v>
      </c>
      <c r="G5425" t="s">
        <v>16263</v>
      </c>
      <c r="H5425" t="s">
        <v>18969</v>
      </c>
      <c r="I5425" t="s">
        <v>18970</v>
      </c>
      <c r="J5425" t="s">
        <v>14892</v>
      </c>
      <c r="K5425" s="2" t="str">
        <f>HYPERLINK("http://collections.slsa.sa.gov.au/mpcimg/26750/B26601.htm")</f>
        <v>http://collections.slsa.sa.gov.au/mpcimg/26750/B26601.htm</v>
      </c>
    </row>
    <row r="5426" spans="1:11" x14ac:dyDescent="0.25">
      <c r="A5426" t="s">
        <v>18971</v>
      </c>
      <c r="B5426" s="1" t="str">
        <f>HYPERLINK("https://www.catalog.slsa.sa.gov.au/record=b2027918")</f>
        <v>https://www.catalog.slsa.sa.gov.au/record=b2027918</v>
      </c>
      <c r="C5426" s="1" t="str">
        <f>HYPERLINK("https://www.catalog.slsa.sa.gov.au/xrecord=b2027918")</f>
        <v>https://www.catalog.slsa.sa.gov.au/xrecord=b2027918</v>
      </c>
      <c r="D5426" t="s">
        <v>14894</v>
      </c>
      <c r="E5426" t="s">
        <v>14895</v>
      </c>
      <c r="F5426">
        <v>1951</v>
      </c>
      <c r="G5426" t="s">
        <v>18972</v>
      </c>
      <c r="H5426" t="s">
        <v>18973</v>
      </c>
      <c r="I5426" t="s">
        <v>18974</v>
      </c>
      <c r="J5426" t="s">
        <v>14899</v>
      </c>
      <c r="K5426" s="2" t="str">
        <f>HYPERLINK("http://collections.slsa.sa.gov.au/mpcimg/20500/B20303.htm")</f>
        <v>http://collections.slsa.sa.gov.au/mpcimg/20500/B20303.htm</v>
      </c>
    </row>
    <row r="5427" spans="1:11" x14ac:dyDescent="0.25">
      <c r="A5427" t="s">
        <v>18975</v>
      </c>
      <c r="B5427" s="1" t="str">
        <f>HYPERLINK("https://www.catalog.slsa.sa.gov.au/record=b2029733")</f>
        <v>https://www.catalog.slsa.sa.gov.au/record=b2029733</v>
      </c>
      <c r="C5427" s="1" t="str">
        <f>HYPERLINK("https://www.catalog.slsa.sa.gov.au/xrecord=b2029733")</f>
        <v>https://www.catalog.slsa.sa.gov.au/xrecord=b2029733</v>
      </c>
      <c r="E5427" t="s">
        <v>18976</v>
      </c>
      <c r="F5427">
        <v>1951</v>
      </c>
      <c r="G5427" t="s">
        <v>14809</v>
      </c>
      <c r="H5427" t="s">
        <v>18977</v>
      </c>
      <c r="I5427" t="s">
        <v>18978</v>
      </c>
      <c r="J5427" t="s">
        <v>16076</v>
      </c>
      <c r="K5427" s="2" t="str">
        <f>HYPERLINK("http://collections.slsa.sa.gov.au/mpcimg/36500/B36430.htm")</f>
        <v>http://collections.slsa.sa.gov.au/mpcimg/36500/B36430.htm</v>
      </c>
    </row>
    <row r="5428" spans="1:11" x14ac:dyDescent="0.25">
      <c r="A5428" t="s">
        <v>18979</v>
      </c>
      <c r="B5428" s="1" t="str">
        <f>HYPERLINK("https://www.catalog.slsa.sa.gov.au/record=b2029950")</f>
        <v>https://www.catalog.slsa.sa.gov.au/record=b2029950</v>
      </c>
      <c r="C5428" s="1" t="str">
        <f>HYPERLINK("https://www.catalog.slsa.sa.gov.au/xrecord=b2029950")</f>
        <v>https://www.catalog.slsa.sa.gov.au/xrecord=b2029950</v>
      </c>
      <c r="E5428" t="s">
        <v>18980</v>
      </c>
      <c r="F5428">
        <v>1951</v>
      </c>
      <c r="G5428" t="s">
        <v>18981</v>
      </c>
      <c r="H5428" t="s">
        <v>18982</v>
      </c>
      <c r="I5428" t="s">
        <v>18983</v>
      </c>
      <c r="J5428" t="s">
        <v>14916</v>
      </c>
      <c r="K5428" s="2" t="str">
        <f>HYPERLINK("http://collections.slsa.sa.gov.au/mpcimg/41500/B41468.htm")</f>
        <v>http://collections.slsa.sa.gov.au/mpcimg/41500/B41468.htm</v>
      </c>
    </row>
    <row r="5429" spans="1:11" x14ac:dyDescent="0.25">
      <c r="A5429" t="s">
        <v>18984</v>
      </c>
      <c r="B5429" s="1" t="str">
        <f>HYPERLINK("https://www.catalog.slsa.sa.gov.au/record=b2029983")</f>
        <v>https://www.catalog.slsa.sa.gov.au/record=b2029983</v>
      </c>
      <c r="C5429" s="1" t="str">
        <f>HYPERLINK("https://www.catalog.slsa.sa.gov.au/xrecord=b2029983")</f>
        <v>https://www.catalog.slsa.sa.gov.au/xrecord=b2029983</v>
      </c>
      <c r="E5429" t="s">
        <v>18985</v>
      </c>
      <c r="F5429">
        <v>1951</v>
      </c>
      <c r="G5429" t="s">
        <v>16088</v>
      </c>
      <c r="H5429" t="s">
        <v>18986</v>
      </c>
      <c r="I5429" t="s">
        <v>18987</v>
      </c>
      <c r="J5429" t="s">
        <v>14916</v>
      </c>
      <c r="K5429" s="2" t="str">
        <f>HYPERLINK("http://collections.slsa.sa.gov.au/mpcimg/41750/B41501.htm")</f>
        <v>http://collections.slsa.sa.gov.au/mpcimg/41750/B41501.htm</v>
      </c>
    </row>
    <row r="5430" spans="1:11" x14ac:dyDescent="0.25">
      <c r="A5430" t="s">
        <v>18988</v>
      </c>
      <c r="B5430" s="1" t="str">
        <f>HYPERLINK("https://www.catalog.slsa.sa.gov.au/record=b2032059")</f>
        <v>https://www.catalog.slsa.sa.gov.au/record=b2032059</v>
      </c>
      <c r="C5430" s="1" t="str">
        <f>HYPERLINK("https://www.catalog.slsa.sa.gov.au/xrecord=b2032059")</f>
        <v>https://www.catalog.slsa.sa.gov.au/xrecord=b2032059</v>
      </c>
      <c r="E5430" t="s">
        <v>18989</v>
      </c>
      <c r="F5430">
        <v>1951</v>
      </c>
      <c r="G5430" t="s">
        <v>18990</v>
      </c>
      <c r="H5430" t="s">
        <v>18991</v>
      </c>
      <c r="J5430" t="s">
        <v>2963</v>
      </c>
      <c r="K5430" s="2" t="str">
        <f>HYPERLINK("http://collections.slsa.sa.gov.au/mpcimg/42750/B42579.htm")</f>
        <v>http://collections.slsa.sa.gov.au/mpcimg/42750/B42579.htm</v>
      </c>
    </row>
    <row r="5431" spans="1:11" x14ac:dyDescent="0.25">
      <c r="A5431" t="s">
        <v>18992</v>
      </c>
      <c r="B5431" s="1" t="str">
        <f>HYPERLINK("https://www.catalog.slsa.sa.gov.au/record=b2033966")</f>
        <v>https://www.catalog.slsa.sa.gov.au/record=b2033966</v>
      </c>
      <c r="C5431" s="1" t="str">
        <f>HYPERLINK("https://www.catalog.slsa.sa.gov.au/xrecord=b2033966")</f>
        <v>https://www.catalog.slsa.sa.gov.au/xrecord=b2033966</v>
      </c>
      <c r="D5431" t="s">
        <v>18993</v>
      </c>
      <c r="E5431" t="s">
        <v>18994</v>
      </c>
      <c r="F5431">
        <v>1951</v>
      </c>
      <c r="G5431" t="s">
        <v>18995</v>
      </c>
      <c r="H5431" t="s">
        <v>18996</v>
      </c>
      <c r="I5431" t="s">
        <v>18997</v>
      </c>
      <c r="J5431" t="s">
        <v>18998</v>
      </c>
      <c r="K5431" s="2" t="str">
        <f>HYPERLINK("http://collections.slsa.sa.gov.au/mpcimg/41250/B41144.htm")</f>
        <v>http://collections.slsa.sa.gov.au/mpcimg/41250/B41144.htm</v>
      </c>
    </row>
    <row r="5432" spans="1:11" x14ac:dyDescent="0.25">
      <c r="A5432" t="s">
        <v>18999</v>
      </c>
      <c r="B5432" s="1" t="str">
        <f>HYPERLINK("https://www.catalog.slsa.sa.gov.au/record=b2033967")</f>
        <v>https://www.catalog.slsa.sa.gov.au/record=b2033967</v>
      </c>
      <c r="C5432" s="1" t="str">
        <f>HYPERLINK("https://www.catalog.slsa.sa.gov.au/xrecord=b2033967")</f>
        <v>https://www.catalog.slsa.sa.gov.au/xrecord=b2033967</v>
      </c>
      <c r="E5432" t="s">
        <v>18994</v>
      </c>
      <c r="F5432">
        <v>1951</v>
      </c>
      <c r="G5432" t="s">
        <v>18995</v>
      </c>
      <c r="H5432" t="s">
        <v>19000</v>
      </c>
      <c r="I5432" t="s">
        <v>18997</v>
      </c>
      <c r="J5432" t="s">
        <v>18998</v>
      </c>
      <c r="K5432" s="2" t="str">
        <f>HYPERLINK("http://collections.slsa.sa.gov.au/mpcimg/41250/B41145.htm")</f>
        <v>http://collections.slsa.sa.gov.au/mpcimg/41250/B41145.htm</v>
      </c>
    </row>
    <row r="5433" spans="1:11" x14ac:dyDescent="0.25">
      <c r="A5433" t="s">
        <v>19001</v>
      </c>
      <c r="B5433" s="1" t="str">
        <f>HYPERLINK("https://www.catalog.slsa.sa.gov.au/record=b2033968")</f>
        <v>https://www.catalog.slsa.sa.gov.au/record=b2033968</v>
      </c>
      <c r="C5433" s="1" t="str">
        <f>HYPERLINK("https://www.catalog.slsa.sa.gov.au/xrecord=b2033968")</f>
        <v>https://www.catalog.slsa.sa.gov.au/xrecord=b2033968</v>
      </c>
      <c r="D5433" t="s">
        <v>18993</v>
      </c>
      <c r="E5433" t="s">
        <v>18994</v>
      </c>
      <c r="F5433">
        <v>1951</v>
      </c>
      <c r="G5433" t="s">
        <v>18995</v>
      </c>
      <c r="H5433" t="s">
        <v>19002</v>
      </c>
      <c r="I5433" t="s">
        <v>18997</v>
      </c>
      <c r="J5433" t="s">
        <v>18998</v>
      </c>
      <c r="K5433" s="2" t="str">
        <f>HYPERLINK("http://collections.slsa.sa.gov.au/mpcimg/41250/B41146.htm")</f>
        <v>http://collections.slsa.sa.gov.au/mpcimg/41250/B41146.htm</v>
      </c>
    </row>
    <row r="5434" spans="1:11" x14ac:dyDescent="0.25">
      <c r="A5434" t="s">
        <v>19003</v>
      </c>
      <c r="B5434" s="1" t="str">
        <f>HYPERLINK("https://www.catalog.slsa.sa.gov.au/record=b2033969")</f>
        <v>https://www.catalog.slsa.sa.gov.au/record=b2033969</v>
      </c>
      <c r="C5434" s="1" t="str">
        <f>HYPERLINK("https://www.catalog.slsa.sa.gov.au/xrecord=b2033969")</f>
        <v>https://www.catalog.slsa.sa.gov.au/xrecord=b2033969</v>
      </c>
      <c r="D5434" t="s">
        <v>18993</v>
      </c>
      <c r="E5434" t="s">
        <v>18994</v>
      </c>
      <c r="F5434">
        <v>1951</v>
      </c>
      <c r="G5434" t="s">
        <v>18995</v>
      </c>
      <c r="H5434" t="s">
        <v>19004</v>
      </c>
      <c r="I5434" t="s">
        <v>18997</v>
      </c>
      <c r="J5434" t="s">
        <v>18998</v>
      </c>
      <c r="K5434" s="2" t="str">
        <f>HYPERLINK("http://collections.slsa.sa.gov.au/mpcimg/41250/B41147.htm")</f>
        <v>http://collections.slsa.sa.gov.au/mpcimg/41250/B41147.htm</v>
      </c>
    </row>
    <row r="5435" spans="1:11" x14ac:dyDescent="0.25">
      <c r="A5435" t="s">
        <v>19005</v>
      </c>
      <c r="B5435" s="1" t="str">
        <f>HYPERLINK("https://www.catalog.slsa.sa.gov.au/record=b2033970")</f>
        <v>https://www.catalog.slsa.sa.gov.au/record=b2033970</v>
      </c>
      <c r="C5435" s="1" t="str">
        <f>HYPERLINK("https://www.catalog.slsa.sa.gov.au/xrecord=b2033970")</f>
        <v>https://www.catalog.slsa.sa.gov.au/xrecord=b2033970</v>
      </c>
      <c r="D5435" t="s">
        <v>18993</v>
      </c>
      <c r="E5435" t="s">
        <v>19006</v>
      </c>
      <c r="F5435">
        <v>1951</v>
      </c>
      <c r="G5435" t="s">
        <v>18995</v>
      </c>
      <c r="H5435" t="s">
        <v>19007</v>
      </c>
      <c r="I5435" t="s">
        <v>19008</v>
      </c>
      <c r="J5435" t="s">
        <v>18998</v>
      </c>
      <c r="K5435" s="2" t="str">
        <f>HYPERLINK("http://collections.slsa.sa.gov.au/mpcimg/41250/B41148.htm")</f>
        <v>http://collections.slsa.sa.gov.au/mpcimg/41250/B41148.htm</v>
      </c>
    </row>
    <row r="5436" spans="1:11" x14ac:dyDescent="0.25">
      <c r="A5436" t="s">
        <v>19009</v>
      </c>
      <c r="B5436" s="1" t="str">
        <f>HYPERLINK("https://www.catalog.slsa.sa.gov.au/record=b2035738")</f>
        <v>https://www.catalog.slsa.sa.gov.au/record=b2035738</v>
      </c>
      <c r="C5436" s="1" t="str">
        <f>HYPERLINK("https://www.catalog.slsa.sa.gov.au/xrecord=b2035738")</f>
        <v>https://www.catalog.slsa.sa.gov.au/xrecord=b2035738</v>
      </c>
      <c r="E5436" t="s">
        <v>19010</v>
      </c>
      <c r="F5436">
        <v>1951</v>
      </c>
      <c r="G5436" t="s">
        <v>19011</v>
      </c>
      <c r="H5436" t="s">
        <v>19012</v>
      </c>
      <c r="J5436" t="s">
        <v>15013</v>
      </c>
      <c r="K5436" s="2" t="str">
        <f>HYPERLINK("http://collections.slsa.sa.gov.au/mpcimg/17250/B17168.htm")</f>
        <v>http://collections.slsa.sa.gov.au/mpcimg/17250/B17168.htm</v>
      </c>
    </row>
    <row r="5437" spans="1:11" x14ac:dyDescent="0.25">
      <c r="A5437" t="s">
        <v>19013</v>
      </c>
      <c r="B5437" s="1" t="str">
        <f>HYPERLINK("https://www.catalog.slsa.sa.gov.au/record=b2035739")</f>
        <v>https://www.catalog.slsa.sa.gov.au/record=b2035739</v>
      </c>
      <c r="C5437" s="1" t="str">
        <f>HYPERLINK("https://www.catalog.slsa.sa.gov.au/xrecord=b2035739")</f>
        <v>https://www.catalog.slsa.sa.gov.au/xrecord=b2035739</v>
      </c>
      <c r="E5437" t="s">
        <v>19010</v>
      </c>
      <c r="F5437">
        <v>1951</v>
      </c>
      <c r="G5437" t="s">
        <v>19011</v>
      </c>
      <c r="H5437" t="s">
        <v>19012</v>
      </c>
      <c r="J5437" t="s">
        <v>15013</v>
      </c>
      <c r="K5437" s="2" t="str">
        <f>HYPERLINK("http://collections.slsa.sa.gov.au/mpcimg/17250/B17169.htm")</f>
        <v>http://collections.slsa.sa.gov.au/mpcimg/17250/B17169.htm</v>
      </c>
    </row>
    <row r="5438" spans="1:11" x14ac:dyDescent="0.25">
      <c r="A5438" t="s">
        <v>19014</v>
      </c>
      <c r="B5438" s="1" t="str">
        <f>HYPERLINK("https://www.catalog.slsa.sa.gov.au/record=b2036415")</f>
        <v>https://www.catalog.slsa.sa.gov.au/record=b2036415</v>
      </c>
      <c r="C5438" s="1" t="str">
        <f>HYPERLINK("https://www.catalog.slsa.sa.gov.au/xrecord=b2036415")</f>
        <v>https://www.catalog.slsa.sa.gov.au/xrecord=b2036415</v>
      </c>
      <c r="D5438" t="s">
        <v>15650</v>
      </c>
      <c r="E5438" t="s">
        <v>19015</v>
      </c>
      <c r="F5438">
        <v>1951</v>
      </c>
      <c r="G5438" t="s">
        <v>16721</v>
      </c>
      <c r="H5438" t="s">
        <v>19016</v>
      </c>
      <c r="J5438" t="s">
        <v>15023</v>
      </c>
      <c r="K5438" s="2" t="str">
        <f>HYPERLINK("http://collections.slsa.sa.gov.au/mpcimg/12500/B12251.htm")</f>
        <v>http://collections.slsa.sa.gov.au/mpcimg/12500/B12251.htm</v>
      </c>
    </row>
    <row r="5439" spans="1:11" x14ac:dyDescent="0.25">
      <c r="A5439" t="s">
        <v>19017</v>
      </c>
      <c r="B5439" s="1" t="str">
        <f>HYPERLINK("https://www.catalog.slsa.sa.gov.au/record=b2037794")</f>
        <v>https://www.catalog.slsa.sa.gov.au/record=b2037794</v>
      </c>
      <c r="C5439" s="1" t="str">
        <f>HYPERLINK("https://www.catalog.slsa.sa.gov.au/xrecord=b2037794")</f>
        <v>https://www.catalog.slsa.sa.gov.au/xrecord=b2037794</v>
      </c>
      <c r="E5439" t="s">
        <v>19018</v>
      </c>
      <c r="F5439">
        <v>1951</v>
      </c>
      <c r="G5439" t="s">
        <v>19019</v>
      </c>
      <c r="H5439" t="s">
        <v>19020</v>
      </c>
      <c r="I5439" t="s">
        <v>19021</v>
      </c>
      <c r="J5439" t="s">
        <v>19022</v>
      </c>
      <c r="K5439" s="2" t="str">
        <f>HYPERLINK("http://collections.slsa.sa.gov.au/mpcimg/24500/B24451.htm")</f>
        <v>http://collections.slsa.sa.gov.au/mpcimg/24500/B24451.htm</v>
      </c>
    </row>
    <row r="5440" spans="1:11" x14ac:dyDescent="0.25">
      <c r="A5440" t="s">
        <v>19023</v>
      </c>
      <c r="B5440" s="1" t="str">
        <f>HYPERLINK("https://www.catalog.slsa.sa.gov.au/record=b2041005")</f>
        <v>https://www.catalog.slsa.sa.gov.au/record=b2041005</v>
      </c>
      <c r="C5440" s="1" t="str">
        <f>HYPERLINK("https://www.catalog.slsa.sa.gov.au/xrecord=b2041005")</f>
        <v>https://www.catalog.slsa.sa.gov.au/xrecord=b2041005</v>
      </c>
      <c r="E5440" t="s">
        <v>19024</v>
      </c>
      <c r="F5440">
        <v>1951</v>
      </c>
      <c r="G5440" t="s">
        <v>19025</v>
      </c>
      <c r="H5440" t="s">
        <v>19026</v>
      </c>
      <c r="I5440" t="s">
        <v>19027</v>
      </c>
      <c r="J5440" t="s">
        <v>15097</v>
      </c>
      <c r="K5440" s="2" t="str">
        <f>HYPERLINK("http://collections.slsa.sa.gov.au/mpcimg/29250/B29177.htm")</f>
        <v>http://collections.slsa.sa.gov.au/mpcimg/29250/B29177.htm</v>
      </c>
    </row>
    <row r="5441" spans="1:11" x14ac:dyDescent="0.25">
      <c r="A5441" t="s">
        <v>19028</v>
      </c>
      <c r="B5441" s="1" t="str">
        <f>HYPERLINK("https://www.catalog.slsa.sa.gov.au/record=b2042132")</f>
        <v>https://www.catalog.slsa.sa.gov.au/record=b2042132</v>
      </c>
      <c r="C5441" s="1" t="str">
        <f>HYPERLINK("https://www.catalog.slsa.sa.gov.au/xrecord=b2042132")</f>
        <v>https://www.catalog.slsa.sa.gov.au/xrecord=b2042132</v>
      </c>
      <c r="E5441" t="s">
        <v>19029</v>
      </c>
      <c r="F5441">
        <v>1951</v>
      </c>
      <c r="G5441" t="s">
        <v>15791</v>
      </c>
      <c r="H5441" t="s">
        <v>19030</v>
      </c>
      <c r="J5441" t="s">
        <v>16579</v>
      </c>
      <c r="K5441" s="2" t="str">
        <f>HYPERLINK("http://collections.slsa.sa.gov.au/mpcimg/33750/B33581.htm")</f>
        <v>http://collections.slsa.sa.gov.au/mpcimg/33750/B33581.htm</v>
      </c>
    </row>
    <row r="5442" spans="1:11" x14ac:dyDescent="0.25">
      <c r="A5442" t="s">
        <v>19031</v>
      </c>
      <c r="B5442" s="1" t="str">
        <f>HYPERLINK("https://www.catalog.slsa.sa.gov.au/record=b2042788")</f>
        <v>https://www.catalog.slsa.sa.gov.au/record=b2042788</v>
      </c>
      <c r="C5442" s="1" t="str">
        <f>HYPERLINK("https://www.catalog.slsa.sa.gov.au/xrecord=b2042788")</f>
        <v>https://www.catalog.slsa.sa.gov.au/xrecord=b2042788</v>
      </c>
      <c r="E5442" t="s">
        <v>19032</v>
      </c>
      <c r="F5442">
        <v>1951</v>
      </c>
      <c r="G5442" t="s">
        <v>15147</v>
      </c>
      <c r="H5442" t="s">
        <v>19033</v>
      </c>
      <c r="I5442" t="s">
        <v>19034</v>
      </c>
      <c r="J5442" t="s">
        <v>19035</v>
      </c>
      <c r="K5442" s="2" t="str">
        <f>HYPERLINK("http://collections.slsa.sa.gov.au/mpcimg/37250/B37147.htm")</f>
        <v>http://collections.slsa.sa.gov.au/mpcimg/37250/B37147.htm</v>
      </c>
    </row>
    <row r="5443" spans="1:11" x14ac:dyDescent="0.25">
      <c r="A5443" t="s">
        <v>19036</v>
      </c>
      <c r="B5443" s="1" t="str">
        <f>HYPERLINK("https://www.catalog.slsa.sa.gov.au/record=b2042791")</f>
        <v>https://www.catalog.slsa.sa.gov.au/record=b2042791</v>
      </c>
      <c r="C5443" s="1" t="str">
        <f>HYPERLINK("https://www.catalog.slsa.sa.gov.au/xrecord=b2042791")</f>
        <v>https://www.catalog.slsa.sa.gov.au/xrecord=b2042791</v>
      </c>
      <c r="E5443" t="s">
        <v>19032</v>
      </c>
      <c r="F5443">
        <v>1951</v>
      </c>
      <c r="G5443" t="s">
        <v>15147</v>
      </c>
      <c r="H5443" t="s">
        <v>19037</v>
      </c>
      <c r="I5443" t="s">
        <v>19034</v>
      </c>
      <c r="J5443" t="s">
        <v>19035</v>
      </c>
      <c r="K5443" s="2" t="str">
        <f>HYPERLINK("http://collections.slsa.sa.gov.au/mpcimg/37250/B37150.htm")</f>
        <v>http://collections.slsa.sa.gov.au/mpcimg/37250/B37150.htm</v>
      </c>
    </row>
    <row r="5444" spans="1:11" x14ac:dyDescent="0.25">
      <c r="A5444" t="s">
        <v>19038</v>
      </c>
      <c r="B5444" s="1" t="str">
        <f>HYPERLINK("https://www.catalog.slsa.sa.gov.au/record=b2042792")</f>
        <v>https://www.catalog.slsa.sa.gov.au/record=b2042792</v>
      </c>
      <c r="C5444" s="1" t="str">
        <f>HYPERLINK("https://www.catalog.slsa.sa.gov.au/xrecord=b2042792")</f>
        <v>https://www.catalog.slsa.sa.gov.au/xrecord=b2042792</v>
      </c>
      <c r="E5444" t="s">
        <v>19032</v>
      </c>
      <c r="F5444">
        <v>1951</v>
      </c>
      <c r="G5444" t="s">
        <v>15147</v>
      </c>
      <c r="H5444" t="s">
        <v>19039</v>
      </c>
      <c r="I5444" t="s">
        <v>19034</v>
      </c>
      <c r="J5444" t="s">
        <v>19035</v>
      </c>
      <c r="K5444" s="2" t="str">
        <f>HYPERLINK("http://collections.slsa.sa.gov.au/mpcimg/37250/B37151.htm")</f>
        <v>http://collections.slsa.sa.gov.au/mpcimg/37250/B37151.htm</v>
      </c>
    </row>
    <row r="5445" spans="1:11" x14ac:dyDescent="0.25">
      <c r="A5445" t="s">
        <v>19040</v>
      </c>
      <c r="B5445" s="1" t="str">
        <f>HYPERLINK("https://www.catalog.slsa.sa.gov.au/record=b2042793")</f>
        <v>https://www.catalog.slsa.sa.gov.au/record=b2042793</v>
      </c>
      <c r="C5445" s="1" t="str">
        <f>HYPERLINK("https://www.catalog.slsa.sa.gov.au/xrecord=b2042793")</f>
        <v>https://www.catalog.slsa.sa.gov.au/xrecord=b2042793</v>
      </c>
      <c r="E5445" t="s">
        <v>19032</v>
      </c>
      <c r="F5445">
        <v>1951</v>
      </c>
      <c r="G5445" t="s">
        <v>15147</v>
      </c>
      <c r="H5445" t="s">
        <v>19041</v>
      </c>
      <c r="I5445" t="s">
        <v>19042</v>
      </c>
      <c r="J5445" t="s">
        <v>19035</v>
      </c>
      <c r="K5445" s="2" t="str">
        <f>HYPERLINK("http://collections.slsa.sa.gov.au/mpcimg/37250/B37152.htm")</f>
        <v>http://collections.slsa.sa.gov.au/mpcimg/37250/B37152.htm</v>
      </c>
    </row>
    <row r="5446" spans="1:11" x14ac:dyDescent="0.25">
      <c r="A5446" t="s">
        <v>19043</v>
      </c>
      <c r="B5446" s="1" t="str">
        <f>HYPERLINK("https://www.catalog.slsa.sa.gov.au/record=b2042794")</f>
        <v>https://www.catalog.slsa.sa.gov.au/record=b2042794</v>
      </c>
      <c r="C5446" s="1" t="str">
        <f>HYPERLINK("https://www.catalog.slsa.sa.gov.au/xrecord=b2042794")</f>
        <v>https://www.catalog.slsa.sa.gov.au/xrecord=b2042794</v>
      </c>
      <c r="E5446" t="s">
        <v>19032</v>
      </c>
      <c r="F5446">
        <v>1951</v>
      </c>
      <c r="G5446" t="s">
        <v>15147</v>
      </c>
      <c r="H5446" t="s">
        <v>19044</v>
      </c>
      <c r="I5446" t="s">
        <v>19042</v>
      </c>
      <c r="J5446" t="s">
        <v>19035</v>
      </c>
      <c r="K5446" s="2" t="str">
        <f>HYPERLINK("http://collections.slsa.sa.gov.au/mpcimg/37250/B37153.htm")</f>
        <v>http://collections.slsa.sa.gov.au/mpcimg/37250/B37153.htm</v>
      </c>
    </row>
    <row r="5447" spans="1:11" x14ac:dyDescent="0.25">
      <c r="A5447" t="s">
        <v>19045</v>
      </c>
      <c r="B5447" s="1" t="str">
        <f>HYPERLINK("https://www.catalog.slsa.sa.gov.au/record=b2042795")</f>
        <v>https://www.catalog.slsa.sa.gov.au/record=b2042795</v>
      </c>
      <c r="C5447" s="1" t="str">
        <f>HYPERLINK("https://www.catalog.slsa.sa.gov.au/xrecord=b2042795")</f>
        <v>https://www.catalog.slsa.sa.gov.au/xrecord=b2042795</v>
      </c>
      <c r="E5447" t="s">
        <v>19032</v>
      </c>
      <c r="F5447">
        <v>1951</v>
      </c>
      <c r="G5447" t="s">
        <v>15147</v>
      </c>
      <c r="H5447" t="s">
        <v>19039</v>
      </c>
      <c r="I5447" t="s">
        <v>19034</v>
      </c>
      <c r="J5447" t="s">
        <v>19035</v>
      </c>
      <c r="K5447" s="2" t="str">
        <f>HYPERLINK("http://collections.slsa.sa.gov.au/mpcimg/37250/B37154.htm")</f>
        <v>http://collections.slsa.sa.gov.au/mpcimg/37250/B37154.htm</v>
      </c>
    </row>
    <row r="5448" spans="1:11" x14ac:dyDescent="0.25">
      <c r="A5448" t="s">
        <v>19046</v>
      </c>
      <c r="B5448" s="1" t="str">
        <f>HYPERLINK("https://www.catalog.slsa.sa.gov.au/record=b2044201")</f>
        <v>https://www.catalog.slsa.sa.gov.au/record=b2044201</v>
      </c>
      <c r="C5448" s="1" t="str">
        <f>HYPERLINK("https://www.catalog.slsa.sa.gov.au/xrecord=b2044201")</f>
        <v>https://www.catalog.slsa.sa.gov.au/xrecord=b2044201</v>
      </c>
      <c r="E5448" t="s">
        <v>17275</v>
      </c>
      <c r="F5448">
        <v>1951</v>
      </c>
      <c r="G5448" t="s">
        <v>19047</v>
      </c>
      <c r="H5448" t="s">
        <v>19048</v>
      </c>
      <c r="J5448" t="s">
        <v>16617</v>
      </c>
      <c r="K5448" s="2" t="str">
        <f>HYPERLINK("http://collections.slsa.sa.gov.au/mpcimg/42000/B41996.htm")</f>
        <v>http://collections.slsa.sa.gov.au/mpcimg/42000/B41996.htm</v>
      </c>
    </row>
    <row r="5449" spans="1:11" x14ac:dyDescent="0.25">
      <c r="A5449" t="s">
        <v>19049</v>
      </c>
      <c r="B5449" s="1" t="str">
        <f>HYPERLINK("https://www.catalog.slsa.sa.gov.au/record=b2044513")</f>
        <v>https://www.catalog.slsa.sa.gov.au/record=b2044513</v>
      </c>
      <c r="C5449" s="1" t="str">
        <f>HYPERLINK("https://www.catalog.slsa.sa.gov.au/xrecord=b2044513")</f>
        <v>https://www.catalog.slsa.sa.gov.au/xrecord=b2044513</v>
      </c>
      <c r="E5449" t="s">
        <v>19050</v>
      </c>
      <c r="F5449">
        <v>1951</v>
      </c>
      <c r="G5449" t="s">
        <v>19051</v>
      </c>
      <c r="H5449" t="s">
        <v>19052</v>
      </c>
      <c r="J5449" t="s">
        <v>19053</v>
      </c>
      <c r="K5449" s="2" t="str">
        <f>HYPERLINK("http://collections.slsa.sa.gov.au/mpcimg/46250/B46077.htm")</f>
        <v>http://collections.slsa.sa.gov.au/mpcimg/46250/B46077.htm</v>
      </c>
    </row>
    <row r="5450" spans="1:11" x14ac:dyDescent="0.25">
      <c r="A5450" t="s">
        <v>19054</v>
      </c>
      <c r="B5450" s="1" t="str">
        <f>HYPERLINK("https://www.catalog.slsa.sa.gov.au/record=b2045767")</f>
        <v>https://www.catalog.slsa.sa.gov.au/record=b2045767</v>
      </c>
      <c r="C5450" s="1" t="str">
        <f>HYPERLINK("https://www.catalog.slsa.sa.gov.au/xrecord=b2045767")</f>
        <v>https://www.catalog.slsa.sa.gov.au/xrecord=b2045767</v>
      </c>
      <c r="E5450" t="s">
        <v>19055</v>
      </c>
      <c r="F5450">
        <v>1951</v>
      </c>
      <c r="G5450" t="s">
        <v>16263</v>
      </c>
      <c r="H5450" t="s">
        <v>19056</v>
      </c>
      <c r="I5450" t="s">
        <v>19057</v>
      </c>
      <c r="J5450" t="s">
        <v>16630</v>
      </c>
      <c r="K5450" s="2" t="str">
        <f>HYPERLINK("http://collections.slsa.sa.gov.au/mpcimg/29750/B29680.htm")</f>
        <v>http://collections.slsa.sa.gov.au/mpcimg/29750/B29680.htm</v>
      </c>
    </row>
    <row r="5451" spans="1:11" x14ac:dyDescent="0.25">
      <c r="A5451" t="s">
        <v>19058</v>
      </c>
      <c r="B5451" s="1" t="str">
        <f>HYPERLINK("https://www.catalog.slsa.sa.gov.au/record=b2048856")</f>
        <v>https://www.catalog.slsa.sa.gov.au/record=b2048856</v>
      </c>
      <c r="C5451" s="1" t="str">
        <f>HYPERLINK("https://www.catalog.slsa.sa.gov.au/xrecord=b2048856")</f>
        <v>https://www.catalog.slsa.sa.gov.au/xrecord=b2048856</v>
      </c>
      <c r="E5451" t="s">
        <v>19059</v>
      </c>
      <c r="F5451">
        <v>1951</v>
      </c>
      <c r="G5451" t="s">
        <v>16674</v>
      </c>
      <c r="H5451" t="s">
        <v>19060</v>
      </c>
      <c r="I5451" t="s">
        <v>19061</v>
      </c>
      <c r="J5451" t="s">
        <v>1809</v>
      </c>
      <c r="K5451" s="2" t="str">
        <f>HYPERLINK("http://collections.slsa.sa.gov.au/mpcimg/12500/B12409.htm")</f>
        <v>http://collections.slsa.sa.gov.au/mpcimg/12500/B12409.htm</v>
      </c>
    </row>
    <row r="5452" spans="1:11" x14ac:dyDescent="0.25">
      <c r="A5452" t="s">
        <v>19062</v>
      </c>
      <c r="B5452" s="1" t="str">
        <f>HYPERLINK("https://www.catalog.slsa.sa.gov.au/record=b2050758")</f>
        <v>https://www.catalog.slsa.sa.gov.au/record=b2050758</v>
      </c>
      <c r="C5452" s="1" t="str">
        <f>HYPERLINK("https://www.catalog.slsa.sa.gov.au/xrecord=b2050758")</f>
        <v>https://www.catalog.slsa.sa.gov.au/xrecord=b2050758</v>
      </c>
      <c r="D5452" t="s">
        <v>19063</v>
      </c>
      <c r="E5452" t="s">
        <v>19064</v>
      </c>
      <c r="F5452">
        <v>1951</v>
      </c>
      <c r="G5452" t="s">
        <v>19065</v>
      </c>
      <c r="H5452" t="s">
        <v>19066</v>
      </c>
      <c r="I5452" t="s">
        <v>15218</v>
      </c>
      <c r="J5452" t="s">
        <v>2510</v>
      </c>
      <c r="K5452" s="2" t="str">
        <f>HYPERLINK("http://collections.slsa.sa.gov.au/mpcimg/12250/B12234.htm")</f>
        <v>http://collections.slsa.sa.gov.au/mpcimg/12250/B12234.htm</v>
      </c>
    </row>
    <row r="5453" spans="1:11" x14ac:dyDescent="0.25">
      <c r="A5453" t="s">
        <v>19067</v>
      </c>
      <c r="B5453" s="1" t="str">
        <f>HYPERLINK("https://www.catalog.slsa.sa.gov.au/record=b2051461")</f>
        <v>https://www.catalog.slsa.sa.gov.au/record=b2051461</v>
      </c>
      <c r="C5453" s="1" t="str">
        <f>HYPERLINK("https://www.catalog.slsa.sa.gov.au/xrecord=b2051461")</f>
        <v>https://www.catalog.slsa.sa.gov.au/xrecord=b2051461</v>
      </c>
      <c r="D5453" t="s">
        <v>2939</v>
      </c>
      <c r="E5453" t="s">
        <v>18881</v>
      </c>
      <c r="F5453">
        <v>1951</v>
      </c>
      <c r="G5453" t="s">
        <v>19068</v>
      </c>
      <c r="H5453" t="s">
        <v>19069</v>
      </c>
      <c r="I5453" t="s">
        <v>19070</v>
      </c>
      <c r="J5453" t="s">
        <v>2510</v>
      </c>
      <c r="K5453" s="2" t="str">
        <f>HYPERLINK("http://collections.slsa.sa.gov.au/mpcimg/22000/B21814.htm")</f>
        <v>http://collections.slsa.sa.gov.au/mpcimg/22000/B21814.htm</v>
      </c>
    </row>
    <row r="5454" spans="1:11" x14ac:dyDescent="0.25">
      <c r="A5454" t="s">
        <v>19071</v>
      </c>
      <c r="B5454" s="1" t="str">
        <f>HYPERLINK("https://www.catalog.slsa.sa.gov.au/record=b2051462")</f>
        <v>https://www.catalog.slsa.sa.gov.au/record=b2051462</v>
      </c>
      <c r="C5454" s="1" t="str">
        <f>HYPERLINK("https://www.catalog.slsa.sa.gov.au/xrecord=b2051462")</f>
        <v>https://www.catalog.slsa.sa.gov.au/xrecord=b2051462</v>
      </c>
      <c r="E5454" t="s">
        <v>18881</v>
      </c>
      <c r="F5454">
        <v>1951</v>
      </c>
      <c r="G5454" t="s">
        <v>15192</v>
      </c>
      <c r="H5454" t="s">
        <v>19072</v>
      </c>
      <c r="I5454" t="s">
        <v>19073</v>
      </c>
      <c r="J5454" t="s">
        <v>2510</v>
      </c>
      <c r="K5454" s="2" t="str">
        <f>HYPERLINK("http://collections.slsa.sa.gov.au/mpcimg/22000/B21815.htm")</f>
        <v>http://collections.slsa.sa.gov.au/mpcimg/22000/B21815.htm</v>
      </c>
    </row>
    <row r="5455" spans="1:11" x14ac:dyDescent="0.25">
      <c r="A5455" t="s">
        <v>19074</v>
      </c>
      <c r="B5455" s="1" t="str">
        <f>HYPERLINK("https://www.catalog.slsa.sa.gov.au/record=b2051463")</f>
        <v>https://www.catalog.slsa.sa.gov.au/record=b2051463</v>
      </c>
      <c r="C5455" s="1" t="str">
        <f>HYPERLINK("https://www.catalog.slsa.sa.gov.au/xrecord=b2051463")</f>
        <v>https://www.catalog.slsa.sa.gov.au/xrecord=b2051463</v>
      </c>
      <c r="D5455" t="s">
        <v>2939</v>
      </c>
      <c r="E5455" t="s">
        <v>18881</v>
      </c>
      <c r="F5455">
        <v>1951</v>
      </c>
      <c r="G5455" t="s">
        <v>19068</v>
      </c>
      <c r="H5455" t="s">
        <v>19075</v>
      </c>
      <c r="I5455" t="s">
        <v>19076</v>
      </c>
      <c r="J5455" t="s">
        <v>2510</v>
      </c>
      <c r="K5455" s="2" t="str">
        <f>HYPERLINK("http://collections.slsa.sa.gov.au/mpcimg/22000/B21816.htm")</f>
        <v>http://collections.slsa.sa.gov.au/mpcimg/22000/B21816.htm</v>
      </c>
    </row>
    <row r="5456" spans="1:11" x14ac:dyDescent="0.25">
      <c r="A5456" t="s">
        <v>19077</v>
      </c>
      <c r="B5456" s="1" t="str">
        <f>HYPERLINK("https://www.catalog.slsa.sa.gov.au/record=b2051464")</f>
        <v>https://www.catalog.slsa.sa.gov.au/record=b2051464</v>
      </c>
      <c r="C5456" s="1" t="str">
        <f>HYPERLINK("https://www.catalog.slsa.sa.gov.au/xrecord=b2051464")</f>
        <v>https://www.catalog.slsa.sa.gov.au/xrecord=b2051464</v>
      </c>
      <c r="E5456" t="s">
        <v>18881</v>
      </c>
      <c r="F5456">
        <v>1951</v>
      </c>
      <c r="G5456" t="s">
        <v>15192</v>
      </c>
      <c r="H5456" t="s">
        <v>19078</v>
      </c>
      <c r="I5456" t="s">
        <v>19079</v>
      </c>
      <c r="J5456" t="s">
        <v>2510</v>
      </c>
      <c r="K5456" s="2" t="str">
        <f>HYPERLINK("http://collections.slsa.sa.gov.au/mpcimg/22000/B21817.htm")</f>
        <v>http://collections.slsa.sa.gov.au/mpcimg/22000/B21817.htm</v>
      </c>
    </row>
    <row r="5457" spans="1:11" x14ac:dyDescent="0.25">
      <c r="A5457" t="s">
        <v>19080</v>
      </c>
      <c r="B5457" s="1" t="str">
        <f>HYPERLINK("https://www.catalog.slsa.sa.gov.au/record=b2051465")</f>
        <v>https://www.catalog.slsa.sa.gov.au/record=b2051465</v>
      </c>
      <c r="C5457" s="1" t="str">
        <f>HYPERLINK("https://www.catalog.slsa.sa.gov.au/xrecord=b2051465")</f>
        <v>https://www.catalog.slsa.sa.gov.au/xrecord=b2051465</v>
      </c>
      <c r="D5457" t="s">
        <v>2939</v>
      </c>
      <c r="E5457" t="s">
        <v>18881</v>
      </c>
      <c r="F5457">
        <v>1951</v>
      </c>
      <c r="G5457" t="s">
        <v>19068</v>
      </c>
      <c r="H5457" t="s">
        <v>19078</v>
      </c>
      <c r="I5457" t="s">
        <v>19079</v>
      </c>
      <c r="J5457" t="s">
        <v>2510</v>
      </c>
      <c r="K5457" s="2" t="str">
        <f>HYPERLINK("http://collections.slsa.sa.gov.au/mpcimg/22000/B21818.htm")</f>
        <v>http://collections.slsa.sa.gov.au/mpcimg/22000/B21818.htm</v>
      </c>
    </row>
    <row r="5458" spans="1:11" x14ac:dyDescent="0.25">
      <c r="A5458" t="s">
        <v>19081</v>
      </c>
      <c r="B5458" s="1" t="str">
        <f>HYPERLINK("https://www.catalog.slsa.sa.gov.au/record=b2051466")</f>
        <v>https://www.catalog.slsa.sa.gov.au/record=b2051466</v>
      </c>
      <c r="C5458" s="1" t="str">
        <f>HYPERLINK("https://www.catalog.slsa.sa.gov.au/xrecord=b2051466")</f>
        <v>https://www.catalog.slsa.sa.gov.au/xrecord=b2051466</v>
      </c>
      <c r="E5458" t="s">
        <v>18881</v>
      </c>
      <c r="F5458">
        <v>1951</v>
      </c>
      <c r="G5458" t="s">
        <v>15192</v>
      </c>
      <c r="H5458" t="s">
        <v>19082</v>
      </c>
      <c r="I5458" t="s">
        <v>19083</v>
      </c>
      <c r="J5458" t="s">
        <v>2510</v>
      </c>
      <c r="K5458" s="2" t="str">
        <f>HYPERLINK("http://collections.slsa.sa.gov.au/mpcimg/22000/B21819.htm")</f>
        <v>http://collections.slsa.sa.gov.au/mpcimg/22000/B21819.htm</v>
      </c>
    </row>
    <row r="5459" spans="1:11" x14ac:dyDescent="0.25">
      <c r="A5459" t="s">
        <v>19084</v>
      </c>
      <c r="B5459" s="1" t="str">
        <f>HYPERLINK("https://www.catalog.slsa.sa.gov.au/record=b2051467")</f>
        <v>https://www.catalog.slsa.sa.gov.au/record=b2051467</v>
      </c>
      <c r="C5459" s="1" t="str">
        <f>HYPERLINK("https://www.catalog.slsa.sa.gov.au/xrecord=b2051467")</f>
        <v>https://www.catalog.slsa.sa.gov.au/xrecord=b2051467</v>
      </c>
      <c r="D5459" t="s">
        <v>2939</v>
      </c>
      <c r="E5459" t="s">
        <v>18881</v>
      </c>
      <c r="F5459">
        <v>1951</v>
      </c>
      <c r="G5459" t="s">
        <v>19068</v>
      </c>
      <c r="H5459" t="s">
        <v>19085</v>
      </c>
      <c r="I5459" t="s">
        <v>19086</v>
      </c>
      <c r="J5459" t="s">
        <v>2510</v>
      </c>
      <c r="K5459" s="2" t="str">
        <f>HYPERLINK("http://collections.slsa.sa.gov.au/mpcimg/22000/B21820.htm")</f>
        <v>http://collections.slsa.sa.gov.au/mpcimg/22000/B21820.htm</v>
      </c>
    </row>
    <row r="5460" spans="1:11" x14ac:dyDescent="0.25">
      <c r="A5460" t="s">
        <v>19087</v>
      </c>
      <c r="B5460" s="1" t="str">
        <f>HYPERLINK("https://www.catalog.slsa.sa.gov.au/record=b2051468")</f>
        <v>https://www.catalog.slsa.sa.gov.au/record=b2051468</v>
      </c>
      <c r="C5460" s="1" t="str">
        <f>HYPERLINK("https://www.catalog.slsa.sa.gov.au/xrecord=b2051468")</f>
        <v>https://www.catalog.slsa.sa.gov.au/xrecord=b2051468</v>
      </c>
      <c r="D5460" t="s">
        <v>2939</v>
      </c>
      <c r="E5460" t="s">
        <v>18881</v>
      </c>
      <c r="F5460">
        <v>1951</v>
      </c>
      <c r="G5460" t="s">
        <v>19068</v>
      </c>
      <c r="H5460" t="s">
        <v>19085</v>
      </c>
      <c r="I5460" t="s">
        <v>19088</v>
      </c>
      <c r="J5460" t="s">
        <v>2510</v>
      </c>
      <c r="K5460" s="2" t="str">
        <f>HYPERLINK("http://collections.slsa.sa.gov.au/mpcimg/22000/B21821.htm")</f>
        <v>http://collections.slsa.sa.gov.au/mpcimg/22000/B21821.htm</v>
      </c>
    </row>
    <row r="5461" spans="1:11" x14ac:dyDescent="0.25">
      <c r="A5461" t="s">
        <v>19089</v>
      </c>
      <c r="B5461" s="1" t="str">
        <f>HYPERLINK("https://www.catalog.slsa.sa.gov.au/record=b2051469")</f>
        <v>https://www.catalog.slsa.sa.gov.au/record=b2051469</v>
      </c>
      <c r="C5461" s="1" t="str">
        <f>HYPERLINK("https://www.catalog.slsa.sa.gov.au/xrecord=b2051469")</f>
        <v>https://www.catalog.slsa.sa.gov.au/xrecord=b2051469</v>
      </c>
      <c r="D5461" t="s">
        <v>2939</v>
      </c>
      <c r="E5461" t="s">
        <v>18881</v>
      </c>
      <c r="F5461">
        <v>1951</v>
      </c>
      <c r="G5461" t="s">
        <v>19068</v>
      </c>
      <c r="H5461" t="s">
        <v>19090</v>
      </c>
      <c r="I5461" t="s">
        <v>19091</v>
      </c>
      <c r="J5461" t="s">
        <v>2510</v>
      </c>
      <c r="K5461" s="2" t="str">
        <f>HYPERLINK("http://collections.slsa.sa.gov.au/mpcimg/22000/B21822.htm")</f>
        <v>http://collections.slsa.sa.gov.au/mpcimg/22000/B21822.htm</v>
      </c>
    </row>
    <row r="5462" spans="1:11" x14ac:dyDescent="0.25">
      <c r="A5462" t="s">
        <v>19092</v>
      </c>
      <c r="B5462" s="1" t="str">
        <f>HYPERLINK("https://www.catalog.slsa.sa.gov.au/record=b2051470")</f>
        <v>https://www.catalog.slsa.sa.gov.au/record=b2051470</v>
      </c>
      <c r="C5462" s="1" t="str">
        <f>HYPERLINK("https://www.catalog.slsa.sa.gov.au/xrecord=b2051470")</f>
        <v>https://www.catalog.slsa.sa.gov.au/xrecord=b2051470</v>
      </c>
      <c r="E5462" t="s">
        <v>18881</v>
      </c>
      <c r="F5462">
        <v>1951</v>
      </c>
      <c r="G5462" t="s">
        <v>15192</v>
      </c>
      <c r="H5462" t="s">
        <v>19093</v>
      </c>
      <c r="I5462" t="s">
        <v>19094</v>
      </c>
      <c r="J5462" t="s">
        <v>2510</v>
      </c>
      <c r="K5462" s="2" t="str">
        <f>HYPERLINK("http://collections.slsa.sa.gov.au/mpcimg/22000/B21823.htm")</f>
        <v>http://collections.slsa.sa.gov.au/mpcimg/22000/B21823.htm</v>
      </c>
    </row>
    <row r="5463" spans="1:11" x14ac:dyDescent="0.25">
      <c r="A5463" t="s">
        <v>19095</v>
      </c>
      <c r="B5463" s="1" t="str">
        <f>HYPERLINK("https://www.catalog.slsa.sa.gov.au/record=b2051471")</f>
        <v>https://www.catalog.slsa.sa.gov.au/record=b2051471</v>
      </c>
      <c r="C5463" s="1" t="str">
        <f>HYPERLINK("https://www.catalog.slsa.sa.gov.au/xrecord=b2051471")</f>
        <v>https://www.catalog.slsa.sa.gov.au/xrecord=b2051471</v>
      </c>
      <c r="D5463" t="s">
        <v>2939</v>
      </c>
      <c r="E5463" t="s">
        <v>18881</v>
      </c>
      <c r="F5463">
        <v>1951</v>
      </c>
      <c r="G5463" t="s">
        <v>19068</v>
      </c>
      <c r="H5463" t="s">
        <v>19096</v>
      </c>
      <c r="I5463" t="s">
        <v>19097</v>
      </c>
      <c r="J5463" t="s">
        <v>2510</v>
      </c>
      <c r="K5463" s="2" t="str">
        <f>HYPERLINK("http://collections.slsa.sa.gov.au/mpcimg/22000/B21824.htm")</f>
        <v>http://collections.slsa.sa.gov.au/mpcimg/22000/B21824.htm</v>
      </c>
    </row>
    <row r="5464" spans="1:11" x14ac:dyDescent="0.25">
      <c r="A5464" t="s">
        <v>19098</v>
      </c>
      <c r="B5464" s="1" t="str">
        <f>HYPERLINK("https://www.catalog.slsa.sa.gov.au/record=b2051472")</f>
        <v>https://www.catalog.slsa.sa.gov.au/record=b2051472</v>
      </c>
      <c r="C5464" s="1" t="str">
        <f>HYPERLINK("https://www.catalog.slsa.sa.gov.au/xrecord=b2051472")</f>
        <v>https://www.catalog.slsa.sa.gov.au/xrecord=b2051472</v>
      </c>
      <c r="E5464" t="s">
        <v>18881</v>
      </c>
      <c r="F5464">
        <v>1951</v>
      </c>
      <c r="G5464" t="s">
        <v>15192</v>
      </c>
      <c r="H5464" t="s">
        <v>19099</v>
      </c>
      <c r="I5464" t="s">
        <v>19100</v>
      </c>
      <c r="J5464" t="s">
        <v>2510</v>
      </c>
      <c r="K5464" s="2" t="str">
        <f>HYPERLINK("http://collections.slsa.sa.gov.au/mpcimg/22000/B21825.htm")</f>
        <v>http://collections.slsa.sa.gov.au/mpcimg/22000/B21825.htm</v>
      </c>
    </row>
    <row r="5465" spans="1:11" x14ac:dyDescent="0.25">
      <c r="A5465" t="s">
        <v>19101</v>
      </c>
      <c r="B5465" s="1" t="str">
        <f>HYPERLINK("https://www.catalog.slsa.sa.gov.au/record=b2051473")</f>
        <v>https://www.catalog.slsa.sa.gov.au/record=b2051473</v>
      </c>
      <c r="C5465" s="1" t="str">
        <f>HYPERLINK("https://www.catalog.slsa.sa.gov.au/xrecord=b2051473")</f>
        <v>https://www.catalog.slsa.sa.gov.au/xrecord=b2051473</v>
      </c>
      <c r="E5465" t="s">
        <v>18881</v>
      </c>
      <c r="F5465">
        <v>1951</v>
      </c>
      <c r="G5465" t="s">
        <v>15192</v>
      </c>
      <c r="H5465" t="s">
        <v>19102</v>
      </c>
      <c r="I5465" t="s">
        <v>19103</v>
      </c>
      <c r="J5465" t="s">
        <v>2510</v>
      </c>
      <c r="K5465" s="2" t="str">
        <f>HYPERLINK("http://collections.slsa.sa.gov.au/mpcimg/22000/B21826.htm")</f>
        <v>http://collections.slsa.sa.gov.au/mpcimg/22000/B21826.htm</v>
      </c>
    </row>
    <row r="5466" spans="1:11" x14ac:dyDescent="0.25">
      <c r="A5466" t="s">
        <v>19104</v>
      </c>
      <c r="B5466" s="1" t="str">
        <f>HYPERLINK("https://www.catalog.slsa.sa.gov.au/record=b2051474")</f>
        <v>https://www.catalog.slsa.sa.gov.au/record=b2051474</v>
      </c>
      <c r="C5466" s="1" t="str">
        <f>HYPERLINK("https://www.catalog.slsa.sa.gov.au/xrecord=b2051474")</f>
        <v>https://www.catalog.slsa.sa.gov.au/xrecord=b2051474</v>
      </c>
      <c r="D5466" t="s">
        <v>2939</v>
      </c>
      <c r="E5466" t="s">
        <v>18881</v>
      </c>
      <c r="F5466">
        <v>1951</v>
      </c>
      <c r="G5466" t="s">
        <v>19068</v>
      </c>
      <c r="H5466" t="s">
        <v>19102</v>
      </c>
      <c r="I5466" t="s">
        <v>19105</v>
      </c>
      <c r="J5466" t="s">
        <v>2510</v>
      </c>
      <c r="K5466" s="2" t="str">
        <f>HYPERLINK("http://collections.slsa.sa.gov.au/mpcimg/22000/B21827.htm")</f>
        <v>http://collections.slsa.sa.gov.au/mpcimg/22000/B21827.htm</v>
      </c>
    </row>
    <row r="5467" spans="1:11" x14ac:dyDescent="0.25">
      <c r="A5467" t="s">
        <v>19106</v>
      </c>
      <c r="B5467" s="1" t="str">
        <f>HYPERLINK("https://www.catalog.slsa.sa.gov.au/record=b2051475")</f>
        <v>https://www.catalog.slsa.sa.gov.au/record=b2051475</v>
      </c>
      <c r="C5467" s="1" t="str">
        <f>HYPERLINK("https://www.catalog.slsa.sa.gov.au/xrecord=b2051475")</f>
        <v>https://www.catalog.slsa.sa.gov.au/xrecord=b2051475</v>
      </c>
      <c r="D5467" t="s">
        <v>2939</v>
      </c>
      <c r="E5467" t="s">
        <v>18881</v>
      </c>
      <c r="F5467">
        <v>1951</v>
      </c>
      <c r="G5467" t="s">
        <v>19107</v>
      </c>
      <c r="H5467" t="s">
        <v>19108</v>
      </c>
      <c r="I5467" t="s">
        <v>19109</v>
      </c>
      <c r="J5467" t="s">
        <v>2510</v>
      </c>
      <c r="K5467" s="2" t="str">
        <f>HYPERLINK("http://collections.slsa.sa.gov.au/mpcimg/22000/B21828.htm")</f>
        <v>http://collections.slsa.sa.gov.au/mpcimg/22000/B21828.htm</v>
      </c>
    </row>
    <row r="5468" spans="1:11" x14ac:dyDescent="0.25">
      <c r="A5468" t="s">
        <v>19110</v>
      </c>
      <c r="B5468" s="1" t="str">
        <f>HYPERLINK("https://www.catalog.slsa.sa.gov.au/record=b2051476")</f>
        <v>https://www.catalog.slsa.sa.gov.au/record=b2051476</v>
      </c>
      <c r="C5468" s="1" t="str">
        <f>HYPERLINK("https://www.catalog.slsa.sa.gov.au/xrecord=b2051476")</f>
        <v>https://www.catalog.slsa.sa.gov.au/xrecord=b2051476</v>
      </c>
      <c r="E5468" t="s">
        <v>18881</v>
      </c>
      <c r="F5468">
        <v>1951</v>
      </c>
      <c r="G5468" t="s">
        <v>15192</v>
      </c>
      <c r="H5468" t="s">
        <v>19093</v>
      </c>
      <c r="J5468" t="s">
        <v>2510</v>
      </c>
      <c r="K5468" s="2" t="str">
        <f>HYPERLINK("http://collections.slsa.sa.gov.au/mpcimg/22000/B21829.htm")</f>
        <v>http://collections.slsa.sa.gov.au/mpcimg/22000/B21829.htm</v>
      </c>
    </row>
    <row r="5469" spans="1:11" x14ac:dyDescent="0.25">
      <c r="A5469" t="s">
        <v>19111</v>
      </c>
      <c r="B5469" s="1" t="str">
        <f>HYPERLINK("https://www.catalog.slsa.sa.gov.au/record=b2051477")</f>
        <v>https://www.catalog.slsa.sa.gov.au/record=b2051477</v>
      </c>
      <c r="C5469" s="1" t="str">
        <f>HYPERLINK("https://www.catalog.slsa.sa.gov.au/xrecord=b2051477")</f>
        <v>https://www.catalog.slsa.sa.gov.au/xrecord=b2051477</v>
      </c>
      <c r="E5469" t="s">
        <v>18881</v>
      </c>
      <c r="F5469">
        <v>1951</v>
      </c>
      <c r="G5469" t="s">
        <v>19068</v>
      </c>
      <c r="H5469" t="s">
        <v>19112</v>
      </c>
      <c r="I5469" t="s">
        <v>19113</v>
      </c>
      <c r="J5469" t="s">
        <v>2510</v>
      </c>
      <c r="K5469" s="2" t="str">
        <f>HYPERLINK("http://collections.slsa.sa.gov.au/mpcimg/22000/B21830.htm")</f>
        <v>http://collections.slsa.sa.gov.au/mpcimg/22000/B21830.htm</v>
      </c>
    </row>
    <row r="5470" spans="1:11" x14ac:dyDescent="0.25">
      <c r="A5470" t="s">
        <v>19114</v>
      </c>
      <c r="B5470" s="1" t="str">
        <f>HYPERLINK("https://www.catalog.slsa.sa.gov.au/record=b2051478")</f>
        <v>https://www.catalog.slsa.sa.gov.au/record=b2051478</v>
      </c>
      <c r="C5470" s="1" t="str">
        <f>HYPERLINK("https://www.catalog.slsa.sa.gov.au/xrecord=b2051478")</f>
        <v>https://www.catalog.slsa.sa.gov.au/xrecord=b2051478</v>
      </c>
      <c r="D5470" t="s">
        <v>2939</v>
      </c>
      <c r="E5470" t="s">
        <v>18881</v>
      </c>
      <c r="F5470">
        <v>1951</v>
      </c>
      <c r="G5470" t="s">
        <v>16674</v>
      </c>
      <c r="H5470" t="s">
        <v>19115</v>
      </c>
      <c r="I5470" t="s">
        <v>19116</v>
      </c>
      <c r="J5470" t="s">
        <v>2510</v>
      </c>
      <c r="K5470" s="2" t="str">
        <f>HYPERLINK("http://collections.slsa.sa.gov.au/mpcimg/22000/B21831.htm")</f>
        <v>http://collections.slsa.sa.gov.au/mpcimg/22000/B21831.htm</v>
      </c>
    </row>
    <row r="5471" spans="1:11" x14ac:dyDescent="0.25">
      <c r="A5471" t="s">
        <v>19117</v>
      </c>
      <c r="B5471" s="1" t="str">
        <f>HYPERLINK("https://www.catalog.slsa.sa.gov.au/record=b2051479")</f>
        <v>https://www.catalog.slsa.sa.gov.au/record=b2051479</v>
      </c>
      <c r="C5471" s="1" t="str">
        <f>HYPERLINK("https://www.catalog.slsa.sa.gov.au/xrecord=b2051479")</f>
        <v>https://www.catalog.slsa.sa.gov.au/xrecord=b2051479</v>
      </c>
      <c r="D5471" t="s">
        <v>2939</v>
      </c>
      <c r="E5471" t="s">
        <v>18881</v>
      </c>
      <c r="F5471">
        <v>1951</v>
      </c>
      <c r="G5471" t="s">
        <v>19068</v>
      </c>
      <c r="H5471" t="s">
        <v>19115</v>
      </c>
      <c r="I5471" t="s">
        <v>19116</v>
      </c>
      <c r="J5471" t="s">
        <v>2510</v>
      </c>
      <c r="K5471" s="2" t="str">
        <f>HYPERLINK("http://collections.slsa.sa.gov.au/mpcimg/22000/B21832.htm")</f>
        <v>http://collections.slsa.sa.gov.au/mpcimg/22000/B21832.htm</v>
      </c>
    </row>
    <row r="5472" spans="1:11" x14ac:dyDescent="0.25">
      <c r="A5472" t="s">
        <v>19118</v>
      </c>
      <c r="B5472" s="1" t="str">
        <f>HYPERLINK("https://www.catalog.slsa.sa.gov.au/record=b2051480")</f>
        <v>https://www.catalog.slsa.sa.gov.au/record=b2051480</v>
      </c>
      <c r="C5472" s="1" t="str">
        <f>HYPERLINK("https://www.catalog.slsa.sa.gov.au/xrecord=b2051480")</f>
        <v>https://www.catalog.slsa.sa.gov.au/xrecord=b2051480</v>
      </c>
      <c r="D5472" t="s">
        <v>2939</v>
      </c>
      <c r="E5472" t="s">
        <v>18881</v>
      </c>
      <c r="F5472">
        <v>1951</v>
      </c>
      <c r="G5472" t="s">
        <v>19068</v>
      </c>
      <c r="H5472" t="s">
        <v>19119</v>
      </c>
      <c r="I5472" t="s">
        <v>19120</v>
      </c>
      <c r="J5472" t="s">
        <v>2510</v>
      </c>
      <c r="K5472" s="2" t="str">
        <f>HYPERLINK("http://collections.slsa.sa.gov.au/mpcimg/22000/B21833.htm")</f>
        <v>http://collections.slsa.sa.gov.au/mpcimg/22000/B21833.htm</v>
      </c>
    </row>
    <row r="5473" spans="1:11" x14ac:dyDescent="0.25">
      <c r="A5473" t="s">
        <v>19121</v>
      </c>
      <c r="B5473" s="1" t="str">
        <f>HYPERLINK("https://www.catalog.slsa.sa.gov.au/record=b2051481")</f>
        <v>https://www.catalog.slsa.sa.gov.au/record=b2051481</v>
      </c>
      <c r="C5473" s="1" t="str">
        <f>HYPERLINK("https://www.catalog.slsa.sa.gov.au/xrecord=b2051481")</f>
        <v>https://www.catalog.slsa.sa.gov.au/xrecord=b2051481</v>
      </c>
      <c r="E5473" t="s">
        <v>18881</v>
      </c>
      <c r="F5473">
        <v>1951</v>
      </c>
      <c r="G5473" t="s">
        <v>15192</v>
      </c>
      <c r="H5473" t="s">
        <v>19122</v>
      </c>
      <c r="I5473" t="s">
        <v>19123</v>
      </c>
      <c r="J5473" t="s">
        <v>2510</v>
      </c>
      <c r="K5473" s="2" t="str">
        <f>HYPERLINK("http://collections.slsa.sa.gov.au/mpcimg/22000/B21834.htm")</f>
        <v>http://collections.slsa.sa.gov.au/mpcimg/22000/B21834.htm</v>
      </c>
    </row>
    <row r="5474" spans="1:11" x14ac:dyDescent="0.25">
      <c r="A5474" t="s">
        <v>19124</v>
      </c>
      <c r="B5474" s="1" t="str">
        <f>HYPERLINK("https://www.catalog.slsa.sa.gov.au/record=b2051482")</f>
        <v>https://www.catalog.slsa.sa.gov.au/record=b2051482</v>
      </c>
      <c r="C5474" s="1" t="str">
        <f>HYPERLINK("https://www.catalog.slsa.sa.gov.au/xrecord=b2051482")</f>
        <v>https://www.catalog.slsa.sa.gov.au/xrecord=b2051482</v>
      </c>
      <c r="D5474" t="s">
        <v>2939</v>
      </c>
      <c r="E5474" t="s">
        <v>18881</v>
      </c>
      <c r="F5474">
        <v>1951</v>
      </c>
      <c r="G5474" t="s">
        <v>19068</v>
      </c>
      <c r="H5474" t="s">
        <v>19125</v>
      </c>
      <c r="I5474" t="s">
        <v>19126</v>
      </c>
      <c r="J5474" t="s">
        <v>2510</v>
      </c>
      <c r="K5474" s="2" t="str">
        <f>HYPERLINK("http://collections.slsa.sa.gov.au/mpcimg/22000/B21835.htm")</f>
        <v>http://collections.slsa.sa.gov.au/mpcimg/22000/B21835.htm</v>
      </c>
    </row>
    <row r="5475" spans="1:11" x14ac:dyDescent="0.25">
      <c r="A5475" t="s">
        <v>19127</v>
      </c>
      <c r="B5475" s="1" t="str">
        <f>HYPERLINK("https://www.catalog.slsa.sa.gov.au/record=b2051483")</f>
        <v>https://www.catalog.slsa.sa.gov.au/record=b2051483</v>
      </c>
      <c r="C5475" s="1" t="str">
        <f>HYPERLINK("https://www.catalog.slsa.sa.gov.au/xrecord=b2051483")</f>
        <v>https://www.catalog.slsa.sa.gov.au/xrecord=b2051483</v>
      </c>
      <c r="D5475" t="s">
        <v>2939</v>
      </c>
      <c r="E5475" t="s">
        <v>18881</v>
      </c>
      <c r="F5475">
        <v>1951</v>
      </c>
      <c r="G5475" t="s">
        <v>19068</v>
      </c>
      <c r="H5475" t="s">
        <v>19128</v>
      </c>
      <c r="I5475" t="s">
        <v>19129</v>
      </c>
      <c r="J5475" t="s">
        <v>2510</v>
      </c>
      <c r="K5475" s="2" t="str">
        <f>HYPERLINK("http://collections.slsa.sa.gov.au/mpcimg/22000/B21836.htm")</f>
        <v>http://collections.slsa.sa.gov.au/mpcimg/22000/B21836.htm</v>
      </c>
    </row>
    <row r="5476" spans="1:11" x14ac:dyDescent="0.25">
      <c r="A5476" t="s">
        <v>19130</v>
      </c>
      <c r="B5476" s="1" t="str">
        <f>HYPERLINK("https://www.catalog.slsa.sa.gov.au/record=b2051484")</f>
        <v>https://www.catalog.slsa.sa.gov.au/record=b2051484</v>
      </c>
      <c r="C5476" s="1" t="str">
        <f>HYPERLINK("https://www.catalog.slsa.sa.gov.au/xrecord=b2051484")</f>
        <v>https://www.catalog.slsa.sa.gov.au/xrecord=b2051484</v>
      </c>
      <c r="D5476" t="s">
        <v>2939</v>
      </c>
      <c r="E5476" t="s">
        <v>18881</v>
      </c>
      <c r="F5476">
        <v>1951</v>
      </c>
      <c r="G5476" t="s">
        <v>19068</v>
      </c>
      <c r="H5476" t="s">
        <v>19131</v>
      </c>
      <c r="J5476" t="s">
        <v>2510</v>
      </c>
      <c r="K5476" s="2" t="str">
        <f>HYPERLINK("http://collections.slsa.sa.gov.au/mpcimg/22000/B21837.htm")</f>
        <v>http://collections.slsa.sa.gov.au/mpcimg/22000/B21837.htm</v>
      </c>
    </row>
    <row r="5477" spans="1:11" x14ac:dyDescent="0.25">
      <c r="A5477" t="s">
        <v>19132</v>
      </c>
      <c r="B5477" s="1" t="str">
        <f>HYPERLINK("https://www.catalog.slsa.sa.gov.au/record=b2051485")</f>
        <v>https://www.catalog.slsa.sa.gov.au/record=b2051485</v>
      </c>
      <c r="C5477" s="1" t="str">
        <f>HYPERLINK("https://www.catalog.slsa.sa.gov.au/xrecord=b2051485")</f>
        <v>https://www.catalog.slsa.sa.gov.au/xrecord=b2051485</v>
      </c>
      <c r="D5477" t="s">
        <v>2939</v>
      </c>
      <c r="E5477" t="s">
        <v>18881</v>
      </c>
      <c r="F5477">
        <v>1951</v>
      </c>
      <c r="G5477" t="s">
        <v>19068</v>
      </c>
      <c r="H5477" t="s">
        <v>19133</v>
      </c>
      <c r="I5477" t="s">
        <v>19134</v>
      </c>
      <c r="J5477" t="s">
        <v>2510</v>
      </c>
      <c r="K5477" s="2" t="str">
        <f>HYPERLINK("http://collections.slsa.sa.gov.au/mpcimg/22000/B21838.htm")</f>
        <v>http://collections.slsa.sa.gov.au/mpcimg/22000/B21838.htm</v>
      </c>
    </row>
    <row r="5478" spans="1:11" x14ac:dyDescent="0.25">
      <c r="A5478" t="s">
        <v>19135</v>
      </c>
      <c r="B5478" s="1" t="str">
        <f>HYPERLINK("https://www.catalog.slsa.sa.gov.au/record=b2051486")</f>
        <v>https://www.catalog.slsa.sa.gov.au/record=b2051486</v>
      </c>
      <c r="C5478" s="1" t="str">
        <f>HYPERLINK("https://www.catalog.slsa.sa.gov.au/xrecord=b2051486")</f>
        <v>https://www.catalog.slsa.sa.gov.au/xrecord=b2051486</v>
      </c>
      <c r="D5478" t="s">
        <v>2939</v>
      </c>
      <c r="E5478" t="s">
        <v>18881</v>
      </c>
      <c r="F5478">
        <v>1951</v>
      </c>
      <c r="G5478" t="s">
        <v>19068</v>
      </c>
      <c r="H5478" t="s">
        <v>19136</v>
      </c>
      <c r="I5478" t="s">
        <v>19137</v>
      </c>
      <c r="J5478" t="s">
        <v>2510</v>
      </c>
      <c r="K5478" s="2" t="str">
        <f>HYPERLINK("http://collections.slsa.sa.gov.au/mpcimg/22000/B21839.htm")</f>
        <v>http://collections.slsa.sa.gov.au/mpcimg/22000/B21839.htm</v>
      </c>
    </row>
    <row r="5479" spans="1:11" x14ac:dyDescent="0.25">
      <c r="A5479" t="s">
        <v>19138</v>
      </c>
      <c r="B5479" s="1" t="str">
        <f>HYPERLINK("https://www.catalog.slsa.sa.gov.au/record=b2051487")</f>
        <v>https://www.catalog.slsa.sa.gov.au/record=b2051487</v>
      </c>
      <c r="C5479" s="1" t="str">
        <f>HYPERLINK("https://www.catalog.slsa.sa.gov.au/xrecord=b2051487")</f>
        <v>https://www.catalog.slsa.sa.gov.au/xrecord=b2051487</v>
      </c>
      <c r="D5479" t="s">
        <v>2939</v>
      </c>
      <c r="E5479" t="s">
        <v>18881</v>
      </c>
      <c r="F5479">
        <v>1951</v>
      </c>
      <c r="G5479" t="s">
        <v>19068</v>
      </c>
      <c r="H5479" t="s">
        <v>19139</v>
      </c>
      <c r="I5479" t="s">
        <v>19140</v>
      </c>
      <c r="J5479" t="s">
        <v>2510</v>
      </c>
      <c r="K5479" s="2" t="str">
        <f>HYPERLINK("http://collections.slsa.sa.gov.au/mpcimg/22000/B21840.htm")</f>
        <v>http://collections.slsa.sa.gov.au/mpcimg/22000/B21840.htm</v>
      </c>
    </row>
    <row r="5480" spans="1:11" x14ac:dyDescent="0.25">
      <c r="A5480" t="s">
        <v>19141</v>
      </c>
      <c r="B5480" s="1" t="str">
        <f>HYPERLINK("https://www.catalog.slsa.sa.gov.au/record=b2051488")</f>
        <v>https://www.catalog.slsa.sa.gov.au/record=b2051488</v>
      </c>
      <c r="C5480" s="1" t="str">
        <f>HYPERLINK("https://www.catalog.slsa.sa.gov.au/xrecord=b2051488")</f>
        <v>https://www.catalog.slsa.sa.gov.au/xrecord=b2051488</v>
      </c>
      <c r="D5480" t="s">
        <v>2939</v>
      </c>
      <c r="E5480" t="s">
        <v>18881</v>
      </c>
      <c r="F5480">
        <v>1951</v>
      </c>
      <c r="G5480" t="s">
        <v>19068</v>
      </c>
      <c r="H5480" t="s">
        <v>19142</v>
      </c>
      <c r="I5480" t="s">
        <v>19143</v>
      </c>
      <c r="J5480" t="s">
        <v>2510</v>
      </c>
      <c r="K5480" s="2" t="str">
        <f>HYPERLINK("http://collections.slsa.sa.gov.au/mpcimg/22000/B21841.htm")</f>
        <v>http://collections.slsa.sa.gov.au/mpcimg/22000/B21841.htm</v>
      </c>
    </row>
    <row r="5481" spans="1:11" x14ac:dyDescent="0.25">
      <c r="A5481" t="s">
        <v>19144</v>
      </c>
      <c r="B5481" s="1" t="str">
        <f>HYPERLINK("https://www.catalog.slsa.sa.gov.au/record=b2051489")</f>
        <v>https://www.catalog.slsa.sa.gov.au/record=b2051489</v>
      </c>
      <c r="C5481" s="1" t="str">
        <f>HYPERLINK("https://www.catalog.slsa.sa.gov.au/xrecord=b2051489")</f>
        <v>https://www.catalog.slsa.sa.gov.au/xrecord=b2051489</v>
      </c>
      <c r="E5481" t="s">
        <v>18881</v>
      </c>
      <c r="F5481">
        <v>1951</v>
      </c>
      <c r="G5481" t="s">
        <v>15192</v>
      </c>
      <c r="H5481" t="s">
        <v>19145</v>
      </c>
      <c r="I5481" t="s">
        <v>19146</v>
      </c>
      <c r="J5481" t="s">
        <v>2510</v>
      </c>
      <c r="K5481" s="2" t="str">
        <f>HYPERLINK("http://collections.slsa.sa.gov.au/mpcimg/22000/B21842.htm")</f>
        <v>http://collections.slsa.sa.gov.au/mpcimg/22000/B21842.htm</v>
      </c>
    </row>
    <row r="5482" spans="1:11" x14ac:dyDescent="0.25">
      <c r="A5482" t="s">
        <v>19147</v>
      </c>
      <c r="B5482" s="1" t="str">
        <f>HYPERLINK("https://www.catalog.slsa.sa.gov.au/record=b2051490")</f>
        <v>https://www.catalog.slsa.sa.gov.au/record=b2051490</v>
      </c>
      <c r="C5482" s="1" t="str">
        <f>HYPERLINK("https://www.catalog.slsa.sa.gov.au/xrecord=b2051490")</f>
        <v>https://www.catalog.slsa.sa.gov.au/xrecord=b2051490</v>
      </c>
      <c r="D5482" t="s">
        <v>2939</v>
      </c>
      <c r="E5482" t="s">
        <v>18881</v>
      </c>
      <c r="F5482">
        <v>1951</v>
      </c>
      <c r="G5482" t="s">
        <v>16674</v>
      </c>
      <c r="H5482" t="s">
        <v>19148</v>
      </c>
      <c r="I5482" t="s">
        <v>19149</v>
      </c>
      <c r="J5482" t="s">
        <v>2510</v>
      </c>
      <c r="K5482" s="2" t="str">
        <f>HYPERLINK("http://collections.slsa.sa.gov.au/mpcimg/22000/B21843.htm")</f>
        <v>http://collections.slsa.sa.gov.au/mpcimg/22000/B21843.htm</v>
      </c>
    </row>
    <row r="5483" spans="1:11" x14ac:dyDescent="0.25">
      <c r="A5483" t="s">
        <v>19150</v>
      </c>
      <c r="B5483" s="1" t="str">
        <f>HYPERLINK("https://www.catalog.slsa.sa.gov.au/record=b2051491")</f>
        <v>https://www.catalog.slsa.sa.gov.au/record=b2051491</v>
      </c>
      <c r="C5483" s="1" t="str">
        <f>HYPERLINK("https://www.catalog.slsa.sa.gov.au/xrecord=b2051491")</f>
        <v>https://www.catalog.slsa.sa.gov.au/xrecord=b2051491</v>
      </c>
      <c r="D5483" t="s">
        <v>2939</v>
      </c>
      <c r="E5483" t="s">
        <v>18881</v>
      </c>
      <c r="F5483">
        <v>1951</v>
      </c>
      <c r="G5483" t="s">
        <v>16674</v>
      </c>
      <c r="H5483" t="s">
        <v>19151</v>
      </c>
      <c r="I5483" t="s">
        <v>19149</v>
      </c>
      <c r="J5483" t="s">
        <v>2510</v>
      </c>
      <c r="K5483" s="2" t="str">
        <f>HYPERLINK("http://collections.slsa.sa.gov.au/mpcimg/22000/B21844.htm")</f>
        <v>http://collections.slsa.sa.gov.au/mpcimg/22000/B21844.htm</v>
      </c>
    </row>
    <row r="5484" spans="1:11" x14ac:dyDescent="0.25">
      <c r="A5484" t="s">
        <v>19152</v>
      </c>
      <c r="B5484" s="1" t="str">
        <f>HYPERLINK("https://www.catalog.slsa.sa.gov.au/record=b2051492")</f>
        <v>https://www.catalog.slsa.sa.gov.au/record=b2051492</v>
      </c>
      <c r="C5484" s="1" t="str">
        <f>HYPERLINK("https://www.catalog.slsa.sa.gov.au/xrecord=b2051492")</f>
        <v>https://www.catalog.slsa.sa.gov.au/xrecord=b2051492</v>
      </c>
      <c r="E5484" t="s">
        <v>18881</v>
      </c>
      <c r="F5484">
        <v>1951</v>
      </c>
      <c r="G5484" t="s">
        <v>15192</v>
      </c>
      <c r="H5484" t="s">
        <v>19153</v>
      </c>
      <c r="I5484" t="s">
        <v>19154</v>
      </c>
      <c r="J5484" t="s">
        <v>2510</v>
      </c>
      <c r="K5484" s="2" t="str">
        <f>HYPERLINK("http://collections.slsa.sa.gov.au/mpcimg/22000/B21845.htm")</f>
        <v>http://collections.slsa.sa.gov.au/mpcimg/22000/B21845.htm</v>
      </c>
    </row>
    <row r="5485" spans="1:11" x14ac:dyDescent="0.25">
      <c r="A5485" t="s">
        <v>19155</v>
      </c>
      <c r="B5485" s="1" t="str">
        <f>HYPERLINK("https://www.catalog.slsa.sa.gov.au/record=b2051493")</f>
        <v>https://www.catalog.slsa.sa.gov.au/record=b2051493</v>
      </c>
      <c r="C5485" s="1" t="str">
        <f>HYPERLINK("https://www.catalog.slsa.sa.gov.au/xrecord=b2051493")</f>
        <v>https://www.catalog.slsa.sa.gov.au/xrecord=b2051493</v>
      </c>
      <c r="E5485" t="s">
        <v>18881</v>
      </c>
      <c r="F5485">
        <v>1951</v>
      </c>
      <c r="G5485" t="s">
        <v>15192</v>
      </c>
      <c r="H5485" t="s">
        <v>19156</v>
      </c>
      <c r="I5485" t="s">
        <v>19157</v>
      </c>
      <c r="J5485" t="s">
        <v>2510</v>
      </c>
      <c r="K5485" s="2" t="str">
        <f>HYPERLINK("http://collections.slsa.sa.gov.au/mpcimg/22000/B21846.htm")</f>
        <v>http://collections.slsa.sa.gov.au/mpcimg/22000/B21846.htm</v>
      </c>
    </row>
    <row r="5486" spans="1:11" x14ac:dyDescent="0.25">
      <c r="A5486" t="s">
        <v>19158</v>
      </c>
      <c r="B5486" s="1" t="str">
        <f>HYPERLINK("https://www.catalog.slsa.sa.gov.au/record=b2051494")</f>
        <v>https://www.catalog.slsa.sa.gov.au/record=b2051494</v>
      </c>
      <c r="C5486" s="1" t="str">
        <f>HYPERLINK("https://www.catalog.slsa.sa.gov.au/xrecord=b2051494")</f>
        <v>https://www.catalog.slsa.sa.gov.au/xrecord=b2051494</v>
      </c>
      <c r="D5486" t="s">
        <v>2939</v>
      </c>
      <c r="E5486" t="s">
        <v>18881</v>
      </c>
      <c r="F5486">
        <v>1951</v>
      </c>
      <c r="G5486" t="s">
        <v>19068</v>
      </c>
      <c r="H5486" t="s">
        <v>19159</v>
      </c>
      <c r="I5486" t="s">
        <v>19160</v>
      </c>
      <c r="J5486" t="s">
        <v>2510</v>
      </c>
      <c r="K5486" s="2" t="str">
        <f>HYPERLINK("http://collections.slsa.sa.gov.au/mpcimg/22000/B21847.htm")</f>
        <v>http://collections.slsa.sa.gov.au/mpcimg/22000/B21847.htm</v>
      </c>
    </row>
    <row r="5487" spans="1:11" x14ac:dyDescent="0.25">
      <c r="A5487" t="s">
        <v>19161</v>
      </c>
      <c r="B5487" s="1" t="str">
        <f>HYPERLINK("https://www.catalog.slsa.sa.gov.au/record=b2051495")</f>
        <v>https://www.catalog.slsa.sa.gov.au/record=b2051495</v>
      </c>
      <c r="C5487" s="1" t="str">
        <f>HYPERLINK("https://www.catalog.slsa.sa.gov.au/xrecord=b2051495")</f>
        <v>https://www.catalog.slsa.sa.gov.au/xrecord=b2051495</v>
      </c>
      <c r="D5487" t="s">
        <v>2939</v>
      </c>
      <c r="E5487" t="s">
        <v>18881</v>
      </c>
      <c r="F5487">
        <v>1951</v>
      </c>
      <c r="G5487" t="s">
        <v>19068</v>
      </c>
      <c r="H5487" t="s">
        <v>19162</v>
      </c>
      <c r="I5487" t="s">
        <v>19163</v>
      </c>
      <c r="J5487" t="s">
        <v>2510</v>
      </c>
      <c r="K5487" s="2" t="str">
        <f>HYPERLINK("http://collections.slsa.sa.gov.au/mpcimg/22000/B21848.htm")</f>
        <v>http://collections.slsa.sa.gov.au/mpcimg/22000/B21848.htm</v>
      </c>
    </row>
    <row r="5488" spans="1:11" x14ac:dyDescent="0.25">
      <c r="A5488" t="s">
        <v>19164</v>
      </c>
      <c r="B5488" s="1" t="str">
        <f>HYPERLINK("https://www.catalog.slsa.sa.gov.au/record=b2051496")</f>
        <v>https://www.catalog.slsa.sa.gov.au/record=b2051496</v>
      </c>
      <c r="C5488" s="1" t="str">
        <f>HYPERLINK("https://www.catalog.slsa.sa.gov.au/xrecord=b2051496")</f>
        <v>https://www.catalog.slsa.sa.gov.au/xrecord=b2051496</v>
      </c>
      <c r="D5488" t="s">
        <v>2939</v>
      </c>
      <c r="E5488" t="s">
        <v>18881</v>
      </c>
      <c r="F5488">
        <v>1951</v>
      </c>
      <c r="G5488" t="s">
        <v>19068</v>
      </c>
      <c r="H5488" t="s">
        <v>19165</v>
      </c>
      <c r="I5488" t="s">
        <v>19166</v>
      </c>
      <c r="J5488" t="s">
        <v>2510</v>
      </c>
      <c r="K5488" s="2" t="str">
        <f>HYPERLINK("http://collections.slsa.sa.gov.au/mpcimg/22000/B21849.htm")</f>
        <v>http://collections.slsa.sa.gov.au/mpcimg/22000/B21849.htm</v>
      </c>
    </row>
    <row r="5489" spans="1:11" x14ac:dyDescent="0.25">
      <c r="A5489" t="s">
        <v>19167</v>
      </c>
      <c r="B5489" s="1" t="str">
        <f>HYPERLINK("https://www.catalog.slsa.sa.gov.au/record=b2051497")</f>
        <v>https://www.catalog.slsa.sa.gov.au/record=b2051497</v>
      </c>
      <c r="C5489" s="1" t="str">
        <f>HYPERLINK("https://www.catalog.slsa.sa.gov.au/xrecord=b2051497")</f>
        <v>https://www.catalog.slsa.sa.gov.au/xrecord=b2051497</v>
      </c>
      <c r="D5489" t="s">
        <v>2939</v>
      </c>
      <c r="E5489" t="s">
        <v>18881</v>
      </c>
      <c r="F5489">
        <v>1951</v>
      </c>
      <c r="G5489" t="s">
        <v>19068</v>
      </c>
      <c r="H5489" t="s">
        <v>19168</v>
      </c>
      <c r="I5489" t="s">
        <v>19169</v>
      </c>
      <c r="J5489" t="s">
        <v>2510</v>
      </c>
      <c r="K5489" s="2" t="str">
        <f>HYPERLINK("http://collections.slsa.sa.gov.au/mpcimg/22000/B21850.htm")</f>
        <v>http://collections.slsa.sa.gov.au/mpcimg/22000/B21850.htm</v>
      </c>
    </row>
    <row r="5490" spans="1:11" x14ac:dyDescent="0.25">
      <c r="A5490" t="s">
        <v>19170</v>
      </c>
      <c r="B5490" s="1" t="str">
        <f>HYPERLINK("https://www.catalog.slsa.sa.gov.au/record=b2051498")</f>
        <v>https://www.catalog.slsa.sa.gov.au/record=b2051498</v>
      </c>
      <c r="C5490" s="1" t="str">
        <f>HYPERLINK("https://www.catalog.slsa.sa.gov.au/xrecord=b2051498")</f>
        <v>https://www.catalog.slsa.sa.gov.au/xrecord=b2051498</v>
      </c>
      <c r="D5490" t="s">
        <v>2939</v>
      </c>
      <c r="E5490" t="s">
        <v>18881</v>
      </c>
      <c r="F5490">
        <v>1951</v>
      </c>
      <c r="G5490" t="s">
        <v>19068</v>
      </c>
      <c r="H5490" t="s">
        <v>19171</v>
      </c>
      <c r="I5490" t="s">
        <v>19172</v>
      </c>
      <c r="J5490" t="s">
        <v>2510</v>
      </c>
      <c r="K5490" s="2" t="str">
        <f>HYPERLINK("http://collections.slsa.sa.gov.au/mpcimg/22000/B21851.htm")</f>
        <v>http://collections.slsa.sa.gov.au/mpcimg/22000/B21851.htm</v>
      </c>
    </row>
    <row r="5491" spans="1:11" x14ac:dyDescent="0.25">
      <c r="A5491" t="s">
        <v>19173</v>
      </c>
      <c r="B5491" s="1" t="str">
        <f>HYPERLINK("https://www.catalog.slsa.sa.gov.au/record=b2051499")</f>
        <v>https://www.catalog.slsa.sa.gov.au/record=b2051499</v>
      </c>
      <c r="C5491" s="1" t="str">
        <f>HYPERLINK("https://www.catalog.slsa.sa.gov.au/xrecord=b2051499")</f>
        <v>https://www.catalog.slsa.sa.gov.au/xrecord=b2051499</v>
      </c>
      <c r="D5491" t="s">
        <v>2939</v>
      </c>
      <c r="E5491" t="s">
        <v>18881</v>
      </c>
      <c r="F5491">
        <v>1951</v>
      </c>
      <c r="G5491" t="s">
        <v>19068</v>
      </c>
      <c r="H5491" t="s">
        <v>19174</v>
      </c>
      <c r="I5491" t="s">
        <v>19175</v>
      </c>
      <c r="J5491" t="s">
        <v>2510</v>
      </c>
      <c r="K5491" s="2" t="str">
        <f>HYPERLINK("http://collections.slsa.sa.gov.au/mpcimg/22000/B21852.htm")</f>
        <v>http://collections.slsa.sa.gov.au/mpcimg/22000/B21852.htm</v>
      </c>
    </row>
    <row r="5492" spans="1:11" x14ac:dyDescent="0.25">
      <c r="A5492" t="s">
        <v>19176</v>
      </c>
      <c r="B5492" s="1" t="str">
        <f>HYPERLINK("https://www.catalog.slsa.sa.gov.au/record=b2051500")</f>
        <v>https://www.catalog.slsa.sa.gov.au/record=b2051500</v>
      </c>
      <c r="C5492" s="1" t="str">
        <f>HYPERLINK("https://www.catalog.slsa.sa.gov.au/xrecord=b2051500")</f>
        <v>https://www.catalog.slsa.sa.gov.au/xrecord=b2051500</v>
      </c>
      <c r="D5492" t="s">
        <v>2939</v>
      </c>
      <c r="E5492" t="s">
        <v>18881</v>
      </c>
      <c r="F5492">
        <v>1951</v>
      </c>
      <c r="G5492" t="s">
        <v>19068</v>
      </c>
      <c r="H5492" t="s">
        <v>19177</v>
      </c>
      <c r="I5492" t="s">
        <v>19178</v>
      </c>
      <c r="J5492" t="s">
        <v>2510</v>
      </c>
      <c r="K5492" s="2" t="str">
        <f>HYPERLINK("http://collections.slsa.sa.gov.au/mpcimg/22000/B21853.htm")</f>
        <v>http://collections.slsa.sa.gov.au/mpcimg/22000/B21853.htm</v>
      </c>
    </row>
    <row r="5493" spans="1:11" x14ac:dyDescent="0.25">
      <c r="A5493" t="s">
        <v>19179</v>
      </c>
      <c r="B5493" s="1" t="str">
        <f>HYPERLINK("https://www.catalog.slsa.sa.gov.au/record=b2051501")</f>
        <v>https://www.catalog.slsa.sa.gov.au/record=b2051501</v>
      </c>
      <c r="C5493" s="1" t="str">
        <f>HYPERLINK("https://www.catalog.slsa.sa.gov.au/xrecord=b2051501")</f>
        <v>https://www.catalog.slsa.sa.gov.au/xrecord=b2051501</v>
      </c>
      <c r="D5493" t="s">
        <v>2939</v>
      </c>
      <c r="E5493" t="s">
        <v>18881</v>
      </c>
      <c r="F5493">
        <v>1951</v>
      </c>
      <c r="G5493" t="s">
        <v>19068</v>
      </c>
      <c r="H5493" t="s">
        <v>19177</v>
      </c>
      <c r="I5493" t="s">
        <v>19178</v>
      </c>
      <c r="J5493" t="s">
        <v>2510</v>
      </c>
      <c r="K5493" s="2" t="str">
        <f>HYPERLINK("http://collections.slsa.sa.gov.au/mpcimg/22000/B21854.htm")</f>
        <v>http://collections.slsa.sa.gov.au/mpcimg/22000/B21854.htm</v>
      </c>
    </row>
    <row r="5494" spans="1:11" x14ac:dyDescent="0.25">
      <c r="A5494" t="s">
        <v>19180</v>
      </c>
      <c r="B5494" s="1" t="str">
        <f>HYPERLINK("https://www.catalog.slsa.sa.gov.au/record=b2051502")</f>
        <v>https://www.catalog.slsa.sa.gov.au/record=b2051502</v>
      </c>
      <c r="C5494" s="1" t="str">
        <f>HYPERLINK("https://www.catalog.slsa.sa.gov.au/xrecord=b2051502")</f>
        <v>https://www.catalog.slsa.sa.gov.au/xrecord=b2051502</v>
      </c>
      <c r="E5494" t="s">
        <v>18881</v>
      </c>
      <c r="F5494">
        <v>1951</v>
      </c>
      <c r="G5494" t="s">
        <v>15192</v>
      </c>
      <c r="H5494" t="s">
        <v>19181</v>
      </c>
      <c r="I5494" t="s">
        <v>19182</v>
      </c>
      <c r="J5494" t="s">
        <v>2510</v>
      </c>
      <c r="K5494" s="2" t="str">
        <f>HYPERLINK("http://collections.slsa.sa.gov.au/mpcimg/22000/B21855.htm")</f>
        <v>http://collections.slsa.sa.gov.au/mpcimg/22000/B21855.htm</v>
      </c>
    </row>
    <row r="5495" spans="1:11" x14ac:dyDescent="0.25">
      <c r="A5495" t="s">
        <v>19183</v>
      </c>
      <c r="B5495" s="1" t="str">
        <f>HYPERLINK("https://www.catalog.slsa.sa.gov.au/record=b2051503")</f>
        <v>https://www.catalog.slsa.sa.gov.au/record=b2051503</v>
      </c>
      <c r="C5495" s="1" t="str">
        <f>HYPERLINK("https://www.catalog.slsa.sa.gov.au/xrecord=b2051503")</f>
        <v>https://www.catalog.slsa.sa.gov.au/xrecord=b2051503</v>
      </c>
      <c r="E5495" t="s">
        <v>18881</v>
      </c>
      <c r="F5495">
        <v>1951</v>
      </c>
      <c r="G5495" t="s">
        <v>15192</v>
      </c>
      <c r="H5495" t="s">
        <v>19184</v>
      </c>
      <c r="I5495" t="s">
        <v>19185</v>
      </c>
      <c r="J5495" t="s">
        <v>2510</v>
      </c>
      <c r="K5495" s="2" t="str">
        <f>HYPERLINK("http://collections.slsa.sa.gov.au/mpcimg/22000/B21856.htm")</f>
        <v>http://collections.slsa.sa.gov.au/mpcimg/22000/B21856.htm</v>
      </c>
    </row>
    <row r="5496" spans="1:11" x14ac:dyDescent="0.25">
      <c r="A5496" t="s">
        <v>19186</v>
      </c>
      <c r="B5496" s="1" t="str">
        <f>HYPERLINK("https://www.catalog.slsa.sa.gov.au/record=b2051504")</f>
        <v>https://www.catalog.slsa.sa.gov.au/record=b2051504</v>
      </c>
      <c r="C5496" s="1" t="str">
        <f>HYPERLINK("https://www.catalog.slsa.sa.gov.au/xrecord=b2051504")</f>
        <v>https://www.catalog.slsa.sa.gov.au/xrecord=b2051504</v>
      </c>
      <c r="E5496" t="s">
        <v>18881</v>
      </c>
      <c r="F5496">
        <v>1951</v>
      </c>
      <c r="G5496" t="s">
        <v>15192</v>
      </c>
      <c r="H5496" t="s">
        <v>19187</v>
      </c>
      <c r="I5496" t="s">
        <v>19188</v>
      </c>
      <c r="J5496" t="s">
        <v>2510</v>
      </c>
      <c r="K5496" s="2" t="str">
        <f>HYPERLINK("http://collections.slsa.sa.gov.au/mpcimg/22000/B21857.htm")</f>
        <v>http://collections.slsa.sa.gov.au/mpcimg/22000/B21857.htm</v>
      </c>
    </row>
    <row r="5497" spans="1:11" x14ac:dyDescent="0.25">
      <c r="A5497" t="s">
        <v>19189</v>
      </c>
      <c r="B5497" s="1" t="str">
        <f>HYPERLINK("https://www.catalog.slsa.sa.gov.au/record=b2051505")</f>
        <v>https://www.catalog.slsa.sa.gov.au/record=b2051505</v>
      </c>
      <c r="C5497" s="1" t="str">
        <f>HYPERLINK("https://www.catalog.slsa.sa.gov.au/xrecord=b2051505")</f>
        <v>https://www.catalog.slsa.sa.gov.au/xrecord=b2051505</v>
      </c>
      <c r="E5497" t="s">
        <v>18881</v>
      </c>
      <c r="F5497">
        <v>1951</v>
      </c>
      <c r="G5497" t="s">
        <v>15192</v>
      </c>
      <c r="H5497" t="s">
        <v>19187</v>
      </c>
      <c r="I5497" t="s">
        <v>19190</v>
      </c>
      <c r="J5497" t="s">
        <v>2510</v>
      </c>
      <c r="K5497" s="2" t="str">
        <f>HYPERLINK("http://collections.slsa.sa.gov.au/mpcimg/22000/B21858.htm")</f>
        <v>http://collections.slsa.sa.gov.au/mpcimg/22000/B21858.htm</v>
      </c>
    </row>
    <row r="5498" spans="1:11" x14ac:dyDescent="0.25">
      <c r="A5498" t="s">
        <v>19191</v>
      </c>
      <c r="B5498" s="1" t="str">
        <f>HYPERLINK("https://www.catalog.slsa.sa.gov.au/record=b2051506")</f>
        <v>https://www.catalog.slsa.sa.gov.au/record=b2051506</v>
      </c>
      <c r="C5498" s="1" t="str">
        <f>HYPERLINK("https://www.catalog.slsa.sa.gov.au/xrecord=b2051506")</f>
        <v>https://www.catalog.slsa.sa.gov.au/xrecord=b2051506</v>
      </c>
      <c r="E5498" t="s">
        <v>18881</v>
      </c>
      <c r="F5498">
        <v>1951</v>
      </c>
      <c r="G5498" t="s">
        <v>15192</v>
      </c>
      <c r="H5498" t="s">
        <v>19187</v>
      </c>
      <c r="I5498" t="s">
        <v>19190</v>
      </c>
      <c r="J5498" t="s">
        <v>2510</v>
      </c>
      <c r="K5498" s="2" t="str">
        <f>HYPERLINK("http://collections.slsa.sa.gov.au/mpcimg/22000/B21859.htm")</f>
        <v>http://collections.slsa.sa.gov.au/mpcimg/22000/B21859.htm</v>
      </c>
    </row>
    <row r="5499" spans="1:11" x14ac:dyDescent="0.25">
      <c r="A5499" t="s">
        <v>19192</v>
      </c>
      <c r="B5499" s="1" t="str">
        <f>HYPERLINK("https://www.catalog.slsa.sa.gov.au/record=b2051507")</f>
        <v>https://www.catalog.slsa.sa.gov.au/record=b2051507</v>
      </c>
      <c r="C5499" s="1" t="str">
        <f>HYPERLINK("https://www.catalog.slsa.sa.gov.au/xrecord=b2051507")</f>
        <v>https://www.catalog.slsa.sa.gov.au/xrecord=b2051507</v>
      </c>
      <c r="E5499" t="s">
        <v>18881</v>
      </c>
      <c r="F5499">
        <v>1951</v>
      </c>
      <c r="G5499" t="s">
        <v>15192</v>
      </c>
      <c r="H5499" t="s">
        <v>19193</v>
      </c>
      <c r="I5499" t="s">
        <v>19194</v>
      </c>
      <c r="J5499" t="s">
        <v>2510</v>
      </c>
      <c r="K5499" s="2" t="str">
        <f>HYPERLINK("http://collections.slsa.sa.gov.au/mpcimg/22000/B21860.htm")</f>
        <v>http://collections.slsa.sa.gov.au/mpcimg/22000/B21860.htm</v>
      </c>
    </row>
    <row r="5500" spans="1:11" x14ac:dyDescent="0.25">
      <c r="A5500" t="s">
        <v>19195</v>
      </c>
      <c r="B5500" s="1" t="str">
        <f>HYPERLINK("https://www.catalog.slsa.sa.gov.au/record=b2051508")</f>
        <v>https://www.catalog.slsa.sa.gov.au/record=b2051508</v>
      </c>
      <c r="C5500" s="1" t="str">
        <f>HYPERLINK("https://www.catalog.slsa.sa.gov.au/xrecord=b2051508")</f>
        <v>https://www.catalog.slsa.sa.gov.au/xrecord=b2051508</v>
      </c>
      <c r="E5500" t="s">
        <v>18881</v>
      </c>
      <c r="F5500">
        <v>1951</v>
      </c>
      <c r="G5500" t="s">
        <v>15192</v>
      </c>
      <c r="H5500" t="s">
        <v>19196</v>
      </c>
      <c r="I5500" t="s">
        <v>19197</v>
      </c>
      <c r="J5500" t="s">
        <v>2510</v>
      </c>
      <c r="K5500" s="2" t="str">
        <f>HYPERLINK("http://collections.slsa.sa.gov.au/mpcimg/22000/B21861.htm")</f>
        <v>http://collections.slsa.sa.gov.au/mpcimg/22000/B21861.htm</v>
      </c>
    </row>
    <row r="5501" spans="1:11" x14ac:dyDescent="0.25">
      <c r="A5501" t="s">
        <v>19198</v>
      </c>
      <c r="B5501" s="1" t="str">
        <f>HYPERLINK("https://www.catalog.slsa.sa.gov.au/record=b2051509")</f>
        <v>https://www.catalog.slsa.sa.gov.au/record=b2051509</v>
      </c>
      <c r="C5501" s="1" t="str">
        <f>HYPERLINK("https://www.catalog.slsa.sa.gov.au/xrecord=b2051509")</f>
        <v>https://www.catalog.slsa.sa.gov.au/xrecord=b2051509</v>
      </c>
      <c r="E5501" t="s">
        <v>18881</v>
      </c>
      <c r="F5501">
        <v>1951</v>
      </c>
      <c r="G5501" t="s">
        <v>15192</v>
      </c>
      <c r="H5501" t="s">
        <v>19199</v>
      </c>
      <c r="I5501" t="s">
        <v>19200</v>
      </c>
      <c r="J5501" t="s">
        <v>2510</v>
      </c>
      <c r="K5501" s="2" t="str">
        <f>HYPERLINK("http://collections.slsa.sa.gov.au/mpcimg/22000/B21862.htm")</f>
        <v>http://collections.slsa.sa.gov.au/mpcimg/22000/B21862.htm</v>
      </c>
    </row>
    <row r="5502" spans="1:11" x14ac:dyDescent="0.25">
      <c r="A5502" t="s">
        <v>19201</v>
      </c>
      <c r="B5502" s="1" t="str">
        <f>HYPERLINK("https://www.catalog.slsa.sa.gov.au/record=b2051510")</f>
        <v>https://www.catalog.slsa.sa.gov.au/record=b2051510</v>
      </c>
      <c r="C5502" s="1" t="str">
        <f>HYPERLINK("https://www.catalog.slsa.sa.gov.au/xrecord=b2051510")</f>
        <v>https://www.catalog.slsa.sa.gov.au/xrecord=b2051510</v>
      </c>
      <c r="E5502" t="s">
        <v>18881</v>
      </c>
      <c r="F5502">
        <v>1951</v>
      </c>
      <c r="G5502" t="s">
        <v>15192</v>
      </c>
      <c r="H5502" t="s">
        <v>19199</v>
      </c>
      <c r="I5502" t="s">
        <v>19202</v>
      </c>
      <c r="J5502" t="s">
        <v>2510</v>
      </c>
      <c r="K5502" s="2" t="str">
        <f>HYPERLINK("http://collections.slsa.sa.gov.au/mpcimg/22000/B21863.htm")</f>
        <v>http://collections.slsa.sa.gov.au/mpcimg/22000/B21863.htm</v>
      </c>
    </row>
    <row r="5503" spans="1:11" x14ac:dyDescent="0.25">
      <c r="A5503" t="s">
        <v>19203</v>
      </c>
      <c r="B5503" s="1" t="str">
        <f>HYPERLINK("https://www.catalog.slsa.sa.gov.au/record=b2051511")</f>
        <v>https://www.catalog.slsa.sa.gov.au/record=b2051511</v>
      </c>
      <c r="C5503" s="1" t="str">
        <f>HYPERLINK("https://www.catalog.slsa.sa.gov.au/xrecord=b2051511")</f>
        <v>https://www.catalog.slsa.sa.gov.au/xrecord=b2051511</v>
      </c>
      <c r="E5503" t="s">
        <v>18881</v>
      </c>
      <c r="F5503">
        <v>1951</v>
      </c>
      <c r="G5503" t="s">
        <v>15192</v>
      </c>
      <c r="H5503" t="s">
        <v>19199</v>
      </c>
      <c r="I5503" t="s">
        <v>19204</v>
      </c>
      <c r="J5503" t="s">
        <v>2510</v>
      </c>
      <c r="K5503" s="2" t="str">
        <f>HYPERLINK("http://collections.slsa.sa.gov.au/mpcimg/22000/B21864.htm")</f>
        <v>http://collections.slsa.sa.gov.au/mpcimg/22000/B21864.htm</v>
      </c>
    </row>
    <row r="5504" spans="1:11" x14ac:dyDescent="0.25">
      <c r="A5504" t="s">
        <v>19205</v>
      </c>
      <c r="B5504" s="1" t="str">
        <f>HYPERLINK("https://www.catalog.slsa.sa.gov.au/record=b2051512")</f>
        <v>https://www.catalog.slsa.sa.gov.au/record=b2051512</v>
      </c>
      <c r="C5504" s="1" t="str">
        <f>HYPERLINK("https://www.catalog.slsa.sa.gov.au/xrecord=b2051512")</f>
        <v>https://www.catalog.slsa.sa.gov.au/xrecord=b2051512</v>
      </c>
      <c r="E5504" t="s">
        <v>18881</v>
      </c>
      <c r="F5504">
        <v>1951</v>
      </c>
      <c r="G5504" t="s">
        <v>15192</v>
      </c>
      <c r="H5504" t="s">
        <v>19206</v>
      </c>
      <c r="I5504" t="s">
        <v>19207</v>
      </c>
      <c r="J5504" t="s">
        <v>2510</v>
      </c>
      <c r="K5504" s="2" t="str">
        <f>HYPERLINK("http://collections.slsa.sa.gov.au/mpcimg/22000/B21865.htm")</f>
        <v>http://collections.slsa.sa.gov.au/mpcimg/22000/B21865.htm</v>
      </c>
    </row>
    <row r="5505" spans="1:11" x14ac:dyDescent="0.25">
      <c r="A5505" t="s">
        <v>19208</v>
      </c>
      <c r="B5505" s="1" t="str">
        <f>HYPERLINK("https://www.catalog.slsa.sa.gov.au/record=b2051513")</f>
        <v>https://www.catalog.slsa.sa.gov.au/record=b2051513</v>
      </c>
      <c r="C5505" s="1" t="str">
        <f>HYPERLINK("https://www.catalog.slsa.sa.gov.au/xrecord=b2051513")</f>
        <v>https://www.catalog.slsa.sa.gov.au/xrecord=b2051513</v>
      </c>
      <c r="E5505" t="s">
        <v>18881</v>
      </c>
      <c r="F5505">
        <v>1951</v>
      </c>
      <c r="G5505" t="s">
        <v>15192</v>
      </c>
      <c r="H5505" t="s">
        <v>19206</v>
      </c>
      <c r="I5505" t="s">
        <v>19207</v>
      </c>
      <c r="J5505" t="s">
        <v>2510</v>
      </c>
      <c r="K5505" s="2" t="str">
        <f>HYPERLINK("http://collections.slsa.sa.gov.au/mpcimg/22000/B21866.htm")</f>
        <v>http://collections.slsa.sa.gov.au/mpcimg/22000/B21866.htm</v>
      </c>
    </row>
    <row r="5506" spans="1:11" x14ac:dyDescent="0.25">
      <c r="A5506" t="s">
        <v>19209</v>
      </c>
      <c r="B5506" s="1" t="str">
        <f>HYPERLINK("https://www.catalog.slsa.sa.gov.au/record=b2051514")</f>
        <v>https://www.catalog.slsa.sa.gov.au/record=b2051514</v>
      </c>
      <c r="C5506" s="1" t="str">
        <f>HYPERLINK("https://www.catalog.slsa.sa.gov.au/xrecord=b2051514")</f>
        <v>https://www.catalog.slsa.sa.gov.au/xrecord=b2051514</v>
      </c>
      <c r="E5506" t="s">
        <v>18881</v>
      </c>
      <c r="F5506">
        <v>1951</v>
      </c>
      <c r="G5506" t="s">
        <v>15192</v>
      </c>
      <c r="H5506" t="s">
        <v>19210</v>
      </c>
      <c r="I5506" t="s">
        <v>19211</v>
      </c>
      <c r="J5506" t="s">
        <v>2510</v>
      </c>
      <c r="K5506" s="2" t="str">
        <f>HYPERLINK("http://collections.slsa.sa.gov.au/mpcimg/22000/B21867.htm")</f>
        <v>http://collections.slsa.sa.gov.au/mpcimg/22000/B21867.htm</v>
      </c>
    </row>
    <row r="5507" spans="1:11" x14ac:dyDescent="0.25">
      <c r="A5507" t="s">
        <v>19212</v>
      </c>
      <c r="B5507" s="1" t="str">
        <f>HYPERLINK("https://www.catalog.slsa.sa.gov.au/record=b2051515")</f>
        <v>https://www.catalog.slsa.sa.gov.au/record=b2051515</v>
      </c>
      <c r="C5507" s="1" t="str">
        <f>HYPERLINK("https://www.catalog.slsa.sa.gov.au/xrecord=b2051515")</f>
        <v>https://www.catalog.slsa.sa.gov.au/xrecord=b2051515</v>
      </c>
      <c r="E5507" t="s">
        <v>18881</v>
      </c>
      <c r="F5507">
        <v>1951</v>
      </c>
      <c r="G5507" t="s">
        <v>15192</v>
      </c>
      <c r="H5507" t="s">
        <v>19213</v>
      </c>
      <c r="I5507" t="s">
        <v>19214</v>
      </c>
      <c r="J5507" t="s">
        <v>2510</v>
      </c>
      <c r="K5507" s="2" t="str">
        <f>HYPERLINK("http://collections.slsa.sa.gov.au/mpcimg/22000/B21868.htm")</f>
        <v>http://collections.slsa.sa.gov.au/mpcimg/22000/B21868.htm</v>
      </c>
    </row>
    <row r="5508" spans="1:11" x14ac:dyDescent="0.25">
      <c r="A5508" t="s">
        <v>19215</v>
      </c>
      <c r="B5508" s="1" t="str">
        <f>HYPERLINK("https://www.catalog.slsa.sa.gov.au/record=b2051516")</f>
        <v>https://www.catalog.slsa.sa.gov.au/record=b2051516</v>
      </c>
      <c r="C5508" s="1" t="str">
        <f>HYPERLINK("https://www.catalog.slsa.sa.gov.au/xrecord=b2051516")</f>
        <v>https://www.catalog.slsa.sa.gov.au/xrecord=b2051516</v>
      </c>
      <c r="E5508" t="s">
        <v>18881</v>
      </c>
      <c r="F5508">
        <v>1951</v>
      </c>
      <c r="G5508" t="s">
        <v>15192</v>
      </c>
      <c r="H5508" t="s">
        <v>19216</v>
      </c>
      <c r="I5508" t="s">
        <v>19217</v>
      </c>
      <c r="J5508" t="s">
        <v>2510</v>
      </c>
      <c r="K5508" s="2" t="str">
        <f>HYPERLINK("http://collections.slsa.sa.gov.au/mpcimg/22000/B21869.htm")</f>
        <v>http://collections.slsa.sa.gov.au/mpcimg/22000/B21869.htm</v>
      </c>
    </row>
    <row r="5509" spans="1:11" x14ac:dyDescent="0.25">
      <c r="A5509" t="s">
        <v>19218</v>
      </c>
      <c r="B5509" s="1" t="str">
        <f>HYPERLINK("https://www.catalog.slsa.sa.gov.au/record=b2051517")</f>
        <v>https://www.catalog.slsa.sa.gov.au/record=b2051517</v>
      </c>
      <c r="C5509" s="1" t="str">
        <f>HYPERLINK("https://www.catalog.slsa.sa.gov.au/xrecord=b2051517")</f>
        <v>https://www.catalog.slsa.sa.gov.au/xrecord=b2051517</v>
      </c>
      <c r="E5509" t="s">
        <v>18881</v>
      </c>
      <c r="F5509">
        <v>1951</v>
      </c>
      <c r="G5509" t="s">
        <v>15192</v>
      </c>
      <c r="H5509" t="s">
        <v>19219</v>
      </c>
      <c r="I5509" t="s">
        <v>19220</v>
      </c>
      <c r="J5509" t="s">
        <v>2510</v>
      </c>
      <c r="K5509" s="2" t="str">
        <f>HYPERLINK("http://collections.slsa.sa.gov.au/mpcimg/22000/B21870.htm")</f>
        <v>http://collections.slsa.sa.gov.au/mpcimg/22000/B21870.htm</v>
      </c>
    </row>
    <row r="5510" spans="1:11" x14ac:dyDescent="0.25">
      <c r="A5510" t="s">
        <v>19221</v>
      </c>
      <c r="B5510" s="1" t="str">
        <f>HYPERLINK("https://www.catalog.slsa.sa.gov.au/record=b2051518")</f>
        <v>https://www.catalog.slsa.sa.gov.au/record=b2051518</v>
      </c>
      <c r="C5510" s="1" t="str">
        <f>HYPERLINK("https://www.catalog.slsa.sa.gov.au/xrecord=b2051518")</f>
        <v>https://www.catalog.slsa.sa.gov.au/xrecord=b2051518</v>
      </c>
      <c r="E5510" t="s">
        <v>18881</v>
      </c>
      <c r="F5510">
        <v>1951</v>
      </c>
      <c r="G5510" t="s">
        <v>15192</v>
      </c>
      <c r="H5510" t="s">
        <v>19222</v>
      </c>
      <c r="I5510" t="s">
        <v>19223</v>
      </c>
      <c r="J5510" t="s">
        <v>2510</v>
      </c>
      <c r="K5510" s="2" t="str">
        <f>HYPERLINK("http://collections.slsa.sa.gov.au/mpcimg/22000/B21871.htm")</f>
        <v>http://collections.slsa.sa.gov.au/mpcimg/22000/B21871.htm</v>
      </c>
    </row>
    <row r="5511" spans="1:11" x14ac:dyDescent="0.25">
      <c r="A5511" t="s">
        <v>19224</v>
      </c>
      <c r="B5511" s="1" t="str">
        <f>HYPERLINK("https://www.catalog.slsa.sa.gov.au/record=b2051519")</f>
        <v>https://www.catalog.slsa.sa.gov.au/record=b2051519</v>
      </c>
      <c r="C5511" s="1" t="str">
        <f>HYPERLINK("https://www.catalog.slsa.sa.gov.au/xrecord=b2051519")</f>
        <v>https://www.catalog.slsa.sa.gov.au/xrecord=b2051519</v>
      </c>
      <c r="E5511" t="s">
        <v>18881</v>
      </c>
      <c r="F5511">
        <v>1951</v>
      </c>
      <c r="G5511" t="s">
        <v>15192</v>
      </c>
      <c r="H5511" t="s">
        <v>19225</v>
      </c>
      <c r="I5511" t="s">
        <v>19226</v>
      </c>
      <c r="J5511" t="s">
        <v>2510</v>
      </c>
      <c r="K5511" s="2" t="str">
        <f>HYPERLINK("http://collections.slsa.sa.gov.au/mpcimg/22000/B21872.htm")</f>
        <v>http://collections.slsa.sa.gov.au/mpcimg/22000/B21872.htm</v>
      </c>
    </row>
    <row r="5512" spans="1:11" x14ac:dyDescent="0.25">
      <c r="A5512" t="s">
        <v>19227</v>
      </c>
      <c r="B5512" s="1" t="str">
        <f>HYPERLINK("https://www.catalog.slsa.sa.gov.au/record=b2051520")</f>
        <v>https://www.catalog.slsa.sa.gov.au/record=b2051520</v>
      </c>
      <c r="C5512" s="1" t="str">
        <f>HYPERLINK("https://www.catalog.slsa.sa.gov.au/xrecord=b2051520")</f>
        <v>https://www.catalog.slsa.sa.gov.au/xrecord=b2051520</v>
      </c>
      <c r="E5512" t="s">
        <v>18881</v>
      </c>
      <c r="F5512">
        <v>1951</v>
      </c>
      <c r="G5512" t="s">
        <v>15192</v>
      </c>
      <c r="H5512" t="s">
        <v>19228</v>
      </c>
      <c r="I5512" t="s">
        <v>19229</v>
      </c>
      <c r="J5512" t="s">
        <v>2510</v>
      </c>
      <c r="K5512" s="2" t="str">
        <f>HYPERLINK("http://collections.slsa.sa.gov.au/mpcimg/22000/B21873.htm")</f>
        <v>http://collections.slsa.sa.gov.au/mpcimg/22000/B21873.htm</v>
      </c>
    </row>
    <row r="5513" spans="1:11" x14ac:dyDescent="0.25">
      <c r="A5513" t="s">
        <v>19230</v>
      </c>
      <c r="B5513" s="1" t="str">
        <f>HYPERLINK("https://www.catalog.slsa.sa.gov.au/record=b2051521")</f>
        <v>https://www.catalog.slsa.sa.gov.au/record=b2051521</v>
      </c>
      <c r="C5513" s="1" t="str">
        <f>HYPERLINK("https://www.catalog.slsa.sa.gov.au/xrecord=b2051521")</f>
        <v>https://www.catalog.slsa.sa.gov.au/xrecord=b2051521</v>
      </c>
      <c r="E5513" t="s">
        <v>18881</v>
      </c>
      <c r="F5513">
        <v>1951</v>
      </c>
      <c r="G5513" t="s">
        <v>15192</v>
      </c>
      <c r="H5513" t="s">
        <v>19228</v>
      </c>
      <c r="I5513" t="s">
        <v>19229</v>
      </c>
      <c r="J5513" t="s">
        <v>2510</v>
      </c>
      <c r="K5513" s="2" t="str">
        <f>HYPERLINK("http://collections.slsa.sa.gov.au/mpcimg/22000/B21874.htm")</f>
        <v>http://collections.slsa.sa.gov.au/mpcimg/22000/B21874.htm</v>
      </c>
    </row>
    <row r="5514" spans="1:11" x14ac:dyDescent="0.25">
      <c r="A5514" t="s">
        <v>19231</v>
      </c>
      <c r="B5514" s="1" t="str">
        <f>HYPERLINK("https://www.catalog.slsa.sa.gov.au/record=b2051522")</f>
        <v>https://www.catalog.slsa.sa.gov.au/record=b2051522</v>
      </c>
      <c r="C5514" s="1" t="str">
        <f>HYPERLINK("https://www.catalog.slsa.sa.gov.au/xrecord=b2051522")</f>
        <v>https://www.catalog.slsa.sa.gov.au/xrecord=b2051522</v>
      </c>
      <c r="E5514" t="s">
        <v>18881</v>
      </c>
      <c r="F5514">
        <v>1951</v>
      </c>
      <c r="G5514" t="s">
        <v>15192</v>
      </c>
      <c r="H5514" t="s">
        <v>19228</v>
      </c>
      <c r="I5514" t="s">
        <v>19229</v>
      </c>
      <c r="J5514" t="s">
        <v>2510</v>
      </c>
      <c r="K5514" s="2" t="str">
        <f>HYPERLINK("http://collections.slsa.sa.gov.au/mpcimg/22000/B21875.htm")</f>
        <v>http://collections.slsa.sa.gov.au/mpcimg/22000/B21875.htm</v>
      </c>
    </row>
    <row r="5515" spans="1:11" x14ac:dyDescent="0.25">
      <c r="A5515" t="s">
        <v>19232</v>
      </c>
      <c r="B5515" s="1" t="str">
        <f>HYPERLINK("https://www.catalog.slsa.sa.gov.au/record=b2051523")</f>
        <v>https://www.catalog.slsa.sa.gov.au/record=b2051523</v>
      </c>
      <c r="C5515" s="1" t="str">
        <f>HYPERLINK("https://www.catalog.slsa.sa.gov.au/xrecord=b2051523")</f>
        <v>https://www.catalog.slsa.sa.gov.au/xrecord=b2051523</v>
      </c>
      <c r="E5515" t="s">
        <v>18881</v>
      </c>
      <c r="F5515">
        <v>1951</v>
      </c>
      <c r="G5515" t="s">
        <v>15192</v>
      </c>
      <c r="H5515" t="s">
        <v>19228</v>
      </c>
      <c r="I5515" t="s">
        <v>19233</v>
      </c>
      <c r="J5515" t="s">
        <v>2510</v>
      </c>
      <c r="K5515" s="2" t="str">
        <f>HYPERLINK("http://collections.slsa.sa.gov.au/mpcimg/22000/B21876.htm")</f>
        <v>http://collections.slsa.sa.gov.au/mpcimg/22000/B21876.htm</v>
      </c>
    </row>
    <row r="5516" spans="1:11" x14ac:dyDescent="0.25">
      <c r="A5516" t="s">
        <v>19234</v>
      </c>
      <c r="B5516" s="1" t="str">
        <f>HYPERLINK("https://www.catalog.slsa.sa.gov.au/record=b2051524")</f>
        <v>https://www.catalog.slsa.sa.gov.au/record=b2051524</v>
      </c>
      <c r="C5516" s="1" t="str">
        <f>HYPERLINK("https://www.catalog.slsa.sa.gov.au/xrecord=b2051524")</f>
        <v>https://www.catalog.slsa.sa.gov.au/xrecord=b2051524</v>
      </c>
      <c r="E5516" t="s">
        <v>18881</v>
      </c>
      <c r="F5516">
        <v>1951</v>
      </c>
      <c r="G5516" t="s">
        <v>15192</v>
      </c>
      <c r="H5516" t="s">
        <v>19228</v>
      </c>
      <c r="I5516" t="s">
        <v>19229</v>
      </c>
      <c r="J5516" t="s">
        <v>2510</v>
      </c>
      <c r="K5516" s="2" t="str">
        <f>HYPERLINK("http://collections.slsa.sa.gov.au/mpcimg/22000/B21877.htm")</f>
        <v>http://collections.slsa.sa.gov.au/mpcimg/22000/B21877.htm</v>
      </c>
    </row>
    <row r="5517" spans="1:11" x14ac:dyDescent="0.25">
      <c r="A5517" t="s">
        <v>19235</v>
      </c>
      <c r="B5517" s="1" t="str">
        <f>HYPERLINK("https://www.catalog.slsa.sa.gov.au/record=b2051525")</f>
        <v>https://www.catalog.slsa.sa.gov.au/record=b2051525</v>
      </c>
      <c r="C5517" s="1" t="str">
        <f>HYPERLINK("https://www.catalog.slsa.sa.gov.au/xrecord=b2051525")</f>
        <v>https://www.catalog.slsa.sa.gov.au/xrecord=b2051525</v>
      </c>
      <c r="E5517" t="s">
        <v>18881</v>
      </c>
      <c r="F5517">
        <v>1951</v>
      </c>
      <c r="G5517" t="s">
        <v>15192</v>
      </c>
      <c r="H5517" t="s">
        <v>19236</v>
      </c>
      <c r="I5517" t="s">
        <v>19237</v>
      </c>
      <c r="J5517" t="s">
        <v>2510</v>
      </c>
      <c r="K5517" s="2" t="str">
        <f>HYPERLINK("http://collections.slsa.sa.gov.au/mpcimg/22000/B21878.htm")</f>
        <v>http://collections.slsa.sa.gov.au/mpcimg/22000/B21878.htm</v>
      </c>
    </row>
    <row r="5518" spans="1:11" x14ac:dyDescent="0.25">
      <c r="A5518" t="s">
        <v>19238</v>
      </c>
      <c r="B5518" s="1" t="str">
        <f>HYPERLINK("https://www.catalog.slsa.sa.gov.au/record=b2051526")</f>
        <v>https://www.catalog.slsa.sa.gov.au/record=b2051526</v>
      </c>
      <c r="C5518" s="1" t="str">
        <f>HYPERLINK("https://www.catalog.slsa.sa.gov.au/xrecord=b2051526")</f>
        <v>https://www.catalog.slsa.sa.gov.au/xrecord=b2051526</v>
      </c>
      <c r="E5518" t="s">
        <v>18881</v>
      </c>
      <c r="F5518">
        <v>1951</v>
      </c>
      <c r="G5518" t="s">
        <v>15192</v>
      </c>
      <c r="H5518" t="s">
        <v>19236</v>
      </c>
      <c r="I5518" t="s">
        <v>19237</v>
      </c>
      <c r="J5518" t="s">
        <v>2510</v>
      </c>
      <c r="K5518" s="2" t="str">
        <f>HYPERLINK("http://collections.slsa.sa.gov.au/mpcimg/22000/B21879.htm")</f>
        <v>http://collections.slsa.sa.gov.au/mpcimg/22000/B21879.htm</v>
      </c>
    </row>
    <row r="5519" spans="1:11" x14ac:dyDescent="0.25">
      <c r="A5519" t="s">
        <v>19239</v>
      </c>
      <c r="B5519" s="1" t="str">
        <f>HYPERLINK("https://www.catalog.slsa.sa.gov.au/record=b2051527")</f>
        <v>https://www.catalog.slsa.sa.gov.au/record=b2051527</v>
      </c>
      <c r="C5519" s="1" t="str">
        <f>HYPERLINK("https://www.catalog.slsa.sa.gov.au/xrecord=b2051527")</f>
        <v>https://www.catalog.slsa.sa.gov.au/xrecord=b2051527</v>
      </c>
      <c r="E5519" t="s">
        <v>18881</v>
      </c>
      <c r="F5519">
        <v>1951</v>
      </c>
      <c r="G5519" t="s">
        <v>15192</v>
      </c>
      <c r="H5519" t="s">
        <v>19236</v>
      </c>
      <c r="I5519" t="s">
        <v>19237</v>
      </c>
      <c r="J5519" t="s">
        <v>2510</v>
      </c>
      <c r="K5519" s="2" t="str">
        <f>HYPERLINK("http://collections.slsa.sa.gov.au/mpcimg/22000/B21880.htm")</f>
        <v>http://collections.slsa.sa.gov.au/mpcimg/22000/B21880.htm</v>
      </c>
    </row>
    <row r="5520" spans="1:11" x14ac:dyDescent="0.25">
      <c r="A5520" t="s">
        <v>19240</v>
      </c>
      <c r="B5520" s="1" t="str">
        <f>HYPERLINK("https://www.catalog.slsa.sa.gov.au/record=b2051528")</f>
        <v>https://www.catalog.slsa.sa.gov.au/record=b2051528</v>
      </c>
      <c r="C5520" s="1" t="str">
        <f>HYPERLINK("https://www.catalog.slsa.sa.gov.au/xrecord=b2051528")</f>
        <v>https://www.catalog.slsa.sa.gov.au/xrecord=b2051528</v>
      </c>
      <c r="E5520" t="s">
        <v>18881</v>
      </c>
      <c r="F5520">
        <v>1951</v>
      </c>
      <c r="G5520" t="s">
        <v>15192</v>
      </c>
      <c r="H5520" t="s">
        <v>19241</v>
      </c>
      <c r="I5520" t="s">
        <v>19237</v>
      </c>
      <c r="J5520" t="s">
        <v>2510</v>
      </c>
      <c r="K5520" s="2" t="str">
        <f>HYPERLINK("http://collections.slsa.sa.gov.au/mpcimg/22000/B21881.htm")</f>
        <v>http://collections.slsa.sa.gov.au/mpcimg/22000/B21881.htm</v>
      </c>
    </row>
    <row r="5521" spans="1:11" x14ac:dyDescent="0.25">
      <c r="A5521" t="s">
        <v>19242</v>
      </c>
      <c r="B5521" s="1" t="str">
        <f>HYPERLINK("https://www.catalog.slsa.sa.gov.au/record=b2051529")</f>
        <v>https://www.catalog.slsa.sa.gov.au/record=b2051529</v>
      </c>
      <c r="C5521" s="1" t="str">
        <f>HYPERLINK("https://www.catalog.slsa.sa.gov.au/xrecord=b2051529")</f>
        <v>https://www.catalog.slsa.sa.gov.au/xrecord=b2051529</v>
      </c>
      <c r="E5521" t="s">
        <v>18881</v>
      </c>
      <c r="F5521">
        <v>1951</v>
      </c>
      <c r="G5521" t="s">
        <v>15192</v>
      </c>
      <c r="H5521" t="s">
        <v>19241</v>
      </c>
      <c r="I5521" t="s">
        <v>19237</v>
      </c>
      <c r="J5521" t="s">
        <v>2510</v>
      </c>
      <c r="K5521" s="2" t="str">
        <f>HYPERLINK("http://collections.slsa.sa.gov.au/mpcimg/22000/B21882.htm")</f>
        <v>http://collections.slsa.sa.gov.au/mpcimg/22000/B21882.htm</v>
      </c>
    </row>
    <row r="5522" spans="1:11" x14ac:dyDescent="0.25">
      <c r="A5522" t="s">
        <v>19243</v>
      </c>
      <c r="B5522" s="1" t="str">
        <f>HYPERLINK("https://www.catalog.slsa.sa.gov.au/record=b2051530")</f>
        <v>https://www.catalog.slsa.sa.gov.au/record=b2051530</v>
      </c>
      <c r="C5522" s="1" t="str">
        <f>HYPERLINK("https://www.catalog.slsa.sa.gov.au/xrecord=b2051530")</f>
        <v>https://www.catalog.slsa.sa.gov.au/xrecord=b2051530</v>
      </c>
      <c r="E5522" t="s">
        <v>18881</v>
      </c>
      <c r="F5522">
        <v>1951</v>
      </c>
      <c r="G5522" t="s">
        <v>15192</v>
      </c>
      <c r="H5522" t="s">
        <v>19241</v>
      </c>
      <c r="I5522" t="s">
        <v>19237</v>
      </c>
      <c r="J5522" t="s">
        <v>2510</v>
      </c>
      <c r="K5522" s="2" t="str">
        <f>HYPERLINK("http://collections.slsa.sa.gov.au/mpcimg/22000/B21883.htm")</f>
        <v>http://collections.slsa.sa.gov.au/mpcimg/22000/B21883.htm</v>
      </c>
    </row>
    <row r="5523" spans="1:11" x14ac:dyDescent="0.25">
      <c r="A5523" t="s">
        <v>19244</v>
      </c>
      <c r="B5523" s="1" t="str">
        <f>HYPERLINK("https://www.catalog.slsa.sa.gov.au/record=b2051531")</f>
        <v>https://www.catalog.slsa.sa.gov.au/record=b2051531</v>
      </c>
      <c r="C5523" s="1" t="str">
        <f>HYPERLINK("https://www.catalog.slsa.sa.gov.au/xrecord=b2051531")</f>
        <v>https://www.catalog.slsa.sa.gov.au/xrecord=b2051531</v>
      </c>
      <c r="E5523" t="s">
        <v>18881</v>
      </c>
      <c r="F5523">
        <v>1951</v>
      </c>
      <c r="G5523" t="s">
        <v>15192</v>
      </c>
      <c r="H5523" t="s">
        <v>19241</v>
      </c>
      <c r="I5523" t="s">
        <v>19237</v>
      </c>
      <c r="J5523" t="s">
        <v>2510</v>
      </c>
      <c r="K5523" s="2" t="str">
        <f>HYPERLINK("http://collections.slsa.sa.gov.au/mpcimg/22000/B21884.htm")</f>
        <v>http://collections.slsa.sa.gov.au/mpcimg/22000/B21884.htm</v>
      </c>
    </row>
    <row r="5524" spans="1:11" x14ac:dyDescent="0.25">
      <c r="A5524" t="s">
        <v>19245</v>
      </c>
      <c r="B5524" s="1" t="str">
        <f>HYPERLINK("https://www.catalog.slsa.sa.gov.au/record=b2051532")</f>
        <v>https://www.catalog.slsa.sa.gov.au/record=b2051532</v>
      </c>
      <c r="C5524" s="1" t="str">
        <f>HYPERLINK("https://www.catalog.slsa.sa.gov.au/xrecord=b2051532")</f>
        <v>https://www.catalog.slsa.sa.gov.au/xrecord=b2051532</v>
      </c>
      <c r="E5524" t="s">
        <v>18881</v>
      </c>
      <c r="F5524">
        <v>1951</v>
      </c>
      <c r="G5524" t="s">
        <v>15192</v>
      </c>
      <c r="H5524" t="s">
        <v>19241</v>
      </c>
      <c r="I5524" t="s">
        <v>19237</v>
      </c>
      <c r="J5524" t="s">
        <v>2510</v>
      </c>
      <c r="K5524" s="2" t="str">
        <f>HYPERLINK("http://collections.slsa.sa.gov.au/mpcimg/22000/B21885.htm")</f>
        <v>http://collections.slsa.sa.gov.au/mpcimg/22000/B21885.htm</v>
      </c>
    </row>
    <row r="5525" spans="1:11" x14ac:dyDescent="0.25">
      <c r="A5525" t="s">
        <v>19246</v>
      </c>
      <c r="B5525" s="1" t="str">
        <f>HYPERLINK("https://www.catalog.slsa.sa.gov.au/record=b2051533")</f>
        <v>https://www.catalog.slsa.sa.gov.au/record=b2051533</v>
      </c>
      <c r="C5525" s="1" t="str">
        <f>HYPERLINK("https://www.catalog.slsa.sa.gov.au/xrecord=b2051533")</f>
        <v>https://www.catalog.slsa.sa.gov.au/xrecord=b2051533</v>
      </c>
      <c r="E5525" t="s">
        <v>18881</v>
      </c>
      <c r="F5525">
        <v>1951</v>
      </c>
      <c r="G5525" t="s">
        <v>15192</v>
      </c>
      <c r="H5525" t="s">
        <v>19241</v>
      </c>
      <c r="I5525" t="s">
        <v>19237</v>
      </c>
      <c r="J5525" t="s">
        <v>2510</v>
      </c>
      <c r="K5525" s="2" t="str">
        <f>HYPERLINK("http://collections.slsa.sa.gov.au/mpcimg/22000/B21886.htm")</f>
        <v>http://collections.slsa.sa.gov.au/mpcimg/22000/B21886.htm</v>
      </c>
    </row>
    <row r="5526" spans="1:11" x14ac:dyDescent="0.25">
      <c r="A5526" t="s">
        <v>19247</v>
      </c>
      <c r="B5526" s="1" t="str">
        <f>HYPERLINK("https://www.catalog.slsa.sa.gov.au/record=b2051534")</f>
        <v>https://www.catalog.slsa.sa.gov.au/record=b2051534</v>
      </c>
      <c r="C5526" s="1" t="str">
        <f>HYPERLINK("https://www.catalog.slsa.sa.gov.au/xrecord=b2051534")</f>
        <v>https://www.catalog.slsa.sa.gov.au/xrecord=b2051534</v>
      </c>
      <c r="E5526" t="s">
        <v>18881</v>
      </c>
      <c r="F5526">
        <v>1951</v>
      </c>
      <c r="G5526" t="s">
        <v>15192</v>
      </c>
      <c r="H5526" t="s">
        <v>19241</v>
      </c>
      <c r="I5526" t="s">
        <v>19237</v>
      </c>
      <c r="J5526" t="s">
        <v>2510</v>
      </c>
      <c r="K5526" s="2" t="str">
        <f>HYPERLINK("http://collections.slsa.sa.gov.au/mpcimg/22000/B21887.htm")</f>
        <v>http://collections.slsa.sa.gov.au/mpcimg/22000/B21887.htm</v>
      </c>
    </row>
    <row r="5527" spans="1:11" x14ac:dyDescent="0.25">
      <c r="A5527" t="s">
        <v>19248</v>
      </c>
      <c r="B5527" s="1" t="str">
        <f>HYPERLINK("https://www.catalog.slsa.sa.gov.au/record=b2051535")</f>
        <v>https://www.catalog.slsa.sa.gov.au/record=b2051535</v>
      </c>
      <c r="C5527" s="1" t="str">
        <f>HYPERLINK("https://www.catalog.slsa.sa.gov.au/xrecord=b2051535")</f>
        <v>https://www.catalog.slsa.sa.gov.au/xrecord=b2051535</v>
      </c>
      <c r="E5527" t="s">
        <v>18881</v>
      </c>
      <c r="F5527">
        <v>1951</v>
      </c>
      <c r="G5527" t="s">
        <v>15192</v>
      </c>
      <c r="H5527" t="s">
        <v>19241</v>
      </c>
      <c r="I5527" t="s">
        <v>19249</v>
      </c>
      <c r="J5527" t="s">
        <v>2510</v>
      </c>
      <c r="K5527" s="2" t="str">
        <f>HYPERLINK("http://collections.slsa.sa.gov.au/mpcimg/22000/B21888.htm")</f>
        <v>http://collections.slsa.sa.gov.au/mpcimg/22000/B21888.htm</v>
      </c>
    </row>
    <row r="5528" spans="1:11" x14ac:dyDescent="0.25">
      <c r="A5528" t="s">
        <v>19250</v>
      </c>
      <c r="B5528" s="1" t="str">
        <f>HYPERLINK("https://www.catalog.slsa.sa.gov.au/record=b2051536")</f>
        <v>https://www.catalog.slsa.sa.gov.au/record=b2051536</v>
      </c>
      <c r="C5528" s="1" t="str">
        <f>HYPERLINK("https://www.catalog.slsa.sa.gov.au/xrecord=b2051536")</f>
        <v>https://www.catalog.slsa.sa.gov.au/xrecord=b2051536</v>
      </c>
      <c r="E5528" t="s">
        <v>18881</v>
      </c>
      <c r="F5528">
        <v>1951</v>
      </c>
      <c r="G5528" t="s">
        <v>15192</v>
      </c>
      <c r="H5528" t="s">
        <v>19241</v>
      </c>
      <c r="I5528" t="s">
        <v>19237</v>
      </c>
      <c r="J5528" t="s">
        <v>2510</v>
      </c>
      <c r="K5528" s="2" t="str">
        <f>HYPERLINK("http://collections.slsa.sa.gov.au/mpcimg/22000/B21889.htm")</f>
        <v>http://collections.slsa.sa.gov.au/mpcimg/22000/B21889.htm</v>
      </c>
    </row>
    <row r="5529" spans="1:11" x14ac:dyDescent="0.25">
      <c r="A5529" t="s">
        <v>19251</v>
      </c>
      <c r="B5529" s="1" t="str">
        <f>HYPERLINK("https://www.catalog.slsa.sa.gov.au/record=b2051537")</f>
        <v>https://www.catalog.slsa.sa.gov.au/record=b2051537</v>
      </c>
      <c r="C5529" s="1" t="str">
        <f>HYPERLINK("https://www.catalog.slsa.sa.gov.au/xrecord=b2051537")</f>
        <v>https://www.catalog.slsa.sa.gov.au/xrecord=b2051537</v>
      </c>
      <c r="E5529" t="s">
        <v>18881</v>
      </c>
      <c r="F5529">
        <v>1951</v>
      </c>
      <c r="G5529" t="s">
        <v>15192</v>
      </c>
      <c r="H5529" t="s">
        <v>19252</v>
      </c>
      <c r="I5529" t="s">
        <v>19253</v>
      </c>
      <c r="J5529" t="s">
        <v>2510</v>
      </c>
      <c r="K5529" s="2" t="str">
        <f>HYPERLINK("http://collections.slsa.sa.gov.au/mpcimg/22000/B21890.htm")</f>
        <v>http://collections.slsa.sa.gov.au/mpcimg/22000/B21890.htm</v>
      </c>
    </row>
    <row r="5530" spans="1:11" x14ac:dyDescent="0.25">
      <c r="A5530" t="s">
        <v>19254</v>
      </c>
      <c r="B5530" s="1" t="str">
        <f>HYPERLINK("https://www.catalog.slsa.sa.gov.au/record=b2051538")</f>
        <v>https://www.catalog.slsa.sa.gov.au/record=b2051538</v>
      </c>
      <c r="C5530" s="1" t="str">
        <f>HYPERLINK("https://www.catalog.slsa.sa.gov.au/xrecord=b2051538")</f>
        <v>https://www.catalog.slsa.sa.gov.au/xrecord=b2051538</v>
      </c>
      <c r="E5530" t="s">
        <v>18881</v>
      </c>
      <c r="F5530">
        <v>1951</v>
      </c>
      <c r="G5530" t="s">
        <v>16674</v>
      </c>
      <c r="H5530" t="s">
        <v>19252</v>
      </c>
      <c r="I5530" t="s">
        <v>19253</v>
      </c>
      <c r="J5530" t="s">
        <v>2510</v>
      </c>
      <c r="K5530" s="2" t="str">
        <f>HYPERLINK("http://collections.slsa.sa.gov.au/mpcimg/22000/B21891.htm")</f>
        <v>http://collections.slsa.sa.gov.au/mpcimg/22000/B21891.htm</v>
      </c>
    </row>
    <row r="5531" spans="1:11" x14ac:dyDescent="0.25">
      <c r="A5531" t="s">
        <v>19255</v>
      </c>
      <c r="B5531" s="1" t="str">
        <f>HYPERLINK("https://www.catalog.slsa.sa.gov.au/record=b2051539")</f>
        <v>https://www.catalog.slsa.sa.gov.au/record=b2051539</v>
      </c>
      <c r="C5531" s="1" t="str">
        <f>HYPERLINK("https://www.catalog.slsa.sa.gov.au/xrecord=b2051539")</f>
        <v>https://www.catalog.slsa.sa.gov.au/xrecord=b2051539</v>
      </c>
      <c r="E5531" t="s">
        <v>18881</v>
      </c>
      <c r="F5531">
        <v>1951</v>
      </c>
      <c r="G5531" t="s">
        <v>16674</v>
      </c>
      <c r="H5531" t="s">
        <v>19256</v>
      </c>
      <c r="I5531" t="s">
        <v>19257</v>
      </c>
      <c r="J5531" t="s">
        <v>2510</v>
      </c>
      <c r="K5531" s="2" t="str">
        <f>HYPERLINK("http://collections.slsa.sa.gov.au/mpcimg/22000/B21892.htm")</f>
        <v>http://collections.slsa.sa.gov.au/mpcimg/22000/B21892.htm</v>
      </c>
    </row>
    <row r="5532" spans="1:11" x14ac:dyDescent="0.25">
      <c r="A5532" t="s">
        <v>19258</v>
      </c>
      <c r="B5532" s="1" t="str">
        <f>HYPERLINK("https://www.catalog.slsa.sa.gov.au/record=b2051540")</f>
        <v>https://www.catalog.slsa.sa.gov.au/record=b2051540</v>
      </c>
      <c r="C5532" s="1" t="str">
        <f>HYPERLINK("https://www.catalog.slsa.sa.gov.au/xrecord=b2051540")</f>
        <v>https://www.catalog.slsa.sa.gov.au/xrecord=b2051540</v>
      </c>
      <c r="E5532" t="s">
        <v>18881</v>
      </c>
      <c r="F5532">
        <v>1951</v>
      </c>
      <c r="G5532" t="s">
        <v>15192</v>
      </c>
      <c r="H5532" t="s">
        <v>19256</v>
      </c>
      <c r="I5532" t="s">
        <v>19257</v>
      </c>
      <c r="J5532" t="s">
        <v>2510</v>
      </c>
      <c r="K5532" s="2" t="str">
        <f>HYPERLINK("http://collections.slsa.sa.gov.au/mpcimg/22000/B21893.htm")</f>
        <v>http://collections.slsa.sa.gov.au/mpcimg/22000/B21893.htm</v>
      </c>
    </row>
    <row r="5533" spans="1:11" x14ac:dyDescent="0.25">
      <c r="A5533" t="s">
        <v>19259</v>
      </c>
      <c r="B5533" s="1" t="str">
        <f>HYPERLINK("https://www.catalog.slsa.sa.gov.au/record=b2051541")</f>
        <v>https://www.catalog.slsa.sa.gov.au/record=b2051541</v>
      </c>
      <c r="C5533" s="1" t="str">
        <f>HYPERLINK("https://www.catalog.slsa.sa.gov.au/xrecord=b2051541")</f>
        <v>https://www.catalog.slsa.sa.gov.au/xrecord=b2051541</v>
      </c>
      <c r="E5533" t="s">
        <v>18881</v>
      </c>
      <c r="F5533">
        <v>1951</v>
      </c>
      <c r="G5533" t="s">
        <v>15192</v>
      </c>
      <c r="H5533" t="s">
        <v>19260</v>
      </c>
      <c r="I5533" t="s">
        <v>19261</v>
      </c>
      <c r="J5533" t="s">
        <v>2510</v>
      </c>
      <c r="K5533" s="2" t="str">
        <f>HYPERLINK("http://collections.slsa.sa.gov.au/mpcimg/22000/B21894.htm")</f>
        <v>http://collections.slsa.sa.gov.au/mpcimg/22000/B21894.htm</v>
      </c>
    </row>
    <row r="5534" spans="1:11" x14ac:dyDescent="0.25">
      <c r="A5534" t="s">
        <v>19262</v>
      </c>
      <c r="B5534" s="1" t="str">
        <f>HYPERLINK("https://www.catalog.slsa.sa.gov.au/record=b2051542")</f>
        <v>https://www.catalog.slsa.sa.gov.au/record=b2051542</v>
      </c>
      <c r="C5534" s="1" t="str">
        <f>HYPERLINK("https://www.catalog.slsa.sa.gov.au/xrecord=b2051542")</f>
        <v>https://www.catalog.slsa.sa.gov.au/xrecord=b2051542</v>
      </c>
      <c r="E5534" t="s">
        <v>18881</v>
      </c>
      <c r="F5534">
        <v>1951</v>
      </c>
      <c r="G5534" t="s">
        <v>15192</v>
      </c>
      <c r="H5534" t="s">
        <v>19263</v>
      </c>
      <c r="I5534" t="s">
        <v>19264</v>
      </c>
      <c r="J5534" t="s">
        <v>2510</v>
      </c>
      <c r="K5534" s="2" t="str">
        <f>HYPERLINK("http://collections.slsa.sa.gov.au/mpcimg/22000/B21895.htm")</f>
        <v>http://collections.slsa.sa.gov.au/mpcimg/22000/B21895.htm</v>
      </c>
    </row>
    <row r="5535" spans="1:11" x14ac:dyDescent="0.25">
      <c r="A5535" t="s">
        <v>19265</v>
      </c>
      <c r="B5535" s="1" t="str">
        <f>HYPERLINK("https://www.catalog.slsa.sa.gov.au/record=b2051543")</f>
        <v>https://www.catalog.slsa.sa.gov.au/record=b2051543</v>
      </c>
      <c r="C5535" s="1" t="str">
        <f>HYPERLINK("https://www.catalog.slsa.sa.gov.au/xrecord=b2051543")</f>
        <v>https://www.catalog.slsa.sa.gov.au/xrecord=b2051543</v>
      </c>
      <c r="E5535" t="s">
        <v>18881</v>
      </c>
      <c r="F5535">
        <v>1951</v>
      </c>
      <c r="G5535" t="s">
        <v>15192</v>
      </c>
      <c r="H5535" t="s">
        <v>19263</v>
      </c>
      <c r="I5535" t="s">
        <v>19266</v>
      </c>
      <c r="J5535" t="s">
        <v>2510</v>
      </c>
      <c r="K5535" s="2" t="str">
        <f>HYPERLINK("http://collections.slsa.sa.gov.au/mpcimg/22000/B21896.htm")</f>
        <v>http://collections.slsa.sa.gov.au/mpcimg/22000/B21896.htm</v>
      </c>
    </row>
    <row r="5536" spans="1:11" x14ac:dyDescent="0.25">
      <c r="A5536" t="s">
        <v>19267</v>
      </c>
      <c r="B5536" s="1" t="str">
        <f>HYPERLINK("https://www.catalog.slsa.sa.gov.au/record=b2051544")</f>
        <v>https://www.catalog.slsa.sa.gov.au/record=b2051544</v>
      </c>
      <c r="C5536" s="1" t="str">
        <f>HYPERLINK("https://www.catalog.slsa.sa.gov.au/xrecord=b2051544")</f>
        <v>https://www.catalog.slsa.sa.gov.au/xrecord=b2051544</v>
      </c>
      <c r="E5536" t="s">
        <v>18881</v>
      </c>
      <c r="F5536">
        <v>1951</v>
      </c>
      <c r="G5536" t="s">
        <v>15192</v>
      </c>
      <c r="H5536" t="s">
        <v>19268</v>
      </c>
      <c r="I5536" t="s">
        <v>19269</v>
      </c>
      <c r="J5536" t="s">
        <v>2510</v>
      </c>
      <c r="K5536" s="2" t="str">
        <f>HYPERLINK("http://collections.slsa.sa.gov.au/mpcimg/22000/B21897.htm")</f>
        <v>http://collections.slsa.sa.gov.au/mpcimg/22000/B21897.htm</v>
      </c>
    </row>
    <row r="5537" spans="1:11" x14ac:dyDescent="0.25">
      <c r="A5537" t="s">
        <v>19270</v>
      </c>
      <c r="B5537" s="1" t="str">
        <f>HYPERLINK("https://www.catalog.slsa.sa.gov.au/record=b2051545")</f>
        <v>https://www.catalog.slsa.sa.gov.au/record=b2051545</v>
      </c>
      <c r="C5537" s="1" t="str">
        <f>HYPERLINK("https://www.catalog.slsa.sa.gov.au/xrecord=b2051545")</f>
        <v>https://www.catalog.slsa.sa.gov.au/xrecord=b2051545</v>
      </c>
      <c r="E5537" t="s">
        <v>18881</v>
      </c>
      <c r="F5537">
        <v>1951</v>
      </c>
      <c r="G5537" t="s">
        <v>15192</v>
      </c>
      <c r="H5537" t="s">
        <v>19268</v>
      </c>
      <c r="I5537" t="s">
        <v>19271</v>
      </c>
      <c r="J5537" t="s">
        <v>2510</v>
      </c>
      <c r="K5537" s="2" t="str">
        <f>HYPERLINK("http://collections.slsa.sa.gov.au/mpcimg/22000/B21898.htm")</f>
        <v>http://collections.slsa.sa.gov.au/mpcimg/22000/B21898.htm</v>
      </c>
    </row>
    <row r="5538" spans="1:11" x14ac:dyDescent="0.25">
      <c r="A5538" t="s">
        <v>19272</v>
      </c>
      <c r="B5538" s="1" t="str">
        <f>HYPERLINK("https://www.catalog.slsa.sa.gov.au/record=b2051546")</f>
        <v>https://www.catalog.slsa.sa.gov.au/record=b2051546</v>
      </c>
      <c r="C5538" s="1" t="str">
        <f>HYPERLINK("https://www.catalog.slsa.sa.gov.au/xrecord=b2051546")</f>
        <v>https://www.catalog.slsa.sa.gov.au/xrecord=b2051546</v>
      </c>
      <c r="E5538" t="s">
        <v>18881</v>
      </c>
      <c r="F5538">
        <v>1951</v>
      </c>
      <c r="G5538" t="s">
        <v>15192</v>
      </c>
      <c r="H5538" t="s">
        <v>19273</v>
      </c>
      <c r="I5538" t="s">
        <v>19274</v>
      </c>
      <c r="J5538" t="s">
        <v>2510</v>
      </c>
      <c r="K5538" s="2" t="str">
        <f>HYPERLINK("http://collections.slsa.sa.gov.au/mpcimg/22000/B21899.htm")</f>
        <v>http://collections.slsa.sa.gov.au/mpcimg/22000/B21899.htm</v>
      </c>
    </row>
    <row r="5539" spans="1:11" x14ac:dyDescent="0.25">
      <c r="A5539" t="s">
        <v>19275</v>
      </c>
      <c r="B5539" s="1" t="str">
        <f>HYPERLINK("https://www.catalog.slsa.sa.gov.au/record=b2051547")</f>
        <v>https://www.catalog.slsa.sa.gov.au/record=b2051547</v>
      </c>
      <c r="C5539" s="1" t="str">
        <f>HYPERLINK("https://www.catalog.slsa.sa.gov.au/xrecord=b2051547")</f>
        <v>https://www.catalog.slsa.sa.gov.au/xrecord=b2051547</v>
      </c>
      <c r="E5539" t="s">
        <v>18881</v>
      </c>
      <c r="F5539">
        <v>1951</v>
      </c>
      <c r="G5539" t="s">
        <v>15192</v>
      </c>
      <c r="H5539" t="s">
        <v>19273</v>
      </c>
      <c r="I5539" t="s">
        <v>19274</v>
      </c>
      <c r="J5539" t="s">
        <v>2510</v>
      </c>
      <c r="K5539" s="2" t="str">
        <f>HYPERLINK("http://collections.slsa.sa.gov.au/mpcimg/22000/B21900.htm")</f>
        <v>http://collections.slsa.sa.gov.au/mpcimg/22000/B21900.htm</v>
      </c>
    </row>
    <row r="5540" spans="1:11" x14ac:dyDescent="0.25">
      <c r="A5540" t="s">
        <v>19276</v>
      </c>
      <c r="B5540" s="1" t="str">
        <f>HYPERLINK("https://www.catalog.slsa.sa.gov.au/record=b2051548")</f>
        <v>https://www.catalog.slsa.sa.gov.au/record=b2051548</v>
      </c>
      <c r="C5540" s="1" t="str">
        <f>HYPERLINK("https://www.catalog.slsa.sa.gov.au/xrecord=b2051548")</f>
        <v>https://www.catalog.slsa.sa.gov.au/xrecord=b2051548</v>
      </c>
      <c r="E5540" t="s">
        <v>18881</v>
      </c>
      <c r="F5540">
        <v>1951</v>
      </c>
      <c r="G5540" t="s">
        <v>15192</v>
      </c>
      <c r="H5540" t="s">
        <v>19277</v>
      </c>
      <c r="I5540" t="s">
        <v>19278</v>
      </c>
      <c r="J5540" t="s">
        <v>2510</v>
      </c>
      <c r="K5540" s="2" t="str">
        <f>HYPERLINK("http://collections.slsa.sa.gov.au/mpcimg/22000/B21901.htm")</f>
        <v>http://collections.slsa.sa.gov.au/mpcimg/22000/B21901.htm</v>
      </c>
    </row>
    <row r="5541" spans="1:11" x14ac:dyDescent="0.25">
      <c r="A5541" t="s">
        <v>19279</v>
      </c>
      <c r="B5541" s="1" t="str">
        <f>HYPERLINK("https://www.catalog.slsa.sa.gov.au/record=b2051650")</f>
        <v>https://www.catalog.slsa.sa.gov.au/record=b2051650</v>
      </c>
      <c r="C5541" s="1" t="str">
        <f>HYPERLINK("https://www.catalog.slsa.sa.gov.au/xrecord=b2051650")</f>
        <v>https://www.catalog.slsa.sa.gov.au/xrecord=b2051650</v>
      </c>
      <c r="E5541" t="s">
        <v>19280</v>
      </c>
      <c r="F5541">
        <v>1951</v>
      </c>
      <c r="G5541" t="s">
        <v>19281</v>
      </c>
      <c r="H5541" t="s">
        <v>19282</v>
      </c>
      <c r="J5541" t="s">
        <v>2510</v>
      </c>
      <c r="K5541" s="2" t="str">
        <f>HYPERLINK("http://collections.slsa.sa.gov.au/mpcimg/23250/B23102.htm")</f>
        <v>http://collections.slsa.sa.gov.au/mpcimg/23250/B23102.htm</v>
      </c>
    </row>
    <row r="5542" spans="1:11" x14ac:dyDescent="0.25">
      <c r="A5542" t="s">
        <v>19283</v>
      </c>
      <c r="B5542" s="1" t="str">
        <f>HYPERLINK("https://www.catalog.slsa.sa.gov.au/record=b2053197")</f>
        <v>https://www.catalog.slsa.sa.gov.au/record=b2053197</v>
      </c>
      <c r="C5542" s="1" t="str">
        <f>HYPERLINK("https://www.catalog.slsa.sa.gov.au/xrecord=b2053197")</f>
        <v>https://www.catalog.slsa.sa.gov.au/xrecord=b2053197</v>
      </c>
      <c r="E5542" t="s">
        <v>19284</v>
      </c>
      <c r="F5542">
        <v>1951</v>
      </c>
      <c r="G5542" t="s">
        <v>19285</v>
      </c>
      <c r="H5542" t="s">
        <v>19286</v>
      </c>
      <c r="I5542" t="s">
        <v>19094</v>
      </c>
      <c r="J5542" t="s">
        <v>2510</v>
      </c>
      <c r="K5542" s="2" t="str">
        <f>HYPERLINK("http://collections.slsa.sa.gov.au/mpcimg/44500/B44318.htm")</f>
        <v>http://collections.slsa.sa.gov.au/mpcimg/44500/B44318.htm</v>
      </c>
    </row>
    <row r="5543" spans="1:11" x14ac:dyDescent="0.25">
      <c r="A5543" t="s">
        <v>19287</v>
      </c>
      <c r="B5543" s="1" t="str">
        <f>HYPERLINK("https://www.catalog.slsa.sa.gov.au/record=b2053198")</f>
        <v>https://www.catalog.slsa.sa.gov.au/record=b2053198</v>
      </c>
      <c r="C5543" s="1" t="str">
        <f>HYPERLINK("https://www.catalog.slsa.sa.gov.au/xrecord=b2053198")</f>
        <v>https://www.catalog.slsa.sa.gov.au/xrecord=b2053198</v>
      </c>
      <c r="E5543" t="s">
        <v>19284</v>
      </c>
      <c r="F5543">
        <v>1951</v>
      </c>
      <c r="G5543" t="s">
        <v>19288</v>
      </c>
      <c r="H5543" t="s">
        <v>19289</v>
      </c>
      <c r="I5543" t="s">
        <v>19094</v>
      </c>
      <c r="J5543" t="s">
        <v>2510</v>
      </c>
      <c r="K5543" s="2" t="str">
        <f>HYPERLINK("http://collections.slsa.sa.gov.au/mpcimg/44500/B44319.htm")</f>
        <v>http://collections.slsa.sa.gov.au/mpcimg/44500/B44319.htm</v>
      </c>
    </row>
    <row r="5544" spans="1:11" x14ac:dyDescent="0.25">
      <c r="A5544" t="s">
        <v>19290</v>
      </c>
      <c r="B5544" s="1" t="str">
        <f>HYPERLINK("https://www.catalog.slsa.sa.gov.au/record=b2053199")</f>
        <v>https://www.catalog.slsa.sa.gov.au/record=b2053199</v>
      </c>
      <c r="C5544" s="1" t="str">
        <f>HYPERLINK("https://www.catalog.slsa.sa.gov.au/xrecord=b2053199")</f>
        <v>https://www.catalog.slsa.sa.gov.au/xrecord=b2053199</v>
      </c>
      <c r="E5544" t="s">
        <v>19284</v>
      </c>
      <c r="F5544">
        <v>1951</v>
      </c>
      <c r="G5544" t="s">
        <v>19288</v>
      </c>
      <c r="H5544" t="s">
        <v>19291</v>
      </c>
      <c r="I5544" t="s">
        <v>19094</v>
      </c>
      <c r="J5544" t="s">
        <v>2510</v>
      </c>
      <c r="K5544" s="2" t="str">
        <f>HYPERLINK("http://collections.slsa.sa.gov.au/mpcimg/44500/B44320.htm")</f>
        <v>http://collections.slsa.sa.gov.au/mpcimg/44500/B44320.htm</v>
      </c>
    </row>
    <row r="5545" spans="1:11" x14ac:dyDescent="0.25">
      <c r="A5545" t="s">
        <v>19292</v>
      </c>
      <c r="B5545" s="1" t="str">
        <f>HYPERLINK("https://www.catalog.slsa.sa.gov.au/record=b2053200")</f>
        <v>https://www.catalog.slsa.sa.gov.au/record=b2053200</v>
      </c>
      <c r="C5545" s="1" t="str">
        <f>HYPERLINK("https://www.catalog.slsa.sa.gov.au/xrecord=b2053200")</f>
        <v>https://www.catalog.slsa.sa.gov.au/xrecord=b2053200</v>
      </c>
      <c r="E5545" t="s">
        <v>19284</v>
      </c>
      <c r="F5545">
        <v>1951</v>
      </c>
      <c r="G5545" t="s">
        <v>19288</v>
      </c>
      <c r="H5545" t="s">
        <v>19293</v>
      </c>
      <c r="I5545" t="s">
        <v>19094</v>
      </c>
      <c r="J5545" t="s">
        <v>2510</v>
      </c>
      <c r="K5545" s="2" t="str">
        <f>HYPERLINK("http://collections.slsa.sa.gov.au/mpcimg/44500/B44321.htm")</f>
        <v>http://collections.slsa.sa.gov.au/mpcimg/44500/B44321.htm</v>
      </c>
    </row>
    <row r="5546" spans="1:11" x14ac:dyDescent="0.25">
      <c r="A5546" t="s">
        <v>19294</v>
      </c>
      <c r="B5546" s="1" t="str">
        <f>HYPERLINK("https://www.catalog.slsa.sa.gov.au/record=b2053201")</f>
        <v>https://www.catalog.slsa.sa.gov.au/record=b2053201</v>
      </c>
      <c r="C5546" s="1" t="str">
        <f>HYPERLINK("https://www.catalog.slsa.sa.gov.au/xrecord=b2053201")</f>
        <v>https://www.catalog.slsa.sa.gov.au/xrecord=b2053201</v>
      </c>
      <c r="E5546" t="s">
        <v>19284</v>
      </c>
      <c r="F5546">
        <v>1951</v>
      </c>
      <c r="G5546" t="s">
        <v>19288</v>
      </c>
      <c r="H5546" t="s">
        <v>19295</v>
      </c>
      <c r="I5546" t="s">
        <v>19296</v>
      </c>
      <c r="J5546" t="s">
        <v>2510</v>
      </c>
      <c r="K5546" s="2" t="str">
        <f>HYPERLINK("http://collections.slsa.sa.gov.au/mpcimg/44500/B44322.htm")</f>
        <v>http://collections.slsa.sa.gov.au/mpcimg/44500/B44322.htm</v>
      </c>
    </row>
    <row r="5547" spans="1:11" x14ac:dyDescent="0.25">
      <c r="A5547" t="s">
        <v>19297</v>
      </c>
      <c r="B5547" s="1" t="str">
        <f>HYPERLINK("https://www.catalog.slsa.sa.gov.au/record=b2054244")</f>
        <v>https://www.catalog.slsa.sa.gov.au/record=b2054244</v>
      </c>
      <c r="C5547" s="1" t="str">
        <f>HYPERLINK("https://www.catalog.slsa.sa.gov.au/xrecord=b2054244")</f>
        <v>https://www.catalog.slsa.sa.gov.au/xrecord=b2054244</v>
      </c>
      <c r="E5547" t="s">
        <v>19298</v>
      </c>
      <c r="F5547">
        <v>1951</v>
      </c>
      <c r="G5547" t="s">
        <v>19299</v>
      </c>
      <c r="H5547" t="s">
        <v>19300</v>
      </c>
      <c r="I5547" t="s">
        <v>19301</v>
      </c>
      <c r="J5547" t="s">
        <v>2510</v>
      </c>
      <c r="K5547" s="2" t="str">
        <f>HYPERLINK("http://collections.slsa.sa.gov.au/mpcimg/52750/B52543.htm")</f>
        <v>http://collections.slsa.sa.gov.au/mpcimg/52750/B52543.htm</v>
      </c>
    </row>
    <row r="5548" spans="1:11" x14ac:dyDescent="0.25">
      <c r="A5548" t="s">
        <v>19302</v>
      </c>
      <c r="B5548" s="1" t="str">
        <f>HYPERLINK("https://www.catalog.slsa.sa.gov.au/record=b2054334")</f>
        <v>https://www.catalog.slsa.sa.gov.au/record=b2054334</v>
      </c>
      <c r="C5548" s="1" t="str">
        <f>HYPERLINK("https://www.catalog.slsa.sa.gov.au/xrecord=b2054334")</f>
        <v>https://www.catalog.slsa.sa.gov.au/xrecord=b2054334</v>
      </c>
      <c r="D5548" t="s">
        <v>2939</v>
      </c>
      <c r="E5548" t="s">
        <v>15178</v>
      </c>
      <c r="F5548">
        <v>1951</v>
      </c>
      <c r="G5548" t="s">
        <v>19303</v>
      </c>
      <c r="H5548" t="s">
        <v>19304</v>
      </c>
      <c r="I5548" t="s">
        <v>19305</v>
      </c>
      <c r="J5548" t="s">
        <v>2510</v>
      </c>
      <c r="K5548" s="2" t="str">
        <f>HYPERLINK("http://collections.slsa.sa.gov.au/mpcimg/53000/B52819.htm")</f>
        <v>http://collections.slsa.sa.gov.au/mpcimg/53000/B52819.htm</v>
      </c>
    </row>
    <row r="5549" spans="1:11" x14ac:dyDescent="0.25">
      <c r="A5549" t="s">
        <v>19306</v>
      </c>
      <c r="B5549" s="1" t="str">
        <f>HYPERLINK("https://www.catalog.slsa.sa.gov.au/record=b2068545")</f>
        <v>https://www.catalog.slsa.sa.gov.au/record=b2068545</v>
      </c>
      <c r="C5549" s="1" t="str">
        <f>HYPERLINK("https://www.catalog.slsa.sa.gov.au/xrecord=b2068545")</f>
        <v>https://www.catalog.slsa.sa.gov.au/xrecord=b2068545</v>
      </c>
      <c r="E5549" t="s">
        <v>19307</v>
      </c>
      <c r="F5549">
        <v>1951</v>
      </c>
      <c r="G5549" t="s">
        <v>16615</v>
      </c>
      <c r="H5549" t="s">
        <v>19308</v>
      </c>
      <c r="I5549" t="s">
        <v>19309</v>
      </c>
      <c r="J5549" t="s">
        <v>19310</v>
      </c>
      <c r="K5549" s="2" t="str">
        <f>HYPERLINK("http://collections.slsa.sa.gov.au/mpcimg/29000/B28772.htm")</f>
        <v>http://collections.slsa.sa.gov.au/mpcimg/29000/B28772.htm</v>
      </c>
    </row>
    <row r="5550" spans="1:11" x14ac:dyDescent="0.25">
      <c r="A5550" t="s">
        <v>19311</v>
      </c>
      <c r="B5550" s="1" t="str">
        <f>HYPERLINK("https://www.catalog.slsa.sa.gov.au/record=b2069402")</f>
        <v>https://www.catalog.slsa.sa.gov.au/record=b2069402</v>
      </c>
      <c r="C5550" s="1" t="str">
        <f>HYPERLINK("https://www.catalog.slsa.sa.gov.au/xrecord=b2069402")</f>
        <v>https://www.catalog.slsa.sa.gov.au/xrecord=b2069402</v>
      </c>
      <c r="E5550" t="s">
        <v>19312</v>
      </c>
      <c r="F5550">
        <v>1951</v>
      </c>
      <c r="G5550" t="s">
        <v>16263</v>
      </c>
      <c r="H5550" t="s">
        <v>19313</v>
      </c>
      <c r="I5550" t="s">
        <v>19314</v>
      </c>
      <c r="J5550" t="s">
        <v>17383</v>
      </c>
      <c r="K5550" s="2" t="str">
        <f>HYPERLINK("http://collections.slsa.sa.gov.au/mpcimg/25750/B25521.htm")</f>
        <v>http://collections.slsa.sa.gov.au/mpcimg/25750/B25521.htm</v>
      </c>
    </row>
    <row r="5551" spans="1:11" x14ac:dyDescent="0.25">
      <c r="A5551" t="s">
        <v>19315</v>
      </c>
      <c r="B5551" s="1" t="str">
        <f>HYPERLINK("https://www.catalog.slsa.sa.gov.au/record=b2072648")</f>
        <v>https://www.catalog.slsa.sa.gov.au/record=b2072648</v>
      </c>
      <c r="C5551" s="1" t="str">
        <f>HYPERLINK("https://www.catalog.slsa.sa.gov.au/xrecord=b2072648")</f>
        <v>https://www.catalog.slsa.sa.gov.au/xrecord=b2072648</v>
      </c>
      <c r="D5551" t="s">
        <v>16941</v>
      </c>
      <c r="E5551" t="s">
        <v>19316</v>
      </c>
      <c r="F5551">
        <v>1951</v>
      </c>
      <c r="G5551" t="s">
        <v>19317</v>
      </c>
      <c r="H5551" t="s">
        <v>19318</v>
      </c>
      <c r="I5551" t="s">
        <v>19319</v>
      </c>
      <c r="J5551" t="s">
        <v>15219</v>
      </c>
      <c r="K5551" s="2" t="str">
        <f>HYPERLINK("http://collections.slsa.sa.gov.au/mpcimg/46750/B46528_143.htm")</f>
        <v>http://collections.slsa.sa.gov.au/mpcimg/46750/B46528_143.htm</v>
      </c>
    </row>
    <row r="5552" spans="1:11" x14ac:dyDescent="0.25">
      <c r="A5552" t="s">
        <v>19320</v>
      </c>
      <c r="B5552" s="1" t="str">
        <f>HYPERLINK("https://www.catalog.slsa.sa.gov.au/record=b2072714")</f>
        <v>https://www.catalog.slsa.sa.gov.au/record=b2072714</v>
      </c>
      <c r="C5552" s="1" t="str">
        <f>HYPERLINK("https://www.catalog.slsa.sa.gov.au/xrecord=b2072714")</f>
        <v>https://www.catalog.slsa.sa.gov.au/xrecord=b2072714</v>
      </c>
      <c r="D5552" t="s">
        <v>16941</v>
      </c>
      <c r="E5552" t="s">
        <v>19321</v>
      </c>
      <c r="F5552">
        <v>1951</v>
      </c>
      <c r="G5552" t="s">
        <v>19322</v>
      </c>
      <c r="H5552" t="s">
        <v>19323</v>
      </c>
      <c r="I5552" t="s">
        <v>15251</v>
      </c>
      <c r="J5552" t="s">
        <v>15219</v>
      </c>
      <c r="K5552" s="2" t="str">
        <f>HYPERLINK("http://collections.slsa.sa.gov.au/mpcimg/46750/B46528_209.htm")</f>
        <v>http://collections.slsa.sa.gov.au/mpcimg/46750/B46528_209.htm</v>
      </c>
    </row>
    <row r="5553" spans="1:11" x14ac:dyDescent="0.25">
      <c r="A5553" t="s">
        <v>19324</v>
      </c>
      <c r="B5553" s="1" t="str">
        <f>HYPERLINK("https://www.catalog.slsa.sa.gov.au/record=b2072715")</f>
        <v>https://www.catalog.slsa.sa.gov.au/record=b2072715</v>
      </c>
      <c r="C5553" s="1" t="str">
        <f>HYPERLINK("https://www.catalog.slsa.sa.gov.au/xrecord=b2072715")</f>
        <v>https://www.catalog.slsa.sa.gov.au/xrecord=b2072715</v>
      </c>
      <c r="D5553" t="s">
        <v>16941</v>
      </c>
      <c r="E5553" t="s">
        <v>19325</v>
      </c>
      <c r="F5553">
        <v>1951</v>
      </c>
      <c r="G5553" t="s">
        <v>17034</v>
      </c>
      <c r="H5553" t="s">
        <v>19326</v>
      </c>
      <c r="I5553" t="s">
        <v>19327</v>
      </c>
      <c r="J5553" t="s">
        <v>15219</v>
      </c>
      <c r="K5553" s="2" t="str">
        <f>HYPERLINK("http://collections.slsa.sa.gov.au/mpcimg/46750/B46528_210.htm")</f>
        <v>http://collections.slsa.sa.gov.au/mpcimg/46750/B46528_210.htm</v>
      </c>
    </row>
    <row r="5554" spans="1:11" x14ac:dyDescent="0.25">
      <c r="A5554" t="s">
        <v>19328</v>
      </c>
      <c r="B5554" s="1" t="str">
        <f>HYPERLINK("https://www.catalog.slsa.sa.gov.au/record=b2072716")</f>
        <v>https://www.catalog.slsa.sa.gov.au/record=b2072716</v>
      </c>
      <c r="C5554" s="1" t="str">
        <f>HYPERLINK("https://www.catalog.slsa.sa.gov.au/xrecord=b2072716")</f>
        <v>https://www.catalog.slsa.sa.gov.au/xrecord=b2072716</v>
      </c>
      <c r="D5554" t="s">
        <v>16941</v>
      </c>
      <c r="E5554" t="s">
        <v>19329</v>
      </c>
      <c r="F5554">
        <v>1951</v>
      </c>
      <c r="G5554" t="s">
        <v>19322</v>
      </c>
      <c r="H5554" t="s">
        <v>19330</v>
      </c>
      <c r="I5554" t="s">
        <v>15244</v>
      </c>
      <c r="J5554" t="s">
        <v>15219</v>
      </c>
      <c r="K5554" s="2" t="str">
        <f>HYPERLINK("http://collections.slsa.sa.gov.au/mpcimg/46750/B46528_211.htm")</f>
        <v>http://collections.slsa.sa.gov.au/mpcimg/46750/B46528_211.htm</v>
      </c>
    </row>
    <row r="5555" spans="1:11" x14ac:dyDescent="0.25">
      <c r="A5555" t="s">
        <v>19331</v>
      </c>
      <c r="B5555" s="1" t="str">
        <f>HYPERLINK("https://www.catalog.slsa.sa.gov.au/record=b2075323")</f>
        <v>https://www.catalog.slsa.sa.gov.au/record=b2075323</v>
      </c>
      <c r="C5555" s="1" t="str">
        <f>HYPERLINK("https://www.catalog.slsa.sa.gov.au/xrecord=b2075323")</f>
        <v>https://www.catalog.slsa.sa.gov.au/xrecord=b2075323</v>
      </c>
      <c r="E5555" t="s">
        <v>19332</v>
      </c>
      <c r="F5555">
        <v>1951</v>
      </c>
      <c r="G5555" t="s">
        <v>15269</v>
      </c>
      <c r="H5555" t="s">
        <v>19333</v>
      </c>
      <c r="I5555" t="s">
        <v>15271</v>
      </c>
      <c r="J5555" t="s">
        <v>2510</v>
      </c>
      <c r="K5555" s="2" t="str">
        <f>HYPERLINK("http://collections.slsa.sa.gov.au/mpcimg/62250/B62113.htm")</f>
        <v>http://collections.slsa.sa.gov.au/mpcimg/62250/B62113.htm</v>
      </c>
    </row>
    <row r="5556" spans="1:11" x14ac:dyDescent="0.25">
      <c r="A5556" t="s">
        <v>19334</v>
      </c>
      <c r="B5556" s="1" t="str">
        <f>HYPERLINK("https://www.catalog.slsa.sa.gov.au/record=b2077943")</f>
        <v>https://www.catalog.slsa.sa.gov.au/record=b2077943</v>
      </c>
      <c r="C5556" s="1" t="str">
        <f>HYPERLINK("https://www.catalog.slsa.sa.gov.au/xrecord=b2077943")</f>
        <v>https://www.catalog.slsa.sa.gov.au/xrecord=b2077943</v>
      </c>
      <c r="E5556" t="s">
        <v>19335</v>
      </c>
      <c r="F5556">
        <v>1951</v>
      </c>
      <c r="G5556" t="s">
        <v>15269</v>
      </c>
      <c r="H5556" t="s">
        <v>19336</v>
      </c>
      <c r="I5556" t="s">
        <v>19337</v>
      </c>
      <c r="J5556" t="s">
        <v>15933</v>
      </c>
      <c r="K5556" s="2" t="str">
        <f>HYPERLINK("http://collections.slsa.sa.gov.au/mpcimg/55500/B55417_130.htm")</f>
        <v>http://collections.slsa.sa.gov.au/mpcimg/55500/B55417_130.htm</v>
      </c>
    </row>
    <row r="5557" spans="1:11" x14ac:dyDescent="0.25">
      <c r="A5557" t="s">
        <v>19338</v>
      </c>
      <c r="B5557" s="1" t="str">
        <f>HYPERLINK("https://www.catalog.slsa.sa.gov.au/record=b2078019")</f>
        <v>https://www.catalog.slsa.sa.gov.au/record=b2078019</v>
      </c>
      <c r="C5557" s="1" t="str">
        <f>HYPERLINK("https://www.catalog.slsa.sa.gov.au/xrecord=b2078019")</f>
        <v>https://www.catalog.slsa.sa.gov.au/xrecord=b2078019</v>
      </c>
      <c r="D5557" t="s">
        <v>15280</v>
      </c>
      <c r="E5557" t="s">
        <v>15281</v>
      </c>
      <c r="F5557">
        <v>1951</v>
      </c>
      <c r="G5557" t="s">
        <v>19339</v>
      </c>
      <c r="H5557" t="s">
        <v>19340</v>
      </c>
      <c r="I5557" t="s">
        <v>15284</v>
      </c>
      <c r="J5557" t="s">
        <v>15023</v>
      </c>
      <c r="K5557" s="2" t="str">
        <f>HYPERLINK("http://collections.slsa.sa.gov.au/mpcimg/56000/B55942.htm")</f>
        <v>http://collections.slsa.sa.gov.au/mpcimg/56000/B55942.htm</v>
      </c>
    </row>
    <row r="5558" spans="1:11" x14ac:dyDescent="0.25">
      <c r="A5558" t="s">
        <v>19341</v>
      </c>
      <c r="B5558" s="1" t="str">
        <f>HYPERLINK("https://www.catalog.slsa.sa.gov.au/record=b2078097")</f>
        <v>https://www.catalog.slsa.sa.gov.au/record=b2078097</v>
      </c>
      <c r="C5558" s="1" t="str">
        <f>HYPERLINK("https://www.catalog.slsa.sa.gov.au/xrecord=b2078097")</f>
        <v>https://www.catalog.slsa.sa.gov.au/xrecord=b2078097</v>
      </c>
      <c r="E5558" t="s">
        <v>19342</v>
      </c>
      <c r="F5558">
        <v>1951</v>
      </c>
      <c r="G5558" t="s">
        <v>15269</v>
      </c>
      <c r="H5558" t="s">
        <v>19343</v>
      </c>
      <c r="I5558" t="s">
        <v>19344</v>
      </c>
      <c r="J5558" t="s">
        <v>16168</v>
      </c>
      <c r="K5558" s="2" t="str">
        <f>HYPERLINK("http://collections.slsa.sa.gov.au/mpcimg/56250/B56020.htm")</f>
        <v>http://collections.slsa.sa.gov.au/mpcimg/56250/B56020.htm</v>
      </c>
    </row>
    <row r="5559" spans="1:11" x14ac:dyDescent="0.25">
      <c r="A5559" t="s">
        <v>19345</v>
      </c>
      <c r="B5559" s="1" t="str">
        <f>HYPERLINK("https://www.catalog.slsa.sa.gov.au/record=b2078099")</f>
        <v>https://www.catalog.slsa.sa.gov.au/record=b2078099</v>
      </c>
      <c r="C5559" s="1" t="str">
        <f>HYPERLINK("https://www.catalog.slsa.sa.gov.au/xrecord=b2078099")</f>
        <v>https://www.catalog.slsa.sa.gov.au/xrecord=b2078099</v>
      </c>
      <c r="E5559" t="s">
        <v>19346</v>
      </c>
      <c r="F5559">
        <v>1951</v>
      </c>
      <c r="G5559" t="s">
        <v>15269</v>
      </c>
      <c r="H5559" t="s">
        <v>19347</v>
      </c>
      <c r="I5559" t="s">
        <v>19348</v>
      </c>
      <c r="J5559" t="s">
        <v>19349</v>
      </c>
      <c r="K5559" s="2" t="str">
        <f>HYPERLINK("http://collections.slsa.sa.gov.au/mpcimg/56250/B56022.htm")</f>
        <v>http://collections.slsa.sa.gov.au/mpcimg/56250/B56022.htm</v>
      </c>
    </row>
    <row r="5560" spans="1:11" x14ac:dyDescent="0.25">
      <c r="A5560" t="s">
        <v>19350</v>
      </c>
      <c r="B5560" s="1" t="str">
        <f>HYPERLINK("https://www.catalog.slsa.sa.gov.au/record=b2078187")</f>
        <v>https://www.catalog.slsa.sa.gov.au/record=b2078187</v>
      </c>
      <c r="C5560" s="1" t="str">
        <f>HYPERLINK("https://www.catalog.slsa.sa.gov.au/xrecord=b2078187")</f>
        <v>https://www.catalog.slsa.sa.gov.au/xrecord=b2078187</v>
      </c>
      <c r="E5560" t="s">
        <v>19351</v>
      </c>
      <c r="F5560">
        <v>1951</v>
      </c>
      <c r="G5560" t="s">
        <v>15269</v>
      </c>
      <c r="H5560" t="s">
        <v>19352</v>
      </c>
      <c r="I5560" t="s">
        <v>19353</v>
      </c>
      <c r="J5560" t="s">
        <v>17273</v>
      </c>
      <c r="K5560" s="2" t="str">
        <f>HYPERLINK("http://collections.slsa.sa.gov.au/mpcimg/56250/B56111.htm")</f>
        <v>http://collections.slsa.sa.gov.au/mpcimg/56250/B56111.htm</v>
      </c>
    </row>
    <row r="5561" spans="1:11" x14ac:dyDescent="0.25">
      <c r="A5561" t="s">
        <v>19354</v>
      </c>
      <c r="B5561" s="1" t="str">
        <f>HYPERLINK("https://www.catalog.slsa.sa.gov.au/record=b2078620")</f>
        <v>https://www.catalog.slsa.sa.gov.au/record=b2078620</v>
      </c>
      <c r="C5561" s="1" t="str">
        <f>HYPERLINK("https://www.catalog.slsa.sa.gov.au/xrecord=b2078620")</f>
        <v>https://www.catalog.slsa.sa.gov.au/xrecord=b2078620</v>
      </c>
      <c r="E5561" t="s">
        <v>19355</v>
      </c>
      <c r="F5561">
        <v>1951</v>
      </c>
      <c r="G5561" t="s">
        <v>19356</v>
      </c>
      <c r="H5561" t="s">
        <v>19357</v>
      </c>
      <c r="I5561" t="s">
        <v>19358</v>
      </c>
      <c r="J5561" t="s">
        <v>17489</v>
      </c>
      <c r="K5561" s="2" t="str">
        <f>HYPERLINK("http://collections.slsa.sa.gov.au/mpcimg/56750/B56547.htm")</f>
        <v>http://collections.slsa.sa.gov.au/mpcimg/56750/B56547.htm</v>
      </c>
    </row>
    <row r="5562" spans="1:11" x14ac:dyDescent="0.25">
      <c r="A5562" t="s">
        <v>19359</v>
      </c>
      <c r="B5562" s="1" t="str">
        <f>HYPERLINK("https://www.catalog.slsa.sa.gov.au/record=b2079897")</f>
        <v>https://www.catalog.slsa.sa.gov.au/record=b2079897</v>
      </c>
      <c r="C5562" s="1" t="str">
        <f>HYPERLINK("https://www.catalog.slsa.sa.gov.au/xrecord=b2079897")</f>
        <v>https://www.catalog.slsa.sa.gov.au/xrecord=b2079897</v>
      </c>
      <c r="E5562" t="s">
        <v>19360</v>
      </c>
      <c r="F5562">
        <v>1951</v>
      </c>
      <c r="G5562" t="s">
        <v>15269</v>
      </c>
      <c r="H5562" t="s">
        <v>19361</v>
      </c>
      <c r="I5562" t="s">
        <v>19362</v>
      </c>
      <c r="J5562" t="s">
        <v>17383</v>
      </c>
      <c r="K5562" s="2" t="str">
        <f>HYPERLINK("http://collections.slsa.sa.gov.au/mpcimg/58000/B57830.htm")</f>
        <v>http://collections.slsa.sa.gov.au/mpcimg/58000/B57830.htm</v>
      </c>
    </row>
    <row r="5563" spans="1:11" x14ac:dyDescent="0.25">
      <c r="A5563" t="s">
        <v>19363</v>
      </c>
      <c r="B5563" s="1" t="str">
        <f>HYPERLINK("https://www.catalog.slsa.sa.gov.au/record=b2079899")</f>
        <v>https://www.catalog.slsa.sa.gov.au/record=b2079899</v>
      </c>
      <c r="C5563" s="1" t="str">
        <f>HYPERLINK("https://www.catalog.slsa.sa.gov.au/xrecord=b2079899")</f>
        <v>https://www.catalog.slsa.sa.gov.au/xrecord=b2079899</v>
      </c>
      <c r="E5563" t="s">
        <v>19364</v>
      </c>
      <c r="F5563">
        <v>1951</v>
      </c>
      <c r="G5563" t="s">
        <v>15269</v>
      </c>
      <c r="H5563" t="s">
        <v>19365</v>
      </c>
      <c r="I5563" t="s">
        <v>19366</v>
      </c>
      <c r="J5563" t="s">
        <v>17383</v>
      </c>
      <c r="K5563" s="2" t="str">
        <f>HYPERLINK("http://collections.slsa.sa.gov.au/mpcimg/58000/B57832.htm")</f>
        <v>http://collections.slsa.sa.gov.au/mpcimg/58000/B57832.htm</v>
      </c>
    </row>
    <row r="5564" spans="1:11" x14ac:dyDescent="0.25">
      <c r="A5564" t="s">
        <v>19367</v>
      </c>
      <c r="B5564" s="1" t="str">
        <f>HYPERLINK("https://www.catalog.slsa.sa.gov.au/record=b2080109")</f>
        <v>https://www.catalog.slsa.sa.gov.au/record=b2080109</v>
      </c>
      <c r="C5564" s="1" t="str">
        <f>HYPERLINK("https://www.catalog.slsa.sa.gov.au/xrecord=b2080109")</f>
        <v>https://www.catalog.slsa.sa.gov.au/xrecord=b2080109</v>
      </c>
      <c r="E5564" t="s">
        <v>19368</v>
      </c>
      <c r="F5564">
        <v>1951</v>
      </c>
      <c r="G5564" t="s">
        <v>15269</v>
      </c>
      <c r="H5564" t="s">
        <v>19369</v>
      </c>
      <c r="I5564" t="s">
        <v>19370</v>
      </c>
      <c r="J5564" t="s">
        <v>19371</v>
      </c>
      <c r="K5564" s="2" t="str">
        <f>HYPERLINK("http://collections.slsa.sa.gov.au/mpcimg/58250/B58043.htm")</f>
        <v>http://collections.slsa.sa.gov.au/mpcimg/58250/B58043.htm</v>
      </c>
    </row>
    <row r="5565" spans="1:11" x14ac:dyDescent="0.25">
      <c r="A5565" t="s">
        <v>19372</v>
      </c>
      <c r="B5565" s="1" t="str">
        <f>HYPERLINK("https://www.catalog.slsa.sa.gov.au/record=b2080255")</f>
        <v>https://www.catalog.slsa.sa.gov.au/record=b2080255</v>
      </c>
      <c r="C5565" s="1" t="str">
        <f>HYPERLINK("https://www.catalog.slsa.sa.gov.au/xrecord=b2080255")</f>
        <v>https://www.catalog.slsa.sa.gov.au/xrecord=b2080255</v>
      </c>
      <c r="E5565" t="s">
        <v>15309</v>
      </c>
      <c r="F5565">
        <v>1951</v>
      </c>
      <c r="G5565" t="s">
        <v>19373</v>
      </c>
      <c r="H5565" t="s">
        <v>19374</v>
      </c>
      <c r="I5565" t="s">
        <v>15312</v>
      </c>
      <c r="J5565" t="s">
        <v>14963</v>
      </c>
      <c r="K5565" s="2" t="str">
        <f>HYPERLINK("http://collections.slsa.sa.gov.au/mpcimg/58250/B58189.htm")</f>
        <v>http://collections.slsa.sa.gov.au/mpcimg/58250/B58189.htm</v>
      </c>
    </row>
    <row r="5566" spans="1:11" x14ac:dyDescent="0.25">
      <c r="A5566" t="s">
        <v>19375</v>
      </c>
      <c r="B5566" s="1" t="str">
        <f>HYPERLINK("https://www.catalog.slsa.sa.gov.au/record=b2081174")</f>
        <v>https://www.catalog.slsa.sa.gov.au/record=b2081174</v>
      </c>
      <c r="C5566" s="1" t="str">
        <f>HYPERLINK("https://www.catalog.slsa.sa.gov.au/xrecord=b2081174")</f>
        <v>https://www.catalog.slsa.sa.gov.au/xrecord=b2081174</v>
      </c>
      <c r="E5566" t="s">
        <v>19376</v>
      </c>
      <c r="F5566">
        <v>1951</v>
      </c>
      <c r="G5566" t="s">
        <v>15269</v>
      </c>
      <c r="H5566" t="s">
        <v>19377</v>
      </c>
      <c r="I5566" t="s">
        <v>19378</v>
      </c>
      <c r="J5566" t="s">
        <v>2510</v>
      </c>
      <c r="K5566" s="2" t="str">
        <f>HYPERLINK("http://collections.slsa.sa.gov.au/mpcimg/59250/B59109.htm")</f>
        <v>http://collections.slsa.sa.gov.au/mpcimg/59250/B59109.htm</v>
      </c>
    </row>
    <row r="5567" spans="1:11" x14ac:dyDescent="0.25">
      <c r="A5567" t="s">
        <v>19379</v>
      </c>
      <c r="B5567" s="1" t="str">
        <f>HYPERLINK("https://www.catalog.slsa.sa.gov.au/record=b2081175")</f>
        <v>https://www.catalog.slsa.sa.gov.au/record=b2081175</v>
      </c>
      <c r="C5567" s="1" t="str">
        <f>HYPERLINK("https://www.catalog.slsa.sa.gov.au/xrecord=b2081175")</f>
        <v>https://www.catalog.slsa.sa.gov.au/xrecord=b2081175</v>
      </c>
      <c r="E5567" t="s">
        <v>19380</v>
      </c>
      <c r="F5567">
        <v>1951</v>
      </c>
      <c r="G5567" t="s">
        <v>15269</v>
      </c>
      <c r="H5567" t="s">
        <v>19381</v>
      </c>
      <c r="I5567" t="s">
        <v>19378</v>
      </c>
      <c r="K5567" s="2" t="str">
        <f>HYPERLINK("http://collections.slsa.sa.gov.au/mpcimg/59250/B59110.htm")</f>
        <v>http://collections.slsa.sa.gov.au/mpcimg/59250/B59110.htm</v>
      </c>
    </row>
    <row r="5568" spans="1:11" x14ac:dyDescent="0.25">
      <c r="A5568" t="s">
        <v>19382</v>
      </c>
      <c r="B5568" s="1" t="str">
        <f>HYPERLINK("https://www.catalog.slsa.sa.gov.au/record=b2081176")</f>
        <v>https://www.catalog.slsa.sa.gov.au/record=b2081176</v>
      </c>
      <c r="C5568" s="1" t="str">
        <f>HYPERLINK("https://www.catalog.slsa.sa.gov.au/xrecord=b2081176")</f>
        <v>https://www.catalog.slsa.sa.gov.au/xrecord=b2081176</v>
      </c>
      <c r="D5568" t="s">
        <v>19383</v>
      </c>
      <c r="E5568" t="s">
        <v>19384</v>
      </c>
      <c r="F5568">
        <v>1951</v>
      </c>
      <c r="G5568" t="s">
        <v>15269</v>
      </c>
      <c r="H5568" t="s">
        <v>19385</v>
      </c>
      <c r="I5568" t="s">
        <v>19378</v>
      </c>
      <c r="J5568" t="s">
        <v>2510</v>
      </c>
      <c r="K5568" s="2" t="str">
        <f>HYPERLINK("http://collections.slsa.sa.gov.au/mpcimg/59250/B59111.htm")</f>
        <v>http://collections.slsa.sa.gov.au/mpcimg/59250/B59111.htm</v>
      </c>
    </row>
    <row r="5569" spans="1:11" x14ac:dyDescent="0.25">
      <c r="A5569" t="s">
        <v>19386</v>
      </c>
      <c r="B5569" s="1" t="str">
        <f>HYPERLINK("https://www.catalog.slsa.sa.gov.au/record=b2081177")</f>
        <v>https://www.catalog.slsa.sa.gov.au/record=b2081177</v>
      </c>
      <c r="C5569" s="1" t="str">
        <f>HYPERLINK("https://www.catalog.slsa.sa.gov.au/xrecord=b2081177")</f>
        <v>https://www.catalog.slsa.sa.gov.au/xrecord=b2081177</v>
      </c>
      <c r="D5569" t="s">
        <v>19383</v>
      </c>
      <c r="E5569" t="s">
        <v>19387</v>
      </c>
      <c r="F5569">
        <v>1951</v>
      </c>
      <c r="G5569" t="s">
        <v>15269</v>
      </c>
      <c r="H5569" t="s">
        <v>19388</v>
      </c>
      <c r="I5569" t="s">
        <v>19378</v>
      </c>
      <c r="J5569" t="s">
        <v>2510</v>
      </c>
      <c r="K5569" s="2" t="str">
        <f>HYPERLINK("http://collections.slsa.sa.gov.au/mpcimg/59250/B59112.htm")</f>
        <v>http://collections.slsa.sa.gov.au/mpcimg/59250/B59112.htm</v>
      </c>
    </row>
    <row r="5570" spans="1:11" x14ac:dyDescent="0.25">
      <c r="A5570" t="s">
        <v>19389</v>
      </c>
      <c r="B5570" s="1" t="str">
        <f>HYPERLINK("https://www.catalog.slsa.sa.gov.au/record=b2081665")</f>
        <v>https://www.catalog.slsa.sa.gov.au/record=b2081665</v>
      </c>
      <c r="C5570" s="1" t="str">
        <f>HYPERLINK("https://www.catalog.slsa.sa.gov.au/xrecord=b2081665")</f>
        <v>https://www.catalog.slsa.sa.gov.au/xrecord=b2081665</v>
      </c>
      <c r="E5570" t="s">
        <v>19390</v>
      </c>
      <c r="F5570">
        <v>1951</v>
      </c>
      <c r="G5570" t="s">
        <v>15269</v>
      </c>
      <c r="H5570" t="s">
        <v>19391</v>
      </c>
      <c r="I5570" t="s">
        <v>19392</v>
      </c>
      <c r="J5570" t="s">
        <v>15900</v>
      </c>
      <c r="K5570" s="2" t="str">
        <f>HYPERLINK("http://collections.slsa.sa.gov.au/mpcimg/59750/B59603.htm")</f>
        <v>http://collections.slsa.sa.gov.au/mpcimg/59750/B59603.htm</v>
      </c>
    </row>
    <row r="5571" spans="1:11" x14ac:dyDescent="0.25">
      <c r="A5571" t="s">
        <v>19393</v>
      </c>
      <c r="B5571" s="1" t="str">
        <f>HYPERLINK("https://www.catalog.slsa.sa.gov.au/record=b2082450")</f>
        <v>https://www.catalog.slsa.sa.gov.au/record=b2082450</v>
      </c>
      <c r="C5571" s="1" t="str">
        <f>HYPERLINK("https://www.catalog.slsa.sa.gov.au/xrecord=b2082450")</f>
        <v>https://www.catalog.slsa.sa.gov.au/xrecord=b2082450</v>
      </c>
      <c r="E5571" t="s">
        <v>19394</v>
      </c>
      <c r="F5571">
        <v>1951</v>
      </c>
      <c r="G5571" t="s">
        <v>19395</v>
      </c>
      <c r="H5571" t="s">
        <v>19396</v>
      </c>
      <c r="I5571" t="s">
        <v>17500</v>
      </c>
      <c r="J5571" t="s">
        <v>16808</v>
      </c>
      <c r="K5571" s="2" t="str">
        <f>HYPERLINK("http://collections.slsa.sa.gov.au/mpcimg/60500/B60390.htm")</f>
        <v>http://collections.slsa.sa.gov.au/mpcimg/60500/B60390.htm</v>
      </c>
    </row>
    <row r="5572" spans="1:11" x14ac:dyDescent="0.25">
      <c r="A5572" t="s">
        <v>19397</v>
      </c>
      <c r="B5572" s="1" t="str">
        <f>HYPERLINK("https://www.catalog.slsa.sa.gov.au/record=b2083550")</f>
        <v>https://www.catalog.slsa.sa.gov.au/record=b2083550</v>
      </c>
      <c r="C5572" s="1" t="str">
        <f>HYPERLINK("https://www.catalog.slsa.sa.gov.au/xrecord=b2083550")</f>
        <v>https://www.catalog.slsa.sa.gov.au/xrecord=b2083550</v>
      </c>
      <c r="E5572" t="s">
        <v>19398</v>
      </c>
      <c r="F5572">
        <v>1951</v>
      </c>
      <c r="G5572" t="s">
        <v>19399</v>
      </c>
      <c r="H5572" t="s">
        <v>19400</v>
      </c>
      <c r="I5572" t="s">
        <v>19401</v>
      </c>
      <c r="J5572" t="s">
        <v>2510</v>
      </c>
      <c r="K5572" s="2" t="str">
        <f>HYPERLINK("http://collections.slsa.sa.gov.au/mpcimg/61750/B61568.htm")</f>
        <v>http://collections.slsa.sa.gov.au/mpcimg/61750/B61568.htm</v>
      </c>
    </row>
    <row r="5573" spans="1:11" x14ac:dyDescent="0.25">
      <c r="A5573" t="s">
        <v>19402</v>
      </c>
      <c r="B5573" s="1" t="str">
        <f>HYPERLINK("https://www.catalog.slsa.sa.gov.au/record=b2090169")</f>
        <v>https://www.catalog.slsa.sa.gov.au/record=b2090169</v>
      </c>
      <c r="C5573" s="1" t="str">
        <f>HYPERLINK("https://www.catalog.slsa.sa.gov.au/xrecord=b2090169")</f>
        <v>https://www.catalog.slsa.sa.gov.au/xrecord=b2090169</v>
      </c>
      <c r="E5573" t="s">
        <v>15337</v>
      </c>
      <c r="F5573">
        <v>1951</v>
      </c>
      <c r="G5573" t="s">
        <v>19403</v>
      </c>
      <c r="H5573" t="s">
        <v>19404</v>
      </c>
      <c r="I5573" t="s">
        <v>15348</v>
      </c>
      <c r="J5573" t="s">
        <v>15341</v>
      </c>
      <c r="K5573" s="2" t="str">
        <f>HYPERLINK("http://collections.slsa.sa.gov.au/mpcimg/59000/B58892_5.htm")</f>
        <v>http://collections.slsa.sa.gov.au/mpcimg/59000/B58892_5.htm</v>
      </c>
    </row>
    <row r="5574" spans="1:11" x14ac:dyDescent="0.25">
      <c r="A5574" t="s">
        <v>19405</v>
      </c>
      <c r="B5574" s="1" t="str">
        <f>HYPERLINK("https://www.catalog.slsa.sa.gov.au/record=b2090172")</f>
        <v>https://www.catalog.slsa.sa.gov.au/record=b2090172</v>
      </c>
      <c r="C5574" s="1" t="str">
        <f>HYPERLINK("https://www.catalog.slsa.sa.gov.au/xrecord=b2090172")</f>
        <v>https://www.catalog.slsa.sa.gov.au/xrecord=b2090172</v>
      </c>
      <c r="E5574" t="s">
        <v>15337</v>
      </c>
      <c r="F5574">
        <v>1951</v>
      </c>
      <c r="G5574" t="s">
        <v>19406</v>
      </c>
      <c r="H5574" t="s">
        <v>19407</v>
      </c>
      <c r="I5574" t="s">
        <v>19408</v>
      </c>
      <c r="J5574" t="s">
        <v>15341</v>
      </c>
      <c r="K5574" s="2" t="str">
        <f>HYPERLINK("http://collections.slsa.sa.gov.au/mpcimg/59000/B58892_8.htm")</f>
        <v>http://collections.slsa.sa.gov.au/mpcimg/59000/B58892_8.htm</v>
      </c>
    </row>
    <row r="5575" spans="1:11" x14ac:dyDescent="0.25">
      <c r="A5575" t="s">
        <v>19409</v>
      </c>
      <c r="B5575" s="1" t="str">
        <f>HYPERLINK("https://www.catalog.slsa.sa.gov.au/record=b2090175")</f>
        <v>https://www.catalog.slsa.sa.gov.au/record=b2090175</v>
      </c>
      <c r="C5575" s="1" t="str">
        <f>HYPERLINK("https://www.catalog.slsa.sa.gov.au/xrecord=b2090175")</f>
        <v>https://www.catalog.slsa.sa.gov.au/xrecord=b2090175</v>
      </c>
      <c r="E5575" t="s">
        <v>15337</v>
      </c>
      <c r="F5575">
        <v>1951</v>
      </c>
      <c r="G5575" t="s">
        <v>19410</v>
      </c>
      <c r="H5575" t="s">
        <v>19411</v>
      </c>
      <c r="I5575" t="s">
        <v>15363</v>
      </c>
      <c r="J5575" t="s">
        <v>15341</v>
      </c>
      <c r="K5575" s="2" t="str">
        <f>HYPERLINK("http://collections.slsa.sa.gov.au/mpcimg/59000/B58892_11.htm")</f>
        <v>http://collections.slsa.sa.gov.au/mpcimg/59000/B58892_11.htm</v>
      </c>
    </row>
    <row r="5576" spans="1:11" x14ac:dyDescent="0.25">
      <c r="A5576" t="s">
        <v>19412</v>
      </c>
      <c r="B5576" s="1" t="str">
        <f>HYPERLINK("https://www.catalog.slsa.sa.gov.au/record=b2090176")</f>
        <v>https://www.catalog.slsa.sa.gov.au/record=b2090176</v>
      </c>
      <c r="C5576" s="1" t="str">
        <f>HYPERLINK("https://www.catalog.slsa.sa.gov.au/xrecord=b2090176")</f>
        <v>https://www.catalog.slsa.sa.gov.au/xrecord=b2090176</v>
      </c>
      <c r="E5576" t="s">
        <v>15337</v>
      </c>
      <c r="F5576">
        <v>1951</v>
      </c>
      <c r="G5576" t="s">
        <v>19413</v>
      </c>
      <c r="H5576" t="s">
        <v>19414</v>
      </c>
      <c r="I5576" t="s">
        <v>15363</v>
      </c>
      <c r="J5576" t="s">
        <v>15341</v>
      </c>
      <c r="K5576" s="2" t="str">
        <f>HYPERLINK("http://collections.slsa.sa.gov.au/mpcimg/59000/B58892_12.htm")</f>
        <v>http://collections.slsa.sa.gov.au/mpcimg/59000/B58892_12.htm</v>
      </c>
    </row>
    <row r="5577" spans="1:11" x14ac:dyDescent="0.25">
      <c r="A5577" t="s">
        <v>19415</v>
      </c>
      <c r="B5577" s="1" t="str">
        <f>HYPERLINK("https://www.catalog.slsa.sa.gov.au/record=b2090178")</f>
        <v>https://www.catalog.slsa.sa.gov.au/record=b2090178</v>
      </c>
      <c r="C5577" s="1" t="str">
        <f>HYPERLINK("https://www.catalog.slsa.sa.gov.au/xrecord=b2090178")</f>
        <v>https://www.catalog.slsa.sa.gov.au/xrecord=b2090178</v>
      </c>
      <c r="E5577" t="s">
        <v>15337</v>
      </c>
      <c r="F5577">
        <v>1951</v>
      </c>
      <c r="G5577" t="s">
        <v>19416</v>
      </c>
      <c r="H5577" t="s">
        <v>19417</v>
      </c>
      <c r="I5577" t="s">
        <v>15400</v>
      </c>
      <c r="J5577" t="s">
        <v>15341</v>
      </c>
      <c r="K5577" s="2" t="str">
        <f>HYPERLINK("http://collections.slsa.sa.gov.au/mpcimg/59000/B58892_14.htm")</f>
        <v>http://collections.slsa.sa.gov.au/mpcimg/59000/B58892_14.htm</v>
      </c>
    </row>
    <row r="5578" spans="1:11" x14ac:dyDescent="0.25">
      <c r="A5578" t="s">
        <v>19418</v>
      </c>
      <c r="B5578" s="1" t="str">
        <f>HYPERLINK("https://www.catalog.slsa.sa.gov.au/record=b2090180")</f>
        <v>https://www.catalog.slsa.sa.gov.au/record=b2090180</v>
      </c>
      <c r="C5578" s="1" t="str">
        <f>HYPERLINK("https://www.catalog.slsa.sa.gov.au/xrecord=b2090180")</f>
        <v>https://www.catalog.slsa.sa.gov.au/xrecord=b2090180</v>
      </c>
      <c r="E5578" t="s">
        <v>15337</v>
      </c>
      <c r="F5578">
        <v>1951</v>
      </c>
      <c r="G5578" t="s">
        <v>19419</v>
      </c>
      <c r="H5578" t="s">
        <v>19420</v>
      </c>
      <c r="I5578" t="s">
        <v>15340</v>
      </c>
      <c r="J5578" t="s">
        <v>15341</v>
      </c>
      <c r="K5578" s="2" t="str">
        <f>HYPERLINK("http://collections.slsa.sa.gov.au/mpcimg/59000/B58892_16.htm")</f>
        <v>http://collections.slsa.sa.gov.au/mpcimg/59000/B58892_16.htm</v>
      </c>
    </row>
    <row r="5579" spans="1:11" x14ac:dyDescent="0.25">
      <c r="A5579" t="s">
        <v>19421</v>
      </c>
      <c r="B5579" s="1" t="str">
        <f>HYPERLINK("https://www.catalog.slsa.sa.gov.au/record=b2090181")</f>
        <v>https://www.catalog.slsa.sa.gov.au/record=b2090181</v>
      </c>
      <c r="C5579" s="1" t="str">
        <f>HYPERLINK("https://www.catalog.slsa.sa.gov.au/xrecord=b2090181")</f>
        <v>https://www.catalog.slsa.sa.gov.au/xrecord=b2090181</v>
      </c>
      <c r="E5579" t="s">
        <v>15337</v>
      </c>
      <c r="F5579">
        <v>1951</v>
      </c>
      <c r="G5579" t="s">
        <v>19422</v>
      </c>
      <c r="H5579" t="s">
        <v>19423</v>
      </c>
      <c r="I5579" t="s">
        <v>17703</v>
      </c>
      <c r="J5579" t="s">
        <v>15341</v>
      </c>
      <c r="K5579" s="2" t="str">
        <f>HYPERLINK("http://collections.slsa.sa.gov.au/mpcimg/59000/B58892_17.htm")</f>
        <v>http://collections.slsa.sa.gov.au/mpcimg/59000/B58892_17.htm</v>
      </c>
    </row>
    <row r="5580" spans="1:11" x14ac:dyDescent="0.25">
      <c r="A5580" t="s">
        <v>19424</v>
      </c>
      <c r="B5580" s="1" t="str">
        <f>HYPERLINK("https://www.catalog.slsa.sa.gov.au/record=b2090182")</f>
        <v>https://www.catalog.slsa.sa.gov.au/record=b2090182</v>
      </c>
      <c r="C5580" s="1" t="str">
        <f>HYPERLINK("https://www.catalog.slsa.sa.gov.au/xrecord=b2090182")</f>
        <v>https://www.catalog.slsa.sa.gov.au/xrecord=b2090182</v>
      </c>
      <c r="E5580" t="s">
        <v>15337</v>
      </c>
      <c r="F5580">
        <v>1951</v>
      </c>
      <c r="G5580" t="s">
        <v>19425</v>
      </c>
      <c r="H5580" t="s">
        <v>19426</v>
      </c>
      <c r="I5580" t="s">
        <v>15363</v>
      </c>
      <c r="J5580" t="s">
        <v>15341</v>
      </c>
      <c r="K5580" s="2" t="str">
        <f>HYPERLINK("http://collections.slsa.sa.gov.au/mpcimg/59000/B58892_18.htm")</f>
        <v>http://collections.slsa.sa.gov.au/mpcimg/59000/B58892_18.htm</v>
      </c>
    </row>
    <row r="5581" spans="1:11" x14ac:dyDescent="0.25">
      <c r="A5581" t="s">
        <v>19427</v>
      </c>
      <c r="B5581" s="1" t="str">
        <f>HYPERLINK("https://www.catalog.slsa.sa.gov.au/record=b2090184")</f>
        <v>https://www.catalog.slsa.sa.gov.au/record=b2090184</v>
      </c>
      <c r="C5581" s="1" t="str">
        <f>HYPERLINK("https://www.catalog.slsa.sa.gov.au/xrecord=b2090184")</f>
        <v>https://www.catalog.slsa.sa.gov.au/xrecord=b2090184</v>
      </c>
      <c r="E5581" t="s">
        <v>15337</v>
      </c>
      <c r="F5581">
        <v>1951</v>
      </c>
      <c r="G5581" t="s">
        <v>19403</v>
      </c>
      <c r="H5581" t="s">
        <v>19428</v>
      </c>
      <c r="I5581" t="s">
        <v>15363</v>
      </c>
      <c r="J5581" t="s">
        <v>15341</v>
      </c>
      <c r="K5581" s="2" t="str">
        <f>HYPERLINK("http://collections.slsa.sa.gov.au/mpcimg/59000/B58892_20.htm")</f>
        <v>http://collections.slsa.sa.gov.au/mpcimg/59000/B58892_20.htm</v>
      </c>
    </row>
    <row r="5582" spans="1:11" x14ac:dyDescent="0.25">
      <c r="A5582" t="s">
        <v>19429</v>
      </c>
      <c r="B5582" s="1" t="str">
        <f>HYPERLINK("https://www.catalog.slsa.sa.gov.au/record=b2090185")</f>
        <v>https://www.catalog.slsa.sa.gov.au/record=b2090185</v>
      </c>
      <c r="C5582" s="1" t="str">
        <f>HYPERLINK("https://www.catalog.slsa.sa.gov.au/xrecord=b2090185")</f>
        <v>https://www.catalog.slsa.sa.gov.au/xrecord=b2090185</v>
      </c>
      <c r="E5582" t="s">
        <v>15337</v>
      </c>
      <c r="F5582">
        <v>1951</v>
      </c>
      <c r="G5582" t="s">
        <v>19430</v>
      </c>
      <c r="H5582" t="s">
        <v>19431</v>
      </c>
      <c r="I5582" t="s">
        <v>15363</v>
      </c>
      <c r="J5582" t="s">
        <v>15341</v>
      </c>
      <c r="K5582" s="2" t="str">
        <f>HYPERLINK("http://collections.slsa.sa.gov.au/mpcimg/59000/B58892_21.htm")</f>
        <v>http://collections.slsa.sa.gov.au/mpcimg/59000/B58892_21.htm</v>
      </c>
    </row>
    <row r="5583" spans="1:11" x14ac:dyDescent="0.25">
      <c r="A5583" t="s">
        <v>19432</v>
      </c>
      <c r="B5583" s="1" t="str">
        <f>HYPERLINK("https://www.catalog.slsa.sa.gov.au/record=b2090186")</f>
        <v>https://www.catalog.slsa.sa.gov.au/record=b2090186</v>
      </c>
      <c r="C5583" s="1" t="str">
        <f>HYPERLINK("https://www.catalog.slsa.sa.gov.au/xrecord=b2090186")</f>
        <v>https://www.catalog.slsa.sa.gov.au/xrecord=b2090186</v>
      </c>
      <c r="E5583" t="s">
        <v>15337</v>
      </c>
      <c r="F5583">
        <v>1951</v>
      </c>
      <c r="G5583" t="s">
        <v>19433</v>
      </c>
      <c r="H5583" t="s">
        <v>19434</v>
      </c>
      <c r="I5583" t="s">
        <v>15340</v>
      </c>
      <c r="J5583" t="s">
        <v>15341</v>
      </c>
      <c r="K5583" s="2" t="str">
        <f>HYPERLINK("http://collections.slsa.sa.gov.au/mpcimg/59000/B58892_22.htm")</f>
        <v>http://collections.slsa.sa.gov.au/mpcimg/59000/B58892_22.htm</v>
      </c>
    </row>
    <row r="5584" spans="1:11" x14ac:dyDescent="0.25">
      <c r="A5584" t="s">
        <v>19435</v>
      </c>
      <c r="B5584" s="1" t="str">
        <f>HYPERLINK("https://www.catalog.slsa.sa.gov.au/record=b2090187")</f>
        <v>https://www.catalog.slsa.sa.gov.au/record=b2090187</v>
      </c>
      <c r="C5584" s="1" t="str">
        <f>HYPERLINK("https://www.catalog.slsa.sa.gov.au/xrecord=b2090187")</f>
        <v>https://www.catalog.slsa.sa.gov.au/xrecord=b2090187</v>
      </c>
      <c r="E5584" t="s">
        <v>15337</v>
      </c>
      <c r="F5584">
        <v>1951</v>
      </c>
      <c r="G5584" t="s">
        <v>19436</v>
      </c>
      <c r="H5584" t="s">
        <v>19437</v>
      </c>
      <c r="I5584" t="s">
        <v>15340</v>
      </c>
      <c r="J5584" t="s">
        <v>15341</v>
      </c>
      <c r="K5584" s="2" t="str">
        <f>HYPERLINK("http://collections.slsa.sa.gov.au/mpcimg/59000/B58892_23.htm")</f>
        <v>http://collections.slsa.sa.gov.au/mpcimg/59000/B58892_23.htm</v>
      </c>
    </row>
    <row r="5585" spans="1:11" x14ac:dyDescent="0.25">
      <c r="A5585" t="s">
        <v>19438</v>
      </c>
      <c r="B5585" s="1" t="str">
        <f>HYPERLINK("https://www.catalog.slsa.sa.gov.au/record=b2090188")</f>
        <v>https://www.catalog.slsa.sa.gov.au/record=b2090188</v>
      </c>
      <c r="C5585" s="1" t="str">
        <f>HYPERLINK("https://www.catalog.slsa.sa.gov.au/xrecord=b2090188")</f>
        <v>https://www.catalog.slsa.sa.gov.au/xrecord=b2090188</v>
      </c>
      <c r="E5585" t="s">
        <v>15337</v>
      </c>
      <c r="F5585">
        <v>1951</v>
      </c>
      <c r="G5585" t="s">
        <v>19439</v>
      </c>
      <c r="H5585" t="s">
        <v>19440</v>
      </c>
      <c r="I5585" t="s">
        <v>17703</v>
      </c>
      <c r="J5585" t="s">
        <v>15341</v>
      </c>
      <c r="K5585" s="2" t="str">
        <f>HYPERLINK("http://collections.slsa.sa.gov.au/mpcimg/59000/B58892_24.htm")</f>
        <v>http://collections.slsa.sa.gov.au/mpcimg/59000/B58892_24.htm</v>
      </c>
    </row>
    <row r="5586" spans="1:11" x14ac:dyDescent="0.25">
      <c r="A5586" t="s">
        <v>19441</v>
      </c>
      <c r="B5586" s="1" t="str">
        <f>HYPERLINK("https://www.catalog.slsa.sa.gov.au/record=b2090191")</f>
        <v>https://www.catalog.slsa.sa.gov.au/record=b2090191</v>
      </c>
      <c r="C5586" s="1" t="str">
        <f>HYPERLINK("https://www.catalog.slsa.sa.gov.au/xrecord=b2090191")</f>
        <v>https://www.catalog.slsa.sa.gov.au/xrecord=b2090191</v>
      </c>
      <c r="E5586" t="s">
        <v>15337</v>
      </c>
      <c r="F5586">
        <v>1951</v>
      </c>
      <c r="G5586" t="s">
        <v>19442</v>
      </c>
      <c r="H5586" t="s">
        <v>19443</v>
      </c>
      <c r="I5586" t="s">
        <v>15340</v>
      </c>
      <c r="J5586" t="s">
        <v>15341</v>
      </c>
      <c r="K5586" s="2" t="str">
        <f>HYPERLINK("http://collections.slsa.sa.gov.au/mpcimg/59000/B58892_27.htm")</f>
        <v>http://collections.slsa.sa.gov.au/mpcimg/59000/B58892_27.htm</v>
      </c>
    </row>
    <row r="5587" spans="1:11" x14ac:dyDescent="0.25">
      <c r="A5587" t="s">
        <v>19444</v>
      </c>
      <c r="B5587" s="1" t="str">
        <f>HYPERLINK("https://www.catalog.slsa.sa.gov.au/record=b2090203")</f>
        <v>https://www.catalog.slsa.sa.gov.au/record=b2090203</v>
      </c>
      <c r="C5587" s="1" t="str">
        <f>HYPERLINK("https://www.catalog.slsa.sa.gov.au/xrecord=b2090203")</f>
        <v>https://www.catalog.slsa.sa.gov.au/xrecord=b2090203</v>
      </c>
      <c r="E5587" t="s">
        <v>15337</v>
      </c>
      <c r="F5587">
        <v>1951</v>
      </c>
      <c r="G5587" t="s">
        <v>19445</v>
      </c>
      <c r="H5587" t="s">
        <v>19446</v>
      </c>
      <c r="I5587" t="s">
        <v>15386</v>
      </c>
      <c r="J5587" t="s">
        <v>15341</v>
      </c>
      <c r="K5587" s="2" t="str">
        <f>HYPERLINK("http://collections.slsa.sa.gov.au/mpcimg/59000/B58892_39.htm")</f>
        <v>http://collections.slsa.sa.gov.au/mpcimg/59000/B58892_39.htm</v>
      </c>
    </row>
    <row r="5588" spans="1:11" x14ac:dyDescent="0.25">
      <c r="A5588" t="s">
        <v>19447</v>
      </c>
      <c r="B5588" s="1" t="str">
        <f>HYPERLINK("https://www.catalog.slsa.sa.gov.au/record=b2090204")</f>
        <v>https://www.catalog.slsa.sa.gov.au/record=b2090204</v>
      </c>
      <c r="C5588" s="1" t="str">
        <f>HYPERLINK("https://www.catalog.slsa.sa.gov.au/xrecord=b2090204")</f>
        <v>https://www.catalog.slsa.sa.gov.au/xrecord=b2090204</v>
      </c>
      <c r="E5588" t="s">
        <v>15337</v>
      </c>
      <c r="F5588">
        <v>1951</v>
      </c>
      <c r="G5588" t="s">
        <v>19448</v>
      </c>
      <c r="H5588" t="s">
        <v>19449</v>
      </c>
      <c r="I5588" t="s">
        <v>15340</v>
      </c>
      <c r="J5588" t="s">
        <v>15341</v>
      </c>
      <c r="K5588" s="2" t="str">
        <f>HYPERLINK("http://collections.slsa.sa.gov.au/mpcimg/59000/B58892_40.htm")</f>
        <v>http://collections.slsa.sa.gov.au/mpcimg/59000/B58892_40.htm</v>
      </c>
    </row>
    <row r="5589" spans="1:11" x14ac:dyDescent="0.25">
      <c r="A5589" t="s">
        <v>19450</v>
      </c>
      <c r="B5589" s="1" t="str">
        <f>HYPERLINK("https://www.catalog.slsa.sa.gov.au/record=b2090205")</f>
        <v>https://www.catalog.slsa.sa.gov.au/record=b2090205</v>
      </c>
      <c r="C5589" s="1" t="str">
        <f>HYPERLINK("https://www.catalog.slsa.sa.gov.au/xrecord=b2090205")</f>
        <v>https://www.catalog.slsa.sa.gov.au/xrecord=b2090205</v>
      </c>
      <c r="E5589" t="s">
        <v>15337</v>
      </c>
      <c r="F5589">
        <v>1951</v>
      </c>
      <c r="G5589" t="s">
        <v>19451</v>
      </c>
      <c r="H5589" t="s">
        <v>19452</v>
      </c>
      <c r="I5589" t="s">
        <v>15340</v>
      </c>
      <c r="J5589" t="s">
        <v>15341</v>
      </c>
      <c r="K5589" s="2" t="str">
        <f>HYPERLINK("http://collections.slsa.sa.gov.au/mpcimg/59000/B58892_41.htm")</f>
        <v>http://collections.slsa.sa.gov.au/mpcimg/59000/B58892_41.htm</v>
      </c>
    </row>
    <row r="5590" spans="1:11" x14ac:dyDescent="0.25">
      <c r="A5590" t="s">
        <v>19453</v>
      </c>
      <c r="B5590" s="1" t="str">
        <f>HYPERLINK("https://www.catalog.slsa.sa.gov.au/record=b2090228")</f>
        <v>https://www.catalog.slsa.sa.gov.au/record=b2090228</v>
      </c>
      <c r="C5590" s="1" t="str">
        <f>HYPERLINK("https://www.catalog.slsa.sa.gov.au/xrecord=b2090228")</f>
        <v>https://www.catalog.slsa.sa.gov.au/xrecord=b2090228</v>
      </c>
      <c r="E5590" t="s">
        <v>15353</v>
      </c>
      <c r="F5590">
        <v>1951</v>
      </c>
      <c r="G5590" t="s">
        <v>19454</v>
      </c>
      <c r="H5590" t="s">
        <v>19455</v>
      </c>
      <c r="I5590" t="s">
        <v>15356</v>
      </c>
      <c r="J5590" t="s">
        <v>15341</v>
      </c>
      <c r="K5590" s="2" t="str">
        <f>HYPERLINK("http://collections.slsa.sa.gov.au/mpcimg/59000/B58892_64.htm")</f>
        <v>http://collections.slsa.sa.gov.au/mpcimg/59000/B58892_64.htm</v>
      </c>
    </row>
    <row r="5591" spans="1:11" x14ac:dyDescent="0.25">
      <c r="A5591" t="s">
        <v>19456</v>
      </c>
      <c r="B5591" s="1" t="str">
        <f>HYPERLINK("https://www.catalog.slsa.sa.gov.au/record=b2090229")</f>
        <v>https://www.catalog.slsa.sa.gov.au/record=b2090229</v>
      </c>
      <c r="C5591" s="1" t="str">
        <f>HYPERLINK("https://www.catalog.slsa.sa.gov.au/xrecord=b2090229")</f>
        <v>https://www.catalog.slsa.sa.gov.au/xrecord=b2090229</v>
      </c>
      <c r="E5591" t="s">
        <v>15353</v>
      </c>
      <c r="F5591">
        <v>1951</v>
      </c>
      <c r="G5591" t="s">
        <v>19457</v>
      </c>
      <c r="H5591" t="s">
        <v>19458</v>
      </c>
      <c r="I5591" t="s">
        <v>15400</v>
      </c>
      <c r="J5591" t="s">
        <v>15341</v>
      </c>
      <c r="K5591" s="2" t="str">
        <f>HYPERLINK("http://collections.slsa.sa.gov.au/mpcimg/59000/B58892_65.htm")</f>
        <v>http://collections.slsa.sa.gov.au/mpcimg/59000/B58892_65.htm</v>
      </c>
    </row>
    <row r="5592" spans="1:11" x14ac:dyDescent="0.25">
      <c r="A5592" t="s">
        <v>19459</v>
      </c>
      <c r="B5592" s="1" t="str">
        <f>HYPERLINK("https://www.catalog.slsa.sa.gov.au/record=b2090230")</f>
        <v>https://www.catalog.slsa.sa.gov.au/record=b2090230</v>
      </c>
      <c r="C5592" s="1" t="str">
        <f>HYPERLINK("https://www.catalog.slsa.sa.gov.au/xrecord=b2090230")</f>
        <v>https://www.catalog.slsa.sa.gov.au/xrecord=b2090230</v>
      </c>
      <c r="E5592" t="s">
        <v>15353</v>
      </c>
      <c r="F5592">
        <v>1951</v>
      </c>
      <c r="G5592" t="s">
        <v>19460</v>
      </c>
      <c r="H5592" t="s">
        <v>19461</v>
      </c>
      <c r="I5592" t="s">
        <v>19408</v>
      </c>
      <c r="J5592" t="s">
        <v>15341</v>
      </c>
      <c r="K5592" s="2" t="str">
        <f>HYPERLINK("http://collections.slsa.sa.gov.au/mpcimg/59000/B58892_66.htm")</f>
        <v>http://collections.slsa.sa.gov.au/mpcimg/59000/B58892_66.htm</v>
      </c>
    </row>
    <row r="5593" spans="1:11" x14ac:dyDescent="0.25">
      <c r="A5593" t="s">
        <v>19462</v>
      </c>
      <c r="B5593" s="1" t="str">
        <f>HYPERLINK("https://www.catalog.slsa.sa.gov.au/record=b2090233")</f>
        <v>https://www.catalog.slsa.sa.gov.au/record=b2090233</v>
      </c>
      <c r="C5593" s="1" t="str">
        <f>HYPERLINK("https://www.catalog.slsa.sa.gov.au/xrecord=b2090233")</f>
        <v>https://www.catalog.slsa.sa.gov.au/xrecord=b2090233</v>
      </c>
      <c r="E5593" t="s">
        <v>15353</v>
      </c>
      <c r="F5593">
        <v>1951</v>
      </c>
      <c r="G5593" t="s">
        <v>19463</v>
      </c>
      <c r="H5593" t="s">
        <v>19464</v>
      </c>
      <c r="I5593" t="s">
        <v>19465</v>
      </c>
      <c r="J5593" t="s">
        <v>15341</v>
      </c>
      <c r="K5593" s="2" t="str">
        <f>HYPERLINK("http://collections.slsa.sa.gov.au/mpcimg/59000/B58892_69.htm")</f>
        <v>http://collections.slsa.sa.gov.au/mpcimg/59000/B58892_69.htm</v>
      </c>
    </row>
    <row r="5594" spans="1:11" x14ac:dyDescent="0.25">
      <c r="A5594" t="s">
        <v>19466</v>
      </c>
      <c r="B5594" s="1" t="str">
        <f>HYPERLINK("https://www.catalog.slsa.sa.gov.au/record=b2090234")</f>
        <v>https://www.catalog.slsa.sa.gov.au/record=b2090234</v>
      </c>
      <c r="C5594" s="1" t="str">
        <f>HYPERLINK("https://www.catalog.slsa.sa.gov.au/xrecord=b2090234")</f>
        <v>https://www.catalog.slsa.sa.gov.au/xrecord=b2090234</v>
      </c>
      <c r="E5594" t="s">
        <v>15353</v>
      </c>
      <c r="F5594">
        <v>1951</v>
      </c>
      <c r="G5594" t="s">
        <v>19467</v>
      </c>
      <c r="H5594" t="s">
        <v>19464</v>
      </c>
      <c r="I5594" t="s">
        <v>19465</v>
      </c>
      <c r="J5594" t="s">
        <v>15341</v>
      </c>
      <c r="K5594" s="2" t="str">
        <f>HYPERLINK("http://collections.slsa.sa.gov.au/mpcimg/59000/B58892_70.htm")</f>
        <v>http://collections.slsa.sa.gov.au/mpcimg/59000/B58892_70.htm</v>
      </c>
    </row>
    <row r="5595" spans="1:11" x14ac:dyDescent="0.25">
      <c r="A5595" t="s">
        <v>19468</v>
      </c>
      <c r="B5595" s="1" t="str">
        <f>HYPERLINK("https://www.catalog.slsa.sa.gov.au/record=b2090248")</f>
        <v>https://www.catalog.slsa.sa.gov.au/record=b2090248</v>
      </c>
      <c r="C5595" s="1" t="str">
        <f>HYPERLINK("https://www.catalog.slsa.sa.gov.au/xrecord=b2090248")</f>
        <v>https://www.catalog.slsa.sa.gov.au/xrecord=b2090248</v>
      </c>
      <c r="E5595" t="s">
        <v>15353</v>
      </c>
      <c r="F5595">
        <v>1951</v>
      </c>
      <c r="G5595" t="s">
        <v>19469</v>
      </c>
      <c r="H5595" t="s">
        <v>19470</v>
      </c>
      <c r="I5595" t="s">
        <v>15363</v>
      </c>
      <c r="J5595" t="s">
        <v>15341</v>
      </c>
      <c r="K5595" s="2" t="str">
        <f>HYPERLINK("http://collections.slsa.sa.gov.au/mpcimg/59000/B58892_84.htm")</f>
        <v>http://collections.slsa.sa.gov.au/mpcimg/59000/B58892_84.htm</v>
      </c>
    </row>
    <row r="5596" spans="1:11" x14ac:dyDescent="0.25">
      <c r="A5596" t="s">
        <v>19471</v>
      </c>
      <c r="B5596" s="1" t="str">
        <f>HYPERLINK("https://www.catalog.slsa.sa.gov.au/record=b2090260")</f>
        <v>https://www.catalog.slsa.sa.gov.au/record=b2090260</v>
      </c>
      <c r="C5596" s="1" t="str">
        <f>HYPERLINK("https://www.catalog.slsa.sa.gov.au/xrecord=b2090260")</f>
        <v>https://www.catalog.slsa.sa.gov.au/xrecord=b2090260</v>
      </c>
      <c r="E5596" t="s">
        <v>19472</v>
      </c>
      <c r="F5596">
        <v>1951</v>
      </c>
      <c r="G5596" t="s">
        <v>19473</v>
      </c>
      <c r="H5596" t="s">
        <v>19474</v>
      </c>
      <c r="I5596" t="s">
        <v>19475</v>
      </c>
      <c r="J5596" t="s">
        <v>15341</v>
      </c>
      <c r="K5596" s="2" t="str">
        <f>HYPERLINK("http://collections.slsa.sa.gov.au/mpcimg/59000/B58892_96.htm")</f>
        <v>http://collections.slsa.sa.gov.au/mpcimg/59000/B58892_96.htm</v>
      </c>
    </row>
    <row r="5597" spans="1:11" x14ac:dyDescent="0.25">
      <c r="A5597" t="s">
        <v>19476</v>
      </c>
      <c r="B5597" s="1" t="str">
        <f>HYPERLINK("https://www.catalog.slsa.sa.gov.au/record=b2090272")</f>
        <v>https://www.catalog.slsa.sa.gov.au/record=b2090272</v>
      </c>
      <c r="C5597" s="1" t="str">
        <f>HYPERLINK("https://www.catalog.slsa.sa.gov.au/xrecord=b2090272")</f>
        <v>https://www.catalog.slsa.sa.gov.au/xrecord=b2090272</v>
      </c>
      <c r="E5597" t="s">
        <v>15365</v>
      </c>
      <c r="F5597">
        <v>1951</v>
      </c>
      <c r="G5597" t="s">
        <v>15369</v>
      </c>
      <c r="H5597" t="s">
        <v>19477</v>
      </c>
      <c r="I5597" t="s">
        <v>15356</v>
      </c>
      <c r="J5597" t="s">
        <v>15341</v>
      </c>
      <c r="K5597" s="2" t="str">
        <f>HYPERLINK("http://collections.slsa.sa.gov.au/mpcimg/59000/B58892_118.htm")</f>
        <v>http://collections.slsa.sa.gov.au/mpcimg/59000/B58892_118.htm</v>
      </c>
    </row>
    <row r="5598" spans="1:11" x14ac:dyDescent="0.25">
      <c r="A5598" t="s">
        <v>19478</v>
      </c>
      <c r="B5598" s="1" t="str">
        <f>HYPERLINK("https://www.catalog.slsa.sa.gov.au/record=b2090273")</f>
        <v>https://www.catalog.slsa.sa.gov.au/record=b2090273</v>
      </c>
      <c r="C5598" s="1" t="str">
        <f>HYPERLINK("https://www.catalog.slsa.sa.gov.au/xrecord=b2090273")</f>
        <v>https://www.catalog.slsa.sa.gov.au/xrecord=b2090273</v>
      </c>
      <c r="E5598" t="s">
        <v>15365</v>
      </c>
      <c r="F5598">
        <v>1951</v>
      </c>
      <c r="G5598" t="s">
        <v>19479</v>
      </c>
      <c r="H5598" t="s">
        <v>19480</v>
      </c>
      <c r="I5598" t="s">
        <v>19481</v>
      </c>
      <c r="J5598" t="s">
        <v>15341</v>
      </c>
      <c r="K5598" s="2" t="str">
        <f>HYPERLINK("http://collections.slsa.sa.gov.au/mpcimg/59000/B58892_119.htm")</f>
        <v>http://collections.slsa.sa.gov.au/mpcimg/59000/B58892_119.htm</v>
      </c>
    </row>
    <row r="5599" spans="1:11" x14ac:dyDescent="0.25">
      <c r="A5599" t="s">
        <v>19482</v>
      </c>
      <c r="B5599" s="1" t="str">
        <f>HYPERLINK("https://www.catalog.slsa.sa.gov.au/record=b2090275")</f>
        <v>https://www.catalog.slsa.sa.gov.au/record=b2090275</v>
      </c>
      <c r="C5599" s="1" t="str">
        <f>HYPERLINK("https://www.catalog.slsa.sa.gov.au/xrecord=b2090275")</f>
        <v>https://www.catalog.slsa.sa.gov.au/xrecord=b2090275</v>
      </c>
      <c r="E5599" t="s">
        <v>15365</v>
      </c>
      <c r="F5599">
        <v>1951</v>
      </c>
      <c r="G5599" t="s">
        <v>19483</v>
      </c>
      <c r="H5599" t="s">
        <v>19484</v>
      </c>
      <c r="I5599" t="s">
        <v>17710</v>
      </c>
      <c r="J5599" t="s">
        <v>15341</v>
      </c>
      <c r="K5599" s="2" t="str">
        <f>HYPERLINK("http://collections.slsa.sa.gov.au/mpcimg/59000/B58892_121.htm")</f>
        <v>http://collections.slsa.sa.gov.au/mpcimg/59000/B58892_121.htm</v>
      </c>
    </row>
    <row r="5600" spans="1:11" x14ac:dyDescent="0.25">
      <c r="A5600" t="s">
        <v>19485</v>
      </c>
      <c r="B5600" s="1" t="str">
        <f>HYPERLINK("https://www.catalog.slsa.sa.gov.au/record=b2090276")</f>
        <v>https://www.catalog.slsa.sa.gov.au/record=b2090276</v>
      </c>
      <c r="C5600" s="1" t="str">
        <f>HYPERLINK("https://www.catalog.slsa.sa.gov.au/xrecord=b2090276")</f>
        <v>https://www.catalog.slsa.sa.gov.au/xrecord=b2090276</v>
      </c>
      <c r="E5600" t="s">
        <v>15365</v>
      </c>
      <c r="F5600">
        <v>1951</v>
      </c>
      <c r="G5600" t="s">
        <v>19486</v>
      </c>
      <c r="H5600" t="s">
        <v>19487</v>
      </c>
      <c r="I5600" t="s">
        <v>15340</v>
      </c>
      <c r="J5600" t="s">
        <v>15341</v>
      </c>
      <c r="K5600" s="2" t="str">
        <f>HYPERLINK("http://collections.slsa.sa.gov.au/mpcimg/59000/B58892_122.htm")</f>
        <v>http://collections.slsa.sa.gov.au/mpcimg/59000/B58892_122.htm</v>
      </c>
    </row>
    <row r="5601" spans="1:11" x14ac:dyDescent="0.25">
      <c r="A5601" t="s">
        <v>19488</v>
      </c>
      <c r="B5601" s="1" t="str">
        <f>HYPERLINK("https://www.catalog.slsa.sa.gov.au/record=b2090293")</f>
        <v>https://www.catalog.slsa.sa.gov.au/record=b2090293</v>
      </c>
      <c r="C5601" s="1" t="str">
        <f>HYPERLINK("https://www.catalog.slsa.sa.gov.au/xrecord=b2090293")</f>
        <v>https://www.catalog.slsa.sa.gov.au/xrecord=b2090293</v>
      </c>
      <c r="E5601" t="s">
        <v>19472</v>
      </c>
      <c r="F5601">
        <v>1951</v>
      </c>
      <c r="G5601" t="s">
        <v>19489</v>
      </c>
      <c r="H5601" t="s">
        <v>19490</v>
      </c>
      <c r="I5601" t="s">
        <v>19475</v>
      </c>
      <c r="J5601" t="s">
        <v>15341</v>
      </c>
      <c r="K5601" s="2" t="str">
        <f>HYPERLINK("http://collections.slsa.sa.gov.au/mpcimg/59000/B58892_108.htm")</f>
        <v>http://collections.slsa.sa.gov.au/mpcimg/59000/B58892_108.htm</v>
      </c>
    </row>
    <row r="5602" spans="1:11" x14ac:dyDescent="0.25">
      <c r="A5602" t="s">
        <v>19491</v>
      </c>
      <c r="B5602" s="1" t="str">
        <f>HYPERLINK("https://www.catalog.slsa.sa.gov.au/record=b2090300")</f>
        <v>https://www.catalog.slsa.sa.gov.au/record=b2090300</v>
      </c>
      <c r="C5602" s="1" t="str">
        <f>HYPERLINK("https://www.catalog.slsa.sa.gov.au/xrecord=b2090300")</f>
        <v>https://www.catalog.slsa.sa.gov.au/xrecord=b2090300</v>
      </c>
      <c r="E5602" t="s">
        <v>19492</v>
      </c>
      <c r="F5602">
        <v>1951</v>
      </c>
      <c r="G5602" t="s">
        <v>19493</v>
      </c>
      <c r="H5602" t="s">
        <v>19494</v>
      </c>
      <c r="I5602" t="s">
        <v>15363</v>
      </c>
      <c r="J5602" t="s">
        <v>15341</v>
      </c>
      <c r="K5602" s="2" t="str">
        <f>HYPERLINK("http://collections.slsa.sa.gov.au/mpcimg/59000/B58892_136.htm")</f>
        <v>http://collections.slsa.sa.gov.au/mpcimg/59000/B58892_136.htm</v>
      </c>
    </row>
    <row r="5603" spans="1:11" x14ac:dyDescent="0.25">
      <c r="A5603" t="s">
        <v>19495</v>
      </c>
      <c r="B5603" s="1" t="str">
        <f>HYPERLINK("https://www.catalog.slsa.sa.gov.au/record=b2090301")</f>
        <v>https://www.catalog.slsa.sa.gov.au/record=b2090301</v>
      </c>
      <c r="C5603" s="1" t="str">
        <f>HYPERLINK("https://www.catalog.slsa.sa.gov.au/xrecord=b2090301")</f>
        <v>https://www.catalog.slsa.sa.gov.au/xrecord=b2090301</v>
      </c>
      <c r="E5603" t="s">
        <v>19492</v>
      </c>
      <c r="F5603">
        <v>1951</v>
      </c>
      <c r="G5603" t="s">
        <v>19496</v>
      </c>
      <c r="H5603" t="s">
        <v>19497</v>
      </c>
      <c r="I5603" t="s">
        <v>15340</v>
      </c>
      <c r="J5603" t="s">
        <v>15341</v>
      </c>
      <c r="K5603" s="2" t="str">
        <f>HYPERLINK("http://collections.slsa.sa.gov.au/mpcimg/59000/B58892_137.htm")</f>
        <v>http://collections.slsa.sa.gov.au/mpcimg/59000/B58892_137.htm</v>
      </c>
    </row>
    <row r="5604" spans="1:11" x14ac:dyDescent="0.25">
      <c r="A5604" t="s">
        <v>19498</v>
      </c>
      <c r="B5604" s="1" t="str">
        <f>HYPERLINK("https://www.catalog.slsa.sa.gov.au/record=b2090302")</f>
        <v>https://www.catalog.slsa.sa.gov.au/record=b2090302</v>
      </c>
      <c r="C5604" s="1" t="str">
        <f>HYPERLINK("https://www.catalog.slsa.sa.gov.au/xrecord=b2090302")</f>
        <v>https://www.catalog.slsa.sa.gov.au/xrecord=b2090302</v>
      </c>
      <c r="E5604" t="s">
        <v>19492</v>
      </c>
      <c r="F5604">
        <v>1951</v>
      </c>
      <c r="G5604" t="s">
        <v>19496</v>
      </c>
      <c r="H5604" t="s">
        <v>19499</v>
      </c>
      <c r="I5604" t="s">
        <v>15340</v>
      </c>
      <c r="J5604" t="s">
        <v>15341</v>
      </c>
      <c r="K5604" s="2" t="str">
        <f>HYPERLINK("http://collections.slsa.sa.gov.au/mpcimg/59000/B58892_138.htm")</f>
        <v>http://collections.slsa.sa.gov.au/mpcimg/59000/B58892_138.htm</v>
      </c>
    </row>
    <row r="5605" spans="1:11" x14ac:dyDescent="0.25">
      <c r="A5605" t="s">
        <v>19500</v>
      </c>
      <c r="B5605" s="1" t="str">
        <f>HYPERLINK("https://www.catalog.slsa.sa.gov.au/record=b2090307")</f>
        <v>https://www.catalog.slsa.sa.gov.au/record=b2090307</v>
      </c>
      <c r="C5605" s="1" t="str">
        <f>HYPERLINK("https://www.catalog.slsa.sa.gov.au/xrecord=b2090307")</f>
        <v>https://www.catalog.slsa.sa.gov.au/xrecord=b2090307</v>
      </c>
      <c r="E5605" t="s">
        <v>19492</v>
      </c>
      <c r="F5605">
        <v>1951</v>
      </c>
      <c r="G5605" t="s">
        <v>19501</v>
      </c>
      <c r="H5605" t="s">
        <v>19502</v>
      </c>
      <c r="I5605" t="s">
        <v>15348</v>
      </c>
      <c r="J5605" t="s">
        <v>15341</v>
      </c>
      <c r="K5605" s="2" t="str">
        <f>HYPERLINK("http://collections.slsa.sa.gov.au/mpcimg/59000/B58892_143.htm")</f>
        <v>http://collections.slsa.sa.gov.au/mpcimg/59000/B58892_143.htm</v>
      </c>
    </row>
    <row r="5606" spans="1:11" x14ac:dyDescent="0.25">
      <c r="A5606" t="s">
        <v>19503</v>
      </c>
      <c r="B5606" s="1" t="str">
        <f>HYPERLINK("https://www.catalog.slsa.sa.gov.au/record=b2090310")</f>
        <v>https://www.catalog.slsa.sa.gov.au/record=b2090310</v>
      </c>
      <c r="C5606" s="1" t="str">
        <f>HYPERLINK("https://www.catalog.slsa.sa.gov.au/xrecord=b2090310")</f>
        <v>https://www.catalog.slsa.sa.gov.au/xrecord=b2090310</v>
      </c>
      <c r="E5606" t="s">
        <v>19492</v>
      </c>
      <c r="F5606">
        <v>1951</v>
      </c>
      <c r="G5606" t="s">
        <v>19504</v>
      </c>
      <c r="H5606" t="s">
        <v>19505</v>
      </c>
      <c r="I5606" t="s">
        <v>15340</v>
      </c>
      <c r="J5606" t="s">
        <v>15341</v>
      </c>
      <c r="K5606" s="2" t="str">
        <f>HYPERLINK("http://collections.slsa.sa.gov.au/mpcimg/59000/B58892_146.htm")</f>
        <v>http://collections.slsa.sa.gov.au/mpcimg/59000/B58892_146.htm</v>
      </c>
    </row>
    <row r="5607" spans="1:11" x14ac:dyDescent="0.25">
      <c r="A5607" t="s">
        <v>19506</v>
      </c>
      <c r="B5607" s="1" t="str">
        <f>HYPERLINK("https://www.catalog.slsa.sa.gov.au/record=b2090312")</f>
        <v>https://www.catalog.slsa.sa.gov.au/record=b2090312</v>
      </c>
      <c r="C5607" s="1" t="str">
        <f>HYPERLINK("https://www.catalog.slsa.sa.gov.au/xrecord=b2090312")</f>
        <v>https://www.catalog.slsa.sa.gov.au/xrecord=b2090312</v>
      </c>
      <c r="E5607" t="s">
        <v>19492</v>
      </c>
      <c r="F5607">
        <v>1951</v>
      </c>
      <c r="G5607" t="s">
        <v>19507</v>
      </c>
      <c r="H5607" t="s">
        <v>19508</v>
      </c>
      <c r="I5607" t="s">
        <v>15345</v>
      </c>
      <c r="J5607" t="s">
        <v>15341</v>
      </c>
      <c r="K5607" s="2" t="str">
        <f>HYPERLINK("http://collections.slsa.sa.gov.au/mpcimg/59000/B58892_148.htm")</f>
        <v>http://collections.slsa.sa.gov.au/mpcimg/59000/B58892_148.htm</v>
      </c>
    </row>
    <row r="5608" spans="1:11" x14ac:dyDescent="0.25">
      <c r="A5608" t="s">
        <v>19509</v>
      </c>
      <c r="B5608" s="1" t="str">
        <f>HYPERLINK("https://www.catalog.slsa.sa.gov.au/record=b2090316")</f>
        <v>https://www.catalog.slsa.sa.gov.au/record=b2090316</v>
      </c>
      <c r="C5608" s="1" t="str">
        <f>HYPERLINK("https://www.catalog.slsa.sa.gov.au/xrecord=b2090316")</f>
        <v>https://www.catalog.slsa.sa.gov.au/xrecord=b2090316</v>
      </c>
      <c r="E5608" t="s">
        <v>19492</v>
      </c>
      <c r="F5608">
        <v>1951</v>
      </c>
      <c r="G5608" t="s">
        <v>19510</v>
      </c>
      <c r="H5608" t="s">
        <v>19511</v>
      </c>
      <c r="I5608" t="s">
        <v>15386</v>
      </c>
      <c r="J5608" t="s">
        <v>15341</v>
      </c>
      <c r="K5608" s="2" t="str">
        <f>HYPERLINK("http://collections.slsa.sa.gov.au/mpcimg/59000/B58892_152.htm")</f>
        <v>http://collections.slsa.sa.gov.au/mpcimg/59000/B58892_152.htm</v>
      </c>
    </row>
    <row r="5609" spans="1:11" x14ac:dyDescent="0.25">
      <c r="A5609" t="s">
        <v>19512</v>
      </c>
      <c r="B5609" s="1" t="str">
        <f>HYPERLINK("https://www.catalog.slsa.sa.gov.au/record=b2090320")</f>
        <v>https://www.catalog.slsa.sa.gov.au/record=b2090320</v>
      </c>
      <c r="C5609" s="1" t="str">
        <f>HYPERLINK("https://www.catalog.slsa.sa.gov.au/xrecord=b2090320")</f>
        <v>https://www.catalog.slsa.sa.gov.au/xrecord=b2090320</v>
      </c>
      <c r="E5609" t="s">
        <v>19492</v>
      </c>
      <c r="F5609">
        <v>1951</v>
      </c>
      <c r="G5609" t="s">
        <v>19513</v>
      </c>
      <c r="H5609" t="s">
        <v>19514</v>
      </c>
      <c r="I5609" t="s">
        <v>15400</v>
      </c>
      <c r="J5609" t="s">
        <v>15341</v>
      </c>
      <c r="K5609" s="2" t="str">
        <f>HYPERLINK("http://collections.slsa.sa.gov.au/mpcimg/59000/B58892_156.htm")</f>
        <v>http://collections.slsa.sa.gov.au/mpcimg/59000/B58892_156.htm</v>
      </c>
    </row>
    <row r="5610" spans="1:11" x14ac:dyDescent="0.25">
      <c r="A5610" t="s">
        <v>19515</v>
      </c>
      <c r="B5610" s="1" t="str">
        <f>HYPERLINK("https://www.catalog.slsa.sa.gov.au/record=b2090322")</f>
        <v>https://www.catalog.slsa.sa.gov.au/record=b2090322</v>
      </c>
      <c r="C5610" s="1" t="str">
        <f>HYPERLINK("https://www.catalog.slsa.sa.gov.au/xrecord=b2090322")</f>
        <v>https://www.catalog.slsa.sa.gov.au/xrecord=b2090322</v>
      </c>
      <c r="E5610" t="s">
        <v>19516</v>
      </c>
      <c r="F5610">
        <v>1951</v>
      </c>
      <c r="G5610" t="s">
        <v>19517</v>
      </c>
      <c r="H5610" t="s">
        <v>19518</v>
      </c>
      <c r="I5610" t="s">
        <v>15340</v>
      </c>
      <c r="J5610" t="s">
        <v>15341</v>
      </c>
      <c r="K5610" s="2" t="str">
        <f>HYPERLINK("http://collections.slsa.sa.gov.au/mpcimg/59000/B58892_158.htm")</f>
        <v>http://collections.slsa.sa.gov.au/mpcimg/59000/B58892_158.htm</v>
      </c>
    </row>
    <row r="5611" spans="1:11" x14ac:dyDescent="0.25">
      <c r="A5611" t="s">
        <v>19519</v>
      </c>
      <c r="B5611" s="1" t="str">
        <f>HYPERLINK("https://www.catalog.slsa.sa.gov.au/record=b2090323")</f>
        <v>https://www.catalog.slsa.sa.gov.au/record=b2090323</v>
      </c>
      <c r="C5611" s="1" t="str">
        <f>HYPERLINK("https://www.catalog.slsa.sa.gov.au/xrecord=b2090323")</f>
        <v>https://www.catalog.slsa.sa.gov.au/xrecord=b2090323</v>
      </c>
      <c r="E5611" t="s">
        <v>19516</v>
      </c>
      <c r="F5611">
        <v>1951</v>
      </c>
      <c r="G5611" t="s">
        <v>19520</v>
      </c>
      <c r="H5611" t="s">
        <v>19505</v>
      </c>
      <c r="I5611" t="s">
        <v>15340</v>
      </c>
      <c r="J5611" t="s">
        <v>15341</v>
      </c>
      <c r="K5611" s="2" t="str">
        <f>HYPERLINK("http://collections.slsa.sa.gov.au/mpcimg/59000/B58892_159.htm")</f>
        <v>http://collections.slsa.sa.gov.au/mpcimg/59000/B58892_159.htm</v>
      </c>
    </row>
    <row r="5612" spans="1:11" x14ac:dyDescent="0.25">
      <c r="A5612" t="s">
        <v>19521</v>
      </c>
      <c r="B5612" s="1" t="str">
        <f>HYPERLINK("https://www.catalog.slsa.sa.gov.au/record=b2090324")</f>
        <v>https://www.catalog.slsa.sa.gov.au/record=b2090324</v>
      </c>
      <c r="C5612" s="1" t="str">
        <f>HYPERLINK("https://www.catalog.slsa.sa.gov.au/xrecord=b2090324")</f>
        <v>https://www.catalog.slsa.sa.gov.au/xrecord=b2090324</v>
      </c>
      <c r="E5612" t="s">
        <v>19516</v>
      </c>
      <c r="F5612">
        <v>1951</v>
      </c>
      <c r="G5612" t="s">
        <v>19522</v>
      </c>
      <c r="H5612" t="s">
        <v>19523</v>
      </c>
      <c r="I5612" t="s">
        <v>15356</v>
      </c>
      <c r="J5612" t="s">
        <v>15341</v>
      </c>
      <c r="K5612" s="2" t="str">
        <f>HYPERLINK("http://collections.slsa.sa.gov.au/mpcimg/59000/B58892_160.htm")</f>
        <v>http://collections.slsa.sa.gov.au/mpcimg/59000/B58892_160.htm</v>
      </c>
    </row>
    <row r="5613" spans="1:11" x14ac:dyDescent="0.25">
      <c r="A5613" t="s">
        <v>19524</v>
      </c>
      <c r="B5613" s="1" t="str">
        <f>HYPERLINK("https://www.catalog.slsa.sa.gov.au/record=b2090325")</f>
        <v>https://www.catalog.slsa.sa.gov.au/record=b2090325</v>
      </c>
      <c r="C5613" s="1" t="str">
        <f>HYPERLINK("https://www.catalog.slsa.sa.gov.au/xrecord=b2090325")</f>
        <v>https://www.catalog.slsa.sa.gov.au/xrecord=b2090325</v>
      </c>
      <c r="E5613" t="s">
        <v>19516</v>
      </c>
      <c r="F5613">
        <v>1951</v>
      </c>
      <c r="G5613" t="s">
        <v>19525</v>
      </c>
      <c r="H5613" t="s">
        <v>19523</v>
      </c>
      <c r="I5613" t="s">
        <v>15356</v>
      </c>
      <c r="J5613" t="s">
        <v>15341</v>
      </c>
      <c r="K5613" s="2" t="str">
        <f>HYPERLINK("http://collections.slsa.sa.gov.au/mpcimg/59000/B58892_161.htm")</f>
        <v>http://collections.slsa.sa.gov.au/mpcimg/59000/B58892_161.htm</v>
      </c>
    </row>
    <row r="5614" spans="1:11" x14ac:dyDescent="0.25">
      <c r="A5614" t="s">
        <v>19526</v>
      </c>
      <c r="B5614" s="1" t="str">
        <f>HYPERLINK("https://www.catalog.slsa.sa.gov.au/record=b2090327")</f>
        <v>https://www.catalog.slsa.sa.gov.au/record=b2090327</v>
      </c>
      <c r="C5614" s="1" t="str">
        <f>HYPERLINK("https://www.catalog.slsa.sa.gov.au/xrecord=b2090327")</f>
        <v>https://www.catalog.slsa.sa.gov.au/xrecord=b2090327</v>
      </c>
      <c r="E5614" t="s">
        <v>19516</v>
      </c>
      <c r="F5614">
        <v>1951</v>
      </c>
      <c r="G5614" t="s">
        <v>19410</v>
      </c>
      <c r="H5614" t="s">
        <v>19527</v>
      </c>
      <c r="I5614" t="s">
        <v>15340</v>
      </c>
      <c r="J5614" t="s">
        <v>15341</v>
      </c>
      <c r="K5614" s="2" t="str">
        <f>HYPERLINK("http://collections.slsa.sa.gov.au/mpcimg/59000/B58892_163.htm")</f>
        <v>http://collections.slsa.sa.gov.au/mpcimg/59000/B58892_163.htm</v>
      </c>
    </row>
    <row r="5615" spans="1:11" x14ac:dyDescent="0.25">
      <c r="A5615" t="s">
        <v>19528</v>
      </c>
      <c r="B5615" s="1" t="str">
        <f>HYPERLINK("https://www.catalog.slsa.sa.gov.au/record=b2090329")</f>
        <v>https://www.catalog.slsa.sa.gov.au/record=b2090329</v>
      </c>
      <c r="C5615" s="1" t="str">
        <f>HYPERLINK("https://www.catalog.slsa.sa.gov.au/xrecord=b2090329")</f>
        <v>https://www.catalog.slsa.sa.gov.au/xrecord=b2090329</v>
      </c>
      <c r="E5615" t="s">
        <v>19516</v>
      </c>
      <c r="F5615">
        <v>1951</v>
      </c>
      <c r="G5615" t="s">
        <v>19529</v>
      </c>
      <c r="H5615" t="s">
        <v>19499</v>
      </c>
      <c r="I5615" t="s">
        <v>15340</v>
      </c>
      <c r="J5615" t="s">
        <v>15341</v>
      </c>
      <c r="K5615" s="2" t="str">
        <f>HYPERLINK("http://collections.slsa.sa.gov.au/mpcimg/59000/B58892_165.htm")</f>
        <v>http://collections.slsa.sa.gov.au/mpcimg/59000/B58892_165.htm</v>
      </c>
    </row>
    <row r="5616" spans="1:11" x14ac:dyDescent="0.25">
      <c r="A5616" t="s">
        <v>19530</v>
      </c>
      <c r="B5616" s="1" t="str">
        <f>HYPERLINK("https://www.catalog.slsa.sa.gov.au/record=b2090351")</f>
        <v>https://www.catalog.slsa.sa.gov.au/record=b2090351</v>
      </c>
      <c r="C5616" s="1" t="str">
        <f>HYPERLINK("https://www.catalog.slsa.sa.gov.au/xrecord=b2090351")</f>
        <v>https://www.catalog.slsa.sa.gov.au/xrecord=b2090351</v>
      </c>
      <c r="E5616" t="s">
        <v>15372</v>
      </c>
      <c r="F5616">
        <v>1951</v>
      </c>
      <c r="G5616" t="s">
        <v>19531</v>
      </c>
      <c r="H5616" t="s">
        <v>19532</v>
      </c>
      <c r="I5616" t="s">
        <v>19481</v>
      </c>
      <c r="J5616" t="s">
        <v>15341</v>
      </c>
      <c r="K5616" s="2" t="str">
        <f>HYPERLINK("http://collections.slsa.sa.gov.au/mpcimg/59000/B58892_187.htm")</f>
        <v>http://collections.slsa.sa.gov.au/mpcimg/59000/B58892_187.htm</v>
      </c>
    </row>
    <row r="5617" spans="1:11" x14ac:dyDescent="0.25">
      <c r="A5617" t="s">
        <v>19533</v>
      </c>
      <c r="B5617" s="1" t="str">
        <f>HYPERLINK("https://www.catalog.slsa.sa.gov.au/record=b2090352")</f>
        <v>https://www.catalog.slsa.sa.gov.au/record=b2090352</v>
      </c>
      <c r="C5617" s="1" t="str">
        <f>HYPERLINK("https://www.catalog.slsa.sa.gov.au/xrecord=b2090352")</f>
        <v>https://www.catalog.slsa.sa.gov.au/xrecord=b2090352</v>
      </c>
      <c r="E5617" t="s">
        <v>15372</v>
      </c>
      <c r="F5617">
        <v>1951</v>
      </c>
      <c r="G5617" t="s">
        <v>19534</v>
      </c>
      <c r="H5617" t="s">
        <v>19535</v>
      </c>
      <c r="I5617" t="s">
        <v>19481</v>
      </c>
      <c r="J5617" t="s">
        <v>15341</v>
      </c>
      <c r="K5617" s="2" t="str">
        <f>HYPERLINK("http://collections.slsa.sa.gov.au/mpcimg/59000/B58892_188.htm")</f>
        <v>http://collections.slsa.sa.gov.au/mpcimg/59000/B58892_188.htm</v>
      </c>
    </row>
    <row r="5618" spans="1:11" x14ac:dyDescent="0.25">
      <c r="A5618" t="s">
        <v>19536</v>
      </c>
      <c r="B5618" s="1" t="str">
        <f>HYPERLINK("https://www.catalog.slsa.sa.gov.au/record=b2090353")</f>
        <v>https://www.catalog.slsa.sa.gov.au/record=b2090353</v>
      </c>
      <c r="C5618" s="1" t="str">
        <f>HYPERLINK("https://www.catalog.slsa.sa.gov.au/xrecord=b2090353")</f>
        <v>https://www.catalog.slsa.sa.gov.au/xrecord=b2090353</v>
      </c>
      <c r="E5618" t="s">
        <v>15372</v>
      </c>
      <c r="F5618">
        <v>1951</v>
      </c>
      <c r="G5618" t="s">
        <v>19507</v>
      </c>
      <c r="H5618" t="s">
        <v>19537</v>
      </c>
      <c r="I5618" t="s">
        <v>15345</v>
      </c>
      <c r="J5618" t="s">
        <v>15341</v>
      </c>
      <c r="K5618" s="2" t="str">
        <f>HYPERLINK("http://collections.slsa.sa.gov.au/mpcimg/59000/B58892_189.htm")</f>
        <v>http://collections.slsa.sa.gov.au/mpcimg/59000/B58892_189.htm</v>
      </c>
    </row>
    <row r="5619" spans="1:11" x14ac:dyDescent="0.25">
      <c r="A5619" t="s">
        <v>19538</v>
      </c>
      <c r="B5619" s="1" t="str">
        <f>HYPERLINK("https://www.catalog.slsa.sa.gov.au/record=b2090354")</f>
        <v>https://www.catalog.slsa.sa.gov.au/record=b2090354</v>
      </c>
      <c r="C5619" s="1" t="str">
        <f>HYPERLINK("https://www.catalog.slsa.sa.gov.au/xrecord=b2090354")</f>
        <v>https://www.catalog.slsa.sa.gov.au/xrecord=b2090354</v>
      </c>
      <c r="E5619" t="s">
        <v>15372</v>
      </c>
      <c r="F5619">
        <v>1951</v>
      </c>
      <c r="G5619" t="s">
        <v>19539</v>
      </c>
      <c r="H5619" t="s">
        <v>19540</v>
      </c>
      <c r="I5619" t="s">
        <v>19541</v>
      </c>
      <c r="J5619" t="s">
        <v>15341</v>
      </c>
      <c r="K5619" s="2" t="str">
        <f>HYPERLINK("http://collections.slsa.sa.gov.au/mpcimg/59000/B58892_190.htm")</f>
        <v>http://collections.slsa.sa.gov.au/mpcimg/59000/B58892_190.htm</v>
      </c>
    </row>
    <row r="5620" spans="1:11" x14ac:dyDescent="0.25">
      <c r="A5620" t="s">
        <v>19542</v>
      </c>
      <c r="B5620" s="1" t="str">
        <f>HYPERLINK("https://www.catalog.slsa.sa.gov.au/record=b2090355")</f>
        <v>https://www.catalog.slsa.sa.gov.au/record=b2090355</v>
      </c>
      <c r="C5620" s="1" t="str">
        <f>HYPERLINK("https://www.catalog.slsa.sa.gov.au/xrecord=b2090355")</f>
        <v>https://www.catalog.slsa.sa.gov.au/xrecord=b2090355</v>
      </c>
      <c r="E5620" t="s">
        <v>15372</v>
      </c>
      <c r="F5620">
        <v>1951</v>
      </c>
      <c r="G5620" t="s">
        <v>19543</v>
      </c>
      <c r="H5620" t="s">
        <v>19544</v>
      </c>
      <c r="I5620" t="s">
        <v>19545</v>
      </c>
      <c r="J5620" t="s">
        <v>15341</v>
      </c>
      <c r="K5620" s="2" t="str">
        <f>HYPERLINK("http://collections.slsa.sa.gov.au/mpcimg/59000/B58892_191.htm")</f>
        <v>http://collections.slsa.sa.gov.au/mpcimg/59000/B58892_191.htm</v>
      </c>
    </row>
    <row r="5621" spans="1:11" x14ac:dyDescent="0.25">
      <c r="A5621" t="s">
        <v>19546</v>
      </c>
      <c r="B5621" s="1" t="str">
        <f>HYPERLINK("https://www.catalog.slsa.sa.gov.au/record=b2090358")</f>
        <v>https://www.catalog.slsa.sa.gov.au/record=b2090358</v>
      </c>
      <c r="C5621" s="1" t="str">
        <f>HYPERLINK("https://www.catalog.slsa.sa.gov.au/xrecord=b2090358")</f>
        <v>https://www.catalog.slsa.sa.gov.au/xrecord=b2090358</v>
      </c>
      <c r="E5621" t="s">
        <v>15372</v>
      </c>
      <c r="F5621">
        <v>1951</v>
      </c>
      <c r="G5621" t="s">
        <v>19547</v>
      </c>
      <c r="H5621" t="s">
        <v>19548</v>
      </c>
      <c r="I5621" t="s">
        <v>15348</v>
      </c>
      <c r="J5621" t="s">
        <v>15341</v>
      </c>
      <c r="K5621" s="2" t="str">
        <f>HYPERLINK("http://collections.slsa.sa.gov.au/mpcimg/59000/B58892_194.htm")</f>
        <v>http://collections.slsa.sa.gov.au/mpcimg/59000/B58892_194.htm</v>
      </c>
    </row>
    <row r="5622" spans="1:11" x14ac:dyDescent="0.25">
      <c r="A5622" t="s">
        <v>19549</v>
      </c>
      <c r="B5622" s="1" t="str">
        <f>HYPERLINK("https://www.catalog.slsa.sa.gov.au/record=b2090359")</f>
        <v>https://www.catalog.slsa.sa.gov.au/record=b2090359</v>
      </c>
      <c r="C5622" s="1" t="str">
        <f>HYPERLINK("https://www.catalog.slsa.sa.gov.au/xrecord=b2090359")</f>
        <v>https://www.catalog.slsa.sa.gov.au/xrecord=b2090359</v>
      </c>
      <c r="E5622" t="s">
        <v>15372</v>
      </c>
      <c r="F5622">
        <v>1951</v>
      </c>
      <c r="G5622" t="s">
        <v>19410</v>
      </c>
      <c r="H5622" t="s">
        <v>19550</v>
      </c>
      <c r="I5622" t="s">
        <v>15348</v>
      </c>
      <c r="J5622" t="s">
        <v>15341</v>
      </c>
      <c r="K5622" s="2" t="str">
        <f>HYPERLINK("http://collections.slsa.sa.gov.au/mpcimg/59000/B58892_195.htm")</f>
        <v>http://collections.slsa.sa.gov.au/mpcimg/59000/B58892_195.htm</v>
      </c>
    </row>
    <row r="5623" spans="1:11" x14ac:dyDescent="0.25">
      <c r="A5623" t="s">
        <v>19551</v>
      </c>
      <c r="B5623" s="1" t="str">
        <f>HYPERLINK("https://www.catalog.slsa.sa.gov.au/record=b2090360")</f>
        <v>https://www.catalog.slsa.sa.gov.au/record=b2090360</v>
      </c>
      <c r="C5623" s="1" t="str">
        <f>HYPERLINK("https://www.catalog.slsa.sa.gov.au/xrecord=b2090360")</f>
        <v>https://www.catalog.slsa.sa.gov.au/xrecord=b2090360</v>
      </c>
      <c r="E5623" t="s">
        <v>15372</v>
      </c>
      <c r="F5623">
        <v>1951</v>
      </c>
      <c r="G5623" t="s">
        <v>19552</v>
      </c>
      <c r="H5623" t="s">
        <v>19553</v>
      </c>
      <c r="I5623" t="s">
        <v>15348</v>
      </c>
      <c r="J5623" t="s">
        <v>15341</v>
      </c>
      <c r="K5623" s="2" t="str">
        <f>HYPERLINK("http://collections.slsa.sa.gov.au/mpcimg/59000/B58892_196.htm")</f>
        <v>http://collections.slsa.sa.gov.au/mpcimg/59000/B58892_196.htm</v>
      </c>
    </row>
    <row r="5624" spans="1:11" x14ac:dyDescent="0.25">
      <c r="A5624" t="s">
        <v>19554</v>
      </c>
      <c r="B5624" s="1" t="str">
        <f>HYPERLINK("https://www.catalog.slsa.sa.gov.au/record=b2090361")</f>
        <v>https://www.catalog.slsa.sa.gov.au/record=b2090361</v>
      </c>
      <c r="C5624" s="1" t="str">
        <f>HYPERLINK("https://www.catalog.slsa.sa.gov.au/xrecord=b2090361")</f>
        <v>https://www.catalog.slsa.sa.gov.au/xrecord=b2090361</v>
      </c>
      <c r="E5624" t="s">
        <v>15372</v>
      </c>
      <c r="F5624">
        <v>1951</v>
      </c>
      <c r="G5624" t="s">
        <v>19555</v>
      </c>
      <c r="H5624" t="s">
        <v>19556</v>
      </c>
      <c r="I5624" t="s">
        <v>15348</v>
      </c>
      <c r="J5624" t="s">
        <v>15341</v>
      </c>
      <c r="K5624" s="2" t="str">
        <f>HYPERLINK("http://collections.slsa.sa.gov.au/mpcimg/59000/B58892_197.htm")</f>
        <v>http://collections.slsa.sa.gov.au/mpcimg/59000/B58892_197.htm</v>
      </c>
    </row>
    <row r="5625" spans="1:11" x14ac:dyDescent="0.25">
      <c r="A5625" t="s">
        <v>19557</v>
      </c>
      <c r="B5625" s="1" t="str">
        <f>HYPERLINK("https://www.catalog.slsa.sa.gov.au/record=b2090362")</f>
        <v>https://www.catalog.slsa.sa.gov.au/record=b2090362</v>
      </c>
      <c r="C5625" s="1" t="str">
        <f>HYPERLINK("https://www.catalog.slsa.sa.gov.au/xrecord=b2090362")</f>
        <v>https://www.catalog.slsa.sa.gov.au/xrecord=b2090362</v>
      </c>
      <c r="E5625" t="s">
        <v>15372</v>
      </c>
      <c r="F5625">
        <v>1951</v>
      </c>
      <c r="G5625" t="s">
        <v>19558</v>
      </c>
      <c r="H5625" t="s">
        <v>19559</v>
      </c>
      <c r="I5625" t="s">
        <v>19560</v>
      </c>
      <c r="J5625" t="s">
        <v>15341</v>
      </c>
      <c r="K5625" s="2" t="str">
        <f>HYPERLINK("http://collections.slsa.sa.gov.au/mpcimg/59000/B58892_198.htm")</f>
        <v>http://collections.slsa.sa.gov.au/mpcimg/59000/B58892_198.htm</v>
      </c>
    </row>
    <row r="5626" spans="1:11" x14ac:dyDescent="0.25">
      <c r="A5626" t="s">
        <v>19561</v>
      </c>
      <c r="B5626" s="1" t="str">
        <f>HYPERLINK("https://www.catalog.slsa.sa.gov.au/record=b2090363")</f>
        <v>https://www.catalog.slsa.sa.gov.au/record=b2090363</v>
      </c>
      <c r="C5626" s="1" t="str">
        <f>HYPERLINK("https://www.catalog.slsa.sa.gov.au/xrecord=b2090363")</f>
        <v>https://www.catalog.slsa.sa.gov.au/xrecord=b2090363</v>
      </c>
      <c r="E5626" t="s">
        <v>15372</v>
      </c>
      <c r="F5626">
        <v>1951</v>
      </c>
      <c r="G5626" t="s">
        <v>19403</v>
      </c>
      <c r="H5626" t="s">
        <v>19562</v>
      </c>
      <c r="I5626" t="s">
        <v>15340</v>
      </c>
      <c r="J5626" t="s">
        <v>15341</v>
      </c>
      <c r="K5626" s="2" t="str">
        <f>HYPERLINK("http://collections.slsa.sa.gov.au/mpcimg/59000/B58892_199.htm")</f>
        <v>http://collections.slsa.sa.gov.au/mpcimg/59000/B58892_199.htm</v>
      </c>
    </row>
    <row r="5627" spans="1:11" x14ac:dyDescent="0.25">
      <c r="A5627" t="s">
        <v>19563</v>
      </c>
      <c r="B5627" s="1" t="str">
        <f>HYPERLINK("https://www.catalog.slsa.sa.gov.au/record=b2090364")</f>
        <v>https://www.catalog.slsa.sa.gov.au/record=b2090364</v>
      </c>
      <c r="C5627" s="1" t="str">
        <f>HYPERLINK("https://www.catalog.slsa.sa.gov.au/xrecord=b2090364")</f>
        <v>https://www.catalog.slsa.sa.gov.au/xrecord=b2090364</v>
      </c>
      <c r="E5627" t="s">
        <v>15372</v>
      </c>
      <c r="F5627">
        <v>1951</v>
      </c>
      <c r="G5627" t="s">
        <v>19496</v>
      </c>
      <c r="H5627" t="s">
        <v>19564</v>
      </c>
      <c r="I5627" t="s">
        <v>15386</v>
      </c>
      <c r="J5627" t="s">
        <v>15341</v>
      </c>
      <c r="K5627" s="2" t="str">
        <f>HYPERLINK("http://collections.slsa.sa.gov.au/mpcimg/59000/B58892_200.htm")</f>
        <v>http://collections.slsa.sa.gov.au/mpcimg/59000/B58892_200.htm</v>
      </c>
    </row>
    <row r="5628" spans="1:11" x14ac:dyDescent="0.25">
      <c r="A5628" t="s">
        <v>19565</v>
      </c>
      <c r="B5628" s="1" t="str">
        <f>HYPERLINK("https://www.catalog.slsa.sa.gov.au/record=b2090365")</f>
        <v>https://www.catalog.slsa.sa.gov.au/record=b2090365</v>
      </c>
      <c r="C5628" s="1" t="str">
        <f>HYPERLINK("https://www.catalog.slsa.sa.gov.au/xrecord=b2090365")</f>
        <v>https://www.catalog.slsa.sa.gov.au/xrecord=b2090365</v>
      </c>
      <c r="E5628" t="s">
        <v>15372</v>
      </c>
      <c r="F5628">
        <v>1951</v>
      </c>
      <c r="G5628" t="s">
        <v>19566</v>
      </c>
      <c r="H5628" t="s">
        <v>19567</v>
      </c>
      <c r="I5628" t="s">
        <v>15386</v>
      </c>
      <c r="J5628" t="s">
        <v>15341</v>
      </c>
      <c r="K5628" s="2" t="str">
        <f>HYPERLINK("http://collections.slsa.sa.gov.au/mpcimg/59000/B58892_201.htm")</f>
        <v>http://collections.slsa.sa.gov.au/mpcimg/59000/B58892_201.htm</v>
      </c>
    </row>
    <row r="5629" spans="1:11" x14ac:dyDescent="0.25">
      <c r="A5629" t="s">
        <v>19568</v>
      </c>
      <c r="B5629" s="1" t="str">
        <f>HYPERLINK("https://www.catalog.slsa.sa.gov.au/record=b2090366")</f>
        <v>https://www.catalog.slsa.sa.gov.au/record=b2090366</v>
      </c>
      <c r="C5629" s="1" t="str">
        <f>HYPERLINK("https://www.catalog.slsa.sa.gov.au/xrecord=b2090366")</f>
        <v>https://www.catalog.slsa.sa.gov.au/xrecord=b2090366</v>
      </c>
      <c r="E5629" t="s">
        <v>15372</v>
      </c>
      <c r="F5629">
        <v>1951</v>
      </c>
      <c r="G5629" t="s">
        <v>19569</v>
      </c>
      <c r="H5629" t="s">
        <v>19570</v>
      </c>
      <c r="I5629" t="s">
        <v>15386</v>
      </c>
      <c r="J5629" t="s">
        <v>15341</v>
      </c>
      <c r="K5629" s="2" t="str">
        <f>HYPERLINK("http://collections.slsa.sa.gov.au/mpcimg/59000/B58892_202.htm")</f>
        <v>http://collections.slsa.sa.gov.au/mpcimg/59000/B58892_202.htm</v>
      </c>
    </row>
    <row r="5630" spans="1:11" x14ac:dyDescent="0.25">
      <c r="A5630" t="s">
        <v>19571</v>
      </c>
      <c r="B5630" s="1" t="str">
        <f>HYPERLINK("https://www.catalog.slsa.sa.gov.au/record=b2090367")</f>
        <v>https://www.catalog.slsa.sa.gov.au/record=b2090367</v>
      </c>
      <c r="C5630" s="1" t="str">
        <f>HYPERLINK("https://www.catalog.slsa.sa.gov.au/xrecord=b2090367")</f>
        <v>https://www.catalog.slsa.sa.gov.au/xrecord=b2090367</v>
      </c>
      <c r="E5630" t="s">
        <v>15372</v>
      </c>
      <c r="F5630">
        <v>1951</v>
      </c>
      <c r="G5630" t="s">
        <v>19572</v>
      </c>
      <c r="H5630" t="s">
        <v>19573</v>
      </c>
      <c r="I5630" t="s">
        <v>15363</v>
      </c>
      <c r="J5630" t="s">
        <v>15341</v>
      </c>
      <c r="K5630" s="2" t="str">
        <f>HYPERLINK("http://collections.slsa.sa.gov.au/mpcimg/59000/B58892_203.htm")</f>
        <v>http://collections.slsa.sa.gov.au/mpcimg/59000/B58892_203.htm</v>
      </c>
    </row>
    <row r="5631" spans="1:11" x14ac:dyDescent="0.25">
      <c r="A5631" t="s">
        <v>19574</v>
      </c>
      <c r="B5631" s="1" t="str">
        <f>HYPERLINK("https://www.catalog.slsa.sa.gov.au/record=b2090368")</f>
        <v>https://www.catalog.slsa.sa.gov.au/record=b2090368</v>
      </c>
      <c r="C5631" s="1" t="str">
        <f>HYPERLINK("https://www.catalog.slsa.sa.gov.au/xrecord=b2090368")</f>
        <v>https://www.catalog.slsa.sa.gov.au/xrecord=b2090368</v>
      </c>
      <c r="E5631" t="s">
        <v>15372</v>
      </c>
      <c r="F5631">
        <v>1951</v>
      </c>
      <c r="G5631" t="s">
        <v>19575</v>
      </c>
      <c r="H5631" t="s">
        <v>19576</v>
      </c>
      <c r="I5631" t="s">
        <v>15340</v>
      </c>
      <c r="J5631" t="s">
        <v>15341</v>
      </c>
      <c r="K5631" s="2" t="str">
        <f>HYPERLINK("http://collections.slsa.sa.gov.au/mpcimg/59000/B58892_204.htm")</f>
        <v>http://collections.slsa.sa.gov.au/mpcimg/59000/B58892_204.htm</v>
      </c>
    </row>
    <row r="5632" spans="1:11" x14ac:dyDescent="0.25">
      <c r="A5632" t="s">
        <v>19577</v>
      </c>
      <c r="B5632" s="1" t="str">
        <f>HYPERLINK("https://www.catalog.slsa.sa.gov.au/record=b2090369")</f>
        <v>https://www.catalog.slsa.sa.gov.au/record=b2090369</v>
      </c>
      <c r="C5632" s="1" t="str">
        <f>HYPERLINK("https://www.catalog.slsa.sa.gov.au/xrecord=b2090369")</f>
        <v>https://www.catalog.slsa.sa.gov.au/xrecord=b2090369</v>
      </c>
      <c r="E5632" t="s">
        <v>15372</v>
      </c>
      <c r="F5632">
        <v>1951</v>
      </c>
      <c r="G5632" t="s">
        <v>19578</v>
      </c>
      <c r="H5632" t="s">
        <v>19579</v>
      </c>
      <c r="I5632" t="s">
        <v>15340</v>
      </c>
      <c r="J5632" t="s">
        <v>15341</v>
      </c>
      <c r="K5632" s="2" t="str">
        <f>HYPERLINK("http://collections.slsa.sa.gov.au/mpcimg/59000/B58892_205.htm")</f>
        <v>http://collections.slsa.sa.gov.au/mpcimg/59000/B58892_205.htm</v>
      </c>
    </row>
    <row r="5633" spans="1:11" x14ac:dyDescent="0.25">
      <c r="A5633" t="s">
        <v>19580</v>
      </c>
      <c r="B5633" s="1" t="str">
        <f>HYPERLINK("https://www.catalog.slsa.sa.gov.au/record=b2090370")</f>
        <v>https://www.catalog.slsa.sa.gov.au/record=b2090370</v>
      </c>
      <c r="C5633" s="1" t="str">
        <f>HYPERLINK("https://www.catalog.slsa.sa.gov.au/xrecord=b2090370")</f>
        <v>https://www.catalog.slsa.sa.gov.au/xrecord=b2090370</v>
      </c>
      <c r="E5633" t="s">
        <v>15372</v>
      </c>
      <c r="F5633">
        <v>1951</v>
      </c>
      <c r="G5633" t="s">
        <v>19581</v>
      </c>
      <c r="H5633" t="s">
        <v>19582</v>
      </c>
      <c r="I5633" t="s">
        <v>19465</v>
      </c>
      <c r="J5633" t="s">
        <v>15341</v>
      </c>
      <c r="K5633" s="2" t="str">
        <f>HYPERLINK("http://collections.slsa.sa.gov.au/mpcimg/59000/B58892_206.htm")</f>
        <v>http://collections.slsa.sa.gov.au/mpcimg/59000/B58892_206.htm</v>
      </c>
    </row>
    <row r="5634" spans="1:11" x14ac:dyDescent="0.25">
      <c r="A5634" t="s">
        <v>19583</v>
      </c>
      <c r="B5634" s="1" t="str">
        <f>HYPERLINK("https://www.catalog.slsa.sa.gov.au/record=b2090371")</f>
        <v>https://www.catalog.slsa.sa.gov.au/record=b2090371</v>
      </c>
      <c r="C5634" s="1" t="str">
        <f>HYPERLINK("https://www.catalog.slsa.sa.gov.au/xrecord=b2090371")</f>
        <v>https://www.catalog.slsa.sa.gov.au/xrecord=b2090371</v>
      </c>
      <c r="E5634" t="s">
        <v>15372</v>
      </c>
      <c r="F5634">
        <v>1951</v>
      </c>
      <c r="G5634" t="s">
        <v>19584</v>
      </c>
      <c r="H5634" t="s">
        <v>19585</v>
      </c>
      <c r="I5634" t="s">
        <v>15340</v>
      </c>
      <c r="J5634" t="s">
        <v>15341</v>
      </c>
      <c r="K5634" s="2" t="str">
        <f>HYPERLINK("http://collections.slsa.sa.gov.au/mpcimg/59000/B58892_207.htm")</f>
        <v>http://collections.slsa.sa.gov.au/mpcimg/59000/B58892_207.htm</v>
      </c>
    </row>
    <row r="5635" spans="1:11" x14ac:dyDescent="0.25">
      <c r="A5635" t="s">
        <v>19586</v>
      </c>
      <c r="B5635" s="1" t="str">
        <f>HYPERLINK("https://www.catalog.slsa.sa.gov.au/record=b2090372")</f>
        <v>https://www.catalog.slsa.sa.gov.au/record=b2090372</v>
      </c>
      <c r="C5635" s="1" t="str">
        <f>HYPERLINK("https://www.catalog.slsa.sa.gov.au/xrecord=b2090372")</f>
        <v>https://www.catalog.slsa.sa.gov.au/xrecord=b2090372</v>
      </c>
      <c r="E5635" t="s">
        <v>15372</v>
      </c>
      <c r="F5635">
        <v>1951</v>
      </c>
      <c r="G5635" t="s">
        <v>19587</v>
      </c>
      <c r="H5635" t="s">
        <v>19588</v>
      </c>
      <c r="I5635" t="s">
        <v>15386</v>
      </c>
      <c r="J5635" t="s">
        <v>15341</v>
      </c>
      <c r="K5635" s="2" t="str">
        <f>HYPERLINK("http://collections.slsa.sa.gov.au/mpcimg/59000/B58892_208.htm")</f>
        <v>http://collections.slsa.sa.gov.au/mpcimg/59000/B58892_208.htm</v>
      </c>
    </row>
    <row r="5636" spans="1:11" x14ac:dyDescent="0.25">
      <c r="A5636" t="s">
        <v>19589</v>
      </c>
      <c r="B5636" s="1" t="str">
        <f>HYPERLINK("https://www.catalog.slsa.sa.gov.au/record=b2090373")</f>
        <v>https://www.catalog.slsa.sa.gov.au/record=b2090373</v>
      </c>
      <c r="C5636" s="1" t="str">
        <f>HYPERLINK("https://www.catalog.slsa.sa.gov.au/xrecord=b2090373")</f>
        <v>https://www.catalog.slsa.sa.gov.au/xrecord=b2090373</v>
      </c>
      <c r="E5636" t="s">
        <v>15372</v>
      </c>
      <c r="F5636">
        <v>1951</v>
      </c>
      <c r="G5636" t="s">
        <v>19590</v>
      </c>
      <c r="H5636" t="s">
        <v>19591</v>
      </c>
      <c r="I5636" t="s">
        <v>15348</v>
      </c>
      <c r="J5636" t="s">
        <v>15341</v>
      </c>
      <c r="K5636" s="2" t="str">
        <f>HYPERLINK("http://collections.slsa.sa.gov.au/mpcimg/59000/B58892_209.htm")</f>
        <v>http://collections.slsa.sa.gov.au/mpcimg/59000/B58892_209.htm</v>
      </c>
    </row>
    <row r="5637" spans="1:11" x14ac:dyDescent="0.25">
      <c r="A5637" t="s">
        <v>19592</v>
      </c>
      <c r="B5637" s="1" t="str">
        <f>HYPERLINK("https://www.catalog.slsa.sa.gov.au/record=b2090374")</f>
        <v>https://www.catalog.slsa.sa.gov.au/record=b2090374</v>
      </c>
      <c r="C5637" s="1" t="str">
        <f>HYPERLINK("https://www.catalog.slsa.sa.gov.au/xrecord=b2090374")</f>
        <v>https://www.catalog.slsa.sa.gov.au/xrecord=b2090374</v>
      </c>
      <c r="E5637" t="s">
        <v>15372</v>
      </c>
      <c r="F5637">
        <v>1951</v>
      </c>
      <c r="G5637" t="s">
        <v>19593</v>
      </c>
      <c r="H5637" t="s">
        <v>19594</v>
      </c>
      <c r="I5637" t="s">
        <v>15345</v>
      </c>
      <c r="J5637" t="s">
        <v>15341</v>
      </c>
      <c r="K5637" s="2" t="str">
        <f>HYPERLINK("http://collections.slsa.sa.gov.au/mpcimg/59000/B58892_210.htm")</f>
        <v>http://collections.slsa.sa.gov.au/mpcimg/59000/B58892_210.htm</v>
      </c>
    </row>
    <row r="5638" spans="1:11" x14ac:dyDescent="0.25">
      <c r="A5638" t="s">
        <v>19595</v>
      </c>
      <c r="B5638" s="1" t="str">
        <f>HYPERLINK("https://www.catalog.slsa.sa.gov.au/record=b2090413")</f>
        <v>https://www.catalog.slsa.sa.gov.au/record=b2090413</v>
      </c>
      <c r="C5638" s="1" t="str">
        <f>HYPERLINK("https://www.catalog.slsa.sa.gov.au/xrecord=b2090413")</f>
        <v>https://www.catalog.slsa.sa.gov.au/xrecord=b2090413</v>
      </c>
      <c r="E5638" t="s">
        <v>19596</v>
      </c>
      <c r="F5638">
        <v>1951</v>
      </c>
      <c r="G5638" t="s">
        <v>19597</v>
      </c>
      <c r="H5638" t="s">
        <v>19532</v>
      </c>
      <c r="I5638" t="s">
        <v>19481</v>
      </c>
      <c r="J5638" t="s">
        <v>15341</v>
      </c>
      <c r="K5638" s="2" t="str">
        <f>HYPERLINK("http://collections.slsa.sa.gov.au/mpcimg/59000/B58892_249.htm")</f>
        <v>http://collections.slsa.sa.gov.au/mpcimg/59000/B58892_249.htm</v>
      </c>
    </row>
    <row r="5639" spans="1:11" x14ac:dyDescent="0.25">
      <c r="A5639" t="s">
        <v>19598</v>
      </c>
      <c r="B5639" s="1" t="str">
        <f>HYPERLINK("https://www.catalog.slsa.sa.gov.au/record=b2090414")</f>
        <v>https://www.catalog.slsa.sa.gov.au/record=b2090414</v>
      </c>
      <c r="C5639" s="1" t="str">
        <f>HYPERLINK("https://www.catalog.slsa.sa.gov.au/xrecord=b2090414")</f>
        <v>https://www.catalog.slsa.sa.gov.au/xrecord=b2090414</v>
      </c>
      <c r="E5639" t="s">
        <v>19596</v>
      </c>
      <c r="F5639">
        <v>1951</v>
      </c>
      <c r="G5639" t="s">
        <v>19599</v>
      </c>
      <c r="H5639" t="s">
        <v>19532</v>
      </c>
      <c r="I5639" t="s">
        <v>19481</v>
      </c>
      <c r="J5639" t="s">
        <v>15341</v>
      </c>
      <c r="K5639" s="2" t="str">
        <f>HYPERLINK("http://collections.slsa.sa.gov.au/mpcimg/59000/B58892_250.htm")</f>
        <v>http://collections.slsa.sa.gov.au/mpcimg/59000/B58892_250.htm</v>
      </c>
    </row>
    <row r="5640" spans="1:11" x14ac:dyDescent="0.25">
      <c r="A5640" t="s">
        <v>19600</v>
      </c>
      <c r="B5640" s="1" t="str">
        <f>HYPERLINK("https://www.catalog.slsa.sa.gov.au/record=b2090415")</f>
        <v>https://www.catalog.slsa.sa.gov.au/record=b2090415</v>
      </c>
      <c r="C5640" s="1" t="str">
        <f>HYPERLINK("https://www.catalog.slsa.sa.gov.au/xrecord=b2090415")</f>
        <v>https://www.catalog.slsa.sa.gov.au/xrecord=b2090415</v>
      </c>
      <c r="E5640" t="s">
        <v>19596</v>
      </c>
      <c r="F5640">
        <v>1951</v>
      </c>
      <c r="G5640" t="s">
        <v>19507</v>
      </c>
      <c r="H5640" t="s">
        <v>19601</v>
      </c>
      <c r="I5640" t="s">
        <v>19465</v>
      </c>
      <c r="J5640" t="s">
        <v>15341</v>
      </c>
      <c r="K5640" s="2" t="str">
        <f>HYPERLINK("http://collections.slsa.sa.gov.au/mpcimg/59000/B58892_251.htm")</f>
        <v>http://collections.slsa.sa.gov.au/mpcimg/59000/B58892_251.htm</v>
      </c>
    </row>
    <row r="5641" spans="1:11" x14ac:dyDescent="0.25">
      <c r="A5641" t="s">
        <v>19602</v>
      </c>
      <c r="B5641" s="1" t="str">
        <f>HYPERLINK("https://www.catalog.slsa.sa.gov.au/record=b2090424")</f>
        <v>https://www.catalog.slsa.sa.gov.au/record=b2090424</v>
      </c>
      <c r="C5641" s="1" t="str">
        <f>HYPERLINK("https://www.catalog.slsa.sa.gov.au/xrecord=b2090424")</f>
        <v>https://www.catalog.slsa.sa.gov.au/xrecord=b2090424</v>
      </c>
      <c r="E5641" t="s">
        <v>19596</v>
      </c>
      <c r="F5641">
        <v>1951</v>
      </c>
      <c r="G5641" t="s">
        <v>17968</v>
      </c>
      <c r="H5641" t="s">
        <v>19603</v>
      </c>
      <c r="I5641" t="s">
        <v>19604</v>
      </c>
      <c r="J5641" t="s">
        <v>15341</v>
      </c>
      <c r="K5641" s="2" t="str">
        <f>HYPERLINK("http://collections.slsa.sa.gov.au/mpcimg/59000/B58892_260.htm")</f>
        <v>http://collections.slsa.sa.gov.au/mpcimg/59000/B58892_260.htm</v>
      </c>
    </row>
    <row r="5642" spans="1:11" x14ac:dyDescent="0.25">
      <c r="A5642" t="s">
        <v>19605</v>
      </c>
      <c r="B5642" s="1" t="str">
        <f>HYPERLINK("https://www.catalog.slsa.sa.gov.au/record=b2090425")</f>
        <v>https://www.catalog.slsa.sa.gov.au/record=b2090425</v>
      </c>
      <c r="C5642" s="1" t="str">
        <f>HYPERLINK("https://www.catalog.slsa.sa.gov.au/xrecord=b2090425")</f>
        <v>https://www.catalog.slsa.sa.gov.au/xrecord=b2090425</v>
      </c>
      <c r="E5642" t="s">
        <v>19596</v>
      </c>
      <c r="F5642">
        <v>1951</v>
      </c>
      <c r="G5642" t="s">
        <v>19606</v>
      </c>
      <c r="H5642" t="s">
        <v>19607</v>
      </c>
      <c r="I5642" t="s">
        <v>19604</v>
      </c>
      <c r="J5642" t="s">
        <v>15341</v>
      </c>
      <c r="K5642" s="2" t="str">
        <f>HYPERLINK("http://collections.slsa.sa.gov.au/mpcimg/59000/B58892_261.htm")</f>
        <v>http://collections.slsa.sa.gov.au/mpcimg/59000/B58892_261.htm</v>
      </c>
    </row>
    <row r="5643" spans="1:11" x14ac:dyDescent="0.25">
      <c r="A5643" t="s">
        <v>19608</v>
      </c>
      <c r="B5643" s="1" t="str">
        <f>HYPERLINK("https://www.catalog.slsa.sa.gov.au/record=b2090426")</f>
        <v>https://www.catalog.slsa.sa.gov.au/record=b2090426</v>
      </c>
      <c r="C5643" s="1" t="str">
        <f>HYPERLINK("https://www.catalog.slsa.sa.gov.au/xrecord=b2090426")</f>
        <v>https://www.catalog.slsa.sa.gov.au/xrecord=b2090426</v>
      </c>
      <c r="E5643" t="s">
        <v>19596</v>
      </c>
      <c r="F5643">
        <v>1951</v>
      </c>
      <c r="G5643" t="s">
        <v>19609</v>
      </c>
      <c r="H5643" t="s">
        <v>19610</v>
      </c>
      <c r="I5643" t="s">
        <v>15379</v>
      </c>
      <c r="J5643" t="s">
        <v>15341</v>
      </c>
      <c r="K5643" s="2" t="str">
        <f>HYPERLINK("http://collections.slsa.sa.gov.au/mpcimg/59000/B58892_262.htm")</f>
        <v>http://collections.slsa.sa.gov.au/mpcimg/59000/B58892_262.htm</v>
      </c>
    </row>
    <row r="5644" spans="1:11" x14ac:dyDescent="0.25">
      <c r="A5644" t="s">
        <v>19611</v>
      </c>
      <c r="B5644" s="1" t="str">
        <f>HYPERLINK("https://www.catalog.slsa.sa.gov.au/record=b2090437")</f>
        <v>https://www.catalog.slsa.sa.gov.au/record=b2090437</v>
      </c>
      <c r="C5644" s="1" t="str">
        <f>HYPERLINK("https://www.catalog.slsa.sa.gov.au/xrecord=b2090437")</f>
        <v>https://www.catalog.slsa.sa.gov.au/xrecord=b2090437</v>
      </c>
      <c r="E5644" t="s">
        <v>19612</v>
      </c>
      <c r="F5644">
        <v>1951</v>
      </c>
      <c r="G5644" t="s">
        <v>19613</v>
      </c>
      <c r="H5644" t="s">
        <v>19614</v>
      </c>
      <c r="I5644" t="s">
        <v>19408</v>
      </c>
      <c r="J5644" t="s">
        <v>15341</v>
      </c>
      <c r="K5644" s="2" t="str">
        <f>HYPERLINK("http://collections.slsa.sa.gov.au/mpcimg/59000/B58892_273.htm")</f>
        <v>http://collections.slsa.sa.gov.au/mpcimg/59000/B58892_273.htm</v>
      </c>
    </row>
    <row r="5645" spans="1:11" x14ac:dyDescent="0.25">
      <c r="A5645" t="s">
        <v>19615</v>
      </c>
      <c r="B5645" s="1" t="str">
        <f>HYPERLINK("https://www.catalog.slsa.sa.gov.au/record=b2090438")</f>
        <v>https://www.catalog.slsa.sa.gov.au/record=b2090438</v>
      </c>
      <c r="C5645" s="1" t="str">
        <f>HYPERLINK("https://www.catalog.slsa.sa.gov.au/xrecord=b2090438")</f>
        <v>https://www.catalog.slsa.sa.gov.au/xrecord=b2090438</v>
      </c>
      <c r="E5645" t="s">
        <v>19612</v>
      </c>
      <c r="F5645">
        <v>1951</v>
      </c>
      <c r="G5645" t="s">
        <v>19616</v>
      </c>
      <c r="H5645" t="s">
        <v>19617</v>
      </c>
      <c r="I5645" t="s">
        <v>15340</v>
      </c>
      <c r="J5645" t="s">
        <v>15341</v>
      </c>
      <c r="K5645" s="2" t="str">
        <f>HYPERLINK("http://collections.slsa.sa.gov.au/mpcimg/59000/B58892_274.htm")</f>
        <v>http://collections.slsa.sa.gov.au/mpcimg/59000/B58892_274.htm</v>
      </c>
    </row>
    <row r="5646" spans="1:11" x14ac:dyDescent="0.25">
      <c r="A5646" t="s">
        <v>19618</v>
      </c>
      <c r="B5646" s="1" t="str">
        <f>HYPERLINK("https://www.catalog.slsa.sa.gov.au/record=b2090442")</f>
        <v>https://www.catalog.slsa.sa.gov.au/record=b2090442</v>
      </c>
      <c r="C5646" s="1" t="str">
        <f>HYPERLINK("https://www.catalog.slsa.sa.gov.au/xrecord=b2090442")</f>
        <v>https://www.catalog.slsa.sa.gov.au/xrecord=b2090442</v>
      </c>
      <c r="E5646" t="s">
        <v>19612</v>
      </c>
      <c r="F5646">
        <v>1951</v>
      </c>
      <c r="G5646" t="s">
        <v>19619</v>
      </c>
      <c r="H5646" t="s">
        <v>19620</v>
      </c>
      <c r="I5646" t="s">
        <v>19408</v>
      </c>
      <c r="J5646" t="s">
        <v>15341</v>
      </c>
      <c r="K5646" s="2" t="str">
        <f>HYPERLINK("http://collections.slsa.sa.gov.au/mpcimg/59000/B58892_278.htm")</f>
        <v>http://collections.slsa.sa.gov.au/mpcimg/59000/B58892_278.htm</v>
      </c>
    </row>
    <row r="5647" spans="1:11" x14ac:dyDescent="0.25">
      <c r="A5647" t="s">
        <v>19621</v>
      </c>
      <c r="B5647" s="1" t="str">
        <f>HYPERLINK("https://www.catalog.slsa.sa.gov.au/record=b2090444")</f>
        <v>https://www.catalog.slsa.sa.gov.au/record=b2090444</v>
      </c>
      <c r="C5647" s="1" t="str">
        <f>HYPERLINK("https://www.catalog.slsa.sa.gov.au/xrecord=b2090444")</f>
        <v>https://www.catalog.slsa.sa.gov.au/xrecord=b2090444</v>
      </c>
      <c r="E5647" t="s">
        <v>19612</v>
      </c>
      <c r="F5647">
        <v>1951</v>
      </c>
      <c r="G5647" t="s">
        <v>19622</v>
      </c>
      <c r="H5647" t="s">
        <v>19623</v>
      </c>
      <c r="I5647" t="s">
        <v>19465</v>
      </c>
      <c r="J5647" t="s">
        <v>15341</v>
      </c>
      <c r="K5647" s="2" t="str">
        <f>HYPERLINK("http://collections.slsa.sa.gov.au/mpcimg/59000/B58892_280.htm")</f>
        <v>http://collections.slsa.sa.gov.au/mpcimg/59000/B58892_280.htm</v>
      </c>
    </row>
    <row r="5648" spans="1:11" x14ac:dyDescent="0.25">
      <c r="A5648" t="s">
        <v>19624</v>
      </c>
      <c r="B5648" s="1" t="str">
        <f>HYPERLINK("https://www.catalog.slsa.sa.gov.au/record=b2090457")</f>
        <v>https://www.catalog.slsa.sa.gov.au/record=b2090457</v>
      </c>
      <c r="C5648" s="1" t="str">
        <f>HYPERLINK("https://www.catalog.slsa.sa.gov.au/xrecord=b2090457")</f>
        <v>https://www.catalog.slsa.sa.gov.au/xrecord=b2090457</v>
      </c>
      <c r="E5648" t="s">
        <v>19625</v>
      </c>
      <c r="F5648">
        <v>1951</v>
      </c>
      <c r="G5648" t="s">
        <v>19626</v>
      </c>
      <c r="H5648" t="s">
        <v>19627</v>
      </c>
      <c r="I5648" t="s">
        <v>15356</v>
      </c>
      <c r="J5648" t="s">
        <v>15341</v>
      </c>
      <c r="K5648" s="2" t="str">
        <f>HYPERLINK("http://collections.slsa.sa.gov.au/mpcimg/59000/B58892_293.htm")</f>
        <v>http://collections.slsa.sa.gov.au/mpcimg/59000/B58892_293.htm</v>
      </c>
    </row>
    <row r="5649" spans="1:11" x14ac:dyDescent="0.25">
      <c r="A5649" t="s">
        <v>19628</v>
      </c>
      <c r="B5649" s="1" t="str">
        <f>HYPERLINK("https://www.catalog.slsa.sa.gov.au/record=b2090462")</f>
        <v>https://www.catalog.slsa.sa.gov.au/record=b2090462</v>
      </c>
      <c r="C5649" s="1" t="str">
        <f>HYPERLINK("https://www.catalog.slsa.sa.gov.au/xrecord=b2090462")</f>
        <v>https://www.catalog.slsa.sa.gov.au/xrecord=b2090462</v>
      </c>
      <c r="E5649" t="s">
        <v>19625</v>
      </c>
      <c r="F5649">
        <v>1951</v>
      </c>
      <c r="G5649" t="s">
        <v>19629</v>
      </c>
      <c r="H5649" t="s">
        <v>19630</v>
      </c>
      <c r="I5649" t="s">
        <v>15340</v>
      </c>
      <c r="J5649" t="s">
        <v>15341</v>
      </c>
      <c r="K5649" s="2" t="str">
        <f>HYPERLINK("http://collections.slsa.sa.gov.au/mpcimg/59000/B58892_298.htm")</f>
        <v>http://collections.slsa.sa.gov.au/mpcimg/59000/B58892_298.htm</v>
      </c>
    </row>
    <row r="5650" spans="1:11" x14ac:dyDescent="0.25">
      <c r="A5650" t="s">
        <v>19631</v>
      </c>
      <c r="B5650" s="1" t="str">
        <f>HYPERLINK("https://www.catalog.slsa.sa.gov.au/record=b2090489")</f>
        <v>https://www.catalog.slsa.sa.gov.au/record=b2090489</v>
      </c>
      <c r="C5650" s="1" t="str">
        <f>HYPERLINK("https://www.catalog.slsa.sa.gov.au/xrecord=b2090489")</f>
        <v>https://www.catalog.slsa.sa.gov.au/xrecord=b2090489</v>
      </c>
      <c r="E5650" t="s">
        <v>19632</v>
      </c>
      <c r="F5650">
        <v>1951</v>
      </c>
      <c r="G5650" t="s">
        <v>19633</v>
      </c>
      <c r="H5650" t="s">
        <v>19634</v>
      </c>
      <c r="I5650" t="s">
        <v>19635</v>
      </c>
      <c r="J5650" t="s">
        <v>15341</v>
      </c>
      <c r="K5650" s="2" t="str">
        <f>HYPERLINK("http://collections.slsa.sa.gov.au/mpcimg/59000/B58892_325.htm")</f>
        <v>http://collections.slsa.sa.gov.au/mpcimg/59000/B58892_325.htm</v>
      </c>
    </row>
    <row r="5651" spans="1:11" x14ac:dyDescent="0.25">
      <c r="A5651" t="s">
        <v>19636</v>
      </c>
      <c r="B5651" s="1" t="str">
        <f>HYPERLINK("https://www.catalog.slsa.sa.gov.au/record=b2090497")</f>
        <v>https://www.catalog.slsa.sa.gov.au/record=b2090497</v>
      </c>
      <c r="C5651" s="1" t="str">
        <f>HYPERLINK("https://www.catalog.slsa.sa.gov.au/xrecord=b2090497")</f>
        <v>https://www.catalog.slsa.sa.gov.au/xrecord=b2090497</v>
      </c>
      <c r="E5651" t="s">
        <v>19632</v>
      </c>
      <c r="F5651">
        <v>1951</v>
      </c>
      <c r="G5651" t="s">
        <v>19637</v>
      </c>
      <c r="H5651" t="s">
        <v>19638</v>
      </c>
      <c r="I5651" t="s">
        <v>19635</v>
      </c>
      <c r="J5651" t="s">
        <v>15341</v>
      </c>
      <c r="K5651" s="2" t="str">
        <f>HYPERLINK("http://collections.slsa.sa.gov.au/mpcimg/59000/B58892_333.htm")</f>
        <v>http://collections.slsa.sa.gov.au/mpcimg/59000/B58892_333.htm</v>
      </c>
    </row>
    <row r="5652" spans="1:11" x14ac:dyDescent="0.25">
      <c r="A5652" t="s">
        <v>19639</v>
      </c>
      <c r="B5652" s="1" t="str">
        <f>HYPERLINK("https://www.catalog.slsa.sa.gov.au/record=b2090507")</f>
        <v>https://www.catalog.slsa.sa.gov.au/record=b2090507</v>
      </c>
      <c r="C5652" s="1" t="str">
        <f>HYPERLINK("https://www.catalog.slsa.sa.gov.au/xrecord=b2090507")</f>
        <v>https://www.catalog.slsa.sa.gov.au/xrecord=b2090507</v>
      </c>
      <c r="E5652" t="s">
        <v>15394</v>
      </c>
      <c r="F5652">
        <v>1951</v>
      </c>
      <c r="G5652" t="s">
        <v>19640</v>
      </c>
      <c r="H5652" t="s">
        <v>19641</v>
      </c>
      <c r="I5652" t="s">
        <v>15340</v>
      </c>
      <c r="J5652" t="s">
        <v>15341</v>
      </c>
      <c r="K5652" s="2" t="str">
        <f>HYPERLINK("http://collections.slsa.sa.gov.au/mpcimg/59000/B58892_343.htm")</f>
        <v>http://collections.slsa.sa.gov.au/mpcimg/59000/B58892_343.htm</v>
      </c>
    </row>
    <row r="5653" spans="1:11" x14ac:dyDescent="0.25">
      <c r="A5653" t="s">
        <v>19642</v>
      </c>
      <c r="B5653" s="1" t="str">
        <f>HYPERLINK("https://www.catalog.slsa.sa.gov.au/record=b2090508")</f>
        <v>https://www.catalog.slsa.sa.gov.au/record=b2090508</v>
      </c>
      <c r="C5653" s="1" t="str">
        <f>HYPERLINK("https://www.catalog.slsa.sa.gov.au/xrecord=b2090508")</f>
        <v>https://www.catalog.slsa.sa.gov.au/xrecord=b2090508</v>
      </c>
      <c r="E5653" t="s">
        <v>15394</v>
      </c>
      <c r="F5653">
        <v>1951</v>
      </c>
      <c r="G5653" t="s">
        <v>19643</v>
      </c>
      <c r="H5653" t="s">
        <v>19644</v>
      </c>
      <c r="I5653" t="s">
        <v>15386</v>
      </c>
      <c r="J5653" t="s">
        <v>15341</v>
      </c>
      <c r="K5653" s="2" t="str">
        <f>HYPERLINK("http://collections.slsa.sa.gov.au/mpcimg/59000/B58892_344.htm")</f>
        <v>http://collections.slsa.sa.gov.au/mpcimg/59000/B58892_344.htm</v>
      </c>
    </row>
    <row r="5654" spans="1:11" x14ac:dyDescent="0.25">
      <c r="A5654" t="s">
        <v>19645</v>
      </c>
      <c r="B5654" s="1" t="str">
        <f>HYPERLINK("https://www.catalog.slsa.sa.gov.au/record=b2090509")</f>
        <v>https://www.catalog.slsa.sa.gov.au/record=b2090509</v>
      </c>
      <c r="C5654" s="1" t="str">
        <f>HYPERLINK("https://www.catalog.slsa.sa.gov.au/xrecord=b2090509")</f>
        <v>https://www.catalog.slsa.sa.gov.au/xrecord=b2090509</v>
      </c>
      <c r="E5654" t="s">
        <v>15394</v>
      </c>
      <c r="F5654">
        <v>1951</v>
      </c>
      <c r="G5654" t="s">
        <v>19646</v>
      </c>
      <c r="H5654" t="s">
        <v>19523</v>
      </c>
      <c r="I5654" t="s">
        <v>15356</v>
      </c>
      <c r="J5654" t="s">
        <v>15341</v>
      </c>
      <c r="K5654" s="2" t="str">
        <f>HYPERLINK("http://collections.slsa.sa.gov.au/mpcimg/59000/B58892_345.htm")</f>
        <v>http://collections.slsa.sa.gov.au/mpcimg/59000/B58892_345.htm</v>
      </c>
    </row>
    <row r="5655" spans="1:11" x14ac:dyDescent="0.25">
      <c r="A5655" t="s">
        <v>19647</v>
      </c>
      <c r="B5655" s="1" t="str">
        <f>HYPERLINK("https://www.catalog.slsa.sa.gov.au/record=b2090510")</f>
        <v>https://www.catalog.slsa.sa.gov.au/record=b2090510</v>
      </c>
      <c r="C5655" s="1" t="str">
        <f>HYPERLINK("https://www.catalog.slsa.sa.gov.au/xrecord=b2090510")</f>
        <v>https://www.catalog.slsa.sa.gov.au/xrecord=b2090510</v>
      </c>
      <c r="E5655" t="s">
        <v>15394</v>
      </c>
      <c r="F5655">
        <v>1951</v>
      </c>
      <c r="G5655" t="s">
        <v>19648</v>
      </c>
      <c r="H5655" t="s">
        <v>19649</v>
      </c>
      <c r="I5655" t="s">
        <v>17710</v>
      </c>
      <c r="J5655" t="s">
        <v>15341</v>
      </c>
      <c r="K5655" s="2" t="str">
        <f>HYPERLINK("http://collections.slsa.sa.gov.au/mpcimg/59000/B58892_346.htm")</f>
        <v>http://collections.slsa.sa.gov.au/mpcimg/59000/B58892_346.htm</v>
      </c>
    </row>
    <row r="5656" spans="1:11" x14ac:dyDescent="0.25">
      <c r="A5656" t="s">
        <v>19650</v>
      </c>
      <c r="B5656" s="1" t="str">
        <f>HYPERLINK("https://www.catalog.slsa.sa.gov.au/record=b2090511")</f>
        <v>https://www.catalog.slsa.sa.gov.au/record=b2090511</v>
      </c>
      <c r="C5656" s="1" t="str">
        <f>HYPERLINK("https://www.catalog.slsa.sa.gov.au/xrecord=b2090511")</f>
        <v>https://www.catalog.slsa.sa.gov.au/xrecord=b2090511</v>
      </c>
      <c r="E5656" t="s">
        <v>15394</v>
      </c>
      <c r="F5656">
        <v>1951</v>
      </c>
      <c r="G5656" t="s">
        <v>19651</v>
      </c>
      <c r="H5656" t="s">
        <v>19652</v>
      </c>
      <c r="I5656" t="s">
        <v>17710</v>
      </c>
      <c r="J5656" t="s">
        <v>15341</v>
      </c>
      <c r="K5656" s="2" t="str">
        <f>HYPERLINK("http://collections.slsa.sa.gov.au/mpcimg/59000/B58892_347.htm")</f>
        <v>http://collections.slsa.sa.gov.au/mpcimg/59000/B58892_347.htm</v>
      </c>
    </row>
    <row r="5657" spans="1:11" x14ac:dyDescent="0.25">
      <c r="A5657" t="s">
        <v>19653</v>
      </c>
      <c r="B5657" s="1" t="str">
        <f>HYPERLINK("https://www.catalog.slsa.sa.gov.au/record=b2090513")</f>
        <v>https://www.catalog.slsa.sa.gov.au/record=b2090513</v>
      </c>
      <c r="C5657" s="1" t="str">
        <f>HYPERLINK("https://www.catalog.slsa.sa.gov.au/xrecord=b2090513")</f>
        <v>https://www.catalog.slsa.sa.gov.au/xrecord=b2090513</v>
      </c>
      <c r="E5657" t="s">
        <v>15394</v>
      </c>
      <c r="F5657">
        <v>1951</v>
      </c>
      <c r="G5657" t="s">
        <v>19654</v>
      </c>
      <c r="H5657" t="s">
        <v>19523</v>
      </c>
      <c r="I5657" t="s">
        <v>15356</v>
      </c>
      <c r="J5657" t="s">
        <v>15341</v>
      </c>
      <c r="K5657" s="2" t="str">
        <f>HYPERLINK("http://collections.slsa.sa.gov.au/mpcimg/59000/B58892_349.htm")</f>
        <v>http://collections.slsa.sa.gov.au/mpcimg/59000/B58892_349.htm</v>
      </c>
    </row>
    <row r="5658" spans="1:11" x14ac:dyDescent="0.25">
      <c r="A5658" t="s">
        <v>19655</v>
      </c>
      <c r="B5658" s="1" t="str">
        <f>HYPERLINK("https://www.catalog.slsa.sa.gov.au/record=b2090514")</f>
        <v>https://www.catalog.slsa.sa.gov.au/record=b2090514</v>
      </c>
      <c r="C5658" s="1" t="str">
        <f>HYPERLINK("https://www.catalog.slsa.sa.gov.au/xrecord=b2090514")</f>
        <v>https://www.catalog.slsa.sa.gov.au/xrecord=b2090514</v>
      </c>
      <c r="E5658" t="s">
        <v>15394</v>
      </c>
      <c r="F5658">
        <v>1951</v>
      </c>
      <c r="G5658" t="s">
        <v>19656</v>
      </c>
      <c r="H5658" t="s">
        <v>19620</v>
      </c>
      <c r="I5658" t="s">
        <v>19408</v>
      </c>
      <c r="J5658" t="s">
        <v>15341</v>
      </c>
      <c r="K5658" s="2" t="str">
        <f>HYPERLINK("http://collections.slsa.sa.gov.au/mpcimg/59000/B58892_350.htm")</f>
        <v>http://collections.slsa.sa.gov.au/mpcimg/59000/B58892_350.htm</v>
      </c>
    </row>
    <row r="5659" spans="1:11" x14ac:dyDescent="0.25">
      <c r="A5659" t="s">
        <v>19657</v>
      </c>
      <c r="B5659" s="1" t="str">
        <f>HYPERLINK("https://www.catalog.slsa.sa.gov.au/record=b2090515")</f>
        <v>https://www.catalog.slsa.sa.gov.au/record=b2090515</v>
      </c>
      <c r="C5659" s="1" t="str">
        <f>HYPERLINK("https://www.catalog.slsa.sa.gov.au/xrecord=b2090515")</f>
        <v>https://www.catalog.slsa.sa.gov.au/xrecord=b2090515</v>
      </c>
      <c r="E5659" t="s">
        <v>15394</v>
      </c>
      <c r="F5659">
        <v>1951</v>
      </c>
      <c r="G5659" t="s">
        <v>19658</v>
      </c>
      <c r="H5659" t="s">
        <v>19659</v>
      </c>
      <c r="I5659" t="s">
        <v>15363</v>
      </c>
      <c r="J5659" t="s">
        <v>15341</v>
      </c>
      <c r="K5659" s="2" t="str">
        <f>HYPERLINK("http://collections.slsa.sa.gov.au/mpcimg/59000/B58892_351.htm")</f>
        <v>http://collections.slsa.sa.gov.au/mpcimg/59000/B58892_351.htm</v>
      </c>
    </row>
    <row r="5660" spans="1:11" x14ac:dyDescent="0.25">
      <c r="A5660" t="s">
        <v>19660</v>
      </c>
      <c r="B5660" s="1" t="str">
        <f>HYPERLINK("https://www.catalog.slsa.sa.gov.au/record=b2090521")</f>
        <v>https://www.catalog.slsa.sa.gov.au/record=b2090521</v>
      </c>
      <c r="C5660" s="1" t="str">
        <f>HYPERLINK("https://www.catalog.slsa.sa.gov.au/xrecord=b2090521")</f>
        <v>https://www.catalog.slsa.sa.gov.au/xrecord=b2090521</v>
      </c>
      <c r="E5660" t="s">
        <v>15394</v>
      </c>
      <c r="F5660">
        <v>1951</v>
      </c>
      <c r="G5660" t="s">
        <v>19661</v>
      </c>
      <c r="H5660" t="s">
        <v>19662</v>
      </c>
      <c r="I5660" t="s">
        <v>19481</v>
      </c>
      <c r="J5660" t="s">
        <v>15341</v>
      </c>
      <c r="K5660" s="2" t="str">
        <f>HYPERLINK("http://collections.slsa.sa.gov.au/mpcimg/59000/B58892_357.htm")</f>
        <v>http://collections.slsa.sa.gov.au/mpcimg/59000/B58892_357.htm</v>
      </c>
    </row>
    <row r="5661" spans="1:11" x14ac:dyDescent="0.25">
      <c r="A5661" t="s">
        <v>19663</v>
      </c>
      <c r="B5661" s="1" t="str">
        <f>HYPERLINK("https://www.catalog.slsa.sa.gov.au/record=b2090523")</f>
        <v>https://www.catalog.slsa.sa.gov.au/record=b2090523</v>
      </c>
      <c r="C5661" s="1" t="str">
        <f>HYPERLINK("https://www.catalog.slsa.sa.gov.au/xrecord=b2090523")</f>
        <v>https://www.catalog.slsa.sa.gov.au/xrecord=b2090523</v>
      </c>
      <c r="E5661" t="s">
        <v>15394</v>
      </c>
      <c r="F5661">
        <v>1951</v>
      </c>
      <c r="G5661" t="s">
        <v>19445</v>
      </c>
      <c r="H5661" t="s">
        <v>19627</v>
      </c>
      <c r="I5661" t="s">
        <v>15356</v>
      </c>
      <c r="J5661" t="s">
        <v>15341</v>
      </c>
      <c r="K5661" s="2" t="str">
        <f>HYPERLINK("http://collections.slsa.sa.gov.au/mpcimg/59000/B58892_359.htm")</f>
        <v>http://collections.slsa.sa.gov.au/mpcimg/59000/B58892_359.htm</v>
      </c>
    </row>
    <row r="5662" spans="1:11" x14ac:dyDescent="0.25">
      <c r="A5662" t="s">
        <v>19664</v>
      </c>
      <c r="B5662" s="1" t="str">
        <f>HYPERLINK("https://www.catalog.slsa.sa.gov.au/record=b2090538")</f>
        <v>https://www.catalog.slsa.sa.gov.au/record=b2090538</v>
      </c>
      <c r="C5662" s="1" t="str">
        <f>HYPERLINK("https://www.catalog.slsa.sa.gov.au/xrecord=b2090538")</f>
        <v>https://www.catalog.slsa.sa.gov.au/xrecord=b2090538</v>
      </c>
      <c r="E5662" t="s">
        <v>15394</v>
      </c>
      <c r="F5662">
        <v>1951</v>
      </c>
      <c r="G5662" t="s">
        <v>19507</v>
      </c>
      <c r="H5662" t="s">
        <v>15396</v>
      </c>
      <c r="I5662" t="s">
        <v>15340</v>
      </c>
      <c r="J5662" t="s">
        <v>15341</v>
      </c>
      <c r="K5662" s="2" t="str">
        <f>HYPERLINK("http://collections.slsa.sa.gov.au/mpcimg/59000/B58892_374.htm")</f>
        <v>http://collections.slsa.sa.gov.au/mpcimg/59000/B58892_374.htm</v>
      </c>
    </row>
    <row r="5663" spans="1:11" x14ac:dyDescent="0.25">
      <c r="A5663" t="s">
        <v>19665</v>
      </c>
      <c r="B5663" s="1" t="str">
        <f>HYPERLINK("https://www.catalog.slsa.sa.gov.au/record=b2090548")</f>
        <v>https://www.catalog.slsa.sa.gov.au/record=b2090548</v>
      </c>
      <c r="C5663" s="1" t="str">
        <f>HYPERLINK("https://www.catalog.slsa.sa.gov.au/xrecord=b2090548")</f>
        <v>https://www.catalog.slsa.sa.gov.au/xrecord=b2090548</v>
      </c>
      <c r="E5663" t="s">
        <v>19666</v>
      </c>
      <c r="F5663">
        <v>1951</v>
      </c>
      <c r="G5663" t="s">
        <v>19667</v>
      </c>
      <c r="H5663" t="s">
        <v>19668</v>
      </c>
      <c r="I5663" t="s">
        <v>19669</v>
      </c>
      <c r="J5663" t="s">
        <v>15341</v>
      </c>
      <c r="K5663" s="2" t="str">
        <f>HYPERLINK("http://collections.slsa.sa.gov.au/mpcimg/59000/B58892_384.htm")</f>
        <v>http://collections.slsa.sa.gov.au/mpcimg/59000/B58892_384.htm</v>
      </c>
    </row>
    <row r="5664" spans="1:11" x14ac:dyDescent="0.25">
      <c r="A5664" t="s">
        <v>19670</v>
      </c>
      <c r="B5664" s="1" t="str">
        <f>HYPERLINK("https://www.catalog.slsa.sa.gov.au/record=b2090550")</f>
        <v>https://www.catalog.slsa.sa.gov.au/record=b2090550</v>
      </c>
      <c r="C5664" s="1" t="str">
        <f>HYPERLINK("https://www.catalog.slsa.sa.gov.au/xrecord=b2090550")</f>
        <v>https://www.catalog.slsa.sa.gov.au/xrecord=b2090550</v>
      </c>
      <c r="E5664" t="s">
        <v>19666</v>
      </c>
      <c r="F5664">
        <v>1951</v>
      </c>
      <c r="G5664" t="s">
        <v>19671</v>
      </c>
      <c r="H5664" t="s">
        <v>19672</v>
      </c>
      <c r="I5664" t="s">
        <v>19673</v>
      </c>
      <c r="J5664" t="s">
        <v>15341</v>
      </c>
      <c r="K5664" s="2" t="str">
        <f>HYPERLINK("http://collections.slsa.sa.gov.au/mpcimg/59000/B58892_386.htm")</f>
        <v>http://collections.slsa.sa.gov.au/mpcimg/59000/B58892_386.htm</v>
      </c>
    </row>
    <row r="5665" spans="1:11" x14ac:dyDescent="0.25">
      <c r="A5665" t="s">
        <v>19674</v>
      </c>
      <c r="B5665" s="1" t="str">
        <f>HYPERLINK("https://www.catalog.slsa.sa.gov.au/record=b2090552")</f>
        <v>https://www.catalog.slsa.sa.gov.au/record=b2090552</v>
      </c>
      <c r="C5665" s="1" t="str">
        <f>HYPERLINK("https://www.catalog.slsa.sa.gov.au/xrecord=b2090552")</f>
        <v>https://www.catalog.slsa.sa.gov.au/xrecord=b2090552</v>
      </c>
      <c r="E5665" t="s">
        <v>19666</v>
      </c>
      <c r="F5665">
        <v>1951</v>
      </c>
      <c r="G5665" t="s">
        <v>19675</v>
      </c>
      <c r="H5665" t="s">
        <v>19676</v>
      </c>
      <c r="I5665" t="s">
        <v>19677</v>
      </c>
      <c r="J5665" t="s">
        <v>15341</v>
      </c>
      <c r="K5665" s="2" t="str">
        <f>HYPERLINK("http://collections.slsa.sa.gov.au/mpcimg/59000/B58892_388.htm")</f>
        <v>http://collections.slsa.sa.gov.au/mpcimg/59000/B58892_388.htm</v>
      </c>
    </row>
    <row r="5666" spans="1:11" x14ac:dyDescent="0.25">
      <c r="A5666" t="s">
        <v>19678</v>
      </c>
      <c r="B5666" s="1" t="str">
        <f>HYPERLINK("https://www.catalog.slsa.sa.gov.au/record=b2090593")</f>
        <v>https://www.catalog.slsa.sa.gov.au/record=b2090593</v>
      </c>
      <c r="C5666" s="1" t="str">
        <f>HYPERLINK("https://www.catalog.slsa.sa.gov.au/xrecord=b2090593")</f>
        <v>https://www.catalog.slsa.sa.gov.au/xrecord=b2090593</v>
      </c>
      <c r="E5666" t="s">
        <v>19679</v>
      </c>
      <c r="F5666">
        <v>1951</v>
      </c>
      <c r="G5666" t="s">
        <v>19680</v>
      </c>
      <c r="H5666" t="s">
        <v>19681</v>
      </c>
      <c r="I5666" t="s">
        <v>15400</v>
      </c>
      <c r="J5666" t="s">
        <v>15341</v>
      </c>
      <c r="K5666" s="2" t="str">
        <f>HYPERLINK("http://collections.slsa.sa.gov.au/mpcimg/59000/B58892_431.htm")</f>
        <v>http://collections.slsa.sa.gov.au/mpcimg/59000/B58892_431.htm</v>
      </c>
    </row>
    <row r="5667" spans="1:11" x14ac:dyDescent="0.25">
      <c r="A5667" t="s">
        <v>19682</v>
      </c>
      <c r="B5667" s="1" t="str">
        <f>HYPERLINK("https://www.catalog.slsa.sa.gov.au/record=b2090594")</f>
        <v>https://www.catalog.slsa.sa.gov.au/record=b2090594</v>
      </c>
      <c r="C5667" s="1" t="str">
        <f>HYPERLINK("https://www.catalog.slsa.sa.gov.au/xrecord=b2090594")</f>
        <v>https://www.catalog.slsa.sa.gov.au/xrecord=b2090594</v>
      </c>
      <c r="E5667" t="s">
        <v>19679</v>
      </c>
      <c r="F5667">
        <v>1951</v>
      </c>
      <c r="G5667" t="s">
        <v>19403</v>
      </c>
      <c r="H5667" t="s">
        <v>19683</v>
      </c>
      <c r="I5667" t="s">
        <v>19684</v>
      </c>
      <c r="J5667" t="s">
        <v>15341</v>
      </c>
      <c r="K5667" s="2" t="str">
        <f>HYPERLINK("http://collections.slsa.sa.gov.au/mpcimg/59000/B58892_432.htm")</f>
        <v>http://collections.slsa.sa.gov.au/mpcimg/59000/B58892_432.htm</v>
      </c>
    </row>
    <row r="5668" spans="1:11" x14ac:dyDescent="0.25">
      <c r="A5668" t="s">
        <v>19685</v>
      </c>
      <c r="B5668" s="1" t="str">
        <f>HYPERLINK("https://www.catalog.slsa.sa.gov.au/record=b2090595")</f>
        <v>https://www.catalog.slsa.sa.gov.au/record=b2090595</v>
      </c>
      <c r="C5668" s="1" t="str">
        <f>HYPERLINK("https://www.catalog.slsa.sa.gov.au/xrecord=b2090595")</f>
        <v>https://www.catalog.slsa.sa.gov.au/xrecord=b2090595</v>
      </c>
      <c r="E5668" t="s">
        <v>19679</v>
      </c>
      <c r="F5668">
        <v>1951</v>
      </c>
      <c r="G5668" t="s">
        <v>19463</v>
      </c>
      <c r="H5668" t="s">
        <v>19686</v>
      </c>
      <c r="I5668" t="s">
        <v>19408</v>
      </c>
      <c r="J5668" t="s">
        <v>15341</v>
      </c>
      <c r="K5668" s="2" t="str">
        <f>HYPERLINK("http://collections.slsa.sa.gov.au/mpcimg/59000/B58892_433.htm")</f>
        <v>http://collections.slsa.sa.gov.au/mpcimg/59000/B58892_433.htm</v>
      </c>
    </row>
    <row r="5669" spans="1:11" x14ac:dyDescent="0.25">
      <c r="A5669" t="s">
        <v>19687</v>
      </c>
      <c r="B5669" s="1" t="str">
        <f>HYPERLINK("https://www.catalog.slsa.sa.gov.au/record=b2090596")</f>
        <v>https://www.catalog.slsa.sa.gov.au/record=b2090596</v>
      </c>
      <c r="C5669" s="1" t="str">
        <f>HYPERLINK("https://www.catalog.slsa.sa.gov.au/xrecord=b2090596")</f>
        <v>https://www.catalog.slsa.sa.gov.au/xrecord=b2090596</v>
      </c>
      <c r="E5669" t="s">
        <v>19679</v>
      </c>
      <c r="F5669">
        <v>1951</v>
      </c>
      <c r="G5669" t="s">
        <v>19688</v>
      </c>
      <c r="H5669" t="s">
        <v>19683</v>
      </c>
      <c r="I5669" t="s">
        <v>19684</v>
      </c>
      <c r="J5669" t="s">
        <v>15341</v>
      </c>
      <c r="K5669" s="2" t="str">
        <f>HYPERLINK("http://collections.slsa.sa.gov.au/mpcimg/59000/B58892_434.htm")</f>
        <v>http://collections.slsa.sa.gov.au/mpcimg/59000/B58892_434.htm</v>
      </c>
    </row>
    <row r="5670" spans="1:11" x14ac:dyDescent="0.25">
      <c r="A5670" t="s">
        <v>19689</v>
      </c>
      <c r="B5670" s="1" t="str">
        <f>HYPERLINK("https://www.catalog.slsa.sa.gov.au/record=b2090692")</f>
        <v>https://www.catalog.slsa.sa.gov.au/record=b2090692</v>
      </c>
      <c r="C5670" s="1" t="str">
        <f>HYPERLINK("https://www.catalog.slsa.sa.gov.au/xrecord=b2090692")</f>
        <v>https://www.catalog.slsa.sa.gov.au/xrecord=b2090692</v>
      </c>
      <c r="E5670" t="s">
        <v>19690</v>
      </c>
      <c r="F5670">
        <v>1951</v>
      </c>
      <c r="G5670" t="s">
        <v>19691</v>
      </c>
      <c r="H5670" t="s">
        <v>19692</v>
      </c>
      <c r="I5670" t="s">
        <v>19677</v>
      </c>
      <c r="J5670" t="s">
        <v>15341</v>
      </c>
      <c r="K5670" s="2" t="str">
        <f>HYPERLINK("http://collections.slsa.sa.gov.au/mpcimg/59000/B58892_479.htm")</f>
        <v>http://collections.slsa.sa.gov.au/mpcimg/59000/B58892_479.htm</v>
      </c>
    </row>
    <row r="5671" spans="1:11" x14ac:dyDescent="0.25">
      <c r="A5671" t="s">
        <v>19693</v>
      </c>
      <c r="B5671" s="1" t="str">
        <f>HYPERLINK("https://www.catalog.slsa.sa.gov.au/record=b2090694")</f>
        <v>https://www.catalog.slsa.sa.gov.au/record=b2090694</v>
      </c>
      <c r="C5671" s="1" t="str">
        <f>HYPERLINK("https://www.catalog.slsa.sa.gov.au/xrecord=b2090694")</f>
        <v>https://www.catalog.slsa.sa.gov.au/xrecord=b2090694</v>
      </c>
      <c r="E5671" t="s">
        <v>19690</v>
      </c>
      <c r="F5671">
        <v>1951</v>
      </c>
      <c r="G5671" t="s">
        <v>19694</v>
      </c>
      <c r="H5671" t="s">
        <v>19695</v>
      </c>
      <c r="I5671" t="s">
        <v>19677</v>
      </c>
      <c r="J5671" t="s">
        <v>15341</v>
      </c>
      <c r="K5671" s="2" t="str">
        <f>HYPERLINK("http://collections.slsa.sa.gov.au/mpcimg/59000/B58892_481.htm")</f>
        <v>http://collections.slsa.sa.gov.au/mpcimg/59000/B58892_481.htm</v>
      </c>
    </row>
    <row r="5672" spans="1:11" x14ac:dyDescent="0.25">
      <c r="A5672" t="s">
        <v>19696</v>
      </c>
      <c r="B5672" s="1" t="str">
        <f>HYPERLINK("https://www.catalog.slsa.sa.gov.au/record=b2090695")</f>
        <v>https://www.catalog.slsa.sa.gov.au/record=b2090695</v>
      </c>
      <c r="C5672" s="1" t="str">
        <f>HYPERLINK("https://www.catalog.slsa.sa.gov.au/xrecord=b2090695")</f>
        <v>https://www.catalog.slsa.sa.gov.au/xrecord=b2090695</v>
      </c>
      <c r="E5672" t="s">
        <v>19690</v>
      </c>
      <c r="F5672">
        <v>1951</v>
      </c>
      <c r="G5672" t="s">
        <v>19697</v>
      </c>
      <c r="H5672" t="s">
        <v>19698</v>
      </c>
      <c r="I5672" t="s">
        <v>19677</v>
      </c>
      <c r="J5672" t="s">
        <v>15341</v>
      </c>
      <c r="K5672" s="2" t="str">
        <f>HYPERLINK("http://collections.slsa.sa.gov.au/mpcimg/59000/B58892_482.htm")</f>
        <v>http://collections.slsa.sa.gov.au/mpcimg/59000/B58892_482.htm</v>
      </c>
    </row>
    <row r="5673" spans="1:11" x14ac:dyDescent="0.25">
      <c r="A5673" t="s">
        <v>19699</v>
      </c>
      <c r="B5673" s="1" t="str">
        <f>HYPERLINK("https://www.catalog.slsa.sa.gov.au/record=b2090726")</f>
        <v>https://www.catalog.slsa.sa.gov.au/record=b2090726</v>
      </c>
      <c r="C5673" s="1" t="str">
        <f>HYPERLINK("https://www.catalog.slsa.sa.gov.au/xrecord=b2090726")</f>
        <v>https://www.catalog.slsa.sa.gov.au/xrecord=b2090726</v>
      </c>
      <c r="E5673" t="s">
        <v>15402</v>
      </c>
      <c r="F5673">
        <v>1951</v>
      </c>
      <c r="G5673" t="s">
        <v>19700</v>
      </c>
      <c r="H5673" t="s">
        <v>19701</v>
      </c>
      <c r="I5673" t="s">
        <v>17710</v>
      </c>
      <c r="J5673" t="s">
        <v>15341</v>
      </c>
      <c r="K5673" s="2" t="str">
        <f>HYPERLINK("http://collections.slsa.sa.gov.au/mpcimg/59000/B58892_513.htm")</f>
        <v>http://collections.slsa.sa.gov.au/mpcimg/59000/B58892_513.htm</v>
      </c>
    </row>
    <row r="5674" spans="1:11" x14ac:dyDescent="0.25">
      <c r="A5674" t="s">
        <v>19702</v>
      </c>
      <c r="B5674" s="1" t="str">
        <f>HYPERLINK("https://www.catalog.slsa.sa.gov.au/record=b2090729")</f>
        <v>https://www.catalog.slsa.sa.gov.au/record=b2090729</v>
      </c>
      <c r="C5674" s="1" t="str">
        <f>HYPERLINK("https://www.catalog.slsa.sa.gov.au/xrecord=b2090729")</f>
        <v>https://www.catalog.slsa.sa.gov.au/xrecord=b2090729</v>
      </c>
      <c r="E5674" t="s">
        <v>15402</v>
      </c>
      <c r="F5674">
        <v>1951</v>
      </c>
      <c r="G5674" t="s">
        <v>15391</v>
      </c>
      <c r="H5674" t="s">
        <v>19703</v>
      </c>
      <c r="I5674" t="s">
        <v>15405</v>
      </c>
      <c r="J5674" t="s">
        <v>15341</v>
      </c>
      <c r="K5674" s="2" t="str">
        <f>HYPERLINK("http://collections.slsa.sa.gov.au/mpcimg/59000/B58892_516.htm")</f>
        <v>http://collections.slsa.sa.gov.au/mpcimg/59000/B58892_516.htm</v>
      </c>
    </row>
    <row r="5675" spans="1:11" x14ac:dyDescent="0.25">
      <c r="A5675" t="s">
        <v>19704</v>
      </c>
      <c r="B5675" s="1" t="str">
        <f>HYPERLINK("https://www.catalog.slsa.sa.gov.au/record=b2090730")</f>
        <v>https://www.catalog.slsa.sa.gov.au/record=b2090730</v>
      </c>
      <c r="C5675" s="1" t="str">
        <f>HYPERLINK("https://www.catalog.slsa.sa.gov.au/xrecord=b2090730")</f>
        <v>https://www.catalog.slsa.sa.gov.au/xrecord=b2090730</v>
      </c>
      <c r="E5675" t="s">
        <v>15402</v>
      </c>
      <c r="F5675">
        <v>1951</v>
      </c>
      <c r="G5675" t="s">
        <v>19705</v>
      </c>
      <c r="H5675" t="s">
        <v>19706</v>
      </c>
      <c r="I5675" t="s">
        <v>17710</v>
      </c>
      <c r="J5675" t="s">
        <v>15341</v>
      </c>
      <c r="K5675" s="2" t="str">
        <f>HYPERLINK("http://collections.slsa.sa.gov.au/mpcimg/59000/B58892_517.htm")</f>
        <v>http://collections.slsa.sa.gov.au/mpcimg/59000/B58892_517.htm</v>
      </c>
    </row>
    <row r="5676" spans="1:11" x14ac:dyDescent="0.25">
      <c r="A5676" t="s">
        <v>19707</v>
      </c>
      <c r="B5676" s="1" t="str">
        <f>HYPERLINK("https://www.catalog.slsa.sa.gov.au/record=b2090732")</f>
        <v>https://www.catalog.slsa.sa.gov.au/record=b2090732</v>
      </c>
      <c r="C5676" s="1" t="str">
        <f>HYPERLINK("https://www.catalog.slsa.sa.gov.au/xrecord=b2090732")</f>
        <v>https://www.catalog.slsa.sa.gov.au/xrecord=b2090732</v>
      </c>
      <c r="E5676" t="s">
        <v>15402</v>
      </c>
      <c r="F5676">
        <v>1951</v>
      </c>
      <c r="G5676" t="s">
        <v>19708</v>
      </c>
      <c r="H5676" t="s">
        <v>19709</v>
      </c>
      <c r="I5676" t="s">
        <v>19710</v>
      </c>
      <c r="J5676" t="s">
        <v>15341</v>
      </c>
      <c r="K5676" s="2" t="str">
        <f>HYPERLINK("http://collections.slsa.sa.gov.au/mpcimg/59000/B58892_519.htm")</f>
        <v>http://collections.slsa.sa.gov.au/mpcimg/59000/B58892_519.htm</v>
      </c>
    </row>
    <row r="5677" spans="1:11" x14ac:dyDescent="0.25">
      <c r="A5677" t="s">
        <v>19711</v>
      </c>
      <c r="B5677" s="1" t="str">
        <f>HYPERLINK("https://www.catalog.slsa.sa.gov.au/record=b2090736")</f>
        <v>https://www.catalog.slsa.sa.gov.au/record=b2090736</v>
      </c>
      <c r="C5677" s="1" t="str">
        <f>HYPERLINK("https://www.catalog.slsa.sa.gov.au/xrecord=b2090736")</f>
        <v>https://www.catalog.slsa.sa.gov.au/xrecord=b2090736</v>
      </c>
      <c r="E5677" t="s">
        <v>15402</v>
      </c>
      <c r="F5677">
        <v>1951</v>
      </c>
      <c r="G5677" t="s">
        <v>19712</v>
      </c>
      <c r="H5677" t="s">
        <v>19713</v>
      </c>
      <c r="I5677" t="s">
        <v>15340</v>
      </c>
      <c r="J5677" t="s">
        <v>15341</v>
      </c>
      <c r="K5677" s="2" t="str">
        <f>HYPERLINK("http://collections.slsa.sa.gov.au/mpcimg/59000/B58892_523.htm")</f>
        <v>http://collections.slsa.sa.gov.au/mpcimg/59000/B58892_523.htm</v>
      </c>
    </row>
    <row r="5678" spans="1:11" x14ac:dyDescent="0.25">
      <c r="A5678" t="s">
        <v>19714</v>
      </c>
      <c r="B5678" s="1" t="str">
        <f>HYPERLINK("https://www.catalog.slsa.sa.gov.au/record=b2090741")</f>
        <v>https://www.catalog.slsa.sa.gov.au/record=b2090741</v>
      </c>
      <c r="C5678" s="1" t="str">
        <f>HYPERLINK("https://www.catalog.slsa.sa.gov.au/xrecord=b2090741")</f>
        <v>https://www.catalog.slsa.sa.gov.au/xrecord=b2090741</v>
      </c>
      <c r="E5678" t="s">
        <v>15402</v>
      </c>
      <c r="F5678">
        <v>1951</v>
      </c>
      <c r="G5678" t="s">
        <v>19715</v>
      </c>
      <c r="H5678" t="s">
        <v>19716</v>
      </c>
      <c r="I5678" t="s">
        <v>19408</v>
      </c>
      <c r="J5678" t="s">
        <v>15341</v>
      </c>
      <c r="K5678" s="2" t="str">
        <f>HYPERLINK("http://collections.slsa.sa.gov.au/mpcimg/59000/B58892_528.htm")</f>
        <v>http://collections.slsa.sa.gov.au/mpcimg/59000/B58892_528.htm</v>
      </c>
    </row>
    <row r="5679" spans="1:11" x14ac:dyDescent="0.25">
      <c r="A5679" t="s">
        <v>19717</v>
      </c>
      <c r="B5679" s="1" t="str">
        <f>HYPERLINK("https://www.catalog.slsa.sa.gov.au/record=b2090751")</f>
        <v>https://www.catalog.slsa.sa.gov.au/record=b2090751</v>
      </c>
      <c r="C5679" s="1" t="str">
        <f>HYPERLINK("https://www.catalog.slsa.sa.gov.au/xrecord=b2090751")</f>
        <v>https://www.catalog.slsa.sa.gov.au/xrecord=b2090751</v>
      </c>
      <c r="E5679" t="s">
        <v>15402</v>
      </c>
      <c r="F5679">
        <v>1951</v>
      </c>
      <c r="G5679" t="s">
        <v>19718</v>
      </c>
      <c r="H5679" t="s">
        <v>17709</v>
      </c>
      <c r="I5679" t="s">
        <v>17710</v>
      </c>
      <c r="J5679" t="s">
        <v>15341</v>
      </c>
      <c r="K5679" s="2" t="str">
        <f>HYPERLINK("http://collections.slsa.sa.gov.au/mpcimg/59000/B58892_538.htm")</f>
        <v>http://collections.slsa.sa.gov.au/mpcimg/59000/B58892_538.htm</v>
      </c>
    </row>
    <row r="5680" spans="1:11" x14ac:dyDescent="0.25">
      <c r="A5680" t="s">
        <v>19719</v>
      </c>
      <c r="B5680" s="1" t="str">
        <f>HYPERLINK("https://www.catalog.slsa.sa.gov.au/record=b2090752")</f>
        <v>https://www.catalog.slsa.sa.gov.au/record=b2090752</v>
      </c>
      <c r="C5680" s="1" t="str">
        <f>HYPERLINK("https://www.catalog.slsa.sa.gov.au/xrecord=b2090752")</f>
        <v>https://www.catalog.slsa.sa.gov.au/xrecord=b2090752</v>
      </c>
      <c r="E5680" t="s">
        <v>15402</v>
      </c>
      <c r="F5680">
        <v>1951</v>
      </c>
      <c r="G5680" t="s">
        <v>19720</v>
      </c>
      <c r="H5680" t="s">
        <v>19721</v>
      </c>
      <c r="I5680" t="s">
        <v>15340</v>
      </c>
      <c r="J5680" t="s">
        <v>15341</v>
      </c>
      <c r="K5680" s="2" t="str">
        <f>HYPERLINK("http://collections.slsa.sa.gov.au/mpcimg/59000/B58892_539.htm")</f>
        <v>http://collections.slsa.sa.gov.au/mpcimg/59000/B58892_539.htm</v>
      </c>
    </row>
    <row r="5681" spans="1:11" x14ac:dyDescent="0.25">
      <c r="A5681" t="s">
        <v>19722</v>
      </c>
      <c r="B5681" s="1" t="str">
        <f>HYPERLINK("https://www.catalog.slsa.sa.gov.au/record=b2090754")</f>
        <v>https://www.catalog.slsa.sa.gov.au/record=b2090754</v>
      </c>
      <c r="C5681" s="1" t="str">
        <f>HYPERLINK("https://www.catalog.slsa.sa.gov.au/xrecord=b2090754")</f>
        <v>https://www.catalog.slsa.sa.gov.au/xrecord=b2090754</v>
      </c>
      <c r="E5681" t="s">
        <v>19723</v>
      </c>
      <c r="F5681">
        <v>1951</v>
      </c>
      <c r="G5681" t="s">
        <v>19724</v>
      </c>
      <c r="H5681" t="s">
        <v>19725</v>
      </c>
      <c r="I5681" t="s">
        <v>19677</v>
      </c>
      <c r="J5681" t="s">
        <v>15341</v>
      </c>
      <c r="K5681" s="2" t="str">
        <f>HYPERLINK("http://collections.slsa.sa.gov.au/mpcimg/59000/B58892_541.htm")</f>
        <v>http://collections.slsa.sa.gov.au/mpcimg/59000/B58892_541.htm</v>
      </c>
    </row>
    <row r="5682" spans="1:11" x14ac:dyDescent="0.25">
      <c r="A5682" t="s">
        <v>19726</v>
      </c>
      <c r="B5682" s="1" t="str">
        <f>HYPERLINK("https://www.catalog.slsa.sa.gov.au/record=b2090756")</f>
        <v>https://www.catalog.slsa.sa.gov.au/record=b2090756</v>
      </c>
      <c r="C5682" s="1" t="str">
        <f>HYPERLINK("https://www.catalog.slsa.sa.gov.au/xrecord=b2090756")</f>
        <v>https://www.catalog.slsa.sa.gov.au/xrecord=b2090756</v>
      </c>
      <c r="E5682" t="s">
        <v>19723</v>
      </c>
      <c r="F5682">
        <v>1951</v>
      </c>
      <c r="G5682" t="s">
        <v>19727</v>
      </c>
      <c r="H5682" t="s">
        <v>19728</v>
      </c>
      <c r="I5682" t="s">
        <v>19677</v>
      </c>
      <c r="J5682" t="s">
        <v>15341</v>
      </c>
      <c r="K5682" s="2" t="str">
        <f>HYPERLINK("http://collections.slsa.sa.gov.au/mpcimg/59000/B58892_543.htm")</f>
        <v>http://collections.slsa.sa.gov.au/mpcimg/59000/B58892_543.htm</v>
      </c>
    </row>
    <row r="5683" spans="1:11" x14ac:dyDescent="0.25">
      <c r="A5683" t="s">
        <v>19729</v>
      </c>
      <c r="B5683" s="1" t="str">
        <f>HYPERLINK("https://www.catalog.slsa.sa.gov.au/record=b2090760")</f>
        <v>https://www.catalog.slsa.sa.gov.au/record=b2090760</v>
      </c>
      <c r="C5683" s="1" t="str">
        <f>HYPERLINK("https://www.catalog.slsa.sa.gov.au/xrecord=b2090760")</f>
        <v>https://www.catalog.slsa.sa.gov.au/xrecord=b2090760</v>
      </c>
      <c r="E5683" t="s">
        <v>19723</v>
      </c>
      <c r="F5683">
        <v>1951</v>
      </c>
      <c r="G5683" t="s">
        <v>19730</v>
      </c>
      <c r="H5683" t="s">
        <v>19731</v>
      </c>
      <c r="I5683" t="s">
        <v>19677</v>
      </c>
      <c r="J5683" t="s">
        <v>15341</v>
      </c>
      <c r="K5683" s="2" t="str">
        <f>HYPERLINK("http://collections.slsa.sa.gov.au/mpcimg/59000/B58892_547.htm")</f>
        <v>http://collections.slsa.sa.gov.au/mpcimg/59000/B58892_547.htm</v>
      </c>
    </row>
    <row r="5684" spans="1:11" x14ac:dyDescent="0.25">
      <c r="A5684" t="s">
        <v>19732</v>
      </c>
      <c r="B5684" s="1" t="str">
        <f>HYPERLINK("https://www.catalog.slsa.sa.gov.au/record=b2090761")</f>
        <v>https://www.catalog.slsa.sa.gov.au/record=b2090761</v>
      </c>
      <c r="C5684" s="1" t="str">
        <f>HYPERLINK("https://www.catalog.slsa.sa.gov.au/xrecord=b2090761")</f>
        <v>https://www.catalog.slsa.sa.gov.au/xrecord=b2090761</v>
      </c>
      <c r="E5684" t="s">
        <v>19723</v>
      </c>
      <c r="F5684">
        <v>1951</v>
      </c>
      <c r="G5684" t="s">
        <v>19733</v>
      </c>
      <c r="H5684" t="s">
        <v>19734</v>
      </c>
      <c r="I5684" t="s">
        <v>19677</v>
      </c>
      <c r="J5684" t="s">
        <v>15341</v>
      </c>
      <c r="K5684" s="2" t="str">
        <f>HYPERLINK("http://collections.slsa.sa.gov.au/mpcimg/59000/B58892_548.htm")</f>
        <v>http://collections.slsa.sa.gov.au/mpcimg/59000/B58892_548.htm</v>
      </c>
    </row>
    <row r="5685" spans="1:11" x14ac:dyDescent="0.25">
      <c r="A5685" t="s">
        <v>19735</v>
      </c>
      <c r="B5685" s="1" t="str">
        <f>HYPERLINK("https://www.catalog.slsa.sa.gov.au/record=b2090905")</f>
        <v>https://www.catalog.slsa.sa.gov.au/record=b2090905</v>
      </c>
      <c r="C5685" s="1" t="str">
        <f>HYPERLINK("https://www.catalog.slsa.sa.gov.au/xrecord=b2090905")</f>
        <v>https://www.catalog.slsa.sa.gov.au/xrecord=b2090905</v>
      </c>
      <c r="E5685" t="s">
        <v>19736</v>
      </c>
      <c r="F5685">
        <v>1951</v>
      </c>
      <c r="G5685" t="s">
        <v>19737</v>
      </c>
      <c r="H5685" t="s">
        <v>19738</v>
      </c>
      <c r="I5685" t="s">
        <v>19739</v>
      </c>
      <c r="J5685" t="s">
        <v>2510</v>
      </c>
      <c r="K5685" s="2" t="str">
        <f>HYPERLINK("http://collections.slsa.sa.gov.au/mpcimg/69000/B68764.htm")</f>
        <v>http://collections.slsa.sa.gov.au/mpcimg/69000/B68764.htm</v>
      </c>
    </row>
    <row r="5686" spans="1:11" x14ac:dyDescent="0.25">
      <c r="A5686" t="s">
        <v>19740</v>
      </c>
      <c r="B5686" s="1" t="str">
        <f>HYPERLINK("https://www.catalog.slsa.sa.gov.au/record=b2092123")</f>
        <v>https://www.catalog.slsa.sa.gov.au/record=b2092123</v>
      </c>
      <c r="C5686" s="1" t="str">
        <f>HYPERLINK("https://www.catalog.slsa.sa.gov.au/xrecord=b2092123")</f>
        <v>https://www.catalog.slsa.sa.gov.au/xrecord=b2092123</v>
      </c>
      <c r="E5686" t="s">
        <v>19741</v>
      </c>
      <c r="F5686">
        <v>1951</v>
      </c>
      <c r="G5686" t="s">
        <v>14765</v>
      </c>
      <c r="H5686" t="s">
        <v>19742</v>
      </c>
      <c r="I5686" t="s">
        <v>14767</v>
      </c>
      <c r="J5686" t="s">
        <v>14768</v>
      </c>
      <c r="K5686" s="2" t="str">
        <f>HYPERLINK("http://collections.slsa.sa.gov.au/mpcimg/62500/B62287_24.htm")</f>
        <v>http://collections.slsa.sa.gov.au/mpcimg/62500/B62287_24.htm</v>
      </c>
    </row>
    <row r="5687" spans="1:11" x14ac:dyDescent="0.25">
      <c r="A5687" t="s">
        <v>19743</v>
      </c>
      <c r="B5687" s="1" t="str">
        <f>HYPERLINK("https://www.catalog.slsa.sa.gov.au/record=b2092161")</f>
        <v>https://www.catalog.slsa.sa.gov.au/record=b2092161</v>
      </c>
      <c r="C5687" s="1" t="str">
        <f>HYPERLINK("https://www.catalog.slsa.sa.gov.au/xrecord=b2092161")</f>
        <v>https://www.catalog.slsa.sa.gov.au/xrecord=b2092161</v>
      </c>
      <c r="E5687" t="s">
        <v>19744</v>
      </c>
      <c r="F5687">
        <v>1951</v>
      </c>
      <c r="G5687" t="s">
        <v>14765</v>
      </c>
      <c r="H5687" t="s">
        <v>19745</v>
      </c>
      <c r="I5687" t="s">
        <v>14767</v>
      </c>
      <c r="J5687" t="s">
        <v>14768</v>
      </c>
      <c r="K5687" s="2" t="str">
        <f>HYPERLINK("http://collections.slsa.sa.gov.au/mpcimg/62500/B62287_25.htm")</f>
        <v>http://collections.slsa.sa.gov.au/mpcimg/62500/B62287_25.htm</v>
      </c>
    </row>
    <row r="5688" spans="1:11" x14ac:dyDescent="0.25">
      <c r="A5688" t="s">
        <v>19746</v>
      </c>
      <c r="B5688" s="1" t="str">
        <f>HYPERLINK("https://www.catalog.slsa.sa.gov.au/record=b2092162")</f>
        <v>https://www.catalog.slsa.sa.gov.au/record=b2092162</v>
      </c>
      <c r="C5688" s="1" t="str">
        <f>HYPERLINK("https://www.catalog.slsa.sa.gov.au/xrecord=b2092162")</f>
        <v>https://www.catalog.slsa.sa.gov.au/xrecord=b2092162</v>
      </c>
      <c r="E5688" t="s">
        <v>19747</v>
      </c>
      <c r="F5688">
        <v>1951</v>
      </c>
      <c r="G5688" t="s">
        <v>14765</v>
      </c>
      <c r="H5688" t="s">
        <v>19748</v>
      </c>
      <c r="I5688" t="s">
        <v>14767</v>
      </c>
      <c r="J5688" t="s">
        <v>14768</v>
      </c>
      <c r="K5688" s="2" t="str">
        <f>HYPERLINK("http://collections.slsa.sa.gov.au/mpcimg/62500/B62287_26.htm")</f>
        <v>http://collections.slsa.sa.gov.au/mpcimg/62500/B62287_26.htm</v>
      </c>
    </row>
    <row r="5689" spans="1:11" x14ac:dyDescent="0.25">
      <c r="A5689" t="s">
        <v>19749</v>
      </c>
      <c r="B5689" s="1" t="str">
        <f>HYPERLINK("https://www.catalog.slsa.sa.gov.au/record=b2092163")</f>
        <v>https://www.catalog.slsa.sa.gov.au/record=b2092163</v>
      </c>
      <c r="C5689" s="1" t="str">
        <f>HYPERLINK("https://www.catalog.slsa.sa.gov.au/xrecord=b2092163")</f>
        <v>https://www.catalog.slsa.sa.gov.au/xrecord=b2092163</v>
      </c>
      <c r="E5689" t="s">
        <v>19750</v>
      </c>
      <c r="F5689">
        <v>1951</v>
      </c>
      <c r="G5689" t="s">
        <v>14765</v>
      </c>
      <c r="H5689" t="s">
        <v>19751</v>
      </c>
      <c r="I5689" t="s">
        <v>14767</v>
      </c>
      <c r="J5689" t="s">
        <v>14768</v>
      </c>
      <c r="K5689" s="2" t="str">
        <f>HYPERLINK("http://collections.slsa.sa.gov.au/mpcimg/62500/B62287_27.htm")</f>
        <v>http://collections.slsa.sa.gov.au/mpcimg/62500/B62287_27.htm</v>
      </c>
    </row>
    <row r="5690" spans="1:11" x14ac:dyDescent="0.25">
      <c r="A5690" t="s">
        <v>19752</v>
      </c>
      <c r="B5690" s="1" t="str">
        <f>HYPERLINK("https://www.catalog.slsa.sa.gov.au/record=b2092164")</f>
        <v>https://www.catalog.slsa.sa.gov.au/record=b2092164</v>
      </c>
      <c r="C5690" s="1" t="str">
        <f>HYPERLINK("https://www.catalog.slsa.sa.gov.au/xrecord=b2092164")</f>
        <v>https://www.catalog.slsa.sa.gov.au/xrecord=b2092164</v>
      </c>
      <c r="E5690" t="s">
        <v>19753</v>
      </c>
      <c r="F5690">
        <v>1951</v>
      </c>
      <c r="G5690" t="s">
        <v>14765</v>
      </c>
      <c r="H5690" t="s">
        <v>19754</v>
      </c>
      <c r="I5690" t="s">
        <v>14767</v>
      </c>
      <c r="J5690" t="s">
        <v>14768</v>
      </c>
      <c r="K5690" s="2" t="str">
        <f>HYPERLINK("http://collections.slsa.sa.gov.au/mpcimg/62500/B62287_28.htm")</f>
        <v>http://collections.slsa.sa.gov.au/mpcimg/62500/B62287_28.htm</v>
      </c>
    </row>
    <row r="5691" spans="1:11" x14ac:dyDescent="0.25">
      <c r="A5691" t="s">
        <v>19755</v>
      </c>
      <c r="B5691" s="1" t="str">
        <f>HYPERLINK("https://www.catalog.slsa.sa.gov.au/record=b2092165")</f>
        <v>https://www.catalog.slsa.sa.gov.au/record=b2092165</v>
      </c>
      <c r="C5691" s="1" t="str">
        <f>HYPERLINK("https://www.catalog.slsa.sa.gov.au/xrecord=b2092165")</f>
        <v>https://www.catalog.slsa.sa.gov.au/xrecord=b2092165</v>
      </c>
      <c r="E5691" t="s">
        <v>19756</v>
      </c>
      <c r="F5691">
        <v>1951</v>
      </c>
      <c r="G5691" t="s">
        <v>14765</v>
      </c>
      <c r="H5691" t="s">
        <v>19757</v>
      </c>
      <c r="I5691" t="s">
        <v>14767</v>
      </c>
      <c r="J5691" t="s">
        <v>14768</v>
      </c>
      <c r="K5691" s="2" t="str">
        <f>HYPERLINK("http://collections.slsa.sa.gov.au/mpcimg/62500/B62287_29.htm")</f>
        <v>http://collections.slsa.sa.gov.au/mpcimg/62500/B62287_29.htm</v>
      </c>
    </row>
    <row r="5692" spans="1:11" x14ac:dyDescent="0.25">
      <c r="A5692" t="s">
        <v>19758</v>
      </c>
      <c r="B5692" s="1" t="str">
        <f>HYPERLINK("https://www.catalog.slsa.sa.gov.au/record=b2092167")</f>
        <v>https://www.catalog.slsa.sa.gov.au/record=b2092167</v>
      </c>
      <c r="C5692" s="1" t="str">
        <f>HYPERLINK("https://www.catalog.slsa.sa.gov.au/xrecord=b2092167")</f>
        <v>https://www.catalog.slsa.sa.gov.au/xrecord=b2092167</v>
      </c>
      <c r="E5692" t="s">
        <v>19759</v>
      </c>
      <c r="F5692">
        <v>1951</v>
      </c>
      <c r="G5692" t="s">
        <v>14765</v>
      </c>
      <c r="H5692" t="s">
        <v>19760</v>
      </c>
      <c r="I5692" t="s">
        <v>14767</v>
      </c>
      <c r="J5692" t="s">
        <v>14768</v>
      </c>
      <c r="K5692" s="2" t="str">
        <f>HYPERLINK("http://collections.slsa.sa.gov.au/mpcimg/62500/B62287_30.htm")</f>
        <v>http://collections.slsa.sa.gov.au/mpcimg/62500/B62287_30.htm</v>
      </c>
    </row>
    <row r="5693" spans="1:11" x14ac:dyDescent="0.25">
      <c r="A5693" t="s">
        <v>19761</v>
      </c>
      <c r="B5693" s="1" t="str">
        <f>HYPERLINK("https://www.catalog.slsa.sa.gov.au/record=b2092169")</f>
        <v>https://www.catalog.slsa.sa.gov.au/record=b2092169</v>
      </c>
      <c r="C5693" s="1" t="str">
        <f>HYPERLINK("https://www.catalog.slsa.sa.gov.au/xrecord=b2092169")</f>
        <v>https://www.catalog.slsa.sa.gov.au/xrecord=b2092169</v>
      </c>
      <c r="E5693" t="s">
        <v>19762</v>
      </c>
      <c r="F5693">
        <v>1951</v>
      </c>
      <c r="G5693" t="s">
        <v>14765</v>
      </c>
      <c r="H5693" t="s">
        <v>19763</v>
      </c>
      <c r="I5693" t="s">
        <v>14767</v>
      </c>
      <c r="J5693" t="s">
        <v>14768</v>
      </c>
      <c r="K5693" s="2" t="str">
        <f>HYPERLINK("http://collections.slsa.sa.gov.au/mpcimg/62500/B62287_31.htm")</f>
        <v>http://collections.slsa.sa.gov.au/mpcimg/62500/B62287_31.htm</v>
      </c>
    </row>
    <row r="5694" spans="1:11" x14ac:dyDescent="0.25">
      <c r="A5694" t="s">
        <v>19764</v>
      </c>
      <c r="B5694" s="1" t="str">
        <f>HYPERLINK("https://www.catalog.slsa.sa.gov.au/record=b2092170")</f>
        <v>https://www.catalog.slsa.sa.gov.au/record=b2092170</v>
      </c>
      <c r="C5694" s="1" t="str">
        <f>HYPERLINK("https://www.catalog.slsa.sa.gov.au/xrecord=b2092170")</f>
        <v>https://www.catalog.slsa.sa.gov.au/xrecord=b2092170</v>
      </c>
      <c r="E5694" t="s">
        <v>19765</v>
      </c>
      <c r="F5694">
        <v>1951</v>
      </c>
      <c r="G5694" t="s">
        <v>14765</v>
      </c>
      <c r="H5694" t="s">
        <v>19766</v>
      </c>
      <c r="I5694" t="s">
        <v>14767</v>
      </c>
      <c r="J5694" t="s">
        <v>14768</v>
      </c>
      <c r="K5694" s="2" t="str">
        <f>HYPERLINK("http://collections.slsa.sa.gov.au/mpcimg/62500/B62287_32.htm")</f>
        <v>http://collections.slsa.sa.gov.au/mpcimg/62500/B62287_32.htm</v>
      </c>
    </row>
    <row r="5695" spans="1:11" x14ac:dyDescent="0.25">
      <c r="A5695" t="s">
        <v>19767</v>
      </c>
      <c r="B5695" s="1" t="str">
        <f>HYPERLINK("https://www.catalog.slsa.sa.gov.au/record=b2092171")</f>
        <v>https://www.catalog.slsa.sa.gov.au/record=b2092171</v>
      </c>
      <c r="C5695" s="1" t="str">
        <f>HYPERLINK("https://www.catalog.slsa.sa.gov.au/xrecord=b2092171")</f>
        <v>https://www.catalog.slsa.sa.gov.au/xrecord=b2092171</v>
      </c>
      <c r="E5695" t="s">
        <v>19768</v>
      </c>
      <c r="F5695">
        <v>1951</v>
      </c>
      <c r="G5695" t="s">
        <v>14765</v>
      </c>
      <c r="H5695" t="s">
        <v>19769</v>
      </c>
      <c r="I5695" t="s">
        <v>14767</v>
      </c>
      <c r="J5695" t="s">
        <v>14768</v>
      </c>
      <c r="K5695" s="2" t="str">
        <f>HYPERLINK("http://collections.slsa.sa.gov.au/mpcimg/62500/B62287_33.htm")</f>
        <v>http://collections.slsa.sa.gov.au/mpcimg/62500/B62287_33.htm</v>
      </c>
    </row>
    <row r="5696" spans="1:11" x14ac:dyDescent="0.25">
      <c r="A5696" t="s">
        <v>19770</v>
      </c>
      <c r="B5696" s="1" t="str">
        <f>HYPERLINK("https://www.catalog.slsa.sa.gov.au/record=b2092172")</f>
        <v>https://www.catalog.slsa.sa.gov.au/record=b2092172</v>
      </c>
      <c r="C5696" s="1" t="str">
        <f>HYPERLINK("https://www.catalog.slsa.sa.gov.au/xrecord=b2092172")</f>
        <v>https://www.catalog.slsa.sa.gov.au/xrecord=b2092172</v>
      </c>
      <c r="E5696" t="s">
        <v>15422</v>
      </c>
      <c r="F5696">
        <v>1951</v>
      </c>
      <c r="G5696" t="s">
        <v>14765</v>
      </c>
      <c r="H5696" t="s">
        <v>19771</v>
      </c>
      <c r="I5696" t="s">
        <v>14767</v>
      </c>
      <c r="J5696" t="s">
        <v>14768</v>
      </c>
      <c r="K5696" s="2" t="str">
        <f>HYPERLINK("http://collections.slsa.sa.gov.au/mpcimg/62500/B62287_34.htm")</f>
        <v>http://collections.slsa.sa.gov.au/mpcimg/62500/B62287_34.htm</v>
      </c>
    </row>
    <row r="5697" spans="1:11" x14ac:dyDescent="0.25">
      <c r="A5697" t="s">
        <v>19772</v>
      </c>
      <c r="B5697" s="1" t="str">
        <f>HYPERLINK("https://www.catalog.slsa.sa.gov.au/record=b2092173")</f>
        <v>https://www.catalog.slsa.sa.gov.au/record=b2092173</v>
      </c>
      <c r="C5697" s="1" t="str">
        <f>HYPERLINK("https://www.catalog.slsa.sa.gov.au/xrecord=b2092173")</f>
        <v>https://www.catalog.slsa.sa.gov.au/xrecord=b2092173</v>
      </c>
      <c r="E5697" t="s">
        <v>19773</v>
      </c>
      <c r="F5697">
        <v>1951</v>
      </c>
      <c r="G5697" t="s">
        <v>14765</v>
      </c>
      <c r="H5697" t="s">
        <v>19774</v>
      </c>
      <c r="I5697" t="s">
        <v>14767</v>
      </c>
      <c r="J5697" t="s">
        <v>14768</v>
      </c>
      <c r="K5697" s="2" t="str">
        <f>HYPERLINK("http://collections.slsa.sa.gov.au/mpcimg/62500/B62287_35.htm")</f>
        <v>http://collections.slsa.sa.gov.au/mpcimg/62500/B62287_35.htm</v>
      </c>
    </row>
    <row r="5698" spans="1:11" x14ac:dyDescent="0.25">
      <c r="A5698" t="s">
        <v>19775</v>
      </c>
      <c r="B5698" s="1" t="str">
        <f>HYPERLINK("https://www.catalog.slsa.sa.gov.au/record=b2092175")</f>
        <v>https://www.catalog.slsa.sa.gov.au/record=b2092175</v>
      </c>
      <c r="C5698" s="1" t="str">
        <f>HYPERLINK("https://www.catalog.slsa.sa.gov.au/xrecord=b2092175")</f>
        <v>https://www.catalog.slsa.sa.gov.au/xrecord=b2092175</v>
      </c>
      <c r="E5698" t="s">
        <v>15439</v>
      </c>
      <c r="F5698">
        <v>1951</v>
      </c>
      <c r="G5698" t="s">
        <v>14765</v>
      </c>
      <c r="H5698" t="s">
        <v>15440</v>
      </c>
      <c r="I5698" t="s">
        <v>14767</v>
      </c>
      <c r="J5698" t="s">
        <v>14768</v>
      </c>
      <c r="K5698" s="2" t="str">
        <f>HYPERLINK("http://collections.slsa.sa.gov.au/mpcimg/62500/B62287_36.htm")</f>
        <v>http://collections.slsa.sa.gov.au/mpcimg/62500/B62287_36.htm</v>
      </c>
    </row>
    <row r="5699" spans="1:11" x14ac:dyDescent="0.25">
      <c r="A5699" t="s">
        <v>19776</v>
      </c>
      <c r="B5699" s="1" t="str">
        <f>HYPERLINK("https://www.catalog.slsa.sa.gov.au/record=b2092176")</f>
        <v>https://www.catalog.slsa.sa.gov.au/record=b2092176</v>
      </c>
      <c r="C5699" s="1" t="str">
        <f>HYPERLINK("https://www.catalog.slsa.sa.gov.au/xrecord=b2092176")</f>
        <v>https://www.catalog.slsa.sa.gov.au/xrecord=b2092176</v>
      </c>
      <c r="E5699" t="s">
        <v>19777</v>
      </c>
      <c r="F5699">
        <v>1951</v>
      </c>
      <c r="G5699" t="s">
        <v>14765</v>
      </c>
      <c r="H5699" t="s">
        <v>19778</v>
      </c>
      <c r="I5699" t="s">
        <v>14767</v>
      </c>
      <c r="J5699" t="s">
        <v>14768</v>
      </c>
      <c r="K5699" s="2" t="str">
        <f>HYPERLINK("http://collections.slsa.sa.gov.au/mpcimg/62500/B62287_37.htm")</f>
        <v>http://collections.slsa.sa.gov.au/mpcimg/62500/B62287_37.htm</v>
      </c>
    </row>
    <row r="5700" spans="1:11" x14ac:dyDescent="0.25">
      <c r="A5700" t="s">
        <v>19779</v>
      </c>
      <c r="B5700" s="1" t="str">
        <f>HYPERLINK("https://www.catalog.slsa.sa.gov.au/record=b2092177")</f>
        <v>https://www.catalog.slsa.sa.gov.au/record=b2092177</v>
      </c>
      <c r="C5700" s="1" t="str">
        <f>HYPERLINK("https://www.catalog.slsa.sa.gov.au/xrecord=b2092177")</f>
        <v>https://www.catalog.slsa.sa.gov.au/xrecord=b2092177</v>
      </c>
      <c r="E5700" t="s">
        <v>19780</v>
      </c>
      <c r="F5700">
        <v>1951</v>
      </c>
      <c r="G5700" t="s">
        <v>14765</v>
      </c>
      <c r="H5700" t="s">
        <v>19781</v>
      </c>
      <c r="I5700" t="s">
        <v>14767</v>
      </c>
      <c r="J5700" t="s">
        <v>14768</v>
      </c>
      <c r="K5700" s="2" t="str">
        <f>HYPERLINK("http://collections.slsa.sa.gov.au/mpcimg/62500/B62287_38.htm")</f>
        <v>http://collections.slsa.sa.gov.au/mpcimg/62500/B62287_38.htm</v>
      </c>
    </row>
    <row r="5701" spans="1:11" x14ac:dyDescent="0.25">
      <c r="A5701" t="s">
        <v>19782</v>
      </c>
      <c r="B5701" s="1" t="str">
        <f>HYPERLINK("https://www.catalog.slsa.sa.gov.au/record=b2092179")</f>
        <v>https://www.catalog.slsa.sa.gov.au/record=b2092179</v>
      </c>
      <c r="C5701" s="1" t="str">
        <f>HYPERLINK("https://www.catalog.slsa.sa.gov.au/xrecord=b2092179")</f>
        <v>https://www.catalog.slsa.sa.gov.au/xrecord=b2092179</v>
      </c>
      <c r="E5701" t="s">
        <v>19783</v>
      </c>
      <c r="F5701">
        <v>1951</v>
      </c>
      <c r="G5701" t="s">
        <v>14765</v>
      </c>
      <c r="H5701" t="s">
        <v>19784</v>
      </c>
      <c r="I5701" t="s">
        <v>14767</v>
      </c>
      <c r="J5701" t="s">
        <v>14768</v>
      </c>
      <c r="K5701" s="2" t="str">
        <f>HYPERLINK("http://collections.slsa.sa.gov.au/mpcimg/62500/B62287_39.htm")</f>
        <v>http://collections.slsa.sa.gov.au/mpcimg/62500/B62287_39.htm</v>
      </c>
    </row>
    <row r="5702" spans="1:11" x14ac:dyDescent="0.25">
      <c r="A5702" t="s">
        <v>19785</v>
      </c>
      <c r="B5702" s="1" t="str">
        <f>HYPERLINK("https://www.catalog.slsa.sa.gov.au/record=b2092180")</f>
        <v>https://www.catalog.slsa.sa.gov.au/record=b2092180</v>
      </c>
      <c r="C5702" s="1" t="str">
        <f>HYPERLINK("https://www.catalog.slsa.sa.gov.au/xrecord=b2092180")</f>
        <v>https://www.catalog.slsa.sa.gov.au/xrecord=b2092180</v>
      </c>
      <c r="E5702" t="s">
        <v>19768</v>
      </c>
      <c r="F5702">
        <v>1951</v>
      </c>
      <c r="G5702" t="s">
        <v>14765</v>
      </c>
      <c r="H5702" t="s">
        <v>19769</v>
      </c>
      <c r="I5702" t="s">
        <v>14767</v>
      </c>
      <c r="J5702" t="s">
        <v>14768</v>
      </c>
      <c r="K5702" s="2" t="str">
        <f>HYPERLINK("http://collections.slsa.sa.gov.au/mpcimg/62500/B62287_40.htm")</f>
        <v>http://collections.slsa.sa.gov.au/mpcimg/62500/B62287_40.htm</v>
      </c>
    </row>
    <row r="5703" spans="1:11" x14ac:dyDescent="0.25">
      <c r="A5703" t="s">
        <v>19786</v>
      </c>
      <c r="B5703" s="1" t="str">
        <f>HYPERLINK("https://www.catalog.slsa.sa.gov.au/record=b2092181")</f>
        <v>https://www.catalog.slsa.sa.gov.au/record=b2092181</v>
      </c>
      <c r="C5703" s="1" t="str">
        <f>HYPERLINK("https://www.catalog.slsa.sa.gov.au/xrecord=b2092181")</f>
        <v>https://www.catalog.slsa.sa.gov.au/xrecord=b2092181</v>
      </c>
      <c r="E5703" t="s">
        <v>19787</v>
      </c>
      <c r="F5703">
        <v>1951</v>
      </c>
      <c r="G5703" t="s">
        <v>14765</v>
      </c>
      <c r="H5703" t="s">
        <v>19788</v>
      </c>
      <c r="I5703" t="s">
        <v>14767</v>
      </c>
      <c r="J5703" t="s">
        <v>14768</v>
      </c>
      <c r="K5703" s="2" t="str">
        <f>HYPERLINK("http://collections.slsa.sa.gov.au/mpcimg/62500/B62287_41.htm")</f>
        <v>http://collections.slsa.sa.gov.au/mpcimg/62500/B62287_41.htm</v>
      </c>
    </row>
    <row r="5704" spans="1:11" x14ac:dyDescent="0.25">
      <c r="A5704" t="s">
        <v>19789</v>
      </c>
      <c r="B5704" s="1" t="str">
        <f>HYPERLINK("https://www.catalog.slsa.sa.gov.au/record=b2092182")</f>
        <v>https://www.catalog.slsa.sa.gov.au/record=b2092182</v>
      </c>
      <c r="C5704" s="1" t="str">
        <f>HYPERLINK("https://www.catalog.slsa.sa.gov.au/xrecord=b2092182")</f>
        <v>https://www.catalog.slsa.sa.gov.au/xrecord=b2092182</v>
      </c>
      <c r="E5704" t="s">
        <v>19790</v>
      </c>
      <c r="F5704">
        <v>1951</v>
      </c>
      <c r="G5704" t="s">
        <v>14765</v>
      </c>
      <c r="H5704" t="s">
        <v>19791</v>
      </c>
      <c r="I5704" t="s">
        <v>14767</v>
      </c>
      <c r="J5704" t="s">
        <v>14768</v>
      </c>
      <c r="K5704" s="2" t="str">
        <f>HYPERLINK("http://collections.slsa.sa.gov.au/mpcimg/62500/B62287_42.htm")</f>
        <v>http://collections.slsa.sa.gov.au/mpcimg/62500/B62287_42.htm</v>
      </c>
    </row>
    <row r="5705" spans="1:11" x14ac:dyDescent="0.25">
      <c r="A5705" t="s">
        <v>19792</v>
      </c>
      <c r="B5705" s="1" t="str">
        <f>HYPERLINK("https://www.catalog.slsa.sa.gov.au/record=b2092183")</f>
        <v>https://www.catalog.slsa.sa.gov.au/record=b2092183</v>
      </c>
      <c r="C5705" s="1" t="str">
        <f>HYPERLINK("https://www.catalog.slsa.sa.gov.au/xrecord=b2092183")</f>
        <v>https://www.catalog.slsa.sa.gov.au/xrecord=b2092183</v>
      </c>
      <c r="E5705" t="s">
        <v>19793</v>
      </c>
      <c r="F5705">
        <v>1951</v>
      </c>
      <c r="G5705" t="s">
        <v>14765</v>
      </c>
      <c r="H5705" t="s">
        <v>19794</v>
      </c>
      <c r="I5705" t="s">
        <v>14767</v>
      </c>
      <c r="J5705" t="s">
        <v>14768</v>
      </c>
      <c r="K5705" s="2" t="str">
        <f>HYPERLINK("http://collections.slsa.sa.gov.au/mpcimg/62500/B62287_43.htm")</f>
        <v>http://collections.slsa.sa.gov.au/mpcimg/62500/B62287_43.htm</v>
      </c>
    </row>
    <row r="5706" spans="1:11" x14ac:dyDescent="0.25">
      <c r="A5706" t="s">
        <v>19795</v>
      </c>
      <c r="B5706" s="1" t="str">
        <f>HYPERLINK("https://www.catalog.slsa.sa.gov.au/record=b2092184")</f>
        <v>https://www.catalog.slsa.sa.gov.au/record=b2092184</v>
      </c>
      <c r="C5706" s="1" t="str">
        <f>HYPERLINK("https://www.catalog.slsa.sa.gov.au/xrecord=b2092184")</f>
        <v>https://www.catalog.slsa.sa.gov.au/xrecord=b2092184</v>
      </c>
      <c r="E5706" t="s">
        <v>19796</v>
      </c>
      <c r="F5706">
        <v>1951</v>
      </c>
      <c r="G5706" t="s">
        <v>14765</v>
      </c>
      <c r="H5706" t="s">
        <v>19797</v>
      </c>
      <c r="I5706" t="s">
        <v>14767</v>
      </c>
      <c r="J5706" t="s">
        <v>14768</v>
      </c>
      <c r="K5706" s="2" t="str">
        <f>HYPERLINK("http://collections.slsa.sa.gov.au/mpcimg/62500/B62287_44.htm")</f>
        <v>http://collections.slsa.sa.gov.au/mpcimg/62500/B62287_44.htm</v>
      </c>
    </row>
    <row r="5707" spans="1:11" x14ac:dyDescent="0.25">
      <c r="A5707" t="s">
        <v>19798</v>
      </c>
      <c r="B5707" s="1" t="str">
        <f>HYPERLINK("https://www.catalog.slsa.sa.gov.au/record=b2093050")</f>
        <v>https://www.catalog.slsa.sa.gov.au/record=b2093050</v>
      </c>
      <c r="C5707" s="1" t="str">
        <f>HYPERLINK("https://www.catalog.slsa.sa.gov.au/xrecord=b2093050")</f>
        <v>https://www.catalog.slsa.sa.gov.au/xrecord=b2093050</v>
      </c>
      <c r="D5707" t="s">
        <v>2939</v>
      </c>
      <c r="E5707" t="s">
        <v>19799</v>
      </c>
      <c r="F5707">
        <v>1951</v>
      </c>
      <c r="G5707" t="s">
        <v>19800</v>
      </c>
      <c r="H5707" t="s">
        <v>19801</v>
      </c>
      <c r="I5707" t="s">
        <v>19802</v>
      </c>
      <c r="J5707" t="s">
        <v>15449</v>
      </c>
      <c r="K5707" s="2" t="str">
        <f>HYPERLINK("http://collections.slsa.sa.gov.au/mpcimg/08000/B7798_76.htm")</f>
        <v>http://collections.slsa.sa.gov.au/mpcimg/08000/B7798_76.htm</v>
      </c>
    </row>
    <row r="5708" spans="1:11" x14ac:dyDescent="0.25">
      <c r="A5708" t="s">
        <v>19803</v>
      </c>
      <c r="B5708" s="1" t="str">
        <f>HYPERLINK("https://www.catalog.slsa.sa.gov.au/record=b2093051")</f>
        <v>https://www.catalog.slsa.sa.gov.au/record=b2093051</v>
      </c>
      <c r="C5708" s="1" t="str">
        <f>HYPERLINK("https://www.catalog.slsa.sa.gov.au/xrecord=b2093051")</f>
        <v>https://www.catalog.slsa.sa.gov.au/xrecord=b2093051</v>
      </c>
      <c r="D5708" t="s">
        <v>2939</v>
      </c>
      <c r="E5708" t="s">
        <v>19799</v>
      </c>
      <c r="F5708">
        <v>1951</v>
      </c>
      <c r="G5708" t="s">
        <v>15791</v>
      </c>
      <c r="H5708" t="s">
        <v>19804</v>
      </c>
      <c r="I5708" t="s">
        <v>19802</v>
      </c>
      <c r="J5708" t="s">
        <v>15449</v>
      </c>
      <c r="K5708" s="2" t="str">
        <f>HYPERLINK("http://collections.slsa.sa.gov.au/mpcimg/08000/B7798_77.htm")</f>
        <v>http://collections.slsa.sa.gov.au/mpcimg/08000/B7798_77.htm</v>
      </c>
    </row>
    <row r="5709" spans="1:11" x14ac:dyDescent="0.25">
      <c r="A5709" t="s">
        <v>19805</v>
      </c>
      <c r="B5709" s="1" t="str">
        <f>HYPERLINK("https://www.catalog.slsa.sa.gov.au/record=b2093061")</f>
        <v>https://www.catalog.slsa.sa.gov.au/record=b2093061</v>
      </c>
      <c r="C5709" s="1" t="str">
        <f>HYPERLINK("https://www.catalog.slsa.sa.gov.au/xrecord=b2093061")</f>
        <v>https://www.catalog.slsa.sa.gov.au/xrecord=b2093061</v>
      </c>
      <c r="D5709" t="s">
        <v>2939</v>
      </c>
      <c r="E5709" t="s">
        <v>19806</v>
      </c>
      <c r="F5709">
        <v>1951</v>
      </c>
      <c r="G5709" t="s">
        <v>19807</v>
      </c>
      <c r="H5709" t="s">
        <v>19808</v>
      </c>
      <c r="I5709" t="s">
        <v>19809</v>
      </c>
      <c r="J5709" t="s">
        <v>15449</v>
      </c>
      <c r="K5709" s="2" t="str">
        <f>HYPERLINK("http://collections.slsa.sa.gov.au/mpcimg/08000/B7798_87.htm")</f>
        <v>http://collections.slsa.sa.gov.au/mpcimg/08000/B7798_87.htm</v>
      </c>
    </row>
    <row r="5710" spans="1:11" x14ac:dyDescent="0.25">
      <c r="A5710" t="s">
        <v>19810</v>
      </c>
      <c r="B5710" s="1" t="str">
        <f>HYPERLINK("https://www.catalog.slsa.sa.gov.au/record=b2093180")</f>
        <v>https://www.catalog.slsa.sa.gov.au/record=b2093180</v>
      </c>
      <c r="C5710" s="1" t="str">
        <f>HYPERLINK("https://www.catalog.slsa.sa.gov.au/xrecord=b2093180")</f>
        <v>https://www.catalog.slsa.sa.gov.au/xrecord=b2093180</v>
      </c>
      <c r="D5710" t="s">
        <v>2939</v>
      </c>
      <c r="E5710" t="s">
        <v>19811</v>
      </c>
      <c r="F5710">
        <v>1951</v>
      </c>
      <c r="G5710" t="s">
        <v>19812</v>
      </c>
      <c r="H5710" t="s">
        <v>19813</v>
      </c>
      <c r="I5710" t="s">
        <v>19814</v>
      </c>
      <c r="J5710" t="s">
        <v>15449</v>
      </c>
      <c r="K5710" s="2" t="str">
        <f>HYPERLINK("http://collections.slsa.sa.gov.au/mpcimg/08000/B7798_206.htm")</f>
        <v>http://collections.slsa.sa.gov.au/mpcimg/08000/B7798_206.htm</v>
      </c>
    </row>
    <row r="5711" spans="1:11" x14ac:dyDescent="0.25">
      <c r="A5711" t="s">
        <v>19815</v>
      </c>
      <c r="B5711" s="1" t="str">
        <f>HYPERLINK("https://www.catalog.slsa.sa.gov.au/record=b2093200")</f>
        <v>https://www.catalog.slsa.sa.gov.au/record=b2093200</v>
      </c>
      <c r="C5711" s="1" t="str">
        <f>HYPERLINK("https://www.catalog.slsa.sa.gov.au/xrecord=b2093200")</f>
        <v>https://www.catalog.slsa.sa.gov.au/xrecord=b2093200</v>
      </c>
      <c r="D5711" t="s">
        <v>2939</v>
      </c>
      <c r="E5711" t="s">
        <v>19816</v>
      </c>
      <c r="F5711">
        <v>1951</v>
      </c>
      <c r="G5711" t="s">
        <v>19817</v>
      </c>
      <c r="H5711" t="s">
        <v>19818</v>
      </c>
      <c r="I5711" t="s">
        <v>17297</v>
      </c>
      <c r="J5711" t="s">
        <v>15449</v>
      </c>
      <c r="K5711" s="2" t="str">
        <f>HYPERLINK("http://collections.slsa.sa.gov.au/mpcimg/08000/B7798_226.htm")</f>
        <v>http://collections.slsa.sa.gov.au/mpcimg/08000/B7798_226.htm</v>
      </c>
    </row>
    <row r="5712" spans="1:11" x14ac:dyDescent="0.25">
      <c r="A5712" t="s">
        <v>19819</v>
      </c>
      <c r="B5712" s="1" t="str">
        <f>HYPERLINK("https://www.catalog.slsa.sa.gov.au/record=b2093223")</f>
        <v>https://www.catalog.slsa.sa.gov.au/record=b2093223</v>
      </c>
      <c r="C5712" s="1" t="str">
        <f>HYPERLINK("https://www.catalog.slsa.sa.gov.au/xrecord=b2093223")</f>
        <v>https://www.catalog.slsa.sa.gov.au/xrecord=b2093223</v>
      </c>
      <c r="D5712" t="s">
        <v>2939</v>
      </c>
      <c r="E5712" t="s">
        <v>19820</v>
      </c>
      <c r="F5712">
        <v>1951</v>
      </c>
      <c r="G5712" t="s">
        <v>19812</v>
      </c>
      <c r="H5712" t="s">
        <v>19821</v>
      </c>
      <c r="I5712" t="s">
        <v>19822</v>
      </c>
      <c r="J5712" t="s">
        <v>15449</v>
      </c>
      <c r="K5712" s="2" t="str">
        <f>HYPERLINK("http://collections.slsa.sa.gov.au/mpcimg/08000/B7798_248.htm")</f>
        <v>http://collections.slsa.sa.gov.au/mpcimg/08000/B7798_248.htm</v>
      </c>
    </row>
    <row r="5713" spans="1:11" x14ac:dyDescent="0.25">
      <c r="A5713" t="s">
        <v>19823</v>
      </c>
      <c r="B5713" s="1" t="str">
        <f>HYPERLINK("https://www.catalog.slsa.sa.gov.au/record=b2093251")</f>
        <v>https://www.catalog.slsa.sa.gov.au/record=b2093251</v>
      </c>
      <c r="C5713" s="1" t="str">
        <f>HYPERLINK("https://www.catalog.slsa.sa.gov.au/xrecord=b2093251")</f>
        <v>https://www.catalog.slsa.sa.gov.au/xrecord=b2093251</v>
      </c>
      <c r="D5713" t="s">
        <v>2939</v>
      </c>
      <c r="E5713" t="s">
        <v>19824</v>
      </c>
      <c r="F5713">
        <v>1951</v>
      </c>
      <c r="G5713" t="s">
        <v>19825</v>
      </c>
      <c r="H5713" t="s">
        <v>19826</v>
      </c>
      <c r="I5713" t="s">
        <v>6523</v>
      </c>
      <c r="J5713" t="s">
        <v>15449</v>
      </c>
      <c r="K5713" s="2" t="str">
        <f>HYPERLINK("http://collections.slsa.sa.gov.au/mpcimg/08000/B7798_276.htm")</f>
        <v>http://collections.slsa.sa.gov.au/mpcimg/08000/B7798_276.htm</v>
      </c>
    </row>
    <row r="5714" spans="1:11" x14ac:dyDescent="0.25">
      <c r="A5714" t="s">
        <v>19827</v>
      </c>
      <c r="B5714" s="1" t="str">
        <f>HYPERLINK("https://www.catalog.slsa.sa.gov.au/record=b2093290")</f>
        <v>https://www.catalog.slsa.sa.gov.au/record=b2093290</v>
      </c>
      <c r="C5714" s="1" t="str">
        <f>HYPERLINK("https://www.catalog.slsa.sa.gov.au/xrecord=b2093290")</f>
        <v>https://www.catalog.slsa.sa.gov.au/xrecord=b2093290</v>
      </c>
      <c r="D5714" t="s">
        <v>2939</v>
      </c>
      <c r="E5714" t="s">
        <v>19828</v>
      </c>
      <c r="F5714">
        <v>1951</v>
      </c>
      <c r="G5714" t="s">
        <v>19812</v>
      </c>
      <c r="H5714" t="s">
        <v>19829</v>
      </c>
      <c r="I5714" t="s">
        <v>19830</v>
      </c>
      <c r="J5714" t="s">
        <v>15449</v>
      </c>
      <c r="K5714" s="2" t="str">
        <f>HYPERLINK("http://collections.slsa.sa.gov.au/mpcimg/08000/B7798_315.htm")</f>
        <v>http://collections.slsa.sa.gov.au/mpcimg/08000/B7798_315.htm</v>
      </c>
    </row>
    <row r="5715" spans="1:11" x14ac:dyDescent="0.25">
      <c r="A5715" t="s">
        <v>19831</v>
      </c>
      <c r="B5715" s="1" t="str">
        <f>HYPERLINK("https://www.catalog.slsa.sa.gov.au/record=b2093291")</f>
        <v>https://www.catalog.slsa.sa.gov.au/record=b2093291</v>
      </c>
      <c r="C5715" s="1" t="str">
        <f>HYPERLINK("https://www.catalog.slsa.sa.gov.au/xrecord=b2093291")</f>
        <v>https://www.catalog.slsa.sa.gov.au/xrecord=b2093291</v>
      </c>
      <c r="D5715" t="s">
        <v>2939</v>
      </c>
      <c r="E5715" t="s">
        <v>19828</v>
      </c>
      <c r="F5715">
        <v>1951</v>
      </c>
      <c r="G5715" t="s">
        <v>19832</v>
      </c>
      <c r="H5715" t="s">
        <v>19829</v>
      </c>
      <c r="I5715" t="s">
        <v>19830</v>
      </c>
      <c r="J5715" t="s">
        <v>15449</v>
      </c>
      <c r="K5715" s="2" t="str">
        <f>HYPERLINK("http://collections.slsa.sa.gov.au/mpcimg/08000/B7798_316.htm")</f>
        <v>http://collections.slsa.sa.gov.au/mpcimg/08000/B7798_316.htm</v>
      </c>
    </row>
    <row r="5716" spans="1:11" x14ac:dyDescent="0.25">
      <c r="A5716" t="s">
        <v>19833</v>
      </c>
      <c r="B5716" s="1" t="str">
        <f>HYPERLINK("https://www.catalog.slsa.sa.gov.au/record=b2093301")</f>
        <v>https://www.catalog.slsa.sa.gov.au/record=b2093301</v>
      </c>
      <c r="C5716" s="1" t="str">
        <f>HYPERLINK("https://www.catalog.slsa.sa.gov.au/xrecord=b2093301")</f>
        <v>https://www.catalog.slsa.sa.gov.au/xrecord=b2093301</v>
      </c>
      <c r="D5716" t="s">
        <v>2939</v>
      </c>
      <c r="E5716" t="s">
        <v>19834</v>
      </c>
      <c r="F5716">
        <v>1951</v>
      </c>
      <c r="G5716" t="s">
        <v>16171</v>
      </c>
      <c r="H5716" t="s">
        <v>19835</v>
      </c>
      <c r="I5716" t="s">
        <v>19836</v>
      </c>
      <c r="J5716" t="s">
        <v>15449</v>
      </c>
      <c r="K5716" s="2" t="str">
        <f>HYPERLINK("http://collections.slsa.sa.gov.au/mpcimg/08000/B7798_326.htm")</f>
        <v>http://collections.slsa.sa.gov.au/mpcimg/08000/B7798_326.htm</v>
      </c>
    </row>
    <row r="5717" spans="1:11" x14ac:dyDescent="0.25">
      <c r="A5717" t="s">
        <v>19837</v>
      </c>
      <c r="B5717" s="1" t="str">
        <f>HYPERLINK("https://www.catalog.slsa.sa.gov.au/record=b2093326")</f>
        <v>https://www.catalog.slsa.sa.gov.au/record=b2093326</v>
      </c>
      <c r="C5717" s="1" t="str">
        <f>HYPERLINK("https://www.catalog.slsa.sa.gov.au/xrecord=b2093326")</f>
        <v>https://www.catalog.slsa.sa.gov.au/xrecord=b2093326</v>
      </c>
      <c r="D5717" t="s">
        <v>2939</v>
      </c>
      <c r="E5717" t="s">
        <v>19838</v>
      </c>
      <c r="F5717">
        <v>1951</v>
      </c>
      <c r="G5717" t="s">
        <v>19839</v>
      </c>
      <c r="H5717" t="s">
        <v>19840</v>
      </c>
      <c r="I5717" t="s">
        <v>19841</v>
      </c>
      <c r="J5717" t="s">
        <v>15449</v>
      </c>
      <c r="K5717" s="2" t="str">
        <f>HYPERLINK("http://collections.slsa.sa.gov.au/mpcimg/08000/B7798_359.htm")</f>
        <v>http://collections.slsa.sa.gov.au/mpcimg/08000/B7798_359.htm</v>
      </c>
    </row>
    <row r="5718" spans="1:11" x14ac:dyDescent="0.25">
      <c r="A5718" t="s">
        <v>19842</v>
      </c>
      <c r="B5718" s="1" t="str">
        <f>HYPERLINK("https://www.catalog.slsa.sa.gov.au/record=b2096799")</f>
        <v>https://www.catalog.slsa.sa.gov.au/record=b2096799</v>
      </c>
      <c r="C5718" s="1" t="str">
        <f>HYPERLINK("https://www.catalog.slsa.sa.gov.au/xrecord=b2096799")</f>
        <v>https://www.catalog.slsa.sa.gov.au/xrecord=b2096799</v>
      </c>
      <c r="E5718" t="s">
        <v>19843</v>
      </c>
      <c r="F5718">
        <v>1951</v>
      </c>
      <c r="G5718" t="s">
        <v>19839</v>
      </c>
      <c r="H5718" t="s">
        <v>19844</v>
      </c>
      <c r="I5718" t="s">
        <v>2813</v>
      </c>
      <c r="J5718" t="s">
        <v>2510</v>
      </c>
      <c r="K5718" s="2" t="str">
        <f>HYPERLINK("http://collections.slsa.sa.gov.au/mpcimg/69000/B68885.htm")</f>
        <v>http://collections.slsa.sa.gov.au/mpcimg/69000/B68885.htm</v>
      </c>
    </row>
    <row r="5719" spans="1:11" x14ac:dyDescent="0.25">
      <c r="A5719" t="s">
        <v>19845</v>
      </c>
      <c r="B5719" s="1" t="str">
        <f>HYPERLINK("https://www.catalog.slsa.sa.gov.au/record=b2105915")</f>
        <v>https://www.catalog.slsa.sa.gov.au/record=b2105915</v>
      </c>
      <c r="C5719" s="1" t="str">
        <f>HYPERLINK("https://www.catalog.slsa.sa.gov.au/xrecord=b2105915")</f>
        <v>https://www.catalog.slsa.sa.gov.au/xrecord=b2105915</v>
      </c>
      <c r="E5719" t="s">
        <v>19846</v>
      </c>
      <c r="F5719">
        <v>1951</v>
      </c>
      <c r="G5719" t="s">
        <v>19847</v>
      </c>
      <c r="H5719" t="s">
        <v>19848</v>
      </c>
      <c r="I5719" t="s">
        <v>19849</v>
      </c>
      <c r="J5719" t="s">
        <v>5381</v>
      </c>
      <c r="K5719" s="2" t="str">
        <f>HYPERLINK("http://collections.slsa.sa.gov.au/mpcimg/69250/B69092.htm")</f>
        <v>http://collections.slsa.sa.gov.au/mpcimg/69250/B69092.htm</v>
      </c>
    </row>
    <row r="5720" spans="1:11" x14ac:dyDescent="0.25">
      <c r="A5720" t="s">
        <v>19850</v>
      </c>
      <c r="B5720" s="1" t="str">
        <f>HYPERLINK("https://www.catalog.slsa.sa.gov.au/record=b2105917")</f>
        <v>https://www.catalog.slsa.sa.gov.au/record=b2105917</v>
      </c>
      <c r="C5720" s="1" t="str">
        <f>HYPERLINK("https://www.catalog.slsa.sa.gov.au/xrecord=b2105917")</f>
        <v>https://www.catalog.slsa.sa.gov.au/xrecord=b2105917</v>
      </c>
      <c r="E5720" t="s">
        <v>19851</v>
      </c>
      <c r="F5720">
        <v>1951</v>
      </c>
      <c r="G5720" t="s">
        <v>19852</v>
      </c>
      <c r="H5720" t="s">
        <v>19853</v>
      </c>
      <c r="I5720" t="s">
        <v>19849</v>
      </c>
      <c r="J5720" t="s">
        <v>5381</v>
      </c>
      <c r="K5720" s="2" t="str">
        <f>HYPERLINK("http://collections.slsa.sa.gov.au/mpcimg/69250/B69093.htm")</f>
        <v>http://collections.slsa.sa.gov.au/mpcimg/69250/B69093.htm</v>
      </c>
    </row>
    <row r="5721" spans="1:11" x14ac:dyDescent="0.25">
      <c r="A5721" t="s">
        <v>19854</v>
      </c>
      <c r="B5721" s="1" t="str">
        <f>HYPERLINK("https://www.catalog.slsa.sa.gov.au/record=b2105918")</f>
        <v>https://www.catalog.slsa.sa.gov.au/record=b2105918</v>
      </c>
      <c r="C5721" s="1" t="str">
        <f>HYPERLINK("https://www.catalog.slsa.sa.gov.au/xrecord=b2105918")</f>
        <v>https://www.catalog.slsa.sa.gov.au/xrecord=b2105918</v>
      </c>
      <c r="E5721" t="s">
        <v>19846</v>
      </c>
      <c r="F5721">
        <v>1951</v>
      </c>
      <c r="G5721" t="s">
        <v>19855</v>
      </c>
      <c r="H5721" t="s">
        <v>19856</v>
      </c>
      <c r="I5721" t="s">
        <v>19849</v>
      </c>
      <c r="J5721" t="s">
        <v>5381</v>
      </c>
      <c r="K5721" s="2" t="str">
        <f>HYPERLINK("http://collections.slsa.sa.gov.au/mpcimg/69250/B69094.htm")</f>
        <v>http://collections.slsa.sa.gov.au/mpcimg/69250/B69094.htm</v>
      </c>
    </row>
    <row r="5722" spans="1:11" x14ac:dyDescent="0.25">
      <c r="A5722" t="s">
        <v>19857</v>
      </c>
      <c r="B5722" s="1" t="str">
        <f>HYPERLINK("https://www.catalog.slsa.sa.gov.au/record=b2105919")</f>
        <v>https://www.catalog.slsa.sa.gov.au/record=b2105919</v>
      </c>
      <c r="C5722" s="1" t="str">
        <f>HYPERLINK("https://www.catalog.slsa.sa.gov.au/xrecord=b2105919")</f>
        <v>https://www.catalog.slsa.sa.gov.au/xrecord=b2105919</v>
      </c>
      <c r="E5722" t="s">
        <v>19858</v>
      </c>
      <c r="F5722">
        <v>1951</v>
      </c>
      <c r="G5722" t="s">
        <v>19859</v>
      </c>
      <c r="H5722" t="s">
        <v>19860</v>
      </c>
      <c r="I5722" t="s">
        <v>19849</v>
      </c>
      <c r="J5722" t="s">
        <v>5381</v>
      </c>
      <c r="K5722" s="2" t="str">
        <f>HYPERLINK("http://collections.slsa.sa.gov.au/mpcimg/69250/B69095.htm")</f>
        <v>http://collections.slsa.sa.gov.au/mpcimg/69250/B69095.htm</v>
      </c>
    </row>
    <row r="5723" spans="1:11" x14ac:dyDescent="0.25">
      <c r="A5723" t="s">
        <v>19861</v>
      </c>
      <c r="B5723" s="1" t="str">
        <f>HYPERLINK("https://www.catalog.slsa.sa.gov.au/record=b2105920")</f>
        <v>https://www.catalog.slsa.sa.gov.au/record=b2105920</v>
      </c>
      <c r="C5723" s="1" t="str">
        <f>HYPERLINK("https://www.catalog.slsa.sa.gov.au/xrecord=b2105920")</f>
        <v>https://www.catalog.slsa.sa.gov.au/xrecord=b2105920</v>
      </c>
      <c r="E5723" t="s">
        <v>19862</v>
      </c>
      <c r="F5723">
        <v>1951</v>
      </c>
      <c r="G5723" t="s">
        <v>19863</v>
      </c>
      <c r="H5723" t="s">
        <v>19864</v>
      </c>
      <c r="I5723" t="s">
        <v>19849</v>
      </c>
      <c r="J5723" t="s">
        <v>5381</v>
      </c>
      <c r="K5723" s="2" t="str">
        <f>HYPERLINK("http://collections.slsa.sa.gov.au/mpcimg/69250/B69096.htm")</f>
        <v>http://collections.slsa.sa.gov.au/mpcimg/69250/B69096.htm</v>
      </c>
    </row>
    <row r="5724" spans="1:11" x14ac:dyDescent="0.25">
      <c r="A5724" t="s">
        <v>19865</v>
      </c>
      <c r="B5724" s="1" t="str">
        <f>HYPERLINK("https://www.catalog.slsa.sa.gov.au/record=b2105921")</f>
        <v>https://www.catalog.slsa.sa.gov.au/record=b2105921</v>
      </c>
      <c r="C5724" s="1" t="str">
        <f>HYPERLINK("https://www.catalog.slsa.sa.gov.au/xrecord=b2105921")</f>
        <v>https://www.catalog.slsa.sa.gov.au/xrecord=b2105921</v>
      </c>
      <c r="E5724" t="s">
        <v>19866</v>
      </c>
      <c r="F5724">
        <v>1951</v>
      </c>
      <c r="G5724" t="s">
        <v>19863</v>
      </c>
      <c r="H5724" t="s">
        <v>19867</v>
      </c>
      <c r="I5724" t="s">
        <v>19849</v>
      </c>
      <c r="J5724" t="s">
        <v>5381</v>
      </c>
      <c r="K5724" s="2" t="str">
        <f>HYPERLINK("http://collections.slsa.sa.gov.au/mpcimg/69250/B69097.htm")</f>
        <v>http://collections.slsa.sa.gov.au/mpcimg/69250/B69097.htm</v>
      </c>
    </row>
    <row r="5725" spans="1:11" x14ac:dyDescent="0.25">
      <c r="A5725" t="s">
        <v>19868</v>
      </c>
      <c r="B5725" s="1" t="str">
        <f>HYPERLINK("https://www.catalog.slsa.sa.gov.au/record=b2105922")</f>
        <v>https://www.catalog.slsa.sa.gov.au/record=b2105922</v>
      </c>
      <c r="C5725" s="1" t="str">
        <f>HYPERLINK("https://www.catalog.slsa.sa.gov.au/xrecord=b2105922")</f>
        <v>https://www.catalog.slsa.sa.gov.au/xrecord=b2105922</v>
      </c>
      <c r="E5725" t="s">
        <v>19869</v>
      </c>
      <c r="F5725">
        <v>1951</v>
      </c>
      <c r="G5725" t="s">
        <v>19863</v>
      </c>
      <c r="H5725" t="s">
        <v>19870</v>
      </c>
      <c r="I5725" t="s">
        <v>19849</v>
      </c>
      <c r="J5725" t="s">
        <v>5381</v>
      </c>
      <c r="K5725" s="2" t="str">
        <f>HYPERLINK("http://collections.slsa.sa.gov.au/mpcimg/69250/B69098.htm")</f>
        <v>http://collections.slsa.sa.gov.au/mpcimg/69250/B69098.htm</v>
      </c>
    </row>
    <row r="5726" spans="1:11" x14ac:dyDescent="0.25">
      <c r="A5726" t="s">
        <v>19871</v>
      </c>
      <c r="B5726" s="1" t="str">
        <f>HYPERLINK("https://www.catalog.slsa.sa.gov.au/record=b2105923")</f>
        <v>https://www.catalog.slsa.sa.gov.au/record=b2105923</v>
      </c>
      <c r="C5726" s="1" t="str">
        <f>HYPERLINK("https://www.catalog.slsa.sa.gov.au/xrecord=b2105923")</f>
        <v>https://www.catalog.slsa.sa.gov.au/xrecord=b2105923</v>
      </c>
      <c r="E5726" t="s">
        <v>18888</v>
      </c>
      <c r="F5726">
        <v>1951</v>
      </c>
      <c r="G5726" t="s">
        <v>19872</v>
      </c>
      <c r="H5726" t="s">
        <v>19873</v>
      </c>
      <c r="I5726" t="s">
        <v>19874</v>
      </c>
      <c r="J5726" t="s">
        <v>17144</v>
      </c>
      <c r="K5726" s="2" t="str">
        <f>HYPERLINK("http://collections.slsa.sa.gov.au/mpcimg/69250/B69099.htm")</f>
        <v>http://collections.slsa.sa.gov.au/mpcimg/69250/B69099.htm</v>
      </c>
    </row>
    <row r="5727" spans="1:11" x14ac:dyDescent="0.25">
      <c r="A5727" t="s">
        <v>19875</v>
      </c>
      <c r="B5727" s="1" t="str">
        <f>HYPERLINK("https://www.catalog.slsa.sa.gov.au/record=b2105924")</f>
        <v>https://www.catalog.slsa.sa.gov.au/record=b2105924</v>
      </c>
      <c r="C5727" s="1" t="str">
        <f>HYPERLINK("https://www.catalog.slsa.sa.gov.au/xrecord=b2105924")</f>
        <v>https://www.catalog.slsa.sa.gov.au/xrecord=b2105924</v>
      </c>
      <c r="E5727" t="s">
        <v>19876</v>
      </c>
      <c r="F5727">
        <v>1951</v>
      </c>
      <c r="G5727" t="s">
        <v>19877</v>
      </c>
      <c r="H5727" t="s">
        <v>19878</v>
      </c>
      <c r="I5727" t="s">
        <v>19879</v>
      </c>
      <c r="J5727" t="s">
        <v>19880</v>
      </c>
      <c r="K5727" s="2" t="str">
        <f>HYPERLINK("http://collections.slsa.sa.gov.au/mpcimg/69250/B69100.htm")</f>
        <v>http://collections.slsa.sa.gov.au/mpcimg/69250/B69100.htm</v>
      </c>
    </row>
    <row r="5728" spans="1:11" x14ac:dyDescent="0.25">
      <c r="A5728" t="s">
        <v>19881</v>
      </c>
      <c r="B5728" s="1" t="str">
        <f>HYPERLINK("https://www.catalog.slsa.sa.gov.au/record=b2105933")</f>
        <v>https://www.catalog.slsa.sa.gov.au/record=b2105933</v>
      </c>
      <c r="C5728" s="1" t="str">
        <f>HYPERLINK("https://www.catalog.slsa.sa.gov.au/xrecord=b2105933")</f>
        <v>https://www.catalog.slsa.sa.gov.au/xrecord=b2105933</v>
      </c>
      <c r="E5728" t="s">
        <v>15472</v>
      </c>
      <c r="F5728">
        <v>1951</v>
      </c>
      <c r="G5728" t="s">
        <v>19882</v>
      </c>
      <c r="H5728" t="s">
        <v>19883</v>
      </c>
      <c r="I5728" t="s">
        <v>15475</v>
      </c>
      <c r="J5728" t="s">
        <v>2510</v>
      </c>
      <c r="K5728" s="2" t="str">
        <f>HYPERLINK("http://collections.slsa.sa.gov.au/mpcimg/69250/B69105.htm")</f>
        <v>http://collections.slsa.sa.gov.au/mpcimg/69250/B69105.htm</v>
      </c>
    </row>
    <row r="5729" spans="1:11" x14ac:dyDescent="0.25">
      <c r="A5729" t="s">
        <v>19884</v>
      </c>
      <c r="B5729" s="1" t="str">
        <f>HYPERLINK("https://www.catalog.slsa.sa.gov.au/record=b2106108")</f>
        <v>https://www.catalog.slsa.sa.gov.au/record=b2106108</v>
      </c>
      <c r="C5729" s="1" t="str">
        <f>HYPERLINK("https://www.catalog.slsa.sa.gov.au/xrecord=b2106108")</f>
        <v>https://www.catalog.slsa.sa.gov.au/xrecord=b2106108</v>
      </c>
      <c r="E5729" t="s">
        <v>19885</v>
      </c>
      <c r="F5729">
        <v>1951</v>
      </c>
      <c r="G5729" t="s">
        <v>19886</v>
      </c>
      <c r="H5729" t="s">
        <v>19887</v>
      </c>
      <c r="I5729" t="s">
        <v>19888</v>
      </c>
      <c r="J5729" t="s">
        <v>14768</v>
      </c>
      <c r="K5729" s="2" t="str">
        <f>HYPERLINK("http://collections.slsa.sa.gov.au/mpcimg/69250/B69087_20.htm")</f>
        <v>http://collections.slsa.sa.gov.au/mpcimg/69250/B69087_20.htm</v>
      </c>
    </row>
    <row r="5730" spans="1:11" x14ac:dyDescent="0.25">
      <c r="A5730" t="s">
        <v>19889</v>
      </c>
      <c r="B5730" s="1" t="str">
        <f>HYPERLINK("https://www.catalog.slsa.sa.gov.au/record=b2106111")</f>
        <v>https://www.catalog.slsa.sa.gov.au/record=b2106111</v>
      </c>
      <c r="C5730" s="1" t="str">
        <f>HYPERLINK("https://www.catalog.slsa.sa.gov.au/xrecord=b2106111")</f>
        <v>https://www.catalog.slsa.sa.gov.au/xrecord=b2106111</v>
      </c>
      <c r="E5730" t="s">
        <v>19885</v>
      </c>
      <c r="F5730">
        <v>1951</v>
      </c>
      <c r="G5730" t="s">
        <v>19890</v>
      </c>
      <c r="H5730" t="s">
        <v>19891</v>
      </c>
      <c r="I5730" t="s">
        <v>19888</v>
      </c>
      <c r="J5730" t="s">
        <v>14768</v>
      </c>
      <c r="K5730" s="2" t="str">
        <f>HYPERLINK("http://collections.slsa.sa.gov.au/mpcimg/69250/B69087_21.htm")</f>
        <v>http://collections.slsa.sa.gov.au/mpcimg/69250/B69087_21.htm</v>
      </c>
    </row>
    <row r="5731" spans="1:11" x14ac:dyDescent="0.25">
      <c r="A5731" t="s">
        <v>19892</v>
      </c>
      <c r="B5731" s="1" t="str">
        <f>HYPERLINK("https://www.catalog.slsa.sa.gov.au/record=b2106112")</f>
        <v>https://www.catalog.slsa.sa.gov.au/record=b2106112</v>
      </c>
      <c r="C5731" s="1" t="str">
        <f>HYPERLINK("https://www.catalog.slsa.sa.gov.au/xrecord=b2106112")</f>
        <v>https://www.catalog.slsa.sa.gov.au/xrecord=b2106112</v>
      </c>
      <c r="D5731" t="s">
        <v>2666</v>
      </c>
      <c r="E5731" t="s">
        <v>19885</v>
      </c>
      <c r="F5731">
        <v>1951</v>
      </c>
      <c r="G5731" t="s">
        <v>19893</v>
      </c>
      <c r="H5731" t="s">
        <v>19894</v>
      </c>
      <c r="I5731" t="s">
        <v>19888</v>
      </c>
      <c r="J5731" t="s">
        <v>14768</v>
      </c>
      <c r="K5731" s="2" t="str">
        <f>HYPERLINK("http://collections.slsa.sa.gov.au/mpcimg/69250/B69087_22.htm")</f>
        <v>http://collections.slsa.sa.gov.au/mpcimg/69250/B69087_22.htm</v>
      </c>
    </row>
    <row r="5732" spans="1:11" x14ac:dyDescent="0.25">
      <c r="A5732" t="s">
        <v>19895</v>
      </c>
      <c r="B5732" s="1" t="str">
        <f>HYPERLINK("https://www.catalog.slsa.sa.gov.au/record=b2106113")</f>
        <v>https://www.catalog.slsa.sa.gov.au/record=b2106113</v>
      </c>
      <c r="C5732" s="1" t="str">
        <f>HYPERLINK("https://www.catalog.slsa.sa.gov.au/xrecord=b2106113")</f>
        <v>https://www.catalog.slsa.sa.gov.au/xrecord=b2106113</v>
      </c>
      <c r="D5732" t="s">
        <v>2666</v>
      </c>
      <c r="E5732" t="s">
        <v>19885</v>
      </c>
      <c r="F5732">
        <v>1951</v>
      </c>
      <c r="G5732" t="s">
        <v>19896</v>
      </c>
      <c r="H5732" t="s">
        <v>19897</v>
      </c>
      <c r="I5732" t="s">
        <v>19888</v>
      </c>
      <c r="J5732" t="s">
        <v>14768</v>
      </c>
      <c r="K5732" s="2" t="str">
        <f>HYPERLINK("http://collections.slsa.sa.gov.au/mpcimg/69250/B69087_23.htm")</f>
        <v>http://collections.slsa.sa.gov.au/mpcimg/69250/B69087_23.htm</v>
      </c>
    </row>
    <row r="5733" spans="1:11" x14ac:dyDescent="0.25">
      <c r="A5733" t="s">
        <v>19898</v>
      </c>
      <c r="B5733" s="1" t="str">
        <f>HYPERLINK("https://www.catalog.slsa.sa.gov.au/record=b2106659")</f>
        <v>https://www.catalog.slsa.sa.gov.au/record=b2106659</v>
      </c>
      <c r="C5733" s="1" t="str">
        <f>HYPERLINK("https://www.catalog.slsa.sa.gov.au/xrecord=b2106659")</f>
        <v>https://www.catalog.slsa.sa.gov.au/xrecord=b2106659</v>
      </c>
      <c r="D5733" t="s">
        <v>19899</v>
      </c>
      <c r="E5733" t="s">
        <v>19900</v>
      </c>
      <c r="F5733">
        <v>1951</v>
      </c>
      <c r="G5733" t="s">
        <v>19901</v>
      </c>
      <c r="H5733" t="s">
        <v>19902</v>
      </c>
      <c r="I5733" t="s">
        <v>19903</v>
      </c>
      <c r="J5733" t="s">
        <v>1809</v>
      </c>
      <c r="K5733" s="2" t="str">
        <f>HYPERLINK("http://collections.slsa.sa.gov.au/mpcimg/69500/B69366.htm")</f>
        <v>http://collections.slsa.sa.gov.au/mpcimg/69500/B69366.htm</v>
      </c>
    </row>
    <row r="5734" spans="1:11" x14ac:dyDescent="0.25">
      <c r="A5734" t="s">
        <v>19904</v>
      </c>
      <c r="B5734" s="1" t="str">
        <f>HYPERLINK("https://www.catalog.slsa.sa.gov.au/record=b2108874")</f>
        <v>https://www.catalog.slsa.sa.gov.au/record=b2108874</v>
      </c>
      <c r="C5734" s="1" t="str">
        <f>HYPERLINK("https://www.catalog.slsa.sa.gov.au/xrecord=b2108874")</f>
        <v>https://www.catalog.slsa.sa.gov.au/xrecord=b2108874</v>
      </c>
      <c r="D5734" t="s">
        <v>19905</v>
      </c>
      <c r="E5734" t="s">
        <v>19906</v>
      </c>
      <c r="F5734">
        <v>1951</v>
      </c>
      <c r="G5734" t="s">
        <v>18579</v>
      </c>
      <c r="H5734" t="s">
        <v>19907</v>
      </c>
      <c r="I5734" t="s">
        <v>19908</v>
      </c>
      <c r="J5734" t="s">
        <v>19909</v>
      </c>
      <c r="K5734" s="2" t="str">
        <f>HYPERLINK("http://collections.slsa.sa.gov.au/mpcimg/69750/B69651.htm")</f>
        <v>http://collections.slsa.sa.gov.au/mpcimg/69750/B69651.htm</v>
      </c>
    </row>
    <row r="5735" spans="1:11" x14ac:dyDescent="0.25">
      <c r="A5735" t="s">
        <v>19910</v>
      </c>
      <c r="B5735" s="1" t="str">
        <f>HYPERLINK("https://www.catalog.slsa.sa.gov.au/record=b2108909")</f>
        <v>https://www.catalog.slsa.sa.gov.au/record=b2108909</v>
      </c>
      <c r="C5735" s="1" t="str">
        <f>HYPERLINK("https://www.catalog.slsa.sa.gov.au/xrecord=b2108909")</f>
        <v>https://www.catalog.slsa.sa.gov.au/xrecord=b2108909</v>
      </c>
      <c r="E5735" t="s">
        <v>19911</v>
      </c>
      <c r="F5735">
        <v>1951</v>
      </c>
      <c r="G5735" t="s">
        <v>19912</v>
      </c>
      <c r="H5735" t="s">
        <v>19913</v>
      </c>
      <c r="I5735" t="s">
        <v>19914</v>
      </c>
      <c r="J5735" t="s">
        <v>2510</v>
      </c>
      <c r="K5735" s="2" t="str">
        <f>HYPERLINK("http://collections.slsa.sa.gov.au/mpcimg/69750/B69661.htm")</f>
        <v>http://collections.slsa.sa.gov.au/mpcimg/69750/B69661.htm</v>
      </c>
    </row>
    <row r="5736" spans="1:11" x14ac:dyDescent="0.25">
      <c r="A5736" t="s">
        <v>19915</v>
      </c>
      <c r="B5736" s="1" t="str">
        <f>HYPERLINK("https://www.catalog.slsa.sa.gov.au/record=b2108930")</f>
        <v>https://www.catalog.slsa.sa.gov.au/record=b2108930</v>
      </c>
      <c r="C5736" s="1" t="str">
        <f>HYPERLINK("https://www.catalog.slsa.sa.gov.au/xrecord=b2108930")</f>
        <v>https://www.catalog.slsa.sa.gov.au/xrecord=b2108930</v>
      </c>
      <c r="D5736" t="s">
        <v>19916</v>
      </c>
      <c r="E5736" t="s">
        <v>19917</v>
      </c>
      <c r="F5736">
        <v>1951</v>
      </c>
      <c r="G5736" t="s">
        <v>19918</v>
      </c>
      <c r="H5736" t="s">
        <v>19919</v>
      </c>
      <c r="I5736" t="s">
        <v>19920</v>
      </c>
      <c r="J5736" t="s">
        <v>16340</v>
      </c>
      <c r="K5736" s="2" t="str">
        <f>HYPERLINK("http://collections.slsa.sa.gov.au/mpcimg/69750/B69669.htm")</f>
        <v>http://collections.slsa.sa.gov.au/mpcimg/69750/B69669.htm</v>
      </c>
    </row>
    <row r="5737" spans="1:11" x14ac:dyDescent="0.25">
      <c r="A5737" t="s">
        <v>19921</v>
      </c>
      <c r="B5737" s="1" t="str">
        <f>HYPERLINK("https://www.catalog.slsa.sa.gov.au/record=b2108933")</f>
        <v>https://www.catalog.slsa.sa.gov.au/record=b2108933</v>
      </c>
      <c r="C5737" s="1" t="str">
        <f>HYPERLINK("https://www.catalog.slsa.sa.gov.au/xrecord=b2108933")</f>
        <v>https://www.catalog.slsa.sa.gov.au/xrecord=b2108933</v>
      </c>
      <c r="D5737" t="s">
        <v>19922</v>
      </c>
      <c r="E5737" t="s">
        <v>19923</v>
      </c>
      <c r="F5737">
        <v>1951</v>
      </c>
      <c r="G5737" t="s">
        <v>19924</v>
      </c>
      <c r="H5737" t="s">
        <v>19925</v>
      </c>
      <c r="I5737" t="s">
        <v>19926</v>
      </c>
      <c r="J5737" t="s">
        <v>15482</v>
      </c>
      <c r="K5737" s="2" t="str">
        <f>HYPERLINK("http://collections.slsa.sa.gov.au/mpcimg/69750/B69672.htm")</f>
        <v>http://collections.slsa.sa.gov.au/mpcimg/69750/B69672.htm</v>
      </c>
    </row>
    <row r="5738" spans="1:11" x14ac:dyDescent="0.25">
      <c r="A5738" t="s">
        <v>19927</v>
      </c>
      <c r="B5738" s="1" t="str">
        <f>HYPERLINK("https://www.catalog.slsa.sa.gov.au/record=b2108944")</f>
        <v>https://www.catalog.slsa.sa.gov.au/record=b2108944</v>
      </c>
      <c r="C5738" s="1" t="str">
        <f>HYPERLINK("https://www.catalog.slsa.sa.gov.au/xrecord=b2108944")</f>
        <v>https://www.catalog.slsa.sa.gov.au/xrecord=b2108944</v>
      </c>
      <c r="E5738" t="s">
        <v>19928</v>
      </c>
      <c r="F5738">
        <v>1951</v>
      </c>
      <c r="G5738" t="s">
        <v>15479</v>
      </c>
      <c r="H5738" t="s">
        <v>19929</v>
      </c>
      <c r="I5738" t="s">
        <v>19930</v>
      </c>
      <c r="J5738" t="s">
        <v>16340</v>
      </c>
      <c r="K5738" s="2" t="str">
        <f>HYPERLINK("http://collections.slsa.sa.gov.au/mpcimg/69750/B69683.htm")</f>
        <v>http://collections.slsa.sa.gov.au/mpcimg/69750/B69683.htm</v>
      </c>
    </row>
    <row r="5739" spans="1:11" x14ac:dyDescent="0.25">
      <c r="A5739" t="s">
        <v>19931</v>
      </c>
      <c r="B5739" s="1" t="str">
        <f>HYPERLINK("https://www.catalog.slsa.sa.gov.au/record=b2108949")</f>
        <v>https://www.catalog.slsa.sa.gov.au/record=b2108949</v>
      </c>
      <c r="C5739" s="1" t="str">
        <f>HYPERLINK("https://www.catalog.slsa.sa.gov.au/xrecord=b2108949")</f>
        <v>https://www.catalog.slsa.sa.gov.au/xrecord=b2108949</v>
      </c>
      <c r="D5739" t="s">
        <v>19932</v>
      </c>
      <c r="E5739" t="s">
        <v>19933</v>
      </c>
      <c r="F5739">
        <v>1951</v>
      </c>
      <c r="G5739" t="s">
        <v>19934</v>
      </c>
      <c r="H5739" t="s">
        <v>19935</v>
      </c>
      <c r="I5739" t="s">
        <v>19936</v>
      </c>
      <c r="J5739" t="s">
        <v>18656</v>
      </c>
      <c r="K5739" s="2" t="str">
        <f>HYPERLINK("http://collections.slsa.sa.gov.au/mpcimg/69750/B69688.htm")</f>
        <v>http://collections.slsa.sa.gov.au/mpcimg/69750/B69688.htm</v>
      </c>
    </row>
    <row r="5740" spans="1:11" x14ac:dyDescent="0.25">
      <c r="A5740" t="s">
        <v>19937</v>
      </c>
      <c r="B5740" s="1" t="str">
        <f>HYPERLINK("https://www.catalog.slsa.sa.gov.au/record=b2108957")</f>
        <v>https://www.catalog.slsa.sa.gov.au/record=b2108957</v>
      </c>
      <c r="C5740" s="1" t="str">
        <f>HYPERLINK("https://www.catalog.slsa.sa.gov.au/xrecord=b2108957")</f>
        <v>https://www.catalog.slsa.sa.gov.au/xrecord=b2108957</v>
      </c>
      <c r="D5740" t="s">
        <v>19938</v>
      </c>
      <c r="E5740" t="s">
        <v>19939</v>
      </c>
      <c r="F5740">
        <v>1951</v>
      </c>
      <c r="G5740" t="s">
        <v>19940</v>
      </c>
      <c r="H5740" t="s">
        <v>19941</v>
      </c>
      <c r="I5740" t="s">
        <v>17013</v>
      </c>
      <c r="J5740" t="s">
        <v>16340</v>
      </c>
      <c r="K5740" s="2" t="str">
        <f>HYPERLINK("http://collections.slsa.sa.gov.au/mpcimg/69750/B69696.htm")</f>
        <v>http://collections.slsa.sa.gov.au/mpcimg/69750/B69696.htm</v>
      </c>
    </row>
    <row r="5741" spans="1:11" x14ac:dyDescent="0.25">
      <c r="A5741" t="s">
        <v>19942</v>
      </c>
      <c r="B5741" s="1" t="str">
        <f>HYPERLINK("https://www.catalog.slsa.sa.gov.au/record=b2108960")</f>
        <v>https://www.catalog.slsa.sa.gov.au/record=b2108960</v>
      </c>
      <c r="C5741" s="1" t="str">
        <f>HYPERLINK("https://www.catalog.slsa.sa.gov.au/xrecord=b2108960")</f>
        <v>https://www.catalog.slsa.sa.gov.au/xrecord=b2108960</v>
      </c>
      <c r="D5741" t="s">
        <v>19943</v>
      </c>
      <c r="E5741" t="s">
        <v>19944</v>
      </c>
      <c r="F5741">
        <v>1951</v>
      </c>
      <c r="G5741" t="s">
        <v>19945</v>
      </c>
      <c r="H5741" t="s">
        <v>19946</v>
      </c>
      <c r="I5741" t="s">
        <v>19947</v>
      </c>
      <c r="J5741" t="s">
        <v>2963</v>
      </c>
      <c r="K5741" s="2" t="str">
        <f>HYPERLINK("http://collections.slsa.sa.gov.au/mpcimg/69750/B69699.htm")</f>
        <v>http://collections.slsa.sa.gov.au/mpcimg/69750/B69699.htm</v>
      </c>
    </row>
    <row r="5742" spans="1:11" x14ac:dyDescent="0.25">
      <c r="A5742" t="s">
        <v>19948</v>
      </c>
      <c r="B5742" s="1" t="str">
        <f>HYPERLINK("https://www.catalog.slsa.sa.gov.au/record=b2109081")</f>
        <v>https://www.catalog.slsa.sa.gov.au/record=b2109081</v>
      </c>
      <c r="C5742" s="1" t="str">
        <f>HYPERLINK("https://www.catalog.slsa.sa.gov.au/xrecord=b2109081")</f>
        <v>https://www.catalog.slsa.sa.gov.au/xrecord=b2109081</v>
      </c>
      <c r="E5742" t="s">
        <v>19949</v>
      </c>
      <c r="F5742">
        <v>1951</v>
      </c>
      <c r="G5742" t="s">
        <v>19950</v>
      </c>
      <c r="H5742" t="s">
        <v>19951</v>
      </c>
      <c r="I5742" t="s">
        <v>19337</v>
      </c>
      <c r="J5742" t="s">
        <v>15933</v>
      </c>
      <c r="K5742" s="2" t="str">
        <f>HYPERLINK("http://collections.slsa.sa.gov.au/mpcimg/70000/B69844.htm")</f>
        <v>http://collections.slsa.sa.gov.au/mpcimg/70000/B69844.htm</v>
      </c>
    </row>
    <row r="5743" spans="1:11" x14ac:dyDescent="0.25">
      <c r="A5743" t="s">
        <v>19952</v>
      </c>
      <c r="B5743" s="1" t="str">
        <f>HYPERLINK("https://www.catalog.slsa.sa.gov.au/record=b2123956")</f>
        <v>https://www.catalog.slsa.sa.gov.au/record=b2123956</v>
      </c>
      <c r="C5743" s="1" t="str">
        <f>HYPERLINK("https://www.catalog.slsa.sa.gov.au/xrecord=b2123956")</f>
        <v>https://www.catalog.slsa.sa.gov.au/xrecord=b2123956</v>
      </c>
      <c r="E5743" t="s">
        <v>19953</v>
      </c>
      <c r="F5743">
        <v>1951</v>
      </c>
      <c r="G5743" t="s">
        <v>19954</v>
      </c>
      <c r="H5743" t="s">
        <v>19955</v>
      </c>
      <c r="I5743" t="s">
        <v>19849</v>
      </c>
      <c r="J5743" t="s">
        <v>2510</v>
      </c>
      <c r="K5743" s="2" t="str">
        <f>HYPERLINK("http://collections.slsa.sa.gov.au/mpcimg/70750/B70625_1.htm")</f>
        <v>http://collections.slsa.sa.gov.au/mpcimg/70750/B70625_1.htm</v>
      </c>
    </row>
    <row r="5744" spans="1:11" x14ac:dyDescent="0.25">
      <c r="A5744" t="s">
        <v>19956</v>
      </c>
      <c r="B5744" s="1" t="str">
        <f>HYPERLINK("https://www.catalog.slsa.sa.gov.au/record=b2123957")</f>
        <v>https://www.catalog.slsa.sa.gov.au/record=b2123957</v>
      </c>
      <c r="C5744" s="1" t="str">
        <f>HYPERLINK("https://www.catalog.slsa.sa.gov.au/xrecord=b2123957")</f>
        <v>https://www.catalog.slsa.sa.gov.au/xrecord=b2123957</v>
      </c>
      <c r="E5744" t="s">
        <v>19957</v>
      </c>
      <c r="F5744">
        <v>1951</v>
      </c>
      <c r="G5744" t="s">
        <v>19954</v>
      </c>
      <c r="H5744" t="s">
        <v>19958</v>
      </c>
      <c r="I5744" t="s">
        <v>19849</v>
      </c>
      <c r="J5744" t="s">
        <v>2510</v>
      </c>
      <c r="K5744" s="2" t="str">
        <f>HYPERLINK("http://collections.slsa.sa.gov.au/mpcimg/70750/B70625_2.htm")</f>
        <v>http://collections.slsa.sa.gov.au/mpcimg/70750/B70625_2.htm</v>
      </c>
    </row>
    <row r="5745" spans="1:11" x14ac:dyDescent="0.25">
      <c r="A5745" t="s">
        <v>19959</v>
      </c>
      <c r="B5745" s="1" t="str">
        <f>HYPERLINK("https://www.catalog.slsa.sa.gov.au/record=b2123958")</f>
        <v>https://www.catalog.slsa.sa.gov.au/record=b2123958</v>
      </c>
      <c r="C5745" s="1" t="str">
        <f>HYPERLINK("https://www.catalog.slsa.sa.gov.au/xrecord=b2123958")</f>
        <v>https://www.catalog.slsa.sa.gov.au/xrecord=b2123958</v>
      </c>
      <c r="E5745" t="s">
        <v>19960</v>
      </c>
      <c r="F5745">
        <v>1951</v>
      </c>
      <c r="G5745" t="s">
        <v>19954</v>
      </c>
      <c r="H5745" t="s">
        <v>19961</v>
      </c>
      <c r="I5745" t="s">
        <v>19849</v>
      </c>
      <c r="J5745" t="s">
        <v>2510</v>
      </c>
      <c r="K5745" s="2" t="str">
        <f>HYPERLINK("http://collections.slsa.sa.gov.au/mpcimg/70750/B70625_3.htm")</f>
        <v>http://collections.slsa.sa.gov.au/mpcimg/70750/B70625_3.htm</v>
      </c>
    </row>
    <row r="5746" spans="1:11" x14ac:dyDescent="0.25">
      <c r="A5746" t="s">
        <v>19962</v>
      </c>
      <c r="B5746" s="1" t="str">
        <f>HYPERLINK("https://www.catalog.slsa.sa.gov.au/record=b2123959")</f>
        <v>https://www.catalog.slsa.sa.gov.au/record=b2123959</v>
      </c>
      <c r="C5746" s="1" t="str">
        <f>HYPERLINK("https://www.catalog.slsa.sa.gov.au/xrecord=b2123959")</f>
        <v>https://www.catalog.slsa.sa.gov.au/xrecord=b2123959</v>
      </c>
      <c r="E5746" t="s">
        <v>19963</v>
      </c>
      <c r="F5746">
        <v>1951</v>
      </c>
      <c r="G5746" t="s">
        <v>19954</v>
      </c>
      <c r="H5746" t="s">
        <v>19964</v>
      </c>
      <c r="I5746" t="s">
        <v>19849</v>
      </c>
      <c r="J5746" t="s">
        <v>2510</v>
      </c>
      <c r="K5746" s="2" t="str">
        <f>HYPERLINK("http://collections.slsa.sa.gov.au/mpcimg/70750/B70625_4.htm")</f>
        <v>http://collections.slsa.sa.gov.au/mpcimg/70750/B70625_4.htm</v>
      </c>
    </row>
    <row r="5747" spans="1:11" x14ac:dyDescent="0.25">
      <c r="A5747" t="s">
        <v>19965</v>
      </c>
      <c r="B5747" s="1" t="str">
        <f>HYPERLINK("https://www.catalog.slsa.sa.gov.au/record=b2123960")</f>
        <v>https://www.catalog.slsa.sa.gov.au/record=b2123960</v>
      </c>
      <c r="C5747" s="1" t="str">
        <f>HYPERLINK("https://www.catalog.slsa.sa.gov.au/xrecord=b2123960")</f>
        <v>https://www.catalog.slsa.sa.gov.au/xrecord=b2123960</v>
      </c>
      <c r="E5747" t="s">
        <v>19966</v>
      </c>
      <c r="F5747">
        <v>1951</v>
      </c>
      <c r="G5747" t="s">
        <v>19954</v>
      </c>
      <c r="H5747" t="s">
        <v>19967</v>
      </c>
      <c r="I5747" t="s">
        <v>19849</v>
      </c>
      <c r="J5747" t="s">
        <v>2510</v>
      </c>
      <c r="K5747" s="2" t="str">
        <f>HYPERLINK("http://collections.slsa.sa.gov.au/mpcimg/70750/B70625_5.htm")</f>
        <v>http://collections.slsa.sa.gov.au/mpcimg/70750/B70625_5.htm</v>
      </c>
    </row>
    <row r="5748" spans="1:11" x14ac:dyDescent="0.25">
      <c r="A5748" t="s">
        <v>19968</v>
      </c>
      <c r="B5748" s="1" t="str">
        <f>HYPERLINK("https://www.catalog.slsa.sa.gov.au/record=b2123961")</f>
        <v>https://www.catalog.slsa.sa.gov.au/record=b2123961</v>
      </c>
      <c r="C5748" s="1" t="str">
        <f>HYPERLINK("https://www.catalog.slsa.sa.gov.au/xrecord=b2123961")</f>
        <v>https://www.catalog.slsa.sa.gov.au/xrecord=b2123961</v>
      </c>
      <c r="E5748" t="s">
        <v>19969</v>
      </c>
      <c r="F5748">
        <v>1951</v>
      </c>
      <c r="G5748" t="s">
        <v>19954</v>
      </c>
      <c r="H5748" t="s">
        <v>19970</v>
      </c>
      <c r="I5748" t="s">
        <v>19971</v>
      </c>
      <c r="J5748" t="s">
        <v>2510</v>
      </c>
      <c r="K5748" s="2" t="str">
        <f>HYPERLINK("http://collections.slsa.sa.gov.au/mpcimg/70750/B70625_11.htm")</f>
        <v>http://collections.slsa.sa.gov.au/mpcimg/70750/B70625_11.htm</v>
      </c>
    </row>
    <row r="5749" spans="1:11" x14ac:dyDescent="0.25">
      <c r="A5749" t="s">
        <v>19972</v>
      </c>
      <c r="B5749" s="1" t="str">
        <f>HYPERLINK("https://www.catalog.slsa.sa.gov.au/record=b2123963")</f>
        <v>https://www.catalog.slsa.sa.gov.au/record=b2123963</v>
      </c>
      <c r="C5749" s="1" t="str">
        <f>HYPERLINK("https://www.catalog.slsa.sa.gov.au/xrecord=b2123963")</f>
        <v>https://www.catalog.slsa.sa.gov.au/xrecord=b2123963</v>
      </c>
      <c r="E5749" t="s">
        <v>19973</v>
      </c>
      <c r="F5749">
        <v>1951</v>
      </c>
      <c r="G5749" t="s">
        <v>19954</v>
      </c>
      <c r="H5749" t="s">
        <v>19974</v>
      </c>
      <c r="I5749" t="s">
        <v>19975</v>
      </c>
      <c r="J5749" t="s">
        <v>2510</v>
      </c>
      <c r="K5749" s="2" t="str">
        <f>HYPERLINK("http://collections.slsa.sa.gov.au/mpcimg/70750/B70625_6.htm")</f>
        <v>http://collections.slsa.sa.gov.au/mpcimg/70750/B70625_6.htm</v>
      </c>
    </row>
    <row r="5750" spans="1:11" x14ac:dyDescent="0.25">
      <c r="A5750" t="s">
        <v>19976</v>
      </c>
      <c r="B5750" s="1" t="str">
        <f>HYPERLINK("https://www.catalog.slsa.sa.gov.au/record=b2123964")</f>
        <v>https://www.catalog.slsa.sa.gov.au/record=b2123964</v>
      </c>
      <c r="C5750" s="1" t="str">
        <f>HYPERLINK("https://www.catalog.slsa.sa.gov.au/xrecord=b2123964")</f>
        <v>https://www.catalog.slsa.sa.gov.au/xrecord=b2123964</v>
      </c>
      <c r="E5750" t="s">
        <v>19977</v>
      </c>
      <c r="F5750">
        <v>1951</v>
      </c>
      <c r="G5750" t="s">
        <v>19954</v>
      </c>
      <c r="H5750" t="s">
        <v>19978</v>
      </c>
      <c r="I5750" t="s">
        <v>19979</v>
      </c>
      <c r="J5750" t="s">
        <v>2510</v>
      </c>
      <c r="K5750" s="2" t="str">
        <f>HYPERLINK("http://collections.slsa.sa.gov.au/mpcimg/70750/B70625_7.htm")</f>
        <v>http://collections.slsa.sa.gov.au/mpcimg/70750/B70625_7.htm</v>
      </c>
    </row>
    <row r="5751" spans="1:11" x14ac:dyDescent="0.25">
      <c r="A5751" t="s">
        <v>19980</v>
      </c>
      <c r="B5751" s="1" t="str">
        <f>HYPERLINK("https://www.catalog.slsa.sa.gov.au/record=b2123965")</f>
        <v>https://www.catalog.slsa.sa.gov.au/record=b2123965</v>
      </c>
      <c r="C5751" s="1" t="str">
        <f>HYPERLINK("https://www.catalog.slsa.sa.gov.au/xrecord=b2123965")</f>
        <v>https://www.catalog.slsa.sa.gov.au/xrecord=b2123965</v>
      </c>
      <c r="E5751" t="s">
        <v>19977</v>
      </c>
      <c r="F5751">
        <v>1951</v>
      </c>
      <c r="G5751" t="s">
        <v>19954</v>
      </c>
      <c r="H5751" t="s">
        <v>19981</v>
      </c>
      <c r="I5751" t="s">
        <v>19982</v>
      </c>
      <c r="J5751" t="s">
        <v>2510</v>
      </c>
      <c r="K5751" s="2" t="str">
        <f>HYPERLINK("http://collections.slsa.sa.gov.au/mpcimg/70750/B70625_8.htm")</f>
        <v>http://collections.slsa.sa.gov.au/mpcimg/70750/B70625_8.htm</v>
      </c>
    </row>
    <row r="5752" spans="1:11" x14ac:dyDescent="0.25">
      <c r="A5752" t="s">
        <v>19983</v>
      </c>
      <c r="B5752" s="1" t="str">
        <f>HYPERLINK("https://www.catalog.slsa.sa.gov.au/record=b2123966")</f>
        <v>https://www.catalog.slsa.sa.gov.au/record=b2123966</v>
      </c>
      <c r="C5752" s="1" t="str">
        <f>HYPERLINK("https://www.catalog.slsa.sa.gov.au/xrecord=b2123966")</f>
        <v>https://www.catalog.slsa.sa.gov.au/xrecord=b2123966</v>
      </c>
      <c r="E5752" t="s">
        <v>19984</v>
      </c>
      <c r="F5752">
        <v>1951</v>
      </c>
      <c r="G5752" t="s">
        <v>19954</v>
      </c>
      <c r="H5752" t="s">
        <v>19985</v>
      </c>
      <c r="I5752" t="s">
        <v>19849</v>
      </c>
      <c r="J5752" t="s">
        <v>2510</v>
      </c>
      <c r="K5752" s="2" t="str">
        <f>HYPERLINK("http://collections.slsa.sa.gov.au/mpcimg/70750/B70625_9.htm")</f>
        <v>http://collections.slsa.sa.gov.au/mpcimg/70750/B70625_9.htm</v>
      </c>
    </row>
    <row r="5753" spans="1:11" x14ac:dyDescent="0.25">
      <c r="A5753" t="s">
        <v>19986</v>
      </c>
      <c r="B5753" s="1" t="str">
        <f>HYPERLINK("https://www.catalog.slsa.sa.gov.au/record=b2123967")</f>
        <v>https://www.catalog.slsa.sa.gov.au/record=b2123967</v>
      </c>
      <c r="C5753" s="1" t="str">
        <f>HYPERLINK("https://www.catalog.slsa.sa.gov.au/xrecord=b2123967")</f>
        <v>https://www.catalog.slsa.sa.gov.au/xrecord=b2123967</v>
      </c>
      <c r="E5753" t="s">
        <v>19987</v>
      </c>
      <c r="F5753">
        <v>1951</v>
      </c>
      <c r="G5753" t="s">
        <v>19954</v>
      </c>
      <c r="H5753" t="s">
        <v>19988</v>
      </c>
      <c r="I5753" t="s">
        <v>19989</v>
      </c>
      <c r="J5753" t="s">
        <v>2510</v>
      </c>
      <c r="K5753" s="2" t="str">
        <f>HYPERLINK("http://collections.slsa.sa.gov.au/mpcimg/70750/B70625_10.htm")</f>
        <v>http://collections.slsa.sa.gov.au/mpcimg/70750/B70625_10.htm</v>
      </c>
    </row>
    <row r="5754" spans="1:11" x14ac:dyDescent="0.25">
      <c r="A5754" t="s">
        <v>19990</v>
      </c>
      <c r="B5754" s="1" t="str">
        <f>HYPERLINK("https://www.catalog.slsa.sa.gov.au/record=b2126368")</f>
        <v>https://www.catalog.slsa.sa.gov.au/record=b2126368</v>
      </c>
      <c r="C5754" s="1" t="str">
        <f>HYPERLINK("https://www.catalog.slsa.sa.gov.au/xrecord=b2126368")</f>
        <v>https://www.catalog.slsa.sa.gov.au/xrecord=b2126368</v>
      </c>
      <c r="D5754" t="s">
        <v>19991</v>
      </c>
      <c r="E5754" t="s">
        <v>19992</v>
      </c>
      <c r="F5754">
        <v>1951</v>
      </c>
      <c r="G5754" t="s">
        <v>19993</v>
      </c>
      <c r="H5754" t="s">
        <v>19994</v>
      </c>
      <c r="J5754" t="s">
        <v>14768</v>
      </c>
      <c r="K5754" s="2" t="str">
        <f>HYPERLINK("http://collections.slsa.sa.gov.au/mpcimg/71000/B70782_15.htm")</f>
        <v>http://collections.slsa.sa.gov.au/mpcimg/71000/B70782_15.htm</v>
      </c>
    </row>
    <row r="5755" spans="1:11" x14ac:dyDescent="0.25">
      <c r="A5755" t="s">
        <v>19995</v>
      </c>
      <c r="B5755" s="1" t="str">
        <f>HYPERLINK("https://www.catalog.slsa.sa.gov.au/record=b2126369")</f>
        <v>https://www.catalog.slsa.sa.gov.au/record=b2126369</v>
      </c>
      <c r="C5755" s="1" t="str">
        <f>HYPERLINK("https://www.catalog.slsa.sa.gov.au/xrecord=b2126369")</f>
        <v>https://www.catalog.slsa.sa.gov.au/xrecord=b2126369</v>
      </c>
      <c r="D5755" t="s">
        <v>19991</v>
      </c>
      <c r="E5755" t="s">
        <v>19996</v>
      </c>
      <c r="F5755">
        <v>1951</v>
      </c>
      <c r="G5755" t="s">
        <v>19993</v>
      </c>
      <c r="H5755" t="s">
        <v>19997</v>
      </c>
      <c r="J5755" t="s">
        <v>14768</v>
      </c>
      <c r="K5755" s="2" t="str">
        <f>HYPERLINK("http://collections.slsa.sa.gov.au/mpcimg/71000/B70782_16.htm")</f>
        <v>http://collections.slsa.sa.gov.au/mpcimg/71000/B70782_16.htm</v>
      </c>
    </row>
    <row r="5756" spans="1:11" x14ac:dyDescent="0.25">
      <c r="A5756" t="s">
        <v>19998</v>
      </c>
      <c r="B5756" s="1" t="str">
        <f>HYPERLINK("https://www.catalog.slsa.sa.gov.au/record=b2126440")</f>
        <v>https://www.catalog.slsa.sa.gov.au/record=b2126440</v>
      </c>
      <c r="C5756" s="1" t="str">
        <f>HYPERLINK("https://www.catalog.slsa.sa.gov.au/xrecord=b2126440")</f>
        <v>https://www.catalog.slsa.sa.gov.au/xrecord=b2126440</v>
      </c>
      <c r="D5756" t="s">
        <v>19991</v>
      </c>
      <c r="E5756" t="s">
        <v>19999</v>
      </c>
      <c r="F5756">
        <v>1951</v>
      </c>
      <c r="G5756" t="s">
        <v>20000</v>
      </c>
      <c r="H5756" t="s">
        <v>20001</v>
      </c>
      <c r="J5756" t="s">
        <v>14768</v>
      </c>
      <c r="K5756" s="2" t="str">
        <f>HYPERLINK("http://collections.slsa.sa.gov.au/mpcimg/71000/B70782_81.htm")</f>
        <v>http://collections.slsa.sa.gov.au/mpcimg/71000/B70782_81.htm</v>
      </c>
    </row>
    <row r="5757" spans="1:11" x14ac:dyDescent="0.25">
      <c r="A5757" t="s">
        <v>20002</v>
      </c>
      <c r="B5757" s="1" t="str">
        <f>HYPERLINK("https://www.catalog.slsa.sa.gov.au/record=b2126441")</f>
        <v>https://www.catalog.slsa.sa.gov.au/record=b2126441</v>
      </c>
      <c r="C5757" s="1" t="str">
        <f>HYPERLINK("https://www.catalog.slsa.sa.gov.au/xrecord=b2126441")</f>
        <v>https://www.catalog.slsa.sa.gov.au/xrecord=b2126441</v>
      </c>
      <c r="D5757" t="s">
        <v>19991</v>
      </c>
      <c r="E5757" t="s">
        <v>19999</v>
      </c>
      <c r="F5757">
        <v>1951</v>
      </c>
      <c r="G5757" t="s">
        <v>20000</v>
      </c>
      <c r="H5757" t="s">
        <v>20003</v>
      </c>
      <c r="J5757" t="s">
        <v>14768</v>
      </c>
      <c r="K5757" s="2" t="str">
        <f>HYPERLINK("http://collections.slsa.sa.gov.au/mpcimg/71000/B70782_82.htm")</f>
        <v>http://collections.slsa.sa.gov.au/mpcimg/71000/B70782_82.htm</v>
      </c>
    </row>
    <row r="5758" spans="1:11" x14ac:dyDescent="0.25">
      <c r="A5758" t="s">
        <v>20004</v>
      </c>
      <c r="B5758" s="1" t="str">
        <f>HYPERLINK("https://www.catalog.slsa.sa.gov.au/record=b2126442")</f>
        <v>https://www.catalog.slsa.sa.gov.au/record=b2126442</v>
      </c>
      <c r="C5758" s="1" t="str">
        <f>HYPERLINK("https://www.catalog.slsa.sa.gov.au/xrecord=b2126442")</f>
        <v>https://www.catalog.slsa.sa.gov.au/xrecord=b2126442</v>
      </c>
      <c r="D5758" t="s">
        <v>19991</v>
      </c>
      <c r="E5758" t="s">
        <v>20005</v>
      </c>
      <c r="F5758">
        <v>1951</v>
      </c>
      <c r="G5758" t="s">
        <v>20000</v>
      </c>
      <c r="H5758" t="s">
        <v>20006</v>
      </c>
      <c r="J5758" t="s">
        <v>14768</v>
      </c>
      <c r="K5758" s="2" t="str">
        <f>HYPERLINK("http://collections.slsa.sa.gov.au/mpcimg/71000/B70782_83.htm")</f>
        <v>http://collections.slsa.sa.gov.au/mpcimg/71000/B70782_83.htm</v>
      </c>
    </row>
    <row r="5759" spans="1:11" x14ac:dyDescent="0.25">
      <c r="A5759" t="s">
        <v>20007</v>
      </c>
      <c r="B5759" s="1" t="str">
        <f>HYPERLINK("https://www.catalog.slsa.sa.gov.au/record=b2126444")</f>
        <v>https://www.catalog.slsa.sa.gov.au/record=b2126444</v>
      </c>
      <c r="C5759" s="1" t="str">
        <f>HYPERLINK("https://www.catalog.slsa.sa.gov.au/xrecord=b2126444")</f>
        <v>https://www.catalog.slsa.sa.gov.au/xrecord=b2126444</v>
      </c>
      <c r="D5759" t="s">
        <v>19991</v>
      </c>
      <c r="E5759" t="s">
        <v>19999</v>
      </c>
      <c r="F5759">
        <v>1951</v>
      </c>
      <c r="G5759" t="s">
        <v>20000</v>
      </c>
      <c r="H5759" t="s">
        <v>20008</v>
      </c>
      <c r="J5759" t="s">
        <v>14768</v>
      </c>
      <c r="K5759" s="2" t="str">
        <f>HYPERLINK("http://collections.slsa.sa.gov.au/mpcimg/71000/B70782_84.htm")</f>
        <v>http://collections.slsa.sa.gov.au/mpcimg/71000/B70782_84.htm</v>
      </c>
    </row>
    <row r="5760" spans="1:11" x14ac:dyDescent="0.25">
      <c r="A5760" t="s">
        <v>20009</v>
      </c>
      <c r="B5760" s="1" t="str">
        <f>HYPERLINK("https://www.catalog.slsa.sa.gov.au/record=b2126445")</f>
        <v>https://www.catalog.slsa.sa.gov.au/record=b2126445</v>
      </c>
      <c r="C5760" s="1" t="str">
        <f>HYPERLINK("https://www.catalog.slsa.sa.gov.au/xrecord=b2126445")</f>
        <v>https://www.catalog.slsa.sa.gov.au/xrecord=b2126445</v>
      </c>
      <c r="D5760" t="s">
        <v>19991</v>
      </c>
      <c r="E5760" t="s">
        <v>20010</v>
      </c>
      <c r="F5760">
        <v>1951</v>
      </c>
      <c r="G5760" t="s">
        <v>20000</v>
      </c>
      <c r="H5760" t="s">
        <v>20011</v>
      </c>
      <c r="J5760" t="s">
        <v>14768</v>
      </c>
      <c r="K5760" s="2" t="str">
        <f>HYPERLINK("http://collections.slsa.sa.gov.au/mpcimg/71000/B70782_85.htm")</f>
        <v>http://collections.slsa.sa.gov.au/mpcimg/71000/B70782_85.htm</v>
      </c>
    </row>
    <row r="5761" spans="1:11" x14ac:dyDescent="0.25">
      <c r="A5761" t="s">
        <v>20012</v>
      </c>
      <c r="B5761" s="1" t="str">
        <f>HYPERLINK("https://www.catalog.slsa.sa.gov.au/record=b2126457")</f>
        <v>https://www.catalog.slsa.sa.gov.au/record=b2126457</v>
      </c>
      <c r="C5761" s="1" t="str">
        <f>HYPERLINK("https://www.catalog.slsa.sa.gov.au/xrecord=b2126457")</f>
        <v>https://www.catalog.slsa.sa.gov.au/xrecord=b2126457</v>
      </c>
      <c r="D5761" t="s">
        <v>19991</v>
      </c>
      <c r="E5761" t="s">
        <v>20013</v>
      </c>
      <c r="F5761">
        <v>1951</v>
      </c>
      <c r="G5761" t="s">
        <v>20000</v>
      </c>
      <c r="H5761" t="s">
        <v>20014</v>
      </c>
      <c r="J5761" t="s">
        <v>14768</v>
      </c>
      <c r="K5761" s="2" t="str">
        <f>HYPERLINK("http://collections.slsa.sa.gov.au/mpcimg/71000/B70782_95.htm")</f>
        <v>http://collections.slsa.sa.gov.au/mpcimg/71000/B70782_95.htm</v>
      </c>
    </row>
    <row r="5762" spans="1:11" x14ac:dyDescent="0.25">
      <c r="A5762" t="s">
        <v>20015</v>
      </c>
      <c r="B5762" s="1" t="str">
        <f>HYPERLINK("https://www.catalog.slsa.sa.gov.au/record=b2126490")</f>
        <v>https://www.catalog.slsa.sa.gov.au/record=b2126490</v>
      </c>
      <c r="C5762" s="1" t="str">
        <f>HYPERLINK("https://www.catalog.slsa.sa.gov.au/xrecord=b2126490")</f>
        <v>https://www.catalog.slsa.sa.gov.au/xrecord=b2126490</v>
      </c>
      <c r="D5762" t="s">
        <v>19991</v>
      </c>
      <c r="E5762" t="s">
        <v>20016</v>
      </c>
      <c r="F5762">
        <v>1951</v>
      </c>
      <c r="G5762" t="s">
        <v>19993</v>
      </c>
      <c r="H5762" t="s">
        <v>20017</v>
      </c>
      <c r="J5762" t="s">
        <v>14768</v>
      </c>
      <c r="K5762" s="2" t="str">
        <f>HYPERLINK("http://collections.slsa.sa.gov.au/mpcimg/71000/B70782_126.htm")</f>
        <v>http://collections.slsa.sa.gov.au/mpcimg/71000/B70782_126.htm</v>
      </c>
    </row>
    <row r="5763" spans="1:11" x14ac:dyDescent="0.25">
      <c r="A5763" t="s">
        <v>20018</v>
      </c>
      <c r="B5763" s="1" t="str">
        <f>HYPERLINK("https://www.catalog.slsa.sa.gov.au/record=b2126499")</f>
        <v>https://www.catalog.slsa.sa.gov.au/record=b2126499</v>
      </c>
      <c r="C5763" s="1" t="str">
        <f>HYPERLINK("https://www.catalog.slsa.sa.gov.au/xrecord=b2126499")</f>
        <v>https://www.catalog.slsa.sa.gov.au/xrecord=b2126499</v>
      </c>
      <c r="D5763" t="s">
        <v>19991</v>
      </c>
      <c r="E5763" t="s">
        <v>20019</v>
      </c>
      <c r="F5763">
        <v>1951</v>
      </c>
      <c r="G5763" t="s">
        <v>19993</v>
      </c>
      <c r="H5763" t="s">
        <v>20020</v>
      </c>
      <c r="J5763" t="s">
        <v>14768</v>
      </c>
      <c r="K5763" s="2" t="str">
        <f>HYPERLINK("http://collections.slsa.sa.gov.au/mpcimg/71000/B70782_135.htm")</f>
        <v>http://collections.slsa.sa.gov.au/mpcimg/71000/B70782_135.htm</v>
      </c>
    </row>
    <row r="5764" spans="1:11" x14ac:dyDescent="0.25">
      <c r="A5764" t="s">
        <v>20021</v>
      </c>
      <c r="B5764" s="1" t="str">
        <f>HYPERLINK("https://www.catalog.slsa.sa.gov.au/record=b2126501")</f>
        <v>https://www.catalog.slsa.sa.gov.au/record=b2126501</v>
      </c>
      <c r="C5764" s="1" t="str">
        <f>HYPERLINK("https://www.catalog.slsa.sa.gov.au/xrecord=b2126501")</f>
        <v>https://www.catalog.slsa.sa.gov.au/xrecord=b2126501</v>
      </c>
      <c r="D5764" t="s">
        <v>19991</v>
      </c>
      <c r="E5764" t="s">
        <v>20022</v>
      </c>
      <c r="F5764">
        <v>1951</v>
      </c>
      <c r="G5764" t="s">
        <v>19993</v>
      </c>
      <c r="H5764" t="s">
        <v>20023</v>
      </c>
      <c r="J5764" t="s">
        <v>14768</v>
      </c>
      <c r="K5764" s="2" t="str">
        <f>HYPERLINK("http://collections.slsa.sa.gov.au/mpcimg/71000/B70782_137.htm")</f>
        <v>http://collections.slsa.sa.gov.au/mpcimg/71000/B70782_137.htm</v>
      </c>
    </row>
    <row r="5765" spans="1:11" x14ac:dyDescent="0.25">
      <c r="A5765" t="s">
        <v>20024</v>
      </c>
      <c r="B5765" s="1" t="str">
        <f>HYPERLINK("https://www.catalog.slsa.sa.gov.au/record=b2126504")</f>
        <v>https://www.catalog.slsa.sa.gov.au/record=b2126504</v>
      </c>
      <c r="C5765" s="1" t="str">
        <f>HYPERLINK("https://www.catalog.slsa.sa.gov.au/xrecord=b2126504")</f>
        <v>https://www.catalog.slsa.sa.gov.au/xrecord=b2126504</v>
      </c>
      <c r="D5765" t="s">
        <v>19991</v>
      </c>
      <c r="E5765" t="s">
        <v>20025</v>
      </c>
      <c r="F5765">
        <v>1951</v>
      </c>
      <c r="G5765" t="s">
        <v>19993</v>
      </c>
      <c r="H5765" t="s">
        <v>20026</v>
      </c>
      <c r="J5765" t="s">
        <v>14768</v>
      </c>
      <c r="K5765" s="2" t="str">
        <f>HYPERLINK("http://collections.slsa.sa.gov.au/mpcimg/71000/B70782_139.htm")</f>
        <v>http://collections.slsa.sa.gov.au/mpcimg/71000/B70782_139.htm</v>
      </c>
    </row>
    <row r="5766" spans="1:11" x14ac:dyDescent="0.25">
      <c r="A5766" t="s">
        <v>20027</v>
      </c>
      <c r="B5766" s="1" t="str">
        <f>HYPERLINK("https://www.catalog.slsa.sa.gov.au/record=b3130542")</f>
        <v>https://www.catalog.slsa.sa.gov.au/record=b3130542</v>
      </c>
      <c r="C5766" s="1" t="str">
        <f>HYPERLINK("https://www.catalog.slsa.sa.gov.au/xrecord=b3130542")</f>
        <v>https://www.catalog.slsa.sa.gov.au/xrecord=b3130542</v>
      </c>
      <c r="E5766" t="s">
        <v>20028</v>
      </c>
      <c r="F5766">
        <v>1951</v>
      </c>
      <c r="G5766" t="s">
        <v>20029</v>
      </c>
      <c r="H5766" t="s">
        <v>20030</v>
      </c>
      <c r="I5766" t="s">
        <v>20031</v>
      </c>
      <c r="J5766" t="s">
        <v>2510</v>
      </c>
      <c r="K5766" s="2" t="str">
        <f>HYPERLINK("http://collections.slsa.sa.gov.au/resource/B+75424")</f>
        <v>http://collections.slsa.sa.gov.au/resource/B+75424</v>
      </c>
    </row>
    <row r="5767" spans="1:11" x14ac:dyDescent="0.25">
      <c r="A5767" t="s">
        <v>20032</v>
      </c>
      <c r="B5767" s="1" t="str">
        <f>HYPERLINK("https://www.catalog.slsa.sa.gov.au/record=b2090711")</f>
        <v>https://www.catalog.slsa.sa.gov.au/record=b2090711</v>
      </c>
      <c r="C5767" s="1" t="str">
        <f>HYPERLINK("https://www.catalog.slsa.sa.gov.au/xrecord=b2090711")</f>
        <v>https://www.catalog.slsa.sa.gov.au/xrecord=b2090711</v>
      </c>
      <c r="E5767" t="s">
        <v>19690</v>
      </c>
      <c r="F5767" t="s">
        <v>4691</v>
      </c>
      <c r="G5767" t="s">
        <v>19410</v>
      </c>
      <c r="H5767" t="s">
        <v>20033</v>
      </c>
      <c r="I5767" t="s">
        <v>20034</v>
      </c>
      <c r="J5767" t="s">
        <v>15341</v>
      </c>
      <c r="K5767" s="2" t="str">
        <f>HYPERLINK("http://collections.slsa.sa.gov.au/mpcimg/59000/B58892_498.htm")</f>
        <v>http://collections.slsa.sa.gov.au/mpcimg/59000/B58892_498.htm</v>
      </c>
    </row>
    <row r="5768" spans="1:11" x14ac:dyDescent="0.25">
      <c r="A5768" t="s">
        <v>20035</v>
      </c>
      <c r="B5768" s="1" t="str">
        <f>HYPERLINK("https://www.catalog.slsa.sa.gov.au/record=b2018805")</f>
        <v>https://www.catalog.slsa.sa.gov.au/record=b2018805</v>
      </c>
      <c r="C5768" s="1" t="str">
        <f>HYPERLINK("https://www.catalog.slsa.sa.gov.au/xrecord=b2018805")</f>
        <v>https://www.catalog.slsa.sa.gov.au/xrecord=b2018805</v>
      </c>
      <c r="E5768" t="s">
        <v>18888</v>
      </c>
      <c r="F5768" t="s">
        <v>4691</v>
      </c>
      <c r="G5768" t="s">
        <v>15164</v>
      </c>
      <c r="H5768" t="s">
        <v>20036</v>
      </c>
      <c r="J5768" t="s">
        <v>18891</v>
      </c>
      <c r="K5768" s="2" t="str">
        <f>HYPERLINK("http://collections.slsa.sa.gov.au/mpcimg/18500/B18266.htm")</f>
        <v>http://collections.slsa.sa.gov.au/mpcimg/18500/B18266.htm</v>
      </c>
    </row>
    <row r="5769" spans="1:11" x14ac:dyDescent="0.25">
      <c r="A5769" t="s">
        <v>20037</v>
      </c>
      <c r="B5769" s="1" t="str">
        <f>HYPERLINK("https://www.catalog.slsa.sa.gov.au/record=b2020290")</f>
        <v>https://www.catalog.slsa.sa.gov.au/record=b2020290</v>
      </c>
      <c r="C5769" s="1" t="str">
        <f>HYPERLINK("https://www.catalog.slsa.sa.gov.au/xrecord=b2020290")</f>
        <v>https://www.catalog.slsa.sa.gov.au/xrecord=b2020290</v>
      </c>
      <c r="E5769" t="s">
        <v>20038</v>
      </c>
      <c r="F5769" t="s">
        <v>4691</v>
      </c>
      <c r="G5769" t="s">
        <v>15164</v>
      </c>
      <c r="H5769" t="s">
        <v>20039</v>
      </c>
      <c r="I5769" t="s">
        <v>20040</v>
      </c>
      <c r="J5769" t="s">
        <v>20041</v>
      </c>
      <c r="K5769" s="2" t="str">
        <f>HYPERLINK("http://collections.slsa.sa.gov.au/mpcimg/18250/B18188.htm")</f>
        <v>http://collections.slsa.sa.gov.au/mpcimg/18250/B18188.htm</v>
      </c>
    </row>
    <row r="5770" spans="1:11" x14ac:dyDescent="0.25">
      <c r="A5770" t="s">
        <v>20042</v>
      </c>
      <c r="B5770" s="1" t="str">
        <f>HYPERLINK("https://www.catalog.slsa.sa.gov.au/record=b2026453")</f>
        <v>https://www.catalog.slsa.sa.gov.au/record=b2026453</v>
      </c>
      <c r="C5770" s="1" t="str">
        <f>HYPERLINK("https://www.catalog.slsa.sa.gov.au/xrecord=b2026453")</f>
        <v>https://www.catalog.slsa.sa.gov.au/xrecord=b2026453</v>
      </c>
      <c r="E5770" t="s">
        <v>20043</v>
      </c>
      <c r="F5770" t="s">
        <v>4691</v>
      </c>
      <c r="G5770" t="s">
        <v>15164</v>
      </c>
      <c r="H5770" t="s">
        <v>20044</v>
      </c>
      <c r="I5770" t="s">
        <v>20045</v>
      </c>
      <c r="J5770" t="s">
        <v>14892</v>
      </c>
      <c r="K5770" s="2" t="str">
        <f>HYPERLINK("http://collections.slsa.sa.gov.au/mpcimg/18250/B18186.htm")</f>
        <v>http://collections.slsa.sa.gov.au/mpcimg/18250/B18186.htm</v>
      </c>
    </row>
    <row r="5771" spans="1:11" x14ac:dyDescent="0.25">
      <c r="A5771" t="s">
        <v>20046</v>
      </c>
      <c r="B5771" s="1" t="str">
        <f>HYPERLINK("https://www.catalog.slsa.sa.gov.au/record=b2029064")</f>
        <v>https://www.catalog.slsa.sa.gov.au/record=b2029064</v>
      </c>
      <c r="C5771" s="1" t="str">
        <f>HYPERLINK("https://www.catalog.slsa.sa.gov.au/xrecord=b2029064")</f>
        <v>https://www.catalog.slsa.sa.gov.au/xrecord=b2029064</v>
      </c>
      <c r="E5771" t="s">
        <v>20047</v>
      </c>
      <c r="F5771" t="s">
        <v>4691</v>
      </c>
      <c r="G5771" t="s">
        <v>16439</v>
      </c>
      <c r="H5771" t="s">
        <v>20048</v>
      </c>
      <c r="I5771" t="s">
        <v>20049</v>
      </c>
      <c r="J5771" t="s">
        <v>20050</v>
      </c>
      <c r="K5771" s="2" t="str">
        <f>HYPERLINK("http://collections.slsa.sa.gov.au/mpcimg/50250/B50117.htm")</f>
        <v>http://collections.slsa.sa.gov.au/mpcimg/50250/B50117.htm</v>
      </c>
    </row>
    <row r="5772" spans="1:11" x14ac:dyDescent="0.25">
      <c r="A5772" t="s">
        <v>20051</v>
      </c>
      <c r="B5772" s="1" t="str">
        <f>HYPERLINK("https://www.catalog.slsa.sa.gov.au/record=b2029066")</f>
        <v>https://www.catalog.slsa.sa.gov.au/record=b2029066</v>
      </c>
      <c r="C5772" s="1" t="str">
        <f>HYPERLINK("https://www.catalog.slsa.sa.gov.au/xrecord=b2029066")</f>
        <v>https://www.catalog.slsa.sa.gov.au/xrecord=b2029066</v>
      </c>
      <c r="E5772" t="s">
        <v>20047</v>
      </c>
      <c r="F5772" t="s">
        <v>4691</v>
      </c>
      <c r="G5772" t="s">
        <v>20052</v>
      </c>
      <c r="H5772" t="s">
        <v>20053</v>
      </c>
      <c r="I5772" t="s">
        <v>20049</v>
      </c>
      <c r="J5772" t="s">
        <v>20050</v>
      </c>
      <c r="K5772" s="2" t="str">
        <f>HYPERLINK("http://collections.slsa.sa.gov.au/mpcimg/50250/B50119.htm")</f>
        <v>http://collections.slsa.sa.gov.au/mpcimg/50250/B50119.htm</v>
      </c>
    </row>
    <row r="5773" spans="1:11" x14ac:dyDescent="0.25">
      <c r="A5773" t="s">
        <v>20054</v>
      </c>
      <c r="B5773" s="1" t="str">
        <f>HYPERLINK("https://www.catalog.slsa.sa.gov.au/record=b2035572")</f>
        <v>https://www.catalog.slsa.sa.gov.au/record=b2035572</v>
      </c>
      <c r="C5773" s="1" t="str">
        <f>HYPERLINK("https://www.catalog.slsa.sa.gov.au/xrecord=b2035572")</f>
        <v>https://www.catalog.slsa.sa.gov.au/xrecord=b2035572</v>
      </c>
      <c r="E5773" t="s">
        <v>20055</v>
      </c>
      <c r="F5773" t="s">
        <v>4691</v>
      </c>
      <c r="G5773" t="s">
        <v>20056</v>
      </c>
      <c r="H5773" t="s">
        <v>20057</v>
      </c>
      <c r="I5773" t="s">
        <v>20058</v>
      </c>
      <c r="J5773" t="s">
        <v>20059</v>
      </c>
      <c r="K5773" s="2" t="str">
        <f>HYPERLINK("http://collections.slsa.sa.gov.au/mpcimg/52750/B52569.htm")</f>
        <v>http://collections.slsa.sa.gov.au/mpcimg/52750/B52569.htm</v>
      </c>
    </row>
    <row r="5774" spans="1:11" x14ac:dyDescent="0.25">
      <c r="A5774" t="s">
        <v>20060</v>
      </c>
      <c r="B5774" s="1" t="str">
        <f>HYPERLINK("https://www.catalog.slsa.sa.gov.au/record=b2036097")</f>
        <v>https://www.catalog.slsa.sa.gov.au/record=b2036097</v>
      </c>
      <c r="C5774" s="1" t="str">
        <f>HYPERLINK("https://www.catalog.slsa.sa.gov.au/xrecord=b2036097")</f>
        <v>https://www.catalog.slsa.sa.gov.au/xrecord=b2036097</v>
      </c>
      <c r="D5774" t="s">
        <v>20061</v>
      </c>
      <c r="E5774" t="s">
        <v>20062</v>
      </c>
      <c r="F5774" t="s">
        <v>4691</v>
      </c>
      <c r="G5774" t="s">
        <v>20063</v>
      </c>
      <c r="H5774" t="s">
        <v>20064</v>
      </c>
      <c r="I5774" t="s">
        <v>20065</v>
      </c>
      <c r="J5774" t="s">
        <v>20066</v>
      </c>
      <c r="K5774" s="2" t="str">
        <f>HYPERLINK("http://collections.slsa.sa.gov.au/mpcimg/13250/B13018.htm")</f>
        <v>http://collections.slsa.sa.gov.au/mpcimg/13250/B13018.htm</v>
      </c>
    </row>
    <row r="5775" spans="1:11" x14ac:dyDescent="0.25">
      <c r="A5775" t="s">
        <v>20067</v>
      </c>
      <c r="B5775" s="1" t="str">
        <f>HYPERLINK("https://www.catalog.slsa.sa.gov.au/record=b2042787")</f>
        <v>https://www.catalog.slsa.sa.gov.au/record=b2042787</v>
      </c>
      <c r="C5775" s="1" t="str">
        <f>HYPERLINK("https://www.catalog.slsa.sa.gov.au/xrecord=b2042787")</f>
        <v>https://www.catalog.slsa.sa.gov.au/xrecord=b2042787</v>
      </c>
      <c r="E5775" t="s">
        <v>20068</v>
      </c>
      <c r="F5775" t="s">
        <v>4691</v>
      </c>
      <c r="G5775" t="s">
        <v>15147</v>
      </c>
      <c r="H5775" t="s">
        <v>20069</v>
      </c>
      <c r="J5775" t="s">
        <v>19035</v>
      </c>
      <c r="K5775" s="2" t="str">
        <f>HYPERLINK("http://collections.slsa.sa.gov.au/mpcimg/37250/B37146.htm")</f>
        <v>http://collections.slsa.sa.gov.au/mpcimg/37250/B37146.htm</v>
      </c>
    </row>
    <row r="5776" spans="1:11" x14ac:dyDescent="0.25">
      <c r="A5776" t="s">
        <v>20070</v>
      </c>
      <c r="B5776" s="1" t="str">
        <f>HYPERLINK("https://www.catalog.slsa.sa.gov.au/record=b2042789")</f>
        <v>https://www.catalog.slsa.sa.gov.au/record=b2042789</v>
      </c>
      <c r="C5776" s="1" t="str">
        <f>HYPERLINK("https://www.catalog.slsa.sa.gov.au/xrecord=b2042789")</f>
        <v>https://www.catalog.slsa.sa.gov.au/xrecord=b2042789</v>
      </c>
      <c r="E5776" t="s">
        <v>19032</v>
      </c>
      <c r="F5776" t="s">
        <v>4691</v>
      </c>
      <c r="G5776" t="s">
        <v>15147</v>
      </c>
      <c r="H5776" t="s">
        <v>19039</v>
      </c>
      <c r="I5776" t="s">
        <v>19034</v>
      </c>
      <c r="J5776" t="s">
        <v>19035</v>
      </c>
      <c r="K5776" s="2" t="str">
        <f>HYPERLINK("http://collections.slsa.sa.gov.au/mpcimg/37250/B37148.htm")</f>
        <v>http://collections.slsa.sa.gov.au/mpcimg/37250/B37148.htm</v>
      </c>
    </row>
    <row r="5777" spans="1:11" x14ac:dyDescent="0.25">
      <c r="A5777" t="s">
        <v>20071</v>
      </c>
      <c r="B5777" s="1" t="str">
        <f>HYPERLINK("https://www.catalog.slsa.sa.gov.au/record=b2042790")</f>
        <v>https://www.catalog.slsa.sa.gov.au/record=b2042790</v>
      </c>
      <c r="C5777" s="1" t="str">
        <f>HYPERLINK("https://www.catalog.slsa.sa.gov.au/xrecord=b2042790")</f>
        <v>https://www.catalog.slsa.sa.gov.au/xrecord=b2042790</v>
      </c>
      <c r="E5777" t="s">
        <v>19032</v>
      </c>
      <c r="F5777" t="s">
        <v>4691</v>
      </c>
      <c r="G5777" t="s">
        <v>15147</v>
      </c>
      <c r="H5777" t="s">
        <v>19039</v>
      </c>
      <c r="I5777" t="s">
        <v>19034</v>
      </c>
      <c r="J5777" t="s">
        <v>19035</v>
      </c>
      <c r="K5777" s="2" t="str">
        <f>HYPERLINK("http://collections.slsa.sa.gov.au/mpcimg/37250/B37149.htm")</f>
        <v>http://collections.slsa.sa.gov.au/mpcimg/37250/B37149.htm</v>
      </c>
    </row>
    <row r="5778" spans="1:11" x14ac:dyDescent="0.25">
      <c r="A5778" t="s">
        <v>20072</v>
      </c>
      <c r="B5778" s="1" t="str">
        <f>HYPERLINK("https://www.catalog.slsa.sa.gov.au/record=b2042879")</f>
        <v>https://www.catalog.slsa.sa.gov.au/record=b2042879</v>
      </c>
      <c r="C5778" s="1" t="str">
        <f>HYPERLINK("https://www.catalog.slsa.sa.gov.au/xrecord=b2042879")</f>
        <v>https://www.catalog.slsa.sa.gov.au/xrecord=b2042879</v>
      </c>
      <c r="E5778" t="s">
        <v>20073</v>
      </c>
      <c r="F5778" t="s">
        <v>4691</v>
      </c>
      <c r="G5778" t="s">
        <v>15147</v>
      </c>
      <c r="H5778" t="s">
        <v>20074</v>
      </c>
      <c r="J5778" t="s">
        <v>20075</v>
      </c>
      <c r="K5778" s="2" t="str">
        <f>HYPERLINK("http://collections.slsa.sa.gov.au/mpcimg/37750/B37548.htm")</f>
        <v>http://collections.slsa.sa.gov.au/mpcimg/37750/B37548.htm</v>
      </c>
    </row>
    <row r="5779" spans="1:11" x14ac:dyDescent="0.25">
      <c r="A5779" t="s">
        <v>20076</v>
      </c>
      <c r="B5779" s="1" t="str">
        <f>HYPERLINK("https://www.catalog.slsa.sa.gov.au/record=b2042880")</f>
        <v>https://www.catalog.slsa.sa.gov.au/record=b2042880</v>
      </c>
      <c r="C5779" s="1" t="str">
        <f>HYPERLINK("https://www.catalog.slsa.sa.gov.au/xrecord=b2042880")</f>
        <v>https://www.catalog.slsa.sa.gov.au/xrecord=b2042880</v>
      </c>
      <c r="E5779" t="s">
        <v>20073</v>
      </c>
      <c r="F5779" t="s">
        <v>4691</v>
      </c>
      <c r="G5779" t="s">
        <v>15147</v>
      </c>
      <c r="H5779" t="s">
        <v>20074</v>
      </c>
      <c r="J5779" t="s">
        <v>20075</v>
      </c>
      <c r="K5779" s="2" t="str">
        <f>HYPERLINK("http://collections.slsa.sa.gov.au/mpcimg/37750/B37549.htm")</f>
        <v>http://collections.slsa.sa.gov.au/mpcimg/37750/B37549.htm</v>
      </c>
    </row>
    <row r="5780" spans="1:11" x14ac:dyDescent="0.25">
      <c r="A5780" t="s">
        <v>20077</v>
      </c>
      <c r="B5780" s="1" t="str">
        <f>HYPERLINK("https://www.catalog.slsa.sa.gov.au/record=b2042881")</f>
        <v>https://www.catalog.slsa.sa.gov.au/record=b2042881</v>
      </c>
      <c r="C5780" s="1" t="str">
        <f>HYPERLINK("https://www.catalog.slsa.sa.gov.au/xrecord=b2042881")</f>
        <v>https://www.catalog.slsa.sa.gov.au/xrecord=b2042881</v>
      </c>
      <c r="E5780" t="s">
        <v>20073</v>
      </c>
      <c r="F5780" t="s">
        <v>4691</v>
      </c>
      <c r="G5780" t="s">
        <v>15147</v>
      </c>
      <c r="H5780" t="s">
        <v>20074</v>
      </c>
      <c r="J5780" t="s">
        <v>20075</v>
      </c>
      <c r="K5780" s="2" t="str">
        <f>HYPERLINK("http://collections.slsa.sa.gov.au/mpcimg/37750/B37550.htm")</f>
        <v>http://collections.slsa.sa.gov.au/mpcimg/37750/B37550.htm</v>
      </c>
    </row>
    <row r="5781" spans="1:11" x14ac:dyDescent="0.25">
      <c r="A5781" t="s">
        <v>20078</v>
      </c>
      <c r="B5781" s="1" t="str">
        <f>HYPERLINK("https://www.catalog.slsa.sa.gov.au/record=b2042882")</f>
        <v>https://www.catalog.slsa.sa.gov.au/record=b2042882</v>
      </c>
      <c r="C5781" s="1" t="str">
        <f>HYPERLINK("https://www.catalog.slsa.sa.gov.au/xrecord=b2042882")</f>
        <v>https://www.catalog.slsa.sa.gov.au/xrecord=b2042882</v>
      </c>
      <c r="E5781" t="s">
        <v>20073</v>
      </c>
      <c r="F5781" t="s">
        <v>4691</v>
      </c>
      <c r="G5781" t="s">
        <v>15147</v>
      </c>
      <c r="H5781" t="s">
        <v>20074</v>
      </c>
      <c r="J5781" t="s">
        <v>20075</v>
      </c>
      <c r="K5781" s="2" t="str">
        <f>HYPERLINK("http://collections.slsa.sa.gov.au/mpcimg/37750/B37551.htm")</f>
        <v>http://collections.slsa.sa.gov.au/mpcimg/37750/B37551.htm</v>
      </c>
    </row>
    <row r="5782" spans="1:11" x14ac:dyDescent="0.25">
      <c r="A5782" t="s">
        <v>20079</v>
      </c>
      <c r="B5782" s="1" t="str">
        <f>HYPERLINK("https://www.catalog.slsa.sa.gov.au/record=b2042883")</f>
        <v>https://www.catalog.slsa.sa.gov.au/record=b2042883</v>
      </c>
      <c r="C5782" s="1" t="str">
        <f>HYPERLINK("https://www.catalog.slsa.sa.gov.au/xrecord=b2042883")</f>
        <v>https://www.catalog.slsa.sa.gov.au/xrecord=b2042883</v>
      </c>
      <c r="E5782" t="s">
        <v>20073</v>
      </c>
      <c r="F5782" t="s">
        <v>4691</v>
      </c>
      <c r="G5782" t="s">
        <v>15147</v>
      </c>
      <c r="H5782" t="s">
        <v>20080</v>
      </c>
      <c r="J5782" t="s">
        <v>20075</v>
      </c>
      <c r="K5782" s="2" t="str">
        <f>HYPERLINK("http://collections.slsa.sa.gov.au/mpcimg/37750/B37552.htm")</f>
        <v>http://collections.slsa.sa.gov.au/mpcimg/37750/B37552.htm</v>
      </c>
    </row>
    <row r="5783" spans="1:11" x14ac:dyDescent="0.25">
      <c r="A5783" t="s">
        <v>20081</v>
      </c>
      <c r="B5783" s="1" t="str">
        <f>HYPERLINK("https://www.catalog.slsa.sa.gov.au/record=b2042884")</f>
        <v>https://www.catalog.slsa.sa.gov.au/record=b2042884</v>
      </c>
      <c r="C5783" s="1" t="str">
        <f>HYPERLINK("https://www.catalog.slsa.sa.gov.au/xrecord=b2042884")</f>
        <v>https://www.catalog.slsa.sa.gov.au/xrecord=b2042884</v>
      </c>
      <c r="E5783" t="s">
        <v>20073</v>
      </c>
      <c r="F5783" t="s">
        <v>4691</v>
      </c>
      <c r="G5783" t="s">
        <v>15147</v>
      </c>
      <c r="H5783" t="s">
        <v>20080</v>
      </c>
      <c r="J5783" t="s">
        <v>20075</v>
      </c>
      <c r="K5783" s="2" t="str">
        <f>HYPERLINK("http://collections.slsa.sa.gov.au/mpcimg/37750/B37553.htm")</f>
        <v>http://collections.slsa.sa.gov.au/mpcimg/37750/B37553.htm</v>
      </c>
    </row>
    <row r="5784" spans="1:11" x14ac:dyDescent="0.25">
      <c r="A5784" t="s">
        <v>20082</v>
      </c>
      <c r="B5784" s="1" t="str">
        <f>HYPERLINK("https://www.catalog.slsa.sa.gov.au/record=b2042885")</f>
        <v>https://www.catalog.slsa.sa.gov.au/record=b2042885</v>
      </c>
      <c r="C5784" s="1" t="str">
        <f>HYPERLINK("https://www.catalog.slsa.sa.gov.au/xrecord=b2042885")</f>
        <v>https://www.catalog.slsa.sa.gov.au/xrecord=b2042885</v>
      </c>
      <c r="E5784" t="s">
        <v>20073</v>
      </c>
      <c r="F5784" t="s">
        <v>4691</v>
      </c>
      <c r="G5784" t="s">
        <v>15147</v>
      </c>
      <c r="H5784" t="s">
        <v>20080</v>
      </c>
      <c r="J5784" t="s">
        <v>20075</v>
      </c>
      <c r="K5784" s="2" t="str">
        <f>HYPERLINK("http://collections.slsa.sa.gov.au/mpcimg/37750/B37554.htm")</f>
        <v>http://collections.slsa.sa.gov.au/mpcimg/37750/B37554.htm</v>
      </c>
    </row>
    <row r="5785" spans="1:11" x14ac:dyDescent="0.25">
      <c r="A5785" t="s">
        <v>20083</v>
      </c>
      <c r="B5785" s="1" t="str">
        <f>HYPERLINK("https://www.catalog.slsa.sa.gov.au/record=b2042886")</f>
        <v>https://www.catalog.slsa.sa.gov.au/record=b2042886</v>
      </c>
      <c r="C5785" s="1" t="str">
        <f>HYPERLINK("https://www.catalog.slsa.sa.gov.au/xrecord=b2042886")</f>
        <v>https://www.catalog.slsa.sa.gov.au/xrecord=b2042886</v>
      </c>
      <c r="E5785" t="s">
        <v>20073</v>
      </c>
      <c r="F5785" t="s">
        <v>4691</v>
      </c>
      <c r="G5785" t="s">
        <v>15147</v>
      </c>
      <c r="H5785" t="s">
        <v>20080</v>
      </c>
      <c r="J5785" t="s">
        <v>20075</v>
      </c>
      <c r="K5785" s="2" t="str">
        <f>HYPERLINK("http://collections.slsa.sa.gov.au/mpcimg/37750/B37555.htm")</f>
        <v>http://collections.slsa.sa.gov.au/mpcimg/37750/B37555.htm</v>
      </c>
    </row>
    <row r="5786" spans="1:11" x14ac:dyDescent="0.25">
      <c r="A5786" t="s">
        <v>20084</v>
      </c>
      <c r="B5786" s="1" t="str">
        <f>HYPERLINK("https://www.catalog.slsa.sa.gov.au/record=b2042887")</f>
        <v>https://www.catalog.slsa.sa.gov.au/record=b2042887</v>
      </c>
      <c r="C5786" s="1" t="str">
        <f>HYPERLINK("https://www.catalog.slsa.sa.gov.au/xrecord=b2042887")</f>
        <v>https://www.catalog.slsa.sa.gov.au/xrecord=b2042887</v>
      </c>
      <c r="E5786" t="s">
        <v>20073</v>
      </c>
      <c r="F5786" t="s">
        <v>4691</v>
      </c>
      <c r="G5786" t="s">
        <v>15147</v>
      </c>
      <c r="H5786" t="s">
        <v>20080</v>
      </c>
      <c r="J5786" t="s">
        <v>20075</v>
      </c>
      <c r="K5786" s="2" t="str">
        <f>HYPERLINK("http://collections.slsa.sa.gov.au/mpcimg/37750/B37556.htm")</f>
        <v>http://collections.slsa.sa.gov.au/mpcimg/37750/B37556.htm</v>
      </c>
    </row>
    <row r="5787" spans="1:11" x14ac:dyDescent="0.25">
      <c r="A5787" t="s">
        <v>20085</v>
      </c>
      <c r="B5787" s="1" t="str">
        <f>HYPERLINK("https://www.catalog.slsa.sa.gov.au/record=b2042888")</f>
        <v>https://www.catalog.slsa.sa.gov.au/record=b2042888</v>
      </c>
      <c r="C5787" s="1" t="str">
        <f>HYPERLINK("https://www.catalog.slsa.sa.gov.au/xrecord=b2042888")</f>
        <v>https://www.catalog.slsa.sa.gov.au/xrecord=b2042888</v>
      </c>
      <c r="E5787" t="s">
        <v>20073</v>
      </c>
      <c r="F5787" t="s">
        <v>4691</v>
      </c>
      <c r="G5787" t="s">
        <v>15147</v>
      </c>
      <c r="H5787" t="s">
        <v>20080</v>
      </c>
      <c r="J5787" t="s">
        <v>20075</v>
      </c>
      <c r="K5787" s="2" t="str">
        <f>HYPERLINK("http://collections.slsa.sa.gov.au/mpcimg/37750/B37557.htm")</f>
        <v>http://collections.slsa.sa.gov.au/mpcimg/37750/B37557.htm</v>
      </c>
    </row>
    <row r="5788" spans="1:11" x14ac:dyDescent="0.25">
      <c r="A5788" t="s">
        <v>20086</v>
      </c>
      <c r="B5788" s="1" t="str">
        <f>HYPERLINK("https://www.catalog.slsa.sa.gov.au/record=b2044202")</f>
        <v>https://www.catalog.slsa.sa.gov.au/record=b2044202</v>
      </c>
      <c r="C5788" s="1" t="str">
        <f>HYPERLINK("https://www.catalog.slsa.sa.gov.au/xrecord=b2044202")</f>
        <v>https://www.catalog.slsa.sa.gov.au/xrecord=b2044202</v>
      </c>
      <c r="E5788" t="s">
        <v>20087</v>
      </c>
      <c r="F5788" t="s">
        <v>4691</v>
      </c>
      <c r="G5788" t="s">
        <v>20088</v>
      </c>
      <c r="H5788" t="s">
        <v>20089</v>
      </c>
      <c r="I5788" t="s">
        <v>17027</v>
      </c>
      <c r="J5788" t="s">
        <v>16617</v>
      </c>
      <c r="K5788" s="2" t="str">
        <f>HYPERLINK("http://collections.slsa.sa.gov.au/mpcimg/42250/B42017.htm")</f>
        <v>http://collections.slsa.sa.gov.au/mpcimg/42250/B42017.htm</v>
      </c>
    </row>
    <row r="5789" spans="1:11" x14ac:dyDescent="0.25">
      <c r="A5789" t="s">
        <v>20090</v>
      </c>
      <c r="B5789" s="1" t="str">
        <f>HYPERLINK("https://www.catalog.slsa.sa.gov.au/record=b2044475")</f>
        <v>https://www.catalog.slsa.sa.gov.au/record=b2044475</v>
      </c>
      <c r="C5789" s="1" t="str">
        <f>HYPERLINK("https://www.catalog.slsa.sa.gov.au/xrecord=b2044475")</f>
        <v>https://www.catalog.slsa.sa.gov.au/xrecord=b2044475</v>
      </c>
      <c r="E5789" t="s">
        <v>20091</v>
      </c>
      <c r="F5789" t="s">
        <v>4691</v>
      </c>
      <c r="G5789" t="s">
        <v>20092</v>
      </c>
      <c r="H5789" t="s">
        <v>20093</v>
      </c>
      <c r="I5789" t="s">
        <v>20094</v>
      </c>
      <c r="J5789" t="s">
        <v>19053</v>
      </c>
      <c r="K5789" s="2" t="str">
        <f>HYPERLINK("http://collections.slsa.sa.gov.au/mpcimg/34250/B34091.htm")</f>
        <v>http://collections.slsa.sa.gov.au/mpcimg/34250/B34091.htm</v>
      </c>
    </row>
    <row r="5790" spans="1:11" x14ac:dyDescent="0.25">
      <c r="A5790" t="s">
        <v>20095</v>
      </c>
      <c r="B5790" s="1" t="str">
        <f>HYPERLINK("https://www.catalog.slsa.sa.gov.au/record=b2059659")</f>
        <v>https://www.catalog.slsa.sa.gov.au/record=b2059659</v>
      </c>
      <c r="C5790" s="1" t="str">
        <f>HYPERLINK("https://www.catalog.slsa.sa.gov.au/xrecord=b2059659")</f>
        <v>https://www.catalog.slsa.sa.gov.au/xrecord=b2059659</v>
      </c>
      <c r="D5790" t="s">
        <v>16540</v>
      </c>
      <c r="E5790" t="s">
        <v>20096</v>
      </c>
      <c r="F5790" t="s">
        <v>4691</v>
      </c>
      <c r="G5790" t="s">
        <v>19065</v>
      </c>
      <c r="H5790" t="s">
        <v>20097</v>
      </c>
      <c r="J5790" t="s">
        <v>20098</v>
      </c>
      <c r="K5790" s="2" t="str">
        <f>HYPERLINK("http://collections.slsa.sa.gov.au/mpcimg/13250/B13021.htm")</f>
        <v>http://collections.slsa.sa.gov.au/mpcimg/13250/B13021.htm</v>
      </c>
    </row>
    <row r="5791" spans="1:11" x14ac:dyDescent="0.25">
      <c r="A5791" t="s">
        <v>20099</v>
      </c>
      <c r="B5791" s="1" t="str">
        <f>HYPERLINK("https://www.catalog.slsa.sa.gov.au/record=b2060085")</f>
        <v>https://www.catalog.slsa.sa.gov.au/record=b2060085</v>
      </c>
      <c r="C5791" s="1" t="str">
        <f>HYPERLINK("https://www.catalog.slsa.sa.gov.au/xrecord=b2060085")</f>
        <v>https://www.catalog.slsa.sa.gov.au/xrecord=b2060085</v>
      </c>
      <c r="E5791" t="s">
        <v>20100</v>
      </c>
      <c r="F5791" t="s">
        <v>4691</v>
      </c>
      <c r="G5791" t="s">
        <v>20101</v>
      </c>
      <c r="H5791" t="s">
        <v>20102</v>
      </c>
      <c r="J5791" t="s">
        <v>20103</v>
      </c>
      <c r="K5791" s="2" t="str">
        <f>HYPERLINK("http://collections.slsa.sa.gov.au/mpcimg/12500/B12395.htm")</f>
        <v>http://collections.slsa.sa.gov.au/mpcimg/12500/B12395.htm</v>
      </c>
    </row>
    <row r="5792" spans="1:11" x14ac:dyDescent="0.25">
      <c r="A5792" t="s">
        <v>20104</v>
      </c>
      <c r="B5792" s="1" t="str">
        <f>HYPERLINK("https://www.catalog.slsa.sa.gov.au/record=b2074803")</f>
        <v>https://www.catalog.slsa.sa.gov.au/record=b2074803</v>
      </c>
      <c r="C5792" s="1" t="str">
        <f>HYPERLINK("https://www.catalog.slsa.sa.gov.au/xrecord=b2074803")</f>
        <v>https://www.catalog.slsa.sa.gov.au/xrecord=b2074803</v>
      </c>
      <c r="E5792" t="s">
        <v>20105</v>
      </c>
      <c r="F5792" t="s">
        <v>4691</v>
      </c>
      <c r="G5792" t="s">
        <v>20106</v>
      </c>
      <c r="H5792" t="s">
        <v>20107</v>
      </c>
      <c r="I5792" t="s">
        <v>20108</v>
      </c>
      <c r="J5792" t="s">
        <v>20109</v>
      </c>
      <c r="K5792" s="2" t="str">
        <f>HYPERLINK("http://collections.slsa.sa.gov.au/mpcimg/64500/B64295.htm")</f>
        <v>http://collections.slsa.sa.gov.au/mpcimg/64500/B64295.htm</v>
      </c>
    </row>
    <row r="5793" spans="1:11" x14ac:dyDescent="0.25">
      <c r="A5793" t="s">
        <v>20110</v>
      </c>
      <c r="B5793" s="1" t="str">
        <f>HYPERLINK("https://www.catalog.slsa.sa.gov.au/record=b2074806")</f>
        <v>https://www.catalog.slsa.sa.gov.au/record=b2074806</v>
      </c>
      <c r="C5793" s="1" t="str">
        <f>HYPERLINK("https://www.catalog.slsa.sa.gov.au/xrecord=b2074806")</f>
        <v>https://www.catalog.slsa.sa.gov.au/xrecord=b2074806</v>
      </c>
      <c r="E5793" t="s">
        <v>20111</v>
      </c>
      <c r="F5793" t="s">
        <v>4691</v>
      </c>
      <c r="G5793" t="s">
        <v>20106</v>
      </c>
      <c r="H5793" t="s">
        <v>20112</v>
      </c>
      <c r="I5793" t="s">
        <v>20113</v>
      </c>
      <c r="J5793" t="s">
        <v>20109</v>
      </c>
      <c r="K5793" s="2" t="str">
        <f>HYPERLINK("http://collections.slsa.sa.gov.au/mpcimg/64500/B64298.htm")</f>
        <v>http://collections.slsa.sa.gov.au/mpcimg/64500/B64298.htm</v>
      </c>
    </row>
    <row r="5794" spans="1:11" x14ac:dyDescent="0.25">
      <c r="A5794" t="s">
        <v>20114</v>
      </c>
      <c r="B5794" s="1" t="str">
        <f>HYPERLINK("https://www.catalog.slsa.sa.gov.au/record=b2077196")</f>
        <v>https://www.catalog.slsa.sa.gov.au/record=b2077196</v>
      </c>
      <c r="C5794" s="1" t="str">
        <f>HYPERLINK("https://www.catalog.slsa.sa.gov.au/xrecord=b2077196")</f>
        <v>https://www.catalog.slsa.sa.gov.au/xrecord=b2077196</v>
      </c>
      <c r="E5794" t="s">
        <v>20115</v>
      </c>
      <c r="F5794" t="s">
        <v>4691</v>
      </c>
      <c r="G5794" t="s">
        <v>20116</v>
      </c>
      <c r="H5794" t="s">
        <v>20117</v>
      </c>
      <c r="I5794" t="s">
        <v>20118</v>
      </c>
      <c r="J5794" t="s">
        <v>20119</v>
      </c>
      <c r="K5794" s="2" t="str">
        <f>HYPERLINK("http://collections.slsa.sa.gov.au/mpcimg/55250/B55143.htm")</f>
        <v>http://collections.slsa.sa.gov.au/mpcimg/55250/B55143.htm</v>
      </c>
    </row>
    <row r="5795" spans="1:11" x14ac:dyDescent="0.25">
      <c r="A5795" t="s">
        <v>20120</v>
      </c>
      <c r="B5795" s="1" t="str">
        <f>HYPERLINK("https://www.catalog.slsa.sa.gov.au/record=b2078098")</f>
        <v>https://www.catalog.slsa.sa.gov.au/record=b2078098</v>
      </c>
      <c r="C5795" s="1" t="str">
        <f>HYPERLINK("https://www.catalog.slsa.sa.gov.au/xrecord=b2078098")</f>
        <v>https://www.catalog.slsa.sa.gov.au/xrecord=b2078098</v>
      </c>
      <c r="E5795" t="s">
        <v>20121</v>
      </c>
      <c r="F5795" t="s">
        <v>4691</v>
      </c>
      <c r="G5795" t="s">
        <v>15269</v>
      </c>
      <c r="H5795" t="s">
        <v>20122</v>
      </c>
      <c r="I5795" t="s">
        <v>19344</v>
      </c>
      <c r="J5795" t="s">
        <v>16168</v>
      </c>
      <c r="K5795" s="2" t="str">
        <f>HYPERLINK("http://collections.slsa.sa.gov.au/mpcimg/56250/B56021.htm")</f>
        <v>http://collections.slsa.sa.gov.au/mpcimg/56250/B56021.htm</v>
      </c>
    </row>
    <row r="5796" spans="1:11" x14ac:dyDescent="0.25">
      <c r="A5796" t="s">
        <v>20123</v>
      </c>
      <c r="B5796" s="1" t="str">
        <f>HYPERLINK("https://www.catalog.slsa.sa.gov.au/record=b2078101")</f>
        <v>https://www.catalog.slsa.sa.gov.au/record=b2078101</v>
      </c>
      <c r="C5796" s="1" t="str">
        <f>HYPERLINK("https://www.catalog.slsa.sa.gov.au/xrecord=b2078101")</f>
        <v>https://www.catalog.slsa.sa.gov.au/xrecord=b2078101</v>
      </c>
      <c r="E5796" t="s">
        <v>20124</v>
      </c>
      <c r="F5796" t="s">
        <v>4691</v>
      </c>
      <c r="G5796" t="s">
        <v>15269</v>
      </c>
      <c r="H5796" t="s">
        <v>20125</v>
      </c>
      <c r="J5796" t="s">
        <v>16617</v>
      </c>
      <c r="K5796" s="2" t="str">
        <f>HYPERLINK("http://collections.slsa.sa.gov.au/mpcimg/56250/B56024.htm")</f>
        <v>http://collections.slsa.sa.gov.au/mpcimg/56250/B56024.htm</v>
      </c>
    </row>
    <row r="5797" spans="1:11" x14ac:dyDescent="0.25">
      <c r="A5797" t="s">
        <v>20126</v>
      </c>
      <c r="B5797" s="1" t="str">
        <f>HYPERLINK("https://www.catalog.slsa.sa.gov.au/record=b2079891")</f>
        <v>https://www.catalog.slsa.sa.gov.au/record=b2079891</v>
      </c>
      <c r="C5797" s="1" t="str">
        <f>HYPERLINK("https://www.catalog.slsa.sa.gov.au/xrecord=b2079891")</f>
        <v>https://www.catalog.slsa.sa.gov.au/xrecord=b2079891</v>
      </c>
      <c r="E5797" t="s">
        <v>20127</v>
      </c>
      <c r="F5797" t="s">
        <v>4691</v>
      </c>
      <c r="G5797" t="s">
        <v>15269</v>
      </c>
      <c r="H5797" t="s">
        <v>20128</v>
      </c>
      <c r="I5797" t="s">
        <v>20129</v>
      </c>
      <c r="J5797" t="s">
        <v>17383</v>
      </c>
      <c r="K5797" s="2" t="str">
        <f>HYPERLINK("http://collections.slsa.sa.gov.au/mpcimg/58000/B57824.htm")</f>
        <v>http://collections.slsa.sa.gov.au/mpcimg/58000/B57824.htm</v>
      </c>
    </row>
    <row r="5798" spans="1:11" x14ac:dyDescent="0.25">
      <c r="A5798" t="s">
        <v>20130</v>
      </c>
      <c r="B5798" s="1" t="str">
        <f>HYPERLINK("https://www.catalog.slsa.sa.gov.au/record=b2079902")</f>
        <v>https://www.catalog.slsa.sa.gov.au/record=b2079902</v>
      </c>
      <c r="C5798" s="1" t="str">
        <f>HYPERLINK("https://www.catalog.slsa.sa.gov.au/xrecord=b2079902")</f>
        <v>https://www.catalog.slsa.sa.gov.au/xrecord=b2079902</v>
      </c>
      <c r="E5798" t="s">
        <v>20131</v>
      </c>
      <c r="F5798" t="s">
        <v>4691</v>
      </c>
      <c r="G5798" t="s">
        <v>15269</v>
      </c>
      <c r="H5798" t="s">
        <v>20132</v>
      </c>
      <c r="I5798" t="s">
        <v>20133</v>
      </c>
      <c r="J5798" t="s">
        <v>17419</v>
      </c>
      <c r="K5798" s="2" t="str">
        <f>HYPERLINK("http://collections.slsa.sa.gov.au/mpcimg/58000/B57835.htm")</f>
        <v>http://collections.slsa.sa.gov.au/mpcimg/58000/B57835.htm</v>
      </c>
    </row>
    <row r="5799" spans="1:11" x14ac:dyDescent="0.25">
      <c r="A5799" t="s">
        <v>20134</v>
      </c>
      <c r="B5799" s="1" t="str">
        <f>HYPERLINK("https://www.catalog.slsa.sa.gov.au/record=b2080079")</f>
        <v>https://www.catalog.slsa.sa.gov.au/record=b2080079</v>
      </c>
      <c r="C5799" s="1" t="str">
        <f>HYPERLINK("https://www.catalog.slsa.sa.gov.au/xrecord=b2080079")</f>
        <v>https://www.catalog.slsa.sa.gov.au/xrecord=b2080079</v>
      </c>
      <c r="E5799" t="s">
        <v>20135</v>
      </c>
      <c r="F5799" t="s">
        <v>4691</v>
      </c>
      <c r="G5799" t="s">
        <v>15269</v>
      </c>
      <c r="H5799" t="s">
        <v>20136</v>
      </c>
      <c r="I5799" t="s">
        <v>20137</v>
      </c>
      <c r="J5799" t="s">
        <v>15298</v>
      </c>
      <c r="K5799" s="2" t="str">
        <f>HYPERLINK("http://collections.slsa.sa.gov.au/mpcimg/58250/B58013.htm")</f>
        <v>http://collections.slsa.sa.gov.au/mpcimg/58250/B58013.htm</v>
      </c>
    </row>
    <row r="5800" spans="1:11" x14ac:dyDescent="0.25">
      <c r="A5800" t="s">
        <v>20138</v>
      </c>
      <c r="B5800" s="1" t="str">
        <f>HYPERLINK("https://www.catalog.slsa.sa.gov.au/record=b2080586")</f>
        <v>https://www.catalog.slsa.sa.gov.au/record=b2080586</v>
      </c>
      <c r="C5800" s="1" t="str">
        <f>HYPERLINK("https://www.catalog.slsa.sa.gov.au/xrecord=b2080586")</f>
        <v>https://www.catalog.slsa.sa.gov.au/xrecord=b2080586</v>
      </c>
      <c r="E5800" t="s">
        <v>20139</v>
      </c>
      <c r="F5800" t="s">
        <v>4691</v>
      </c>
      <c r="G5800" t="s">
        <v>15269</v>
      </c>
      <c r="H5800" t="s">
        <v>20140</v>
      </c>
      <c r="I5800" t="s">
        <v>20141</v>
      </c>
      <c r="J5800" t="s">
        <v>2510</v>
      </c>
      <c r="K5800" s="2" t="str">
        <f>HYPERLINK("http://collections.slsa.sa.gov.au/mpcimg/58750/B58520.htm")</f>
        <v>http://collections.slsa.sa.gov.au/mpcimg/58750/B58520.htm</v>
      </c>
    </row>
    <row r="5801" spans="1:11" x14ac:dyDescent="0.25">
      <c r="A5801" t="s">
        <v>20142</v>
      </c>
      <c r="B5801" s="1" t="str">
        <f>HYPERLINK("https://www.catalog.slsa.sa.gov.au/record=b2080587")</f>
        <v>https://www.catalog.slsa.sa.gov.au/record=b2080587</v>
      </c>
      <c r="C5801" s="1" t="str">
        <f>HYPERLINK("https://www.catalog.slsa.sa.gov.au/xrecord=b2080587")</f>
        <v>https://www.catalog.slsa.sa.gov.au/xrecord=b2080587</v>
      </c>
      <c r="E5801" t="s">
        <v>20143</v>
      </c>
      <c r="F5801" t="s">
        <v>4691</v>
      </c>
      <c r="G5801" t="s">
        <v>15269</v>
      </c>
      <c r="H5801" t="s">
        <v>20144</v>
      </c>
      <c r="I5801" t="s">
        <v>20145</v>
      </c>
      <c r="J5801" t="s">
        <v>2510</v>
      </c>
      <c r="K5801" s="2" t="str">
        <f>HYPERLINK("http://collections.slsa.sa.gov.au/mpcimg/58750/B58521.htm")</f>
        <v>http://collections.slsa.sa.gov.au/mpcimg/58750/B58521.htm</v>
      </c>
    </row>
    <row r="5802" spans="1:11" x14ac:dyDescent="0.25">
      <c r="A5802" t="s">
        <v>20146</v>
      </c>
      <c r="B5802" s="1" t="str">
        <f>HYPERLINK("https://www.catalog.slsa.sa.gov.au/record=b2080588")</f>
        <v>https://www.catalog.slsa.sa.gov.au/record=b2080588</v>
      </c>
      <c r="C5802" s="1" t="str">
        <f>HYPERLINK("https://www.catalog.slsa.sa.gov.au/xrecord=b2080588")</f>
        <v>https://www.catalog.slsa.sa.gov.au/xrecord=b2080588</v>
      </c>
      <c r="E5802" t="s">
        <v>20147</v>
      </c>
      <c r="F5802" t="s">
        <v>4691</v>
      </c>
      <c r="G5802" t="s">
        <v>15269</v>
      </c>
      <c r="H5802" t="s">
        <v>20148</v>
      </c>
      <c r="I5802" t="s">
        <v>20149</v>
      </c>
      <c r="J5802" t="s">
        <v>2510</v>
      </c>
      <c r="K5802" s="2" t="str">
        <f>HYPERLINK("http://collections.slsa.sa.gov.au/mpcimg/58750/B58522.htm")</f>
        <v>http://collections.slsa.sa.gov.au/mpcimg/58750/B58522.htm</v>
      </c>
    </row>
    <row r="5803" spans="1:11" x14ac:dyDescent="0.25">
      <c r="A5803" t="s">
        <v>20150</v>
      </c>
      <c r="B5803" s="1" t="str">
        <f>HYPERLINK("https://www.catalog.slsa.sa.gov.au/record=b2090173")</f>
        <v>https://www.catalog.slsa.sa.gov.au/record=b2090173</v>
      </c>
      <c r="C5803" s="1" t="str">
        <f>HYPERLINK("https://www.catalog.slsa.sa.gov.au/xrecord=b2090173")</f>
        <v>https://www.catalog.slsa.sa.gov.au/xrecord=b2090173</v>
      </c>
      <c r="E5803" t="s">
        <v>15337</v>
      </c>
      <c r="F5803" t="s">
        <v>4691</v>
      </c>
      <c r="G5803" t="s">
        <v>20151</v>
      </c>
      <c r="H5803" t="s">
        <v>20152</v>
      </c>
      <c r="I5803" t="s">
        <v>15400</v>
      </c>
      <c r="J5803" t="s">
        <v>15341</v>
      </c>
      <c r="K5803" s="2" t="str">
        <f>HYPERLINK("http://collections.slsa.sa.gov.au/mpcimg/59000/B58892_9.htm")</f>
        <v>http://collections.slsa.sa.gov.au/mpcimg/59000/B58892_9.htm</v>
      </c>
    </row>
    <row r="5804" spans="1:11" x14ac:dyDescent="0.25">
      <c r="A5804" t="s">
        <v>20153</v>
      </c>
      <c r="B5804" s="1" t="str">
        <f>HYPERLINK("https://www.catalog.slsa.sa.gov.au/record=b2090174")</f>
        <v>https://www.catalog.slsa.sa.gov.au/record=b2090174</v>
      </c>
      <c r="C5804" s="1" t="str">
        <f>HYPERLINK("https://www.catalog.slsa.sa.gov.au/xrecord=b2090174")</f>
        <v>https://www.catalog.slsa.sa.gov.au/xrecord=b2090174</v>
      </c>
      <c r="E5804" t="s">
        <v>15337</v>
      </c>
      <c r="F5804" t="s">
        <v>4691</v>
      </c>
      <c r="G5804" t="s">
        <v>20154</v>
      </c>
      <c r="H5804" t="s">
        <v>20155</v>
      </c>
      <c r="I5804" t="s">
        <v>15400</v>
      </c>
      <c r="J5804" t="s">
        <v>15341</v>
      </c>
      <c r="K5804" s="2" t="str">
        <f>HYPERLINK("http://collections.slsa.sa.gov.au/mpcimg/59000/B58892_10.htm")</f>
        <v>http://collections.slsa.sa.gov.au/mpcimg/59000/B58892_10.htm</v>
      </c>
    </row>
    <row r="5805" spans="1:11" x14ac:dyDescent="0.25">
      <c r="A5805" t="s">
        <v>20156</v>
      </c>
      <c r="B5805" s="1" t="str">
        <f>HYPERLINK("https://www.catalog.slsa.sa.gov.au/record=b2090177")</f>
        <v>https://www.catalog.slsa.sa.gov.au/record=b2090177</v>
      </c>
      <c r="C5805" s="1" t="str">
        <f>HYPERLINK("https://www.catalog.slsa.sa.gov.au/xrecord=b2090177")</f>
        <v>https://www.catalog.slsa.sa.gov.au/xrecord=b2090177</v>
      </c>
      <c r="E5805" t="s">
        <v>15337</v>
      </c>
      <c r="F5805" t="s">
        <v>4691</v>
      </c>
      <c r="G5805" t="s">
        <v>20157</v>
      </c>
      <c r="H5805" t="s">
        <v>20158</v>
      </c>
      <c r="I5805" t="s">
        <v>15400</v>
      </c>
      <c r="J5805" t="s">
        <v>15341</v>
      </c>
      <c r="K5805" s="2" t="str">
        <f>HYPERLINK("http://collections.slsa.sa.gov.au/mpcimg/59000/B58892_13.htm")</f>
        <v>http://collections.slsa.sa.gov.au/mpcimg/59000/B58892_13.htm</v>
      </c>
    </row>
    <row r="5806" spans="1:11" x14ac:dyDescent="0.25">
      <c r="A5806" t="s">
        <v>20159</v>
      </c>
      <c r="B5806" s="1" t="str">
        <f>HYPERLINK("https://www.catalog.slsa.sa.gov.au/record=b2090179")</f>
        <v>https://www.catalog.slsa.sa.gov.au/record=b2090179</v>
      </c>
      <c r="C5806" s="1" t="str">
        <f>HYPERLINK("https://www.catalog.slsa.sa.gov.au/xrecord=b2090179")</f>
        <v>https://www.catalog.slsa.sa.gov.au/xrecord=b2090179</v>
      </c>
      <c r="E5806" t="s">
        <v>15337</v>
      </c>
      <c r="F5806" t="s">
        <v>4691</v>
      </c>
      <c r="G5806" t="s">
        <v>20160</v>
      </c>
      <c r="H5806" t="s">
        <v>20161</v>
      </c>
      <c r="I5806" t="s">
        <v>15400</v>
      </c>
      <c r="J5806" t="s">
        <v>15341</v>
      </c>
      <c r="K5806" s="2" t="str">
        <f>HYPERLINK("http://collections.slsa.sa.gov.au/mpcimg/59000/B58892_15.htm")</f>
        <v>http://collections.slsa.sa.gov.au/mpcimg/59000/B58892_15.htm</v>
      </c>
    </row>
    <row r="5807" spans="1:11" x14ac:dyDescent="0.25">
      <c r="A5807" t="s">
        <v>20162</v>
      </c>
      <c r="B5807" s="1" t="str">
        <f>HYPERLINK("https://www.catalog.slsa.sa.gov.au/record=b2090183")</f>
        <v>https://www.catalog.slsa.sa.gov.au/record=b2090183</v>
      </c>
      <c r="C5807" s="1" t="str">
        <f>HYPERLINK("https://www.catalog.slsa.sa.gov.au/xrecord=b2090183")</f>
        <v>https://www.catalog.slsa.sa.gov.au/xrecord=b2090183</v>
      </c>
      <c r="E5807" t="s">
        <v>15337</v>
      </c>
      <c r="F5807" t="s">
        <v>4691</v>
      </c>
      <c r="G5807" t="s">
        <v>19460</v>
      </c>
      <c r="H5807" t="s">
        <v>20163</v>
      </c>
      <c r="I5807" t="s">
        <v>15340</v>
      </c>
      <c r="J5807" t="s">
        <v>15341</v>
      </c>
      <c r="K5807" s="2" t="str">
        <f>HYPERLINK("http://collections.slsa.sa.gov.au/mpcimg/59000/B58892_19.htm")</f>
        <v>http://collections.slsa.sa.gov.au/mpcimg/59000/B58892_19.htm</v>
      </c>
    </row>
    <row r="5808" spans="1:11" x14ac:dyDescent="0.25">
      <c r="A5808" t="s">
        <v>20164</v>
      </c>
      <c r="B5808" s="1" t="str">
        <f>HYPERLINK("https://www.catalog.slsa.sa.gov.au/record=b2090206")</f>
        <v>https://www.catalog.slsa.sa.gov.au/record=b2090206</v>
      </c>
      <c r="C5808" s="1" t="str">
        <f>HYPERLINK("https://www.catalog.slsa.sa.gov.au/xrecord=b2090206")</f>
        <v>https://www.catalog.slsa.sa.gov.au/xrecord=b2090206</v>
      </c>
      <c r="E5808" t="s">
        <v>15337</v>
      </c>
      <c r="F5808" t="s">
        <v>4691</v>
      </c>
      <c r="G5808" t="s">
        <v>19622</v>
      </c>
      <c r="H5808" t="s">
        <v>20165</v>
      </c>
      <c r="I5808" t="s">
        <v>15340</v>
      </c>
      <c r="J5808" t="s">
        <v>15341</v>
      </c>
      <c r="K5808" s="2" t="str">
        <f>HYPERLINK("http://collections.slsa.sa.gov.au/mpcimg/59000/B58892_42.htm")</f>
        <v>http://collections.slsa.sa.gov.au/mpcimg/59000/B58892_42.htm</v>
      </c>
    </row>
    <row r="5809" spans="1:11" x14ac:dyDescent="0.25">
      <c r="A5809" t="s">
        <v>20166</v>
      </c>
      <c r="B5809" s="1" t="str">
        <f>HYPERLINK("https://www.catalog.slsa.sa.gov.au/record=b2090207")</f>
        <v>https://www.catalog.slsa.sa.gov.au/record=b2090207</v>
      </c>
      <c r="C5809" s="1" t="str">
        <f>HYPERLINK("https://www.catalog.slsa.sa.gov.au/xrecord=b2090207")</f>
        <v>https://www.catalog.slsa.sa.gov.au/xrecord=b2090207</v>
      </c>
      <c r="E5809" t="s">
        <v>15337</v>
      </c>
      <c r="F5809" t="s">
        <v>4691</v>
      </c>
      <c r="G5809" t="s">
        <v>19507</v>
      </c>
      <c r="H5809" t="s">
        <v>20167</v>
      </c>
      <c r="I5809" t="s">
        <v>15386</v>
      </c>
      <c r="J5809" t="s">
        <v>15341</v>
      </c>
      <c r="K5809" s="2" t="str">
        <f>HYPERLINK("http://collections.slsa.sa.gov.au/mpcimg/59000/B58892_43.htm")</f>
        <v>http://collections.slsa.sa.gov.au/mpcimg/59000/B58892_43.htm</v>
      </c>
    </row>
    <row r="5810" spans="1:11" x14ac:dyDescent="0.25">
      <c r="A5810" t="s">
        <v>20168</v>
      </c>
      <c r="B5810" s="1" t="str">
        <f>HYPERLINK("https://www.catalog.slsa.sa.gov.au/record=b2090231")</f>
        <v>https://www.catalog.slsa.sa.gov.au/record=b2090231</v>
      </c>
      <c r="C5810" s="1" t="str">
        <f>HYPERLINK("https://www.catalog.slsa.sa.gov.au/xrecord=b2090231")</f>
        <v>https://www.catalog.slsa.sa.gov.au/xrecord=b2090231</v>
      </c>
      <c r="E5810" t="s">
        <v>15353</v>
      </c>
      <c r="F5810" t="s">
        <v>4691</v>
      </c>
      <c r="G5810" t="s">
        <v>20169</v>
      </c>
      <c r="H5810" t="s">
        <v>20170</v>
      </c>
      <c r="I5810" t="s">
        <v>19465</v>
      </c>
      <c r="J5810" t="s">
        <v>15341</v>
      </c>
      <c r="K5810" s="2" t="str">
        <f>HYPERLINK("http://collections.slsa.sa.gov.au/mpcimg/59000/B58892_67.htm")</f>
        <v>http://collections.slsa.sa.gov.au/mpcimg/59000/B58892_67.htm</v>
      </c>
    </row>
    <row r="5811" spans="1:11" x14ac:dyDescent="0.25">
      <c r="A5811" t="s">
        <v>20171</v>
      </c>
      <c r="B5811" s="1" t="str">
        <f>HYPERLINK("https://www.catalog.slsa.sa.gov.au/record=b2090274")</f>
        <v>https://www.catalog.slsa.sa.gov.au/record=b2090274</v>
      </c>
      <c r="C5811" s="1" t="str">
        <f>HYPERLINK("https://www.catalog.slsa.sa.gov.au/xrecord=b2090274")</f>
        <v>https://www.catalog.slsa.sa.gov.au/xrecord=b2090274</v>
      </c>
      <c r="E5811" t="s">
        <v>15365</v>
      </c>
      <c r="F5811" t="s">
        <v>4691</v>
      </c>
      <c r="G5811" t="s">
        <v>19460</v>
      </c>
      <c r="H5811" t="s">
        <v>20172</v>
      </c>
      <c r="I5811" t="s">
        <v>15356</v>
      </c>
      <c r="J5811" t="s">
        <v>15341</v>
      </c>
      <c r="K5811" s="2" t="str">
        <f>HYPERLINK("http://collections.slsa.sa.gov.au/mpcimg/59000/B58892_120.htm")</f>
        <v>http://collections.slsa.sa.gov.au/mpcimg/59000/B58892_120.htm</v>
      </c>
    </row>
    <row r="5812" spans="1:11" x14ac:dyDescent="0.25">
      <c r="A5812" t="s">
        <v>20173</v>
      </c>
      <c r="B5812" s="1" t="str">
        <f>HYPERLINK("https://www.catalog.slsa.sa.gov.au/record=b2090294")</f>
        <v>https://www.catalog.slsa.sa.gov.au/record=b2090294</v>
      </c>
      <c r="C5812" s="1" t="str">
        <f>HYPERLINK("https://www.catalog.slsa.sa.gov.au/xrecord=b2090294")</f>
        <v>https://www.catalog.slsa.sa.gov.au/xrecord=b2090294</v>
      </c>
      <c r="E5812" t="s">
        <v>19472</v>
      </c>
      <c r="F5812" t="s">
        <v>4691</v>
      </c>
      <c r="G5812" t="s">
        <v>20174</v>
      </c>
      <c r="H5812" t="s">
        <v>20175</v>
      </c>
      <c r="I5812" t="s">
        <v>19475</v>
      </c>
      <c r="J5812" t="s">
        <v>15341</v>
      </c>
      <c r="K5812" s="2" t="str">
        <f>HYPERLINK("http://collections.slsa.sa.gov.au/mpcimg/59000/B58892_109.htm")</f>
        <v>http://collections.slsa.sa.gov.au/mpcimg/59000/B58892_109.htm</v>
      </c>
    </row>
    <row r="5813" spans="1:11" x14ac:dyDescent="0.25">
      <c r="A5813" t="s">
        <v>20176</v>
      </c>
      <c r="B5813" s="1" t="str">
        <f>HYPERLINK("https://www.catalog.slsa.sa.gov.au/record=b2090295")</f>
        <v>https://www.catalog.slsa.sa.gov.au/record=b2090295</v>
      </c>
      <c r="C5813" s="1" t="str">
        <f>HYPERLINK("https://www.catalog.slsa.sa.gov.au/xrecord=b2090295")</f>
        <v>https://www.catalog.slsa.sa.gov.au/xrecord=b2090295</v>
      </c>
      <c r="E5813" t="s">
        <v>19472</v>
      </c>
      <c r="F5813" t="s">
        <v>4691</v>
      </c>
      <c r="G5813" t="s">
        <v>17971</v>
      </c>
      <c r="H5813" t="s">
        <v>20177</v>
      </c>
      <c r="I5813" t="s">
        <v>15400</v>
      </c>
      <c r="J5813" t="s">
        <v>15341</v>
      </c>
      <c r="K5813" s="2" t="str">
        <f>HYPERLINK("http://collections.slsa.sa.gov.au/mpcimg/59000/B58892_110.htm")</f>
        <v>http://collections.slsa.sa.gov.au/mpcimg/59000/B58892_110.htm</v>
      </c>
    </row>
    <row r="5814" spans="1:11" x14ac:dyDescent="0.25">
      <c r="A5814" t="s">
        <v>20178</v>
      </c>
      <c r="B5814" s="1" t="str">
        <f>HYPERLINK("https://www.catalog.slsa.sa.gov.au/record=b2090296")</f>
        <v>https://www.catalog.slsa.sa.gov.au/record=b2090296</v>
      </c>
      <c r="C5814" s="1" t="str">
        <f>HYPERLINK("https://www.catalog.slsa.sa.gov.au/xrecord=b2090296")</f>
        <v>https://www.catalog.slsa.sa.gov.au/xrecord=b2090296</v>
      </c>
      <c r="E5814" t="s">
        <v>19472</v>
      </c>
      <c r="F5814" t="s">
        <v>4691</v>
      </c>
      <c r="G5814" t="s">
        <v>20179</v>
      </c>
      <c r="H5814" t="s">
        <v>20180</v>
      </c>
      <c r="I5814" t="s">
        <v>19408</v>
      </c>
      <c r="J5814" t="s">
        <v>15341</v>
      </c>
      <c r="K5814" s="2" t="str">
        <f>HYPERLINK("http://collections.slsa.sa.gov.au/mpcimg/59000/B58892_111.htm")</f>
        <v>http://collections.slsa.sa.gov.au/mpcimg/59000/B58892_111.htm</v>
      </c>
    </row>
    <row r="5815" spans="1:11" x14ac:dyDescent="0.25">
      <c r="A5815" t="s">
        <v>20181</v>
      </c>
      <c r="B5815" s="1" t="str">
        <f>HYPERLINK("https://www.catalog.slsa.sa.gov.au/record=b2090297")</f>
        <v>https://www.catalog.slsa.sa.gov.au/record=b2090297</v>
      </c>
      <c r="C5815" s="1" t="str">
        <f>HYPERLINK("https://www.catalog.slsa.sa.gov.au/xrecord=b2090297")</f>
        <v>https://www.catalog.slsa.sa.gov.au/xrecord=b2090297</v>
      </c>
      <c r="E5815" t="s">
        <v>19472</v>
      </c>
      <c r="F5815" t="s">
        <v>4691</v>
      </c>
      <c r="G5815" t="s">
        <v>20182</v>
      </c>
      <c r="H5815" t="s">
        <v>20183</v>
      </c>
      <c r="I5815" t="s">
        <v>15400</v>
      </c>
      <c r="J5815" t="s">
        <v>15341</v>
      </c>
      <c r="K5815" s="2" t="str">
        <f>HYPERLINK("http://collections.slsa.sa.gov.au/mpcimg/59000/B58892_112.htm")</f>
        <v>http://collections.slsa.sa.gov.au/mpcimg/59000/B58892_112.htm</v>
      </c>
    </row>
    <row r="5816" spans="1:11" x14ac:dyDescent="0.25">
      <c r="A5816" t="s">
        <v>20184</v>
      </c>
      <c r="B5816" s="1" t="str">
        <f>HYPERLINK("https://www.catalog.slsa.sa.gov.au/record=b2090298")</f>
        <v>https://www.catalog.slsa.sa.gov.au/record=b2090298</v>
      </c>
      <c r="C5816" s="1" t="str">
        <f>HYPERLINK("https://www.catalog.slsa.sa.gov.au/xrecord=b2090298")</f>
        <v>https://www.catalog.slsa.sa.gov.au/xrecord=b2090298</v>
      </c>
      <c r="E5816" t="s">
        <v>19472</v>
      </c>
      <c r="F5816" t="s">
        <v>4691</v>
      </c>
      <c r="G5816" t="s">
        <v>20185</v>
      </c>
      <c r="H5816" t="s">
        <v>20186</v>
      </c>
      <c r="I5816" t="s">
        <v>15400</v>
      </c>
      <c r="J5816" t="s">
        <v>15341</v>
      </c>
      <c r="K5816" s="2" t="str">
        <f>HYPERLINK("http://collections.slsa.sa.gov.au/mpcimg/59000/B58892_113.htm")</f>
        <v>http://collections.slsa.sa.gov.au/mpcimg/59000/B58892_113.htm</v>
      </c>
    </row>
    <row r="5817" spans="1:11" x14ac:dyDescent="0.25">
      <c r="A5817" t="s">
        <v>20187</v>
      </c>
      <c r="B5817" s="1" t="str">
        <f>HYPERLINK("https://www.catalog.slsa.sa.gov.au/record=b2090311")</f>
        <v>https://www.catalog.slsa.sa.gov.au/record=b2090311</v>
      </c>
      <c r="C5817" s="1" t="str">
        <f>HYPERLINK("https://www.catalog.slsa.sa.gov.au/xrecord=b2090311")</f>
        <v>https://www.catalog.slsa.sa.gov.au/xrecord=b2090311</v>
      </c>
      <c r="E5817" t="s">
        <v>19492</v>
      </c>
      <c r="F5817" t="s">
        <v>4691</v>
      </c>
      <c r="G5817" t="s">
        <v>20188</v>
      </c>
      <c r="H5817" t="s">
        <v>20189</v>
      </c>
      <c r="I5817" t="s">
        <v>19481</v>
      </c>
      <c r="J5817" t="s">
        <v>15341</v>
      </c>
      <c r="K5817" s="2" t="str">
        <f>HYPERLINK("http://collections.slsa.sa.gov.au/mpcimg/59000/B58892_147.htm")</f>
        <v>http://collections.slsa.sa.gov.au/mpcimg/59000/B58892_147.htm</v>
      </c>
    </row>
    <row r="5818" spans="1:11" x14ac:dyDescent="0.25">
      <c r="A5818" t="s">
        <v>20190</v>
      </c>
      <c r="B5818" s="1" t="str">
        <f>HYPERLINK("https://www.catalog.slsa.sa.gov.au/record=b2090317")</f>
        <v>https://www.catalog.slsa.sa.gov.au/record=b2090317</v>
      </c>
      <c r="C5818" s="1" t="str">
        <f>HYPERLINK("https://www.catalog.slsa.sa.gov.au/xrecord=b2090317")</f>
        <v>https://www.catalog.slsa.sa.gov.au/xrecord=b2090317</v>
      </c>
      <c r="E5818" t="s">
        <v>19492</v>
      </c>
      <c r="F5818" t="s">
        <v>4691</v>
      </c>
      <c r="G5818" t="s">
        <v>20191</v>
      </c>
      <c r="H5818" t="s">
        <v>20192</v>
      </c>
      <c r="I5818" t="s">
        <v>15340</v>
      </c>
      <c r="J5818" t="s">
        <v>20193</v>
      </c>
      <c r="K5818" s="2" t="str">
        <f>HYPERLINK("http://collections.slsa.sa.gov.au/mpcimg/59000/B58892_153.htm")</f>
        <v>http://collections.slsa.sa.gov.au/mpcimg/59000/B58892_153.htm</v>
      </c>
    </row>
    <row r="5819" spans="1:11" x14ac:dyDescent="0.25">
      <c r="A5819" t="s">
        <v>20194</v>
      </c>
      <c r="B5819" s="1" t="str">
        <f>HYPERLINK("https://www.catalog.slsa.sa.gov.au/record=b2090318")</f>
        <v>https://www.catalog.slsa.sa.gov.au/record=b2090318</v>
      </c>
      <c r="C5819" s="1" t="str">
        <f>HYPERLINK("https://www.catalog.slsa.sa.gov.au/xrecord=b2090318")</f>
        <v>https://www.catalog.slsa.sa.gov.au/xrecord=b2090318</v>
      </c>
      <c r="E5819" t="s">
        <v>19492</v>
      </c>
      <c r="F5819" t="s">
        <v>4691</v>
      </c>
      <c r="G5819" t="s">
        <v>20195</v>
      </c>
      <c r="H5819" t="s">
        <v>20196</v>
      </c>
      <c r="I5819" t="s">
        <v>15400</v>
      </c>
      <c r="J5819" t="s">
        <v>15341</v>
      </c>
      <c r="K5819" s="2" t="str">
        <f>HYPERLINK("http://collections.slsa.sa.gov.au/mpcimg/59000/B58892_154.htm")</f>
        <v>http://collections.slsa.sa.gov.au/mpcimg/59000/B58892_154.htm</v>
      </c>
    </row>
    <row r="5820" spans="1:11" x14ac:dyDescent="0.25">
      <c r="A5820" t="s">
        <v>20197</v>
      </c>
      <c r="B5820" s="1" t="str">
        <f>HYPERLINK("https://www.catalog.slsa.sa.gov.au/record=b2090319")</f>
        <v>https://www.catalog.slsa.sa.gov.au/record=b2090319</v>
      </c>
      <c r="C5820" s="1" t="str">
        <f>HYPERLINK("https://www.catalog.slsa.sa.gov.au/xrecord=b2090319")</f>
        <v>https://www.catalog.slsa.sa.gov.au/xrecord=b2090319</v>
      </c>
      <c r="E5820" t="s">
        <v>19492</v>
      </c>
      <c r="F5820" t="s">
        <v>4691</v>
      </c>
      <c r="G5820" t="s">
        <v>20198</v>
      </c>
      <c r="H5820" t="s">
        <v>20199</v>
      </c>
      <c r="I5820" t="s">
        <v>17703</v>
      </c>
      <c r="J5820" t="s">
        <v>15341</v>
      </c>
      <c r="K5820" s="2" t="str">
        <f>HYPERLINK("http://collections.slsa.sa.gov.au/mpcimg/59000/B58892_155.htm")</f>
        <v>http://collections.slsa.sa.gov.au/mpcimg/59000/B58892_155.htm</v>
      </c>
    </row>
    <row r="5821" spans="1:11" x14ac:dyDescent="0.25">
      <c r="A5821" t="s">
        <v>20200</v>
      </c>
      <c r="B5821" s="1" t="str">
        <f>HYPERLINK("https://www.catalog.slsa.sa.gov.au/record=b2090321")</f>
        <v>https://www.catalog.slsa.sa.gov.au/record=b2090321</v>
      </c>
      <c r="C5821" s="1" t="str">
        <f>HYPERLINK("https://www.catalog.slsa.sa.gov.au/xrecord=b2090321")</f>
        <v>https://www.catalog.slsa.sa.gov.au/xrecord=b2090321</v>
      </c>
      <c r="E5821" t="s">
        <v>19516</v>
      </c>
      <c r="F5821" t="s">
        <v>4691</v>
      </c>
      <c r="G5821" t="s">
        <v>19416</v>
      </c>
      <c r="H5821" t="s">
        <v>20189</v>
      </c>
      <c r="I5821" t="s">
        <v>19481</v>
      </c>
      <c r="J5821" t="s">
        <v>15341</v>
      </c>
      <c r="K5821" s="2" t="str">
        <f>HYPERLINK("http://collections.slsa.sa.gov.au/mpcimg/59000/B58892_157.htm")</f>
        <v>http://collections.slsa.sa.gov.au/mpcimg/59000/B58892_157.htm</v>
      </c>
    </row>
    <row r="5822" spans="1:11" x14ac:dyDescent="0.25">
      <c r="A5822" t="s">
        <v>20201</v>
      </c>
      <c r="B5822" s="1" t="str">
        <f>HYPERLINK("https://www.catalog.slsa.sa.gov.au/record=b2090328")</f>
        <v>https://www.catalog.slsa.sa.gov.au/record=b2090328</v>
      </c>
      <c r="C5822" s="1" t="str">
        <f>HYPERLINK("https://www.catalog.slsa.sa.gov.au/xrecord=b2090328")</f>
        <v>https://www.catalog.slsa.sa.gov.au/xrecord=b2090328</v>
      </c>
      <c r="E5822" t="s">
        <v>19516</v>
      </c>
      <c r="F5822" t="s">
        <v>4691</v>
      </c>
      <c r="G5822" t="s">
        <v>20202</v>
      </c>
      <c r="H5822" t="s">
        <v>19527</v>
      </c>
      <c r="I5822" t="s">
        <v>15340</v>
      </c>
      <c r="J5822" t="s">
        <v>15341</v>
      </c>
      <c r="K5822" s="2" t="str">
        <f>HYPERLINK("http://collections.slsa.sa.gov.au/mpcimg/59000/B58892_164.htm")</f>
        <v>http://collections.slsa.sa.gov.au/mpcimg/59000/B58892_164.htm</v>
      </c>
    </row>
    <row r="5823" spans="1:11" x14ac:dyDescent="0.25">
      <c r="A5823" t="s">
        <v>20203</v>
      </c>
      <c r="B5823" s="1" t="str">
        <f>HYPERLINK("https://www.catalog.slsa.sa.gov.au/record=b2090330")</f>
        <v>https://www.catalog.slsa.sa.gov.au/record=b2090330</v>
      </c>
      <c r="C5823" s="1" t="str">
        <f>HYPERLINK("https://www.catalog.slsa.sa.gov.au/xrecord=b2090330")</f>
        <v>https://www.catalog.slsa.sa.gov.au/xrecord=b2090330</v>
      </c>
      <c r="E5823" t="s">
        <v>19516</v>
      </c>
      <c r="F5823" t="s">
        <v>4691</v>
      </c>
      <c r="G5823" t="s">
        <v>20204</v>
      </c>
      <c r="H5823" t="s">
        <v>20205</v>
      </c>
      <c r="I5823" t="s">
        <v>15400</v>
      </c>
      <c r="J5823" t="s">
        <v>15341</v>
      </c>
      <c r="K5823" s="2" t="str">
        <f>HYPERLINK("http://collections.slsa.sa.gov.au/mpcimg/59000/B58892_166.htm")</f>
        <v>http://collections.slsa.sa.gov.au/mpcimg/59000/B58892_166.htm</v>
      </c>
    </row>
    <row r="5824" spans="1:11" x14ac:dyDescent="0.25">
      <c r="A5824" t="s">
        <v>20206</v>
      </c>
      <c r="B5824" s="1" t="str">
        <f>HYPERLINK("https://www.catalog.slsa.sa.gov.au/record=b2090356")</f>
        <v>https://www.catalog.slsa.sa.gov.au/record=b2090356</v>
      </c>
      <c r="C5824" s="1" t="str">
        <f>HYPERLINK("https://www.catalog.slsa.sa.gov.au/xrecord=b2090356")</f>
        <v>https://www.catalog.slsa.sa.gov.au/xrecord=b2090356</v>
      </c>
      <c r="E5824" t="s">
        <v>15372</v>
      </c>
      <c r="F5824" t="s">
        <v>4691</v>
      </c>
      <c r="G5824" t="s">
        <v>20207</v>
      </c>
      <c r="H5824" t="s">
        <v>20208</v>
      </c>
      <c r="I5824" t="s">
        <v>15400</v>
      </c>
      <c r="J5824" t="s">
        <v>15341</v>
      </c>
      <c r="K5824" s="2" t="str">
        <f>HYPERLINK("http://collections.slsa.sa.gov.au/mpcimg/59000/B58892_192.htm")</f>
        <v>http://collections.slsa.sa.gov.au/mpcimg/59000/B58892_192.htm</v>
      </c>
    </row>
    <row r="5825" spans="1:11" x14ac:dyDescent="0.25">
      <c r="A5825" t="s">
        <v>20209</v>
      </c>
      <c r="B5825" s="1" t="str">
        <f>HYPERLINK("https://www.catalog.slsa.sa.gov.au/record=b2090416")</f>
        <v>https://www.catalog.slsa.sa.gov.au/record=b2090416</v>
      </c>
      <c r="C5825" s="1" t="str">
        <f>HYPERLINK("https://www.catalog.slsa.sa.gov.au/xrecord=b2090416")</f>
        <v>https://www.catalog.slsa.sa.gov.au/xrecord=b2090416</v>
      </c>
      <c r="E5825" t="s">
        <v>19596</v>
      </c>
      <c r="F5825" t="s">
        <v>4691</v>
      </c>
      <c r="G5825" t="s">
        <v>19622</v>
      </c>
      <c r="H5825" t="s">
        <v>20210</v>
      </c>
      <c r="I5825" t="s">
        <v>15340</v>
      </c>
      <c r="J5825" t="s">
        <v>20193</v>
      </c>
      <c r="K5825" s="2" t="str">
        <f>HYPERLINK("http://collections.slsa.sa.gov.au/mpcimg/59000/B58892_252.htm")</f>
        <v>http://collections.slsa.sa.gov.au/mpcimg/59000/B58892_252.htm</v>
      </c>
    </row>
    <row r="5826" spans="1:11" x14ac:dyDescent="0.25">
      <c r="A5826" t="s">
        <v>20211</v>
      </c>
      <c r="B5826" s="1" t="str">
        <f>HYPERLINK("https://www.catalog.slsa.sa.gov.au/record=b2090417")</f>
        <v>https://www.catalog.slsa.sa.gov.au/record=b2090417</v>
      </c>
      <c r="C5826" s="1" t="str">
        <f>HYPERLINK("https://www.catalog.slsa.sa.gov.au/xrecord=b2090417")</f>
        <v>https://www.catalog.slsa.sa.gov.au/xrecord=b2090417</v>
      </c>
      <c r="E5826" t="s">
        <v>19596</v>
      </c>
      <c r="F5826" t="s">
        <v>4691</v>
      </c>
      <c r="G5826" t="s">
        <v>20212</v>
      </c>
      <c r="H5826" t="s">
        <v>20213</v>
      </c>
      <c r="I5826" t="s">
        <v>15400</v>
      </c>
      <c r="J5826" t="s">
        <v>15341</v>
      </c>
      <c r="K5826" s="2" t="str">
        <f>HYPERLINK("http://collections.slsa.sa.gov.au/mpcimg/59000/B58892_253.htm")</f>
        <v>http://collections.slsa.sa.gov.au/mpcimg/59000/B58892_253.htm</v>
      </c>
    </row>
    <row r="5827" spans="1:11" x14ac:dyDescent="0.25">
      <c r="A5827" t="s">
        <v>20214</v>
      </c>
      <c r="B5827" s="1" t="str">
        <f>HYPERLINK("https://www.catalog.slsa.sa.gov.au/record=b2090418")</f>
        <v>https://www.catalog.slsa.sa.gov.au/record=b2090418</v>
      </c>
      <c r="C5827" s="1" t="str">
        <f>HYPERLINK("https://www.catalog.slsa.sa.gov.au/xrecord=b2090418")</f>
        <v>https://www.catalog.slsa.sa.gov.au/xrecord=b2090418</v>
      </c>
      <c r="E5827" t="s">
        <v>19596</v>
      </c>
      <c r="F5827" t="s">
        <v>4691</v>
      </c>
      <c r="G5827" t="s">
        <v>20215</v>
      </c>
      <c r="H5827" t="s">
        <v>20216</v>
      </c>
      <c r="I5827" t="s">
        <v>15400</v>
      </c>
      <c r="J5827" t="s">
        <v>15341</v>
      </c>
      <c r="K5827" s="2" t="str">
        <f>HYPERLINK("http://collections.slsa.sa.gov.au/mpcimg/59000/B58892_254.htm")</f>
        <v>http://collections.slsa.sa.gov.au/mpcimg/59000/B58892_254.htm</v>
      </c>
    </row>
    <row r="5828" spans="1:11" x14ac:dyDescent="0.25">
      <c r="A5828" t="s">
        <v>20217</v>
      </c>
      <c r="B5828" s="1" t="str">
        <f>HYPERLINK("https://www.catalog.slsa.sa.gov.au/record=b2090419")</f>
        <v>https://www.catalog.slsa.sa.gov.au/record=b2090419</v>
      </c>
      <c r="C5828" s="1" t="str">
        <f>HYPERLINK("https://www.catalog.slsa.sa.gov.au/xrecord=b2090419")</f>
        <v>https://www.catalog.slsa.sa.gov.au/xrecord=b2090419</v>
      </c>
      <c r="E5828" t="s">
        <v>19596</v>
      </c>
      <c r="F5828" t="s">
        <v>4691</v>
      </c>
      <c r="G5828" t="s">
        <v>20218</v>
      </c>
      <c r="H5828" t="s">
        <v>20216</v>
      </c>
      <c r="I5828" t="s">
        <v>15400</v>
      </c>
      <c r="J5828" t="s">
        <v>15341</v>
      </c>
      <c r="K5828" s="2" t="str">
        <f>HYPERLINK("http://collections.slsa.sa.gov.au/mpcimg/59000/B58892_255.htm")</f>
        <v>http://collections.slsa.sa.gov.au/mpcimg/59000/B58892_255.htm</v>
      </c>
    </row>
    <row r="5829" spans="1:11" x14ac:dyDescent="0.25">
      <c r="A5829" t="s">
        <v>20219</v>
      </c>
      <c r="B5829" s="1" t="str">
        <f>HYPERLINK("https://www.catalog.slsa.sa.gov.au/record=b2090420")</f>
        <v>https://www.catalog.slsa.sa.gov.au/record=b2090420</v>
      </c>
      <c r="C5829" s="1" t="str">
        <f>HYPERLINK("https://www.catalog.slsa.sa.gov.au/xrecord=b2090420")</f>
        <v>https://www.catalog.slsa.sa.gov.au/xrecord=b2090420</v>
      </c>
      <c r="E5829" t="s">
        <v>19596</v>
      </c>
      <c r="F5829" t="s">
        <v>4691</v>
      </c>
      <c r="G5829" t="s">
        <v>20220</v>
      </c>
      <c r="H5829" t="s">
        <v>20221</v>
      </c>
      <c r="I5829" t="s">
        <v>15400</v>
      </c>
      <c r="J5829" t="s">
        <v>15341</v>
      </c>
      <c r="K5829" s="2" t="str">
        <f>HYPERLINK("http://collections.slsa.sa.gov.au/mpcimg/59000/B58892_256.htm")</f>
        <v>http://collections.slsa.sa.gov.au/mpcimg/59000/B58892_256.htm</v>
      </c>
    </row>
    <row r="5830" spans="1:11" x14ac:dyDescent="0.25">
      <c r="A5830" t="s">
        <v>20222</v>
      </c>
      <c r="B5830" s="1" t="str">
        <f>HYPERLINK("https://www.catalog.slsa.sa.gov.au/record=b2090421")</f>
        <v>https://www.catalog.slsa.sa.gov.au/record=b2090421</v>
      </c>
      <c r="C5830" s="1" t="str">
        <f>HYPERLINK("https://www.catalog.slsa.sa.gov.au/xrecord=b2090421")</f>
        <v>https://www.catalog.slsa.sa.gov.au/xrecord=b2090421</v>
      </c>
      <c r="E5830" t="s">
        <v>19596</v>
      </c>
      <c r="F5830" t="s">
        <v>4691</v>
      </c>
      <c r="G5830" t="s">
        <v>18053</v>
      </c>
      <c r="H5830" t="s">
        <v>20223</v>
      </c>
      <c r="I5830" t="s">
        <v>15400</v>
      </c>
      <c r="J5830" t="s">
        <v>15341</v>
      </c>
      <c r="K5830" s="2" t="str">
        <f>HYPERLINK("http://collections.slsa.sa.gov.au/mpcimg/59000/B58892_257.htm")</f>
        <v>http://collections.slsa.sa.gov.au/mpcimg/59000/B58892_257.htm</v>
      </c>
    </row>
    <row r="5831" spans="1:11" x14ac:dyDescent="0.25">
      <c r="A5831" t="s">
        <v>20224</v>
      </c>
      <c r="B5831" s="1" t="str">
        <f>HYPERLINK("https://www.catalog.slsa.sa.gov.au/record=b2090422")</f>
        <v>https://www.catalog.slsa.sa.gov.au/record=b2090422</v>
      </c>
      <c r="C5831" s="1" t="str">
        <f>HYPERLINK("https://www.catalog.slsa.sa.gov.au/xrecord=b2090422")</f>
        <v>https://www.catalog.slsa.sa.gov.au/xrecord=b2090422</v>
      </c>
      <c r="E5831" t="s">
        <v>19596</v>
      </c>
      <c r="F5831" t="s">
        <v>4691</v>
      </c>
      <c r="G5831" t="s">
        <v>20225</v>
      </c>
      <c r="H5831" t="s">
        <v>15399</v>
      </c>
      <c r="I5831" t="s">
        <v>15400</v>
      </c>
      <c r="J5831" t="s">
        <v>15341</v>
      </c>
      <c r="K5831" s="2" t="str">
        <f>HYPERLINK("http://collections.slsa.sa.gov.au/mpcimg/59000/B58892_258.htm")</f>
        <v>http://collections.slsa.sa.gov.au/mpcimg/59000/B58892_258.htm</v>
      </c>
    </row>
    <row r="5832" spans="1:11" x14ac:dyDescent="0.25">
      <c r="A5832" t="s">
        <v>20226</v>
      </c>
      <c r="B5832" s="1" t="str">
        <f>HYPERLINK("https://www.catalog.slsa.sa.gov.au/record=b2090423")</f>
        <v>https://www.catalog.slsa.sa.gov.au/record=b2090423</v>
      </c>
      <c r="C5832" s="1" t="str">
        <f>HYPERLINK("https://www.catalog.slsa.sa.gov.au/xrecord=b2090423")</f>
        <v>https://www.catalog.slsa.sa.gov.au/xrecord=b2090423</v>
      </c>
      <c r="E5832" t="s">
        <v>19596</v>
      </c>
      <c r="F5832" t="s">
        <v>4691</v>
      </c>
      <c r="G5832" t="s">
        <v>20227</v>
      </c>
      <c r="H5832" t="s">
        <v>20228</v>
      </c>
      <c r="I5832" t="s">
        <v>15400</v>
      </c>
      <c r="J5832" t="s">
        <v>15341</v>
      </c>
      <c r="K5832" s="2" t="str">
        <f>HYPERLINK("http://collections.slsa.sa.gov.au/mpcimg/59000/B58892_259.htm")</f>
        <v>http://collections.slsa.sa.gov.au/mpcimg/59000/B58892_259.htm</v>
      </c>
    </row>
    <row r="5833" spans="1:11" x14ac:dyDescent="0.25">
      <c r="A5833" t="s">
        <v>20229</v>
      </c>
      <c r="B5833" s="1" t="str">
        <f>HYPERLINK("https://www.catalog.slsa.sa.gov.au/record=b2090427")</f>
        <v>https://www.catalog.slsa.sa.gov.au/record=b2090427</v>
      </c>
      <c r="C5833" s="1" t="str">
        <f>HYPERLINK("https://www.catalog.slsa.sa.gov.au/xrecord=b2090427")</f>
        <v>https://www.catalog.slsa.sa.gov.au/xrecord=b2090427</v>
      </c>
      <c r="E5833" t="s">
        <v>19596</v>
      </c>
      <c r="F5833" t="s">
        <v>4691</v>
      </c>
      <c r="G5833" t="s">
        <v>20230</v>
      </c>
      <c r="H5833" t="s">
        <v>20231</v>
      </c>
      <c r="I5833" t="s">
        <v>15400</v>
      </c>
      <c r="J5833" t="s">
        <v>15341</v>
      </c>
      <c r="K5833" s="2" t="str">
        <f>HYPERLINK("http://collections.slsa.sa.gov.au/mpcimg/59000/B58892_263.htm")</f>
        <v>http://collections.slsa.sa.gov.au/mpcimg/59000/B58892_263.htm</v>
      </c>
    </row>
    <row r="5834" spans="1:11" x14ac:dyDescent="0.25">
      <c r="A5834" t="s">
        <v>20232</v>
      </c>
      <c r="B5834" s="1" t="str">
        <f>HYPERLINK("https://www.catalog.slsa.sa.gov.au/record=b2090428")</f>
        <v>https://www.catalog.slsa.sa.gov.au/record=b2090428</v>
      </c>
      <c r="C5834" s="1" t="str">
        <f>HYPERLINK("https://www.catalog.slsa.sa.gov.au/xrecord=b2090428")</f>
        <v>https://www.catalog.slsa.sa.gov.au/xrecord=b2090428</v>
      </c>
      <c r="E5834" t="s">
        <v>19596</v>
      </c>
      <c r="F5834" t="s">
        <v>4691</v>
      </c>
      <c r="G5834" t="s">
        <v>20233</v>
      </c>
      <c r="H5834" t="s">
        <v>20216</v>
      </c>
      <c r="I5834" t="s">
        <v>15400</v>
      </c>
      <c r="J5834" t="s">
        <v>15341</v>
      </c>
      <c r="K5834" s="2" t="str">
        <f>HYPERLINK("http://collections.slsa.sa.gov.au/mpcimg/59000/B58892_264.htm")</f>
        <v>http://collections.slsa.sa.gov.au/mpcimg/59000/B58892_264.htm</v>
      </c>
    </row>
    <row r="5835" spans="1:11" x14ac:dyDescent="0.25">
      <c r="A5835" t="s">
        <v>20234</v>
      </c>
      <c r="B5835" s="1" t="str">
        <f>HYPERLINK("https://www.catalog.slsa.sa.gov.au/record=b2090429")</f>
        <v>https://www.catalog.slsa.sa.gov.au/record=b2090429</v>
      </c>
      <c r="C5835" s="1" t="str">
        <f>HYPERLINK("https://www.catalog.slsa.sa.gov.au/xrecord=b2090429")</f>
        <v>https://www.catalog.slsa.sa.gov.au/xrecord=b2090429</v>
      </c>
      <c r="E5835" t="s">
        <v>19612</v>
      </c>
      <c r="F5835" t="s">
        <v>4691</v>
      </c>
      <c r="G5835" t="s">
        <v>20235</v>
      </c>
      <c r="H5835" t="s">
        <v>20236</v>
      </c>
      <c r="I5835" t="s">
        <v>15400</v>
      </c>
      <c r="J5835" t="s">
        <v>15341</v>
      </c>
      <c r="K5835" s="2" t="str">
        <f>HYPERLINK("http://collections.slsa.sa.gov.au/mpcimg/59000/B58892_265.htm")</f>
        <v>http://collections.slsa.sa.gov.au/mpcimg/59000/B58892_265.htm</v>
      </c>
    </row>
    <row r="5836" spans="1:11" x14ac:dyDescent="0.25">
      <c r="A5836" t="s">
        <v>20237</v>
      </c>
      <c r="B5836" s="1" t="str">
        <f>HYPERLINK("https://www.catalog.slsa.sa.gov.au/record=b2090431")</f>
        <v>https://www.catalog.slsa.sa.gov.au/record=b2090431</v>
      </c>
      <c r="C5836" s="1" t="str">
        <f>HYPERLINK("https://www.catalog.slsa.sa.gov.au/xrecord=b2090431")</f>
        <v>https://www.catalog.slsa.sa.gov.au/xrecord=b2090431</v>
      </c>
      <c r="E5836" t="s">
        <v>20238</v>
      </c>
      <c r="F5836" t="s">
        <v>4691</v>
      </c>
      <c r="G5836" t="s">
        <v>20239</v>
      </c>
      <c r="H5836" t="s">
        <v>20240</v>
      </c>
      <c r="I5836" t="s">
        <v>19408</v>
      </c>
      <c r="J5836" t="s">
        <v>15341</v>
      </c>
      <c r="K5836" s="2" t="str">
        <f>HYPERLINK("http://collections.slsa.sa.gov.au/mpcimg/59000/B58892_267.htm")</f>
        <v>http://collections.slsa.sa.gov.au/mpcimg/59000/B58892_267.htm</v>
      </c>
    </row>
    <row r="5837" spans="1:11" x14ac:dyDescent="0.25">
      <c r="A5837" t="s">
        <v>20241</v>
      </c>
      <c r="B5837" s="1" t="str">
        <f>HYPERLINK("https://www.catalog.slsa.sa.gov.au/record=b2090432")</f>
        <v>https://www.catalog.slsa.sa.gov.au/record=b2090432</v>
      </c>
      <c r="C5837" s="1" t="str">
        <f>HYPERLINK("https://www.catalog.slsa.sa.gov.au/xrecord=b2090432")</f>
        <v>https://www.catalog.slsa.sa.gov.au/xrecord=b2090432</v>
      </c>
      <c r="E5837" t="s">
        <v>19612</v>
      </c>
      <c r="F5837" t="s">
        <v>4691</v>
      </c>
      <c r="G5837" t="s">
        <v>20204</v>
      </c>
      <c r="H5837" t="s">
        <v>20228</v>
      </c>
      <c r="I5837" t="s">
        <v>15400</v>
      </c>
      <c r="J5837" t="s">
        <v>15341</v>
      </c>
      <c r="K5837" s="2" t="str">
        <f>HYPERLINK("http://collections.slsa.sa.gov.au/mpcimg/59000/B58892_268.htm")</f>
        <v>http://collections.slsa.sa.gov.au/mpcimg/59000/B58892_268.htm</v>
      </c>
    </row>
    <row r="5838" spans="1:11" x14ac:dyDescent="0.25">
      <c r="A5838" t="s">
        <v>20242</v>
      </c>
      <c r="B5838" s="1" t="str">
        <f>HYPERLINK("https://www.catalog.slsa.sa.gov.au/record=b2090433")</f>
        <v>https://www.catalog.slsa.sa.gov.au/record=b2090433</v>
      </c>
      <c r="C5838" s="1" t="str">
        <f>HYPERLINK("https://www.catalog.slsa.sa.gov.au/xrecord=b2090433")</f>
        <v>https://www.catalog.slsa.sa.gov.au/xrecord=b2090433</v>
      </c>
      <c r="E5838" t="s">
        <v>19612</v>
      </c>
      <c r="F5838" t="s">
        <v>4691</v>
      </c>
      <c r="G5838" t="s">
        <v>20243</v>
      </c>
      <c r="H5838" t="s">
        <v>15399</v>
      </c>
      <c r="I5838" t="s">
        <v>15400</v>
      </c>
      <c r="J5838" t="s">
        <v>15341</v>
      </c>
      <c r="K5838" s="2" t="str">
        <f>HYPERLINK("http://collections.slsa.sa.gov.au/mpcimg/59000/B58892_269.htm")</f>
        <v>http://collections.slsa.sa.gov.au/mpcimg/59000/B58892_269.htm</v>
      </c>
    </row>
    <row r="5839" spans="1:11" x14ac:dyDescent="0.25">
      <c r="A5839" t="s">
        <v>20244</v>
      </c>
      <c r="B5839" s="1" t="str">
        <f>HYPERLINK("https://www.catalog.slsa.sa.gov.au/record=b2090434")</f>
        <v>https://www.catalog.slsa.sa.gov.au/record=b2090434</v>
      </c>
      <c r="C5839" s="1" t="str">
        <f>HYPERLINK("https://www.catalog.slsa.sa.gov.au/xrecord=b2090434")</f>
        <v>https://www.catalog.slsa.sa.gov.au/xrecord=b2090434</v>
      </c>
      <c r="E5839" t="s">
        <v>19612</v>
      </c>
      <c r="F5839" t="s">
        <v>4691</v>
      </c>
      <c r="G5839" t="s">
        <v>19463</v>
      </c>
      <c r="H5839" t="s">
        <v>20228</v>
      </c>
      <c r="I5839" t="s">
        <v>15400</v>
      </c>
      <c r="J5839" t="s">
        <v>15341</v>
      </c>
      <c r="K5839" s="2" t="str">
        <f>HYPERLINK("http://collections.slsa.sa.gov.au/mpcimg/59000/B58892_270.htm")</f>
        <v>http://collections.slsa.sa.gov.au/mpcimg/59000/B58892_270.htm</v>
      </c>
    </row>
    <row r="5840" spans="1:11" x14ac:dyDescent="0.25">
      <c r="A5840" t="s">
        <v>20245</v>
      </c>
      <c r="B5840" s="1" t="str">
        <f>HYPERLINK("https://www.catalog.slsa.sa.gov.au/record=b2090435")</f>
        <v>https://www.catalog.slsa.sa.gov.au/record=b2090435</v>
      </c>
      <c r="C5840" s="1" t="str">
        <f>HYPERLINK("https://www.catalog.slsa.sa.gov.au/xrecord=b2090435")</f>
        <v>https://www.catalog.slsa.sa.gov.au/xrecord=b2090435</v>
      </c>
      <c r="E5840" t="s">
        <v>19612</v>
      </c>
      <c r="F5840" t="s">
        <v>4691</v>
      </c>
      <c r="G5840" t="s">
        <v>20246</v>
      </c>
      <c r="H5840" t="s">
        <v>15399</v>
      </c>
      <c r="I5840" t="s">
        <v>15400</v>
      </c>
      <c r="J5840" t="s">
        <v>15341</v>
      </c>
      <c r="K5840" s="2" t="str">
        <f>HYPERLINK("http://collections.slsa.sa.gov.au/mpcimg/59000/B58892_271.htm")</f>
        <v>http://collections.slsa.sa.gov.au/mpcimg/59000/B58892_271.htm</v>
      </c>
    </row>
    <row r="5841" spans="1:11" x14ac:dyDescent="0.25">
      <c r="A5841" t="s">
        <v>20247</v>
      </c>
      <c r="B5841" s="1" t="str">
        <f>HYPERLINK("https://www.catalog.slsa.sa.gov.au/record=b2090436")</f>
        <v>https://www.catalog.slsa.sa.gov.au/record=b2090436</v>
      </c>
      <c r="C5841" s="1" t="str">
        <f>HYPERLINK("https://www.catalog.slsa.sa.gov.au/xrecord=b2090436")</f>
        <v>https://www.catalog.slsa.sa.gov.au/xrecord=b2090436</v>
      </c>
      <c r="E5841" t="s">
        <v>19612</v>
      </c>
      <c r="F5841" t="s">
        <v>4691</v>
      </c>
      <c r="G5841" t="s">
        <v>20248</v>
      </c>
      <c r="H5841" t="s">
        <v>15399</v>
      </c>
      <c r="I5841" t="s">
        <v>15400</v>
      </c>
      <c r="J5841" t="s">
        <v>15341</v>
      </c>
      <c r="K5841" s="2" t="str">
        <f>HYPERLINK("http://collections.slsa.sa.gov.au/mpcimg/59000/B58892_272.htm")</f>
        <v>http://collections.slsa.sa.gov.au/mpcimg/59000/B58892_272.htm</v>
      </c>
    </row>
    <row r="5842" spans="1:11" x14ac:dyDescent="0.25">
      <c r="A5842" t="s">
        <v>20249</v>
      </c>
      <c r="B5842" s="1" t="str">
        <f>HYPERLINK("https://www.catalog.slsa.sa.gov.au/record=b2090439")</f>
        <v>https://www.catalog.slsa.sa.gov.au/record=b2090439</v>
      </c>
      <c r="C5842" s="1" t="str">
        <f>HYPERLINK("https://www.catalog.slsa.sa.gov.au/xrecord=b2090439")</f>
        <v>https://www.catalog.slsa.sa.gov.au/xrecord=b2090439</v>
      </c>
      <c r="E5842" t="s">
        <v>19612</v>
      </c>
      <c r="F5842" t="s">
        <v>4691</v>
      </c>
      <c r="G5842" t="s">
        <v>20250</v>
      </c>
      <c r="H5842" t="s">
        <v>20251</v>
      </c>
      <c r="I5842" t="s">
        <v>15340</v>
      </c>
      <c r="J5842" t="s">
        <v>15341</v>
      </c>
      <c r="K5842" s="2" t="str">
        <f>HYPERLINK("http://collections.slsa.sa.gov.au/mpcimg/59000/B58892_275.htm")</f>
        <v>http://collections.slsa.sa.gov.au/mpcimg/59000/B58892_275.htm</v>
      </c>
    </row>
    <row r="5843" spans="1:11" x14ac:dyDescent="0.25">
      <c r="A5843" t="s">
        <v>20252</v>
      </c>
      <c r="B5843" s="1" t="str">
        <f>HYPERLINK("https://www.catalog.slsa.sa.gov.au/record=b2090443")</f>
        <v>https://www.catalog.slsa.sa.gov.au/record=b2090443</v>
      </c>
      <c r="C5843" s="1" t="str">
        <f>HYPERLINK("https://www.catalog.slsa.sa.gov.au/xrecord=b2090443")</f>
        <v>https://www.catalog.slsa.sa.gov.au/xrecord=b2090443</v>
      </c>
      <c r="E5843" t="s">
        <v>19612</v>
      </c>
      <c r="F5843" t="s">
        <v>4691</v>
      </c>
      <c r="G5843" t="s">
        <v>20253</v>
      </c>
      <c r="H5843" t="s">
        <v>20254</v>
      </c>
      <c r="I5843" t="s">
        <v>19408</v>
      </c>
      <c r="J5843" t="s">
        <v>15341</v>
      </c>
      <c r="K5843" s="2" t="str">
        <f>HYPERLINK("http://collections.slsa.sa.gov.au/mpcimg/59000/B58892_279.htm")</f>
        <v>http://collections.slsa.sa.gov.au/mpcimg/59000/B58892_279.htm</v>
      </c>
    </row>
    <row r="5844" spans="1:11" x14ac:dyDescent="0.25">
      <c r="A5844" t="s">
        <v>20255</v>
      </c>
      <c r="B5844" s="1" t="str">
        <f>HYPERLINK("https://www.catalog.slsa.sa.gov.au/record=b2090458")</f>
        <v>https://www.catalog.slsa.sa.gov.au/record=b2090458</v>
      </c>
      <c r="C5844" s="1" t="str">
        <f>HYPERLINK("https://www.catalog.slsa.sa.gov.au/xrecord=b2090458")</f>
        <v>https://www.catalog.slsa.sa.gov.au/xrecord=b2090458</v>
      </c>
      <c r="E5844" t="s">
        <v>19625</v>
      </c>
      <c r="F5844" t="s">
        <v>4691</v>
      </c>
      <c r="G5844" t="s">
        <v>20256</v>
      </c>
      <c r="H5844" t="s">
        <v>20257</v>
      </c>
      <c r="I5844" t="s">
        <v>15400</v>
      </c>
      <c r="J5844" t="s">
        <v>15341</v>
      </c>
      <c r="K5844" s="2" t="str">
        <f>HYPERLINK("http://collections.slsa.sa.gov.au/mpcimg/59000/B58892_294.htm")</f>
        <v>http://collections.slsa.sa.gov.au/mpcimg/59000/B58892_294.htm</v>
      </c>
    </row>
    <row r="5845" spans="1:11" x14ac:dyDescent="0.25">
      <c r="A5845" t="s">
        <v>20258</v>
      </c>
      <c r="B5845" s="1" t="str">
        <f>HYPERLINK("https://www.catalog.slsa.sa.gov.au/record=b2090459")</f>
        <v>https://www.catalog.slsa.sa.gov.au/record=b2090459</v>
      </c>
      <c r="C5845" s="1" t="str">
        <f>HYPERLINK("https://www.catalog.slsa.sa.gov.au/xrecord=b2090459")</f>
        <v>https://www.catalog.slsa.sa.gov.au/xrecord=b2090459</v>
      </c>
      <c r="E5845" t="s">
        <v>19625</v>
      </c>
      <c r="F5845" t="s">
        <v>4691</v>
      </c>
      <c r="G5845" t="s">
        <v>20259</v>
      </c>
      <c r="H5845" t="s">
        <v>20260</v>
      </c>
      <c r="I5845" t="s">
        <v>15400</v>
      </c>
      <c r="J5845" t="s">
        <v>15341</v>
      </c>
      <c r="K5845" s="2" t="str">
        <f>HYPERLINK("http://collections.slsa.sa.gov.au/mpcimg/59000/B58892_295.htm")</f>
        <v>http://collections.slsa.sa.gov.au/mpcimg/59000/B58892_295.htm</v>
      </c>
    </row>
    <row r="5846" spans="1:11" x14ac:dyDescent="0.25">
      <c r="A5846" t="s">
        <v>20261</v>
      </c>
      <c r="B5846" s="1" t="str">
        <f>HYPERLINK("https://www.catalog.slsa.sa.gov.au/record=b2090460")</f>
        <v>https://www.catalog.slsa.sa.gov.au/record=b2090460</v>
      </c>
      <c r="C5846" s="1" t="str">
        <f>HYPERLINK("https://www.catalog.slsa.sa.gov.au/xrecord=b2090460")</f>
        <v>https://www.catalog.slsa.sa.gov.au/xrecord=b2090460</v>
      </c>
      <c r="E5846" t="s">
        <v>19625</v>
      </c>
      <c r="F5846" t="s">
        <v>4691</v>
      </c>
      <c r="G5846" t="s">
        <v>19667</v>
      </c>
      <c r="H5846" t="s">
        <v>20262</v>
      </c>
      <c r="I5846" t="s">
        <v>15400</v>
      </c>
      <c r="J5846" t="s">
        <v>15341</v>
      </c>
      <c r="K5846" s="2" t="str">
        <f>HYPERLINK("http://collections.slsa.sa.gov.au/mpcimg/59000/B58892_296.htm")</f>
        <v>http://collections.slsa.sa.gov.au/mpcimg/59000/B58892_296.htm</v>
      </c>
    </row>
    <row r="5847" spans="1:11" x14ac:dyDescent="0.25">
      <c r="A5847" t="s">
        <v>20263</v>
      </c>
      <c r="B5847" s="1" t="str">
        <f>HYPERLINK("https://www.catalog.slsa.sa.gov.au/record=b2090463")</f>
        <v>https://www.catalog.slsa.sa.gov.au/record=b2090463</v>
      </c>
      <c r="C5847" s="1" t="str">
        <f>HYPERLINK("https://www.catalog.slsa.sa.gov.au/xrecord=b2090463")</f>
        <v>https://www.catalog.slsa.sa.gov.au/xrecord=b2090463</v>
      </c>
      <c r="E5847" t="s">
        <v>19625</v>
      </c>
      <c r="F5847" t="s">
        <v>4691</v>
      </c>
      <c r="G5847" t="s">
        <v>20264</v>
      </c>
      <c r="H5847" t="s">
        <v>15399</v>
      </c>
      <c r="I5847" t="s">
        <v>15400</v>
      </c>
      <c r="J5847" t="s">
        <v>15341</v>
      </c>
      <c r="K5847" s="2" t="str">
        <f>HYPERLINK("http://collections.slsa.sa.gov.au/mpcimg/59000/B58892_299.htm")</f>
        <v>http://collections.slsa.sa.gov.au/mpcimg/59000/B58892_299.htm</v>
      </c>
    </row>
    <row r="5848" spans="1:11" x14ac:dyDescent="0.25">
      <c r="A5848" t="s">
        <v>20265</v>
      </c>
      <c r="B5848" s="1" t="str">
        <f>HYPERLINK("https://www.catalog.slsa.sa.gov.au/record=b2090490")</f>
        <v>https://www.catalog.slsa.sa.gov.au/record=b2090490</v>
      </c>
      <c r="C5848" s="1" t="str">
        <f>HYPERLINK("https://www.catalog.slsa.sa.gov.au/xrecord=b2090490")</f>
        <v>https://www.catalog.slsa.sa.gov.au/xrecord=b2090490</v>
      </c>
      <c r="E5848" t="s">
        <v>19632</v>
      </c>
      <c r="F5848" t="s">
        <v>4691</v>
      </c>
      <c r="G5848" t="s">
        <v>20266</v>
      </c>
      <c r="H5848" t="s">
        <v>20267</v>
      </c>
      <c r="I5848" t="s">
        <v>15400</v>
      </c>
      <c r="J5848" t="s">
        <v>15341</v>
      </c>
      <c r="K5848" s="2" t="str">
        <f>HYPERLINK("http://collections.slsa.sa.gov.au/mpcimg/59000/B58892_326.htm")</f>
        <v>http://collections.slsa.sa.gov.au/mpcimg/59000/B58892_326.htm</v>
      </c>
    </row>
    <row r="5849" spans="1:11" x14ac:dyDescent="0.25">
      <c r="A5849" t="s">
        <v>20268</v>
      </c>
      <c r="B5849" s="1" t="str">
        <f>HYPERLINK("https://www.catalog.slsa.sa.gov.au/record=b2090498")</f>
        <v>https://www.catalog.slsa.sa.gov.au/record=b2090498</v>
      </c>
      <c r="C5849" s="1" t="str">
        <f>HYPERLINK("https://www.catalog.slsa.sa.gov.au/xrecord=b2090498")</f>
        <v>https://www.catalog.slsa.sa.gov.au/xrecord=b2090498</v>
      </c>
      <c r="E5849" t="s">
        <v>19632</v>
      </c>
      <c r="F5849" t="s">
        <v>4691</v>
      </c>
      <c r="G5849" t="s">
        <v>15358</v>
      </c>
      <c r="H5849" t="s">
        <v>20269</v>
      </c>
      <c r="I5849" t="s">
        <v>15400</v>
      </c>
      <c r="J5849" t="s">
        <v>15341</v>
      </c>
      <c r="K5849" s="2" t="str">
        <f>HYPERLINK("http://collections.slsa.sa.gov.au/mpcimg/59000/B58892_334.htm")</f>
        <v>http://collections.slsa.sa.gov.au/mpcimg/59000/B58892_334.htm</v>
      </c>
    </row>
    <row r="5850" spans="1:11" x14ac:dyDescent="0.25">
      <c r="A5850" t="s">
        <v>20270</v>
      </c>
      <c r="B5850" s="1" t="str">
        <f>HYPERLINK("https://www.catalog.slsa.sa.gov.au/record=b2090499")</f>
        <v>https://www.catalog.slsa.sa.gov.au/record=b2090499</v>
      </c>
      <c r="C5850" s="1" t="str">
        <f>HYPERLINK("https://www.catalog.slsa.sa.gov.au/xrecord=b2090499")</f>
        <v>https://www.catalog.slsa.sa.gov.au/xrecord=b2090499</v>
      </c>
      <c r="E5850" t="s">
        <v>19632</v>
      </c>
      <c r="F5850" t="s">
        <v>4691</v>
      </c>
      <c r="G5850" t="s">
        <v>18053</v>
      </c>
      <c r="H5850" t="s">
        <v>20271</v>
      </c>
      <c r="I5850" t="s">
        <v>15400</v>
      </c>
      <c r="J5850" t="s">
        <v>15341</v>
      </c>
      <c r="K5850" s="2" t="str">
        <f>HYPERLINK("http://collections.slsa.sa.gov.au/mpcimg/59000/B58892_335.htm")</f>
        <v>http://collections.slsa.sa.gov.au/mpcimg/59000/B58892_335.htm</v>
      </c>
    </row>
    <row r="5851" spans="1:11" x14ac:dyDescent="0.25">
      <c r="A5851" t="s">
        <v>20272</v>
      </c>
      <c r="B5851" s="1" t="str">
        <f>HYPERLINK("https://www.catalog.slsa.sa.gov.au/record=b2090500")</f>
        <v>https://www.catalog.slsa.sa.gov.au/record=b2090500</v>
      </c>
      <c r="C5851" s="1" t="str">
        <f>HYPERLINK("https://www.catalog.slsa.sa.gov.au/xrecord=b2090500")</f>
        <v>https://www.catalog.slsa.sa.gov.au/xrecord=b2090500</v>
      </c>
      <c r="E5851" t="s">
        <v>19632</v>
      </c>
      <c r="F5851" t="s">
        <v>4691</v>
      </c>
      <c r="G5851" t="s">
        <v>17960</v>
      </c>
      <c r="H5851" t="s">
        <v>20273</v>
      </c>
      <c r="I5851" t="s">
        <v>15400</v>
      </c>
      <c r="J5851" t="s">
        <v>15341</v>
      </c>
      <c r="K5851" s="2" t="str">
        <f>HYPERLINK("http://collections.slsa.sa.gov.au/mpcimg/59000/B58892_336.htm")</f>
        <v>http://collections.slsa.sa.gov.au/mpcimg/59000/B58892_336.htm</v>
      </c>
    </row>
    <row r="5852" spans="1:11" x14ac:dyDescent="0.25">
      <c r="A5852" t="s">
        <v>20274</v>
      </c>
      <c r="B5852" s="1" t="str">
        <f>HYPERLINK("https://www.catalog.slsa.sa.gov.au/record=b2090501")</f>
        <v>https://www.catalog.slsa.sa.gov.au/record=b2090501</v>
      </c>
      <c r="C5852" s="1" t="str">
        <f>HYPERLINK("https://www.catalog.slsa.sa.gov.au/xrecord=b2090501")</f>
        <v>https://www.catalog.slsa.sa.gov.au/xrecord=b2090501</v>
      </c>
      <c r="E5852" t="s">
        <v>19632</v>
      </c>
      <c r="F5852" t="s">
        <v>4691</v>
      </c>
      <c r="G5852" t="s">
        <v>17960</v>
      </c>
      <c r="H5852" t="s">
        <v>20275</v>
      </c>
      <c r="I5852" t="s">
        <v>15400</v>
      </c>
      <c r="J5852" t="s">
        <v>15341</v>
      </c>
      <c r="K5852" s="2" t="str">
        <f>HYPERLINK("http://collections.slsa.sa.gov.au/mpcimg/59000/B58892_337.htm")</f>
        <v>http://collections.slsa.sa.gov.au/mpcimg/59000/B58892_337.htm</v>
      </c>
    </row>
    <row r="5853" spans="1:11" x14ac:dyDescent="0.25">
      <c r="A5853" t="s">
        <v>20276</v>
      </c>
      <c r="B5853" s="1" t="str">
        <f>HYPERLINK("https://www.catalog.slsa.sa.gov.au/record=b2090502")</f>
        <v>https://www.catalog.slsa.sa.gov.au/record=b2090502</v>
      </c>
      <c r="C5853" s="1" t="str">
        <f>HYPERLINK("https://www.catalog.slsa.sa.gov.au/xrecord=b2090502")</f>
        <v>https://www.catalog.slsa.sa.gov.au/xrecord=b2090502</v>
      </c>
      <c r="E5853" t="s">
        <v>19632</v>
      </c>
      <c r="F5853" t="s">
        <v>4691</v>
      </c>
      <c r="G5853" t="s">
        <v>19460</v>
      </c>
      <c r="H5853" t="s">
        <v>20271</v>
      </c>
      <c r="I5853" t="s">
        <v>15400</v>
      </c>
      <c r="J5853" t="s">
        <v>15341</v>
      </c>
      <c r="K5853" s="2" t="str">
        <f>HYPERLINK("http://collections.slsa.sa.gov.au/mpcimg/59000/B58892_338.htm")</f>
        <v>http://collections.slsa.sa.gov.au/mpcimg/59000/B58892_338.htm</v>
      </c>
    </row>
    <row r="5854" spans="1:11" x14ac:dyDescent="0.25">
      <c r="A5854" t="s">
        <v>20277</v>
      </c>
      <c r="B5854" s="1" t="str">
        <f>HYPERLINK("https://www.catalog.slsa.sa.gov.au/record=b2090503")</f>
        <v>https://www.catalog.slsa.sa.gov.au/record=b2090503</v>
      </c>
      <c r="C5854" s="1" t="str">
        <f>HYPERLINK("https://www.catalog.slsa.sa.gov.au/xrecord=b2090503")</f>
        <v>https://www.catalog.slsa.sa.gov.au/xrecord=b2090503</v>
      </c>
      <c r="E5854" t="s">
        <v>19632</v>
      </c>
      <c r="F5854" t="s">
        <v>4691</v>
      </c>
      <c r="G5854" t="s">
        <v>20278</v>
      </c>
      <c r="H5854" t="s">
        <v>20271</v>
      </c>
      <c r="I5854" t="s">
        <v>15400</v>
      </c>
      <c r="J5854" t="s">
        <v>15341</v>
      </c>
      <c r="K5854" s="2" t="str">
        <f>HYPERLINK("http://collections.slsa.sa.gov.au/mpcimg/59000/B58892_339.htm")</f>
        <v>http://collections.slsa.sa.gov.au/mpcimg/59000/B58892_339.htm</v>
      </c>
    </row>
    <row r="5855" spans="1:11" x14ac:dyDescent="0.25">
      <c r="A5855" t="s">
        <v>20279</v>
      </c>
      <c r="B5855" s="1" t="str">
        <f>HYPERLINK("https://www.catalog.slsa.sa.gov.au/record=b2090504")</f>
        <v>https://www.catalog.slsa.sa.gov.au/record=b2090504</v>
      </c>
      <c r="C5855" s="1" t="str">
        <f>HYPERLINK("https://www.catalog.slsa.sa.gov.au/xrecord=b2090504")</f>
        <v>https://www.catalog.slsa.sa.gov.au/xrecord=b2090504</v>
      </c>
      <c r="E5855" t="s">
        <v>19632</v>
      </c>
      <c r="F5855" t="s">
        <v>4691</v>
      </c>
      <c r="G5855" t="s">
        <v>20250</v>
      </c>
      <c r="H5855" t="s">
        <v>20269</v>
      </c>
      <c r="I5855" t="s">
        <v>15400</v>
      </c>
      <c r="J5855" t="s">
        <v>15341</v>
      </c>
      <c r="K5855" s="2" t="str">
        <f>HYPERLINK("http://collections.slsa.sa.gov.au/mpcimg/59000/B58892_340.htm")</f>
        <v>http://collections.slsa.sa.gov.au/mpcimg/59000/B58892_340.htm</v>
      </c>
    </row>
    <row r="5856" spans="1:11" x14ac:dyDescent="0.25">
      <c r="A5856" t="s">
        <v>20280</v>
      </c>
      <c r="B5856" s="1" t="str">
        <f>HYPERLINK("https://www.catalog.slsa.sa.gov.au/record=b2090505")</f>
        <v>https://www.catalog.slsa.sa.gov.au/record=b2090505</v>
      </c>
      <c r="C5856" s="1" t="str">
        <f>HYPERLINK("https://www.catalog.slsa.sa.gov.au/xrecord=b2090505")</f>
        <v>https://www.catalog.slsa.sa.gov.au/xrecord=b2090505</v>
      </c>
      <c r="E5856" t="s">
        <v>15394</v>
      </c>
      <c r="F5856" t="s">
        <v>4691</v>
      </c>
      <c r="G5856" t="s">
        <v>20248</v>
      </c>
      <c r="H5856" t="s">
        <v>20281</v>
      </c>
      <c r="I5856" t="s">
        <v>19635</v>
      </c>
      <c r="J5856" t="s">
        <v>15341</v>
      </c>
      <c r="K5856" s="2" t="str">
        <f>HYPERLINK("http://collections.slsa.sa.gov.au/mpcimg/59000/B58892_341.htm")</f>
        <v>http://collections.slsa.sa.gov.au/mpcimg/59000/B58892_341.htm</v>
      </c>
    </row>
    <row r="5857" spans="1:11" x14ac:dyDescent="0.25">
      <c r="A5857" t="s">
        <v>20282</v>
      </c>
      <c r="B5857" s="1" t="str">
        <f>HYPERLINK("https://www.catalog.slsa.sa.gov.au/record=b2090506")</f>
        <v>https://www.catalog.slsa.sa.gov.au/record=b2090506</v>
      </c>
      <c r="C5857" s="1" t="str">
        <f>HYPERLINK("https://www.catalog.slsa.sa.gov.au/xrecord=b2090506")</f>
        <v>https://www.catalog.slsa.sa.gov.au/xrecord=b2090506</v>
      </c>
      <c r="E5857" t="s">
        <v>15394</v>
      </c>
      <c r="F5857" t="s">
        <v>4691</v>
      </c>
      <c r="G5857" t="s">
        <v>19658</v>
      </c>
      <c r="H5857" t="s">
        <v>20281</v>
      </c>
      <c r="I5857" t="s">
        <v>19635</v>
      </c>
      <c r="J5857" t="s">
        <v>15341</v>
      </c>
      <c r="K5857" s="2" t="str">
        <f>HYPERLINK("http://collections.slsa.sa.gov.au/mpcimg/59000/B58892_342.htm")</f>
        <v>http://collections.slsa.sa.gov.au/mpcimg/59000/B58892_342.htm</v>
      </c>
    </row>
    <row r="5858" spans="1:11" x14ac:dyDescent="0.25">
      <c r="A5858" t="s">
        <v>20283</v>
      </c>
      <c r="B5858" s="1" t="str">
        <f>HYPERLINK("https://www.catalog.slsa.sa.gov.au/record=b2090516")</f>
        <v>https://www.catalog.slsa.sa.gov.au/record=b2090516</v>
      </c>
      <c r="C5858" s="1" t="str">
        <f>HYPERLINK("https://www.catalog.slsa.sa.gov.au/xrecord=b2090516")</f>
        <v>https://www.catalog.slsa.sa.gov.au/xrecord=b2090516</v>
      </c>
      <c r="E5858" t="s">
        <v>15394</v>
      </c>
      <c r="F5858" t="s">
        <v>4691</v>
      </c>
      <c r="G5858" t="s">
        <v>20284</v>
      </c>
      <c r="H5858" t="s">
        <v>19659</v>
      </c>
      <c r="I5858" t="s">
        <v>15363</v>
      </c>
      <c r="J5858" t="s">
        <v>15341</v>
      </c>
      <c r="K5858" s="2" t="str">
        <f>HYPERLINK("http://collections.slsa.sa.gov.au/mpcimg/59000/B58892_352.htm")</f>
        <v>http://collections.slsa.sa.gov.au/mpcimg/59000/B58892_352.htm</v>
      </c>
    </row>
    <row r="5859" spans="1:11" x14ac:dyDescent="0.25">
      <c r="A5859" t="s">
        <v>20285</v>
      </c>
      <c r="B5859" s="1" t="str">
        <f>HYPERLINK("https://www.catalog.slsa.sa.gov.au/record=b2090597")</f>
        <v>https://www.catalog.slsa.sa.gov.au/record=b2090597</v>
      </c>
      <c r="C5859" s="1" t="str">
        <f>HYPERLINK("https://www.catalog.slsa.sa.gov.au/xrecord=b2090597")</f>
        <v>https://www.catalog.slsa.sa.gov.au/xrecord=b2090597</v>
      </c>
      <c r="E5859" t="s">
        <v>19679</v>
      </c>
      <c r="F5859" t="s">
        <v>4691</v>
      </c>
      <c r="G5859" t="s">
        <v>20286</v>
      </c>
      <c r="H5859" t="s">
        <v>20287</v>
      </c>
      <c r="I5859" t="s">
        <v>15400</v>
      </c>
      <c r="J5859" t="s">
        <v>15341</v>
      </c>
      <c r="K5859" s="2" t="str">
        <f>HYPERLINK("http://collections.slsa.sa.gov.au/mpcimg/59000/B58892_435.htm")</f>
        <v>http://collections.slsa.sa.gov.au/mpcimg/59000/B58892_435.htm</v>
      </c>
    </row>
    <row r="5860" spans="1:11" x14ac:dyDescent="0.25">
      <c r="A5860" t="s">
        <v>20288</v>
      </c>
      <c r="B5860" s="1" t="str">
        <f>HYPERLINK("https://www.catalog.slsa.sa.gov.au/record=b2090598")</f>
        <v>https://www.catalog.slsa.sa.gov.au/record=b2090598</v>
      </c>
      <c r="C5860" s="1" t="str">
        <f>HYPERLINK("https://www.catalog.slsa.sa.gov.au/xrecord=b2090598")</f>
        <v>https://www.catalog.slsa.sa.gov.au/xrecord=b2090598</v>
      </c>
      <c r="E5860" t="s">
        <v>19679</v>
      </c>
      <c r="F5860" t="s">
        <v>4691</v>
      </c>
      <c r="G5860" t="s">
        <v>20289</v>
      </c>
      <c r="H5860" t="s">
        <v>20290</v>
      </c>
      <c r="I5860" t="s">
        <v>15400</v>
      </c>
      <c r="J5860" t="s">
        <v>15341</v>
      </c>
      <c r="K5860" s="2" t="str">
        <f>HYPERLINK("http://collections.slsa.sa.gov.au/mpcimg/59000/B58892_436.htm")</f>
        <v>http://collections.slsa.sa.gov.au/mpcimg/59000/B58892_436.htm</v>
      </c>
    </row>
    <row r="5861" spans="1:11" x14ac:dyDescent="0.25">
      <c r="A5861" t="s">
        <v>20291</v>
      </c>
      <c r="B5861" s="1" t="str">
        <f>HYPERLINK("https://www.catalog.slsa.sa.gov.au/record=b2090599")</f>
        <v>https://www.catalog.slsa.sa.gov.au/record=b2090599</v>
      </c>
      <c r="C5861" s="1" t="str">
        <f>HYPERLINK("https://www.catalog.slsa.sa.gov.au/xrecord=b2090599")</f>
        <v>https://www.catalog.slsa.sa.gov.au/xrecord=b2090599</v>
      </c>
      <c r="E5861" t="s">
        <v>19679</v>
      </c>
      <c r="F5861" t="s">
        <v>4691</v>
      </c>
      <c r="G5861" t="s">
        <v>20292</v>
      </c>
      <c r="H5861" t="s">
        <v>20293</v>
      </c>
      <c r="I5861" t="s">
        <v>15400</v>
      </c>
      <c r="J5861" t="s">
        <v>15341</v>
      </c>
      <c r="K5861" s="2" t="str">
        <f>HYPERLINK("http://collections.slsa.sa.gov.au/mpcimg/59000/B58892_437.htm")</f>
        <v>http://collections.slsa.sa.gov.au/mpcimg/59000/B58892_437.htm</v>
      </c>
    </row>
    <row r="5862" spans="1:11" x14ac:dyDescent="0.25">
      <c r="A5862" t="s">
        <v>20294</v>
      </c>
      <c r="B5862" s="1" t="str">
        <f>HYPERLINK("https://www.catalog.slsa.sa.gov.au/record=b2090600")</f>
        <v>https://www.catalog.slsa.sa.gov.au/record=b2090600</v>
      </c>
      <c r="C5862" s="1" t="str">
        <f>HYPERLINK("https://www.catalog.slsa.sa.gov.au/xrecord=b2090600")</f>
        <v>https://www.catalog.slsa.sa.gov.au/xrecord=b2090600</v>
      </c>
      <c r="E5862" t="s">
        <v>19679</v>
      </c>
      <c r="F5862" t="s">
        <v>4691</v>
      </c>
      <c r="G5862" t="s">
        <v>20295</v>
      </c>
      <c r="H5862" t="s">
        <v>20296</v>
      </c>
      <c r="I5862" t="s">
        <v>15400</v>
      </c>
      <c r="J5862" t="s">
        <v>15341</v>
      </c>
      <c r="K5862" s="2" t="str">
        <f>HYPERLINK("http://collections.slsa.sa.gov.au/mpcimg/59000/B58892_438.htm")</f>
        <v>http://collections.slsa.sa.gov.au/mpcimg/59000/B58892_438.htm</v>
      </c>
    </row>
    <row r="5863" spans="1:11" x14ac:dyDescent="0.25">
      <c r="A5863" t="s">
        <v>20297</v>
      </c>
      <c r="B5863" s="1" t="str">
        <f>HYPERLINK("https://www.catalog.slsa.sa.gov.au/record=b2090601")</f>
        <v>https://www.catalog.slsa.sa.gov.au/record=b2090601</v>
      </c>
      <c r="C5863" s="1" t="str">
        <f>HYPERLINK("https://www.catalog.slsa.sa.gov.au/xrecord=b2090601")</f>
        <v>https://www.catalog.slsa.sa.gov.au/xrecord=b2090601</v>
      </c>
      <c r="E5863" t="s">
        <v>19679</v>
      </c>
      <c r="F5863" t="s">
        <v>4691</v>
      </c>
      <c r="G5863" t="s">
        <v>20298</v>
      </c>
      <c r="H5863" t="s">
        <v>20299</v>
      </c>
      <c r="I5863" t="s">
        <v>15400</v>
      </c>
      <c r="J5863" t="s">
        <v>15341</v>
      </c>
      <c r="K5863" s="2" t="str">
        <f>HYPERLINK("http://collections.slsa.sa.gov.au/mpcimg/59000/B58892_439.htm")</f>
        <v>http://collections.slsa.sa.gov.au/mpcimg/59000/B58892_439.htm</v>
      </c>
    </row>
    <row r="5864" spans="1:11" x14ac:dyDescent="0.25">
      <c r="A5864" t="s">
        <v>20300</v>
      </c>
      <c r="B5864" s="1" t="str">
        <f>HYPERLINK("https://www.catalog.slsa.sa.gov.au/record=b2090602")</f>
        <v>https://www.catalog.slsa.sa.gov.au/record=b2090602</v>
      </c>
      <c r="C5864" s="1" t="str">
        <f>HYPERLINK("https://www.catalog.slsa.sa.gov.au/xrecord=b2090602")</f>
        <v>https://www.catalog.slsa.sa.gov.au/xrecord=b2090602</v>
      </c>
      <c r="E5864" t="s">
        <v>19679</v>
      </c>
      <c r="F5864" t="s">
        <v>4691</v>
      </c>
      <c r="G5864" t="s">
        <v>20301</v>
      </c>
      <c r="H5864" t="s">
        <v>20302</v>
      </c>
      <c r="I5864" t="s">
        <v>15400</v>
      </c>
      <c r="J5864" t="s">
        <v>15341</v>
      </c>
      <c r="K5864" s="2" t="str">
        <f>HYPERLINK("http://collections.slsa.sa.gov.au/mpcimg/59000/B58892_440.htm")</f>
        <v>http://collections.slsa.sa.gov.au/mpcimg/59000/B58892_440.htm</v>
      </c>
    </row>
    <row r="5865" spans="1:11" x14ac:dyDescent="0.25">
      <c r="A5865" t="s">
        <v>20303</v>
      </c>
      <c r="B5865" s="1" t="str">
        <f>HYPERLINK("https://www.catalog.slsa.sa.gov.au/record=b2090603")</f>
        <v>https://www.catalog.slsa.sa.gov.au/record=b2090603</v>
      </c>
      <c r="C5865" s="1" t="str">
        <f>HYPERLINK("https://www.catalog.slsa.sa.gov.au/xrecord=b2090603")</f>
        <v>https://www.catalog.slsa.sa.gov.au/xrecord=b2090603</v>
      </c>
      <c r="E5865" t="s">
        <v>19679</v>
      </c>
      <c r="F5865" t="s">
        <v>4691</v>
      </c>
      <c r="G5865" t="s">
        <v>20304</v>
      </c>
      <c r="H5865" t="s">
        <v>20305</v>
      </c>
      <c r="I5865" t="s">
        <v>15400</v>
      </c>
      <c r="J5865" t="s">
        <v>15341</v>
      </c>
      <c r="K5865" s="2" t="str">
        <f>HYPERLINK("http://collections.slsa.sa.gov.au/mpcimg/59000/B58892_441.htm")</f>
        <v>http://collections.slsa.sa.gov.au/mpcimg/59000/B58892_441.htm</v>
      </c>
    </row>
    <row r="5866" spans="1:11" x14ac:dyDescent="0.25">
      <c r="A5866" t="s">
        <v>20306</v>
      </c>
      <c r="B5866" s="1" t="str">
        <f>HYPERLINK("https://www.catalog.slsa.sa.gov.au/record=b2090604")</f>
        <v>https://www.catalog.slsa.sa.gov.au/record=b2090604</v>
      </c>
      <c r="C5866" s="1" t="str">
        <f>HYPERLINK("https://www.catalog.slsa.sa.gov.au/xrecord=b2090604")</f>
        <v>https://www.catalog.slsa.sa.gov.au/xrecord=b2090604</v>
      </c>
      <c r="E5866" t="s">
        <v>19679</v>
      </c>
      <c r="F5866" t="s">
        <v>4691</v>
      </c>
      <c r="G5866" t="s">
        <v>20307</v>
      </c>
      <c r="H5866" t="s">
        <v>20308</v>
      </c>
      <c r="I5866" t="s">
        <v>19669</v>
      </c>
      <c r="J5866" t="s">
        <v>15341</v>
      </c>
      <c r="K5866" s="2" t="str">
        <f>HYPERLINK("http://collections.slsa.sa.gov.au/mpcimg/59000/B58892_442.htm")</f>
        <v>http://collections.slsa.sa.gov.au/mpcimg/59000/B58892_442.htm</v>
      </c>
    </row>
    <row r="5867" spans="1:11" x14ac:dyDescent="0.25">
      <c r="A5867" t="s">
        <v>20309</v>
      </c>
      <c r="B5867" s="1" t="str">
        <f>HYPERLINK("https://www.catalog.slsa.sa.gov.au/record=b2090605")</f>
        <v>https://www.catalog.slsa.sa.gov.au/record=b2090605</v>
      </c>
      <c r="C5867" s="1" t="str">
        <f>HYPERLINK("https://www.catalog.slsa.sa.gov.au/xrecord=b2090605")</f>
        <v>https://www.catalog.slsa.sa.gov.au/xrecord=b2090605</v>
      </c>
      <c r="E5867" t="s">
        <v>19679</v>
      </c>
      <c r="F5867" t="s">
        <v>4691</v>
      </c>
      <c r="G5867" t="s">
        <v>20310</v>
      </c>
      <c r="H5867" t="s">
        <v>20311</v>
      </c>
      <c r="I5867" t="s">
        <v>15400</v>
      </c>
      <c r="J5867" t="s">
        <v>15341</v>
      </c>
      <c r="K5867" s="2" t="str">
        <f>HYPERLINK("http://collections.slsa.sa.gov.au/mpcimg/59000/B58892_443.htm")</f>
        <v>http://collections.slsa.sa.gov.au/mpcimg/59000/B58892_443.htm</v>
      </c>
    </row>
    <row r="5868" spans="1:11" x14ac:dyDescent="0.25">
      <c r="A5868" t="s">
        <v>20312</v>
      </c>
      <c r="B5868" s="1" t="str">
        <f>HYPERLINK("https://www.catalog.slsa.sa.gov.au/record=b2090606")</f>
        <v>https://www.catalog.slsa.sa.gov.au/record=b2090606</v>
      </c>
      <c r="C5868" s="1" t="str">
        <f>HYPERLINK("https://www.catalog.slsa.sa.gov.au/xrecord=b2090606")</f>
        <v>https://www.catalog.slsa.sa.gov.au/xrecord=b2090606</v>
      </c>
      <c r="E5868" t="s">
        <v>19679</v>
      </c>
      <c r="F5868" t="s">
        <v>4691</v>
      </c>
      <c r="G5868" t="s">
        <v>20313</v>
      </c>
      <c r="H5868" t="s">
        <v>20314</v>
      </c>
      <c r="I5868" t="s">
        <v>15400</v>
      </c>
      <c r="J5868" t="s">
        <v>15341</v>
      </c>
      <c r="K5868" s="2" t="str">
        <f>HYPERLINK("http://collections.slsa.sa.gov.au/mpcimg/59000/B58892_444.htm")</f>
        <v>http://collections.slsa.sa.gov.au/mpcimg/59000/B58892_444.htm</v>
      </c>
    </row>
    <row r="5869" spans="1:11" x14ac:dyDescent="0.25">
      <c r="A5869" t="s">
        <v>20315</v>
      </c>
      <c r="B5869" s="1" t="str">
        <f>HYPERLINK("https://www.catalog.slsa.sa.gov.au/record=b2090607")</f>
        <v>https://www.catalog.slsa.sa.gov.au/record=b2090607</v>
      </c>
      <c r="C5869" s="1" t="str">
        <f>HYPERLINK("https://www.catalog.slsa.sa.gov.au/xrecord=b2090607")</f>
        <v>https://www.catalog.slsa.sa.gov.au/xrecord=b2090607</v>
      </c>
      <c r="E5869" t="s">
        <v>19679</v>
      </c>
      <c r="F5869" t="s">
        <v>4691</v>
      </c>
      <c r="G5869" t="s">
        <v>20316</v>
      </c>
      <c r="H5869" t="s">
        <v>20317</v>
      </c>
      <c r="I5869" t="s">
        <v>15400</v>
      </c>
      <c r="J5869" t="s">
        <v>15341</v>
      </c>
      <c r="K5869" s="2" t="str">
        <f>HYPERLINK("http://collections.slsa.sa.gov.au/mpcimg/59000/B58892_445.htm")</f>
        <v>http://collections.slsa.sa.gov.au/mpcimg/59000/B58892_445.htm</v>
      </c>
    </row>
    <row r="5870" spans="1:11" x14ac:dyDescent="0.25">
      <c r="A5870" t="s">
        <v>20318</v>
      </c>
      <c r="B5870" s="1" t="str">
        <f>HYPERLINK("https://www.catalog.slsa.sa.gov.au/record=b2090608")</f>
        <v>https://www.catalog.slsa.sa.gov.au/record=b2090608</v>
      </c>
      <c r="C5870" s="1" t="str">
        <f>HYPERLINK("https://www.catalog.slsa.sa.gov.au/xrecord=b2090608")</f>
        <v>https://www.catalog.slsa.sa.gov.au/xrecord=b2090608</v>
      </c>
      <c r="E5870" t="s">
        <v>19679</v>
      </c>
      <c r="F5870" t="s">
        <v>4691</v>
      </c>
      <c r="G5870" t="s">
        <v>20319</v>
      </c>
      <c r="H5870" t="s">
        <v>20320</v>
      </c>
      <c r="I5870" t="s">
        <v>15400</v>
      </c>
      <c r="J5870" t="s">
        <v>15341</v>
      </c>
      <c r="K5870" s="2" t="str">
        <f>HYPERLINK("http://collections.slsa.sa.gov.au/mpcimg/59000/B58892_446.htm")</f>
        <v>http://collections.slsa.sa.gov.au/mpcimg/59000/B58892_446.htm</v>
      </c>
    </row>
    <row r="5871" spans="1:11" x14ac:dyDescent="0.25">
      <c r="A5871" t="s">
        <v>20321</v>
      </c>
      <c r="B5871" s="1" t="str">
        <f>HYPERLINK("https://www.catalog.slsa.sa.gov.au/record=b2090609")</f>
        <v>https://www.catalog.slsa.sa.gov.au/record=b2090609</v>
      </c>
      <c r="C5871" s="1" t="str">
        <f>HYPERLINK("https://www.catalog.slsa.sa.gov.au/xrecord=b2090609")</f>
        <v>https://www.catalog.slsa.sa.gov.au/xrecord=b2090609</v>
      </c>
      <c r="E5871" t="s">
        <v>19679</v>
      </c>
      <c r="F5871" t="s">
        <v>4691</v>
      </c>
      <c r="G5871" t="s">
        <v>20322</v>
      </c>
      <c r="H5871" t="s">
        <v>20323</v>
      </c>
      <c r="I5871" t="s">
        <v>15400</v>
      </c>
      <c r="J5871" t="s">
        <v>15341</v>
      </c>
      <c r="K5871" s="2" t="str">
        <f>HYPERLINK("http://collections.slsa.sa.gov.au/mpcimg/59000/B58892_447.htm")</f>
        <v>http://collections.slsa.sa.gov.au/mpcimg/59000/B58892_447.htm</v>
      </c>
    </row>
    <row r="5872" spans="1:11" x14ac:dyDescent="0.25">
      <c r="A5872" t="s">
        <v>20324</v>
      </c>
      <c r="B5872" s="1" t="str">
        <f>HYPERLINK("https://www.catalog.slsa.sa.gov.au/record=b2090610")</f>
        <v>https://www.catalog.slsa.sa.gov.au/record=b2090610</v>
      </c>
      <c r="C5872" s="1" t="str">
        <f>HYPERLINK("https://www.catalog.slsa.sa.gov.au/xrecord=b2090610")</f>
        <v>https://www.catalog.slsa.sa.gov.au/xrecord=b2090610</v>
      </c>
      <c r="E5872" t="s">
        <v>19679</v>
      </c>
      <c r="F5872" t="s">
        <v>4691</v>
      </c>
      <c r="G5872" t="s">
        <v>20325</v>
      </c>
      <c r="H5872" t="s">
        <v>20326</v>
      </c>
      <c r="I5872" t="s">
        <v>19408</v>
      </c>
      <c r="J5872" t="s">
        <v>15341</v>
      </c>
      <c r="K5872" s="2" t="str">
        <f>HYPERLINK("http://collections.slsa.sa.gov.au/mpcimg/59000/B58892_448.htm")</f>
        <v>http://collections.slsa.sa.gov.au/mpcimg/59000/B58892_448.htm</v>
      </c>
    </row>
    <row r="5873" spans="1:11" x14ac:dyDescent="0.25">
      <c r="A5873" t="s">
        <v>20327</v>
      </c>
      <c r="B5873" s="1" t="str">
        <f>HYPERLINK("https://www.catalog.slsa.sa.gov.au/record=b2090611")</f>
        <v>https://www.catalog.slsa.sa.gov.au/record=b2090611</v>
      </c>
      <c r="C5873" s="1" t="str">
        <f>HYPERLINK("https://www.catalog.slsa.sa.gov.au/xrecord=b2090611")</f>
        <v>https://www.catalog.slsa.sa.gov.au/xrecord=b2090611</v>
      </c>
      <c r="E5873" t="s">
        <v>19679</v>
      </c>
      <c r="F5873" t="s">
        <v>4691</v>
      </c>
      <c r="G5873" t="s">
        <v>20328</v>
      </c>
      <c r="H5873" t="s">
        <v>20329</v>
      </c>
      <c r="I5873" t="s">
        <v>15400</v>
      </c>
      <c r="J5873" t="s">
        <v>15341</v>
      </c>
      <c r="K5873" s="2" t="str">
        <f>HYPERLINK("http://collections.slsa.sa.gov.au/mpcimg/59000/B58892_449.htm")</f>
        <v>http://collections.slsa.sa.gov.au/mpcimg/59000/B58892_449.htm</v>
      </c>
    </row>
    <row r="5874" spans="1:11" x14ac:dyDescent="0.25">
      <c r="A5874" t="s">
        <v>20330</v>
      </c>
      <c r="B5874" s="1" t="str">
        <f>HYPERLINK("https://www.catalog.slsa.sa.gov.au/record=b2090612")</f>
        <v>https://www.catalog.slsa.sa.gov.au/record=b2090612</v>
      </c>
      <c r="C5874" s="1" t="str">
        <f>HYPERLINK("https://www.catalog.slsa.sa.gov.au/xrecord=b2090612")</f>
        <v>https://www.catalog.slsa.sa.gov.au/xrecord=b2090612</v>
      </c>
      <c r="E5874" t="s">
        <v>19679</v>
      </c>
      <c r="F5874" t="s">
        <v>4691</v>
      </c>
      <c r="G5874" t="s">
        <v>19626</v>
      </c>
      <c r="H5874" t="s">
        <v>20331</v>
      </c>
      <c r="I5874" t="s">
        <v>15400</v>
      </c>
      <c r="J5874" t="s">
        <v>15341</v>
      </c>
      <c r="K5874" s="2" t="str">
        <f>HYPERLINK("http://collections.slsa.sa.gov.au/mpcimg/59000/B58892_450.htm")</f>
        <v>http://collections.slsa.sa.gov.au/mpcimg/59000/B58892_450.htm</v>
      </c>
    </row>
    <row r="5875" spans="1:11" x14ac:dyDescent="0.25">
      <c r="A5875" t="s">
        <v>20332</v>
      </c>
      <c r="B5875" s="1" t="str">
        <f>HYPERLINK("https://www.catalog.slsa.sa.gov.au/record=b2090613")</f>
        <v>https://www.catalog.slsa.sa.gov.au/record=b2090613</v>
      </c>
      <c r="C5875" s="1" t="str">
        <f>HYPERLINK("https://www.catalog.slsa.sa.gov.au/xrecord=b2090613")</f>
        <v>https://www.catalog.slsa.sa.gov.au/xrecord=b2090613</v>
      </c>
      <c r="E5875" t="s">
        <v>19679</v>
      </c>
      <c r="F5875" t="s">
        <v>4691</v>
      </c>
      <c r="G5875" t="s">
        <v>20333</v>
      </c>
      <c r="H5875" t="s">
        <v>20334</v>
      </c>
      <c r="I5875" t="s">
        <v>15400</v>
      </c>
      <c r="J5875" t="s">
        <v>15341</v>
      </c>
      <c r="K5875" s="2" t="str">
        <f>HYPERLINK("http://collections.slsa.sa.gov.au/mpcimg/59000/B58892_451.htm")</f>
        <v>http://collections.slsa.sa.gov.au/mpcimg/59000/B58892_451.htm</v>
      </c>
    </row>
    <row r="5876" spans="1:11" x14ac:dyDescent="0.25">
      <c r="A5876" t="s">
        <v>20335</v>
      </c>
      <c r="B5876" s="1" t="str">
        <f>HYPERLINK("https://www.catalog.slsa.sa.gov.au/record=b2090614")</f>
        <v>https://www.catalog.slsa.sa.gov.au/record=b2090614</v>
      </c>
      <c r="C5876" s="1" t="str">
        <f>HYPERLINK("https://www.catalog.slsa.sa.gov.au/xrecord=b2090614")</f>
        <v>https://www.catalog.slsa.sa.gov.au/xrecord=b2090614</v>
      </c>
      <c r="E5876" t="s">
        <v>19679</v>
      </c>
      <c r="F5876" t="s">
        <v>4691</v>
      </c>
      <c r="G5876" t="s">
        <v>20336</v>
      </c>
      <c r="H5876" t="s">
        <v>20337</v>
      </c>
      <c r="I5876" t="s">
        <v>15400</v>
      </c>
      <c r="J5876" t="s">
        <v>15341</v>
      </c>
      <c r="K5876" s="2" t="str">
        <f>HYPERLINK("http://collections.slsa.sa.gov.au/mpcimg/59000/B58892_452.htm")</f>
        <v>http://collections.slsa.sa.gov.au/mpcimg/59000/B58892_452.htm</v>
      </c>
    </row>
    <row r="5877" spans="1:11" x14ac:dyDescent="0.25">
      <c r="A5877" t="s">
        <v>20338</v>
      </c>
      <c r="B5877" s="1" t="str">
        <f>HYPERLINK("https://www.catalog.slsa.sa.gov.au/record=b2090615")</f>
        <v>https://www.catalog.slsa.sa.gov.au/record=b2090615</v>
      </c>
      <c r="C5877" s="1" t="str">
        <f>HYPERLINK("https://www.catalog.slsa.sa.gov.au/xrecord=b2090615")</f>
        <v>https://www.catalog.slsa.sa.gov.au/xrecord=b2090615</v>
      </c>
      <c r="E5877" t="s">
        <v>19679</v>
      </c>
      <c r="F5877" t="s">
        <v>4691</v>
      </c>
      <c r="G5877" t="s">
        <v>20339</v>
      </c>
      <c r="H5877" t="s">
        <v>20340</v>
      </c>
      <c r="I5877" t="s">
        <v>15400</v>
      </c>
      <c r="J5877" t="s">
        <v>15341</v>
      </c>
      <c r="K5877" s="2" t="str">
        <f>HYPERLINK("http://collections.slsa.sa.gov.au/mpcimg/59000/B58892_453.htm")</f>
        <v>http://collections.slsa.sa.gov.au/mpcimg/59000/B58892_453.htm</v>
      </c>
    </row>
    <row r="5878" spans="1:11" x14ac:dyDescent="0.25">
      <c r="A5878" t="s">
        <v>20341</v>
      </c>
      <c r="B5878" s="1" t="str">
        <f>HYPERLINK("https://www.catalog.slsa.sa.gov.au/record=b2090616")</f>
        <v>https://www.catalog.slsa.sa.gov.au/record=b2090616</v>
      </c>
      <c r="C5878" s="1" t="str">
        <f>HYPERLINK("https://www.catalog.slsa.sa.gov.au/xrecord=b2090616")</f>
        <v>https://www.catalog.slsa.sa.gov.au/xrecord=b2090616</v>
      </c>
      <c r="E5878" t="s">
        <v>19679</v>
      </c>
      <c r="F5878" t="s">
        <v>4691</v>
      </c>
      <c r="G5878" t="s">
        <v>20342</v>
      </c>
      <c r="H5878" t="s">
        <v>20305</v>
      </c>
      <c r="I5878" t="s">
        <v>15400</v>
      </c>
      <c r="J5878" t="s">
        <v>15341</v>
      </c>
      <c r="K5878" s="2" t="str">
        <f>HYPERLINK("http://collections.slsa.sa.gov.au/mpcimg/59000/B58892_454.htm")</f>
        <v>http://collections.slsa.sa.gov.au/mpcimg/59000/B58892_454.htm</v>
      </c>
    </row>
    <row r="5879" spans="1:11" x14ac:dyDescent="0.25">
      <c r="A5879" t="s">
        <v>20343</v>
      </c>
      <c r="B5879" s="1" t="str">
        <f>HYPERLINK("https://www.catalog.slsa.sa.gov.au/record=b2090617")</f>
        <v>https://www.catalog.slsa.sa.gov.au/record=b2090617</v>
      </c>
      <c r="C5879" s="1" t="str">
        <f>HYPERLINK("https://www.catalog.slsa.sa.gov.au/xrecord=b2090617")</f>
        <v>https://www.catalog.slsa.sa.gov.au/xrecord=b2090617</v>
      </c>
      <c r="E5879" t="s">
        <v>19679</v>
      </c>
      <c r="F5879" t="s">
        <v>4691</v>
      </c>
      <c r="G5879" t="s">
        <v>20344</v>
      </c>
      <c r="H5879" t="s">
        <v>20345</v>
      </c>
      <c r="I5879" t="s">
        <v>15400</v>
      </c>
      <c r="J5879" t="s">
        <v>15341</v>
      </c>
      <c r="K5879" s="2" t="str">
        <f>HYPERLINK("http://collections.slsa.sa.gov.au/mpcimg/59000/B58892_455.htm")</f>
        <v>http://collections.slsa.sa.gov.au/mpcimg/59000/B58892_455.htm</v>
      </c>
    </row>
    <row r="5880" spans="1:11" x14ac:dyDescent="0.25">
      <c r="A5880" t="s">
        <v>20346</v>
      </c>
      <c r="B5880" s="1" t="str">
        <f>HYPERLINK("https://www.catalog.slsa.sa.gov.au/record=b2090618")</f>
        <v>https://www.catalog.slsa.sa.gov.au/record=b2090618</v>
      </c>
      <c r="C5880" s="1" t="str">
        <f>HYPERLINK("https://www.catalog.slsa.sa.gov.au/xrecord=b2090618")</f>
        <v>https://www.catalog.slsa.sa.gov.au/xrecord=b2090618</v>
      </c>
      <c r="E5880" t="s">
        <v>19679</v>
      </c>
      <c r="F5880" t="s">
        <v>4691</v>
      </c>
      <c r="G5880" t="s">
        <v>19613</v>
      </c>
      <c r="H5880" t="s">
        <v>20228</v>
      </c>
      <c r="I5880" t="s">
        <v>15400</v>
      </c>
      <c r="J5880" t="s">
        <v>15341</v>
      </c>
      <c r="K5880" s="2" t="str">
        <f>HYPERLINK("http://collections.slsa.sa.gov.au/mpcimg/59000/B58892_456.htm")</f>
        <v>http://collections.slsa.sa.gov.au/mpcimg/59000/B58892_456.htm</v>
      </c>
    </row>
    <row r="5881" spans="1:11" x14ac:dyDescent="0.25">
      <c r="A5881" t="s">
        <v>20347</v>
      </c>
      <c r="B5881" s="1" t="str">
        <f>HYPERLINK("https://www.catalog.slsa.sa.gov.au/record=b2090619")</f>
        <v>https://www.catalog.slsa.sa.gov.au/record=b2090619</v>
      </c>
      <c r="C5881" s="1" t="str">
        <f>HYPERLINK("https://www.catalog.slsa.sa.gov.au/xrecord=b2090619")</f>
        <v>https://www.catalog.slsa.sa.gov.au/xrecord=b2090619</v>
      </c>
      <c r="E5881" t="s">
        <v>19679</v>
      </c>
      <c r="F5881" t="s">
        <v>4691</v>
      </c>
      <c r="G5881" t="s">
        <v>20348</v>
      </c>
      <c r="H5881" t="s">
        <v>20349</v>
      </c>
      <c r="I5881" t="s">
        <v>15400</v>
      </c>
      <c r="J5881" t="s">
        <v>15341</v>
      </c>
      <c r="K5881" s="2" t="str">
        <f>HYPERLINK("http://collections.slsa.sa.gov.au/mpcimg/59000/B58892_457.htm")</f>
        <v>http://collections.slsa.sa.gov.au/mpcimg/59000/B58892_457.htm</v>
      </c>
    </row>
    <row r="5882" spans="1:11" x14ac:dyDescent="0.25">
      <c r="A5882" t="s">
        <v>20350</v>
      </c>
      <c r="B5882" s="1" t="str">
        <f>HYPERLINK("https://www.catalog.slsa.sa.gov.au/record=b2090620")</f>
        <v>https://www.catalog.slsa.sa.gov.au/record=b2090620</v>
      </c>
      <c r="C5882" s="1" t="str">
        <f>HYPERLINK("https://www.catalog.slsa.sa.gov.au/xrecord=b2090620")</f>
        <v>https://www.catalog.slsa.sa.gov.au/xrecord=b2090620</v>
      </c>
      <c r="E5882" t="s">
        <v>19679</v>
      </c>
      <c r="F5882" t="s">
        <v>4691</v>
      </c>
      <c r="G5882" t="s">
        <v>19463</v>
      </c>
      <c r="H5882" t="s">
        <v>20351</v>
      </c>
      <c r="I5882" t="s">
        <v>15400</v>
      </c>
      <c r="J5882" t="s">
        <v>15341</v>
      </c>
      <c r="K5882" s="2" t="str">
        <f>HYPERLINK("http://collections.slsa.sa.gov.au/mpcimg/59000/B58892_458.htm")</f>
        <v>http://collections.slsa.sa.gov.au/mpcimg/59000/B58892_458.htm</v>
      </c>
    </row>
    <row r="5883" spans="1:11" x14ac:dyDescent="0.25">
      <c r="A5883" t="s">
        <v>20352</v>
      </c>
      <c r="B5883" s="1" t="str">
        <f>HYPERLINK("https://www.catalog.slsa.sa.gov.au/record=b2090621")</f>
        <v>https://www.catalog.slsa.sa.gov.au/record=b2090621</v>
      </c>
      <c r="C5883" s="1" t="str">
        <f>HYPERLINK("https://www.catalog.slsa.sa.gov.au/xrecord=b2090621")</f>
        <v>https://www.catalog.slsa.sa.gov.au/xrecord=b2090621</v>
      </c>
      <c r="E5883" t="s">
        <v>19679</v>
      </c>
      <c r="F5883" t="s">
        <v>4691</v>
      </c>
      <c r="G5883" t="s">
        <v>20353</v>
      </c>
      <c r="H5883" t="s">
        <v>20354</v>
      </c>
      <c r="I5883" t="s">
        <v>15400</v>
      </c>
      <c r="J5883" t="s">
        <v>15341</v>
      </c>
      <c r="K5883" s="2" t="str">
        <f>HYPERLINK("http://collections.slsa.sa.gov.au/mpcimg/59000/B58892_459.htm")</f>
        <v>http://collections.slsa.sa.gov.au/mpcimg/59000/B58892_459.htm</v>
      </c>
    </row>
    <row r="5884" spans="1:11" x14ac:dyDescent="0.25">
      <c r="A5884" t="s">
        <v>20355</v>
      </c>
      <c r="B5884" s="1" t="str">
        <f>HYPERLINK("https://www.catalog.slsa.sa.gov.au/record=b2090622")</f>
        <v>https://www.catalog.slsa.sa.gov.au/record=b2090622</v>
      </c>
      <c r="C5884" s="1" t="str">
        <f>HYPERLINK("https://www.catalog.slsa.sa.gov.au/xrecord=b2090622")</f>
        <v>https://www.catalog.slsa.sa.gov.au/xrecord=b2090622</v>
      </c>
      <c r="E5884" t="s">
        <v>19679</v>
      </c>
      <c r="F5884" t="s">
        <v>4691</v>
      </c>
      <c r="G5884" t="s">
        <v>20356</v>
      </c>
      <c r="H5884" t="s">
        <v>20357</v>
      </c>
      <c r="I5884" t="s">
        <v>15400</v>
      </c>
      <c r="J5884" t="s">
        <v>15341</v>
      </c>
      <c r="K5884" s="2" t="str">
        <f>HYPERLINK("http://collections.slsa.sa.gov.au/mpcimg/59000/B58892_460.htm")</f>
        <v>http://collections.slsa.sa.gov.au/mpcimg/59000/B58892_460.htm</v>
      </c>
    </row>
    <row r="5885" spans="1:11" x14ac:dyDescent="0.25">
      <c r="A5885" t="s">
        <v>20358</v>
      </c>
      <c r="B5885" s="1" t="str">
        <f>HYPERLINK("https://www.catalog.slsa.sa.gov.au/record=b2090623")</f>
        <v>https://www.catalog.slsa.sa.gov.au/record=b2090623</v>
      </c>
      <c r="C5885" s="1" t="str">
        <f>HYPERLINK("https://www.catalog.slsa.sa.gov.au/xrecord=b2090623")</f>
        <v>https://www.catalog.slsa.sa.gov.au/xrecord=b2090623</v>
      </c>
      <c r="E5885" t="s">
        <v>19679</v>
      </c>
      <c r="F5885" t="s">
        <v>4691</v>
      </c>
      <c r="G5885" t="s">
        <v>20359</v>
      </c>
      <c r="H5885" t="s">
        <v>20360</v>
      </c>
      <c r="I5885" t="s">
        <v>15400</v>
      </c>
      <c r="J5885" t="s">
        <v>15341</v>
      </c>
      <c r="K5885" s="2" t="str">
        <f>HYPERLINK("http://collections.slsa.sa.gov.au/mpcimg/59000/B58892_461.htm")</f>
        <v>http://collections.slsa.sa.gov.au/mpcimg/59000/B58892_461.htm</v>
      </c>
    </row>
    <row r="5886" spans="1:11" x14ac:dyDescent="0.25">
      <c r="A5886" t="s">
        <v>20361</v>
      </c>
      <c r="B5886" s="1" t="str">
        <f>HYPERLINK("https://www.catalog.slsa.sa.gov.au/record=b2090624")</f>
        <v>https://www.catalog.slsa.sa.gov.au/record=b2090624</v>
      </c>
      <c r="C5886" s="1" t="str">
        <f>HYPERLINK("https://www.catalog.slsa.sa.gov.au/xrecord=b2090624")</f>
        <v>https://www.catalog.slsa.sa.gov.au/xrecord=b2090624</v>
      </c>
      <c r="E5886" t="s">
        <v>19679</v>
      </c>
      <c r="F5886" t="s">
        <v>4691</v>
      </c>
      <c r="G5886" t="s">
        <v>19658</v>
      </c>
      <c r="H5886" t="s">
        <v>20362</v>
      </c>
      <c r="I5886" t="s">
        <v>15400</v>
      </c>
      <c r="J5886" t="s">
        <v>15341</v>
      </c>
      <c r="K5886" s="2" t="str">
        <f>HYPERLINK("http://collections.slsa.sa.gov.au/mpcimg/59000/B58892_462.htm")</f>
        <v>http://collections.slsa.sa.gov.au/mpcimg/59000/B58892_462.htm</v>
      </c>
    </row>
    <row r="5887" spans="1:11" x14ac:dyDescent="0.25">
      <c r="A5887" t="s">
        <v>20363</v>
      </c>
      <c r="B5887" s="1" t="str">
        <f>HYPERLINK("https://www.catalog.slsa.sa.gov.au/record=b2090625")</f>
        <v>https://www.catalog.slsa.sa.gov.au/record=b2090625</v>
      </c>
      <c r="C5887" s="1" t="str">
        <f>HYPERLINK("https://www.catalog.slsa.sa.gov.au/xrecord=b2090625")</f>
        <v>https://www.catalog.slsa.sa.gov.au/xrecord=b2090625</v>
      </c>
      <c r="E5887" t="s">
        <v>19679</v>
      </c>
      <c r="F5887" t="s">
        <v>4691</v>
      </c>
      <c r="G5887" t="s">
        <v>20364</v>
      </c>
      <c r="H5887" t="s">
        <v>20365</v>
      </c>
      <c r="I5887" t="s">
        <v>15400</v>
      </c>
      <c r="J5887" t="s">
        <v>15341</v>
      </c>
      <c r="K5887" s="2" t="str">
        <f>HYPERLINK("http://collections.slsa.sa.gov.au/mpcimg/59000/B58892_463.htm")</f>
        <v>http://collections.slsa.sa.gov.au/mpcimg/59000/B58892_463.htm</v>
      </c>
    </row>
    <row r="5888" spans="1:11" x14ac:dyDescent="0.25">
      <c r="A5888" t="s">
        <v>20366</v>
      </c>
      <c r="B5888" s="1" t="str">
        <f>HYPERLINK("https://www.catalog.slsa.sa.gov.au/record=b2090626")</f>
        <v>https://www.catalog.slsa.sa.gov.au/record=b2090626</v>
      </c>
      <c r="C5888" s="1" t="str">
        <f>HYPERLINK("https://www.catalog.slsa.sa.gov.au/xrecord=b2090626")</f>
        <v>https://www.catalog.slsa.sa.gov.au/xrecord=b2090626</v>
      </c>
      <c r="E5888" t="s">
        <v>19679</v>
      </c>
      <c r="F5888" t="s">
        <v>4691</v>
      </c>
      <c r="G5888" t="s">
        <v>20367</v>
      </c>
      <c r="H5888" t="s">
        <v>20368</v>
      </c>
      <c r="I5888" t="s">
        <v>15400</v>
      </c>
      <c r="J5888" t="s">
        <v>15341</v>
      </c>
      <c r="K5888" s="2" t="str">
        <f>HYPERLINK("http://collections.slsa.sa.gov.au/mpcimg/59000/B58892_464.htm")</f>
        <v>http://collections.slsa.sa.gov.au/mpcimg/59000/B58892_464.htm</v>
      </c>
    </row>
    <row r="5889" spans="1:11" x14ac:dyDescent="0.25">
      <c r="A5889" t="s">
        <v>20369</v>
      </c>
      <c r="B5889" s="1" t="str">
        <f>HYPERLINK("https://www.catalog.slsa.sa.gov.au/record=b2090627")</f>
        <v>https://www.catalog.slsa.sa.gov.au/record=b2090627</v>
      </c>
      <c r="C5889" s="1" t="str">
        <f>HYPERLINK("https://www.catalog.slsa.sa.gov.au/xrecord=b2090627")</f>
        <v>https://www.catalog.slsa.sa.gov.au/xrecord=b2090627</v>
      </c>
      <c r="E5889" t="s">
        <v>19679</v>
      </c>
      <c r="F5889" t="s">
        <v>4691</v>
      </c>
      <c r="G5889" t="s">
        <v>20278</v>
      </c>
      <c r="H5889" t="s">
        <v>20305</v>
      </c>
      <c r="I5889" t="s">
        <v>15400</v>
      </c>
      <c r="J5889" t="s">
        <v>15341</v>
      </c>
      <c r="K5889" s="2" t="str">
        <f>HYPERLINK("http://collections.slsa.sa.gov.au/mpcimg/59000/B58892_465.htm")</f>
        <v>http://collections.slsa.sa.gov.au/mpcimg/59000/B58892_465.htm</v>
      </c>
    </row>
    <row r="5890" spans="1:11" x14ac:dyDescent="0.25">
      <c r="A5890" t="s">
        <v>20370</v>
      </c>
      <c r="B5890" s="1" t="str">
        <f>HYPERLINK("https://www.catalog.slsa.sa.gov.au/record=b2090628")</f>
        <v>https://www.catalog.slsa.sa.gov.au/record=b2090628</v>
      </c>
      <c r="C5890" s="1" t="str">
        <f>HYPERLINK("https://www.catalog.slsa.sa.gov.au/xrecord=b2090628")</f>
        <v>https://www.catalog.slsa.sa.gov.au/xrecord=b2090628</v>
      </c>
      <c r="E5890" t="s">
        <v>19679</v>
      </c>
      <c r="F5890" t="s">
        <v>4691</v>
      </c>
      <c r="G5890" t="s">
        <v>20371</v>
      </c>
      <c r="H5890" t="s">
        <v>20372</v>
      </c>
      <c r="I5890" t="s">
        <v>15400</v>
      </c>
      <c r="J5890" t="s">
        <v>15341</v>
      </c>
      <c r="K5890" s="2" t="str">
        <f>HYPERLINK("http://collections.slsa.sa.gov.au/mpcimg/59000/B58892_466.htm")</f>
        <v>http://collections.slsa.sa.gov.au/mpcimg/59000/B58892_466.htm</v>
      </c>
    </row>
    <row r="5891" spans="1:11" x14ac:dyDescent="0.25">
      <c r="A5891" t="s">
        <v>20373</v>
      </c>
      <c r="B5891" s="1" t="str">
        <f>HYPERLINK("https://www.catalog.slsa.sa.gov.au/record=b2090629")</f>
        <v>https://www.catalog.slsa.sa.gov.au/record=b2090629</v>
      </c>
      <c r="C5891" s="1" t="str">
        <f>HYPERLINK("https://www.catalog.slsa.sa.gov.au/xrecord=b2090629")</f>
        <v>https://www.catalog.slsa.sa.gov.au/xrecord=b2090629</v>
      </c>
      <c r="E5891" t="s">
        <v>19679</v>
      </c>
      <c r="F5891" t="s">
        <v>4691</v>
      </c>
      <c r="G5891" t="s">
        <v>20374</v>
      </c>
      <c r="H5891" t="s">
        <v>20375</v>
      </c>
      <c r="I5891" t="s">
        <v>15400</v>
      </c>
      <c r="J5891" t="s">
        <v>15341</v>
      </c>
      <c r="K5891" s="2" t="str">
        <f>HYPERLINK("http://collections.slsa.sa.gov.au/mpcimg/59000/B58892_467.htm")</f>
        <v>http://collections.slsa.sa.gov.au/mpcimg/59000/B58892_467.htm</v>
      </c>
    </row>
    <row r="5892" spans="1:11" x14ac:dyDescent="0.25">
      <c r="A5892" t="s">
        <v>20376</v>
      </c>
      <c r="B5892" s="1" t="str">
        <f>HYPERLINK("https://www.catalog.slsa.sa.gov.au/record=b2090630")</f>
        <v>https://www.catalog.slsa.sa.gov.au/record=b2090630</v>
      </c>
      <c r="C5892" s="1" t="str">
        <f>HYPERLINK("https://www.catalog.slsa.sa.gov.au/xrecord=b2090630")</f>
        <v>https://www.catalog.slsa.sa.gov.au/xrecord=b2090630</v>
      </c>
      <c r="E5892" t="s">
        <v>19679</v>
      </c>
      <c r="F5892" t="s">
        <v>4691</v>
      </c>
      <c r="G5892" t="s">
        <v>20377</v>
      </c>
      <c r="H5892" t="s">
        <v>20378</v>
      </c>
      <c r="I5892" t="s">
        <v>15400</v>
      </c>
      <c r="J5892" t="s">
        <v>15341</v>
      </c>
      <c r="K5892" s="2" t="str">
        <f>HYPERLINK("http://collections.slsa.sa.gov.au/mpcimg/59000/B58892_468.htm")</f>
        <v>http://collections.slsa.sa.gov.au/mpcimg/59000/B58892_468.htm</v>
      </c>
    </row>
    <row r="5893" spans="1:11" x14ac:dyDescent="0.25">
      <c r="A5893" t="s">
        <v>20379</v>
      </c>
      <c r="B5893" s="1" t="str">
        <f>HYPERLINK("https://www.catalog.slsa.sa.gov.au/record=b2090631")</f>
        <v>https://www.catalog.slsa.sa.gov.au/record=b2090631</v>
      </c>
      <c r="C5893" s="1" t="str">
        <f>HYPERLINK("https://www.catalog.slsa.sa.gov.au/xrecord=b2090631")</f>
        <v>https://www.catalog.slsa.sa.gov.au/xrecord=b2090631</v>
      </c>
      <c r="E5893" t="s">
        <v>19679</v>
      </c>
      <c r="F5893" t="s">
        <v>4691</v>
      </c>
      <c r="G5893" t="s">
        <v>20380</v>
      </c>
      <c r="H5893" t="s">
        <v>20381</v>
      </c>
      <c r="I5893" t="s">
        <v>15400</v>
      </c>
      <c r="J5893" t="s">
        <v>15341</v>
      </c>
      <c r="K5893" s="2" t="str">
        <f>HYPERLINK("http://collections.slsa.sa.gov.au/mpcimg/59000/B58892_469.htm")</f>
        <v>http://collections.slsa.sa.gov.au/mpcimg/59000/B58892_469.htm</v>
      </c>
    </row>
    <row r="5894" spans="1:11" x14ac:dyDescent="0.25">
      <c r="A5894" t="s">
        <v>20382</v>
      </c>
      <c r="B5894" s="1" t="str">
        <f>HYPERLINK("https://www.catalog.slsa.sa.gov.au/record=b2090632")</f>
        <v>https://www.catalog.slsa.sa.gov.au/record=b2090632</v>
      </c>
      <c r="C5894" s="1" t="str">
        <f>HYPERLINK("https://www.catalog.slsa.sa.gov.au/xrecord=b2090632")</f>
        <v>https://www.catalog.slsa.sa.gov.au/xrecord=b2090632</v>
      </c>
      <c r="E5894" t="s">
        <v>19679</v>
      </c>
      <c r="F5894" t="s">
        <v>4691</v>
      </c>
      <c r="G5894" t="s">
        <v>20383</v>
      </c>
      <c r="H5894" t="s">
        <v>20384</v>
      </c>
      <c r="I5894" t="s">
        <v>20385</v>
      </c>
      <c r="J5894" t="s">
        <v>15341</v>
      </c>
      <c r="K5894" s="2" t="str">
        <f>HYPERLINK("http://collections.slsa.sa.gov.au/mpcimg/59000/B58892_470.htm")</f>
        <v>http://collections.slsa.sa.gov.au/mpcimg/59000/B58892_470.htm</v>
      </c>
    </row>
    <row r="5895" spans="1:11" x14ac:dyDescent="0.25">
      <c r="A5895" t="s">
        <v>20386</v>
      </c>
      <c r="B5895" s="1" t="str">
        <f>HYPERLINK("https://www.catalog.slsa.sa.gov.au/record=b2090633")</f>
        <v>https://www.catalog.slsa.sa.gov.au/record=b2090633</v>
      </c>
      <c r="C5895" s="1" t="str">
        <f>HYPERLINK("https://www.catalog.slsa.sa.gov.au/xrecord=b2090633")</f>
        <v>https://www.catalog.slsa.sa.gov.au/xrecord=b2090633</v>
      </c>
      <c r="E5895" t="s">
        <v>19679</v>
      </c>
      <c r="F5895" t="s">
        <v>4691</v>
      </c>
      <c r="G5895" t="s">
        <v>20387</v>
      </c>
      <c r="H5895" t="s">
        <v>20388</v>
      </c>
      <c r="I5895" t="s">
        <v>20385</v>
      </c>
      <c r="J5895" t="s">
        <v>15341</v>
      </c>
      <c r="K5895" s="2" t="str">
        <f>HYPERLINK("http://collections.slsa.sa.gov.au/mpcimg/59000/B58892_471.htm")</f>
        <v>http://collections.slsa.sa.gov.au/mpcimg/59000/B58892_471.htm</v>
      </c>
    </row>
    <row r="5896" spans="1:11" x14ac:dyDescent="0.25">
      <c r="A5896" t="s">
        <v>20389</v>
      </c>
      <c r="B5896" s="1" t="str">
        <f>HYPERLINK("https://www.catalog.slsa.sa.gov.au/record=b2090634")</f>
        <v>https://www.catalog.slsa.sa.gov.au/record=b2090634</v>
      </c>
      <c r="C5896" s="1" t="str">
        <f>HYPERLINK("https://www.catalog.slsa.sa.gov.au/xrecord=b2090634")</f>
        <v>https://www.catalog.slsa.sa.gov.au/xrecord=b2090634</v>
      </c>
      <c r="E5896" t="s">
        <v>19679</v>
      </c>
      <c r="F5896" t="s">
        <v>4691</v>
      </c>
      <c r="G5896" t="s">
        <v>20390</v>
      </c>
      <c r="H5896" t="s">
        <v>20388</v>
      </c>
      <c r="I5896" t="s">
        <v>20385</v>
      </c>
      <c r="J5896" t="s">
        <v>15341</v>
      </c>
      <c r="K5896" s="2" t="str">
        <f>HYPERLINK("http://collections.slsa.sa.gov.au/mpcimg/59000/B58892_472.htm")</f>
        <v>http://collections.slsa.sa.gov.au/mpcimg/59000/B58892_472.htm</v>
      </c>
    </row>
    <row r="5897" spans="1:11" x14ac:dyDescent="0.25">
      <c r="A5897" t="s">
        <v>20391</v>
      </c>
      <c r="B5897" s="1" t="str">
        <f>HYPERLINK("https://www.catalog.slsa.sa.gov.au/record=b2090635")</f>
        <v>https://www.catalog.slsa.sa.gov.au/record=b2090635</v>
      </c>
      <c r="C5897" s="1" t="str">
        <f>HYPERLINK("https://www.catalog.slsa.sa.gov.au/xrecord=b2090635")</f>
        <v>https://www.catalog.slsa.sa.gov.au/xrecord=b2090635</v>
      </c>
      <c r="E5897" t="s">
        <v>19679</v>
      </c>
      <c r="F5897" t="s">
        <v>4691</v>
      </c>
      <c r="G5897" t="s">
        <v>20392</v>
      </c>
      <c r="H5897" t="s">
        <v>20388</v>
      </c>
      <c r="I5897" t="s">
        <v>20385</v>
      </c>
      <c r="J5897" t="s">
        <v>15341</v>
      </c>
      <c r="K5897" s="2" t="str">
        <f>HYPERLINK("http://collections.slsa.sa.gov.au/mpcimg/59000/B58892_473.htm")</f>
        <v>http://collections.slsa.sa.gov.au/mpcimg/59000/B58892_473.htm</v>
      </c>
    </row>
    <row r="5898" spans="1:11" x14ac:dyDescent="0.25">
      <c r="A5898" t="s">
        <v>20393</v>
      </c>
      <c r="B5898" s="1" t="str">
        <f>HYPERLINK("https://www.catalog.slsa.sa.gov.au/record=b2090636")</f>
        <v>https://www.catalog.slsa.sa.gov.au/record=b2090636</v>
      </c>
      <c r="C5898" s="1" t="str">
        <f>HYPERLINK("https://www.catalog.slsa.sa.gov.au/xrecord=b2090636")</f>
        <v>https://www.catalog.slsa.sa.gov.au/xrecord=b2090636</v>
      </c>
      <c r="E5898" t="s">
        <v>19679</v>
      </c>
      <c r="F5898" t="s">
        <v>4691</v>
      </c>
      <c r="G5898" t="s">
        <v>17708</v>
      </c>
      <c r="H5898" t="s">
        <v>20388</v>
      </c>
      <c r="I5898" t="s">
        <v>20385</v>
      </c>
      <c r="J5898" t="s">
        <v>15341</v>
      </c>
      <c r="K5898" s="2" t="str">
        <f>HYPERLINK("http://collections.slsa.sa.gov.au/mpcimg/59000/B58892_474.htm")</f>
        <v>http://collections.slsa.sa.gov.au/mpcimg/59000/B58892_474.htm</v>
      </c>
    </row>
    <row r="5899" spans="1:11" x14ac:dyDescent="0.25">
      <c r="A5899" t="s">
        <v>20394</v>
      </c>
      <c r="B5899" s="1" t="str">
        <f>HYPERLINK("https://www.catalog.slsa.sa.gov.au/record=b2090637")</f>
        <v>https://www.catalog.slsa.sa.gov.au/record=b2090637</v>
      </c>
      <c r="C5899" s="1" t="str">
        <f>HYPERLINK("https://www.catalog.slsa.sa.gov.au/xrecord=b2090637")</f>
        <v>https://www.catalog.slsa.sa.gov.au/xrecord=b2090637</v>
      </c>
      <c r="E5899" t="s">
        <v>19679</v>
      </c>
      <c r="F5899" t="s">
        <v>4691</v>
      </c>
      <c r="G5899" t="s">
        <v>19708</v>
      </c>
      <c r="H5899" t="s">
        <v>20388</v>
      </c>
      <c r="I5899" t="s">
        <v>20385</v>
      </c>
      <c r="J5899" t="s">
        <v>15341</v>
      </c>
      <c r="K5899" s="2" t="str">
        <f>HYPERLINK("http://collections.slsa.sa.gov.au/mpcimg/59000/B58892_475.htm")</f>
        <v>http://collections.slsa.sa.gov.au/mpcimg/59000/B58892_475.htm</v>
      </c>
    </row>
    <row r="5900" spans="1:11" x14ac:dyDescent="0.25">
      <c r="A5900" t="s">
        <v>20395</v>
      </c>
      <c r="B5900" s="1" t="str">
        <f>HYPERLINK("https://www.catalog.slsa.sa.gov.au/record=b2090638")</f>
        <v>https://www.catalog.slsa.sa.gov.au/record=b2090638</v>
      </c>
      <c r="C5900" s="1" t="str">
        <f>HYPERLINK("https://www.catalog.slsa.sa.gov.au/xrecord=b2090638")</f>
        <v>https://www.catalog.slsa.sa.gov.au/xrecord=b2090638</v>
      </c>
      <c r="E5900" t="s">
        <v>19679</v>
      </c>
      <c r="F5900" t="s">
        <v>4691</v>
      </c>
      <c r="G5900" t="s">
        <v>20396</v>
      </c>
      <c r="H5900" t="s">
        <v>20397</v>
      </c>
      <c r="I5900" t="s">
        <v>20385</v>
      </c>
      <c r="J5900" t="s">
        <v>15341</v>
      </c>
      <c r="K5900" s="2" t="str">
        <f>HYPERLINK("http://collections.slsa.sa.gov.au/mpcimg/59000/B58892_476.htm")</f>
        <v>http://collections.slsa.sa.gov.au/mpcimg/59000/B58892_476.htm</v>
      </c>
    </row>
    <row r="5901" spans="1:11" x14ac:dyDescent="0.25">
      <c r="A5901" t="s">
        <v>20398</v>
      </c>
      <c r="B5901" s="1" t="str">
        <f>HYPERLINK("https://www.catalog.slsa.sa.gov.au/record=b2090639")</f>
        <v>https://www.catalog.slsa.sa.gov.au/record=b2090639</v>
      </c>
      <c r="C5901" s="1" t="str">
        <f>HYPERLINK("https://www.catalog.slsa.sa.gov.au/xrecord=b2090639")</f>
        <v>https://www.catalog.slsa.sa.gov.au/xrecord=b2090639</v>
      </c>
      <c r="E5901" t="s">
        <v>19679</v>
      </c>
      <c r="F5901" t="s">
        <v>4691</v>
      </c>
      <c r="G5901" t="s">
        <v>20399</v>
      </c>
      <c r="H5901" t="s">
        <v>20400</v>
      </c>
      <c r="I5901" t="s">
        <v>15251</v>
      </c>
      <c r="J5901" t="s">
        <v>15341</v>
      </c>
      <c r="K5901" s="2" t="str">
        <f>HYPERLINK("http://collections.slsa.sa.gov.au/mpcimg/59000/B58892_477.htm")</f>
        <v>http://collections.slsa.sa.gov.au/mpcimg/59000/B58892_477.htm</v>
      </c>
    </row>
    <row r="5902" spans="1:11" x14ac:dyDescent="0.25">
      <c r="A5902" t="s">
        <v>20401</v>
      </c>
      <c r="B5902" s="1" t="str">
        <f>HYPERLINK("https://www.catalog.slsa.sa.gov.au/record=b2090691")</f>
        <v>https://www.catalog.slsa.sa.gov.au/record=b2090691</v>
      </c>
      <c r="C5902" s="1" t="str">
        <f>HYPERLINK("https://www.catalog.slsa.sa.gov.au/xrecord=b2090691")</f>
        <v>https://www.catalog.slsa.sa.gov.au/xrecord=b2090691</v>
      </c>
      <c r="E5902" t="s">
        <v>19690</v>
      </c>
      <c r="F5902" t="s">
        <v>4691</v>
      </c>
      <c r="G5902" t="s">
        <v>19469</v>
      </c>
      <c r="H5902" t="s">
        <v>20402</v>
      </c>
      <c r="I5902" t="s">
        <v>15251</v>
      </c>
      <c r="J5902" t="s">
        <v>15341</v>
      </c>
      <c r="K5902" s="2" t="str">
        <f>HYPERLINK("http://collections.slsa.sa.gov.au/mpcimg/59000/B58892_478.htm")</f>
        <v>http://collections.slsa.sa.gov.au/mpcimg/59000/B58892_478.htm</v>
      </c>
    </row>
    <row r="5903" spans="1:11" x14ac:dyDescent="0.25">
      <c r="A5903" t="s">
        <v>20403</v>
      </c>
      <c r="B5903" s="1" t="str">
        <f>HYPERLINK("https://www.catalog.slsa.sa.gov.au/record=b2090693")</f>
        <v>https://www.catalog.slsa.sa.gov.au/record=b2090693</v>
      </c>
      <c r="C5903" s="1" t="str">
        <f>HYPERLINK("https://www.catalog.slsa.sa.gov.au/xrecord=b2090693")</f>
        <v>https://www.catalog.slsa.sa.gov.au/xrecord=b2090693</v>
      </c>
      <c r="E5903" t="s">
        <v>20404</v>
      </c>
      <c r="F5903" t="s">
        <v>4691</v>
      </c>
      <c r="G5903" t="s">
        <v>20405</v>
      </c>
      <c r="H5903" t="s">
        <v>20406</v>
      </c>
      <c r="I5903" t="s">
        <v>15251</v>
      </c>
      <c r="J5903" t="s">
        <v>15341</v>
      </c>
      <c r="K5903" s="2" t="str">
        <f>HYPERLINK("http://collections.slsa.sa.gov.au/mpcimg/59000/B58892_480.htm")</f>
        <v>http://collections.slsa.sa.gov.au/mpcimg/59000/B58892_480.htm</v>
      </c>
    </row>
    <row r="5904" spans="1:11" x14ac:dyDescent="0.25">
      <c r="A5904" t="s">
        <v>20407</v>
      </c>
      <c r="B5904" s="1" t="str">
        <f>HYPERLINK("https://www.catalog.slsa.sa.gov.au/record=b2090696")</f>
        <v>https://www.catalog.slsa.sa.gov.au/record=b2090696</v>
      </c>
      <c r="C5904" s="1" t="str">
        <f>HYPERLINK("https://www.catalog.slsa.sa.gov.au/xrecord=b2090696")</f>
        <v>https://www.catalog.slsa.sa.gov.au/xrecord=b2090696</v>
      </c>
      <c r="E5904" t="s">
        <v>20408</v>
      </c>
      <c r="F5904" t="s">
        <v>4691</v>
      </c>
      <c r="G5904" t="s">
        <v>20409</v>
      </c>
      <c r="H5904" t="s">
        <v>20410</v>
      </c>
      <c r="I5904" t="s">
        <v>19465</v>
      </c>
      <c r="J5904" t="s">
        <v>15341</v>
      </c>
      <c r="K5904" s="2" t="str">
        <f>HYPERLINK("http://collections.slsa.sa.gov.au/mpcimg/59000/B58892_483.htm")</f>
        <v>http://collections.slsa.sa.gov.au/mpcimg/59000/B58892_483.htm</v>
      </c>
    </row>
    <row r="5905" spans="1:11" x14ac:dyDescent="0.25">
      <c r="A5905" t="s">
        <v>20411</v>
      </c>
      <c r="B5905" s="1" t="str">
        <f>HYPERLINK("https://www.catalog.slsa.sa.gov.au/record=b2090698")</f>
        <v>https://www.catalog.slsa.sa.gov.au/record=b2090698</v>
      </c>
      <c r="C5905" s="1" t="str">
        <f>HYPERLINK("https://www.catalog.slsa.sa.gov.au/xrecord=b2090698")</f>
        <v>https://www.catalog.slsa.sa.gov.au/xrecord=b2090698</v>
      </c>
      <c r="E5905" t="s">
        <v>19690</v>
      </c>
      <c r="F5905" t="s">
        <v>4691</v>
      </c>
      <c r="G5905" t="s">
        <v>20380</v>
      </c>
      <c r="H5905" t="s">
        <v>20412</v>
      </c>
      <c r="I5905" t="s">
        <v>15251</v>
      </c>
      <c r="J5905" t="s">
        <v>15341</v>
      </c>
      <c r="K5905" s="2" t="str">
        <f>HYPERLINK("http://collections.slsa.sa.gov.au/mpcimg/59000/B58892_485.htm")</f>
        <v>http://collections.slsa.sa.gov.au/mpcimg/59000/B58892_485.htm</v>
      </c>
    </row>
    <row r="5906" spans="1:11" x14ac:dyDescent="0.25">
      <c r="A5906" t="s">
        <v>20413</v>
      </c>
      <c r="B5906" s="1" t="str">
        <f>HYPERLINK("https://www.catalog.slsa.sa.gov.au/record=b2090699")</f>
        <v>https://www.catalog.slsa.sa.gov.au/record=b2090699</v>
      </c>
      <c r="C5906" s="1" t="str">
        <f>HYPERLINK("https://www.catalog.slsa.sa.gov.au/xrecord=b2090699")</f>
        <v>https://www.catalog.slsa.sa.gov.au/xrecord=b2090699</v>
      </c>
      <c r="E5906" t="s">
        <v>20408</v>
      </c>
      <c r="F5906" t="s">
        <v>4691</v>
      </c>
      <c r="G5906" t="s">
        <v>20414</v>
      </c>
      <c r="H5906" t="s">
        <v>20415</v>
      </c>
      <c r="I5906" t="s">
        <v>15400</v>
      </c>
      <c r="J5906" t="s">
        <v>15341</v>
      </c>
      <c r="K5906" s="2" t="str">
        <f>HYPERLINK("http://collections.slsa.sa.gov.au/mpcimg/59000/B58892_488.htm")</f>
        <v>http://collections.slsa.sa.gov.au/mpcimg/59000/B58892_488.htm</v>
      </c>
    </row>
    <row r="5907" spans="1:11" x14ac:dyDescent="0.25">
      <c r="A5907" t="s">
        <v>20416</v>
      </c>
      <c r="B5907" s="1" t="str">
        <f>HYPERLINK("https://www.catalog.slsa.sa.gov.au/record=b2090700")</f>
        <v>https://www.catalog.slsa.sa.gov.au/record=b2090700</v>
      </c>
      <c r="C5907" s="1" t="str">
        <f>HYPERLINK("https://www.catalog.slsa.sa.gov.au/xrecord=b2090700")</f>
        <v>https://www.catalog.slsa.sa.gov.au/xrecord=b2090700</v>
      </c>
      <c r="E5907" t="s">
        <v>20408</v>
      </c>
      <c r="F5907" t="s">
        <v>4691</v>
      </c>
      <c r="G5907" t="s">
        <v>20417</v>
      </c>
      <c r="H5907" t="s">
        <v>20418</v>
      </c>
      <c r="I5907" t="s">
        <v>20419</v>
      </c>
      <c r="J5907" t="s">
        <v>15341</v>
      </c>
      <c r="K5907" s="2" t="str">
        <f>HYPERLINK("http://collections.slsa.sa.gov.au/mpcimg/59000/B58892_489.htm")</f>
        <v>http://collections.slsa.sa.gov.au/mpcimg/59000/B58892_489.htm</v>
      </c>
    </row>
    <row r="5908" spans="1:11" x14ac:dyDescent="0.25">
      <c r="A5908" t="s">
        <v>20420</v>
      </c>
      <c r="B5908" s="1" t="str">
        <f>HYPERLINK("https://www.catalog.slsa.sa.gov.au/record=b2090701")</f>
        <v>https://www.catalog.slsa.sa.gov.au/record=b2090701</v>
      </c>
      <c r="C5908" s="1" t="str">
        <f>HYPERLINK("https://www.catalog.slsa.sa.gov.au/xrecord=b2090701")</f>
        <v>https://www.catalog.slsa.sa.gov.au/xrecord=b2090701</v>
      </c>
      <c r="E5908" t="s">
        <v>20421</v>
      </c>
      <c r="F5908" t="s">
        <v>4691</v>
      </c>
      <c r="G5908" t="s">
        <v>19451</v>
      </c>
      <c r="H5908" t="s">
        <v>20422</v>
      </c>
      <c r="I5908" t="s">
        <v>20423</v>
      </c>
      <c r="J5908" t="s">
        <v>15341</v>
      </c>
      <c r="K5908" s="2" t="str">
        <f>HYPERLINK("http://collections.slsa.sa.gov.au/mpcimg/59000/B58892_490.htm")</f>
        <v>http://collections.slsa.sa.gov.au/mpcimg/59000/B58892_490.htm</v>
      </c>
    </row>
    <row r="5909" spans="1:11" x14ac:dyDescent="0.25">
      <c r="A5909" t="s">
        <v>20424</v>
      </c>
      <c r="B5909" s="1" t="str">
        <f>HYPERLINK("https://www.catalog.slsa.sa.gov.au/record=b2090702")</f>
        <v>https://www.catalog.slsa.sa.gov.au/record=b2090702</v>
      </c>
      <c r="C5909" s="1" t="str">
        <f>HYPERLINK("https://www.catalog.slsa.sa.gov.au/xrecord=b2090702")</f>
        <v>https://www.catalog.slsa.sa.gov.au/xrecord=b2090702</v>
      </c>
      <c r="E5909" t="s">
        <v>20408</v>
      </c>
      <c r="F5909" t="s">
        <v>4691</v>
      </c>
      <c r="G5909" t="s">
        <v>20425</v>
      </c>
      <c r="H5909" t="s">
        <v>20426</v>
      </c>
      <c r="I5909" t="s">
        <v>20427</v>
      </c>
      <c r="J5909" t="s">
        <v>15341</v>
      </c>
      <c r="K5909" s="2" t="str">
        <f>HYPERLINK("http://collections.slsa.sa.gov.au/mpcimg/59000/B58892_491.htm")</f>
        <v>http://collections.slsa.sa.gov.au/mpcimg/59000/B58892_491.htm</v>
      </c>
    </row>
    <row r="5910" spans="1:11" x14ac:dyDescent="0.25">
      <c r="A5910" t="s">
        <v>20428</v>
      </c>
      <c r="B5910" s="1" t="str">
        <f>HYPERLINK("https://www.catalog.slsa.sa.gov.au/record=b2090703")</f>
        <v>https://www.catalog.slsa.sa.gov.au/record=b2090703</v>
      </c>
      <c r="C5910" s="1" t="str">
        <f>HYPERLINK("https://www.catalog.slsa.sa.gov.au/xrecord=b2090703")</f>
        <v>https://www.catalog.slsa.sa.gov.au/xrecord=b2090703</v>
      </c>
      <c r="E5910" t="s">
        <v>20408</v>
      </c>
      <c r="F5910" t="s">
        <v>4691</v>
      </c>
      <c r="G5910" t="s">
        <v>20429</v>
      </c>
      <c r="H5910" t="s">
        <v>20430</v>
      </c>
      <c r="I5910" t="s">
        <v>15400</v>
      </c>
      <c r="J5910" t="s">
        <v>15341</v>
      </c>
      <c r="K5910" s="2" t="str">
        <f>HYPERLINK("http://collections.slsa.sa.gov.au/mpcimg/59000/B58892_492.htm")</f>
        <v>http://collections.slsa.sa.gov.au/mpcimg/59000/B58892_492.htm</v>
      </c>
    </row>
    <row r="5911" spans="1:11" x14ac:dyDescent="0.25">
      <c r="A5911" t="s">
        <v>20431</v>
      </c>
      <c r="B5911" s="1" t="str">
        <f>HYPERLINK("https://www.catalog.slsa.sa.gov.au/record=b2090704")</f>
        <v>https://www.catalog.slsa.sa.gov.au/record=b2090704</v>
      </c>
      <c r="C5911" s="1" t="str">
        <f>HYPERLINK("https://www.catalog.slsa.sa.gov.au/xrecord=b2090704")</f>
        <v>https://www.catalog.slsa.sa.gov.au/xrecord=b2090704</v>
      </c>
      <c r="E5911" t="s">
        <v>20408</v>
      </c>
      <c r="F5911" t="s">
        <v>4691</v>
      </c>
      <c r="G5911" t="s">
        <v>20432</v>
      </c>
      <c r="H5911" t="s">
        <v>20433</v>
      </c>
      <c r="I5911" t="s">
        <v>15251</v>
      </c>
      <c r="J5911" t="s">
        <v>15341</v>
      </c>
      <c r="K5911" s="2" t="str">
        <f>HYPERLINK("http://collections.slsa.sa.gov.au/mpcimg/59000/B58892_486.htm")</f>
        <v>http://collections.slsa.sa.gov.au/mpcimg/59000/B58892_486.htm</v>
      </c>
    </row>
    <row r="5912" spans="1:11" x14ac:dyDescent="0.25">
      <c r="A5912" t="s">
        <v>20434</v>
      </c>
      <c r="B5912" s="1" t="str">
        <f>HYPERLINK("https://www.catalog.slsa.sa.gov.au/record=b2090705")</f>
        <v>https://www.catalog.slsa.sa.gov.au/record=b2090705</v>
      </c>
      <c r="C5912" s="1" t="str">
        <f>HYPERLINK("https://www.catalog.slsa.sa.gov.au/xrecord=b2090705")</f>
        <v>https://www.catalog.slsa.sa.gov.au/xrecord=b2090705</v>
      </c>
      <c r="E5912" t="s">
        <v>20435</v>
      </c>
      <c r="F5912" t="s">
        <v>4691</v>
      </c>
      <c r="G5912" t="s">
        <v>20436</v>
      </c>
      <c r="H5912" t="s">
        <v>20437</v>
      </c>
      <c r="I5912" t="s">
        <v>15251</v>
      </c>
      <c r="J5912" t="s">
        <v>15341</v>
      </c>
      <c r="K5912" s="2" t="str">
        <f>HYPERLINK("http://collections.slsa.sa.gov.au/mpcimg/59000/B58892_487.htm")</f>
        <v>http://collections.slsa.sa.gov.au/mpcimg/59000/B58892_487.htm</v>
      </c>
    </row>
    <row r="5913" spans="1:11" x14ac:dyDescent="0.25">
      <c r="A5913" t="s">
        <v>20438</v>
      </c>
      <c r="B5913" s="1" t="str">
        <f>HYPERLINK("https://www.catalog.slsa.sa.gov.au/record=b2090707")</f>
        <v>https://www.catalog.slsa.sa.gov.au/record=b2090707</v>
      </c>
      <c r="C5913" s="1" t="str">
        <f>HYPERLINK("https://www.catalog.slsa.sa.gov.au/xrecord=b2090707")</f>
        <v>https://www.catalog.slsa.sa.gov.au/xrecord=b2090707</v>
      </c>
      <c r="E5913" t="s">
        <v>20408</v>
      </c>
      <c r="F5913" t="s">
        <v>4691</v>
      </c>
      <c r="G5913" t="s">
        <v>20439</v>
      </c>
      <c r="H5913" t="s">
        <v>20440</v>
      </c>
      <c r="I5913" t="s">
        <v>15400</v>
      </c>
      <c r="J5913" t="s">
        <v>15341</v>
      </c>
      <c r="K5913" s="2" t="str">
        <f>HYPERLINK("http://collections.slsa.sa.gov.au/mpcimg/59000/B58892_494.htm")</f>
        <v>http://collections.slsa.sa.gov.au/mpcimg/59000/B58892_494.htm</v>
      </c>
    </row>
    <row r="5914" spans="1:11" x14ac:dyDescent="0.25">
      <c r="A5914" t="s">
        <v>20441</v>
      </c>
      <c r="B5914" s="1" t="str">
        <f>HYPERLINK("https://www.catalog.slsa.sa.gov.au/record=b2090708")</f>
        <v>https://www.catalog.slsa.sa.gov.au/record=b2090708</v>
      </c>
      <c r="C5914" s="1" t="str">
        <f>HYPERLINK("https://www.catalog.slsa.sa.gov.au/xrecord=b2090708")</f>
        <v>https://www.catalog.slsa.sa.gov.au/xrecord=b2090708</v>
      </c>
      <c r="E5914" t="s">
        <v>19690</v>
      </c>
      <c r="F5914" t="s">
        <v>4691</v>
      </c>
      <c r="G5914" t="s">
        <v>20442</v>
      </c>
      <c r="H5914" t="s">
        <v>20443</v>
      </c>
      <c r="I5914" t="s">
        <v>15400</v>
      </c>
      <c r="J5914" t="s">
        <v>15341</v>
      </c>
      <c r="K5914" s="2" t="str">
        <f>HYPERLINK("http://collections.slsa.sa.gov.au/mpcimg/59000/B58892_496.htm")</f>
        <v>http://collections.slsa.sa.gov.au/mpcimg/59000/B58892_496.htm</v>
      </c>
    </row>
    <row r="5915" spans="1:11" x14ac:dyDescent="0.25">
      <c r="A5915" t="s">
        <v>20444</v>
      </c>
      <c r="B5915" s="1" t="str">
        <f>HYPERLINK("https://www.catalog.slsa.sa.gov.au/record=b2090709")</f>
        <v>https://www.catalog.slsa.sa.gov.au/record=b2090709</v>
      </c>
      <c r="C5915" s="1" t="str">
        <f>HYPERLINK("https://www.catalog.slsa.sa.gov.au/xrecord=b2090709")</f>
        <v>https://www.catalog.slsa.sa.gov.au/xrecord=b2090709</v>
      </c>
      <c r="E5915" t="s">
        <v>20408</v>
      </c>
      <c r="F5915" t="s">
        <v>4691</v>
      </c>
      <c r="G5915" t="s">
        <v>19626</v>
      </c>
      <c r="H5915" t="s">
        <v>20445</v>
      </c>
      <c r="I5915" t="s">
        <v>15400</v>
      </c>
      <c r="J5915" t="s">
        <v>15341</v>
      </c>
      <c r="K5915" s="2" t="str">
        <f>HYPERLINK("http://collections.slsa.sa.gov.au/mpcimg/59000/B58892_495.htm")</f>
        <v>http://collections.slsa.sa.gov.au/mpcimg/59000/B58892_495.htm</v>
      </c>
    </row>
    <row r="5916" spans="1:11" x14ac:dyDescent="0.25">
      <c r="A5916" t="s">
        <v>20446</v>
      </c>
      <c r="B5916" s="1" t="str">
        <f>HYPERLINK("https://www.catalog.slsa.sa.gov.au/record=b2090710")</f>
        <v>https://www.catalog.slsa.sa.gov.au/record=b2090710</v>
      </c>
      <c r="C5916" s="1" t="str">
        <f>HYPERLINK("https://www.catalog.slsa.sa.gov.au/xrecord=b2090710")</f>
        <v>https://www.catalog.slsa.sa.gov.au/xrecord=b2090710</v>
      </c>
      <c r="E5916" t="s">
        <v>19690</v>
      </c>
      <c r="F5916" t="s">
        <v>4691</v>
      </c>
      <c r="G5916" t="s">
        <v>20447</v>
      </c>
      <c r="H5916" t="s">
        <v>20448</v>
      </c>
      <c r="I5916" t="s">
        <v>19677</v>
      </c>
      <c r="J5916" t="s">
        <v>15341</v>
      </c>
      <c r="K5916" s="2" t="str">
        <f>HYPERLINK("http://collections.slsa.sa.gov.au/mpcimg/59000/B58892_497.htm")</f>
        <v>http://collections.slsa.sa.gov.au/mpcimg/59000/B58892_497.htm</v>
      </c>
    </row>
    <row r="5917" spans="1:11" x14ac:dyDescent="0.25">
      <c r="A5917" t="s">
        <v>20449</v>
      </c>
      <c r="B5917" s="1" t="str">
        <f>HYPERLINK("https://www.catalog.slsa.sa.gov.au/record=b2090712")</f>
        <v>https://www.catalog.slsa.sa.gov.au/record=b2090712</v>
      </c>
      <c r="C5917" s="1" t="str">
        <f>HYPERLINK("https://www.catalog.slsa.sa.gov.au/xrecord=b2090712")</f>
        <v>https://www.catalog.slsa.sa.gov.au/xrecord=b2090712</v>
      </c>
      <c r="E5917" t="s">
        <v>19690</v>
      </c>
      <c r="F5917" t="s">
        <v>4691</v>
      </c>
      <c r="G5917" t="s">
        <v>20450</v>
      </c>
      <c r="H5917" t="s">
        <v>20451</v>
      </c>
      <c r="I5917" t="s">
        <v>20452</v>
      </c>
      <c r="J5917" t="s">
        <v>15341</v>
      </c>
      <c r="K5917" s="2" t="str">
        <f>HYPERLINK("http://collections.slsa.sa.gov.au/mpcimg/59000/B58892_499.htm")</f>
        <v>http://collections.slsa.sa.gov.au/mpcimg/59000/B58892_499.htm</v>
      </c>
    </row>
    <row r="5918" spans="1:11" x14ac:dyDescent="0.25">
      <c r="A5918" t="s">
        <v>20453</v>
      </c>
      <c r="B5918" s="1" t="str">
        <f>HYPERLINK("https://www.catalog.slsa.sa.gov.au/record=b2090713")</f>
        <v>https://www.catalog.slsa.sa.gov.au/record=b2090713</v>
      </c>
      <c r="C5918" s="1" t="str">
        <f>HYPERLINK("https://www.catalog.slsa.sa.gov.au/xrecord=b2090713")</f>
        <v>https://www.catalog.slsa.sa.gov.au/xrecord=b2090713</v>
      </c>
      <c r="E5918" t="s">
        <v>20454</v>
      </c>
      <c r="F5918" t="s">
        <v>4691</v>
      </c>
      <c r="G5918" t="s">
        <v>20399</v>
      </c>
      <c r="H5918" t="s">
        <v>20455</v>
      </c>
      <c r="I5918" t="s">
        <v>15251</v>
      </c>
      <c r="J5918" t="s">
        <v>15341</v>
      </c>
      <c r="K5918" s="2" t="str">
        <f>HYPERLINK("http://collections.slsa.sa.gov.au/mpcimg/59000/B58892_500.htm")</f>
        <v>http://collections.slsa.sa.gov.au/mpcimg/59000/B58892_500.htm</v>
      </c>
    </row>
    <row r="5919" spans="1:11" x14ac:dyDescent="0.25">
      <c r="A5919" t="s">
        <v>20456</v>
      </c>
      <c r="B5919" s="1" t="str">
        <f>HYPERLINK("https://www.catalog.slsa.sa.gov.au/record=b2090714")</f>
        <v>https://www.catalog.slsa.sa.gov.au/record=b2090714</v>
      </c>
      <c r="C5919" s="1" t="str">
        <f>HYPERLINK("https://www.catalog.slsa.sa.gov.au/xrecord=b2090714")</f>
        <v>https://www.catalog.slsa.sa.gov.au/xrecord=b2090714</v>
      </c>
      <c r="E5919" t="s">
        <v>20454</v>
      </c>
      <c r="F5919" t="s">
        <v>4691</v>
      </c>
      <c r="G5919" t="s">
        <v>20457</v>
      </c>
      <c r="H5919" t="s">
        <v>20458</v>
      </c>
      <c r="I5919" t="s">
        <v>15251</v>
      </c>
      <c r="J5919" t="s">
        <v>15341</v>
      </c>
      <c r="K5919" s="2" t="str">
        <f>HYPERLINK("http://collections.slsa.sa.gov.au/mpcimg/59000/B58892_501.htm")</f>
        <v>http://collections.slsa.sa.gov.au/mpcimg/59000/B58892_501.htm</v>
      </c>
    </row>
    <row r="5920" spans="1:11" x14ac:dyDescent="0.25">
      <c r="A5920" t="s">
        <v>20459</v>
      </c>
      <c r="B5920" s="1" t="str">
        <f>HYPERLINK("https://www.catalog.slsa.sa.gov.au/record=b2090715")</f>
        <v>https://www.catalog.slsa.sa.gov.au/record=b2090715</v>
      </c>
      <c r="C5920" s="1" t="str">
        <f>HYPERLINK("https://www.catalog.slsa.sa.gov.au/xrecord=b2090715")</f>
        <v>https://www.catalog.slsa.sa.gov.au/xrecord=b2090715</v>
      </c>
      <c r="E5920" t="s">
        <v>20454</v>
      </c>
      <c r="F5920" t="s">
        <v>4691</v>
      </c>
      <c r="G5920" t="s">
        <v>20460</v>
      </c>
      <c r="H5920" t="s">
        <v>20461</v>
      </c>
      <c r="I5920" t="s">
        <v>15251</v>
      </c>
      <c r="J5920" t="s">
        <v>15341</v>
      </c>
      <c r="K5920" s="2" t="str">
        <f>HYPERLINK("http://collections.slsa.sa.gov.au/mpcimg/59000/B58892_502.htm")</f>
        <v>http://collections.slsa.sa.gov.au/mpcimg/59000/B58892_502.htm</v>
      </c>
    </row>
    <row r="5921" spans="1:11" x14ac:dyDescent="0.25">
      <c r="A5921" t="s">
        <v>20462</v>
      </c>
      <c r="B5921" s="1" t="str">
        <f>HYPERLINK("https://www.catalog.slsa.sa.gov.au/record=b2090716")</f>
        <v>https://www.catalog.slsa.sa.gov.au/record=b2090716</v>
      </c>
      <c r="C5921" s="1" t="str">
        <f>HYPERLINK("https://www.catalog.slsa.sa.gov.au/xrecord=b2090716")</f>
        <v>https://www.catalog.slsa.sa.gov.au/xrecord=b2090716</v>
      </c>
      <c r="E5921" t="s">
        <v>20463</v>
      </c>
      <c r="F5921" t="s">
        <v>4691</v>
      </c>
      <c r="G5921" t="s">
        <v>20464</v>
      </c>
      <c r="H5921" t="s">
        <v>20465</v>
      </c>
      <c r="I5921" t="s">
        <v>20466</v>
      </c>
      <c r="J5921" t="s">
        <v>15341</v>
      </c>
      <c r="K5921" s="2" t="str">
        <f>HYPERLINK("http://collections.slsa.sa.gov.au/mpcimg/59000/B58892_503.htm")</f>
        <v>http://collections.slsa.sa.gov.au/mpcimg/59000/B58892_503.htm</v>
      </c>
    </row>
    <row r="5922" spans="1:11" x14ac:dyDescent="0.25">
      <c r="A5922" t="s">
        <v>20467</v>
      </c>
      <c r="B5922" s="1" t="str">
        <f>HYPERLINK("https://www.catalog.slsa.sa.gov.au/record=b2090717")</f>
        <v>https://www.catalog.slsa.sa.gov.au/record=b2090717</v>
      </c>
      <c r="C5922" s="1" t="str">
        <f>HYPERLINK("https://www.catalog.slsa.sa.gov.au/xrecord=b2090717")</f>
        <v>https://www.catalog.slsa.sa.gov.au/xrecord=b2090717</v>
      </c>
      <c r="E5922" t="s">
        <v>20463</v>
      </c>
      <c r="F5922" t="s">
        <v>4691</v>
      </c>
      <c r="G5922" t="s">
        <v>20468</v>
      </c>
      <c r="H5922" t="s">
        <v>20469</v>
      </c>
      <c r="I5922" t="s">
        <v>20466</v>
      </c>
      <c r="J5922" t="s">
        <v>15341</v>
      </c>
      <c r="K5922" s="2" t="str">
        <f>HYPERLINK("http://collections.slsa.sa.gov.au/mpcimg/59000/B58892_504.htm")</f>
        <v>http://collections.slsa.sa.gov.au/mpcimg/59000/B58892_504.htm</v>
      </c>
    </row>
    <row r="5923" spans="1:11" x14ac:dyDescent="0.25">
      <c r="A5923" t="s">
        <v>20470</v>
      </c>
      <c r="B5923" s="1" t="str">
        <f>HYPERLINK("https://www.catalog.slsa.sa.gov.au/record=b2090718")</f>
        <v>https://www.catalog.slsa.sa.gov.au/record=b2090718</v>
      </c>
      <c r="C5923" s="1" t="str">
        <f>HYPERLINK("https://www.catalog.slsa.sa.gov.au/xrecord=b2090718")</f>
        <v>https://www.catalog.slsa.sa.gov.au/xrecord=b2090718</v>
      </c>
      <c r="E5923" t="s">
        <v>20463</v>
      </c>
      <c r="F5923" t="s">
        <v>4691</v>
      </c>
      <c r="G5923" t="s">
        <v>20471</v>
      </c>
      <c r="H5923" t="s">
        <v>20472</v>
      </c>
      <c r="I5923" t="s">
        <v>20466</v>
      </c>
      <c r="J5923" t="s">
        <v>15341</v>
      </c>
      <c r="K5923" s="2" t="str">
        <f>HYPERLINK("http://collections.slsa.sa.gov.au/mpcimg/59000/B58892_505.htm")</f>
        <v>http://collections.slsa.sa.gov.au/mpcimg/59000/B58892_505.htm</v>
      </c>
    </row>
    <row r="5924" spans="1:11" x14ac:dyDescent="0.25">
      <c r="A5924" t="s">
        <v>20473</v>
      </c>
      <c r="B5924" s="1" t="str">
        <f>HYPERLINK("https://www.catalog.slsa.sa.gov.au/record=b2090719")</f>
        <v>https://www.catalog.slsa.sa.gov.au/record=b2090719</v>
      </c>
      <c r="C5924" s="1" t="str">
        <f>HYPERLINK("https://www.catalog.slsa.sa.gov.au/xrecord=b2090719")</f>
        <v>https://www.catalog.slsa.sa.gov.au/xrecord=b2090719</v>
      </c>
      <c r="E5924" t="s">
        <v>20463</v>
      </c>
      <c r="F5924" t="s">
        <v>4691</v>
      </c>
      <c r="G5924" t="s">
        <v>20474</v>
      </c>
      <c r="H5924" t="s">
        <v>20475</v>
      </c>
      <c r="I5924" t="s">
        <v>20466</v>
      </c>
      <c r="J5924" t="s">
        <v>15341</v>
      </c>
      <c r="K5924" s="2" t="str">
        <f>HYPERLINK("http://collections.slsa.sa.gov.au/mpcimg/59000/B58892_506.htm")</f>
        <v>http://collections.slsa.sa.gov.au/mpcimg/59000/B58892_506.htm</v>
      </c>
    </row>
    <row r="5925" spans="1:11" x14ac:dyDescent="0.25">
      <c r="A5925" t="s">
        <v>20476</v>
      </c>
      <c r="B5925" s="1" t="str">
        <f>HYPERLINK("https://www.catalog.slsa.sa.gov.au/record=b2090720")</f>
        <v>https://www.catalog.slsa.sa.gov.au/record=b2090720</v>
      </c>
      <c r="C5925" s="1" t="str">
        <f>HYPERLINK("https://www.catalog.slsa.sa.gov.au/xrecord=b2090720")</f>
        <v>https://www.catalog.slsa.sa.gov.au/xrecord=b2090720</v>
      </c>
      <c r="E5925" t="s">
        <v>20463</v>
      </c>
      <c r="F5925" t="s">
        <v>4691</v>
      </c>
      <c r="G5925" t="s">
        <v>20477</v>
      </c>
      <c r="H5925" t="s">
        <v>20475</v>
      </c>
      <c r="I5925" t="s">
        <v>20466</v>
      </c>
      <c r="J5925" t="s">
        <v>15341</v>
      </c>
      <c r="K5925" s="2" t="str">
        <f>HYPERLINK("http://collections.slsa.sa.gov.au/mpcimg/59000/B58892_507.htm")</f>
        <v>http://collections.slsa.sa.gov.au/mpcimg/59000/B58892_507.htm</v>
      </c>
    </row>
    <row r="5926" spans="1:11" x14ac:dyDescent="0.25">
      <c r="A5926" t="s">
        <v>20478</v>
      </c>
      <c r="B5926" s="1" t="str">
        <f>HYPERLINK("https://www.catalog.slsa.sa.gov.au/record=b2090755")</f>
        <v>https://www.catalog.slsa.sa.gov.au/record=b2090755</v>
      </c>
      <c r="C5926" s="1" t="str">
        <f>HYPERLINK("https://www.catalog.slsa.sa.gov.au/xrecord=b2090755")</f>
        <v>https://www.catalog.slsa.sa.gov.au/xrecord=b2090755</v>
      </c>
      <c r="E5926" t="s">
        <v>19723</v>
      </c>
      <c r="F5926" t="s">
        <v>4691</v>
      </c>
      <c r="G5926" t="s">
        <v>20479</v>
      </c>
      <c r="H5926" t="s">
        <v>20480</v>
      </c>
      <c r="I5926" t="s">
        <v>15400</v>
      </c>
      <c r="J5926" t="s">
        <v>15341</v>
      </c>
      <c r="K5926" s="2" t="str">
        <f>HYPERLINK("http://collections.slsa.sa.gov.au/mpcimg/59000/B58892_542.htm")</f>
        <v>http://collections.slsa.sa.gov.au/mpcimg/59000/B58892_542.htm</v>
      </c>
    </row>
    <row r="5927" spans="1:11" x14ac:dyDescent="0.25">
      <c r="A5927" t="s">
        <v>20481</v>
      </c>
      <c r="B5927" s="1" t="str">
        <f>HYPERLINK("https://www.catalog.slsa.sa.gov.au/record=b2090757")</f>
        <v>https://www.catalog.slsa.sa.gov.au/record=b2090757</v>
      </c>
      <c r="C5927" s="1" t="str">
        <f>HYPERLINK("https://www.catalog.slsa.sa.gov.au/xrecord=b2090757")</f>
        <v>https://www.catalog.slsa.sa.gov.au/xrecord=b2090757</v>
      </c>
      <c r="E5927" t="s">
        <v>19723</v>
      </c>
      <c r="F5927" t="s">
        <v>4691</v>
      </c>
      <c r="G5927" t="s">
        <v>20482</v>
      </c>
      <c r="H5927" t="s">
        <v>20483</v>
      </c>
      <c r="I5927" t="s">
        <v>15400</v>
      </c>
      <c r="J5927" t="s">
        <v>15341</v>
      </c>
      <c r="K5927" s="2" t="str">
        <f>HYPERLINK("http://collections.slsa.sa.gov.au/mpcimg/59000/B58892_544.htm")</f>
        <v>http://collections.slsa.sa.gov.au/mpcimg/59000/B58892_544.htm</v>
      </c>
    </row>
    <row r="5928" spans="1:11" x14ac:dyDescent="0.25">
      <c r="A5928" t="s">
        <v>20484</v>
      </c>
      <c r="B5928" s="1" t="str">
        <f>HYPERLINK("https://www.catalog.slsa.sa.gov.au/record=b2090758")</f>
        <v>https://www.catalog.slsa.sa.gov.au/record=b2090758</v>
      </c>
      <c r="C5928" s="1" t="str">
        <f>HYPERLINK("https://www.catalog.slsa.sa.gov.au/xrecord=b2090758")</f>
        <v>https://www.catalog.slsa.sa.gov.au/xrecord=b2090758</v>
      </c>
      <c r="E5928" t="s">
        <v>19723</v>
      </c>
      <c r="F5928" t="s">
        <v>4691</v>
      </c>
      <c r="G5928" t="s">
        <v>20485</v>
      </c>
      <c r="H5928" t="s">
        <v>20486</v>
      </c>
      <c r="I5928" t="s">
        <v>20487</v>
      </c>
      <c r="J5928" t="s">
        <v>20488</v>
      </c>
      <c r="K5928" s="2" t="str">
        <f>HYPERLINK("http://collections.slsa.sa.gov.au/mpcimg/59000/B58892_545.htm")</f>
        <v>http://collections.slsa.sa.gov.au/mpcimg/59000/B58892_545.htm</v>
      </c>
    </row>
    <row r="5929" spans="1:11" x14ac:dyDescent="0.25">
      <c r="A5929" t="s">
        <v>20489</v>
      </c>
      <c r="B5929" s="1" t="str">
        <f>HYPERLINK("https://www.catalog.slsa.sa.gov.au/record=b2090762")</f>
        <v>https://www.catalog.slsa.sa.gov.au/record=b2090762</v>
      </c>
      <c r="C5929" s="1" t="str">
        <f>HYPERLINK("https://www.catalog.slsa.sa.gov.au/xrecord=b2090762")</f>
        <v>https://www.catalog.slsa.sa.gov.au/xrecord=b2090762</v>
      </c>
      <c r="E5929" t="s">
        <v>19723</v>
      </c>
      <c r="F5929" t="s">
        <v>4691</v>
      </c>
      <c r="G5929" t="s">
        <v>20490</v>
      </c>
      <c r="H5929" t="s">
        <v>20491</v>
      </c>
      <c r="I5929" t="s">
        <v>15400</v>
      </c>
      <c r="J5929" t="s">
        <v>15341</v>
      </c>
      <c r="K5929" s="2" t="str">
        <f>HYPERLINK("http://collections.slsa.sa.gov.au/mpcimg/59000/B58892_549.htm")</f>
        <v>http://collections.slsa.sa.gov.au/mpcimg/59000/B58892_549.htm</v>
      </c>
    </row>
    <row r="5930" spans="1:11" x14ac:dyDescent="0.25">
      <c r="A5930" t="s">
        <v>20492</v>
      </c>
      <c r="B5930" s="1" t="str">
        <f>HYPERLINK("https://www.catalog.slsa.sa.gov.au/record=b2090763")</f>
        <v>https://www.catalog.slsa.sa.gov.au/record=b2090763</v>
      </c>
      <c r="C5930" s="1" t="str">
        <f>HYPERLINK("https://www.catalog.slsa.sa.gov.au/xrecord=b2090763")</f>
        <v>https://www.catalog.slsa.sa.gov.au/xrecord=b2090763</v>
      </c>
      <c r="E5930" t="s">
        <v>19723</v>
      </c>
      <c r="F5930" t="s">
        <v>4691</v>
      </c>
      <c r="G5930" t="s">
        <v>20493</v>
      </c>
      <c r="H5930" t="s">
        <v>20494</v>
      </c>
      <c r="I5930" t="s">
        <v>15400</v>
      </c>
      <c r="J5930" t="s">
        <v>15341</v>
      </c>
      <c r="K5930" s="2" t="str">
        <f>HYPERLINK("http://collections.slsa.sa.gov.au/mpcimg/59000/B58892_550.htm")</f>
        <v>http://collections.slsa.sa.gov.au/mpcimg/59000/B58892_550.htm</v>
      </c>
    </row>
    <row r="5931" spans="1:11" x14ac:dyDescent="0.25">
      <c r="A5931" t="s">
        <v>20495</v>
      </c>
      <c r="B5931" s="1" t="str">
        <f>HYPERLINK("https://www.catalog.slsa.sa.gov.au/record=b2090764")</f>
        <v>https://www.catalog.slsa.sa.gov.au/record=b2090764</v>
      </c>
      <c r="C5931" s="1" t="str">
        <f>HYPERLINK("https://www.catalog.slsa.sa.gov.au/xrecord=b2090764")</f>
        <v>https://www.catalog.slsa.sa.gov.au/xrecord=b2090764</v>
      </c>
      <c r="E5931" t="s">
        <v>19723</v>
      </c>
      <c r="F5931" t="s">
        <v>4691</v>
      </c>
      <c r="G5931" t="s">
        <v>20496</v>
      </c>
      <c r="H5931" t="s">
        <v>20494</v>
      </c>
      <c r="I5931" t="s">
        <v>15400</v>
      </c>
      <c r="J5931" t="s">
        <v>15341</v>
      </c>
      <c r="K5931" s="2" t="str">
        <f>HYPERLINK("http://collections.slsa.sa.gov.au/mpcimg/59000/B58892_551.htm")</f>
        <v>http://collections.slsa.sa.gov.au/mpcimg/59000/B58892_551.htm</v>
      </c>
    </row>
    <row r="5932" spans="1:11" x14ac:dyDescent="0.25">
      <c r="A5932" t="s">
        <v>20497</v>
      </c>
      <c r="B5932" s="1" t="str">
        <f>HYPERLINK("https://www.catalog.slsa.sa.gov.au/record=b2090765")</f>
        <v>https://www.catalog.slsa.sa.gov.au/record=b2090765</v>
      </c>
      <c r="C5932" s="1" t="str">
        <f>HYPERLINK("https://www.catalog.slsa.sa.gov.au/xrecord=b2090765")</f>
        <v>https://www.catalog.slsa.sa.gov.au/xrecord=b2090765</v>
      </c>
      <c r="E5932" t="s">
        <v>19723</v>
      </c>
      <c r="F5932" t="s">
        <v>4691</v>
      </c>
      <c r="G5932" t="s">
        <v>20498</v>
      </c>
      <c r="H5932" t="s">
        <v>20494</v>
      </c>
      <c r="I5932" t="s">
        <v>15400</v>
      </c>
      <c r="J5932" t="s">
        <v>15341</v>
      </c>
      <c r="K5932" s="2" t="str">
        <f>HYPERLINK("http://collections.slsa.sa.gov.au/mpcimg/59000/B58892_552.htm")</f>
        <v>http://collections.slsa.sa.gov.au/mpcimg/59000/B58892_552.htm</v>
      </c>
    </row>
    <row r="5933" spans="1:11" x14ac:dyDescent="0.25">
      <c r="A5933" t="s">
        <v>20499</v>
      </c>
      <c r="B5933" s="1" t="str">
        <f>HYPERLINK("https://www.catalog.slsa.sa.gov.au/record=b2090766")</f>
        <v>https://www.catalog.slsa.sa.gov.au/record=b2090766</v>
      </c>
      <c r="C5933" s="1" t="str">
        <f>HYPERLINK("https://www.catalog.slsa.sa.gov.au/xrecord=b2090766")</f>
        <v>https://www.catalog.slsa.sa.gov.au/xrecord=b2090766</v>
      </c>
      <c r="E5933" t="s">
        <v>19723</v>
      </c>
      <c r="F5933" t="s">
        <v>4691</v>
      </c>
      <c r="G5933" t="s">
        <v>20500</v>
      </c>
      <c r="H5933" t="s">
        <v>20501</v>
      </c>
      <c r="I5933" t="s">
        <v>19677</v>
      </c>
      <c r="J5933" t="s">
        <v>20502</v>
      </c>
      <c r="K5933" s="2" t="str">
        <f>HYPERLINK("http://collections.slsa.sa.gov.au/mpcimg/59000/B58892_553.htm")</f>
        <v>http://collections.slsa.sa.gov.au/mpcimg/59000/B58892_553.htm</v>
      </c>
    </row>
    <row r="5934" spans="1:11" x14ac:dyDescent="0.25">
      <c r="A5934" t="s">
        <v>20503</v>
      </c>
      <c r="B5934" s="1" t="str">
        <f>HYPERLINK("https://www.catalog.slsa.sa.gov.au/record=b2090767")</f>
        <v>https://www.catalog.slsa.sa.gov.au/record=b2090767</v>
      </c>
      <c r="C5934" s="1" t="str">
        <f>HYPERLINK("https://www.catalog.slsa.sa.gov.au/xrecord=b2090767")</f>
        <v>https://www.catalog.slsa.sa.gov.au/xrecord=b2090767</v>
      </c>
      <c r="E5934" t="s">
        <v>19723</v>
      </c>
      <c r="F5934" t="s">
        <v>4691</v>
      </c>
      <c r="G5934" t="s">
        <v>20504</v>
      </c>
      <c r="H5934" t="s">
        <v>20505</v>
      </c>
      <c r="I5934" t="s">
        <v>15400</v>
      </c>
      <c r="J5934" t="s">
        <v>15341</v>
      </c>
      <c r="K5934" s="2" t="str">
        <f>HYPERLINK("http://collections.slsa.sa.gov.au/mpcimg/59000/B58892_554.htm")</f>
        <v>http://collections.slsa.sa.gov.au/mpcimg/59000/B58892_554.htm</v>
      </c>
    </row>
    <row r="5935" spans="1:11" x14ac:dyDescent="0.25">
      <c r="A5935" t="s">
        <v>20506</v>
      </c>
      <c r="B5935" s="1" t="str">
        <f>HYPERLINK("https://www.catalog.slsa.sa.gov.au/record=b2090768")</f>
        <v>https://www.catalog.slsa.sa.gov.au/record=b2090768</v>
      </c>
      <c r="C5935" s="1" t="str">
        <f>HYPERLINK("https://www.catalog.slsa.sa.gov.au/xrecord=b2090768")</f>
        <v>https://www.catalog.slsa.sa.gov.au/xrecord=b2090768</v>
      </c>
      <c r="E5935" t="s">
        <v>20507</v>
      </c>
      <c r="F5935" t="s">
        <v>4691</v>
      </c>
      <c r="G5935" t="s">
        <v>20508</v>
      </c>
      <c r="H5935" t="s">
        <v>20509</v>
      </c>
      <c r="I5935" t="s">
        <v>15400</v>
      </c>
      <c r="J5935" t="s">
        <v>15341</v>
      </c>
      <c r="K5935" s="2" t="str">
        <f>HYPERLINK("http://collections.slsa.sa.gov.au/mpcimg/59000/B58892_555.htm")</f>
        <v>http://collections.slsa.sa.gov.au/mpcimg/59000/B58892_555.htm</v>
      </c>
    </row>
    <row r="5936" spans="1:11" x14ac:dyDescent="0.25">
      <c r="A5936" t="s">
        <v>20510</v>
      </c>
      <c r="B5936" s="1" t="str">
        <f>HYPERLINK("https://www.catalog.slsa.sa.gov.au/record=b2119853")</f>
        <v>https://www.catalog.slsa.sa.gov.au/record=b2119853</v>
      </c>
      <c r="C5936" s="1" t="str">
        <f>HYPERLINK("https://www.catalog.slsa.sa.gov.au/xrecord=b2119853")</f>
        <v>https://www.catalog.slsa.sa.gov.au/xrecord=b2119853</v>
      </c>
      <c r="E5936" t="s">
        <v>20511</v>
      </c>
      <c r="F5936" t="s">
        <v>4691</v>
      </c>
      <c r="G5936" t="s">
        <v>20512</v>
      </c>
      <c r="H5936" t="s">
        <v>20513</v>
      </c>
      <c r="I5936" t="s">
        <v>20514</v>
      </c>
      <c r="J5936" t="s">
        <v>14768</v>
      </c>
      <c r="K5936" s="2" t="str">
        <f>HYPERLINK("http://collections.slsa.sa.gov.au/mpcimg/70500/B70494_12.htm")</f>
        <v>http://collections.slsa.sa.gov.au/mpcimg/70500/B70494_12.htm</v>
      </c>
    </row>
    <row r="5937" spans="1:11" x14ac:dyDescent="0.25">
      <c r="A5937" t="s">
        <v>20515</v>
      </c>
      <c r="B5937" s="1" t="str">
        <f>HYPERLINK("https://www.catalog.slsa.sa.gov.au/record=b2121423")</f>
        <v>https://www.catalog.slsa.sa.gov.au/record=b2121423</v>
      </c>
      <c r="C5937" s="1" t="str">
        <f>HYPERLINK("https://www.catalog.slsa.sa.gov.au/xrecord=b2121423")</f>
        <v>https://www.catalog.slsa.sa.gov.au/xrecord=b2121423</v>
      </c>
      <c r="D5937" t="s">
        <v>20516</v>
      </c>
      <c r="E5937" t="s">
        <v>20517</v>
      </c>
      <c r="F5937" t="s">
        <v>4691</v>
      </c>
      <c r="G5937" t="s">
        <v>20518</v>
      </c>
      <c r="H5937" t="s">
        <v>20519</v>
      </c>
      <c r="I5937" t="s">
        <v>20520</v>
      </c>
      <c r="J5937" t="s">
        <v>20521</v>
      </c>
      <c r="K5937" s="2" t="str">
        <f>HYPERLINK("http://collections.slsa.sa.gov.au/mpcimg/70500/B70378_71.htm")</f>
        <v>http://collections.slsa.sa.gov.au/mpcimg/70500/B70378_71.htm</v>
      </c>
    </row>
    <row r="5938" spans="1:11" x14ac:dyDescent="0.25">
      <c r="A5938" t="s">
        <v>20522</v>
      </c>
      <c r="B5938" s="1" t="str">
        <f>HYPERLINK("https://www.catalog.slsa.sa.gov.au/record=b2121424")</f>
        <v>https://www.catalog.slsa.sa.gov.au/record=b2121424</v>
      </c>
      <c r="C5938" s="1" t="str">
        <f>HYPERLINK("https://www.catalog.slsa.sa.gov.au/xrecord=b2121424")</f>
        <v>https://www.catalog.slsa.sa.gov.au/xrecord=b2121424</v>
      </c>
      <c r="D5938" t="s">
        <v>20523</v>
      </c>
      <c r="E5938" t="s">
        <v>20524</v>
      </c>
      <c r="F5938" t="s">
        <v>4691</v>
      </c>
      <c r="G5938" t="s">
        <v>20525</v>
      </c>
      <c r="H5938" t="s">
        <v>20526</v>
      </c>
      <c r="I5938" t="s">
        <v>20527</v>
      </c>
      <c r="J5938" t="s">
        <v>20521</v>
      </c>
      <c r="K5938" s="2" t="str">
        <f>HYPERLINK("http://collections.slsa.sa.gov.au/mpcimg/70500/B70378_72.htm")</f>
        <v>http://collections.slsa.sa.gov.au/mpcimg/70500/B70378_72.htm</v>
      </c>
    </row>
    <row r="5939" spans="1:11" x14ac:dyDescent="0.25">
      <c r="A5939" t="s">
        <v>20528</v>
      </c>
      <c r="B5939" s="1" t="str">
        <f>HYPERLINK("https://www.catalog.slsa.sa.gov.au/record=b2125832")</f>
        <v>https://www.catalog.slsa.sa.gov.au/record=b2125832</v>
      </c>
      <c r="C5939" s="1" t="str">
        <f>HYPERLINK("https://www.catalog.slsa.sa.gov.au/xrecord=b2125832")</f>
        <v>https://www.catalog.slsa.sa.gov.au/xrecord=b2125832</v>
      </c>
      <c r="E5939" t="s">
        <v>20529</v>
      </c>
      <c r="F5939" t="s">
        <v>4691</v>
      </c>
      <c r="G5939" t="s">
        <v>18624</v>
      </c>
      <c r="H5939" t="s">
        <v>20530</v>
      </c>
      <c r="I5939" t="s">
        <v>18626</v>
      </c>
      <c r="J5939" t="s">
        <v>14768</v>
      </c>
      <c r="K5939" s="2" t="str">
        <f>HYPERLINK("http://collections.slsa.sa.gov.au/mpcimg/70750/B70698_24.htm")</f>
        <v>http://collections.slsa.sa.gov.au/mpcimg/70750/B70698_24.htm</v>
      </c>
    </row>
    <row r="5940" spans="1:11" x14ac:dyDescent="0.25">
      <c r="A5940" t="s">
        <v>20531</v>
      </c>
      <c r="B5940" s="1" t="str">
        <f>HYPERLINK("https://www.catalog.slsa.sa.gov.au/record=b2125833")</f>
        <v>https://www.catalog.slsa.sa.gov.au/record=b2125833</v>
      </c>
      <c r="C5940" s="1" t="str">
        <f>HYPERLINK("https://www.catalog.slsa.sa.gov.au/xrecord=b2125833")</f>
        <v>https://www.catalog.slsa.sa.gov.au/xrecord=b2125833</v>
      </c>
      <c r="E5940" t="s">
        <v>20532</v>
      </c>
      <c r="F5940" t="s">
        <v>4691</v>
      </c>
      <c r="G5940" t="s">
        <v>18624</v>
      </c>
      <c r="H5940" t="s">
        <v>20533</v>
      </c>
      <c r="I5940" t="s">
        <v>18626</v>
      </c>
      <c r="J5940" t="s">
        <v>14768</v>
      </c>
      <c r="K5940" s="2" t="str">
        <f>HYPERLINK("http://collections.slsa.sa.gov.au/mpcimg/70750/B70698_25.htm")</f>
        <v>http://collections.slsa.sa.gov.au/mpcimg/70750/B70698_25.htm</v>
      </c>
    </row>
    <row r="5941" spans="1:11" x14ac:dyDescent="0.25">
      <c r="A5941" t="s">
        <v>20534</v>
      </c>
      <c r="B5941" s="1" t="str">
        <f>HYPERLINK("https://www.catalog.slsa.sa.gov.au/record=b2125834")</f>
        <v>https://www.catalog.slsa.sa.gov.au/record=b2125834</v>
      </c>
      <c r="C5941" s="1" t="str">
        <f>HYPERLINK("https://www.catalog.slsa.sa.gov.au/xrecord=b2125834")</f>
        <v>https://www.catalog.slsa.sa.gov.au/xrecord=b2125834</v>
      </c>
      <c r="E5941" t="s">
        <v>20535</v>
      </c>
      <c r="F5941" t="s">
        <v>4691</v>
      </c>
      <c r="G5941" t="s">
        <v>18624</v>
      </c>
      <c r="H5941" t="s">
        <v>20536</v>
      </c>
      <c r="I5941" t="s">
        <v>18626</v>
      </c>
      <c r="J5941" t="s">
        <v>14768</v>
      </c>
      <c r="K5941" s="2" t="str">
        <f>HYPERLINK("http://collections.slsa.sa.gov.au/mpcimg/70750/B70698_26.htm")</f>
        <v>http://collections.slsa.sa.gov.au/mpcimg/70750/B70698_26.htm</v>
      </c>
    </row>
    <row r="5942" spans="1:11" x14ac:dyDescent="0.25">
      <c r="A5942" t="s">
        <v>20537</v>
      </c>
      <c r="B5942" s="1" t="str">
        <f>HYPERLINK("https://www.catalog.slsa.sa.gov.au/record=b2125835")</f>
        <v>https://www.catalog.slsa.sa.gov.au/record=b2125835</v>
      </c>
      <c r="C5942" s="1" t="str">
        <f>HYPERLINK("https://www.catalog.slsa.sa.gov.au/xrecord=b2125835")</f>
        <v>https://www.catalog.slsa.sa.gov.au/xrecord=b2125835</v>
      </c>
      <c r="E5942" t="s">
        <v>20538</v>
      </c>
      <c r="F5942" t="s">
        <v>4691</v>
      </c>
      <c r="G5942" t="s">
        <v>18624</v>
      </c>
      <c r="H5942" t="s">
        <v>20539</v>
      </c>
      <c r="I5942" t="s">
        <v>18626</v>
      </c>
      <c r="J5942" t="s">
        <v>14768</v>
      </c>
      <c r="K5942" s="2" t="str">
        <f>HYPERLINK("http://collections.slsa.sa.gov.au/mpcimg/70750/B70698_27.htm")</f>
        <v>http://collections.slsa.sa.gov.au/mpcimg/70750/B70698_27.htm</v>
      </c>
    </row>
    <row r="5943" spans="1:11" x14ac:dyDescent="0.25">
      <c r="A5943" t="s">
        <v>20540</v>
      </c>
      <c r="B5943" s="1" t="str">
        <f>HYPERLINK("https://www.catalog.slsa.sa.gov.au/record=b2125836")</f>
        <v>https://www.catalog.slsa.sa.gov.au/record=b2125836</v>
      </c>
      <c r="C5943" s="1" t="str">
        <f>HYPERLINK("https://www.catalog.slsa.sa.gov.au/xrecord=b2125836")</f>
        <v>https://www.catalog.slsa.sa.gov.au/xrecord=b2125836</v>
      </c>
      <c r="E5943" t="s">
        <v>20541</v>
      </c>
      <c r="F5943" t="s">
        <v>4691</v>
      </c>
      <c r="G5943" t="s">
        <v>18624</v>
      </c>
      <c r="H5943" t="s">
        <v>20542</v>
      </c>
      <c r="I5943" t="s">
        <v>18626</v>
      </c>
      <c r="J5943" t="s">
        <v>14768</v>
      </c>
      <c r="K5943" s="2" t="str">
        <f>HYPERLINK("http://collections.slsa.sa.gov.au/mpcimg/70750/B70698_28.htm")</f>
        <v>http://collections.slsa.sa.gov.au/mpcimg/70750/B70698_28.htm</v>
      </c>
    </row>
    <row r="5944" spans="1:11" x14ac:dyDescent="0.25">
      <c r="A5944" t="s">
        <v>20543</v>
      </c>
      <c r="B5944" s="1" t="str">
        <f>HYPERLINK("https://www.catalog.slsa.sa.gov.au/record=b2125837")</f>
        <v>https://www.catalog.slsa.sa.gov.au/record=b2125837</v>
      </c>
      <c r="C5944" s="1" t="str">
        <f>HYPERLINK("https://www.catalog.slsa.sa.gov.au/xrecord=b2125837")</f>
        <v>https://www.catalog.slsa.sa.gov.au/xrecord=b2125837</v>
      </c>
      <c r="E5944" t="s">
        <v>20544</v>
      </c>
      <c r="F5944" t="s">
        <v>4691</v>
      </c>
      <c r="G5944" t="s">
        <v>18624</v>
      </c>
      <c r="H5944" t="s">
        <v>20545</v>
      </c>
      <c r="I5944" t="s">
        <v>18626</v>
      </c>
      <c r="J5944" t="s">
        <v>14768</v>
      </c>
      <c r="K5944" s="2" t="str">
        <f>HYPERLINK("http://collections.slsa.sa.gov.au/mpcimg/70750/B70698_29.htm")</f>
        <v>http://collections.slsa.sa.gov.au/mpcimg/70750/B70698_29.htm</v>
      </c>
    </row>
    <row r="5945" spans="1:11" x14ac:dyDescent="0.25">
      <c r="A5945" t="s">
        <v>20546</v>
      </c>
      <c r="B5945" s="1" t="str">
        <f>HYPERLINK("https://www.catalog.slsa.sa.gov.au/record=b2125838")</f>
        <v>https://www.catalog.slsa.sa.gov.au/record=b2125838</v>
      </c>
      <c r="C5945" s="1" t="str">
        <f>HYPERLINK("https://www.catalog.slsa.sa.gov.au/xrecord=b2125838")</f>
        <v>https://www.catalog.slsa.sa.gov.au/xrecord=b2125838</v>
      </c>
      <c r="E5945" t="s">
        <v>18623</v>
      </c>
      <c r="F5945" t="s">
        <v>4691</v>
      </c>
      <c r="G5945" t="s">
        <v>18624</v>
      </c>
      <c r="H5945" t="s">
        <v>20547</v>
      </c>
      <c r="I5945" t="s">
        <v>18626</v>
      </c>
      <c r="J5945" t="s">
        <v>14768</v>
      </c>
      <c r="K5945" s="2" t="str">
        <f>HYPERLINK("http://collections.slsa.sa.gov.au/mpcimg/70750/B70698_30.htm")</f>
        <v>http://collections.slsa.sa.gov.au/mpcimg/70750/B70698_30.htm</v>
      </c>
    </row>
    <row r="5946" spans="1:11" x14ac:dyDescent="0.25">
      <c r="A5946" t="s">
        <v>20548</v>
      </c>
      <c r="B5946" s="1" t="str">
        <f>HYPERLINK("https://www.catalog.slsa.sa.gov.au/record=b3122456")</f>
        <v>https://www.catalog.slsa.sa.gov.au/record=b3122456</v>
      </c>
      <c r="C5946" s="1" t="str">
        <f>HYPERLINK("https://www.catalog.slsa.sa.gov.au/xrecord=b3122456")</f>
        <v>https://www.catalog.slsa.sa.gov.au/xrecord=b3122456</v>
      </c>
      <c r="E5946" t="s">
        <v>20549</v>
      </c>
      <c r="F5946" t="s">
        <v>4691</v>
      </c>
      <c r="G5946" t="s">
        <v>20550</v>
      </c>
      <c r="H5946" t="s">
        <v>20551</v>
      </c>
      <c r="I5946" t="s">
        <v>20552</v>
      </c>
      <c r="J5946" t="s">
        <v>20553</v>
      </c>
      <c r="K5946" s="2" t="str">
        <f>HYPERLINK("http://collections.slsa.sa.gov.au/resource/B+75148")</f>
        <v>http://collections.slsa.sa.gov.au/resource/B+75148</v>
      </c>
    </row>
    <row r="5947" spans="1:11" x14ac:dyDescent="0.25">
      <c r="A5947" t="s">
        <v>20554</v>
      </c>
      <c r="B5947" s="1" t="str">
        <f>HYPERLINK("https://www.catalog.slsa.sa.gov.au/record=b3138148")</f>
        <v>https://www.catalog.slsa.sa.gov.au/record=b3138148</v>
      </c>
      <c r="C5947" s="1" t="str">
        <f>HYPERLINK("https://www.catalog.slsa.sa.gov.au/xrecord=b3138148")</f>
        <v>https://www.catalog.slsa.sa.gov.au/xrecord=b3138148</v>
      </c>
      <c r="E5947" t="s">
        <v>20555</v>
      </c>
      <c r="F5947" t="s">
        <v>20556</v>
      </c>
      <c r="G5947" t="s">
        <v>20557</v>
      </c>
      <c r="H5947" t="s">
        <v>20558</v>
      </c>
      <c r="I5947" t="s">
        <v>20559</v>
      </c>
      <c r="J5947" t="s">
        <v>18474</v>
      </c>
      <c r="K5947" s="2" t="str">
        <f>HYPERLINK("http://collections.slsa.sa.gov.au/resource/B+76273")</f>
        <v>http://collections.slsa.sa.gov.au/resource/B+76273</v>
      </c>
    </row>
    <row r="5948" spans="1:11" x14ac:dyDescent="0.25">
      <c r="A5948" t="s">
        <v>20560</v>
      </c>
      <c r="B5948" s="1" t="str">
        <f>HYPERLINK("https://www.catalog.slsa.sa.gov.au/record=b3138889")</f>
        <v>https://www.catalog.slsa.sa.gov.au/record=b3138889</v>
      </c>
      <c r="C5948" s="1" t="str">
        <f>HYPERLINK("https://www.catalog.slsa.sa.gov.au/xrecord=b3138889")</f>
        <v>https://www.catalog.slsa.sa.gov.au/xrecord=b3138889</v>
      </c>
      <c r="E5948" t="s">
        <v>20561</v>
      </c>
      <c r="F5948" t="s">
        <v>20556</v>
      </c>
      <c r="G5948" t="s">
        <v>20557</v>
      </c>
      <c r="H5948" t="s">
        <v>20562</v>
      </c>
      <c r="I5948" t="s">
        <v>20563</v>
      </c>
      <c r="J5948" t="s">
        <v>18474</v>
      </c>
      <c r="K5948" s="2" t="str">
        <f>HYPERLINK("http://collections.slsa.sa.gov.au/resource/B+76274")</f>
        <v>http://collections.slsa.sa.gov.au/resource/B+76274</v>
      </c>
    </row>
    <row r="5949" spans="1:11" x14ac:dyDescent="0.25">
      <c r="A5949" t="s">
        <v>20564</v>
      </c>
      <c r="B5949" s="1" t="str">
        <f>HYPERLINK("https://www.catalog.slsa.sa.gov.au/record=b3138897")</f>
        <v>https://www.catalog.slsa.sa.gov.au/record=b3138897</v>
      </c>
      <c r="C5949" s="1" t="str">
        <f>HYPERLINK("https://www.catalog.slsa.sa.gov.au/xrecord=b3138897")</f>
        <v>https://www.catalog.slsa.sa.gov.au/xrecord=b3138897</v>
      </c>
      <c r="E5949" t="s">
        <v>20565</v>
      </c>
      <c r="F5949" t="s">
        <v>20556</v>
      </c>
      <c r="G5949" t="s">
        <v>20557</v>
      </c>
      <c r="H5949" t="s">
        <v>20566</v>
      </c>
      <c r="I5949" t="s">
        <v>20567</v>
      </c>
      <c r="J5949" t="s">
        <v>18474</v>
      </c>
      <c r="K5949" s="2" t="str">
        <f>HYPERLINK("http://collections.slsa.sa.gov.au/resource/B+76275")</f>
        <v>http://collections.slsa.sa.gov.au/resource/B+76275</v>
      </c>
    </row>
    <row r="5950" spans="1:11" x14ac:dyDescent="0.25">
      <c r="A5950" t="s">
        <v>20568</v>
      </c>
      <c r="B5950" s="1" t="str">
        <f>HYPERLINK("https://www.catalog.slsa.sa.gov.au/record=b3138899")</f>
        <v>https://www.catalog.slsa.sa.gov.au/record=b3138899</v>
      </c>
      <c r="C5950" s="1" t="str">
        <f>HYPERLINK("https://www.catalog.slsa.sa.gov.au/xrecord=b3138899")</f>
        <v>https://www.catalog.slsa.sa.gov.au/xrecord=b3138899</v>
      </c>
      <c r="E5950" t="s">
        <v>20569</v>
      </c>
      <c r="F5950" t="s">
        <v>20556</v>
      </c>
      <c r="G5950" t="s">
        <v>20557</v>
      </c>
      <c r="H5950" t="s">
        <v>20570</v>
      </c>
      <c r="I5950" t="s">
        <v>20567</v>
      </c>
      <c r="J5950" t="s">
        <v>18474</v>
      </c>
      <c r="K5950" s="2" t="str">
        <f>HYPERLINK("http://collections.slsa.sa.gov.au/resource/B+76276")</f>
        <v>http://collections.slsa.sa.gov.au/resource/B+76276</v>
      </c>
    </row>
    <row r="5951" spans="1:11" x14ac:dyDescent="0.25">
      <c r="A5951" t="s">
        <v>20571</v>
      </c>
      <c r="B5951" s="1" t="str">
        <f>HYPERLINK("https://www.catalog.slsa.sa.gov.au/record=b3138910")</f>
        <v>https://www.catalog.slsa.sa.gov.au/record=b3138910</v>
      </c>
      <c r="C5951" s="1" t="str">
        <f>HYPERLINK("https://www.catalog.slsa.sa.gov.au/xrecord=b3138910")</f>
        <v>https://www.catalog.slsa.sa.gov.au/xrecord=b3138910</v>
      </c>
      <c r="E5951" t="s">
        <v>20572</v>
      </c>
      <c r="F5951" t="s">
        <v>20556</v>
      </c>
      <c r="G5951" t="s">
        <v>20557</v>
      </c>
      <c r="H5951" t="s">
        <v>20573</v>
      </c>
      <c r="I5951" t="s">
        <v>20574</v>
      </c>
      <c r="J5951" t="s">
        <v>18474</v>
      </c>
      <c r="K5951" s="2" t="str">
        <f>HYPERLINK("http://collections.slsa.sa.gov.au/resource/B+76277")</f>
        <v>http://collections.slsa.sa.gov.au/resource/B+76277</v>
      </c>
    </row>
    <row r="5952" spans="1:11" x14ac:dyDescent="0.25">
      <c r="A5952" t="s">
        <v>20575</v>
      </c>
      <c r="B5952" s="1" t="str">
        <f>HYPERLINK("https://www.catalog.slsa.sa.gov.au/record=b3138933")</f>
        <v>https://www.catalog.slsa.sa.gov.au/record=b3138933</v>
      </c>
      <c r="C5952" s="1" t="str">
        <f>HYPERLINK("https://www.catalog.slsa.sa.gov.au/xrecord=b3138933")</f>
        <v>https://www.catalog.slsa.sa.gov.au/xrecord=b3138933</v>
      </c>
      <c r="E5952" t="s">
        <v>20576</v>
      </c>
      <c r="F5952" t="s">
        <v>20556</v>
      </c>
      <c r="G5952" t="s">
        <v>20557</v>
      </c>
      <c r="H5952" t="s">
        <v>20577</v>
      </c>
      <c r="I5952" t="s">
        <v>20574</v>
      </c>
      <c r="J5952" t="s">
        <v>18474</v>
      </c>
      <c r="K5952" s="2" t="str">
        <f>HYPERLINK("http://collections.slsa.sa.gov.au/resource/B+76278")</f>
        <v>http://collections.slsa.sa.gov.au/resource/B+76278</v>
      </c>
    </row>
    <row r="5953" spans="1:11" x14ac:dyDescent="0.25">
      <c r="A5953" t="s">
        <v>20578</v>
      </c>
      <c r="B5953" s="1" t="str">
        <f>HYPERLINK("https://www.catalog.slsa.sa.gov.au/record=b3138934")</f>
        <v>https://www.catalog.slsa.sa.gov.au/record=b3138934</v>
      </c>
      <c r="C5953" s="1" t="str">
        <f>HYPERLINK("https://www.catalog.slsa.sa.gov.au/xrecord=b3138934")</f>
        <v>https://www.catalog.slsa.sa.gov.au/xrecord=b3138934</v>
      </c>
      <c r="E5953" t="s">
        <v>20579</v>
      </c>
      <c r="F5953" t="s">
        <v>20556</v>
      </c>
      <c r="G5953" t="s">
        <v>20557</v>
      </c>
      <c r="H5953" t="s">
        <v>20580</v>
      </c>
      <c r="I5953" t="s">
        <v>20574</v>
      </c>
      <c r="J5953" t="s">
        <v>18474</v>
      </c>
      <c r="K5953" s="2" t="str">
        <f>HYPERLINK("http://collections.slsa.sa.gov.au/resource/B+76279")</f>
        <v>http://collections.slsa.sa.gov.au/resource/B+76279</v>
      </c>
    </row>
    <row r="5954" spans="1:11" x14ac:dyDescent="0.25">
      <c r="A5954" t="s">
        <v>20581</v>
      </c>
      <c r="B5954" s="1" t="str">
        <f>HYPERLINK("https://www.catalog.slsa.sa.gov.au/record=b3138935")</f>
        <v>https://www.catalog.slsa.sa.gov.au/record=b3138935</v>
      </c>
      <c r="C5954" s="1" t="str">
        <f>HYPERLINK("https://www.catalog.slsa.sa.gov.au/xrecord=b3138935")</f>
        <v>https://www.catalog.slsa.sa.gov.au/xrecord=b3138935</v>
      </c>
      <c r="E5954" t="s">
        <v>20582</v>
      </c>
      <c r="F5954" t="s">
        <v>20556</v>
      </c>
      <c r="G5954" t="s">
        <v>20557</v>
      </c>
      <c r="H5954" t="s">
        <v>20583</v>
      </c>
      <c r="I5954" t="s">
        <v>20574</v>
      </c>
      <c r="J5954" t="s">
        <v>18474</v>
      </c>
      <c r="K5954" s="2" t="str">
        <f>HYPERLINK("http://collections.slsa.sa.gov.au/resource/B+76280")</f>
        <v>http://collections.slsa.sa.gov.au/resource/B+76280</v>
      </c>
    </row>
    <row r="5955" spans="1:11" x14ac:dyDescent="0.25">
      <c r="A5955" t="s">
        <v>20584</v>
      </c>
      <c r="B5955" s="1" t="str">
        <f>HYPERLINK("https://www.catalog.slsa.sa.gov.au/record=b2090706")</f>
        <v>https://www.catalog.slsa.sa.gov.au/record=b2090706</v>
      </c>
      <c r="C5955" s="1" t="str">
        <f>HYPERLINK("https://www.catalog.slsa.sa.gov.au/xrecord=b2090706")</f>
        <v>https://www.catalog.slsa.sa.gov.au/xrecord=b2090706</v>
      </c>
      <c r="E5955" t="s">
        <v>19690</v>
      </c>
      <c r="F5955" t="s">
        <v>20585</v>
      </c>
      <c r="G5955" t="s">
        <v>20498</v>
      </c>
      <c r="H5955" t="s">
        <v>20586</v>
      </c>
      <c r="I5955" t="s">
        <v>15400</v>
      </c>
      <c r="J5955" t="s">
        <v>20587</v>
      </c>
      <c r="K5955" s="2" t="str">
        <f>HYPERLINK("http://collections.slsa.sa.gov.au/mpcimg/59000/B58892_493.htm")</f>
        <v>http://collections.slsa.sa.gov.au/mpcimg/59000/B58892_493.htm</v>
      </c>
    </row>
    <row r="5956" spans="1:11" x14ac:dyDescent="0.25">
      <c r="A5956" t="s">
        <v>20588</v>
      </c>
      <c r="B5956" s="1" t="str">
        <f>HYPERLINK("https://www.catalog.slsa.sa.gov.au/record=b2018294")</f>
        <v>https://www.catalog.slsa.sa.gov.au/record=b2018294</v>
      </c>
      <c r="C5956" s="1" t="str">
        <f>HYPERLINK("https://www.catalog.slsa.sa.gov.au/xrecord=b2018294")</f>
        <v>https://www.catalog.slsa.sa.gov.au/xrecord=b2018294</v>
      </c>
      <c r="E5956" t="s">
        <v>20589</v>
      </c>
      <c r="F5956">
        <v>1952</v>
      </c>
      <c r="G5956" t="s">
        <v>20590</v>
      </c>
      <c r="H5956" t="s">
        <v>20591</v>
      </c>
      <c r="I5956" t="s">
        <v>20592</v>
      </c>
      <c r="J5956" t="s">
        <v>20593</v>
      </c>
      <c r="K5956" s="2" t="str">
        <f>HYPERLINK("http://collections.slsa.sa.gov.au/mpcimg/50500/B50307.htm")</f>
        <v>http://collections.slsa.sa.gov.au/mpcimg/50500/B50307.htm</v>
      </c>
    </row>
    <row r="5957" spans="1:11" x14ac:dyDescent="0.25">
      <c r="A5957" t="s">
        <v>20594</v>
      </c>
      <c r="B5957" s="1" t="str">
        <f>HYPERLINK("https://www.catalog.slsa.sa.gov.au/record=b2018295")</f>
        <v>https://www.catalog.slsa.sa.gov.au/record=b2018295</v>
      </c>
      <c r="C5957" s="1" t="str">
        <f>HYPERLINK("https://www.catalog.slsa.sa.gov.au/xrecord=b2018295")</f>
        <v>https://www.catalog.slsa.sa.gov.au/xrecord=b2018295</v>
      </c>
      <c r="E5957" t="s">
        <v>20589</v>
      </c>
      <c r="F5957">
        <v>1952</v>
      </c>
      <c r="G5957" t="s">
        <v>20595</v>
      </c>
      <c r="H5957" t="s">
        <v>20596</v>
      </c>
      <c r="I5957" t="s">
        <v>20592</v>
      </c>
      <c r="J5957" t="s">
        <v>20593</v>
      </c>
      <c r="K5957" s="2" t="str">
        <f>HYPERLINK("http://collections.slsa.sa.gov.au/mpcimg/50500/B50308.htm")</f>
        <v>http://collections.slsa.sa.gov.au/mpcimg/50500/B50308.htm</v>
      </c>
    </row>
    <row r="5958" spans="1:11" x14ac:dyDescent="0.25">
      <c r="A5958" t="s">
        <v>20597</v>
      </c>
      <c r="B5958" s="1" t="str">
        <f>HYPERLINK("https://www.catalog.slsa.sa.gov.au/record=b2018296")</f>
        <v>https://www.catalog.slsa.sa.gov.au/record=b2018296</v>
      </c>
      <c r="C5958" s="1" t="str">
        <f>HYPERLINK("https://www.catalog.slsa.sa.gov.au/xrecord=b2018296")</f>
        <v>https://www.catalog.slsa.sa.gov.au/xrecord=b2018296</v>
      </c>
      <c r="E5958" t="s">
        <v>20589</v>
      </c>
      <c r="F5958">
        <v>1952</v>
      </c>
      <c r="G5958" t="s">
        <v>20595</v>
      </c>
      <c r="H5958" t="s">
        <v>20596</v>
      </c>
      <c r="I5958" t="s">
        <v>20592</v>
      </c>
      <c r="J5958" t="s">
        <v>20593</v>
      </c>
      <c r="K5958" s="2" t="str">
        <f>HYPERLINK("http://collections.slsa.sa.gov.au/mpcimg/50500/B50309.htm")</f>
        <v>http://collections.slsa.sa.gov.au/mpcimg/50500/B50309.htm</v>
      </c>
    </row>
    <row r="5959" spans="1:11" x14ac:dyDescent="0.25">
      <c r="A5959" t="s">
        <v>20598</v>
      </c>
      <c r="B5959" s="1" t="str">
        <f>HYPERLINK("https://www.catalog.slsa.sa.gov.au/record=b2018297")</f>
        <v>https://www.catalog.slsa.sa.gov.au/record=b2018297</v>
      </c>
      <c r="C5959" s="1" t="str">
        <f>HYPERLINK("https://www.catalog.slsa.sa.gov.au/xrecord=b2018297")</f>
        <v>https://www.catalog.slsa.sa.gov.au/xrecord=b2018297</v>
      </c>
      <c r="E5959" t="s">
        <v>20589</v>
      </c>
      <c r="F5959">
        <v>1952</v>
      </c>
      <c r="G5959" t="s">
        <v>20595</v>
      </c>
      <c r="H5959" t="s">
        <v>20599</v>
      </c>
      <c r="I5959" t="s">
        <v>20592</v>
      </c>
      <c r="J5959" t="s">
        <v>20593</v>
      </c>
      <c r="K5959" s="2" t="str">
        <f>HYPERLINK("http://collections.slsa.sa.gov.au/mpcimg/50500/B50310.htm")</f>
        <v>http://collections.slsa.sa.gov.au/mpcimg/50500/B50310.htm</v>
      </c>
    </row>
    <row r="5960" spans="1:11" x14ac:dyDescent="0.25">
      <c r="A5960" t="s">
        <v>20600</v>
      </c>
      <c r="B5960" s="1" t="str">
        <f>HYPERLINK("https://www.catalog.slsa.sa.gov.au/record=b2019479")</f>
        <v>https://www.catalog.slsa.sa.gov.au/record=b2019479</v>
      </c>
      <c r="C5960" s="1" t="str">
        <f>HYPERLINK("https://www.catalog.slsa.sa.gov.au/xrecord=b2019479")</f>
        <v>https://www.catalog.slsa.sa.gov.au/xrecord=b2019479</v>
      </c>
      <c r="E5960" t="s">
        <v>18907</v>
      </c>
      <c r="F5960">
        <v>1952</v>
      </c>
      <c r="G5960" t="s">
        <v>20601</v>
      </c>
      <c r="H5960" t="s">
        <v>20602</v>
      </c>
      <c r="I5960" t="s">
        <v>20603</v>
      </c>
      <c r="J5960" t="s">
        <v>20604</v>
      </c>
      <c r="K5960" s="2" t="str">
        <f>HYPERLINK("http://collections.slsa.sa.gov.au/mpcimg/53500/B53386.htm")</f>
        <v>http://collections.slsa.sa.gov.au/mpcimg/53500/B53386.htm</v>
      </c>
    </row>
    <row r="5961" spans="1:11" x14ac:dyDescent="0.25">
      <c r="A5961" t="s">
        <v>20605</v>
      </c>
      <c r="B5961" s="1" t="str">
        <f>HYPERLINK("https://www.catalog.slsa.sa.gov.au/record=b2019480")</f>
        <v>https://www.catalog.slsa.sa.gov.au/record=b2019480</v>
      </c>
      <c r="C5961" s="1" t="str">
        <f>HYPERLINK("https://www.catalog.slsa.sa.gov.au/xrecord=b2019480")</f>
        <v>https://www.catalog.slsa.sa.gov.au/xrecord=b2019480</v>
      </c>
      <c r="E5961" t="s">
        <v>18907</v>
      </c>
      <c r="F5961">
        <v>1952</v>
      </c>
      <c r="G5961" t="s">
        <v>20601</v>
      </c>
      <c r="H5961" t="s">
        <v>20606</v>
      </c>
      <c r="I5961" t="s">
        <v>20603</v>
      </c>
      <c r="J5961" t="s">
        <v>18911</v>
      </c>
      <c r="K5961" s="2" t="str">
        <f>HYPERLINK("http://collections.slsa.sa.gov.au/mpcimg/53500/B53387.htm")</f>
        <v>http://collections.slsa.sa.gov.au/mpcimg/53500/B53387.htm</v>
      </c>
    </row>
    <row r="5962" spans="1:11" x14ac:dyDescent="0.25">
      <c r="A5962" t="s">
        <v>20607</v>
      </c>
      <c r="B5962" s="1" t="str">
        <f>HYPERLINK("https://www.catalog.slsa.sa.gov.au/record=b2019610")</f>
        <v>https://www.catalog.slsa.sa.gov.au/record=b2019610</v>
      </c>
      <c r="C5962" s="1" t="str">
        <f>HYPERLINK("https://www.catalog.slsa.sa.gov.au/xrecord=b2019610")</f>
        <v>https://www.catalog.slsa.sa.gov.au/xrecord=b2019610</v>
      </c>
      <c r="E5962" t="s">
        <v>20608</v>
      </c>
      <c r="F5962">
        <v>1952</v>
      </c>
      <c r="G5962" t="s">
        <v>20609</v>
      </c>
      <c r="H5962" t="s">
        <v>20610</v>
      </c>
      <c r="I5962" t="s">
        <v>20611</v>
      </c>
      <c r="J5962" t="s">
        <v>20612</v>
      </c>
      <c r="K5962" s="2" t="str">
        <f>HYPERLINK("http://collections.slsa.sa.gov.au/mpcimg/45000/B44795.htm")</f>
        <v>http://collections.slsa.sa.gov.au/mpcimg/45000/B44795.htm</v>
      </c>
    </row>
    <row r="5963" spans="1:11" x14ac:dyDescent="0.25">
      <c r="A5963" t="s">
        <v>20613</v>
      </c>
      <c r="B5963" s="1" t="str">
        <f>HYPERLINK("https://www.catalog.slsa.sa.gov.au/record=b2020456")</f>
        <v>https://www.catalog.slsa.sa.gov.au/record=b2020456</v>
      </c>
      <c r="C5963" s="1" t="str">
        <f>HYPERLINK("https://www.catalog.slsa.sa.gov.au/xrecord=b2020456")</f>
        <v>https://www.catalog.slsa.sa.gov.au/xrecord=b2020456</v>
      </c>
      <c r="E5963" t="s">
        <v>20614</v>
      </c>
      <c r="F5963">
        <v>1952</v>
      </c>
      <c r="G5963" t="s">
        <v>20615</v>
      </c>
      <c r="H5963" t="s">
        <v>20616</v>
      </c>
      <c r="I5963" t="s">
        <v>20617</v>
      </c>
      <c r="J5963" t="s">
        <v>15803</v>
      </c>
      <c r="K5963" s="2" t="str">
        <f>HYPERLINK("http://collections.slsa.sa.gov.au/mpcimg/17500/B17444.htm")</f>
        <v>http://collections.slsa.sa.gov.au/mpcimg/17500/B17444.htm</v>
      </c>
    </row>
    <row r="5964" spans="1:11" x14ac:dyDescent="0.25">
      <c r="A5964" t="s">
        <v>20618</v>
      </c>
      <c r="B5964" s="1" t="str">
        <f>HYPERLINK("https://www.catalog.slsa.sa.gov.au/record=b2020457")</f>
        <v>https://www.catalog.slsa.sa.gov.au/record=b2020457</v>
      </c>
      <c r="C5964" s="1" t="str">
        <f>HYPERLINK("https://www.catalog.slsa.sa.gov.au/xrecord=b2020457")</f>
        <v>https://www.catalog.slsa.sa.gov.au/xrecord=b2020457</v>
      </c>
      <c r="E5964" t="s">
        <v>20614</v>
      </c>
      <c r="F5964">
        <v>1952</v>
      </c>
      <c r="G5964" t="s">
        <v>20619</v>
      </c>
      <c r="H5964" t="s">
        <v>20616</v>
      </c>
      <c r="I5964" t="s">
        <v>20617</v>
      </c>
      <c r="J5964" t="s">
        <v>15803</v>
      </c>
      <c r="K5964" s="2" t="str">
        <f>HYPERLINK("http://collections.slsa.sa.gov.au/mpcimg/17500/B17445.htm")</f>
        <v>http://collections.slsa.sa.gov.au/mpcimg/17500/B17445.htm</v>
      </c>
    </row>
    <row r="5965" spans="1:11" x14ac:dyDescent="0.25">
      <c r="A5965" t="s">
        <v>20620</v>
      </c>
      <c r="B5965" s="1" t="str">
        <f>HYPERLINK("https://www.catalog.slsa.sa.gov.au/record=b2022113")</f>
        <v>https://www.catalog.slsa.sa.gov.au/record=b2022113</v>
      </c>
      <c r="C5965" s="1" t="str">
        <f>HYPERLINK("https://www.catalog.slsa.sa.gov.au/xrecord=b2022113")</f>
        <v>https://www.catalog.slsa.sa.gov.au/xrecord=b2022113</v>
      </c>
      <c r="E5965" t="s">
        <v>14853</v>
      </c>
      <c r="F5965">
        <v>1952</v>
      </c>
      <c r="G5965" t="s">
        <v>14859</v>
      </c>
      <c r="H5965" t="s">
        <v>20621</v>
      </c>
      <c r="I5965" t="s">
        <v>14856</v>
      </c>
      <c r="J5965" t="s">
        <v>14857</v>
      </c>
      <c r="K5965" s="2" t="str">
        <f>HYPERLINK("http://collections.slsa.sa.gov.au/mpcimg/41500/B41267.htm")</f>
        <v>http://collections.slsa.sa.gov.au/mpcimg/41500/B41267.htm</v>
      </c>
    </row>
    <row r="5966" spans="1:11" x14ac:dyDescent="0.25">
      <c r="A5966" t="s">
        <v>20622</v>
      </c>
      <c r="B5966" s="1" t="str">
        <f>HYPERLINK("https://www.catalog.slsa.sa.gov.au/record=b2022764")</f>
        <v>https://www.catalog.slsa.sa.gov.au/record=b2022764</v>
      </c>
      <c r="C5966" s="1" t="str">
        <f>HYPERLINK("https://www.catalog.slsa.sa.gov.au/xrecord=b2022764")</f>
        <v>https://www.catalog.slsa.sa.gov.au/xrecord=b2022764</v>
      </c>
      <c r="D5966" t="s">
        <v>2939</v>
      </c>
      <c r="E5966" t="s">
        <v>20623</v>
      </c>
      <c r="F5966">
        <v>1952</v>
      </c>
      <c r="G5966" t="s">
        <v>20624</v>
      </c>
      <c r="H5966" t="s">
        <v>20625</v>
      </c>
      <c r="I5966" t="s">
        <v>20626</v>
      </c>
      <c r="J5966" t="s">
        <v>20627</v>
      </c>
      <c r="K5966" s="2" t="str">
        <f>HYPERLINK("http://collections.slsa.sa.gov.au/mpcimg/13000/B12886_1.htm")</f>
        <v>http://collections.slsa.sa.gov.au/mpcimg/13000/B12886_1.htm</v>
      </c>
    </row>
    <row r="5967" spans="1:11" x14ac:dyDescent="0.25">
      <c r="A5967" t="s">
        <v>20628</v>
      </c>
      <c r="B5967" s="1" t="str">
        <f>HYPERLINK("https://www.catalog.slsa.sa.gov.au/record=b2022765")</f>
        <v>https://www.catalog.slsa.sa.gov.au/record=b2022765</v>
      </c>
      <c r="C5967" s="1" t="str">
        <f>HYPERLINK("https://www.catalog.slsa.sa.gov.au/xrecord=b2022765")</f>
        <v>https://www.catalog.slsa.sa.gov.au/xrecord=b2022765</v>
      </c>
      <c r="D5967" t="s">
        <v>2939</v>
      </c>
      <c r="E5967" t="s">
        <v>20623</v>
      </c>
      <c r="F5967">
        <v>1952</v>
      </c>
      <c r="G5967" t="s">
        <v>20629</v>
      </c>
      <c r="H5967" t="s">
        <v>20630</v>
      </c>
      <c r="I5967" t="s">
        <v>20626</v>
      </c>
      <c r="J5967" t="s">
        <v>20627</v>
      </c>
      <c r="K5967" s="2" t="str">
        <f>HYPERLINK("http://collections.slsa.sa.gov.au/mpcimg/13000/B12886_2.htm")</f>
        <v>http://collections.slsa.sa.gov.au/mpcimg/13000/B12886_2.htm</v>
      </c>
    </row>
    <row r="5968" spans="1:11" x14ac:dyDescent="0.25">
      <c r="A5968" t="s">
        <v>20631</v>
      </c>
      <c r="B5968" s="1" t="str">
        <f>HYPERLINK("https://www.catalog.slsa.sa.gov.au/record=b2022766")</f>
        <v>https://www.catalog.slsa.sa.gov.au/record=b2022766</v>
      </c>
      <c r="C5968" s="1" t="str">
        <f>HYPERLINK("https://www.catalog.slsa.sa.gov.au/xrecord=b2022766")</f>
        <v>https://www.catalog.slsa.sa.gov.au/xrecord=b2022766</v>
      </c>
      <c r="D5968" t="s">
        <v>2939</v>
      </c>
      <c r="E5968" t="s">
        <v>20623</v>
      </c>
      <c r="F5968">
        <v>1952</v>
      </c>
      <c r="G5968" t="s">
        <v>20624</v>
      </c>
      <c r="H5968" t="s">
        <v>20630</v>
      </c>
      <c r="I5968" t="s">
        <v>20626</v>
      </c>
      <c r="J5968" t="s">
        <v>20627</v>
      </c>
      <c r="K5968" s="2" t="str">
        <f>HYPERLINK("http://collections.slsa.sa.gov.au/mpcimg/13000/B12886_3.htm")</f>
        <v>http://collections.slsa.sa.gov.au/mpcimg/13000/B12886_3.htm</v>
      </c>
    </row>
    <row r="5969" spans="1:11" x14ac:dyDescent="0.25">
      <c r="A5969" t="s">
        <v>20632</v>
      </c>
      <c r="B5969" s="1" t="str">
        <f>HYPERLINK("https://www.catalog.slsa.sa.gov.au/record=b2022767")</f>
        <v>https://www.catalog.slsa.sa.gov.au/record=b2022767</v>
      </c>
      <c r="C5969" s="1" t="str">
        <f>HYPERLINK("https://www.catalog.slsa.sa.gov.au/xrecord=b2022767")</f>
        <v>https://www.catalog.slsa.sa.gov.au/xrecord=b2022767</v>
      </c>
      <c r="D5969" t="s">
        <v>2939</v>
      </c>
      <c r="E5969" t="s">
        <v>20623</v>
      </c>
      <c r="F5969">
        <v>1952</v>
      </c>
      <c r="G5969" t="s">
        <v>20624</v>
      </c>
      <c r="H5969" t="s">
        <v>20633</v>
      </c>
      <c r="I5969" t="s">
        <v>20626</v>
      </c>
      <c r="J5969" t="s">
        <v>20627</v>
      </c>
      <c r="K5969" s="2" t="str">
        <f>HYPERLINK("http://collections.slsa.sa.gov.au/mpcimg/13000/B12886_4.htm")</f>
        <v>http://collections.slsa.sa.gov.au/mpcimg/13000/B12886_4.htm</v>
      </c>
    </row>
    <row r="5970" spans="1:11" x14ac:dyDescent="0.25">
      <c r="A5970" t="s">
        <v>20634</v>
      </c>
      <c r="B5970" s="1" t="str">
        <f>HYPERLINK("https://www.catalog.slsa.sa.gov.au/record=b2022768")</f>
        <v>https://www.catalog.slsa.sa.gov.au/record=b2022768</v>
      </c>
      <c r="C5970" s="1" t="str">
        <f>HYPERLINK("https://www.catalog.slsa.sa.gov.au/xrecord=b2022768")</f>
        <v>https://www.catalog.slsa.sa.gov.au/xrecord=b2022768</v>
      </c>
      <c r="D5970" t="s">
        <v>2939</v>
      </c>
      <c r="E5970" t="s">
        <v>20623</v>
      </c>
      <c r="F5970">
        <v>1952</v>
      </c>
      <c r="G5970" t="s">
        <v>20624</v>
      </c>
      <c r="H5970" t="s">
        <v>20635</v>
      </c>
      <c r="I5970" t="s">
        <v>20626</v>
      </c>
      <c r="J5970" t="s">
        <v>20627</v>
      </c>
      <c r="K5970" s="2" t="str">
        <f>HYPERLINK("http://collections.slsa.sa.gov.au/mpcimg/13000/B12886_5.htm")</f>
        <v>http://collections.slsa.sa.gov.au/mpcimg/13000/B12886_5.htm</v>
      </c>
    </row>
    <row r="5971" spans="1:11" x14ac:dyDescent="0.25">
      <c r="A5971" t="s">
        <v>20636</v>
      </c>
      <c r="B5971" s="1" t="str">
        <f>HYPERLINK("https://www.catalog.slsa.sa.gov.au/record=b2022769")</f>
        <v>https://www.catalog.slsa.sa.gov.au/record=b2022769</v>
      </c>
      <c r="C5971" s="1" t="str">
        <f>HYPERLINK("https://www.catalog.slsa.sa.gov.au/xrecord=b2022769")</f>
        <v>https://www.catalog.slsa.sa.gov.au/xrecord=b2022769</v>
      </c>
      <c r="D5971" t="s">
        <v>2939</v>
      </c>
      <c r="E5971" t="s">
        <v>20623</v>
      </c>
      <c r="F5971">
        <v>1952</v>
      </c>
      <c r="G5971" t="s">
        <v>20624</v>
      </c>
      <c r="H5971" t="s">
        <v>20637</v>
      </c>
      <c r="I5971" t="s">
        <v>20626</v>
      </c>
      <c r="J5971" t="s">
        <v>20627</v>
      </c>
      <c r="K5971" s="2" t="str">
        <f>HYPERLINK("http://collections.slsa.sa.gov.au/mpcimg/13000/B12886_6.htm")</f>
        <v>http://collections.slsa.sa.gov.au/mpcimg/13000/B12886_6.htm</v>
      </c>
    </row>
    <row r="5972" spans="1:11" x14ac:dyDescent="0.25">
      <c r="A5972" t="s">
        <v>20638</v>
      </c>
      <c r="B5972" s="1" t="str">
        <f>HYPERLINK("https://www.catalog.slsa.sa.gov.au/record=b2022770")</f>
        <v>https://www.catalog.slsa.sa.gov.au/record=b2022770</v>
      </c>
      <c r="C5972" s="1" t="str">
        <f>HYPERLINK("https://www.catalog.slsa.sa.gov.au/xrecord=b2022770")</f>
        <v>https://www.catalog.slsa.sa.gov.au/xrecord=b2022770</v>
      </c>
      <c r="D5972" t="s">
        <v>2939</v>
      </c>
      <c r="E5972" t="s">
        <v>20623</v>
      </c>
      <c r="F5972">
        <v>1952</v>
      </c>
      <c r="G5972" t="s">
        <v>20639</v>
      </c>
      <c r="H5972" t="s">
        <v>20640</v>
      </c>
      <c r="I5972" t="s">
        <v>20626</v>
      </c>
      <c r="J5972" t="s">
        <v>20627</v>
      </c>
      <c r="K5972" s="2" t="str">
        <f>HYPERLINK("http://collections.slsa.sa.gov.au/mpcimg/13000/B12886_7.htm")</f>
        <v>http://collections.slsa.sa.gov.au/mpcimg/13000/B12886_7.htm</v>
      </c>
    </row>
    <row r="5973" spans="1:11" x14ac:dyDescent="0.25">
      <c r="A5973" t="s">
        <v>20641</v>
      </c>
      <c r="B5973" s="1" t="str">
        <f>HYPERLINK("https://www.catalog.slsa.sa.gov.au/record=b2023001")</f>
        <v>https://www.catalog.slsa.sa.gov.au/record=b2023001</v>
      </c>
      <c r="C5973" s="1" t="str">
        <f>HYPERLINK("https://www.catalog.slsa.sa.gov.au/xrecord=b2023001")</f>
        <v>https://www.catalog.slsa.sa.gov.au/xrecord=b2023001</v>
      </c>
      <c r="E5973" t="s">
        <v>14863</v>
      </c>
      <c r="F5973">
        <v>1952</v>
      </c>
      <c r="G5973" t="s">
        <v>20642</v>
      </c>
      <c r="H5973" t="s">
        <v>20643</v>
      </c>
      <c r="I5973" t="s">
        <v>20644</v>
      </c>
      <c r="J5973" t="s">
        <v>14867</v>
      </c>
      <c r="K5973" s="2" t="str">
        <f>HYPERLINK("http://collections.slsa.sa.gov.au/mpcimg/23500/B23388.htm")</f>
        <v>http://collections.slsa.sa.gov.au/mpcimg/23500/B23388.htm</v>
      </c>
    </row>
    <row r="5974" spans="1:11" x14ac:dyDescent="0.25">
      <c r="A5974" t="s">
        <v>20645</v>
      </c>
      <c r="B5974" s="1" t="str">
        <f>HYPERLINK("https://www.catalog.slsa.sa.gov.au/record=b2025019")</f>
        <v>https://www.catalog.slsa.sa.gov.au/record=b2025019</v>
      </c>
      <c r="C5974" s="1" t="str">
        <f>HYPERLINK("https://www.catalog.slsa.sa.gov.au/xrecord=b2025019")</f>
        <v>https://www.catalog.slsa.sa.gov.au/xrecord=b2025019</v>
      </c>
      <c r="E5974" t="s">
        <v>20646</v>
      </c>
      <c r="F5974">
        <v>1952</v>
      </c>
      <c r="G5974" t="s">
        <v>20647</v>
      </c>
      <c r="H5974" t="s">
        <v>20648</v>
      </c>
      <c r="I5974" t="s">
        <v>20649</v>
      </c>
      <c r="J5974" t="s">
        <v>20650</v>
      </c>
      <c r="K5974" s="2" t="str">
        <f>HYPERLINK("http://collections.slsa.sa.gov.au/mpcimg/33750/B33640.htm")</f>
        <v>http://collections.slsa.sa.gov.au/mpcimg/33750/B33640.htm</v>
      </c>
    </row>
    <row r="5975" spans="1:11" x14ac:dyDescent="0.25">
      <c r="A5975" t="s">
        <v>20651</v>
      </c>
      <c r="B5975" s="1" t="str">
        <f>HYPERLINK("https://www.catalog.slsa.sa.gov.au/record=b2025431")</f>
        <v>https://www.catalog.slsa.sa.gov.au/record=b2025431</v>
      </c>
      <c r="C5975" s="1" t="str">
        <f>HYPERLINK("https://www.catalog.slsa.sa.gov.au/xrecord=b2025431")</f>
        <v>https://www.catalog.slsa.sa.gov.au/xrecord=b2025431</v>
      </c>
      <c r="E5975" t="s">
        <v>20652</v>
      </c>
      <c r="F5975">
        <v>1952</v>
      </c>
      <c r="G5975" t="s">
        <v>15164</v>
      </c>
      <c r="H5975" t="s">
        <v>20653</v>
      </c>
      <c r="I5975" t="s">
        <v>20654</v>
      </c>
      <c r="J5975" t="s">
        <v>20655</v>
      </c>
      <c r="K5975" s="2" t="str">
        <f>HYPERLINK("http://collections.slsa.sa.gov.au/mpcimg/18250/B18222.htm")</f>
        <v>http://collections.slsa.sa.gov.au/mpcimg/18250/B18222.htm</v>
      </c>
    </row>
    <row r="5976" spans="1:11" x14ac:dyDescent="0.25">
      <c r="A5976" t="s">
        <v>20656</v>
      </c>
      <c r="B5976" s="1" t="str">
        <f>HYPERLINK("https://www.catalog.slsa.sa.gov.au/record=b2025443")</f>
        <v>https://www.catalog.slsa.sa.gov.au/record=b2025443</v>
      </c>
      <c r="C5976" s="1" t="str">
        <f>HYPERLINK("https://www.catalog.slsa.sa.gov.au/xrecord=b2025443")</f>
        <v>https://www.catalog.slsa.sa.gov.au/xrecord=b2025443</v>
      </c>
      <c r="E5976" t="s">
        <v>20657</v>
      </c>
      <c r="F5976">
        <v>1952</v>
      </c>
      <c r="G5976" t="s">
        <v>15164</v>
      </c>
      <c r="H5976" t="s">
        <v>20658</v>
      </c>
      <c r="J5976" t="s">
        <v>20655</v>
      </c>
      <c r="K5976" s="2" t="str">
        <f>HYPERLINK("http://collections.slsa.sa.gov.au/mpcimg/18250/B18234.htm")</f>
        <v>http://collections.slsa.sa.gov.au/mpcimg/18250/B18234.htm</v>
      </c>
    </row>
    <row r="5977" spans="1:11" x14ac:dyDescent="0.25">
      <c r="A5977" t="s">
        <v>20659</v>
      </c>
      <c r="B5977" s="1" t="str">
        <f>HYPERLINK("https://www.catalog.slsa.sa.gov.au/record=b2025446")</f>
        <v>https://www.catalog.slsa.sa.gov.au/record=b2025446</v>
      </c>
      <c r="C5977" s="1" t="str">
        <f>HYPERLINK("https://www.catalog.slsa.sa.gov.au/xrecord=b2025446")</f>
        <v>https://www.catalog.slsa.sa.gov.au/xrecord=b2025446</v>
      </c>
      <c r="E5977" t="s">
        <v>20660</v>
      </c>
      <c r="F5977">
        <v>1952</v>
      </c>
      <c r="G5977" t="s">
        <v>15164</v>
      </c>
      <c r="H5977" t="s">
        <v>20661</v>
      </c>
      <c r="J5977" t="s">
        <v>20655</v>
      </c>
      <c r="K5977" s="2" t="str">
        <f>HYPERLINK("http://collections.slsa.sa.gov.au/mpcimg/18250/B18237.htm")</f>
        <v>http://collections.slsa.sa.gov.au/mpcimg/18250/B18237.htm</v>
      </c>
    </row>
    <row r="5978" spans="1:11" x14ac:dyDescent="0.25">
      <c r="A5978" t="s">
        <v>20662</v>
      </c>
      <c r="B5978" s="1" t="str">
        <f>HYPERLINK("https://www.catalog.slsa.sa.gov.au/record=b2025447")</f>
        <v>https://www.catalog.slsa.sa.gov.au/record=b2025447</v>
      </c>
      <c r="C5978" s="1" t="str">
        <f>HYPERLINK("https://www.catalog.slsa.sa.gov.au/xrecord=b2025447")</f>
        <v>https://www.catalog.slsa.sa.gov.au/xrecord=b2025447</v>
      </c>
      <c r="E5978" t="s">
        <v>20663</v>
      </c>
      <c r="F5978">
        <v>1952</v>
      </c>
      <c r="G5978" t="s">
        <v>15164</v>
      </c>
      <c r="H5978" t="s">
        <v>20664</v>
      </c>
      <c r="J5978" t="s">
        <v>20655</v>
      </c>
      <c r="K5978" s="2" t="str">
        <f>HYPERLINK("http://collections.slsa.sa.gov.au/mpcimg/18250/B18238.htm")</f>
        <v>http://collections.slsa.sa.gov.au/mpcimg/18250/B18238.htm</v>
      </c>
    </row>
    <row r="5979" spans="1:11" x14ac:dyDescent="0.25">
      <c r="A5979" t="s">
        <v>20665</v>
      </c>
      <c r="B5979" s="1" t="str">
        <f>HYPERLINK("https://www.catalog.slsa.sa.gov.au/record=b2025448")</f>
        <v>https://www.catalog.slsa.sa.gov.au/record=b2025448</v>
      </c>
      <c r="C5979" s="1" t="str">
        <f>HYPERLINK("https://www.catalog.slsa.sa.gov.au/xrecord=b2025448")</f>
        <v>https://www.catalog.slsa.sa.gov.au/xrecord=b2025448</v>
      </c>
      <c r="E5979" t="s">
        <v>20666</v>
      </c>
      <c r="F5979">
        <v>1952</v>
      </c>
      <c r="G5979" t="s">
        <v>15164</v>
      </c>
      <c r="H5979" t="s">
        <v>20667</v>
      </c>
      <c r="J5979" t="s">
        <v>20655</v>
      </c>
      <c r="K5979" s="2" t="str">
        <f>HYPERLINK("http://collections.slsa.sa.gov.au/mpcimg/18250/B18239.htm")</f>
        <v>http://collections.slsa.sa.gov.au/mpcimg/18250/B18239.htm</v>
      </c>
    </row>
    <row r="5980" spans="1:11" x14ac:dyDescent="0.25">
      <c r="A5980" t="s">
        <v>20668</v>
      </c>
      <c r="B5980" s="1" t="str">
        <f>HYPERLINK("https://www.catalog.slsa.sa.gov.au/record=b2025455")</f>
        <v>https://www.catalog.slsa.sa.gov.au/record=b2025455</v>
      </c>
      <c r="C5980" s="1" t="str">
        <f>HYPERLINK("https://www.catalog.slsa.sa.gov.au/xrecord=b2025455")</f>
        <v>https://www.catalog.slsa.sa.gov.au/xrecord=b2025455</v>
      </c>
      <c r="E5980" t="s">
        <v>20669</v>
      </c>
      <c r="F5980">
        <v>1952</v>
      </c>
      <c r="G5980" t="s">
        <v>15164</v>
      </c>
      <c r="H5980" t="s">
        <v>20670</v>
      </c>
      <c r="I5980" t="s">
        <v>20671</v>
      </c>
      <c r="J5980" t="s">
        <v>20655</v>
      </c>
      <c r="K5980" s="2" t="str">
        <f>HYPERLINK("http://collections.slsa.sa.gov.au/mpcimg/18250/B18246.htm")</f>
        <v>http://collections.slsa.sa.gov.au/mpcimg/18250/B18246.htm</v>
      </c>
    </row>
    <row r="5981" spans="1:11" x14ac:dyDescent="0.25">
      <c r="A5981" t="s">
        <v>20672</v>
      </c>
      <c r="B5981" s="1" t="str">
        <f>HYPERLINK("https://www.catalog.slsa.sa.gov.au/record=b2025461")</f>
        <v>https://www.catalog.slsa.sa.gov.au/record=b2025461</v>
      </c>
      <c r="C5981" s="1" t="str">
        <f>HYPERLINK("https://www.catalog.slsa.sa.gov.au/xrecord=b2025461")</f>
        <v>https://www.catalog.slsa.sa.gov.au/xrecord=b2025461</v>
      </c>
      <c r="E5981" t="s">
        <v>20673</v>
      </c>
      <c r="F5981">
        <v>1952</v>
      </c>
      <c r="G5981" t="s">
        <v>15164</v>
      </c>
      <c r="H5981" t="s">
        <v>20674</v>
      </c>
      <c r="I5981" t="s">
        <v>20675</v>
      </c>
      <c r="J5981" t="s">
        <v>20655</v>
      </c>
      <c r="K5981" s="2" t="str">
        <f>HYPERLINK("http://collections.slsa.sa.gov.au/mpcimg/18500/B18252.htm")</f>
        <v>http://collections.slsa.sa.gov.au/mpcimg/18500/B18252.htm</v>
      </c>
    </row>
    <row r="5982" spans="1:11" x14ac:dyDescent="0.25">
      <c r="A5982" t="s">
        <v>20676</v>
      </c>
      <c r="B5982" s="1" t="str">
        <f>HYPERLINK("https://www.catalog.slsa.sa.gov.au/record=b2025462")</f>
        <v>https://www.catalog.slsa.sa.gov.au/record=b2025462</v>
      </c>
      <c r="C5982" s="1" t="str">
        <f>HYPERLINK("https://www.catalog.slsa.sa.gov.au/xrecord=b2025462")</f>
        <v>https://www.catalog.slsa.sa.gov.au/xrecord=b2025462</v>
      </c>
      <c r="E5982" t="s">
        <v>20677</v>
      </c>
      <c r="F5982">
        <v>1952</v>
      </c>
      <c r="G5982" t="s">
        <v>15164</v>
      </c>
      <c r="H5982" t="s">
        <v>20678</v>
      </c>
      <c r="I5982" t="s">
        <v>20679</v>
      </c>
      <c r="J5982" t="s">
        <v>20655</v>
      </c>
      <c r="K5982" s="2" t="str">
        <f>HYPERLINK("http://collections.slsa.sa.gov.au/mpcimg/18500/B18253.htm")</f>
        <v>http://collections.slsa.sa.gov.au/mpcimg/18500/B18253.htm</v>
      </c>
    </row>
    <row r="5983" spans="1:11" x14ac:dyDescent="0.25">
      <c r="A5983" t="s">
        <v>20680</v>
      </c>
      <c r="B5983" s="1" t="str">
        <f>HYPERLINK("https://www.catalog.slsa.sa.gov.au/record=b2025464")</f>
        <v>https://www.catalog.slsa.sa.gov.au/record=b2025464</v>
      </c>
      <c r="C5983" s="1" t="str">
        <f>HYPERLINK("https://www.catalog.slsa.sa.gov.au/xrecord=b2025464")</f>
        <v>https://www.catalog.slsa.sa.gov.au/xrecord=b2025464</v>
      </c>
      <c r="E5983" t="s">
        <v>20681</v>
      </c>
      <c r="F5983">
        <v>1952</v>
      </c>
      <c r="G5983" t="s">
        <v>15164</v>
      </c>
      <c r="H5983" t="s">
        <v>20682</v>
      </c>
      <c r="I5983" t="s">
        <v>20683</v>
      </c>
      <c r="J5983" t="s">
        <v>20655</v>
      </c>
      <c r="K5983" s="2" t="str">
        <f>HYPERLINK("http://collections.slsa.sa.gov.au/mpcimg/18500/B18255.htm")</f>
        <v>http://collections.slsa.sa.gov.au/mpcimg/18500/B18255.htm</v>
      </c>
    </row>
    <row r="5984" spans="1:11" x14ac:dyDescent="0.25">
      <c r="A5984" t="s">
        <v>20684</v>
      </c>
      <c r="B5984" s="1" t="str">
        <f>HYPERLINK("https://www.catalog.slsa.sa.gov.au/record=b2025465")</f>
        <v>https://www.catalog.slsa.sa.gov.au/record=b2025465</v>
      </c>
      <c r="C5984" s="1" t="str">
        <f>HYPERLINK("https://www.catalog.slsa.sa.gov.au/xrecord=b2025465")</f>
        <v>https://www.catalog.slsa.sa.gov.au/xrecord=b2025465</v>
      </c>
      <c r="E5984" t="s">
        <v>20685</v>
      </c>
      <c r="F5984">
        <v>1952</v>
      </c>
      <c r="G5984" t="s">
        <v>15164</v>
      </c>
      <c r="H5984" t="s">
        <v>20686</v>
      </c>
      <c r="I5984" t="s">
        <v>20687</v>
      </c>
      <c r="J5984" t="s">
        <v>20655</v>
      </c>
      <c r="K5984" s="2" t="str">
        <f>HYPERLINK("http://collections.slsa.sa.gov.au/mpcimg/18500/B18256.htm")</f>
        <v>http://collections.slsa.sa.gov.au/mpcimg/18500/B18256.htm</v>
      </c>
    </row>
    <row r="5985" spans="1:11" x14ac:dyDescent="0.25">
      <c r="A5985" t="s">
        <v>20688</v>
      </c>
      <c r="B5985" s="1" t="str">
        <f>HYPERLINK("https://www.catalog.slsa.sa.gov.au/record=b2025812")</f>
        <v>https://www.catalog.slsa.sa.gov.au/record=b2025812</v>
      </c>
      <c r="C5985" s="1" t="str">
        <f>HYPERLINK("https://www.catalog.slsa.sa.gov.au/xrecord=b2025812")</f>
        <v>https://www.catalog.slsa.sa.gov.au/xrecord=b2025812</v>
      </c>
      <c r="D5985" t="s">
        <v>20689</v>
      </c>
      <c r="E5985" t="s">
        <v>20690</v>
      </c>
      <c r="F5985">
        <v>1952</v>
      </c>
      <c r="G5985" t="s">
        <v>14809</v>
      </c>
      <c r="H5985" t="s">
        <v>20691</v>
      </c>
      <c r="I5985" t="s">
        <v>20692</v>
      </c>
      <c r="J5985" t="s">
        <v>20693</v>
      </c>
      <c r="K5985" s="2" t="str">
        <f>HYPERLINK("http://collections.slsa.sa.gov.au/mpcimg/36750/B36726.htm")</f>
        <v>http://collections.slsa.sa.gov.au/mpcimg/36750/B36726.htm</v>
      </c>
    </row>
    <row r="5986" spans="1:11" x14ac:dyDescent="0.25">
      <c r="A5986" t="s">
        <v>20694</v>
      </c>
      <c r="B5986" s="1" t="str">
        <f>HYPERLINK("https://www.catalog.slsa.sa.gov.au/record=b2025813")</f>
        <v>https://www.catalog.slsa.sa.gov.au/record=b2025813</v>
      </c>
      <c r="C5986" s="1" t="str">
        <f>HYPERLINK("https://www.catalog.slsa.sa.gov.au/xrecord=b2025813")</f>
        <v>https://www.catalog.slsa.sa.gov.au/xrecord=b2025813</v>
      </c>
      <c r="D5986" t="s">
        <v>20689</v>
      </c>
      <c r="E5986" t="s">
        <v>20695</v>
      </c>
      <c r="F5986">
        <v>1952</v>
      </c>
      <c r="G5986" t="s">
        <v>14809</v>
      </c>
      <c r="H5986" t="s">
        <v>20696</v>
      </c>
      <c r="I5986" t="s">
        <v>20697</v>
      </c>
      <c r="J5986" t="s">
        <v>20693</v>
      </c>
      <c r="K5986" s="2" t="str">
        <f>HYPERLINK("http://collections.slsa.sa.gov.au/mpcimg/36750/B36727.htm")</f>
        <v>http://collections.slsa.sa.gov.au/mpcimg/36750/B36727.htm</v>
      </c>
    </row>
    <row r="5987" spans="1:11" x14ac:dyDescent="0.25">
      <c r="A5987" t="s">
        <v>20698</v>
      </c>
      <c r="B5987" s="1" t="str">
        <f>HYPERLINK("https://www.catalog.slsa.sa.gov.au/record=b2025814")</f>
        <v>https://www.catalog.slsa.sa.gov.au/record=b2025814</v>
      </c>
      <c r="C5987" s="1" t="str">
        <f>HYPERLINK("https://www.catalog.slsa.sa.gov.au/xrecord=b2025814")</f>
        <v>https://www.catalog.slsa.sa.gov.au/xrecord=b2025814</v>
      </c>
      <c r="D5987" t="s">
        <v>20689</v>
      </c>
      <c r="E5987" t="s">
        <v>20699</v>
      </c>
      <c r="F5987">
        <v>1952</v>
      </c>
      <c r="G5987" t="s">
        <v>14809</v>
      </c>
      <c r="H5987" t="s">
        <v>20700</v>
      </c>
      <c r="I5987" t="s">
        <v>20701</v>
      </c>
      <c r="J5987" t="s">
        <v>20693</v>
      </c>
      <c r="K5987" s="2" t="str">
        <f>HYPERLINK("http://collections.slsa.sa.gov.au/mpcimg/36750/B36728.htm")</f>
        <v>http://collections.slsa.sa.gov.au/mpcimg/36750/B36728.htm</v>
      </c>
    </row>
    <row r="5988" spans="1:11" x14ac:dyDescent="0.25">
      <c r="A5988" t="s">
        <v>20702</v>
      </c>
      <c r="B5988" s="1" t="str">
        <f>HYPERLINK("https://www.catalog.slsa.sa.gov.au/record=b2025815")</f>
        <v>https://www.catalog.slsa.sa.gov.au/record=b2025815</v>
      </c>
      <c r="C5988" s="1" t="str">
        <f>HYPERLINK("https://www.catalog.slsa.sa.gov.au/xrecord=b2025815")</f>
        <v>https://www.catalog.slsa.sa.gov.au/xrecord=b2025815</v>
      </c>
      <c r="D5988" t="s">
        <v>20689</v>
      </c>
      <c r="E5988" t="s">
        <v>20703</v>
      </c>
      <c r="F5988">
        <v>1952</v>
      </c>
      <c r="G5988" t="s">
        <v>14809</v>
      </c>
      <c r="H5988" t="s">
        <v>20704</v>
      </c>
      <c r="I5988" t="s">
        <v>20705</v>
      </c>
      <c r="J5988" t="s">
        <v>20693</v>
      </c>
      <c r="K5988" s="2" t="str">
        <f>HYPERLINK("http://collections.slsa.sa.gov.au/mpcimg/36750/B36729.htm")</f>
        <v>http://collections.slsa.sa.gov.au/mpcimg/36750/B36729.htm</v>
      </c>
    </row>
    <row r="5989" spans="1:11" x14ac:dyDescent="0.25">
      <c r="A5989" t="s">
        <v>20706</v>
      </c>
      <c r="B5989" s="1" t="str">
        <f>HYPERLINK("https://www.catalog.slsa.sa.gov.au/record=b2027239")</f>
        <v>https://www.catalog.slsa.sa.gov.au/record=b2027239</v>
      </c>
      <c r="C5989" s="1" t="str">
        <f>HYPERLINK("https://www.catalog.slsa.sa.gov.au/xrecord=b2027239")</f>
        <v>https://www.catalog.slsa.sa.gov.au/xrecord=b2027239</v>
      </c>
      <c r="E5989" t="s">
        <v>20707</v>
      </c>
      <c r="F5989">
        <v>1952</v>
      </c>
      <c r="G5989" t="s">
        <v>15980</v>
      </c>
      <c r="H5989" t="s">
        <v>20708</v>
      </c>
      <c r="I5989" t="s">
        <v>15982</v>
      </c>
      <c r="J5989" t="s">
        <v>15983</v>
      </c>
      <c r="K5989" s="2" t="str">
        <f>HYPERLINK("http://collections.slsa.sa.gov.au/mpcimg/30500/B30311.htm")</f>
        <v>http://collections.slsa.sa.gov.au/mpcimg/30500/B30311.htm</v>
      </c>
    </row>
    <row r="5990" spans="1:11" x14ac:dyDescent="0.25">
      <c r="A5990" t="s">
        <v>20709</v>
      </c>
      <c r="B5990" s="1" t="str">
        <f>HYPERLINK("https://www.catalog.slsa.sa.gov.au/record=b2028453")</f>
        <v>https://www.catalog.slsa.sa.gov.au/record=b2028453</v>
      </c>
      <c r="C5990" s="1" t="str">
        <f>HYPERLINK("https://www.catalog.slsa.sa.gov.au/xrecord=b2028453")</f>
        <v>https://www.catalog.slsa.sa.gov.au/xrecord=b2028453</v>
      </c>
      <c r="E5990" t="s">
        <v>20710</v>
      </c>
      <c r="F5990">
        <v>1952</v>
      </c>
      <c r="G5990" t="s">
        <v>20711</v>
      </c>
      <c r="H5990" t="s">
        <v>20712</v>
      </c>
      <c r="I5990" t="s">
        <v>20713</v>
      </c>
      <c r="J5990" t="s">
        <v>20714</v>
      </c>
      <c r="K5990" s="2" t="str">
        <f>HYPERLINK("http://collections.slsa.sa.gov.au/mpcimg/50500/B50329.htm")</f>
        <v>http://collections.slsa.sa.gov.au/mpcimg/50500/B50329.htm</v>
      </c>
    </row>
    <row r="5991" spans="1:11" x14ac:dyDescent="0.25">
      <c r="A5991" t="s">
        <v>20715</v>
      </c>
      <c r="B5991" s="1" t="str">
        <f>HYPERLINK("https://www.catalog.slsa.sa.gov.au/record=b2028454")</f>
        <v>https://www.catalog.slsa.sa.gov.au/record=b2028454</v>
      </c>
      <c r="C5991" s="1" t="str">
        <f>HYPERLINK("https://www.catalog.slsa.sa.gov.au/xrecord=b2028454")</f>
        <v>https://www.catalog.slsa.sa.gov.au/xrecord=b2028454</v>
      </c>
      <c r="E5991" t="s">
        <v>20710</v>
      </c>
      <c r="F5991">
        <v>1952</v>
      </c>
      <c r="G5991" t="s">
        <v>20711</v>
      </c>
      <c r="H5991" t="s">
        <v>20712</v>
      </c>
      <c r="I5991" t="s">
        <v>20713</v>
      </c>
      <c r="J5991" t="s">
        <v>20714</v>
      </c>
      <c r="K5991" s="2" t="str">
        <f>HYPERLINK("http://collections.slsa.sa.gov.au/mpcimg/50500/B50330.htm")</f>
        <v>http://collections.slsa.sa.gov.au/mpcimg/50500/B50330.htm</v>
      </c>
    </row>
    <row r="5992" spans="1:11" x14ac:dyDescent="0.25">
      <c r="A5992" t="s">
        <v>20716</v>
      </c>
      <c r="B5992" s="1" t="str">
        <f>HYPERLINK("https://www.catalog.slsa.sa.gov.au/record=b2028455")</f>
        <v>https://www.catalog.slsa.sa.gov.au/record=b2028455</v>
      </c>
      <c r="C5992" s="1" t="str">
        <f>HYPERLINK("https://www.catalog.slsa.sa.gov.au/xrecord=b2028455")</f>
        <v>https://www.catalog.slsa.sa.gov.au/xrecord=b2028455</v>
      </c>
      <c r="E5992" t="s">
        <v>20710</v>
      </c>
      <c r="F5992">
        <v>1952</v>
      </c>
      <c r="G5992" t="s">
        <v>20711</v>
      </c>
      <c r="H5992" t="s">
        <v>20717</v>
      </c>
      <c r="I5992" t="s">
        <v>20713</v>
      </c>
      <c r="J5992" t="s">
        <v>20714</v>
      </c>
      <c r="K5992" s="2" t="str">
        <f>HYPERLINK("http://collections.slsa.sa.gov.au/mpcimg/50500/B50331.htm")</f>
        <v>http://collections.slsa.sa.gov.au/mpcimg/50500/B50331.htm</v>
      </c>
    </row>
    <row r="5993" spans="1:11" x14ac:dyDescent="0.25">
      <c r="A5993" t="s">
        <v>20718</v>
      </c>
      <c r="B5993" s="1" t="str">
        <f>HYPERLINK("https://www.catalog.slsa.sa.gov.au/record=b2028456")</f>
        <v>https://www.catalog.slsa.sa.gov.au/record=b2028456</v>
      </c>
      <c r="C5993" s="1" t="str">
        <f>HYPERLINK("https://www.catalog.slsa.sa.gov.au/xrecord=b2028456")</f>
        <v>https://www.catalog.slsa.sa.gov.au/xrecord=b2028456</v>
      </c>
      <c r="E5993" t="s">
        <v>20710</v>
      </c>
      <c r="F5993">
        <v>1952</v>
      </c>
      <c r="G5993" t="s">
        <v>20711</v>
      </c>
      <c r="H5993" t="s">
        <v>20717</v>
      </c>
      <c r="I5993" t="s">
        <v>20713</v>
      </c>
      <c r="J5993" t="s">
        <v>20714</v>
      </c>
      <c r="K5993" s="2" t="str">
        <f>HYPERLINK("http://collections.slsa.sa.gov.au/mpcimg/50500/B50332.htm")</f>
        <v>http://collections.slsa.sa.gov.au/mpcimg/50500/B50332.htm</v>
      </c>
    </row>
    <row r="5994" spans="1:11" x14ac:dyDescent="0.25">
      <c r="A5994" t="s">
        <v>20719</v>
      </c>
      <c r="B5994" s="1" t="str">
        <f>HYPERLINK("https://www.catalog.slsa.sa.gov.au/record=b2028457")</f>
        <v>https://www.catalog.slsa.sa.gov.au/record=b2028457</v>
      </c>
      <c r="C5994" s="1" t="str">
        <f>HYPERLINK("https://www.catalog.slsa.sa.gov.au/xrecord=b2028457")</f>
        <v>https://www.catalog.slsa.sa.gov.au/xrecord=b2028457</v>
      </c>
      <c r="E5994" t="s">
        <v>20710</v>
      </c>
      <c r="F5994">
        <v>1952</v>
      </c>
      <c r="G5994" t="s">
        <v>20711</v>
      </c>
      <c r="H5994" t="s">
        <v>20720</v>
      </c>
      <c r="I5994" t="s">
        <v>20713</v>
      </c>
      <c r="J5994" t="s">
        <v>20714</v>
      </c>
      <c r="K5994" s="2" t="str">
        <f>HYPERLINK("http://collections.slsa.sa.gov.au/mpcimg/50500/B50333.htm")</f>
        <v>http://collections.slsa.sa.gov.au/mpcimg/50500/B50333.htm</v>
      </c>
    </row>
    <row r="5995" spans="1:11" x14ac:dyDescent="0.25">
      <c r="A5995" t="s">
        <v>20721</v>
      </c>
      <c r="B5995" s="1" t="str">
        <f>HYPERLINK("https://www.catalog.slsa.sa.gov.au/record=b2028458")</f>
        <v>https://www.catalog.slsa.sa.gov.au/record=b2028458</v>
      </c>
      <c r="C5995" s="1" t="str">
        <f>HYPERLINK("https://www.catalog.slsa.sa.gov.au/xrecord=b2028458")</f>
        <v>https://www.catalog.slsa.sa.gov.au/xrecord=b2028458</v>
      </c>
      <c r="E5995" t="s">
        <v>20710</v>
      </c>
      <c r="F5995">
        <v>1952</v>
      </c>
      <c r="G5995" t="s">
        <v>20711</v>
      </c>
      <c r="H5995" t="s">
        <v>20722</v>
      </c>
      <c r="I5995" t="s">
        <v>20713</v>
      </c>
      <c r="J5995" t="s">
        <v>20714</v>
      </c>
      <c r="K5995" s="2" t="str">
        <f>HYPERLINK("http://collections.slsa.sa.gov.au/mpcimg/50500/B50334.htm")</f>
        <v>http://collections.slsa.sa.gov.au/mpcimg/50500/B50334.htm</v>
      </c>
    </row>
    <row r="5996" spans="1:11" x14ac:dyDescent="0.25">
      <c r="A5996" t="s">
        <v>20723</v>
      </c>
      <c r="B5996" s="1" t="str">
        <f>HYPERLINK("https://www.catalog.slsa.sa.gov.au/record=b2028459")</f>
        <v>https://www.catalog.slsa.sa.gov.au/record=b2028459</v>
      </c>
      <c r="C5996" s="1" t="str">
        <f>HYPERLINK("https://www.catalog.slsa.sa.gov.au/xrecord=b2028459")</f>
        <v>https://www.catalog.slsa.sa.gov.au/xrecord=b2028459</v>
      </c>
      <c r="E5996" t="s">
        <v>20710</v>
      </c>
      <c r="F5996">
        <v>1952</v>
      </c>
      <c r="G5996" t="s">
        <v>20711</v>
      </c>
      <c r="H5996" t="s">
        <v>20717</v>
      </c>
      <c r="I5996" t="s">
        <v>20713</v>
      </c>
      <c r="J5996" t="s">
        <v>20714</v>
      </c>
      <c r="K5996" s="2" t="str">
        <f>HYPERLINK("http://collections.slsa.sa.gov.au/mpcimg/50500/B50335.htm")</f>
        <v>http://collections.slsa.sa.gov.au/mpcimg/50500/B50335.htm</v>
      </c>
    </row>
    <row r="5997" spans="1:11" x14ac:dyDescent="0.25">
      <c r="A5997" t="s">
        <v>20724</v>
      </c>
      <c r="B5997" s="1" t="str">
        <f>HYPERLINK("https://www.catalog.slsa.sa.gov.au/record=b2028460")</f>
        <v>https://www.catalog.slsa.sa.gov.au/record=b2028460</v>
      </c>
      <c r="C5997" s="1" t="str">
        <f>HYPERLINK("https://www.catalog.slsa.sa.gov.au/xrecord=b2028460")</f>
        <v>https://www.catalog.slsa.sa.gov.au/xrecord=b2028460</v>
      </c>
      <c r="E5997" t="s">
        <v>20710</v>
      </c>
      <c r="F5997">
        <v>1952</v>
      </c>
      <c r="G5997" t="s">
        <v>20711</v>
      </c>
      <c r="H5997" t="s">
        <v>20717</v>
      </c>
      <c r="I5997" t="s">
        <v>20713</v>
      </c>
      <c r="J5997" t="s">
        <v>20714</v>
      </c>
      <c r="K5997" s="2" t="str">
        <f>HYPERLINK("http://collections.slsa.sa.gov.au/mpcimg/50500/B50336.htm")</f>
        <v>http://collections.slsa.sa.gov.au/mpcimg/50500/B50336.htm</v>
      </c>
    </row>
    <row r="5998" spans="1:11" x14ac:dyDescent="0.25">
      <c r="A5998" t="s">
        <v>20725</v>
      </c>
      <c r="B5998" s="1" t="str">
        <f>HYPERLINK("https://www.catalog.slsa.sa.gov.au/record=b2029687")</f>
        <v>https://www.catalog.slsa.sa.gov.au/record=b2029687</v>
      </c>
      <c r="C5998" s="1" t="str">
        <f>HYPERLINK("https://www.catalog.slsa.sa.gov.au/xrecord=b2029687")</f>
        <v>https://www.catalog.slsa.sa.gov.au/xrecord=b2029687</v>
      </c>
      <c r="E5998" t="s">
        <v>20726</v>
      </c>
      <c r="F5998">
        <v>1952</v>
      </c>
      <c r="G5998" t="s">
        <v>14909</v>
      </c>
      <c r="H5998" t="s">
        <v>20727</v>
      </c>
      <c r="I5998" t="s">
        <v>20728</v>
      </c>
      <c r="J5998" t="s">
        <v>16076</v>
      </c>
      <c r="K5998" s="2" t="str">
        <f>HYPERLINK("http://collections.slsa.sa.gov.au/mpcimg/31750/B31707.htm")</f>
        <v>http://collections.slsa.sa.gov.au/mpcimg/31750/B31707.htm</v>
      </c>
    </row>
    <row r="5999" spans="1:11" x14ac:dyDescent="0.25">
      <c r="A5999" t="s">
        <v>20729</v>
      </c>
      <c r="B5999" s="1" t="str">
        <f>HYPERLINK("https://www.catalog.slsa.sa.gov.au/record=b2030924")</f>
        <v>https://www.catalog.slsa.sa.gov.au/record=b2030924</v>
      </c>
      <c r="C5999" s="1" t="str">
        <f>HYPERLINK("https://www.catalog.slsa.sa.gov.au/xrecord=b2030924")</f>
        <v>https://www.catalog.slsa.sa.gov.au/xrecord=b2030924</v>
      </c>
      <c r="E5999" t="s">
        <v>16124</v>
      </c>
      <c r="F5999">
        <v>1952</v>
      </c>
      <c r="G5999" t="s">
        <v>20730</v>
      </c>
      <c r="H5999" t="s">
        <v>20731</v>
      </c>
      <c r="I5999" t="s">
        <v>20732</v>
      </c>
      <c r="J5999" t="s">
        <v>16128</v>
      </c>
      <c r="K5999" s="2" t="str">
        <f>HYPERLINK("http://collections.slsa.sa.gov.au/mpcimg/45000/B44796.htm")</f>
        <v>http://collections.slsa.sa.gov.au/mpcimg/45000/B44796.htm</v>
      </c>
    </row>
    <row r="6000" spans="1:11" x14ac:dyDescent="0.25">
      <c r="A6000" t="s">
        <v>20733</v>
      </c>
      <c r="B6000" s="1" t="str">
        <f>HYPERLINK("https://www.catalog.slsa.sa.gov.au/record=b2031730")</f>
        <v>https://www.catalog.slsa.sa.gov.au/record=b2031730</v>
      </c>
      <c r="C6000" s="1" t="str">
        <f>HYPERLINK("https://www.catalog.slsa.sa.gov.au/xrecord=b2031730")</f>
        <v>https://www.catalog.slsa.sa.gov.au/xrecord=b2031730</v>
      </c>
      <c r="E6000" t="s">
        <v>20734</v>
      </c>
      <c r="F6000">
        <v>1952</v>
      </c>
      <c r="G6000" t="s">
        <v>14809</v>
      </c>
      <c r="H6000" t="s">
        <v>20735</v>
      </c>
      <c r="I6000" t="s">
        <v>20736</v>
      </c>
      <c r="J6000" t="s">
        <v>2963</v>
      </c>
      <c r="K6000" s="2" t="str">
        <f>HYPERLINK("http://collections.slsa.sa.gov.au/mpcimg/36500/B36253.htm")</f>
        <v>http://collections.slsa.sa.gov.au/mpcimg/36500/B36253.htm</v>
      </c>
    </row>
    <row r="6001" spans="1:11" x14ac:dyDescent="0.25">
      <c r="A6001" t="s">
        <v>20737</v>
      </c>
      <c r="B6001" s="1" t="str">
        <f>HYPERLINK("https://www.catalog.slsa.sa.gov.au/record=b2031731")</f>
        <v>https://www.catalog.slsa.sa.gov.au/record=b2031731</v>
      </c>
      <c r="C6001" s="1" t="str">
        <f>HYPERLINK("https://www.catalog.slsa.sa.gov.au/xrecord=b2031731")</f>
        <v>https://www.catalog.slsa.sa.gov.au/xrecord=b2031731</v>
      </c>
      <c r="E6001" t="s">
        <v>20738</v>
      </c>
      <c r="F6001">
        <v>1952</v>
      </c>
      <c r="G6001" t="s">
        <v>14809</v>
      </c>
      <c r="H6001" t="s">
        <v>20735</v>
      </c>
      <c r="I6001" t="s">
        <v>20736</v>
      </c>
      <c r="J6001" t="s">
        <v>2963</v>
      </c>
      <c r="K6001" s="2" t="str">
        <f>HYPERLINK("http://collections.slsa.sa.gov.au/mpcimg/36500/B36254.htm")</f>
        <v>http://collections.slsa.sa.gov.au/mpcimg/36500/B36254.htm</v>
      </c>
    </row>
    <row r="6002" spans="1:11" x14ac:dyDescent="0.25">
      <c r="A6002" t="s">
        <v>20739</v>
      </c>
      <c r="B6002" s="1" t="str">
        <f>HYPERLINK("https://www.catalog.slsa.sa.gov.au/record=b2031733")</f>
        <v>https://www.catalog.slsa.sa.gov.au/record=b2031733</v>
      </c>
      <c r="C6002" s="1" t="str">
        <f>HYPERLINK("https://www.catalog.slsa.sa.gov.au/xrecord=b2031733")</f>
        <v>https://www.catalog.slsa.sa.gov.au/xrecord=b2031733</v>
      </c>
      <c r="E6002" t="s">
        <v>20740</v>
      </c>
      <c r="F6002">
        <v>1952</v>
      </c>
      <c r="G6002" t="s">
        <v>14809</v>
      </c>
      <c r="H6002" t="s">
        <v>20741</v>
      </c>
      <c r="I6002" t="s">
        <v>20742</v>
      </c>
      <c r="J6002" t="s">
        <v>2963</v>
      </c>
      <c r="K6002" s="2" t="str">
        <f>HYPERLINK("http://collections.slsa.sa.gov.au/mpcimg/36500/B36256.htm")</f>
        <v>http://collections.slsa.sa.gov.au/mpcimg/36500/B36256.htm</v>
      </c>
    </row>
    <row r="6003" spans="1:11" x14ac:dyDescent="0.25">
      <c r="A6003" t="s">
        <v>20743</v>
      </c>
      <c r="B6003" s="1" t="str">
        <f>HYPERLINK("https://www.catalog.slsa.sa.gov.au/record=b2031734")</f>
        <v>https://www.catalog.slsa.sa.gov.au/record=b2031734</v>
      </c>
      <c r="C6003" s="1" t="str">
        <f>HYPERLINK("https://www.catalog.slsa.sa.gov.au/xrecord=b2031734")</f>
        <v>https://www.catalog.slsa.sa.gov.au/xrecord=b2031734</v>
      </c>
      <c r="E6003" t="s">
        <v>20740</v>
      </c>
      <c r="F6003">
        <v>1952</v>
      </c>
      <c r="G6003" t="s">
        <v>14809</v>
      </c>
      <c r="H6003" t="s">
        <v>20741</v>
      </c>
      <c r="I6003" t="s">
        <v>20744</v>
      </c>
      <c r="J6003" t="s">
        <v>2963</v>
      </c>
      <c r="K6003" s="2" t="str">
        <f>HYPERLINK("http://collections.slsa.sa.gov.au/mpcimg/36500/B36257.htm")</f>
        <v>http://collections.slsa.sa.gov.au/mpcimg/36500/B36257.htm</v>
      </c>
    </row>
    <row r="6004" spans="1:11" x14ac:dyDescent="0.25">
      <c r="A6004" t="s">
        <v>20745</v>
      </c>
      <c r="B6004" s="1" t="str">
        <f>HYPERLINK("https://www.catalog.slsa.sa.gov.au/record=b2034171")</f>
        <v>https://www.catalog.slsa.sa.gov.au/record=b2034171</v>
      </c>
      <c r="C6004" s="1" t="str">
        <f>HYPERLINK("https://www.catalog.slsa.sa.gov.au/xrecord=b2034171")</f>
        <v>https://www.catalog.slsa.sa.gov.au/xrecord=b2034171</v>
      </c>
      <c r="D6004" t="s">
        <v>16831</v>
      </c>
      <c r="E6004" t="s">
        <v>20746</v>
      </c>
      <c r="F6004">
        <v>1952</v>
      </c>
      <c r="G6004" t="s">
        <v>20747</v>
      </c>
      <c r="H6004" t="s">
        <v>20748</v>
      </c>
      <c r="I6004" t="s">
        <v>20749</v>
      </c>
      <c r="J6004" t="s">
        <v>14963</v>
      </c>
      <c r="K6004" s="2" t="str">
        <f>HYPERLINK("http://collections.slsa.sa.gov.au/mpcimg/13250/B13244.htm")</f>
        <v>http://collections.slsa.sa.gov.au/mpcimg/13250/B13244.htm</v>
      </c>
    </row>
    <row r="6005" spans="1:11" x14ac:dyDescent="0.25">
      <c r="A6005" t="s">
        <v>20750</v>
      </c>
      <c r="B6005" s="1" t="str">
        <f>HYPERLINK("https://www.catalog.slsa.sa.gov.au/record=b2034172")</f>
        <v>https://www.catalog.slsa.sa.gov.au/record=b2034172</v>
      </c>
      <c r="C6005" s="1" t="str">
        <f>HYPERLINK("https://www.catalog.slsa.sa.gov.au/xrecord=b2034172")</f>
        <v>https://www.catalog.slsa.sa.gov.au/xrecord=b2034172</v>
      </c>
      <c r="D6005" t="s">
        <v>15650</v>
      </c>
      <c r="E6005" t="s">
        <v>20751</v>
      </c>
      <c r="F6005">
        <v>1952</v>
      </c>
      <c r="G6005" t="s">
        <v>20752</v>
      </c>
      <c r="H6005" t="s">
        <v>20753</v>
      </c>
      <c r="I6005" t="s">
        <v>20749</v>
      </c>
      <c r="J6005" t="s">
        <v>14963</v>
      </c>
      <c r="K6005" s="2" t="str">
        <f>HYPERLINK("http://collections.slsa.sa.gov.au/mpcimg/13250/B13245.htm")</f>
        <v>http://collections.slsa.sa.gov.au/mpcimg/13250/B13245.htm</v>
      </c>
    </row>
    <row r="6006" spans="1:11" x14ac:dyDescent="0.25">
      <c r="A6006" t="s">
        <v>20754</v>
      </c>
      <c r="B6006" s="1" t="str">
        <f>HYPERLINK("https://www.catalog.slsa.sa.gov.au/record=b2034173")</f>
        <v>https://www.catalog.slsa.sa.gov.au/record=b2034173</v>
      </c>
      <c r="C6006" s="1" t="str">
        <f>HYPERLINK("https://www.catalog.slsa.sa.gov.au/xrecord=b2034173")</f>
        <v>https://www.catalog.slsa.sa.gov.au/xrecord=b2034173</v>
      </c>
      <c r="D6006" t="s">
        <v>15650</v>
      </c>
      <c r="E6006" t="s">
        <v>20755</v>
      </c>
      <c r="F6006">
        <v>1952</v>
      </c>
      <c r="G6006" t="s">
        <v>20752</v>
      </c>
      <c r="H6006" t="s">
        <v>20756</v>
      </c>
      <c r="I6006" t="s">
        <v>20749</v>
      </c>
      <c r="J6006" t="s">
        <v>14963</v>
      </c>
      <c r="K6006" s="2" t="str">
        <f>HYPERLINK("http://collections.slsa.sa.gov.au/mpcimg/13250/B13248.htm")</f>
        <v>http://collections.slsa.sa.gov.au/mpcimg/13250/B13248.htm</v>
      </c>
    </row>
    <row r="6007" spans="1:11" x14ac:dyDescent="0.25">
      <c r="A6007" t="s">
        <v>20757</v>
      </c>
      <c r="B6007" s="1" t="str">
        <f>HYPERLINK("https://www.catalog.slsa.sa.gov.au/record=b2034193")</f>
        <v>https://www.catalog.slsa.sa.gov.au/record=b2034193</v>
      </c>
      <c r="C6007" s="1" t="str">
        <f>HYPERLINK("https://www.catalog.slsa.sa.gov.au/xrecord=b2034193")</f>
        <v>https://www.catalog.slsa.sa.gov.au/xrecord=b2034193</v>
      </c>
      <c r="E6007" t="s">
        <v>20758</v>
      </c>
      <c r="F6007">
        <v>1952</v>
      </c>
      <c r="G6007" t="s">
        <v>20759</v>
      </c>
      <c r="H6007" t="s">
        <v>20760</v>
      </c>
      <c r="I6007" t="s">
        <v>20749</v>
      </c>
      <c r="J6007" t="s">
        <v>14963</v>
      </c>
      <c r="K6007" s="2" t="str">
        <f>HYPERLINK("http://collections.slsa.sa.gov.au/mpcimg/13250/B13243.htm")</f>
        <v>http://collections.slsa.sa.gov.au/mpcimg/13250/B13243.htm</v>
      </c>
    </row>
    <row r="6008" spans="1:11" x14ac:dyDescent="0.25">
      <c r="A6008" t="s">
        <v>20761</v>
      </c>
      <c r="B6008" s="1" t="str">
        <f>HYPERLINK("https://www.catalog.slsa.sa.gov.au/record=b2034399")</f>
        <v>https://www.catalog.slsa.sa.gov.au/record=b2034399</v>
      </c>
      <c r="C6008" s="1" t="str">
        <f>HYPERLINK("https://www.catalog.slsa.sa.gov.au/xrecord=b2034399")</f>
        <v>https://www.catalog.slsa.sa.gov.au/xrecord=b2034399</v>
      </c>
      <c r="E6008" t="s">
        <v>20762</v>
      </c>
      <c r="F6008">
        <v>1952</v>
      </c>
      <c r="G6008" t="s">
        <v>20763</v>
      </c>
      <c r="H6008" t="s">
        <v>20764</v>
      </c>
      <c r="I6008" t="s">
        <v>20765</v>
      </c>
      <c r="J6008" t="s">
        <v>20766</v>
      </c>
      <c r="K6008" s="2" t="str">
        <f>HYPERLINK("http://collections.slsa.sa.gov.au/mpcimg/23500/B23384.htm")</f>
        <v>http://collections.slsa.sa.gov.au/mpcimg/23500/B23384.htm</v>
      </c>
    </row>
    <row r="6009" spans="1:11" x14ac:dyDescent="0.25">
      <c r="A6009" t="s">
        <v>20767</v>
      </c>
      <c r="B6009" s="1" t="str">
        <f>HYPERLINK("https://www.catalog.slsa.sa.gov.au/record=b2034400")</f>
        <v>https://www.catalog.slsa.sa.gov.au/record=b2034400</v>
      </c>
      <c r="C6009" s="1" t="str">
        <f>HYPERLINK("https://www.catalog.slsa.sa.gov.au/xrecord=b2034400")</f>
        <v>https://www.catalog.slsa.sa.gov.au/xrecord=b2034400</v>
      </c>
      <c r="E6009" t="s">
        <v>20768</v>
      </c>
      <c r="F6009">
        <v>1952</v>
      </c>
      <c r="G6009" t="s">
        <v>20769</v>
      </c>
      <c r="H6009" t="s">
        <v>20764</v>
      </c>
      <c r="I6009" t="s">
        <v>20765</v>
      </c>
      <c r="J6009" t="s">
        <v>20766</v>
      </c>
      <c r="K6009" s="2" t="str">
        <f>HYPERLINK("http://collections.slsa.sa.gov.au/mpcimg/23500/B23385.htm")</f>
        <v>http://collections.slsa.sa.gov.au/mpcimg/23500/B23385.htm</v>
      </c>
    </row>
    <row r="6010" spans="1:11" x14ac:dyDescent="0.25">
      <c r="A6010" t="s">
        <v>20770</v>
      </c>
      <c r="B6010" s="1" t="str">
        <f>HYPERLINK("https://www.catalog.slsa.sa.gov.au/record=b2034401")</f>
        <v>https://www.catalog.slsa.sa.gov.au/record=b2034401</v>
      </c>
      <c r="C6010" s="1" t="str">
        <f>HYPERLINK("https://www.catalog.slsa.sa.gov.au/xrecord=b2034401")</f>
        <v>https://www.catalog.slsa.sa.gov.au/xrecord=b2034401</v>
      </c>
      <c r="E6010" t="s">
        <v>20762</v>
      </c>
      <c r="F6010">
        <v>1952</v>
      </c>
      <c r="G6010" t="s">
        <v>15944</v>
      </c>
      <c r="H6010" t="s">
        <v>20771</v>
      </c>
      <c r="I6010" t="s">
        <v>20772</v>
      </c>
      <c r="J6010" t="s">
        <v>20766</v>
      </c>
      <c r="K6010" s="2" t="str">
        <f>HYPERLINK("http://collections.slsa.sa.gov.au/mpcimg/23500/B23386.htm")</f>
        <v>http://collections.slsa.sa.gov.au/mpcimg/23500/B23386.htm</v>
      </c>
    </row>
    <row r="6011" spans="1:11" x14ac:dyDescent="0.25">
      <c r="A6011" t="s">
        <v>20773</v>
      </c>
      <c r="B6011" s="1" t="str">
        <f>HYPERLINK("https://www.catalog.slsa.sa.gov.au/record=b2037187")</f>
        <v>https://www.catalog.slsa.sa.gov.au/record=b2037187</v>
      </c>
      <c r="C6011" s="1" t="str">
        <f>HYPERLINK("https://www.catalog.slsa.sa.gov.au/xrecord=b2037187")</f>
        <v>https://www.catalog.slsa.sa.gov.au/xrecord=b2037187</v>
      </c>
      <c r="E6011" t="s">
        <v>20774</v>
      </c>
      <c r="F6011">
        <v>1952</v>
      </c>
      <c r="G6011" t="s">
        <v>20775</v>
      </c>
      <c r="H6011" t="s">
        <v>20776</v>
      </c>
      <c r="J6011" t="s">
        <v>4661</v>
      </c>
      <c r="K6011" s="2" t="str">
        <f>HYPERLINK("http://collections.slsa.sa.gov.au/mpcimg/40500/B40414.htm")</f>
        <v>http://collections.slsa.sa.gov.au/mpcimg/40500/B40414.htm</v>
      </c>
    </row>
    <row r="6012" spans="1:11" x14ac:dyDescent="0.25">
      <c r="A6012" t="s">
        <v>20777</v>
      </c>
      <c r="B6012" s="1" t="str">
        <f>HYPERLINK("https://www.catalog.slsa.sa.gov.au/record=b2037188")</f>
        <v>https://www.catalog.slsa.sa.gov.au/record=b2037188</v>
      </c>
      <c r="C6012" s="1" t="str">
        <f>HYPERLINK("https://www.catalog.slsa.sa.gov.au/xrecord=b2037188")</f>
        <v>https://www.catalog.slsa.sa.gov.au/xrecord=b2037188</v>
      </c>
      <c r="E6012" t="s">
        <v>20778</v>
      </c>
      <c r="F6012">
        <v>1952</v>
      </c>
      <c r="G6012" t="s">
        <v>20779</v>
      </c>
      <c r="H6012" t="s">
        <v>20780</v>
      </c>
      <c r="J6012" t="s">
        <v>4661</v>
      </c>
      <c r="K6012" s="2" t="str">
        <f>HYPERLINK("http://collections.slsa.sa.gov.au/mpcimg/40500/B40415.htm")</f>
        <v>http://collections.slsa.sa.gov.au/mpcimg/40500/B40415.htm</v>
      </c>
    </row>
    <row r="6013" spans="1:11" x14ac:dyDescent="0.25">
      <c r="A6013" t="s">
        <v>20781</v>
      </c>
      <c r="B6013" s="1" t="str">
        <f>HYPERLINK("https://www.catalog.slsa.sa.gov.au/record=b2039327")</f>
        <v>https://www.catalog.slsa.sa.gov.au/record=b2039327</v>
      </c>
      <c r="C6013" s="1" t="str">
        <f>HYPERLINK("https://www.catalog.slsa.sa.gov.au/xrecord=b2039327")</f>
        <v>https://www.catalog.slsa.sa.gov.au/xrecord=b2039327</v>
      </c>
      <c r="E6013" t="s">
        <v>16382</v>
      </c>
      <c r="F6013">
        <v>1952</v>
      </c>
      <c r="G6013" t="s">
        <v>20782</v>
      </c>
      <c r="H6013" t="s">
        <v>20783</v>
      </c>
      <c r="J6013" t="s">
        <v>2975</v>
      </c>
      <c r="K6013" s="2" t="str">
        <f>HYPERLINK("http://collections.slsa.sa.gov.au/mpcimg/42250/B42113.htm")</f>
        <v>http://collections.slsa.sa.gov.au/mpcimg/42250/B42113.htm</v>
      </c>
    </row>
    <row r="6014" spans="1:11" x14ac:dyDescent="0.25">
      <c r="A6014" t="s">
        <v>20784</v>
      </c>
      <c r="B6014" s="1" t="str">
        <f>HYPERLINK("https://www.catalog.slsa.sa.gov.au/record=b2039328")</f>
        <v>https://www.catalog.slsa.sa.gov.au/record=b2039328</v>
      </c>
      <c r="C6014" s="1" t="str">
        <f>HYPERLINK("https://www.catalog.slsa.sa.gov.au/xrecord=b2039328")</f>
        <v>https://www.catalog.slsa.sa.gov.au/xrecord=b2039328</v>
      </c>
      <c r="E6014" t="s">
        <v>16382</v>
      </c>
      <c r="F6014">
        <v>1952</v>
      </c>
      <c r="G6014" t="s">
        <v>20785</v>
      </c>
      <c r="H6014" t="s">
        <v>16387</v>
      </c>
      <c r="J6014" t="s">
        <v>2975</v>
      </c>
      <c r="K6014" s="2" t="str">
        <f>HYPERLINK("http://collections.slsa.sa.gov.au/mpcimg/42250/B42114.htm")</f>
        <v>http://collections.slsa.sa.gov.au/mpcimg/42250/B42114.htm</v>
      </c>
    </row>
    <row r="6015" spans="1:11" x14ac:dyDescent="0.25">
      <c r="A6015" t="s">
        <v>20786</v>
      </c>
      <c r="B6015" s="1" t="str">
        <f>HYPERLINK("https://www.catalog.slsa.sa.gov.au/record=b2040437")</f>
        <v>https://www.catalog.slsa.sa.gov.au/record=b2040437</v>
      </c>
      <c r="C6015" s="1" t="str">
        <f>HYPERLINK("https://www.catalog.slsa.sa.gov.au/xrecord=b2040437")</f>
        <v>https://www.catalog.slsa.sa.gov.au/xrecord=b2040437</v>
      </c>
      <c r="E6015" t="s">
        <v>20787</v>
      </c>
      <c r="F6015">
        <v>1952</v>
      </c>
      <c r="G6015" t="s">
        <v>20788</v>
      </c>
      <c r="H6015" t="s">
        <v>20789</v>
      </c>
      <c r="I6015" t="s">
        <v>20790</v>
      </c>
      <c r="J6015" t="s">
        <v>20791</v>
      </c>
      <c r="K6015" s="2" t="str">
        <f>HYPERLINK("http://collections.slsa.sa.gov.au/mpcimg/49500/B49324.htm")</f>
        <v>http://collections.slsa.sa.gov.au/mpcimg/49500/B49324.htm</v>
      </c>
    </row>
    <row r="6016" spans="1:11" x14ac:dyDescent="0.25">
      <c r="A6016" t="s">
        <v>20792</v>
      </c>
      <c r="B6016" s="1" t="str">
        <f>HYPERLINK("https://www.catalog.slsa.sa.gov.au/record=b2041376")</f>
        <v>https://www.catalog.slsa.sa.gov.au/record=b2041376</v>
      </c>
      <c r="C6016" s="1" t="str">
        <f>HYPERLINK("https://www.catalog.slsa.sa.gov.au/xrecord=b2041376")</f>
        <v>https://www.catalog.slsa.sa.gov.au/xrecord=b2041376</v>
      </c>
      <c r="E6016" t="s">
        <v>20793</v>
      </c>
      <c r="F6016">
        <v>1952</v>
      </c>
      <c r="G6016" t="s">
        <v>20794</v>
      </c>
      <c r="H6016" t="s">
        <v>20795</v>
      </c>
      <c r="I6016" t="s">
        <v>20796</v>
      </c>
      <c r="J6016" t="s">
        <v>20797</v>
      </c>
      <c r="K6016" s="2" t="str">
        <f>HYPERLINK("http://collections.slsa.sa.gov.au/mpcimg/33750/B33632.htm")</f>
        <v>http://collections.slsa.sa.gov.au/mpcimg/33750/B33632.htm</v>
      </c>
    </row>
    <row r="6017" spans="1:11" x14ac:dyDescent="0.25">
      <c r="A6017" t="s">
        <v>20798</v>
      </c>
      <c r="B6017" s="1" t="str">
        <f>HYPERLINK("https://www.catalog.slsa.sa.gov.au/record=b2042846")</f>
        <v>https://www.catalog.slsa.sa.gov.au/record=b2042846</v>
      </c>
      <c r="C6017" s="1" t="str">
        <f>HYPERLINK("https://www.catalog.slsa.sa.gov.au/xrecord=b2042846")</f>
        <v>https://www.catalog.slsa.sa.gov.au/xrecord=b2042846</v>
      </c>
      <c r="E6017" t="s">
        <v>20799</v>
      </c>
      <c r="F6017">
        <v>1952</v>
      </c>
      <c r="G6017" t="s">
        <v>20730</v>
      </c>
      <c r="H6017" t="s">
        <v>20800</v>
      </c>
      <c r="I6017" t="s">
        <v>20801</v>
      </c>
      <c r="J6017" t="s">
        <v>20802</v>
      </c>
      <c r="K6017" s="2" t="str">
        <f>HYPERLINK("http://collections.slsa.sa.gov.au/mpcimg/45000/B44794.htm")</f>
        <v>http://collections.slsa.sa.gov.au/mpcimg/45000/B44794.htm</v>
      </c>
    </row>
    <row r="6018" spans="1:11" x14ac:dyDescent="0.25">
      <c r="A6018" t="s">
        <v>20803</v>
      </c>
      <c r="B6018" s="1" t="str">
        <f>HYPERLINK("https://www.catalog.slsa.sa.gov.au/record=b2044454")</f>
        <v>https://www.catalog.slsa.sa.gov.au/record=b2044454</v>
      </c>
      <c r="C6018" s="1" t="str">
        <f>HYPERLINK("https://www.catalog.slsa.sa.gov.au/xrecord=b2044454")</f>
        <v>https://www.catalog.slsa.sa.gov.au/xrecord=b2044454</v>
      </c>
      <c r="E6018" t="s">
        <v>20804</v>
      </c>
      <c r="F6018">
        <v>1952</v>
      </c>
      <c r="G6018" t="s">
        <v>16048</v>
      </c>
      <c r="H6018" t="s">
        <v>20805</v>
      </c>
      <c r="J6018" t="s">
        <v>19053</v>
      </c>
      <c r="K6018" s="2" t="str">
        <f>HYPERLINK("http://collections.slsa.sa.gov.au/mpcimg/34250/B34010.htm")</f>
        <v>http://collections.slsa.sa.gov.au/mpcimg/34250/B34010.htm</v>
      </c>
    </row>
    <row r="6019" spans="1:11" x14ac:dyDescent="0.25">
      <c r="A6019" t="s">
        <v>20806</v>
      </c>
      <c r="B6019" s="1" t="str">
        <f>HYPERLINK("https://www.catalog.slsa.sa.gov.au/record=b2044512")</f>
        <v>https://www.catalog.slsa.sa.gov.au/record=b2044512</v>
      </c>
      <c r="C6019" s="1" t="str">
        <f>HYPERLINK("https://www.catalog.slsa.sa.gov.au/xrecord=b2044512")</f>
        <v>https://www.catalog.slsa.sa.gov.au/xrecord=b2044512</v>
      </c>
      <c r="E6019" t="s">
        <v>20807</v>
      </c>
      <c r="F6019">
        <v>1952</v>
      </c>
      <c r="G6019" t="s">
        <v>20808</v>
      </c>
      <c r="H6019" t="s">
        <v>20809</v>
      </c>
      <c r="J6019" t="s">
        <v>19053</v>
      </c>
      <c r="K6019" s="2" t="str">
        <f>HYPERLINK("http://collections.slsa.sa.gov.au/mpcimg/46250/B46076.htm")</f>
        <v>http://collections.slsa.sa.gov.au/mpcimg/46250/B46076.htm</v>
      </c>
    </row>
    <row r="6020" spans="1:11" x14ac:dyDescent="0.25">
      <c r="A6020" t="s">
        <v>20810</v>
      </c>
      <c r="B6020" s="1" t="str">
        <f>HYPERLINK("https://www.catalog.slsa.sa.gov.au/record=b2046253")</f>
        <v>https://www.catalog.slsa.sa.gov.au/record=b2046253</v>
      </c>
      <c r="C6020" s="1" t="str">
        <f>HYPERLINK("https://www.catalog.slsa.sa.gov.au/xrecord=b2046253")</f>
        <v>https://www.catalog.slsa.sa.gov.au/xrecord=b2046253</v>
      </c>
      <c r="E6020" t="s">
        <v>20811</v>
      </c>
      <c r="F6020">
        <v>1952</v>
      </c>
      <c r="G6020" t="s">
        <v>20812</v>
      </c>
      <c r="H6020" t="s">
        <v>20813</v>
      </c>
      <c r="J6020" t="s">
        <v>20814</v>
      </c>
      <c r="K6020" s="2" t="str">
        <f>HYPERLINK("http://collections.slsa.sa.gov.au/mpcimg/17250/B17010_1.htm")</f>
        <v>http://collections.slsa.sa.gov.au/mpcimg/17250/B17010_1.htm</v>
      </c>
    </row>
    <row r="6021" spans="1:11" x14ac:dyDescent="0.25">
      <c r="A6021" t="s">
        <v>20815</v>
      </c>
      <c r="B6021" s="1" t="str">
        <f>HYPERLINK("https://www.catalog.slsa.sa.gov.au/record=b2046254")</f>
        <v>https://www.catalog.slsa.sa.gov.au/record=b2046254</v>
      </c>
      <c r="C6021" s="1" t="str">
        <f>HYPERLINK("https://www.catalog.slsa.sa.gov.au/xrecord=b2046254")</f>
        <v>https://www.catalog.slsa.sa.gov.au/xrecord=b2046254</v>
      </c>
      <c r="E6021" t="s">
        <v>20811</v>
      </c>
      <c r="F6021">
        <v>1952</v>
      </c>
      <c r="G6021" t="s">
        <v>20812</v>
      </c>
      <c r="H6021" t="s">
        <v>20816</v>
      </c>
      <c r="J6021" t="s">
        <v>20814</v>
      </c>
      <c r="K6021" s="2" t="str">
        <f>HYPERLINK("http://collections.slsa.sa.gov.au/mpcimg/17250/B17010_2.htm")</f>
        <v>http://collections.slsa.sa.gov.au/mpcimg/17250/B17010_2.htm</v>
      </c>
    </row>
    <row r="6022" spans="1:11" x14ac:dyDescent="0.25">
      <c r="A6022" t="s">
        <v>20817</v>
      </c>
      <c r="B6022" s="1" t="str">
        <f>HYPERLINK("https://www.catalog.slsa.sa.gov.au/record=b2046255")</f>
        <v>https://www.catalog.slsa.sa.gov.au/record=b2046255</v>
      </c>
      <c r="C6022" s="1" t="str">
        <f>HYPERLINK("https://www.catalog.slsa.sa.gov.au/xrecord=b2046255")</f>
        <v>https://www.catalog.slsa.sa.gov.au/xrecord=b2046255</v>
      </c>
      <c r="E6022" t="s">
        <v>20811</v>
      </c>
      <c r="F6022">
        <v>1952</v>
      </c>
      <c r="G6022" t="s">
        <v>20812</v>
      </c>
      <c r="H6022" t="s">
        <v>20816</v>
      </c>
      <c r="J6022" t="s">
        <v>20814</v>
      </c>
      <c r="K6022" s="2" t="str">
        <f>HYPERLINK("http://collections.slsa.sa.gov.au/mpcimg/17250/B17010_3.htm")</f>
        <v>http://collections.slsa.sa.gov.au/mpcimg/17250/B17010_3.htm</v>
      </c>
    </row>
    <row r="6023" spans="1:11" x14ac:dyDescent="0.25">
      <c r="A6023" t="s">
        <v>20818</v>
      </c>
      <c r="B6023" s="1" t="str">
        <f>HYPERLINK("https://www.catalog.slsa.sa.gov.au/record=b2050778")</f>
        <v>https://www.catalog.slsa.sa.gov.au/record=b2050778</v>
      </c>
      <c r="C6023" s="1" t="str">
        <f>HYPERLINK("https://www.catalog.slsa.sa.gov.au/xrecord=b2050778")</f>
        <v>https://www.catalog.slsa.sa.gov.au/xrecord=b2050778</v>
      </c>
      <c r="D6023" t="s">
        <v>2939</v>
      </c>
      <c r="E6023" t="s">
        <v>20819</v>
      </c>
      <c r="F6023">
        <v>1952</v>
      </c>
      <c r="G6023" t="s">
        <v>20820</v>
      </c>
      <c r="H6023" t="s">
        <v>20821</v>
      </c>
      <c r="I6023" t="s">
        <v>20822</v>
      </c>
      <c r="J6023" t="s">
        <v>2510</v>
      </c>
      <c r="K6023" s="2" t="str">
        <f>HYPERLINK("http://collections.slsa.sa.gov.au/mpcimg/13000/B12881.htm")</f>
        <v>http://collections.slsa.sa.gov.au/mpcimg/13000/B12881.htm</v>
      </c>
    </row>
    <row r="6024" spans="1:11" x14ac:dyDescent="0.25">
      <c r="A6024" t="s">
        <v>20823</v>
      </c>
      <c r="B6024" s="1" t="str">
        <f>HYPERLINK("https://www.catalog.slsa.sa.gov.au/record=b2050779")</f>
        <v>https://www.catalog.slsa.sa.gov.au/record=b2050779</v>
      </c>
      <c r="C6024" s="1" t="str">
        <f>HYPERLINK("https://www.catalog.slsa.sa.gov.au/xrecord=b2050779")</f>
        <v>https://www.catalog.slsa.sa.gov.au/xrecord=b2050779</v>
      </c>
      <c r="D6024" t="s">
        <v>2939</v>
      </c>
      <c r="E6024" t="s">
        <v>20824</v>
      </c>
      <c r="F6024">
        <v>1952</v>
      </c>
      <c r="G6024" t="s">
        <v>20825</v>
      </c>
      <c r="H6024" t="s">
        <v>20826</v>
      </c>
      <c r="J6024" t="s">
        <v>2510</v>
      </c>
      <c r="K6024" s="2" t="str">
        <f>HYPERLINK("http://collections.slsa.sa.gov.au/mpcimg/13000/B12882.htm")</f>
        <v>http://collections.slsa.sa.gov.au/mpcimg/13000/B12882.htm</v>
      </c>
    </row>
    <row r="6025" spans="1:11" x14ac:dyDescent="0.25">
      <c r="A6025" t="s">
        <v>20827</v>
      </c>
      <c r="B6025" s="1" t="str">
        <f>HYPERLINK("https://www.catalog.slsa.sa.gov.au/record=b2050780")</f>
        <v>https://www.catalog.slsa.sa.gov.au/record=b2050780</v>
      </c>
      <c r="C6025" s="1" t="str">
        <f>HYPERLINK("https://www.catalog.slsa.sa.gov.au/xrecord=b2050780")</f>
        <v>https://www.catalog.slsa.sa.gov.au/xrecord=b2050780</v>
      </c>
      <c r="D6025" t="s">
        <v>2939</v>
      </c>
      <c r="E6025" t="s">
        <v>20819</v>
      </c>
      <c r="F6025">
        <v>1952</v>
      </c>
      <c r="G6025" t="s">
        <v>20828</v>
      </c>
      <c r="H6025" t="s">
        <v>20829</v>
      </c>
      <c r="J6025" t="s">
        <v>2510</v>
      </c>
      <c r="K6025" s="2" t="str">
        <f>HYPERLINK("http://collections.slsa.sa.gov.au/mpcimg/13000/B12883.htm")</f>
        <v>http://collections.slsa.sa.gov.au/mpcimg/13000/B12883.htm</v>
      </c>
    </row>
    <row r="6026" spans="1:11" x14ac:dyDescent="0.25">
      <c r="A6026" t="s">
        <v>20830</v>
      </c>
      <c r="B6026" s="1" t="str">
        <f>HYPERLINK("https://www.catalog.slsa.sa.gov.au/record=b2050781")</f>
        <v>https://www.catalog.slsa.sa.gov.au/record=b2050781</v>
      </c>
      <c r="C6026" s="1" t="str">
        <f>HYPERLINK("https://www.catalog.slsa.sa.gov.au/xrecord=b2050781")</f>
        <v>https://www.catalog.slsa.sa.gov.au/xrecord=b2050781</v>
      </c>
      <c r="D6026" t="s">
        <v>2939</v>
      </c>
      <c r="E6026" t="s">
        <v>20831</v>
      </c>
      <c r="F6026">
        <v>1952</v>
      </c>
      <c r="G6026" t="s">
        <v>20832</v>
      </c>
      <c r="H6026" t="s">
        <v>20833</v>
      </c>
      <c r="I6026" t="s">
        <v>20834</v>
      </c>
      <c r="J6026" t="s">
        <v>2510</v>
      </c>
      <c r="K6026" s="2" t="str">
        <f>HYPERLINK("http://collections.slsa.sa.gov.au/mpcimg/13000/B12885.htm")</f>
        <v>http://collections.slsa.sa.gov.au/mpcimg/13000/B12885.htm</v>
      </c>
    </row>
    <row r="6027" spans="1:11" x14ac:dyDescent="0.25">
      <c r="A6027" t="s">
        <v>20835</v>
      </c>
      <c r="B6027" s="1" t="str">
        <f>HYPERLINK("https://www.catalog.slsa.sa.gov.au/record=b2051954")</f>
        <v>https://www.catalog.slsa.sa.gov.au/record=b2051954</v>
      </c>
      <c r="C6027" s="1" t="str">
        <f>HYPERLINK("https://www.catalog.slsa.sa.gov.au/xrecord=b2051954")</f>
        <v>https://www.catalog.slsa.sa.gov.au/xrecord=b2051954</v>
      </c>
      <c r="E6027" t="s">
        <v>20836</v>
      </c>
      <c r="F6027">
        <v>1952</v>
      </c>
      <c r="G6027" t="s">
        <v>20837</v>
      </c>
      <c r="H6027" t="s">
        <v>20838</v>
      </c>
      <c r="I6027" t="s">
        <v>16732</v>
      </c>
      <c r="J6027" t="s">
        <v>2510</v>
      </c>
      <c r="K6027" s="2" t="str">
        <f>HYPERLINK("http://collections.slsa.sa.gov.au/mpcimg/27500/B27404_8.htm")</f>
        <v>http://collections.slsa.sa.gov.au/mpcimg/27500/B27404_8.htm</v>
      </c>
    </row>
    <row r="6028" spans="1:11" x14ac:dyDescent="0.25">
      <c r="A6028" t="s">
        <v>20839</v>
      </c>
      <c r="B6028" s="1" t="str">
        <f>HYPERLINK("https://www.catalog.slsa.sa.gov.au/record=b2052277")</f>
        <v>https://www.catalog.slsa.sa.gov.au/record=b2052277</v>
      </c>
      <c r="C6028" s="1" t="str">
        <f>HYPERLINK("https://www.catalog.slsa.sa.gov.au/xrecord=b2052277")</f>
        <v>https://www.catalog.slsa.sa.gov.au/xrecord=b2052277</v>
      </c>
      <c r="E6028" t="s">
        <v>20840</v>
      </c>
      <c r="F6028">
        <v>1952</v>
      </c>
      <c r="G6028" t="s">
        <v>20841</v>
      </c>
      <c r="H6028" t="s">
        <v>20842</v>
      </c>
      <c r="I6028" t="s">
        <v>20843</v>
      </c>
      <c r="J6028" t="s">
        <v>2510</v>
      </c>
      <c r="K6028" s="2" t="str">
        <f>HYPERLINK("http://collections.slsa.sa.gov.au/mpcimg/33750/B33627.htm")</f>
        <v>http://collections.slsa.sa.gov.au/mpcimg/33750/B33627.htm</v>
      </c>
    </row>
    <row r="6029" spans="1:11" x14ac:dyDescent="0.25">
      <c r="A6029" t="s">
        <v>20844</v>
      </c>
      <c r="B6029" s="1" t="str">
        <f>HYPERLINK("https://www.catalog.slsa.sa.gov.au/record=b2052679")</f>
        <v>https://www.catalog.slsa.sa.gov.au/record=b2052679</v>
      </c>
      <c r="C6029" s="1" t="str">
        <f>HYPERLINK("https://www.catalog.slsa.sa.gov.au/xrecord=b2052679")</f>
        <v>https://www.catalog.slsa.sa.gov.au/xrecord=b2052679</v>
      </c>
      <c r="E6029" t="s">
        <v>20845</v>
      </c>
      <c r="F6029">
        <v>1952</v>
      </c>
      <c r="G6029" t="s">
        <v>15147</v>
      </c>
      <c r="H6029" t="s">
        <v>20846</v>
      </c>
      <c r="I6029" t="s">
        <v>20847</v>
      </c>
      <c r="J6029" t="s">
        <v>2510</v>
      </c>
      <c r="K6029" s="2" t="str">
        <f>HYPERLINK("http://collections.slsa.sa.gov.au/mpcimg/37750/B37609.htm")</f>
        <v>http://collections.slsa.sa.gov.au/mpcimg/37750/B37609.htm</v>
      </c>
    </row>
    <row r="6030" spans="1:11" x14ac:dyDescent="0.25">
      <c r="A6030" t="s">
        <v>20848</v>
      </c>
      <c r="B6030" s="1" t="str">
        <f>HYPERLINK("https://www.catalog.slsa.sa.gov.au/record=b2052680")</f>
        <v>https://www.catalog.slsa.sa.gov.au/record=b2052680</v>
      </c>
      <c r="C6030" s="1" t="str">
        <f>HYPERLINK("https://www.catalog.slsa.sa.gov.au/xrecord=b2052680")</f>
        <v>https://www.catalog.slsa.sa.gov.au/xrecord=b2052680</v>
      </c>
      <c r="E6030" t="s">
        <v>20845</v>
      </c>
      <c r="F6030">
        <v>1952</v>
      </c>
      <c r="G6030" t="s">
        <v>15147</v>
      </c>
      <c r="H6030" t="s">
        <v>20849</v>
      </c>
      <c r="I6030" t="s">
        <v>20847</v>
      </c>
      <c r="J6030" t="s">
        <v>2510</v>
      </c>
      <c r="K6030" s="2" t="str">
        <f>HYPERLINK("http://collections.slsa.sa.gov.au/mpcimg/37750/B37610.htm")</f>
        <v>http://collections.slsa.sa.gov.au/mpcimg/37750/B37610.htm</v>
      </c>
    </row>
    <row r="6031" spans="1:11" x14ac:dyDescent="0.25">
      <c r="A6031" t="s">
        <v>20850</v>
      </c>
      <c r="B6031" s="1" t="str">
        <f>HYPERLINK("https://www.catalog.slsa.sa.gov.au/record=b2052785")</f>
        <v>https://www.catalog.slsa.sa.gov.au/record=b2052785</v>
      </c>
      <c r="C6031" s="1" t="str">
        <f>HYPERLINK("https://www.catalog.slsa.sa.gov.au/xrecord=b2052785")</f>
        <v>https://www.catalog.slsa.sa.gov.au/xrecord=b2052785</v>
      </c>
      <c r="E6031" t="s">
        <v>20851</v>
      </c>
      <c r="F6031">
        <v>1952</v>
      </c>
      <c r="G6031" t="s">
        <v>14809</v>
      </c>
      <c r="H6031" t="s">
        <v>20852</v>
      </c>
      <c r="I6031" t="s">
        <v>20853</v>
      </c>
      <c r="J6031" t="s">
        <v>2510</v>
      </c>
      <c r="K6031" s="2" t="str">
        <f>HYPERLINK("http://collections.slsa.sa.gov.au/mpcimg/38250/B38093.htm")</f>
        <v>http://collections.slsa.sa.gov.au/mpcimg/38250/B38093.htm</v>
      </c>
    </row>
    <row r="6032" spans="1:11" x14ac:dyDescent="0.25">
      <c r="A6032" t="s">
        <v>20854</v>
      </c>
      <c r="B6032" s="1" t="str">
        <f>HYPERLINK("https://www.catalog.slsa.sa.gov.au/record=b2054126")</f>
        <v>https://www.catalog.slsa.sa.gov.au/record=b2054126</v>
      </c>
      <c r="C6032" s="1" t="str">
        <f>HYPERLINK("https://www.catalog.slsa.sa.gov.au/xrecord=b2054126")</f>
        <v>https://www.catalog.slsa.sa.gov.au/xrecord=b2054126</v>
      </c>
      <c r="E6032" t="s">
        <v>20855</v>
      </c>
      <c r="F6032">
        <v>1952</v>
      </c>
      <c r="G6032" t="s">
        <v>20856</v>
      </c>
      <c r="H6032" t="s">
        <v>20857</v>
      </c>
      <c r="I6032" t="s">
        <v>20858</v>
      </c>
      <c r="J6032" t="s">
        <v>2510</v>
      </c>
      <c r="K6032" s="2" t="str">
        <f>HYPERLINK("http://collections.slsa.sa.gov.au/mpcimg/50250/B50219.htm")</f>
        <v>http://collections.slsa.sa.gov.au/mpcimg/50250/B50219.htm</v>
      </c>
    </row>
    <row r="6033" spans="1:11" x14ac:dyDescent="0.25">
      <c r="A6033" t="s">
        <v>20859</v>
      </c>
      <c r="B6033" s="1" t="str">
        <f>HYPERLINK("https://www.catalog.slsa.sa.gov.au/record=b2054127")</f>
        <v>https://www.catalog.slsa.sa.gov.au/record=b2054127</v>
      </c>
      <c r="C6033" s="1" t="str">
        <f>HYPERLINK("https://www.catalog.slsa.sa.gov.au/xrecord=b2054127")</f>
        <v>https://www.catalog.slsa.sa.gov.au/xrecord=b2054127</v>
      </c>
      <c r="E6033" t="s">
        <v>20860</v>
      </c>
      <c r="F6033">
        <v>1952</v>
      </c>
      <c r="G6033" t="s">
        <v>20861</v>
      </c>
      <c r="H6033" t="s">
        <v>20862</v>
      </c>
      <c r="I6033" t="s">
        <v>20858</v>
      </c>
      <c r="J6033" t="s">
        <v>2510</v>
      </c>
      <c r="K6033" s="2" t="str">
        <f>HYPERLINK("http://collections.slsa.sa.gov.au/mpcimg/50250/B50220.htm")</f>
        <v>http://collections.slsa.sa.gov.au/mpcimg/50250/B50220.htm</v>
      </c>
    </row>
    <row r="6034" spans="1:11" x14ac:dyDescent="0.25">
      <c r="A6034" t="s">
        <v>20863</v>
      </c>
      <c r="B6034" s="1" t="str">
        <f>HYPERLINK("https://www.catalog.slsa.sa.gov.au/record=b2054128")</f>
        <v>https://www.catalog.slsa.sa.gov.au/record=b2054128</v>
      </c>
      <c r="C6034" s="1" t="str">
        <f>HYPERLINK("https://www.catalog.slsa.sa.gov.au/xrecord=b2054128")</f>
        <v>https://www.catalog.slsa.sa.gov.au/xrecord=b2054128</v>
      </c>
      <c r="E6034" t="s">
        <v>20864</v>
      </c>
      <c r="F6034">
        <v>1952</v>
      </c>
      <c r="G6034" t="s">
        <v>20856</v>
      </c>
      <c r="H6034" t="s">
        <v>20865</v>
      </c>
      <c r="I6034" t="s">
        <v>20858</v>
      </c>
      <c r="J6034" t="s">
        <v>2510</v>
      </c>
      <c r="K6034" s="2" t="str">
        <f>HYPERLINK("http://collections.slsa.sa.gov.au/mpcimg/50250/B50221.htm")</f>
        <v>http://collections.slsa.sa.gov.au/mpcimg/50250/B50221.htm</v>
      </c>
    </row>
    <row r="6035" spans="1:11" x14ac:dyDescent="0.25">
      <c r="A6035" t="s">
        <v>20866</v>
      </c>
      <c r="B6035" s="1" t="str">
        <f>HYPERLINK("https://www.catalog.slsa.sa.gov.au/record=b2054129")</f>
        <v>https://www.catalog.slsa.sa.gov.au/record=b2054129</v>
      </c>
      <c r="C6035" s="1" t="str">
        <f>HYPERLINK("https://www.catalog.slsa.sa.gov.au/xrecord=b2054129")</f>
        <v>https://www.catalog.slsa.sa.gov.au/xrecord=b2054129</v>
      </c>
      <c r="E6035" t="s">
        <v>20867</v>
      </c>
      <c r="F6035">
        <v>1952</v>
      </c>
      <c r="G6035" t="s">
        <v>19356</v>
      </c>
      <c r="H6035" t="s">
        <v>20868</v>
      </c>
      <c r="I6035" t="s">
        <v>20858</v>
      </c>
      <c r="J6035" t="s">
        <v>2510</v>
      </c>
      <c r="K6035" s="2" t="str">
        <f>HYPERLINK("http://collections.slsa.sa.gov.au/mpcimg/50250/B50222.htm")</f>
        <v>http://collections.slsa.sa.gov.au/mpcimg/50250/B50222.htm</v>
      </c>
    </row>
    <row r="6036" spans="1:11" x14ac:dyDescent="0.25">
      <c r="A6036" t="s">
        <v>20869</v>
      </c>
      <c r="B6036" s="1" t="str">
        <f>HYPERLINK("https://www.catalog.slsa.sa.gov.au/record=b2054130")</f>
        <v>https://www.catalog.slsa.sa.gov.au/record=b2054130</v>
      </c>
      <c r="C6036" s="1" t="str">
        <f>HYPERLINK("https://www.catalog.slsa.sa.gov.au/xrecord=b2054130")</f>
        <v>https://www.catalog.slsa.sa.gov.au/xrecord=b2054130</v>
      </c>
      <c r="E6036" t="s">
        <v>20870</v>
      </c>
      <c r="F6036">
        <v>1952</v>
      </c>
      <c r="G6036" t="s">
        <v>20871</v>
      </c>
      <c r="H6036" t="s">
        <v>20872</v>
      </c>
      <c r="I6036" t="s">
        <v>20858</v>
      </c>
      <c r="J6036" t="s">
        <v>2510</v>
      </c>
      <c r="K6036" s="2" t="str">
        <f>HYPERLINK("http://collections.slsa.sa.gov.au/mpcimg/50250/B50223.htm")</f>
        <v>http://collections.slsa.sa.gov.au/mpcimg/50250/B50223.htm</v>
      </c>
    </row>
    <row r="6037" spans="1:11" x14ac:dyDescent="0.25">
      <c r="A6037" t="s">
        <v>20873</v>
      </c>
      <c r="B6037" s="1" t="str">
        <f>HYPERLINK("https://www.catalog.slsa.sa.gov.au/record=b2054484")</f>
        <v>https://www.catalog.slsa.sa.gov.au/record=b2054484</v>
      </c>
      <c r="C6037" s="1" t="str">
        <f>HYPERLINK("https://www.catalog.slsa.sa.gov.au/xrecord=b2054484")</f>
        <v>https://www.catalog.slsa.sa.gov.au/xrecord=b2054484</v>
      </c>
      <c r="D6037" t="s">
        <v>16831</v>
      </c>
      <c r="E6037" t="s">
        <v>15201</v>
      </c>
      <c r="F6037">
        <v>1952</v>
      </c>
      <c r="G6037" t="s">
        <v>14809</v>
      </c>
      <c r="H6037" t="s">
        <v>20874</v>
      </c>
      <c r="J6037" t="s">
        <v>20875</v>
      </c>
      <c r="K6037" s="2" t="str">
        <f>HYPERLINK("http://collections.slsa.sa.gov.au/mpcimg/12500/B12392.htm")</f>
        <v>http://collections.slsa.sa.gov.au/mpcimg/12500/B12392.htm</v>
      </c>
    </row>
    <row r="6038" spans="1:11" x14ac:dyDescent="0.25">
      <c r="A6038" t="s">
        <v>20876</v>
      </c>
      <c r="B6038" s="1" t="str">
        <f>HYPERLINK("https://www.catalog.slsa.sa.gov.au/record=b2054711")</f>
        <v>https://www.catalog.slsa.sa.gov.au/record=b2054711</v>
      </c>
      <c r="C6038" s="1" t="str">
        <f>HYPERLINK("https://www.catalog.slsa.sa.gov.au/xrecord=b2054711")</f>
        <v>https://www.catalog.slsa.sa.gov.au/xrecord=b2054711</v>
      </c>
      <c r="D6038" t="s">
        <v>16831</v>
      </c>
      <c r="E6038" t="s">
        <v>16771</v>
      </c>
      <c r="F6038">
        <v>1952</v>
      </c>
      <c r="G6038" t="s">
        <v>20877</v>
      </c>
      <c r="H6038" t="s">
        <v>20878</v>
      </c>
      <c r="I6038" t="s">
        <v>20879</v>
      </c>
      <c r="J6038" t="s">
        <v>17113</v>
      </c>
      <c r="K6038" s="2" t="str">
        <f>HYPERLINK("http://collections.slsa.sa.gov.au/mpcimg/12500/B12323.htm")</f>
        <v>http://collections.slsa.sa.gov.au/mpcimg/12500/B12323.htm</v>
      </c>
    </row>
    <row r="6039" spans="1:11" x14ac:dyDescent="0.25">
      <c r="A6039" t="s">
        <v>20880</v>
      </c>
      <c r="B6039" s="1" t="str">
        <f>HYPERLINK("https://www.catalog.slsa.sa.gov.au/record=b2054879")</f>
        <v>https://www.catalog.slsa.sa.gov.au/record=b2054879</v>
      </c>
      <c r="C6039" s="1" t="str">
        <f>HYPERLINK("https://www.catalog.slsa.sa.gov.au/xrecord=b2054879")</f>
        <v>https://www.catalog.slsa.sa.gov.au/xrecord=b2054879</v>
      </c>
      <c r="D6039" t="s">
        <v>16831</v>
      </c>
      <c r="E6039" t="s">
        <v>15201</v>
      </c>
      <c r="F6039">
        <v>1952</v>
      </c>
      <c r="G6039" t="s">
        <v>20881</v>
      </c>
      <c r="H6039" t="s">
        <v>20882</v>
      </c>
      <c r="J6039" t="s">
        <v>20883</v>
      </c>
      <c r="K6039" s="2" t="str">
        <f>HYPERLINK("http://collections.slsa.sa.gov.au/mpcimg/12500/B12282.htm")</f>
        <v>http://collections.slsa.sa.gov.au/mpcimg/12500/B12282.htm</v>
      </c>
    </row>
    <row r="6040" spans="1:11" x14ac:dyDescent="0.25">
      <c r="A6040" t="s">
        <v>20884</v>
      </c>
      <c r="B6040" s="1" t="str">
        <f>HYPERLINK("https://www.catalog.slsa.sa.gov.au/record=b2054890")</f>
        <v>https://www.catalog.slsa.sa.gov.au/record=b2054890</v>
      </c>
      <c r="C6040" s="1" t="str">
        <f>HYPERLINK("https://www.catalog.slsa.sa.gov.au/xrecord=b2054890")</f>
        <v>https://www.catalog.slsa.sa.gov.au/xrecord=b2054890</v>
      </c>
      <c r="D6040" t="s">
        <v>16831</v>
      </c>
      <c r="E6040" t="s">
        <v>20885</v>
      </c>
      <c r="F6040">
        <v>1952</v>
      </c>
      <c r="G6040" t="s">
        <v>14943</v>
      </c>
      <c r="H6040" t="s">
        <v>20886</v>
      </c>
      <c r="J6040" t="s">
        <v>20887</v>
      </c>
      <c r="K6040" s="2" t="str">
        <f>HYPERLINK("http://collections.slsa.sa.gov.au/mpcimg/12500/B12281.htm")</f>
        <v>http://collections.slsa.sa.gov.au/mpcimg/12500/B12281.htm</v>
      </c>
    </row>
    <row r="6041" spans="1:11" x14ac:dyDescent="0.25">
      <c r="A6041" t="s">
        <v>20888</v>
      </c>
      <c r="B6041" s="1" t="str">
        <f>HYPERLINK("https://www.catalog.slsa.sa.gov.au/record=b2054949")</f>
        <v>https://www.catalog.slsa.sa.gov.au/record=b2054949</v>
      </c>
      <c r="C6041" s="1" t="str">
        <f>HYPERLINK("https://www.catalog.slsa.sa.gov.au/xrecord=b2054949")</f>
        <v>https://www.catalog.slsa.sa.gov.au/xrecord=b2054949</v>
      </c>
      <c r="E6041" t="s">
        <v>15201</v>
      </c>
      <c r="F6041">
        <v>1952</v>
      </c>
      <c r="G6041" t="s">
        <v>16222</v>
      </c>
      <c r="H6041" t="s">
        <v>20889</v>
      </c>
      <c r="J6041" t="s">
        <v>18795</v>
      </c>
      <c r="K6041" s="2" t="str">
        <f>HYPERLINK("http://collections.slsa.sa.gov.au/mpcimg/29750/B29699.htm")</f>
        <v>http://collections.slsa.sa.gov.au/mpcimg/29750/B29699.htm</v>
      </c>
    </row>
    <row r="6042" spans="1:11" x14ac:dyDescent="0.25">
      <c r="A6042" t="s">
        <v>20890</v>
      </c>
      <c r="B6042" s="1" t="str">
        <f>HYPERLINK("https://www.catalog.slsa.sa.gov.au/record=b2055153")</f>
        <v>https://www.catalog.slsa.sa.gov.au/record=b2055153</v>
      </c>
      <c r="C6042" s="1" t="str">
        <f>HYPERLINK("https://www.catalog.slsa.sa.gov.au/xrecord=b2055153")</f>
        <v>https://www.catalog.slsa.sa.gov.au/xrecord=b2055153</v>
      </c>
      <c r="D6042" t="s">
        <v>16831</v>
      </c>
      <c r="E6042" t="s">
        <v>20891</v>
      </c>
      <c r="F6042">
        <v>1952</v>
      </c>
      <c r="G6042" t="s">
        <v>14943</v>
      </c>
      <c r="H6042" t="s">
        <v>20892</v>
      </c>
      <c r="J6042" t="s">
        <v>20893</v>
      </c>
      <c r="K6042" s="2" t="str">
        <f>HYPERLINK("http://collections.slsa.sa.gov.au/mpcimg/12500/B12280.htm")</f>
        <v>http://collections.slsa.sa.gov.au/mpcimg/12500/B12280.htm</v>
      </c>
    </row>
    <row r="6043" spans="1:11" x14ac:dyDescent="0.25">
      <c r="A6043" t="s">
        <v>20894</v>
      </c>
      <c r="B6043" s="1" t="str">
        <f>HYPERLINK("https://www.catalog.slsa.sa.gov.au/record=b2055244")</f>
        <v>https://www.catalog.slsa.sa.gov.au/record=b2055244</v>
      </c>
      <c r="C6043" s="1" t="str">
        <f>HYPERLINK("https://www.catalog.slsa.sa.gov.au/xrecord=b2055244")</f>
        <v>https://www.catalog.slsa.sa.gov.au/xrecord=b2055244</v>
      </c>
      <c r="D6043" t="s">
        <v>16831</v>
      </c>
      <c r="E6043" t="s">
        <v>16777</v>
      </c>
      <c r="F6043">
        <v>1952</v>
      </c>
      <c r="G6043" t="s">
        <v>20895</v>
      </c>
      <c r="H6043" t="s">
        <v>20896</v>
      </c>
      <c r="J6043" t="s">
        <v>20897</v>
      </c>
      <c r="K6043" s="2" t="str">
        <f>HYPERLINK("http://collections.slsa.sa.gov.au/mpcimg/12500/B12328.htm")</f>
        <v>http://collections.slsa.sa.gov.au/mpcimg/12500/B12328.htm</v>
      </c>
    </row>
    <row r="6044" spans="1:11" x14ac:dyDescent="0.25">
      <c r="A6044" t="s">
        <v>20898</v>
      </c>
      <c r="B6044" s="1" t="str">
        <f>HYPERLINK("https://www.catalog.slsa.sa.gov.au/record=b2055289")</f>
        <v>https://www.catalog.slsa.sa.gov.au/record=b2055289</v>
      </c>
      <c r="C6044" s="1" t="str">
        <f>HYPERLINK("https://www.catalog.slsa.sa.gov.au/xrecord=b2055289")</f>
        <v>https://www.catalog.slsa.sa.gov.au/xrecord=b2055289</v>
      </c>
      <c r="D6044" t="s">
        <v>16831</v>
      </c>
      <c r="E6044" t="s">
        <v>16777</v>
      </c>
      <c r="F6044">
        <v>1952</v>
      </c>
      <c r="G6044" t="s">
        <v>20895</v>
      </c>
      <c r="H6044" t="s">
        <v>20899</v>
      </c>
      <c r="J6044" t="s">
        <v>20900</v>
      </c>
      <c r="K6044" s="2" t="str">
        <f>HYPERLINK("http://collections.slsa.sa.gov.au/mpcimg/12500/B12333.htm")</f>
        <v>http://collections.slsa.sa.gov.au/mpcimg/12500/B12333.htm</v>
      </c>
    </row>
    <row r="6045" spans="1:11" x14ac:dyDescent="0.25">
      <c r="A6045" t="s">
        <v>20901</v>
      </c>
      <c r="B6045" s="1" t="str">
        <f>HYPERLINK("https://www.catalog.slsa.sa.gov.au/record=b2055340")</f>
        <v>https://www.catalog.slsa.sa.gov.au/record=b2055340</v>
      </c>
      <c r="C6045" s="1" t="str">
        <f>HYPERLINK("https://www.catalog.slsa.sa.gov.au/xrecord=b2055340")</f>
        <v>https://www.catalog.slsa.sa.gov.au/xrecord=b2055340</v>
      </c>
      <c r="D6045" t="s">
        <v>16831</v>
      </c>
      <c r="E6045" t="s">
        <v>16777</v>
      </c>
      <c r="F6045">
        <v>1952</v>
      </c>
      <c r="G6045" t="s">
        <v>14943</v>
      </c>
      <c r="H6045" t="s">
        <v>20902</v>
      </c>
      <c r="J6045" t="s">
        <v>17619</v>
      </c>
      <c r="K6045" s="2" t="str">
        <f>HYPERLINK("http://collections.slsa.sa.gov.au/mpcimg/12500/B12279.htm")</f>
        <v>http://collections.slsa.sa.gov.au/mpcimg/12500/B12279.htm</v>
      </c>
    </row>
    <row r="6046" spans="1:11" x14ac:dyDescent="0.25">
      <c r="A6046" t="s">
        <v>20903</v>
      </c>
      <c r="B6046" s="1" t="str">
        <f>HYPERLINK("https://www.catalog.slsa.sa.gov.au/record=b2055799")</f>
        <v>https://www.catalog.slsa.sa.gov.au/record=b2055799</v>
      </c>
      <c r="C6046" s="1" t="str">
        <f>HYPERLINK("https://www.catalog.slsa.sa.gov.au/xrecord=b2055799")</f>
        <v>https://www.catalog.slsa.sa.gov.au/xrecord=b2055799</v>
      </c>
      <c r="D6046" t="s">
        <v>16831</v>
      </c>
      <c r="E6046" t="s">
        <v>20904</v>
      </c>
      <c r="F6046">
        <v>1952</v>
      </c>
      <c r="G6046" t="s">
        <v>20895</v>
      </c>
      <c r="H6046" t="s">
        <v>20905</v>
      </c>
      <c r="J6046" t="s">
        <v>20906</v>
      </c>
      <c r="K6046" s="2" t="str">
        <f>HYPERLINK("http://collections.slsa.sa.gov.au/mpcimg/12500/B12486.htm")</f>
        <v>http://collections.slsa.sa.gov.au/mpcimg/12500/B12486.htm</v>
      </c>
    </row>
    <row r="6047" spans="1:11" x14ac:dyDescent="0.25">
      <c r="A6047" t="s">
        <v>20907</v>
      </c>
      <c r="B6047" s="1" t="str">
        <f>HYPERLINK("https://www.catalog.slsa.sa.gov.au/record=b2055991")</f>
        <v>https://www.catalog.slsa.sa.gov.au/record=b2055991</v>
      </c>
      <c r="C6047" s="1" t="str">
        <f>HYPERLINK("https://www.catalog.slsa.sa.gov.au/xrecord=b2055991")</f>
        <v>https://www.catalog.slsa.sa.gov.au/xrecord=b2055991</v>
      </c>
      <c r="D6047" t="s">
        <v>16831</v>
      </c>
      <c r="E6047" t="s">
        <v>20908</v>
      </c>
      <c r="F6047">
        <v>1952</v>
      </c>
      <c r="G6047" t="s">
        <v>20895</v>
      </c>
      <c r="H6047" t="s">
        <v>20909</v>
      </c>
      <c r="J6047" t="s">
        <v>20910</v>
      </c>
      <c r="K6047" s="2" t="str">
        <f>HYPERLINK("http://collections.slsa.sa.gov.au/mpcimg/12500/B12468.htm")</f>
        <v>http://collections.slsa.sa.gov.au/mpcimg/12500/B12468.htm</v>
      </c>
    </row>
    <row r="6048" spans="1:11" x14ac:dyDescent="0.25">
      <c r="A6048" t="s">
        <v>20911</v>
      </c>
      <c r="B6048" s="1" t="str">
        <f>HYPERLINK("https://www.catalog.slsa.sa.gov.au/record=b2056432")</f>
        <v>https://www.catalog.slsa.sa.gov.au/record=b2056432</v>
      </c>
      <c r="C6048" s="1" t="str">
        <f>HYPERLINK("https://www.catalog.slsa.sa.gov.au/xrecord=b2056432")</f>
        <v>https://www.catalog.slsa.sa.gov.au/xrecord=b2056432</v>
      </c>
      <c r="D6048" t="s">
        <v>16831</v>
      </c>
      <c r="E6048" t="s">
        <v>20912</v>
      </c>
      <c r="F6048">
        <v>1952</v>
      </c>
      <c r="G6048" t="s">
        <v>20895</v>
      </c>
      <c r="H6048" t="s">
        <v>20913</v>
      </c>
      <c r="J6048" t="s">
        <v>20914</v>
      </c>
      <c r="K6048" s="2" t="str">
        <f>HYPERLINK("http://collections.slsa.sa.gov.au/mpcimg/12500/B12356.htm")</f>
        <v>http://collections.slsa.sa.gov.au/mpcimg/12500/B12356.htm</v>
      </c>
    </row>
    <row r="6049" spans="1:11" x14ac:dyDescent="0.25">
      <c r="A6049" t="s">
        <v>20915</v>
      </c>
      <c r="B6049" s="1" t="str">
        <f>HYPERLINK("https://www.catalog.slsa.sa.gov.au/record=b2056592")</f>
        <v>https://www.catalog.slsa.sa.gov.au/record=b2056592</v>
      </c>
      <c r="C6049" s="1" t="str">
        <f>HYPERLINK("https://www.catalog.slsa.sa.gov.au/xrecord=b2056592")</f>
        <v>https://www.catalog.slsa.sa.gov.au/xrecord=b2056592</v>
      </c>
      <c r="D6049" t="s">
        <v>16831</v>
      </c>
      <c r="E6049" t="s">
        <v>16777</v>
      </c>
      <c r="F6049">
        <v>1952</v>
      </c>
      <c r="G6049" t="s">
        <v>20895</v>
      </c>
      <c r="H6049" t="s">
        <v>20916</v>
      </c>
      <c r="I6049" t="s">
        <v>20917</v>
      </c>
      <c r="J6049" t="s">
        <v>16780</v>
      </c>
      <c r="K6049" s="2" t="str">
        <f>HYPERLINK("http://collections.slsa.sa.gov.au/mpcimg/12500/B12366.htm")</f>
        <v>http://collections.slsa.sa.gov.au/mpcimg/12500/B12366.htm</v>
      </c>
    </row>
    <row r="6050" spans="1:11" x14ac:dyDescent="0.25">
      <c r="A6050" t="s">
        <v>20918</v>
      </c>
      <c r="B6050" s="1" t="str">
        <f>HYPERLINK("https://www.catalog.slsa.sa.gov.au/record=b2056827")</f>
        <v>https://www.catalog.slsa.sa.gov.au/record=b2056827</v>
      </c>
      <c r="C6050" s="1" t="str">
        <f>HYPERLINK("https://www.catalog.slsa.sa.gov.au/xrecord=b2056827")</f>
        <v>https://www.catalog.slsa.sa.gov.au/xrecord=b2056827</v>
      </c>
      <c r="D6050" t="s">
        <v>16831</v>
      </c>
      <c r="E6050" t="s">
        <v>16777</v>
      </c>
      <c r="F6050">
        <v>1952</v>
      </c>
      <c r="G6050" t="s">
        <v>20895</v>
      </c>
      <c r="H6050" t="s">
        <v>20919</v>
      </c>
      <c r="J6050" t="s">
        <v>20920</v>
      </c>
      <c r="K6050" s="2" t="str">
        <f>HYPERLINK("http://collections.slsa.sa.gov.au/mpcimg/12500/B12326.htm")</f>
        <v>http://collections.slsa.sa.gov.au/mpcimg/12500/B12326.htm</v>
      </c>
    </row>
    <row r="6051" spans="1:11" x14ac:dyDescent="0.25">
      <c r="A6051" t="s">
        <v>20921</v>
      </c>
      <c r="B6051" s="1" t="str">
        <f>HYPERLINK("https://www.catalog.slsa.sa.gov.au/record=b2056878")</f>
        <v>https://www.catalog.slsa.sa.gov.au/record=b2056878</v>
      </c>
      <c r="C6051" s="1" t="str">
        <f>HYPERLINK("https://www.catalog.slsa.sa.gov.au/xrecord=b2056878")</f>
        <v>https://www.catalog.slsa.sa.gov.au/xrecord=b2056878</v>
      </c>
      <c r="D6051" t="s">
        <v>16831</v>
      </c>
      <c r="E6051" t="s">
        <v>16791</v>
      </c>
      <c r="F6051">
        <v>1952</v>
      </c>
      <c r="G6051" t="s">
        <v>20895</v>
      </c>
      <c r="H6051" t="s">
        <v>20922</v>
      </c>
      <c r="J6051" t="s">
        <v>20923</v>
      </c>
      <c r="K6051" s="2" t="str">
        <f>HYPERLINK("http://collections.slsa.sa.gov.au/mpcimg/12500/B12476.htm")</f>
        <v>http://collections.slsa.sa.gov.au/mpcimg/12500/B12476.htm</v>
      </c>
    </row>
    <row r="6052" spans="1:11" x14ac:dyDescent="0.25">
      <c r="A6052" t="s">
        <v>20924</v>
      </c>
      <c r="B6052" s="1" t="str">
        <f>HYPERLINK("https://www.catalog.slsa.sa.gov.au/record=b2056885")</f>
        <v>https://www.catalog.slsa.sa.gov.au/record=b2056885</v>
      </c>
      <c r="C6052" s="1" t="str">
        <f>HYPERLINK("https://www.catalog.slsa.sa.gov.au/xrecord=b2056885")</f>
        <v>https://www.catalog.slsa.sa.gov.au/xrecord=b2056885</v>
      </c>
      <c r="D6052" t="s">
        <v>16831</v>
      </c>
      <c r="E6052" t="s">
        <v>20925</v>
      </c>
      <c r="F6052">
        <v>1952</v>
      </c>
      <c r="G6052" t="s">
        <v>20895</v>
      </c>
      <c r="H6052" t="s">
        <v>20926</v>
      </c>
      <c r="J6052" t="s">
        <v>20927</v>
      </c>
      <c r="K6052" s="2" t="str">
        <f>HYPERLINK("http://collections.slsa.sa.gov.au/mpcimg/12500/B12367.htm")</f>
        <v>http://collections.slsa.sa.gov.au/mpcimg/12500/B12367.htm</v>
      </c>
    </row>
    <row r="6053" spans="1:11" x14ac:dyDescent="0.25">
      <c r="A6053" t="s">
        <v>20928</v>
      </c>
      <c r="B6053" s="1" t="str">
        <f>HYPERLINK("https://www.catalog.slsa.sa.gov.au/record=b2056899")</f>
        <v>https://www.catalog.slsa.sa.gov.au/record=b2056899</v>
      </c>
      <c r="C6053" s="1" t="str">
        <f>HYPERLINK("https://www.catalog.slsa.sa.gov.au/xrecord=b2056899")</f>
        <v>https://www.catalog.slsa.sa.gov.au/xrecord=b2056899</v>
      </c>
      <c r="D6053" t="s">
        <v>16831</v>
      </c>
      <c r="E6053" t="s">
        <v>20929</v>
      </c>
      <c r="F6053">
        <v>1952</v>
      </c>
      <c r="G6053" t="s">
        <v>20895</v>
      </c>
      <c r="H6053" t="s">
        <v>20930</v>
      </c>
      <c r="J6053" t="s">
        <v>20931</v>
      </c>
      <c r="K6053" s="2" t="str">
        <f>HYPERLINK("http://collections.slsa.sa.gov.au/mpcimg/12500/B12457.htm")</f>
        <v>http://collections.slsa.sa.gov.au/mpcimg/12500/B12457.htm</v>
      </c>
    </row>
    <row r="6054" spans="1:11" x14ac:dyDescent="0.25">
      <c r="A6054" t="s">
        <v>20932</v>
      </c>
      <c r="B6054" s="1" t="str">
        <f>HYPERLINK("https://www.catalog.slsa.sa.gov.au/record=b2057036")</f>
        <v>https://www.catalog.slsa.sa.gov.au/record=b2057036</v>
      </c>
      <c r="C6054" s="1" t="str">
        <f>HYPERLINK("https://www.catalog.slsa.sa.gov.au/xrecord=b2057036")</f>
        <v>https://www.catalog.slsa.sa.gov.au/xrecord=b2057036</v>
      </c>
      <c r="D6054" t="s">
        <v>16831</v>
      </c>
      <c r="E6054" t="s">
        <v>20933</v>
      </c>
      <c r="F6054">
        <v>1952</v>
      </c>
      <c r="G6054" t="s">
        <v>16674</v>
      </c>
      <c r="H6054" t="s">
        <v>20934</v>
      </c>
      <c r="J6054" t="s">
        <v>20935</v>
      </c>
      <c r="K6054" s="2" t="str">
        <f>HYPERLINK("http://collections.slsa.sa.gov.au/mpcimg/12500/B12358.htm")</f>
        <v>http://collections.slsa.sa.gov.au/mpcimg/12500/B12358.htm</v>
      </c>
    </row>
    <row r="6055" spans="1:11" x14ac:dyDescent="0.25">
      <c r="A6055" t="s">
        <v>20936</v>
      </c>
      <c r="B6055" s="1" t="str">
        <f>HYPERLINK("https://www.catalog.slsa.sa.gov.au/record=b2057037")</f>
        <v>https://www.catalog.slsa.sa.gov.au/record=b2057037</v>
      </c>
      <c r="C6055" s="1" t="str">
        <f>HYPERLINK("https://www.catalog.slsa.sa.gov.au/xrecord=b2057037")</f>
        <v>https://www.catalog.slsa.sa.gov.au/xrecord=b2057037</v>
      </c>
      <c r="D6055" t="s">
        <v>16831</v>
      </c>
      <c r="E6055" t="s">
        <v>16791</v>
      </c>
      <c r="F6055">
        <v>1952</v>
      </c>
      <c r="G6055" t="s">
        <v>20895</v>
      </c>
      <c r="H6055" t="s">
        <v>20937</v>
      </c>
      <c r="J6055" t="s">
        <v>20935</v>
      </c>
      <c r="K6055" s="2" t="str">
        <f>HYPERLINK("http://collections.slsa.sa.gov.au/mpcimg/12500/B12477.htm")</f>
        <v>http://collections.slsa.sa.gov.au/mpcimg/12500/B12477.htm</v>
      </c>
    </row>
    <row r="6056" spans="1:11" x14ac:dyDescent="0.25">
      <c r="A6056" t="s">
        <v>20938</v>
      </c>
      <c r="B6056" s="1" t="str">
        <f>HYPERLINK("https://www.catalog.slsa.sa.gov.au/record=b2057322")</f>
        <v>https://www.catalog.slsa.sa.gov.au/record=b2057322</v>
      </c>
      <c r="C6056" s="1" t="str">
        <f>HYPERLINK("https://www.catalog.slsa.sa.gov.au/xrecord=b2057322")</f>
        <v>https://www.catalog.slsa.sa.gov.au/xrecord=b2057322</v>
      </c>
      <c r="D6056" t="s">
        <v>16831</v>
      </c>
      <c r="E6056" t="s">
        <v>16786</v>
      </c>
      <c r="F6056">
        <v>1952</v>
      </c>
      <c r="G6056" t="s">
        <v>20895</v>
      </c>
      <c r="H6056" t="s">
        <v>20939</v>
      </c>
      <c r="J6056" t="s">
        <v>20940</v>
      </c>
      <c r="K6056" s="2" t="str">
        <f>HYPERLINK("http://collections.slsa.sa.gov.au/mpcimg/12500/B12364.htm")</f>
        <v>http://collections.slsa.sa.gov.au/mpcimg/12500/B12364.htm</v>
      </c>
    </row>
    <row r="6057" spans="1:11" x14ac:dyDescent="0.25">
      <c r="A6057" t="s">
        <v>20941</v>
      </c>
      <c r="B6057" s="1" t="str">
        <f>HYPERLINK("https://www.catalog.slsa.sa.gov.au/record=b2057402")</f>
        <v>https://www.catalog.slsa.sa.gov.au/record=b2057402</v>
      </c>
      <c r="C6057" s="1" t="str">
        <f>HYPERLINK("https://www.catalog.slsa.sa.gov.au/xrecord=b2057402")</f>
        <v>https://www.catalog.slsa.sa.gov.au/xrecord=b2057402</v>
      </c>
      <c r="D6057" t="s">
        <v>16831</v>
      </c>
      <c r="E6057" t="s">
        <v>16786</v>
      </c>
      <c r="F6057">
        <v>1952</v>
      </c>
      <c r="G6057" t="s">
        <v>20895</v>
      </c>
      <c r="H6057" t="s">
        <v>20942</v>
      </c>
      <c r="J6057" t="s">
        <v>16784</v>
      </c>
      <c r="K6057" s="2" t="str">
        <f>HYPERLINK("http://collections.slsa.sa.gov.au/mpcimg/12500/B12331.htm")</f>
        <v>http://collections.slsa.sa.gov.au/mpcimg/12500/B12331.htm</v>
      </c>
    </row>
    <row r="6058" spans="1:11" x14ac:dyDescent="0.25">
      <c r="A6058" t="s">
        <v>20943</v>
      </c>
      <c r="B6058" s="1" t="str">
        <f>HYPERLINK("https://www.catalog.slsa.sa.gov.au/record=b2057403")</f>
        <v>https://www.catalog.slsa.sa.gov.au/record=b2057403</v>
      </c>
      <c r="C6058" s="1" t="str">
        <f>HYPERLINK("https://www.catalog.slsa.sa.gov.au/xrecord=b2057403")</f>
        <v>https://www.catalog.slsa.sa.gov.au/xrecord=b2057403</v>
      </c>
      <c r="D6058" t="s">
        <v>16831</v>
      </c>
      <c r="E6058" t="s">
        <v>16786</v>
      </c>
      <c r="F6058">
        <v>1952</v>
      </c>
      <c r="G6058" t="s">
        <v>20895</v>
      </c>
      <c r="H6058" t="s">
        <v>20944</v>
      </c>
      <c r="J6058" t="s">
        <v>16784</v>
      </c>
      <c r="K6058" s="2" t="str">
        <f>HYPERLINK("http://collections.slsa.sa.gov.au/mpcimg/12500/B12346.htm")</f>
        <v>http://collections.slsa.sa.gov.au/mpcimg/12500/B12346.htm</v>
      </c>
    </row>
    <row r="6059" spans="1:11" x14ac:dyDescent="0.25">
      <c r="A6059" t="s">
        <v>20945</v>
      </c>
      <c r="B6059" s="1" t="str">
        <f>HYPERLINK("https://www.catalog.slsa.sa.gov.au/record=b2057430")</f>
        <v>https://www.catalog.slsa.sa.gov.au/record=b2057430</v>
      </c>
      <c r="C6059" s="1" t="str">
        <f>HYPERLINK("https://www.catalog.slsa.sa.gov.au/xrecord=b2057430")</f>
        <v>https://www.catalog.slsa.sa.gov.au/xrecord=b2057430</v>
      </c>
      <c r="D6059" t="s">
        <v>16831</v>
      </c>
      <c r="E6059" t="s">
        <v>16786</v>
      </c>
      <c r="F6059">
        <v>1952</v>
      </c>
      <c r="G6059" t="s">
        <v>14809</v>
      </c>
      <c r="H6059" t="s">
        <v>20946</v>
      </c>
      <c r="J6059" t="s">
        <v>20947</v>
      </c>
      <c r="K6059" s="2" t="str">
        <f>HYPERLINK("http://collections.slsa.sa.gov.au/mpcimg/12500/B12365.htm")</f>
        <v>http://collections.slsa.sa.gov.au/mpcimg/12500/B12365.htm</v>
      </c>
    </row>
    <row r="6060" spans="1:11" x14ac:dyDescent="0.25">
      <c r="A6060" t="s">
        <v>20948</v>
      </c>
      <c r="B6060" s="1" t="str">
        <f>HYPERLINK("https://www.catalog.slsa.sa.gov.au/record=b2057473")</f>
        <v>https://www.catalog.slsa.sa.gov.au/record=b2057473</v>
      </c>
      <c r="C6060" s="1" t="str">
        <f>HYPERLINK("https://www.catalog.slsa.sa.gov.au/xrecord=b2057473")</f>
        <v>https://www.catalog.slsa.sa.gov.au/xrecord=b2057473</v>
      </c>
      <c r="D6060" t="s">
        <v>16831</v>
      </c>
      <c r="E6060" t="s">
        <v>16786</v>
      </c>
      <c r="F6060">
        <v>1952</v>
      </c>
      <c r="G6060" t="s">
        <v>20895</v>
      </c>
      <c r="H6060" t="s">
        <v>20949</v>
      </c>
      <c r="J6060" t="s">
        <v>20950</v>
      </c>
      <c r="K6060" s="2" t="str">
        <f>HYPERLINK("http://collections.slsa.sa.gov.au/mpcimg/12500/B12363.htm")</f>
        <v>http://collections.slsa.sa.gov.au/mpcimg/12500/B12363.htm</v>
      </c>
    </row>
    <row r="6061" spans="1:11" x14ac:dyDescent="0.25">
      <c r="A6061" t="s">
        <v>20951</v>
      </c>
      <c r="B6061" s="1" t="str">
        <f>HYPERLINK("https://www.catalog.slsa.sa.gov.au/record=b2057486")</f>
        <v>https://www.catalog.slsa.sa.gov.au/record=b2057486</v>
      </c>
      <c r="C6061" s="1" t="str">
        <f>HYPERLINK("https://www.catalog.slsa.sa.gov.au/xrecord=b2057486")</f>
        <v>https://www.catalog.slsa.sa.gov.au/xrecord=b2057486</v>
      </c>
      <c r="D6061" t="s">
        <v>16831</v>
      </c>
      <c r="E6061" t="s">
        <v>16786</v>
      </c>
      <c r="F6061">
        <v>1952</v>
      </c>
      <c r="G6061" t="s">
        <v>14809</v>
      </c>
      <c r="H6061" t="s">
        <v>20952</v>
      </c>
      <c r="J6061" t="s">
        <v>20953</v>
      </c>
      <c r="K6061" s="2" t="str">
        <f>HYPERLINK("http://collections.slsa.sa.gov.au/mpcimg/12500/B12362.htm")</f>
        <v>http://collections.slsa.sa.gov.au/mpcimg/12500/B12362.htm</v>
      </c>
    </row>
    <row r="6062" spans="1:11" x14ac:dyDescent="0.25">
      <c r="A6062" t="s">
        <v>20954</v>
      </c>
      <c r="B6062" s="1" t="str">
        <f>HYPERLINK("https://www.catalog.slsa.sa.gov.au/record=b2057801")</f>
        <v>https://www.catalog.slsa.sa.gov.au/record=b2057801</v>
      </c>
      <c r="C6062" s="1" t="str">
        <f>HYPERLINK("https://www.catalog.slsa.sa.gov.au/xrecord=b2057801")</f>
        <v>https://www.catalog.slsa.sa.gov.au/xrecord=b2057801</v>
      </c>
      <c r="D6062" t="s">
        <v>16831</v>
      </c>
      <c r="E6062" t="s">
        <v>15183</v>
      </c>
      <c r="F6062">
        <v>1952</v>
      </c>
      <c r="G6062" t="s">
        <v>20895</v>
      </c>
      <c r="H6062" t="s">
        <v>20955</v>
      </c>
      <c r="J6062" t="s">
        <v>20956</v>
      </c>
      <c r="K6062" s="2" t="str">
        <f>HYPERLINK("http://collections.slsa.sa.gov.au/mpcimg/12500/B12456.htm")</f>
        <v>http://collections.slsa.sa.gov.au/mpcimg/12500/B12456.htm</v>
      </c>
    </row>
    <row r="6063" spans="1:11" x14ac:dyDescent="0.25">
      <c r="A6063" t="s">
        <v>20957</v>
      </c>
      <c r="B6063" s="1" t="str">
        <f>HYPERLINK("https://www.catalog.slsa.sa.gov.au/record=b2057873")</f>
        <v>https://www.catalog.slsa.sa.gov.au/record=b2057873</v>
      </c>
      <c r="C6063" s="1" t="str">
        <f>HYPERLINK("https://www.catalog.slsa.sa.gov.au/xrecord=b2057873")</f>
        <v>https://www.catalog.slsa.sa.gov.au/xrecord=b2057873</v>
      </c>
      <c r="D6063" t="s">
        <v>16831</v>
      </c>
      <c r="E6063" t="s">
        <v>16796</v>
      </c>
      <c r="F6063">
        <v>1952</v>
      </c>
      <c r="G6063" t="s">
        <v>20895</v>
      </c>
      <c r="H6063" t="s">
        <v>20958</v>
      </c>
      <c r="J6063" t="s">
        <v>20959</v>
      </c>
      <c r="K6063" s="2" t="str">
        <f>HYPERLINK("http://collections.slsa.sa.gov.au/mpcimg/12500/B12492.htm")</f>
        <v>http://collections.slsa.sa.gov.au/mpcimg/12500/B12492.htm</v>
      </c>
    </row>
    <row r="6064" spans="1:11" x14ac:dyDescent="0.25">
      <c r="A6064" t="s">
        <v>20960</v>
      </c>
      <c r="B6064" s="1" t="str">
        <f>HYPERLINK("https://www.catalog.slsa.sa.gov.au/record=b2057909")</f>
        <v>https://www.catalog.slsa.sa.gov.au/record=b2057909</v>
      </c>
      <c r="C6064" s="1" t="str">
        <f>HYPERLINK("https://www.catalog.slsa.sa.gov.au/xrecord=b2057909")</f>
        <v>https://www.catalog.slsa.sa.gov.au/xrecord=b2057909</v>
      </c>
      <c r="D6064" t="s">
        <v>16831</v>
      </c>
      <c r="E6064" t="s">
        <v>15183</v>
      </c>
      <c r="F6064">
        <v>1952</v>
      </c>
      <c r="G6064" t="s">
        <v>20895</v>
      </c>
      <c r="H6064" t="s">
        <v>20961</v>
      </c>
      <c r="J6064" t="s">
        <v>20962</v>
      </c>
      <c r="K6064" s="2" t="str">
        <f>HYPERLINK("http://collections.slsa.sa.gov.au/mpcimg/12500/B12327.htm")</f>
        <v>http://collections.slsa.sa.gov.au/mpcimg/12500/B12327.htm</v>
      </c>
    </row>
    <row r="6065" spans="1:11" x14ac:dyDescent="0.25">
      <c r="A6065" t="s">
        <v>20963</v>
      </c>
      <c r="B6065" s="1" t="str">
        <f>HYPERLINK("https://www.catalog.slsa.sa.gov.au/record=b2057999")</f>
        <v>https://www.catalog.slsa.sa.gov.au/record=b2057999</v>
      </c>
      <c r="C6065" s="1" t="str">
        <f>HYPERLINK("https://www.catalog.slsa.sa.gov.au/xrecord=b2057999")</f>
        <v>https://www.catalog.slsa.sa.gov.au/xrecord=b2057999</v>
      </c>
      <c r="D6065" t="s">
        <v>16831</v>
      </c>
      <c r="E6065" t="s">
        <v>20933</v>
      </c>
      <c r="F6065">
        <v>1952</v>
      </c>
      <c r="G6065" t="s">
        <v>20895</v>
      </c>
      <c r="H6065" t="s">
        <v>20964</v>
      </c>
      <c r="J6065" t="s">
        <v>20965</v>
      </c>
      <c r="K6065" s="2" t="str">
        <f>HYPERLINK("http://collections.slsa.sa.gov.au/mpcimg/12500/B12357.htm")</f>
        <v>http://collections.slsa.sa.gov.au/mpcimg/12500/B12357.htm</v>
      </c>
    </row>
    <row r="6066" spans="1:11" x14ac:dyDescent="0.25">
      <c r="A6066" t="s">
        <v>20966</v>
      </c>
      <c r="B6066" s="1" t="str">
        <f>HYPERLINK("https://www.catalog.slsa.sa.gov.au/record=b2058026")</f>
        <v>https://www.catalog.slsa.sa.gov.au/record=b2058026</v>
      </c>
      <c r="C6066" s="1" t="str">
        <f>HYPERLINK("https://www.catalog.slsa.sa.gov.au/xrecord=b2058026")</f>
        <v>https://www.catalog.slsa.sa.gov.au/xrecord=b2058026</v>
      </c>
      <c r="D6066" t="s">
        <v>16831</v>
      </c>
      <c r="E6066" t="s">
        <v>16796</v>
      </c>
      <c r="F6066">
        <v>1952</v>
      </c>
      <c r="G6066" t="s">
        <v>20895</v>
      </c>
      <c r="H6066" t="s">
        <v>20967</v>
      </c>
      <c r="J6066" t="s">
        <v>16799</v>
      </c>
      <c r="K6066" s="2" t="str">
        <f>HYPERLINK("http://collections.slsa.sa.gov.au/mpcimg/12500/B12332.htm")</f>
        <v>http://collections.slsa.sa.gov.au/mpcimg/12500/B12332.htm</v>
      </c>
    </row>
    <row r="6067" spans="1:11" x14ac:dyDescent="0.25">
      <c r="A6067" t="s">
        <v>20968</v>
      </c>
      <c r="B6067" s="1" t="str">
        <f>HYPERLINK("https://www.catalog.slsa.sa.gov.au/record=b2058296")</f>
        <v>https://www.catalog.slsa.sa.gov.au/record=b2058296</v>
      </c>
      <c r="C6067" s="1" t="str">
        <f>HYPERLINK("https://www.catalog.slsa.sa.gov.au/xrecord=b2058296")</f>
        <v>https://www.catalog.slsa.sa.gov.au/xrecord=b2058296</v>
      </c>
      <c r="D6067" t="s">
        <v>20969</v>
      </c>
      <c r="E6067" t="s">
        <v>20970</v>
      </c>
      <c r="F6067">
        <v>1952</v>
      </c>
      <c r="G6067" t="s">
        <v>20895</v>
      </c>
      <c r="H6067" t="s">
        <v>20971</v>
      </c>
      <c r="J6067" t="s">
        <v>20972</v>
      </c>
      <c r="K6067" s="2" t="str">
        <f>HYPERLINK("http://collections.slsa.sa.gov.au/mpcimg/12500/B12347.htm")</f>
        <v>http://collections.slsa.sa.gov.au/mpcimg/12500/B12347.htm</v>
      </c>
    </row>
    <row r="6068" spans="1:11" x14ac:dyDescent="0.25">
      <c r="A6068" t="s">
        <v>20973</v>
      </c>
      <c r="B6068" s="1" t="str">
        <f>HYPERLINK("https://www.catalog.slsa.sa.gov.au/record=b2058308")</f>
        <v>https://www.catalog.slsa.sa.gov.au/record=b2058308</v>
      </c>
      <c r="C6068" s="1" t="str">
        <f>HYPERLINK("https://www.catalog.slsa.sa.gov.au/xrecord=b2058308")</f>
        <v>https://www.catalog.slsa.sa.gov.au/xrecord=b2058308</v>
      </c>
      <c r="D6068" t="s">
        <v>16831</v>
      </c>
      <c r="E6068" t="s">
        <v>20974</v>
      </c>
      <c r="F6068">
        <v>1952</v>
      </c>
      <c r="G6068" t="s">
        <v>20895</v>
      </c>
      <c r="H6068" t="s">
        <v>20975</v>
      </c>
      <c r="J6068" t="s">
        <v>20976</v>
      </c>
      <c r="K6068" s="2" t="str">
        <f>HYPERLINK("http://collections.slsa.sa.gov.au/mpcimg/12500/B12490.htm")</f>
        <v>http://collections.slsa.sa.gov.au/mpcimg/12500/B12490.htm</v>
      </c>
    </row>
    <row r="6069" spans="1:11" x14ac:dyDescent="0.25">
      <c r="A6069" t="s">
        <v>20977</v>
      </c>
      <c r="B6069" s="1" t="str">
        <f>HYPERLINK("https://www.catalog.slsa.sa.gov.au/record=b2058309")</f>
        <v>https://www.catalog.slsa.sa.gov.au/record=b2058309</v>
      </c>
      <c r="C6069" s="1" t="str">
        <f>HYPERLINK("https://www.catalog.slsa.sa.gov.au/xrecord=b2058309")</f>
        <v>https://www.catalog.slsa.sa.gov.au/xrecord=b2058309</v>
      </c>
      <c r="D6069" t="s">
        <v>16831</v>
      </c>
      <c r="E6069" t="s">
        <v>20974</v>
      </c>
      <c r="F6069">
        <v>1952</v>
      </c>
      <c r="G6069" t="s">
        <v>16674</v>
      </c>
      <c r="H6069" t="s">
        <v>20978</v>
      </c>
      <c r="J6069" t="s">
        <v>20976</v>
      </c>
      <c r="K6069" s="2" t="str">
        <f>HYPERLINK("http://collections.slsa.sa.gov.au/mpcimg/12750/B12508.htm")</f>
        <v>http://collections.slsa.sa.gov.au/mpcimg/12750/B12508.htm</v>
      </c>
    </row>
    <row r="6070" spans="1:11" x14ac:dyDescent="0.25">
      <c r="A6070" t="s">
        <v>20979</v>
      </c>
      <c r="B6070" s="1" t="str">
        <f>HYPERLINK("https://www.catalog.slsa.sa.gov.au/record=b2058341")</f>
        <v>https://www.catalog.slsa.sa.gov.au/record=b2058341</v>
      </c>
      <c r="C6070" s="1" t="str">
        <f>HYPERLINK("https://www.catalog.slsa.sa.gov.au/xrecord=b2058341")</f>
        <v>https://www.catalog.slsa.sa.gov.au/xrecord=b2058341</v>
      </c>
      <c r="D6070" t="s">
        <v>16831</v>
      </c>
      <c r="E6070" t="s">
        <v>20970</v>
      </c>
      <c r="F6070">
        <v>1952</v>
      </c>
      <c r="G6070" t="s">
        <v>20895</v>
      </c>
      <c r="H6070" t="s">
        <v>20980</v>
      </c>
      <c r="J6070" t="s">
        <v>20981</v>
      </c>
      <c r="K6070" s="2" t="str">
        <f>HYPERLINK("http://collections.slsa.sa.gov.au/mpcimg/12500/B12348.htm")</f>
        <v>http://collections.slsa.sa.gov.au/mpcimg/12500/B12348.htm</v>
      </c>
    </row>
    <row r="6071" spans="1:11" x14ac:dyDescent="0.25">
      <c r="A6071" t="s">
        <v>20982</v>
      </c>
      <c r="B6071" s="1" t="str">
        <f>HYPERLINK("https://www.catalog.slsa.sa.gov.au/record=b2058364")</f>
        <v>https://www.catalog.slsa.sa.gov.au/record=b2058364</v>
      </c>
      <c r="C6071" s="1" t="str">
        <f>HYPERLINK("https://www.catalog.slsa.sa.gov.au/xrecord=b2058364")</f>
        <v>https://www.catalog.slsa.sa.gov.au/xrecord=b2058364</v>
      </c>
      <c r="D6071" t="s">
        <v>16831</v>
      </c>
      <c r="E6071" t="s">
        <v>20970</v>
      </c>
      <c r="F6071">
        <v>1952</v>
      </c>
      <c r="G6071" t="s">
        <v>20895</v>
      </c>
      <c r="H6071" t="s">
        <v>20983</v>
      </c>
      <c r="J6071" t="s">
        <v>20984</v>
      </c>
      <c r="K6071" s="2" t="str">
        <f>HYPERLINK("http://collections.slsa.sa.gov.au/mpcimg/12500/B12330.htm")</f>
        <v>http://collections.slsa.sa.gov.au/mpcimg/12500/B12330.htm</v>
      </c>
    </row>
    <row r="6072" spans="1:11" x14ac:dyDescent="0.25">
      <c r="A6072" t="s">
        <v>20985</v>
      </c>
      <c r="B6072" s="1" t="str">
        <f>HYPERLINK("https://www.catalog.slsa.sa.gov.au/record=b2058404")</f>
        <v>https://www.catalog.slsa.sa.gov.au/record=b2058404</v>
      </c>
      <c r="C6072" s="1" t="str">
        <f>HYPERLINK("https://www.catalog.slsa.sa.gov.au/xrecord=b2058404")</f>
        <v>https://www.catalog.slsa.sa.gov.au/xrecord=b2058404</v>
      </c>
      <c r="D6072" t="s">
        <v>16831</v>
      </c>
      <c r="E6072" t="s">
        <v>20970</v>
      </c>
      <c r="F6072">
        <v>1952</v>
      </c>
      <c r="G6072" t="s">
        <v>20895</v>
      </c>
      <c r="H6072" t="s">
        <v>20986</v>
      </c>
      <c r="J6072" t="s">
        <v>20987</v>
      </c>
      <c r="K6072" s="2" t="str">
        <f>HYPERLINK("http://collections.slsa.sa.gov.au/mpcimg/12500/B12349.htm")</f>
        <v>http://collections.slsa.sa.gov.au/mpcimg/12500/B12349.htm</v>
      </c>
    </row>
    <row r="6073" spans="1:11" x14ac:dyDescent="0.25">
      <c r="A6073" t="s">
        <v>20988</v>
      </c>
      <c r="B6073" s="1" t="str">
        <f>HYPERLINK("https://www.catalog.slsa.sa.gov.au/record=b2058622")</f>
        <v>https://www.catalog.slsa.sa.gov.au/record=b2058622</v>
      </c>
      <c r="C6073" s="1" t="str">
        <f>HYPERLINK("https://www.catalog.slsa.sa.gov.au/xrecord=b2058622")</f>
        <v>https://www.catalog.slsa.sa.gov.au/xrecord=b2058622</v>
      </c>
      <c r="E6073" t="s">
        <v>20989</v>
      </c>
      <c r="F6073">
        <v>1952</v>
      </c>
      <c r="G6073" t="s">
        <v>20990</v>
      </c>
      <c r="H6073" t="s">
        <v>20991</v>
      </c>
      <c r="J6073" t="s">
        <v>16812</v>
      </c>
      <c r="K6073" s="2" t="str">
        <f>HYPERLINK("http://collections.slsa.sa.gov.au/mpcimg/30500/B30348.htm")</f>
        <v>http://collections.slsa.sa.gov.au/mpcimg/30500/B30348.htm</v>
      </c>
    </row>
    <row r="6074" spans="1:11" x14ac:dyDescent="0.25">
      <c r="A6074" t="s">
        <v>20992</v>
      </c>
      <c r="B6074" s="1" t="str">
        <f>HYPERLINK("https://www.catalog.slsa.sa.gov.au/record=b2058747")</f>
        <v>https://www.catalog.slsa.sa.gov.au/record=b2058747</v>
      </c>
      <c r="C6074" s="1" t="str">
        <f>HYPERLINK("https://www.catalog.slsa.sa.gov.au/xrecord=b2058747")</f>
        <v>https://www.catalog.slsa.sa.gov.au/xrecord=b2058747</v>
      </c>
      <c r="D6074" t="s">
        <v>16831</v>
      </c>
      <c r="E6074" t="s">
        <v>20933</v>
      </c>
      <c r="F6074">
        <v>1952</v>
      </c>
      <c r="G6074" t="s">
        <v>20895</v>
      </c>
      <c r="H6074" t="s">
        <v>20993</v>
      </c>
      <c r="J6074" t="s">
        <v>20994</v>
      </c>
      <c r="K6074" s="2" t="str">
        <f>HYPERLINK("http://collections.slsa.sa.gov.au/mpcimg/12500/B12359.htm")</f>
        <v>http://collections.slsa.sa.gov.au/mpcimg/12500/B12359.htm</v>
      </c>
    </row>
    <row r="6075" spans="1:11" x14ac:dyDescent="0.25">
      <c r="A6075" t="s">
        <v>20995</v>
      </c>
      <c r="B6075" s="1" t="str">
        <f>HYPERLINK("https://www.catalog.slsa.sa.gov.au/record=b2058800")</f>
        <v>https://www.catalog.slsa.sa.gov.au/record=b2058800</v>
      </c>
      <c r="C6075" s="1" t="str">
        <f>HYPERLINK("https://www.catalog.slsa.sa.gov.au/xrecord=b2058800")</f>
        <v>https://www.catalog.slsa.sa.gov.au/xrecord=b2058800</v>
      </c>
      <c r="D6075" t="s">
        <v>16831</v>
      </c>
      <c r="E6075" t="s">
        <v>16796</v>
      </c>
      <c r="F6075">
        <v>1952</v>
      </c>
      <c r="G6075" t="s">
        <v>20895</v>
      </c>
      <c r="H6075" t="s">
        <v>20996</v>
      </c>
      <c r="J6075" t="s">
        <v>20997</v>
      </c>
      <c r="K6075" s="2" t="str">
        <f>HYPERLINK("http://collections.slsa.sa.gov.au/mpcimg/12500/B12465.htm")</f>
        <v>http://collections.slsa.sa.gov.au/mpcimg/12500/B12465.htm</v>
      </c>
    </row>
    <row r="6076" spans="1:11" x14ac:dyDescent="0.25">
      <c r="A6076" t="s">
        <v>20998</v>
      </c>
      <c r="B6076" s="1" t="str">
        <f>HYPERLINK("https://www.catalog.slsa.sa.gov.au/record=b2058823")</f>
        <v>https://www.catalog.slsa.sa.gov.au/record=b2058823</v>
      </c>
      <c r="C6076" s="1" t="str">
        <f>HYPERLINK("https://www.catalog.slsa.sa.gov.au/xrecord=b2058823")</f>
        <v>https://www.catalog.slsa.sa.gov.au/xrecord=b2058823</v>
      </c>
      <c r="D6076" t="s">
        <v>16831</v>
      </c>
      <c r="E6076" t="s">
        <v>16796</v>
      </c>
      <c r="F6076">
        <v>1952</v>
      </c>
      <c r="G6076" t="s">
        <v>20895</v>
      </c>
      <c r="H6076" t="s">
        <v>20999</v>
      </c>
      <c r="J6076" t="s">
        <v>21000</v>
      </c>
      <c r="K6076" s="2" t="str">
        <f>HYPERLINK("http://collections.slsa.sa.gov.au/mpcimg/12500/B12467.htm")</f>
        <v>http://collections.slsa.sa.gov.au/mpcimg/12500/B12467.htm</v>
      </c>
    </row>
    <row r="6077" spans="1:11" x14ac:dyDescent="0.25">
      <c r="A6077" t="s">
        <v>21001</v>
      </c>
      <c r="B6077" s="1" t="str">
        <f>HYPERLINK("https://www.catalog.slsa.sa.gov.au/record=b2058863")</f>
        <v>https://www.catalog.slsa.sa.gov.au/record=b2058863</v>
      </c>
      <c r="C6077" s="1" t="str">
        <f>HYPERLINK("https://www.catalog.slsa.sa.gov.au/xrecord=b2058863")</f>
        <v>https://www.catalog.slsa.sa.gov.au/xrecord=b2058863</v>
      </c>
      <c r="D6077" t="s">
        <v>16831</v>
      </c>
      <c r="E6077" t="s">
        <v>16796</v>
      </c>
      <c r="F6077">
        <v>1952</v>
      </c>
      <c r="G6077" t="s">
        <v>20895</v>
      </c>
      <c r="H6077" t="s">
        <v>21002</v>
      </c>
      <c r="J6077" t="s">
        <v>21003</v>
      </c>
      <c r="K6077" s="2" t="str">
        <f>HYPERLINK("http://collections.slsa.sa.gov.au/mpcimg/12500/B12498.htm")</f>
        <v>http://collections.slsa.sa.gov.au/mpcimg/12500/B12498.htm</v>
      </c>
    </row>
    <row r="6078" spans="1:11" x14ac:dyDescent="0.25">
      <c r="A6078" t="s">
        <v>21004</v>
      </c>
      <c r="B6078" s="1" t="str">
        <f>HYPERLINK("https://www.catalog.slsa.sa.gov.au/record=b2058901")</f>
        <v>https://www.catalog.slsa.sa.gov.au/record=b2058901</v>
      </c>
      <c r="C6078" s="1" t="str">
        <f>HYPERLINK("https://www.catalog.slsa.sa.gov.au/xrecord=b2058901")</f>
        <v>https://www.catalog.slsa.sa.gov.au/xrecord=b2058901</v>
      </c>
      <c r="D6078" t="s">
        <v>16831</v>
      </c>
      <c r="E6078" t="s">
        <v>15191</v>
      </c>
      <c r="F6078">
        <v>1952</v>
      </c>
      <c r="G6078" t="s">
        <v>20895</v>
      </c>
      <c r="H6078" t="s">
        <v>21005</v>
      </c>
      <c r="J6078" t="s">
        <v>21006</v>
      </c>
      <c r="K6078" s="2" t="str">
        <f>HYPERLINK("http://collections.slsa.sa.gov.au/mpcimg/12500/B12353.htm")</f>
        <v>http://collections.slsa.sa.gov.au/mpcimg/12500/B12353.htm</v>
      </c>
    </row>
    <row r="6079" spans="1:11" x14ac:dyDescent="0.25">
      <c r="A6079" t="s">
        <v>21007</v>
      </c>
      <c r="B6079" s="1" t="str">
        <f>HYPERLINK("https://www.catalog.slsa.sa.gov.au/record=b2058929")</f>
        <v>https://www.catalog.slsa.sa.gov.au/record=b2058929</v>
      </c>
      <c r="C6079" s="1" t="str">
        <f>HYPERLINK("https://www.catalog.slsa.sa.gov.au/xrecord=b2058929")</f>
        <v>https://www.catalog.slsa.sa.gov.au/xrecord=b2058929</v>
      </c>
      <c r="E6079" t="s">
        <v>15191</v>
      </c>
      <c r="F6079">
        <v>1952</v>
      </c>
      <c r="G6079" t="s">
        <v>20895</v>
      </c>
      <c r="H6079" t="s">
        <v>21008</v>
      </c>
      <c r="J6079" t="s">
        <v>21009</v>
      </c>
      <c r="K6079" s="2" t="str">
        <f>HYPERLINK("http://collections.slsa.sa.gov.au/mpcimg/12500/B12478.htm")</f>
        <v>http://collections.slsa.sa.gov.au/mpcimg/12500/B12478.htm</v>
      </c>
    </row>
    <row r="6080" spans="1:11" x14ac:dyDescent="0.25">
      <c r="A6080" t="s">
        <v>21010</v>
      </c>
      <c r="B6080" s="1" t="str">
        <f>HYPERLINK("https://www.catalog.slsa.sa.gov.au/record=b2058950")</f>
        <v>https://www.catalog.slsa.sa.gov.au/record=b2058950</v>
      </c>
      <c r="C6080" s="1" t="str">
        <f>HYPERLINK("https://www.catalog.slsa.sa.gov.au/xrecord=b2058950")</f>
        <v>https://www.catalog.slsa.sa.gov.au/xrecord=b2058950</v>
      </c>
      <c r="D6080" t="s">
        <v>16831</v>
      </c>
      <c r="E6080" t="s">
        <v>15191</v>
      </c>
      <c r="F6080">
        <v>1952</v>
      </c>
      <c r="G6080" t="s">
        <v>20895</v>
      </c>
      <c r="H6080" t="s">
        <v>21011</v>
      </c>
      <c r="J6080" t="s">
        <v>21012</v>
      </c>
      <c r="K6080" s="2" t="str">
        <f>HYPERLINK("http://collections.slsa.sa.gov.au/mpcimg/12500/B12368.htm")</f>
        <v>http://collections.slsa.sa.gov.au/mpcimg/12500/B12368.htm</v>
      </c>
    </row>
    <row r="6081" spans="1:11" x14ac:dyDescent="0.25">
      <c r="A6081" t="s">
        <v>21013</v>
      </c>
      <c r="B6081" s="1" t="str">
        <f>HYPERLINK("https://www.catalog.slsa.sa.gov.au/record=b2058973")</f>
        <v>https://www.catalog.slsa.sa.gov.au/record=b2058973</v>
      </c>
      <c r="C6081" s="1" t="str">
        <f>HYPERLINK("https://www.catalog.slsa.sa.gov.au/xrecord=b2058973")</f>
        <v>https://www.catalog.slsa.sa.gov.au/xrecord=b2058973</v>
      </c>
      <c r="D6081" t="s">
        <v>16831</v>
      </c>
      <c r="E6081" t="s">
        <v>21014</v>
      </c>
      <c r="F6081">
        <v>1952</v>
      </c>
      <c r="G6081" t="s">
        <v>20895</v>
      </c>
      <c r="H6081" t="s">
        <v>21015</v>
      </c>
      <c r="J6081" t="s">
        <v>21016</v>
      </c>
      <c r="K6081" s="2" t="str">
        <f>HYPERLINK("http://collections.slsa.sa.gov.au/mpcimg/12500/B12458.htm")</f>
        <v>http://collections.slsa.sa.gov.au/mpcimg/12500/B12458.htm</v>
      </c>
    </row>
    <row r="6082" spans="1:11" x14ac:dyDescent="0.25">
      <c r="A6082" t="s">
        <v>21017</v>
      </c>
      <c r="B6082" s="1" t="str">
        <f>HYPERLINK("https://www.catalog.slsa.sa.gov.au/record=b2058974")</f>
        <v>https://www.catalog.slsa.sa.gov.au/record=b2058974</v>
      </c>
      <c r="C6082" s="1" t="str">
        <f>HYPERLINK("https://www.catalog.slsa.sa.gov.au/xrecord=b2058974")</f>
        <v>https://www.catalog.slsa.sa.gov.au/xrecord=b2058974</v>
      </c>
      <c r="D6082" t="s">
        <v>16831</v>
      </c>
      <c r="E6082" t="s">
        <v>21014</v>
      </c>
      <c r="F6082">
        <v>1952</v>
      </c>
      <c r="G6082" t="s">
        <v>20895</v>
      </c>
      <c r="H6082" t="s">
        <v>21018</v>
      </c>
      <c r="J6082" t="s">
        <v>21016</v>
      </c>
      <c r="K6082" s="2" t="str">
        <f>HYPERLINK("http://collections.slsa.sa.gov.au/mpcimg/12500/B12460.htm")</f>
        <v>http://collections.slsa.sa.gov.au/mpcimg/12500/B12460.htm</v>
      </c>
    </row>
    <row r="6083" spans="1:11" x14ac:dyDescent="0.25">
      <c r="A6083" t="s">
        <v>21019</v>
      </c>
      <c r="B6083" s="1" t="str">
        <f>HYPERLINK("https://www.catalog.slsa.sa.gov.au/record=b2059084")</f>
        <v>https://www.catalog.slsa.sa.gov.au/record=b2059084</v>
      </c>
      <c r="C6083" s="1" t="str">
        <f>HYPERLINK("https://www.catalog.slsa.sa.gov.au/xrecord=b2059084")</f>
        <v>https://www.catalog.slsa.sa.gov.au/xrecord=b2059084</v>
      </c>
      <c r="D6083" t="s">
        <v>16831</v>
      </c>
      <c r="E6083" t="s">
        <v>15191</v>
      </c>
      <c r="F6083">
        <v>1952</v>
      </c>
      <c r="G6083" t="s">
        <v>20895</v>
      </c>
      <c r="H6083" t="s">
        <v>21020</v>
      </c>
      <c r="J6083" t="s">
        <v>21021</v>
      </c>
      <c r="K6083" s="2" t="str">
        <f>HYPERLINK("http://collections.slsa.sa.gov.au/mpcimg/12500/B12350.htm")</f>
        <v>http://collections.slsa.sa.gov.au/mpcimg/12500/B12350.htm</v>
      </c>
    </row>
    <row r="6084" spans="1:11" x14ac:dyDescent="0.25">
      <c r="A6084" t="s">
        <v>21022</v>
      </c>
      <c r="B6084" s="1" t="str">
        <f>HYPERLINK("https://www.catalog.slsa.sa.gov.au/record=b2059085")</f>
        <v>https://www.catalog.slsa.sa.gov.au/record=b2059085</v>
      </c>
      <c r="C6084" s="1" t="str">
        <f>HYPERLINK("https://www.catalog.slsa.sa.gov.au/xrecord=b2059085")</f>
        <v>https://www.catalog.slsa.sa.gov.au/xrecord=b2059085</v>
      </c>
      <c r="D6084" t="s">
        <v>16831</v>
      </c>
      <c r="E6084" t="s">
        <v>15191</v>
      </c>
      <c r="F6084">
        <v>1952</v>
      </c>
      <c r="G6084" t="s">
        <v>20895</v>
      </c>
      <c r="H6084" t="s">
        <v>21023</v>
      </c>
      <c r="J6084" t="s">
        <v>21021</v>
      </c>
      <c r="K6084" s="2" t="str">
        <f>HYPERLINK("http://collections.slsa.sa.gov.au/mpcimg/12500/B12480.htm")</f>
        <v>http://collections.slsa.sa.gov.au/mpcimg/12500/B12480.htm</v>
      </c>
    </row>
    <row r="6085" spans="1:11" x14ac:dyDescent="0.25">
      <c r="A6085" t="s">
        <v>21024</v>
      </c>
      <c r="B6085" s="1" t="str">
        <f>HYPERLINK("https://www.catalog.slsa.sa.gov.au/record=b2059121")</f>
        <v>https://www.catalog.slsa.sa.gov.au/record=b2059121</v>
      </c>
      <c r="C6085" s="1" t="str">
        <f>HYPERLINK("https://www.catalog.slsa.sa.gov.au/xrecord=b2059121")</f>
        <v>https://www.catalog.slsa.sa.gov.au/xrecord=b2059121</v>
      </c>
      <c r="D6085" t="s">
        <v>16831</v>
      </c>
      <c r="E6085" t="s">
        <v>16771</v>
      </c>
      <c r="F6085">
        <v>1952</v>
      </c>
      <c r="G6085" t="s">
        <v>20895</v>
      </c>
      <c r="H6085" t="s">
        <v>21025</v>
      </c>
      <c r="J6085" t="s">
        <v>21026</v>
      </c>
      <c r="K6085" s="2" t="str">
        <f>HYPERLINK("http://collections.slsa.sa.gov.au/mpcimg/12500/B12450.htm")</f>
        <v>http://collections.slsa.sa.gov.au/mpcimg/12500/B12450.htm</v>
      </c>
    </row>
    <row r="6086" spans="1:11" x14ac:dyDescent="0.25">
      <c r="A6086" t="s">
        <v>21027</v>
      </c>
      <c r="B6086" s="1" t="str">
        <f>HYPERLINK("https://www.catalog.slsa.sa.gov.au/record=b2059736")</f>
        <v>https://www.catalog.slsa.sa.gov.au/record=b2059736</v>
      </c>
      <c r="C6086" s="1" t="str">
        <f>HYPERLINK("https://www.catalog.slsa.sa.gov.au/xrecord=b2059736")</f>
        <v>https://www.catalog.slsa.sa.gov.au/xrecord=b2059736</v>
      </c>
      <c r="D6086" t="s">
        <v>16831</v>
      </c>
      <c r="E6086" t="s">
        <v>15191</v>
      </c>
      <c r="F6086">
        <v>1952</v>
      </c>
      <c r="G6086" t="s">
        <v>16674</v>
      </c>
      <c r="H6086" t="s">
        <v>21028</v>
      </c>
      <c r="J6086" t="s">
        <v>21029</v>
      </c>
      <c r="K6086" s="2" t="str">
        <f>HYPERLINK("http://collections.slsa.sa.gov.au/mpcimg/12750/B12510.htm")</f>
        <v>http://collections.slsa.sa.gov.au/mpcimg/12750/B12510.htm</v>
      </c>
    </row>
    <row r="6087" spans="1:11" x14ac:dyDescent="0.25">
      <c r="A6087" t="s">
        <v>21030</v>
      </c>
      <c r="B6087" s="1" t="str">
        <f>HYPERLINK("https://www.catalog.slsa.sa.gov.au/record=b2059737")</f>
        <v>https://www.catalog.slsa.sa.gov.au/record=b2059737</v>
      </c>
      <c r="C6087" s="1" t="str">
        <f>HYPERLINK("https://www.catalog.slsa.sa.gov.au/xrecord=b2059737")</f>
        <v>https://www.catalog.slsa.sa.gov.au/xrecord=b2059737</v>
      </c>
      <c r="D6087" t="s">
        <v>16831</v>
      </c>
      <c r="E6087" t="s">
        <v>20933</v>
      </c>
      <c r="F6087">
        <v>1952</v>
      </c>
      <c r="G6087" t="s">
        <v>20895</v>
      </c>
      <c r="H6087" t="s">
        <v>21031</v>
      </c>
      <c r="J6087" t="s">
        <v>21029</v>
      </c>
      <c r="K6087" s="2" t="str">
        <f>HYPERLINK("http://collections.slsa.sa.gov.au/mpcimg/12500/B12360.htm")</f>
        <v>http://collections.slsa.sa.gov.au/mpcimg/12500/B12360.htm</v>
      </c>
    </row>
    <row r="6088" spans="1:11" x14ac:dyDescent="0.25">
      <c r="A6088" t="s">
        <v>21032</v>
      </c>
      <c r="B6088" s="1" t="str">
        <f>HYPERLINK("https://www.catalog.slsa.sa.gov.au/record=b2059760")</f>
        <v>https://www.catalog.slsa.sa.gov.au/record=b2059760</v>
      </c>
      <c r="C6088" s="1" t="str">
        <f>HYPERLINK("https://www.catalog.slsa.sa.gov.au/xrecord=b2059760")</f>
        <v>https://www.catalog.slsa.sa.gov.au/xrecord=b2059760</v>
      </c>
      <c r="D6088" t="s">
        <v>16831</v>
      </c>
      <c r="E6088" t="s">
        <v>15191</v>
      </c>
      <c r="F6088">
        <v>1952</v>
      </c>
      <c r="G6088" t="s">
        <v>20895</v>
      </c>
      <c r="H6088" t="s">
        <v>21033</v>
      </c>
      <c r="J6088" t="s">
        <v>21034</v>
      </c>
      <c r="K6088" s="2" t="str">
        <f>HYPERLINK("http://collections.slsa.sa.gov.au/mpcimg/12500/B12351.htm")</f>
        <v>http://collections.slsa.sa.gov.au/mpcimg/12500/B12351.htm</v>
      </c>
    </row>
    <row r="6089" spans="1:11" x14ac:dyDescent="0.25">
      <c r="A6089" t="s">
        <v>21035</v>
      </c>
      <c r="B6089" s="1" t="str">
        <f>HYPERLINK("https://www.catalog.slsa.sa.gov.au/record=b2059761")</f>
        <v>https://www.catalog.slsa.sa.gov.au/record=b2059761</v>
      </c>
      <c r="C6089" s="1" t="str">
        <f>HYPERLINK("https://www.catalog.slsa.sa.gov.au/xrecord=b2059761")</f>
        <v>https://www.catalog.slsa.sa.gov.au/xrecord=b2059761</v>
      </c>
      <c r="D6089" t="s">
        <v>16831</v>
      </c>
      <c r="E6089" t="s">
        <v>20933</v>
      </c>
      <c r="F6089">
        <v>1952</v>
      </c>
      <c r="G6089" t="s">
        <v>20895</v>
      </c>
      <c r="H6089" t="s">
        <v>21036</v>
      </c>
      <c r="J6089" t="s">
        <v>21034</v>
      </c>
      <c r="K6089" s="2" t="str">
        <f>HYPERLINK("http://collections.slsa.sa.gov.au/mpcimg/12500/B12361.htm")</f>
        <v>http://collections.slsa.sa.gov.au/mpcimg/12500/B12361.htm</v>
      </c>
    </row>
    <row r="6090" spans="1:11" x14ac:dyDescent="0.25">
      <c r="A6090" t="s">
        <v>21037</v>
      </c>
      <c r="B6090" s="1" t="str">
        <f>HYPERLINK("https://www.catalog.slsa.sa.gov.au/record=b2059815")</f>
        <v>https://www.catalog.slsa.sa.gov.au/record=b2059815</v>
      </c>
      <c r="C6090" s="1" t="str">
        <f>HYPERLINK("https://www.catalog.slsa.sa.gov.au/xrecord=b2059815")</f>
        <v>https://www.catalog.slsa.sa.gov.au/xrecord=b2059815</v>
      </c>
      <c r="D6090" t="s">
        <v>16831</v>
      </c>
      <c r="E6090" t="s">
        <v>21014</v>
      </c>
      <c r="F6090">
        <v>1952</v>
      </c>
      <c r="G6090" t="s">
        <v>20895</v>
      </c>
      <c r="H6090" t="s">
        <v>21038</v>
      </c>
      <c r="J6090" t="s">
        <v>21039</v>
      </c>
      <c r="K6090" s="2" t="str">
        <f>HYPERLINK("http://collections.slsa.sa.gov.au/mpcimg/12500/B12459.htm")</f>
        <v>http://collections.slsa.sa.gov.au/mpcimg/12500/B12459.htm</v>
      </c>
    </row>
    <row r="6091" spans="1:11" x14ac:dyDescent="0.25">
      <c r="A6091" t="s">
        <v>21040</v>
      </c>
      <c r="B6091" s="1" t="str">
        <f>HYPERLINK("https://www.catalog.slsa.sa.gov.au/record=b2059816")</f>
        <v>https://www.catalog.slsa.sa.gov.au/record=b2059816</v>
      </c>
      <c r="C6091" s="1" t="str">
        <f>HYPERLINK("https://www.catalog.slsa.sa.gov.au/xrecord=b2059816")</f>
        <v>https://www.catalog.slsa.sa.gov.au/xrecord=b2059816</v>
      </c>
      <c r="D6091" t="s">
        <v>16831</v>
      </c>
      <c r="E6091" t="s">
        <v>15191</v>
      </c>
      <c r="F6091">
        <v>1952</v>
      </c>
      <c r="G6091" t="s">
        <v>20895</v>
      </c>
      <c r="H6091" t="s">
        <v>21041</v>
      </c>
      <c r="J6091" t="s">
        <v>21039</v>
      </c>
      <c r="K6091" s="2" t="str">
        <f>HYPERLINK("http://collections.slsa.sa.gov.au/mpcimg/12500/B12479.htm")</f>
        <v>http://collections.slsa.sa.gov.au/mpcimg/12500/B12479.htm</v>
      </c>
    </row>
    <row r="6092" spans="1:11" x14ac:dyDescent="0.25">
      <c r="A6092" t="s">
        <v>21042</v>
      </c>
      <c r="B6092" s="1" t="str">
        <f>HYPERLINK("https://www.catalog.slsa.sa.gov.au/record=b2059886")</f>
        <v>https://www.catalog.slsa.sa.gov.au/record=b2059886</v>
      </c>
      <c r="C6092" s="1" t="str">
        <f>HYPERLINK("https://www.catalog.slsa.sa.gov.au/xrecord=b2059886")</f>
        <v>https://www.catalog.slsa.sa.gov.au/xrecord=b2059886</v>
      </c>
      <c r="D6092" t="s">
        <v>16831</v>
      </c>
      <c r="E6092" t="s">
        <v>15191</v>
      </c>
      <c r="F6092">
        <v>1952</v>
      </c>
      <c r="G6092" t="s">
        <v>20895</v>
      </c>
      <c r="H6092" t="s">
        <v>21043</v>
      </c>
      <c r="J6092" t="s">
        <v>21044</v>
      </c>
      <c r="K6092" s="2" t="str">
        <f>HYPERLINK("http://collections.slsa.sa.gov.au/mpcimg/12500/B12352.htm")</f>
        <v>http://collections.slsa.sa.gov.au/mpcimg/12500/B12352.htm</v>
      </c>
    </row>
    <row r="6093" spans="1:11" x14ac:dyDescent="0.25">
      <c r="A6093" t="s">
        <v>21045</v>
      </c>
      <c r="B6093" s="1" t="str">
        <f>HYPERLINK("https://www.catalog.slsa.sa.gov.au/record=b2059935")</f>
        <v>https://www.catalog.slsa.sa.gov.au/record=b2059935</v>
      </c>
      <c r="C6093" s="1" t="str">
        <f>HYPERLINK("https://www.catalog.slsa.sa.gov.au/xrecord=b2059935")</f>
        <v>https://www.catalog.slsa.sa.gov.au/xrecord=b2059935</v>
      </c>
      <c r="D6093" t="s">
        <v>16831</v>
      </c>
      <c r="E6093" t="s">
        <v>21046</v>
      </c>
      <c r="F6093">
        <v>1952</v>
      </c>
      <c r="G6093" t="s">
        <v>20895</v>
      </c>
      <c r="H6093" t="s">
        <v>21047</v>
      </c>
      <c r="J6093" t="s">
        <v>21048</v>
      </c>
      <c r="K6093" s="2" t="str">
        <f>HYPERLINK("http://collections.slsa.sa.gov.au/mpcimg/12750/B12509.htm")</f>
        <v>http://collections.slsa.sa.gov.au/mpcimg/12750/B12509.htm</v>
      </c>
    </row>
    <row r="6094" spans="1:11" x14ac:dyDescent="0.25">
      <c r="A6094" t="s">
        <v>21049</v>
      </c>
      <c r="B6094" s="1" t="str">
        <f>HYPERLINK("https://www.catalog.slsa.sa.gov.au/record=b2059947")</f>
        <v>https://www.catalog.slsa.sa.gov.au/record=b2059947</v>
      </c>
      <c r="C6094" s="1" t="str">
        <f>HYPERLINK("https://www.catalog.slsa.sa.gov.au/xrecord=b2059947")</f>
        <v>https://www.catalog.slsa.sa.gov.au/xrecord=b2059947</v>
      </c>
      <c r="D6094" t="s">
        <v>16831</v>
      </c>
      <c r="E6094" t="s">
        <v>21050</v>
      </c>
      <c r="F6094">
        <v>1952</v>
      </c>
      <c r="G6094" t="s">
        <v>20895</v>
      </c>
      <c r="H6094" t="s">
        <v>21051</v>
      </c>
      <c r="J6094" t="s">
        <v>21052</v>
      </c>
      <c r="K6094" s="2" t="str">
        <f>HYPERLINK("http://collections.slsa.sa.gov.au/mpcimg/12500/B12485.htm")</f>
        <v>http://collections.slsa.sa.gov.au/mpcimg/12500/B12485.htm</v>
      </c>
    </row>
    <row r="6095" spans="1:11" x14ac:dyDescent="0.25">
      <c r="A6095" t="s">
        <v>21053</v>
      </c>
      <c r="B6095" s="1" t="str">
        <f>HYPERLINK("https://www.catalog.slsa.sa.gov.au/record=b2059964")</f>
        <v>https://www.catalog.slsa.sa.gov.au/record=b2059964</v>
      </c>
      <c r="C6095" s="1" t="str">
        <f>HYPERLINK("https://www.catalog.slsa.sa.gov.au/xrecord=b2059964")</f>
        <v>https://www.catalog.slsa.sa.gov.au/xrecord=b2059964</v>
      </c>
      <c r="D6095" t="s">
        <v>16831</v>
      </c>
      <c r="E6095" t="s">
        <v>21046</v>
      </c>
      <c r="F6095">
        <v>1952</v>
      </c>
      <c r="G6095" t="s">
        <v>20895</v>
      </c>
      <c r="H6095" t="s">
        <v>21054</v>
      </c>
      <c r="J6095" t="s">
        <v>21055</v>
      </c>
      <c r="K6095" s="2" t="str">
        <f>HYPERLINK("http://collections.slsa.sa.gov.au/mpcimg/12500/B12472.htm")</f>
        <v>http://collections.slsa.sa.gov.au/mpcimg/12500/B12472.htm</v>
      </c>
    </row>
    <row r="6096" spans="1:11" x14ac:dyDescent="0.25">
      <c r="A6096" t="s">
        <v>21056</v>
      </c>
      <c r="B6096" s="1" t="str">
        <f>HYPERLINK("https://www.catalog.slsa.sa.gov.au/record=b2060084")</f>
        <v>https://www.catalog.slsa.sa.gov.au/record=b2060084</v>
      </c>
      <c r="C6096" s="1" t="str">
        <f>HYPERLINK("https://www.catalog.slsa.sa.gov.au/xrecord=b2060084")</f>
        <v>https://www.catalog.slsa.sa.gov.au/xrecord=b2060084</v>
      </c>
      <c r="D6096" t="s">
        <v>16831</v>
      </c>
      <c r="E6096" t="s">
        <v>20100</v>
      </c>
      <c r="F6096">
        <v>1952</v>
      </c>
      <c r="G6096" t="s">
        <v>20895</v>
      </c>
      <c r="H6096" t="s">
        <v>21057</v>
      </c>
      <c r="J6096" t="s">
        <v>20103</v>
      </c>
      <c r="K6096" s="2" t="str">
        <f>HYPERLINK("http://collections.slsa.sa.gov.au/mpcimg/12500/B12355.htm")</f>
        <v>http://collections.slsa.sa.gov.au/mpcimg/12500/B12355.htm</v>
      </c>
    </row>
    <row r="6097" spans="1:11" x14ac:dyDescent="0.25">
      <c r="A6097" t="s">
        <v>21058</v>
      </c>
      <c r="B6097" s="1" t="str">
        <f>HYPERLINK("https://www.catalog.slsa.sa.gov.au/record=b2060086")</f>
        <v>https://www.catalog.slsa.sa.gov.au/record=b2060086</v>
      </c>
      <c r="C6097" s="1" t="str">
        <f>HYPERLINK("https://www.catalog.slsa.sa.gov.au/xrecord=b2060086")</f>
        <v>https://www.catalog.slsa.sa.gov.au/xrecord=b2060086</v>
      </c>
      <c r="D6097" t="s">
        <v>16831</v>
      </c>
      <c r="E6097" t="s">
        <v>20100</v>
      </c>
      <c r="F6097">
        <v>1952</v>
      </c>
      <c r="G6097" t="s">
        <v>20101</v>
      </c>
      <c r="H6097" t="s">
        <v>21059</v>
      </c>
      <c r="J6097" t="s">
        <v>20103</v>
      </c>
      <c r="K6097" s="2" t="str">
        <f>HYPERLINK("http://collections.slsa.sa.gov.au/mpcimg/12500/B12396.htm")</f>
        <v>http://collections.slsa.sa.gov.au/mpcimg/12500/B12396.htm</v>
      </c>
    </row>
    <row r="6098" spans="1:11" x14ac:dyDescent="0.25">
      <c r="A6098" t="s">
        <v>21060</v>
      </c>
      <c r="B6098" s="1" t="str">
        <f>HYPERLINK("https://www.catalog.slsa.sa.gov.au/record=b2060120")</f>
        <v>https://www.catalog.slsa.sa.gov.au/record=b2060120</v>
      </c>
      <c r="C6098" s="1" t="str">
        <f>HYPERLINK("https://www.catalog.slsa.sa.gov.au/xrecord=b2060120")</f>
        <v>https://www.catalog.slsa.sa.gov.au/xrecord=b2060120</v>
      </c>
      <c r="D6098" t="s">
        <v>16831</v>
      </c>
      <c r="E6098" t="s">
        <v>21061</v>
      </c>
      <c r="F6098">
        <v>1952</v>
      </c>
      <c r="G6098" t="s">
        <v>20895</v>
      </c>
      <c r="H6098" t="s">
        <v>21062</v>
      </c>
      <c r="J6098" t="s">
        <v>21063</v>
      </c>
      <c r="K6098" s="2" t="str">
        <f>HYPERLINK("http://collections.slsa.sa.gov.au/mpcimg/12500/B12455.htm")</f>
        <v>http://collections.slsa.sa.gov.au/mpcimg/12500/B12455.htm</v>
      </c>
    </row>
    <row r="6099" spans="1:11" x14ac:dyDescent="0.25">
      <c r="A6099" t="s">
        <v>21064</v>
      </c>
      <c r="B6099" s="1" t="str">
        <f>HYPERLINK("https://www.catalog.slsa.sa.gov.au/record=b2060173")</f>
        <v>https://www.catalog.slsa.sa.gov.au/record=b2060173</v>
      </c>
      <c r="C6099" s="1" t="str">
        <f>HYPERLINK("https://www.catalog.slsa.sa.gov.au/xrecord=b2060173")</f>
        <v>https://www.catalog.slsa.sa.gov.au/xrecord=b2060173</v>
      </c>
      <c r="D6099" t="s">
        <v>16831</v>
      </c>
      <c r="E6099" t="s">
        <v>21061</v>
      </c>
      <c r="F6099">
        <v>1952</v>
      </c>
      <c r="G6099" t="s">
        <v>20895</v>
      </c>
      <c r="H6099" t="s">
        <v>21065</v>
      </c>
      <c r="J6099" t="s">
        <v>21066</v>
      </c>
      <c r="K6099" s="2" t="str">
        <f>HYPERLINK("http://collections.slsa.sa.gov.au/mpcimg/12500/B12461.htm")</f>
        <v>http://collections.slsa.sa.gov.au/mpcimg/12500/B12461.htm</v>
      </c>
    </row>
    <row r="6100" spans="1:11" x14ac:dyDescent="0.25">
      <c r="A6100" t="s">
        <v>21067</v>
      </c>
      <c r="B6100" s="1" t="str">
        <f>HYPERLINK("https://www.catalog.slsa.sa.gov.au/record=b2060260")</f>
        <v>https://www.catalog.slsa.sa.gov.au/record=b2060260</v>
      </c>
      <c r="C6100" s="1" t="str">
        <f>HYPERLINK("https://www.catalog.slsa.sa.gov.au/xrecord=b2060260")</f>
        <v>https://www.catalog.slsa.sa.gov.au/xrecord=b2060260</v>
      </c>
      <c r="D6100" t="s">
        <v>16831</v>
      </c>
      <c r="E6100" t="s">
        <v>21061</v>
      </c>
      <c r="F6100">
        <v>1952</v>
      </c>
      <c r="G6100" t="s">
        <v>20895</v>
      </c>
      <c r="H6100" t="s">
        <v>21068</v>
      </c>
      <c r="J6100" t="s">
        <v>21069</v>
      </c>
      <c r="K6100" s="2" t="str">
        <f>HYPERLINK("http://collections.slsa.sa.gov.au/mpcimg/12500/B12454.htm")</f>
        <v>http://collections.slsa.sa.gov.au/mpcimg/12500/B12454.htm</v>
      </c>
    </row>
    <row r="6101" spans="1:11" x14ac:dyDescent="0.25">
      <c r="A6101" t="s">
        <v>21070</v>
      </c>
      <c r="B6101" s="1" t="str">
        <f>HYPERLINK("https://www.catalog.slsa.sa.gov.au/record=b2060305")</f>
        <v>https://www.catalog.slsa.sa.gov.au/record=b2060305</v>
      </c>
      <c r="C6101" s="1" t="str">
        <f>HYPERLINK("https://www.catalog.slsa.sa.gov.au/xrecord=b2060305")</f>
        <v>https://www.catalog.slsa.sa.gov.au/xrecord=b2060305</v>
      </c>
      <c r="D6101" t="s">
        <v>16831</v>
      </c>
      <c r="E6101" t="s">
        <v>21061</v>
      </c>
      <c r="F6101">
        <v>1952</v>
      </c>
      <c r="G6101" t="s">
        <v>20895</v>
      </c>
      <c r="H6101" t="s">
        <v>21071</v>
      </c>
      <c r="J6101" t="s">
        <v>21072</v>
      </c>
      <c r="K6101" s="2" t="str">
        <f>HYPERLINK("http://collections.slsa.sa.gov.au/mpcimg/12500/B12448.htm")</f>
        <v>http://collections.slsa.sa.gov.au/mpcimg/12500/B12448.htm</v>
      </c>
    </row>
    <row r="6102" spans="1:11" x14ac:dyDescent="0.25">
      <c r="A6102" t="s">
        <v>21073</v>
      </c>
      <c r="B6102" s="1" t="str">
        <f>HYPERLINK("https://www.catalog.slsa.sa.gov.au/record=b2060450")</f>
        <v>https://www.catalog.slsa.sa.gov.au/record=b2060450</v>
      </c>
      <c r="C6102" s="1" t="str">
        <f>HYPERLINK("https://www.catalog.slsa.sa.gov.au/xrecord=b2060450")</f>
        <v>https://www.catalog.slsa.sa.gov.au/xrecord=b2060450</v>
      </c>
      <c r="D6102" t="s">
        <v>21074</v>
      </c>
      <c r="E6102" t="s">
        <v>21075</v>
      </c>
      <c r="F6102">
        <v>1952</v>
      </c>
      <c r="G6102" t="s">
        <v>21076</v>
      </c>
      <c r="H6102" t="s">
        <v>21077</v>
      </c>
      <c r="J6102" t="s">
        <v>21078</v>
      </c>
      <c r="K6102" s="2" t="str">
        <f>HYPERLINK("http://collections.slsa.sa.gov.au/mpcimg/13250/B13019.htm")</f>
        <v>http://collections.slsa.sa.gov.au/mpcimg/13250/B13019.htm</v>
      </c>
    </row>
    <row r="6103" spans="1:11" x14ac:dyDescent="0.25">
      <c r="A6103" t="s">
        <v>21079</v>
      </c>
      <c r="B6103" s="1" t="str">
        <f>HYPERLINK("https://www.catalog.slsa.sa.gov.au/record=b2060451")</f>
        <v>https://www.catalog.slsa.sa.gov.au/record=b2060451</v>
      </c>
      <c r="C6103" s="1" t="str">
        <f>HYPERLINK("https://www.catalog.slsa.sa.gov.au/xrecord=b2060451")</f>
        <v>https://www.catalog.slsa.sa.gov.au/xrecord=b2060451</v>
      </c>
      <c r="D6103" t="s">
        <v>21074</v>
      </c>
      <c r="E6103" t="s">
        <v>21080</v>
      </c>
      <c r="F6103">
        <v>1952</v>
      </c>
      <c r="G6103" t="s">
        <v>21076</v>
      </c>
      <c r="H6103" t="s">
        <v>21081</v>
      </c>
      <c r="I6103" t="s">
        <v>21082</v>
      </c>
      <c r="J6103" t="s">
        <v>21078</v>
      </c>
      <c r="K6103" s="2" t="str">
        <f>HYPERLINK("http://collections.slsa.sa.gov.au/mpcimg/13250/B13020.htm")</f>
        <v>http://collections.slsa.sa.gov.au/mpcimg/13250/B13020.htm</v>
      </c>
    </row>
    <row r="6104" spans="1:11" x14ac:dyDescent="0.25">
      <c r="A6104" t="s">
        <v>21083</v>
      </c>
      <c r="B6104" s="1" t="str">
        <f>HYPERLINK("https://www.catalog.slsa.sa.gov.au/record=b2060606")</f>
        <v>https://www.catalog.slsa.sa.gov.au/record=b2060606</v>
      </c>
      <c r="C6104" s="1" t="str">
        <f>HYPERLINK("https://www.catalog.slsa.sa.gov.au/xrecord=b2060606")</f>
        <v>https://www.catalog.slsa.sa.gov.au/xrecord=b2060606</v>
      </c>
      <c r="D6104" t="s">
        <v>16831</v>
      </c>
      <c r="E6104" t="s">
        <v>20100</v>
      </c>
      <c r="F6104">
        <v>1952</v>
      </c>
      <c r="G6104" t="s">
        <v>20895</v>
      </c>
      <c r="H6104" t="s">
        <v>21084</v>
      </c>
      <c r="J6104" t="s">
        <v>21085</v>
      </c>
      <c r="K6104" s="2" t="str">
        <f>HYPERLINK("http://collections.slsa.sa.gov.au/mpcimg/12500/B12354.htm")</f>
        <v>http://collections.slsa.sa.gov.au/mpcimg/12500/B12354.htm</v>
      </c>
    </row>
    <row r="6105" spans="1:11" x14ac:dyDescent="0.25">
      <c r="A6105" t="s">
        <v>21086</v>
      </c>
      <c r="B6105" s="1" t="str">
        <f>HYPERLINK("https://www.catalog.slsa.sa.gov.au/record=b2060704")</f>
        <v>https://www.catalog.slsa.sa.gov.au/record=b2060704</v>
      </c>
      <c r="C6105" s="1" t="str">
        <f>HYPERLINK("https://www.catalog.slsa.sa.gov.au/xrecord=b2060704")</f>
        <v>https://www.catalog.slsa.sa.gov.au/xrecord=b2060704</v>
      </c>
      <c r="D6105" t="s">
        <v>16831</v>
      </c>
      <c r="E6105" t="s">
        <v>16827</v>
      </c>
      <c r="F6105">
        <v>1952</v>
      </c>
      <c r="G6105" t="s">
        <v>20895</v>
      </c>
      <c r="H6105" t="s">
        <v>21087</v>
      </c>
      <c r="J6105" t="s">
        <v>16829</v>
      </c>
      <c r="K6105" s="2" t="str">
        <f>HYPERLINK("http://collections.slsa.sa.gov.au/mpcimg/12500/B12463.htm")</f>
        <v>http://collections.slsa.sa.gov.au/mpcimg/12500/B12463.htm</v>
      </c>
    </row>
    <row r="6106" spans="1:11" x14ac:dyDescent="0.25">
      <c r="A6106" t="s">
        <v>21088</v>
      </c>
      <c r="B6106" s="1" t="str">
        <f>HYPERLINK("https://www.catalog.slsa.sa.gov.au/record=b2060720")</f>
        <v>https://www.catalog.slsa.sa.gov.au/record=b2060720</v>
      </c>
      <c r="C6106" s="1" t="str">
        <f>HYPERLINK("https://www.catalog.slsa.sa.gov.au/xrecord=b2060720")</f>
        <v>https://www.catalog.slsa.sa.gov.au/xrecord=b2060720</v>
      </c>
      <c r="D6106" t="s">
        <v>16831</v>
      </c>
      <c r="E6106" t="s">
        <v>16827</v>
      </c>
      <c r="F6106">
        <v>1952</v>
      </c>
      <c r="G6106" t="s">
        <v>20895</v>
      </c>
      <c r="H6106" t="s">
        <v>21089</v>
      </c>
      <c r="J6106" t="s">
        <v>21090</v>
      </c>
      <c r="K6106" s="2" t="str">
        <f>HYPERLINK("http://collections.slsa.sa.gov.au/mpcimg/12500/B12464.htm")</f>
        <v>http://collections.slsa.sa.gov.au/mpcimg/12500/B12464.htm</v>
      </c>
    </row>
    <row r="6107" spans="1:11" x14ac:dyDescent="0.25">
      <c r="A6107" t="s">
        <v>21091</v>
      </c>
      <c r="B6107" s="1" t="str">
        <f>HYPERLINK("https://www.catalog.slsa.sa.gov.au/record=b2060721")</f>
        <v>https://www.catalog.slsa.sa.gov.au/record=b2060721</v>
      </c>
      <c r="C6107" s="1" t="str">
        <f>HYPERLINK("https://www.catalog.slsa.sa.gov.au/xrecord=b2060721")</f>
        <v>https://www.catalog.slsa.sa.gov.au/xrecord=b2060721</v>
      </c>
      <c r="D6107" t="s">
        <v>16831</v>
      </c>
      <c r="E6107" t="s">
        <v>21092</v>
      </c>
      <c r="F6107">
        <v>1952</v>
      </c>
      <c r="G6107" t="s">
        <v>20895</v>
      </c>
      <c r="H6107" t="s">
        <v>21093</v>
      </c>
      <c r="J6107" t="s">
        <v>21094</v>
      </c>
      <c r="K6107" s="2" t="str">
        <f>HYPERLINK("http://collections.slsa.sa.gov.au/mpcimg/12500/B12471.htm")</f>
        <v>http://collections.slsa.sa.gov.au/mpcimg/12500/B12471.htm</v>
      </c>
    </row>
    <row r="6108" spans="1:11" x14ac:dyDescent="0.25">
      <c r="A6108" t="s">
        <v>21095</v>
      </c>
      <c r="B6108" s="1" t="str">
        <f>HYPERLINK("https://www.catalog.slsa.sa.gov.au/record=b2060798")</f>
        <v>https://www.catalog.slsa.sa.gov.au/record=b2060798</v>
      </c>
      <c r="C6108" s="1" t="str">
        <f>HYPERLINK("https://www.catalog.slsa.sa.gov.au/xrecord=b2060798")</f>
        <v>https://www.catalog.slsa.sa.gov.au/xrecord=b2060798</v>
      </c>
      <c r="D6108" t="s">
        <v>16831</v>
      </c>
      <c r="E6108" t="s">
        <v>20100</v>
      </c>
      <c r="F6108">
        <v>1952</v>
      </c>
      <c r="G6108" t="s">
        <v>20101</v>
      </c>
      <c r="H6108" t="s">
        <v>21096</v>
      </c>
      <c r="J6108" t="s">
        <v>21097</v>
      </c>
      <c r="K6108" s="2" t="str">
        <f>HYPERLINK("http://collections.slsa.sa.gov.au/mpcimg/12500/B12397.htm")</f>
        <v>http://collections.slsa.sa.gov.au/mpcimg/12500/B12397.htm</v>
      </c>
    </row>
    <row r="6109" spans="1:11" x14ac:dyDescent="0.25">
      <c r="A6109" t="s">
        <v>21098</v>
      </c>
      <c r="B6109" s="1" t="str">
        <f>HYPERLINK("https://www.catalog.slsa.sa.gov.au/record=b2060813")</f>
        <v>https://www.catalog.slsa.sa.gov.au/record=b2060813</v>
      </c>
      <c r="C6109" s="1" t="str">
        <f>HYPERLINK("https://www.catalog.slsa.sa.gov.au/xrecord=b2060813")</f>
        <v>https://www.catalog.slsa.sa.gov.au/xrecord=b2060813</v>
      </c>
      <c r="D6109" t="s">
        <v>16831</v>
      </c>
      <c r="E6109" t="s">
        <v>21099</v>
      </c>
      <c r="F6109">
        <v>1952</v>
      </c>
      <c r="G6109" t="s">
        <v>20895</v>
      </c>
      <c r="H6109" t="s">
        <v>21100</v>
      </c>
      <c r="J6109" t="s">
        <v>21101</v>
      </c>
      <c r="K6109" s="2" t="str">
        <f>HYPERLINK("http://collections.slsa.sa.gov.au/mpcimg/12500/B12421.htm")</f>
        <v>http://collections.slsa.sa.gov.au/mpcimg/12500/B12421.htm</v>
      </c>
    </row>
    <row r="6110" spans="1:11" x14ac:dyDescent="0.25">
      <c r="A6110" t="s">
        <v>21102</v>
      </c>
      <c r="B6110" s="1" t="str">
        <f>HYPERLINK("https://www.catalog.slsa.sa.gov.au/record=b2060815")</f>
        <v>https://www.catalog.slsa.sa.gov.au/record=b2060815</v>
      </c>
      <c r="C6110" s="1" t="str">
        <f>HYPERLINK("https://www.catalog.slsa.sa.gov.au/xrecord=b2060815")</f>
        <v>https://www.catalog.slsa.sa.gov.au/xrecord=b2060815</v>
      </c>
      <c r="D6110" t="s">
        <v>16831</v>
      </c>
      <c r="E6110" t="s">
        <v>21103</v>
      </c>
      <c r="F6110">
        <v>1952</v>
      </c>
      <c r="G6110" t="s">
        <v>16674</v>
      </c>
      <c r="H6110" t="s">
        <v>21104</v>
      </c>
      <c r="J6110" t="s">
        <v>21105</v>
      </c>
      <c r="K6110" s="2" t="str">
        <f>HYPERLINK("http://collections.slsa.sa.gov.au/mpcimg/12750/B12506.htm")</f>
        <v>http://collections.slsa.sa.gov.au/mpcimg/12750/B12506.htm</v>
      </c>
    </row>
    <row r="6111" spans="1:11" x14ac:dyDescent="0.25">
      <c r="A6111" t="s">
        <v>21106</v>
      </c>
      <c r="B6111" s="1" t="str">
        <f>HYPERLINK("https://www.catalog.slsa.sa.gov.au/record=b2060846")</f>
        <v>https://www.catalog.slsa.sa.gov.au/record=b2060846</v>
      </c>
      <c r="C6111" s="1" t="str">
        <f>HYPERLINK("https://www.catalog.slsa.sa.gov.au/xrecord=b2060846")</f>
        <v>https://www.catalog.slsa.sa.gov.au/xrecord=b2060846</v>
      </c>
      <c r="D6111" t="s">
        <v>16831</v>
      </c>
      <c r="E6111" t="s">
        <v>21107</v>
      </c>
      <c r="F6111">
        <v>1952</v>
      </c>
      <c r="G6111" t="s">
        <v>20063</v>
      </c>
      <c r="H6111" t="s">
        <v>21108</v>
      </c>
      <c r="J6111" t="s">
        <v>21109</v>
      </c>
      <c r="K6111" s="2" t="str">
        <f>HYPERLINK("http://collections.slsa.sa.gov.au/mpcimg/13250/B13137.htm")</f>
        <v>http://collections.slsa.sa.gov.au/mpcimg/13250/B13137.htm</v>
      </c>
    </row>
    <row r="6112" spans="1:11" x14ac:dyDescent="0.25">
      <c r="A6112" t="s">
        <v>21110</v>
      </c>
      <c r="B6112" s="1" t="str">
        <f>HYPERLINK("https://www.catalog.slsa.sa.gov.au/record=b2060866")</f>
        <v>https://www.catalog.slsa.sa.gov.au/record=b2060866</v>
      </c>
      <c r="C6112" s="1" t="str">
        <f>HYPERLINK("https://www.catalog.slsa.sa.gov.au/xrecord=b2060866")</f>
        <v>https://www.catalog.slsa.sa.gov.au/xrecord=b2060866</v>
      </c>
      <c r="D6112" t="s">
        <v>16831</v>
      </c>
      <c r="E6112" t="s">
        <v>21111</v>
      </c>
      <c r="F6112">
        <v>1952</v>
      </c>
      <c r="G6112" t="s">
        <v>20895</v>
      </c>
      <c r="H6112" t="s">
        <v>21112</v>
      </c>
      <c r="J6112" t="s">
        <v>21113</v>
      </c>
      <c r="K6112" s="2" t="str">
        <f>HYPERLINK("http://collections.slsa.sa.gov.au/mpcimg/12500/B12466.htm")</f>
        <v>http://collections.slsa.sa.gov.au/mpcimg/12500/B12466.htm</v>
      </c>
    </row>
    <row r="6113" spans="1:11" x14ac:dyDescent="0.25">
      <c r="A6113" t="s">
        <v>21114</v>
      </c>
      <c r="B6113" s="1" t="str">
        <f>HYPERLINK("https://www.catalog.slsa.sa.gov.au/record=b2060867")</f>
        <v>https://www.catalog.slsa.sa.gov.au/record=b2060867</v>
      </c>
      <c r="C6113" s="1" t="str">
        <f>HYPERLINK("https://www.catalog.slsa.sa.gov.au/xrecord=b2060867")</f>
        <v>https://www.catalog.slsa.sa.gov.au/xrecord=b2060867</v>
      </c>
      <c r="D6113" t="s">
        <v>16831</v>
      </c>
      <c r="E6113" t="s">
        <v>21115</v>
      </c>
      <c r="F6113">
        <v>1952</v>
      </c>
      <c r="G6113" t="s">
        <v>20895</v>
      </c>
      <c r="H6113" t="s">
        <v>21116</v>
      </c>
      <c r="J6113" t="s">
        <v>21113</v>
      </c>
      <c r="K6113" s="2" t="str">
        <f>HYPERLINK("http://collections.slsa.sa.gov.au/mpcimg/12500/B12497.htm")</f>
        <v>http://collections.slsa.sa.gov.au/mpcimg/12500/B12497.htm</v>
      </c>
    </row>
    <row r="6114" spans="1:11" x14ac:dyDescent="0.25">
      <c r="A6114" t="s">
        <v>21117</v>
      </c>
      <c r="B6114" s="1" t="str">
        <f>HYPERLINK("https://www.catalog.slsa.sa.gov.au/record=b2061039")</f>
        <v>https://www.catalog.slsa.sa.gov.au/record=b2061039</v>
      </c>
      <c r="C6114" s="1" t="str">
        <f>HYPERLINK("https://www.catalog.slsa.sa.gov.au/xrecord=b2061039")</f>
        <v>https://www.catalog.slsa.sa.gov.au/xrecord=b2061039</v>
      </c>
      <c r="D6114" t="s">
        <v>16831</v>
      </c>
      <c r="E6114" t="s">
        <v>21118</v>
      </c>
      <c r="F6114">
        <v>1952</v>
      </c>
      <c r="G6114" t="s">
        <v>20895</v>
      </c>
      <c r="H6114" t="s">
        <v>21119</v>
      </c>
      <c r="J6114" t="s">
        <v>21120</v>
      </c>
      <c r="K6114" s="2" t="str">
        <f>HYPERLINK("http://collections.slsa.sa.gov.au/mpcimg/12500/B12422.htm")</f>
        <v>http://collections.slsa.sa.gov.au/mpcimg/12500/B12422.htm</v>
      </c>
    </row>
    <row r="6115" spans="1:11" x14ac:dyDescent="0.25">
      <c r="A6115" t="s">
        <v>21121</v>
      </c>
      <c r="B6115" s="1" t="str">
        <f>HYPERLINK("https://www.catalog.slsa.sa.gov.au/record=b2061079")</f>
        <v>https://www.catalog.slsa.sa.gov.au/record=b2061079</v>
      </c>
      <c r="C6115" s="1" t="str">
        <f>HYPERLINK("https://www.catalog.slsa.sa.gov.au/xrecord=b2061079")</f>
        <v>https://www.catalog.slsa.sa.gov.au/xrecord=b2061079</v>
      </c>
      <c r="D6115" t="s">
        <v>16831</v>
      </c>
      <c r="E6115" t="s">
        <v>21118</v>
      </c>
      <c r="F6115">
        <v>1952</v>
      </c>
      <c r="G6115" t="s">
        <v>20895</v>
      </c>
      <c r="H6115" t="s">
        <v>21122</v>
      </c>
      <c r="J6115" t="s">
        <v>21123</v>
      </c>
      <c r="K6115" s="2" t="str">
        <f>HYPERLINK("http://collections.slsa.sa.gov.au/mpcimg/12500/B12431.htm")</f>
        <v>http://collections.slsa.sa.gov.au/mpcimg/12500/B12431.htm</v>
      </c>
    </row>
    <row r="6116" spans="1:11" x14ac:dyDescent="0.25">
      <c r="A6116" t="s">
        <v>21124</v>
      </c>
      <c r="B6116" s="1" t="str">
        <f>HYPERLINK("https://www.catalog.slsa.sa.gov.au/record=b2061081")</f>
        <v>https://www.catalog.slsa.sa.gov.au/record=b2061081</v>
      </c>
      <c r="C6116" s="1" t="str">
        <f>HYPERLINK("https://www.catalog.slsa.sa.gov.au/xrecord=b2061081")</f>
        <v>https://www.catalog.slsa.sa.gov.au/xrecord=b2061081</v>
      </c>
      <c r="D6116" t="s">
        <v>16831</v>
      </c>
      <c r="E6116" t="s">
        <v>21125</v>
      </c>
      <c r="F6116">
        <v>1952</v>
      </c>
      <c r="G6116" t="s">
        <v>20063</v>
      </c>
      <c r="H6116" t="s">
        <v>21126</v>
      </c>
      <c r="J6116" t="s">
        <v>21123</v>
      </c>
      <c r="K6116" s="2" t="str">
        <f>HYPERLINK("http://collections.slsa.sa.gov.au/mpcimg/13250/B13136.htm")</f>
        <v>http://collections.slsa.sa.gov.au/mpcimg/13250/B13136.htm</v>
      </c>
    </row>
    <row r="6117" spans="1:11" x14ac:dyDescent="0.25">
      <c r="A6117" t="s">
        <v>21127</v>
      </c>
      <c r="B6117" s="1" t="str">
        <f>HYPERLINK("https://www.catalog.slsa.sa.gov.au/record=b2061084")</f>
        <v>https://www.catalog.slsa.sa.gov.au/record=b2061084</v>
      </c>
      <c r="C6117" s="1" t="str">
        <f>HYPERLINK("https://www.catalog.slsa.sa.gov.au/xrecord=b2061084")</f>
        <v>https://www.catalog.slsa.sa.gov.au/xrecord=b2061084</v>
      </c>
      <c r="D6117" t="s">
        <v>16831</v>
      </c>
      <c r="E6117" t="s">
        <v>21118</v>
      </c>
      <c r="F6117">
        <v>1952</v>
      </c>
      <c r="G6117" t="s">
        <v>20895</v>
      </c>
      <c r="H6117" t="s">
        <v>21128</v>
      </c>
      <c r="J6117" t="s">
        <v>21129</v>
      </c>
      <c r="K6117" s="2" t="str">
        <f>HYPERLINK("http://collections.slsa.sa.gov.au/mpcimg/12500/B12423.htm")</f>
        <v>http://collections.slsa.sa.gov.au/mpcimg/12500/B12423.htm</v>
      </c>
    </row>
    <row r="6118" spans="1:11" x14ac:dyDescent="0.25">
      <c r="A6118" t="s">
        <v>21130</v>
      </c>
      <c r="B6118" s="1" t="str">
        <f>HYPERLINK("https://www.catalog.slsa.sa.gov.au/record=b2061088")</f>
        <v>https://www.catalog.slsa.sa.gov.au/record=b2061088</v>
      </c>
      <c r="C6118" s="1" t="str">
        <f>HYPERLINK("https://www.catalog.slsa.sa.gov.au/xrecord=b2061088")</f>
        <v>https://www.catalog.slsa.sa.gov.au/xrecord=b2061088</v>
      </c>
      <c r="D6118" t="s">
        <v>16831</v>
      </c>
      <c r="E6118" t="s">
        <v>21118</v>
      </c>
      <c r="F6118">
        <v>1952</v>
      </c>
      <c r="G6118" t="s">
        <v>20895</v>
      </c>
      <c r="H6118" t="s">
        <v>21131</v>
      </c>
      <c r="J6118" t="s">
        <v>21132</v>
      </c>
      <c r="K6118" s="2" t="str">
        <f>HYPERLINK("http://collections.slsa.sa.gov.au/mpcimg/12500/B12426.htm")</f>
        <v>http://collections.slsa.sa.gov.au/mpcimg/12500/B12426.htm</v>
      </c>
    </row>
    <row r="6119" spans="1:11" x14ac:dyDescent="0.25">
      <c r="A6119" t="s">
        <v>21133</v>
      </c>
      <c r="B6119" s="1" t="str">
        <f>HYPERLINK("https://www.catalog.slsa.sa.gov.au/record=b2061115")</f>
        <v>https://www.catalog.slsa.sa.gov.au/record=b2061115</v>
      </c>
      <c r="C6119" s="1" t="str">
        <f>HYPERLINK("https://www.catalog.slsa.sa.gov.au/xrecord=b2061115")</f>
        <v>https://www.catalog.slsa.sa.gov.au/xrecord=b2061115</v>
      </c>
      <c r="D6119" t="s">
        <v>16831</v>
      </c>
      <c r="E6119" t="s">
        <v>21118</v>
      </c>
      <c r="F6119">
        <v>1952</v>
      </c>
      <c r="G6119" t="s">
        <v>20895</v>
      </c>
      <c r="H6119" t="s">
        <v>21134</v>
      </c>
      <c r="J6119" t="s">
        <v>21135</v>
      </c>
      <c r="K6119" s="2" t="str">
        <f>HYPERLINK("http://collections.slsa.sa.gov.au/mpcimg/12500/B12430.htm")</f>
        <v>http://collections.slsa.sa.gov.au/mpcimg/12500/B12430.htm</v>
      </c>
    </row>
    <row r="6120" spans="1:11" x14ac:dyDescent="0.25">
      <c r="A6120" t="s">
        <v>21136</v>
      </c>
      <c r="B6120" s="1" t="str">
        <f>HYPERLINK("https://www.catalog.slsa.sa.gov.au/record=b2061131")</f>
        <v>https://www.catalog.slsa.sa.gov.au/record=b2061131</v>
      </c>
      <c r="C6120" s="1" t="str">
        <f>HYPERLINK("https://www.catalog.slsa.sa.gov.au/xrecord=b2061131")</f>
        <v>https://www.catalog.slsa.sa.gov.au/xrecord=b2061131</v>
      </c>
      <c r="D6120" t="s">
        <v>16831</v>
      </c>
      <c r="E6120" t="s">
        <v>21118</v>
      </c>
      <c r="F6120">
        <v>1952</v>
      </c>
      <c r="G6120" t="s">
        <v>20895</v>
      </c>
      <c r="H6120" t="s">
        <v>21137</v>
      </c>
      <c r="J6120" t="s">
        <v>21138</v>
      </c>
      <c r="K6120" s="2" t="str">
        <f>HYPERLINK("http://collections.slsa.sa.gov.au/mpcimg/12500/B12429.htm")</f>
        <v>http://collections.slsa.sa.gov.au/mpcimg/12500/B12429.htm</v>
      </c>
    </row>
    <row r="6121" spans="1:11" x14ac:dyDescent="0.25">
      <c r="A6121" t="s">
        <v>21139</v>
      </c>
      <c r="B6121" s="1" t="str">
        <f>HYPERLINK("https://www.catalog.slsa.sa.gov.au/record=b2061136")</f>
        <v>https://www.catalog.slsa.sa.gov.au/record=b2061136</v>
      </c>
      <c r="C6121" s="1" t="str">
        <f>HYPERLINK("https://www.catalog.slsa.sa.gov.au/xrecord=b2061136")</f>
        <v>https://www.catalog.slsa.sa.gov.au/xrecord=b2061136</v>
      </c>
      <c r="D6121" t="s">
        <v>16831</v>
      </c>
      <c r="E6121" t="s">
        <v>21118</v>
      </c>
      <c r="F6121">
        <v>1952</v>
      </c>
      <c r="G6121" t="s">
        <v>20895</v>
      </c>
      <c r="H6121" t="s">
        <v>21140</v>
      </c>
      <c r="J6121" t="s">
        <v>21141</v>
      </c>
      <c r="K6121" s="2" t="str">
        <f>HYPERLINK("http://collections.slsa.sa.gov.au/mpcimg/12500/B12427.htm")</f>
        <v>http://collections.slsa.sa.gov.au/mpcimg/12500/B12427.htm</v>
      </c>
    </row>
    <row r="6122" spans="1:11" x14ac:dyDescent="0.25">
      <c r="A6122" t="s">
        <v>21142</v>
      </c>
      <c r="B6122" s="1" t="str">
        <f>HYPERLINK("https://www.catalog.slsa.sa.gov.au/record=b2061137")</f>
        <v>https://www.catalog.slsa.sa.gov.au/record=b2061137</v>
      </c>
      <c r="C6122" s="1" t="str">
        <f>HYPERLINK("https://www.catalog.slsa.sa.gov.au/xrecord=b2061137")</f>
        <v>https://www.catalog.slsa.sa.gov.au/xrecord=b2061137</v>
      </c>
      <c r="D6122" t="s">
        <v>16831</v>
      </c>
      <c r="E6122" t="s">
        <v>21118</v>
      </c>
      <c r="F6122">
        <v>1952</v>
      </c>
      <c r="G6122" t="s">
        <v>20895</v>
      </c>
      <c r="H6122" t="s">
        <v>21143</v>
      </c>
      <c r="J6122" t="s">
        <v>21141</v>
      </c>
      <c r="K6122" s="2" t="str">
        <f>HYPERLINK("http://collections.slsa.sa.gov.au/mpcimg/12500/B12428.htm")</f>
        <v>http://collections.slsa.sa.gov.au/mpcimg/12500/B12428.htm</v>
      </c>
    </row>
    <row r="6123" spans="1:11" x14ac:dyDescent="0.25">
      <c r="A6123" t="s">
        <v>21144</v>
      </c>
      <c r="B6123" s="1" t="str">
        <f>HYPERLINK("https://www.catalog.slsa.sa.gov.au/record=b2061152")</f>
        <v>https://www.catalog.slsa.sa.gov.au/record=b2061152</v>
      </c>
      <c r="C6123" s="1" t="str">
        <f>HYPERLINK("https://www.catalog.slsa.sa.gov.au/xrecord=b2061152")</f>
        <v>https://www.catalog.slsa.sa.gov.au/xrecord=b2061152</v>
      </c>
      <c r="D6123" t="s">
        <v>16831</v>
      </c>
      <c r="E6123" t="s">
        <v>21118</v>
      </c>
      <c r="F6123">
        <v>1952</v>
      </c>
      <c r="G6123" t="s">
        <v>20895</v>
      </c>
      <c r="H6123" t="s">
        <v>21145</v>
      </c>
      <c r="J6123" t="s">
        <v>21146</v>
      </c>
      <c r="K6123" s="2" t="str">
        <f>HYPERLINK("http://collections.slsa.sa.gov.au/mpcimg/12500/B12424.htm")</f>
        <v>http://collections.slsa.sa.gov.au/mpcimg/12500/B12424.htm</v>
      </c>
    </row>
    <row r="6124" spans="1:11" x14ac:dyDescent="0.25">
      <c r="A6124" t="s">
        <v>21147</v>
      </c>
      <c r="B6124" s="1" t="str">
        <f>HYPERLINK("https://www.catalog.slsa.sa.gov.au/record=b2061331")</f>
        <v>https://www.catalog.slsa.sa.gov.au/record=b2061331</v>
      </c>
      <c r="C6124" s="1" t="str">
        <f>HYPERLINK("https://www.catalog.slsa.sa.gov.au/xrecord=b2061331")</f>
        <v>https://www.catalog.slsa.sa.gov.au/xrecord=b2061331</v>
      </c>
      <c r="D6124" t="s">
        <v>16831</v>
      </c>
      <c r="E6124" t="s">
        <v>21099</v>
      </c>
      <c r="F6124">
        <v>1952</v>
      </c>
      <c r="G6124" t="s">
        <v>20895</v>
      </c>
      <c r="H6124" t="s">
        <v>21148</v>
      </c>
      <c r="J6124" t="s">
        <v>21149</v>
      </c>
      <c r="K6124" s="2" t="str">
        <f>HYPERLINK("http://collections.slsa.sa.gov.au/mpcimg/12500/B12345.htm")</f>
        <v>http://collections.slsa.sa.gov.au/mpcimg/12500/B12345.htm</v>
      </c>
    </row>
    <row r="6125" spans="1:11" x14ac:dyDescent="0.25">
      <c r="A6125" t="s">
        <v>21150</v>
      </c>
      <c r="B6125" s="1" t="str">
        <f>HYPERLINK("https://www.catalog.slsa.sa.gov.au/record=b2061339")</f>
        <v>https://www.catalog.slsa.sa.gov.au/record=b2061339</v>
      </c>
      <c r="C6125" s="1" t="str">
        <f>HYPERLINK("https://www.catalog.slsa.sa.gov.au/xrecord=b2061339")</f>
        <v>https://www.catalog.slsa.sa.gov.au/xrecord=b2061339</v>
      </c>
      <c r="D6125" t="s">
        <v>16831</v>
      </c>
      <c r="E6125" t="s">
        <v>21099</v>
      </c>
      <c r="F6125">
        <v>1952</v>
      </c>
      <c r="G6125" t="s">
        <v>16674</v>
      </c>
      <c r="H6125" t="s">
        <v>21151</v>
      </c>
      <c r="J6125" t="s">
        <v>18695</v>
      </c>
      <c r="K6125" s="2" t="str">
        <f>HYPERLINK("http://collections.slsa.sa.gov.au/mpcimg/12500/B12344.htm")</f>
        <v>http://collections.slsa.sa.gov.au/mpcimg/12500/B12344.htm</v>
      </c>
    </row>
    <row r="6126" spans="1:11" x14ac:dyDescent="0.25">
      <c r="A6126" t="s">
        <v>21152</v>
      </c>
      <c r="B6126" s="1" t="str">
        <f>HYPERLINK("https://www.catalog.slsa.sa.gov.au/record=b2061351")</f>
        <v>https://www.catalog.slsa.sa.gov.au/record=b2061351</v>
      </c>
      <c r="C6126" s="1" t="str">
        <f>HYPERLINK("https://www.catalog.slsa.sa.gov.au/xrecord=b2061351")</f>
        <v>https://www.catalog.slsa.sa.gov.au/xrecord=b2061351</v>
      </c>
      <c r="D6126" t="s">
        <v>16831</v>
      </c>
      <c r="E6126" t="s">
        <v>21099</v>
      </c>
      <c r="F6126">
        <v>1952</v>
      </c>
      <c r="G6126" t="s">
        <v>16674</v>
      </c>
      <c r="H6126" t="s">
        <v>21153</v>
      </c>
      <c r="J6126" t="s">
        <v>21154</v>
      </c>
      <c r="K6126" s="2" t="str">
        <f>HYPERLINK("http://collections.slsa.sa.gov.au/mpcimg/12500/B12343.htm")</f>
        <v>http://collections.slsa.sa.gov.au/mpcimg/12500/B12343.htm</v>
      </c>
    </row>
    <row r="6127" spans="1:11" x14ac:dyDescent="0.25">
      <c r="A6127" t="s">
        <v>21155</v>
      </c>
      <c r="B6127" s="1" t="str">
        <f>HYPERLINK("https://www.catalog.slsa.sa.gov.au/record=b2061381")</f>
        <v>https://www.catalog.slsa.sa.gov.au/record=b2061381</v>
      </c>
      <c r="C6127" s="1" t="str">
        <f>HYPERLINK("https://www.catalog.slsa.sa.gov.au/xrecord=b2061381")</f>
        <v>https://www.catalog.slsa.sa.gov.au/xrecord=b2061381</v>
      </c>
      <c r="D6127" t="s">
        <v>16831</v>
      </c>
      <c r="E6127" t="s">
        <v>16827</v>
      </c>
      <c r="F6127">
        <v>1952</v>
      </c>
      <c r="G6127" t="s">
        <v>20895</v>
      </c>
      <c r="H6127" t="s">
        <v>21156</v>
      </c>
      <c r="J6127" t="s">
        <v>21157</v>
      </c>
      <c r="K6127" s="2" t="str">
        <f>HYPERLINK("http://collections.slsa.sa.gov.au/mpcimg/12500/B12484.htm")</f>
        <v>http://collections.slsa.sa.gov.au/mpcimg/12500/B12484.htm</v>
      </c>
    </row>
    <row r="6128" spans="1:11" x14ac:dyDescent="0.25">
      <c r="A6128" t="s">
        <v>21158</v>
      </c>
      <c r="B6128" s="1" t="str">
        <f>HYPERLINK("https://www.catalog.slsa.sa.gov.au/record=b2061391")</f>
        <v>https://www.catalog.slsa.sa.gov.au/record=b2061391</v>
      </c>
      <c r="C6128" s="1" t="str">
        <f>HYPERLINK("https://www.catalog.slsa.sa.gov.au/xrecord=b2061391")</f>
        <v>https://www.catalog.slsa.sa.gov.au/xrecord=b2061391</v>
      </c>
      <c r="D6128" t="s">
        <v>16831</v>
      </c>
      <c r="E6128" t="s">
        <v>21099</v>
      </c>
      <c r="F6128">
        <v>1952</v>
      </c>
      <c r="G6128" t="s">
        <v>20895</v>
      </c>
      <c r="H6128" t="s">
        <v>21159</v>
      </c>
      <c r="J6128" t="s">
        <v>21160</v>
      </c>
      <c r="K6128" s="2" t="str">
        <f>HYPERLINK("http://collections.slsa.sa.gov.au/mpcimg/12500/B12425.htm")</f>
        <v>http://collections.slsa.sa.gov.au/mpcimg/12500/B12425.htm</v>
      </c>
    </row>
    <row r="6129" spans="1:11" x14ac:dyDescent="0.25">
      <c r="A6129" t="s">
        <v>21161</v>
      </c>
      <c r="B6129" s="1" t="str">
        <f>HYPERLINK("https://www.catalog.slsa.sa.gov.au/record=b2061394")</f>
        <v>https://www.catalog.slsa.sa.gov.au/record=b2061394</v>
      </c>
      <c r="C6129" s="1" t="str">
        <f>HYPERLINK("https://www.catalog.slsa.sa.gov.au/xrecord=b2061394")</f>
        <v>https://www.catalog.slsa.sa.gov.au/xrecord=b2061394</v>
      </c>
      <c r="D6129" t="s">
        <v>16831</v>
      </c>
      <c r="E6129" t="s">
        <v>21099</v>
      </c>
      <c r="F6129">
        <v>1952</v>
      </c>
      <c r="G6129" t="s">
        <v>16674</v>
      </c>
      <c r="H6129" t="s">
        <v>21162</v>
      </c>
      <c r="J6129" t="s">
        <v>21163</v>
      </c>
      <c r="K6129" s="2" t="str">
        <f>HYPERLINK("http://collections.slsa.sa.gov.au/mpcimg/12500/B12342.htm")</f>
        <v>http://collections.slsa.sa.gov.au/mpcimg/12500/B12342.htm</v>
      </c>
    </row>
    <row r="6130" spans="1:11" x14ac:dyDescent="0.25">
      <c r="A6130" t="s">
        <v>21164</v>
      </c>
      <c r="B6130" s="1" t="str">
        <f>HYPERLINK("https://www.catalog.slsa.sa.gov.au/record=b2061395")</f>
        <v>https://www.catalog.slsa.sa.gov.au/record=b2061395</v>
      </c>
      <c r="C6130" s="1" t="str">
        <f>HYPERLINK("https://www.catalog.slsa.sa.gov.au/xrecord=b2061395")</f>
        <v>https://www.catalog.slsa.sa.gov.au/xrecord=b2061395</v>
      </c>
      <c r="D6130" t="s">
        <v>16831</v>
      </c>
      <c r="E6130" t="s">
        <v>21165</v>
      </c>
      <c r="F6130">
        <v>1952</v>
      </c>
      <c r="G6130" t="s">
        <v>20895</v>
      </c>
      <c r="H6130" t="s">
        <v>21166</v>
      </c>
      <c r="J6130" t="s">
        <v>21163</v>
      </c>
      <c r="K6130" s="2" t="str">
        <f>HYPERLINK("http://collections.slsa.sa.gov.au/mpcimg/12500/B12499.htm")</f>
        <v>http://collections.slsa.sa.gov.au/mpcimg/12500/B12499.htm</v>
      </c>
    </row>
    <row r="6131" spans="1:11" x14ac:dyDescent="0.25">
      <c r="A6131" t="s">
        <v>21167</v>
      </c>
      <c r="B6131" s="1" t="str">
        <f>HYPERLINK("https://www.catalog.slsa.sa.gov.au/record=b2061411")</f>
        <v>https://www.catalog.slsa.sa.gov.au/record=b2061411</v>
      </c>
      <c r="C6131" s="1" t="str">
        <f>HYPERLINK("https://www.catalog.slsa.sa.gov.au/xrecord=b2061411")</f>
        <v>https://www.catalog.slsa.sa.gov.au/xrecord=b2061411</v>
      </c>
      <c r="D6131" t="s">
        <v>16831</v>
      </c>
      <c r="E6131" t="s">
        <v>21099</v>
      </c>
      <c r="F6131">
        <v>1952</v>
      </c>
      <c r="G6131" t="s">
        <v>20895</v>
      </c>
      <c r="H6131" t="s">
        <v>21168</v>
      </c>
      <c r="J6131" t="s">
        <v>21169</v>
      </c>
      <c r="K6131" s="2" t="str">
        <f>HYPERLINK("http://collections.slsa.sa.gov.au/mpcimg/12500/B12341.htm")</f>
        <v>http://collections.slsa.sa.gov.au/mpcimg/12500/B12341.htm</v>
      </c>
    </row>
    <row r="6132" spans="1:11" x14ac:dyDescent="0.25">
      <c r="A6132" t="s">
        <v>21170</v>
      </c>
      <c r="B6132" s="1" t="str">
        <f>HYPERLINK("https://www.catalog.slsa.sa.gov.au/record=b2061413")</f>
        <v>https://www.catalog.slsa.sa.gov.au/record=b2061413</v>
      </c>
      <c r="C6132" s="1" t="str">
        <f>HYPERLINK("https://www.catalog.slsa.sa.gov.au/xrecord=b2061413")</f>
        <v>https://www.catalog.slsa.sa.gov.au/xrecord=b2061413</v>
      </c>
      <c r="D6132" t="s">
        <v>16831</v>
      </c>
      <c r="E6132" t="s">
        <v>21099</v>
      </c>
      <c r="F6132">
        <v>1952</v>
      </c>
      <c r="G6132" t="s">
        <v>20895</v>
      </c>
      <c r="H6132" t="s">
        <v>21171</v>
      </c>
      <c r="J6132" t="s">
        <v>21172</v>
      </c>
      <c r="K6132" s="2" t="str">
        <f>HYPERLINK("http://collections.slsa.sa.gov.au/mpcimg/12500/B12470.htm")</f>
        <v>http://collections.slsa.sa.gov.au/mpcimg/12500/B12470.htm</v>
      </c>
    </row>
    <row r="6133" spans="1:11" x14ac:dyDescent="0.25">
      <c r="A6133" t="s">
        <v>21173</v>
      </c>
      <c r="B6133" s="1" t="str">
        <f>HYPERLINK("https://www.catalog.slsa.sa.gov.au/record=b2061414")</f>
        <v>https://www.catalog.slsa.sa.gov.au/record=b2061414</v>
      </c>
      <c r="C6133" s="1" t="str">
        <f>HYPERLINK("https://www.catalog.slsa.sa.gov.au/xrecord=b2061414")</f>
        <v>https://www.catalog.slsa.sa.gov.au/xrecord=b2061414</v>
      </c>
      <c r="D6133" t="s">
        <v>16831</v>
      </c>
      <c r="E6133" t="s">
        <v>21099</v>
      </c>
      <c r="F6133">
        <v>1952</v>
      </c>
      <c r="G6133" t="s">
        <v>16674</v>
      </c>
      <c r="H6133" t="s">
        <v>21174</v>
      </c>
      <c r="J6133" t="s">
        <v>21172</v>
      </c>
      <c r="K6133" s="2" t="str">
        <f>HYPERLINK("http://collections.slsa.sa.gov.au/mpcimg/12750/B12516.htm")</f>
        <v>http://collections.slsa.sa.gov.au/mpcimg/12750/B12516.htm</v>
      </c>
    </row>
    <row r="6134" spans="1:11" x14ac:dyDescent="0.25">
      <c r="A6134" t="s">
        <v>21175</v>
      </c>
      <c r="B6134" s="1" t="str">
        <f>HYPERLINK("https://www.catalog.slsa.sa.gov.au/record=b2061415")</f>
        <v>https://www.catalog.slsa.sa.gov.au/record=b2061415</v>
      </c>
      <c r="C6134" s="1" t="str">
        <f>HYPERLINK("https://www.catalog.slsa.sa.gov.au/xrecord=b2061415")</f>
        <v>https://www.catalog.slsa.sa.gov.au/xrecord=b2061415</v>
      </c>
      <c r="D6134" t="s">
        <v>16831</v>
      </c>
      <c r="E6134" t="s">
        <v>21099</v>
      </c>
      <c r="F6134">
        <v>1952</v>
      </c>
      <c r="G6134" t="s">
        <v>16674</v>
      </c>
      <c r="H6134" t="s">
        <v>21176</v>
      </c>
      <c r="J6134" t="s">
        <v>21172</v>
      </c>
      <c r="K6134" s="2" t="str">
        <f>HYPERLINK("http://collections.slsa.sa.gov.au/mpcimg/12750/B12512.htm")</f>
        <v>http://collections.slsa.sa.gov.au/mpcimg/12750/B12512.htm</v>
      </c>
    </row>
    <row r="6135" spans="1:11" x14ac:dyDescent="0.25">
      <c r="A6135" t="s">
        <v>21177</v>
      </c>
      <c r="B6135" s="1" t="str">
        <f>HYPERLINK("https://www.catalog.slsa.sa.gov.au/record=b2061489")</f>
        <v>https://www.catalog.slsa.sa.gov.au/record=b2061489</v>
      </c>
      <c r="C6135" s="1" t="str">
        <f>HYPERLINK("https://www.catalog.slsa.sa.gov.au/xrecord=b2061489")</f>
        <v>https://www.catalog.slsa.sa.gov.au/xrecord=b2061489</v>
      </c>
      <c r="D6135" t="s">
        <v>16831</v>
      </c>
      <c r="E6135" t="s">
        <v>21178</v>
      </c>
      <c r="F6135">
        <v>1952</v>
      </c>
      <c r="G6135" t="s">
        <v>20895</v>
      </c>
      <c r="H6135" t="s">
        <v>21179</v>
      </c>
      <c r="J6135" t="s">
        <v>21180</v>
      </c>
      <c r="K6135" s="2" t="str">
        <f>HYPERLINK("http://collections.slsa.sa.gov.au/mpcimg/12500/B12489.htm")</f>
        <v>http://collections.slsa.sa.gov.au/mpcimg/12500/B12489.htm</v>
      </c>
    </row>
    <row r="6136" spans="1:11" x14ac:dyDescent="0.25">
      <c r="A6136" t="s">
        <v>21181</v>
      </c>
      <c r="B6136" s="1" t="str">
        <f>HYPERLINK("https://www.catalog.slsa.sa.gov.au/record=b2061490")</f>
        <v>https://www.catalog.slsa.sa.gov.au/record=b2061490</v>
      </c>
      <c r="C6136" s="1" t="str">
        <f>HYPERLINK("https://www.catalog.slsa.sa.gov.au/xrecord=b2061490")</f>
        <v>https://www.catalog.slsa.sa.gov.au/xrecord=b2061490</v>
      </c>
      <c r="D6136" t="s">
        <v>16831</v>
      </c>
      <c r="E6136" t="s">
        <v>21178</v>
      </c>
      <c r="F6136">
        <v>1952</v>
      </c>
      <c r="G6136" t="s">
        <v>21182</v>
      </c>
      <c r="H6136" t="s">
        <v>21183</v>
      </c>
      <c r="J6136" t="s">
        <v>21180</v>
      </c>
      <c r="K6136" s="2" t="str">
        <f>HYPERLINK("http://collections.slsa.sa.gov.au/mpcimg/12750/B12556.htm")</f>
        <v>http://collections.slsa.sa.gov.au/mpcimg/12750/B12556.htm</v>
      </c>
    </row>
    <row r="6137" spans="1:11" x14ac:dyDescent="0.25">
      <c r="A6137" t="s">
        <v>21184</v>
      </c>
      <c r="B6137" s="1" t="str">
        <f>HYPERLINK("https://www.catalog.slsa.sa.gov.au/record=b2061495")</f>
        <v>https://www.catalog.slsa.sa.gov.au/record=b2061495</v>
      </c>
      <c r="C6137" s="1" t="str">
        <f>HYPERLINK("https://www.catalog.slsa.sa.gov.au/xrecord=b2061495")</f>
        <v>https://www.catalog.slsa.sa.gov.au/xrecord=b2061495</v>
      </c>
      <c r="D6137" t="s">
        <v>16831</v>
      </c>
      <c r="E6137" t="s">
        <v>21178</v>
      </c>
      <c r="F6137">
        <v>1952</v>
      </c>
      <c r="G6137" t="s">
        <v>20895</v>
      </c>
      <c r="H6137" t="s">
        <v>21185</v>
      </c>
      <c r="J6137" t="s">
        <v>21186</v>
      </c>
      <c r="K6137" s="2" t="str">
        <f>HYPERLINK("http://collections.slsa.sa.gov.au/mpcimg/12500/B12474.htm")</f>
        <v>http://collections.slsa.sa.gov.au/mpcimg/12500/B12474.htm</v>
      </c>
    </row>
    <row r="6138" spans="1:11" x14ac:dyDescent="0.25">
      <c r="A6138" t="s">
        <v>21187</v>
      </c>
      <c r="B6138" s="1" t="str">
        <f>HYPERLINK("https://www.catalog.slsa.sa.gov.au/record=b2061537")</f>
        <v>https://www.catalog.slsa.sa.gov.au/record=b2061537</v>
      </c>
      <c r="C6138" s="1" t="str">
        <f>HYPERLINK("https://www.catalog.slsa.sa.gov.au/xrecord=b2061537")</f>
        <v>https://www.catalog.slsa.sa.gov.au/xrecord=b2061537</v>
      </c>
      <c r="D6138" t="s">
        <v>16831</v>
      </c>
      <c r="E6138" t="s">
        <v>21178</v>
      </c>
      <c r="F6138">
        <v>1952</v>
      </c>
      <c r="G6138" t="s">
        <v>20895</v>
      </c>
      <c r="H6138" t="s">
        <v>21188</v>
      </c>
      <c r="J6138" t="s">
        <v>21189</v>
      </c>
      <c r="K6138" s="2" t="str">
        <f>HYPERLINK("http://collections.slsa.sa.gov.au/mpcimg/12500/B12481.htm")</f>
        <v>http://collections.slsa.sa.gov.au/mpcimg/12500/B12481.htm</v>
      </c>
    </row>
    <row r="6139" spans="1:11" x14ac:dyDescent="0.25">
      <c r="A6139" t="s">
        <v>21190</v>
      </c>
      <c r="B6139" s="1" t="str">
        <f>HYPERLINK("https://www.catalog.slsa.sa.gov.au/record=b2061585")</f>
        <v>https://www.catalog.slsa.sa.gov.au/record=b2061585</v>
      </c>
      <c r="C6139" s="1" t="str">
        <f>HYPERLINK("https://www.catalog.slsa.sa.gov.au/xrecord=b2061585")</f>
        <v>https://www.catalog.slsa.sa.gov.au/xrecord=b2061585</v>
      </c>
      <c r="D6139" t="s">
        <v>16831</v>
      </c>
      <c r="E6139" t="s">
        <v>21178</v>
      </c>
      <c r="F6139">
        <v>1952</v>
      </c>
      <c r="G6139" t="s">
        <v>20895</v>
      </c>
      <c r="H6139" t="s">
        <v>21191</v>
      </c>
      <c r="J6139" t="s">
        <v>21192</v>
      </c>
      <c r="K6139" s="2" t="str">
        <f>HYPERLINK("http://collections.slsa.sa.gov.au/mpcimg/12500/B12495.htm")</f>
        <v>http://collections.slsa.sa.gov.au/mpcimg/12500/B12495.htm</v>
      </c>
    </row>
    <row r="6140" spans="1:11" x14ac:dyDescent="0.25">
      <c r="A6140" t="s">
        <v>21193</v>
      </c>
      <c r="B6140" s="1" t="str">
        <f>HYPERLINK("https://www.catalog.slsa.sa.gov.au/record=b2061596")</f>
        <v>https://www.catalog.slsa.sa.gov.au/record=b2061596</v>
      </c>
      <c r="C6140" s="1" t="str">
        <f>HYPERLINK("https://www.catalog.slsa.sa.gov.au/xrecord=b2061596")</f>
        <v>https://www.catalog.slsa.sa.gov.au/xrecord=b2061596</v>
      </c>
      <c r="D6140" t="s">
        <v>16831</v>
      </c>
      <c r="E6140" t="s">
        <v>16771</v>
      </c>
      <c r="F6140">
        <v>1952</v>
      </c>
      <c r="G6140" t="s">
        <v>20895</v>
      </c>
      <c r="H6140" t="s">
        <v>21194</v>
      </c>
      <c r="J6140" t="s">
        <v>21195</v>
      </c>
      <c r="K6140" s="2" t="str">
        <f>HYPERLINK("http://collections.slsa.sa.gov.au/mpcimg/12500/B12432.htm")</f>
        <v>http://collections.slsa.sa.gov.au/mpcimg/12500/B12432.htm</v>
      </c>
    </row>
    <row r="6141" spans="1:11" x14ac:dyDescent="0.25">
      <c r="A6141" t="s">
        <v>21196</v>
      </c>
      <c r="B6141" s="1" t="str">
        <f>HYPERLINK("https://www.catalog.slsa.sa.gov.au/record=b2061597")</f>
        <v>https://www.catalog.slsa.sa.gov.au/record=b2061597</v>
      </c>
      <c r="C6141" s="1" t="str">
        <f>HYPERLINK("https://www.catalog.slsa.sa.gov.au/xrecord=b2061597")</f>
        <v>https://www.catalog.slsa.sa.gov.au/xrecord=b2061597</v>
      </c>
      <c r="D6141" t="s">
        <v>16831</v>
      </c>
      <c r="E6141" t="s">
        <v>16771</v>
      </c>
      <c r="F6141">
        <v>1952</v>
      </c>
      <c r="G6141" t="s">
        <v>20895</v>
      </c>
      <c r="H6141" t="s">
        <v>21197</v>
      </c>
      <c r="J6141" t="s">
        <v>21195</v>
      </c>
      <c r="K6141" s="2" t="str">
        <f>HYPERLINK("http://collections.slsa.sa.gov.au/mpcimg/12500/B12434.htm")</f>
        <v>http://collections.slsa.sa.gov.au/mpcimg/12500/B12434.htm</v>
      </c>
    </row>
    <row r="6142" spans="1:11" x14ac:dyDescent="0.25">
      <c r="A6142" t="s">
        <v>21198</v>
      </c>
      <c r="B6142" s="1" t="str">
        <f>HYPERLINK("https://www.catalog.slsa.sa.gov.au/record=b2061608")</f>
        <v>https://www.catalog.slsa.sa.gov.au/record=b2061608</v>
      </c>
      <c r="C6142" s="1" t="str">
        <f>HYPERLINK("https://www.catalog.slsa.sa.gov.au/xrecord=b2061608")</f>
        <v>https://www.catalog.slsa.sa.gov.au/xrecord=b2061608</v>
      </c>
      <c r="D6142" t="s">
        <v>16831</v>
      </c>
      <c r="E6142" t="s">
        <v>16771</v>
      </c>
      <c r="F6142">
        <v>1952</v>
      </c>
      <c r="G6142" t="s">
        <v>20895</v>
      </c>
      <c r="H6142" t="s">
        <v>21199</v>
      </c>
      <c r="J6142" t="s">
        <v>21200</v>
      </c>
      <c r="K6142" s="2" t="str">
        <f>HYPERLINK("http://collections.slsa.sa.gov.au/mpcimg/12500/B12433.htm")</f>
        <v>http://collections.slsa.sa.gov.au/mpcimg/12500/B12433.htm</v>
      </c>
    </row>
    <row r="6143" spans="1:11" x14ac:dyDescent="0.25">
      <c r="A6143" t="s">
        <v>21201</v>
      </c>
      <c r="B6143" s="1" t="str">
        <f>HYPERLINK("https://www.catalog.slsa.sa.gov.au/record=b2061809")</f>
        <v>https://www.catalog.slsa.sa.gov.au/record=b2061809</v>
      </c>
      <c r="C6143" s="1" t="str">
        <f>HYPERLINK("https://www.catalog.slsa.sa.gov.au/xrecord=b2061809")</f>
        <v>https://www.catalog.slsa.sa.gov.au/xrecord=b2061809</v>
      </c>
      <c r="D6143" t="s">
        <v>16831</v>
      </c>
      <c r="E6143" t="s">
        <v>16771</v>
      </c>
      <c r="F6143">
        <v>1952</v>
      </c>
      <c r="G6143" t="s">
        <v>20895</v>
      </c>
      <c r="H6143" t="s">
        <v>21202</v>
      </c>
      <c r="J6143" t="s">
        <v>21203</v>
      </c>
      <c r="K6143" s="2" t="str">
        <f>HYPERLINK("http://collections.slsa.sa.gov.au/mpcimg/12500/B12451.htm")</f>
        <v>http://collections.slsa.sa.gov.au/mpcimg/12500/B12451.htm</v>
      </c>
    </row>
    <row r="6144" spans="1:11" x14ac:dyDescent="0.25">
      <c r="A6144" t="s">
        <v>21204</v>
      </c>
      <c r="B6144" s="1" t="str">
        <f>HYPERLINK("https://www.catalog.slsa.sa.gov.au/record=b2061830")</f>
        <v>https://www.catalog.slsa.sa.gov.au/record=b2061830</v>
      </c>
      <c r="C6144" s="1" t="str">
        <f>HYPERLINK("https://www.catalog.slsa.sa.gov.au/xrecord=b2061830")</f>
        <v>https://www.catalog.slsa.sa.gov.au/xrecord=b2061830</v>
      </c>
      <c r="D6144" t="s">
        <v>16831</v>
      </c>
      <c r="E6144" t="s">
        <v>16771</v>
      </c>
      <c r="F6144">
        <v>1952</v>
      </c>
      <c r="G6144" t="s">
        <v>20895</v>
      </c>
      <c r="H6144" t="s">
        <v>21205</v>
      </c>
      <c r="J6144" t="s">
        <v>21206</v>
      </c>
      <c r="K6144" s="2" t="str">
        <f>HYPERLINK("http://collections.slsa.sa.gov.au/mpcimg/12500/B12435.htm")</f>
        <v>http://collections.slsa.sa.gov.au/mpcimg/12500/B12435.htm</v>
      </c>
    </row>
    <row r="6145" spans="1:11" x14ac:dyDescent="0.25">
      <c r="A6145" t="s">
        <v>21207</v>
      </c>
      <c r="B6145" s="1" t="str">
        <f>HYPERLINK("https://www.catalog.slsa.sa.gov.au/record=b2061866")</f>
        <v>https://www.catalog.slsa.sa.gov.au/record=b2061866</v>
      </c>
      <c r="C6145" s="1" t="str">
        <f>HYPERLINK("https://www.catalog.slsa.sa.gov.au/xrecord=b2061866")</f>
        <v>https://www.catalog.slsa.sa.gov.au/xrecord=b2061866</v>
      </c>
      <c r="D6145" t="s">
        <v>16831</v>
      </c>
      <c r="E6145" t="s">
        <v>21208</v>
      </c>
      <c r="F6145">
        <v>1952</v>
      </c>
      <c r="G6145" t="s">
        <v>20895</v>
      </c>
      <c r="H6145" t="s">
        <v>21209</v>
      </c>
      <c r="J6145" t="s">
        <v>21210</v>
      </c>
      <c r="K6145" s="2" t="str">
        <f>HYPERLINK("http://collections.slsa.sa.gov.au/mpcimg/12500/B12493.htm")</f>
        <v>http://collections.slsa.sa.gov.au/mpcimg/12500/B12493.htm</v>
      </c>
    </row>
    <row r="6146" spans="1:11" x14ac:dyDescent="0.25">
      <c r="A6146" t="s">
        <v>21211</v>
      </c>
      <c r="B6146" s="1" t="str">
        <f>HYPERLINK("https://www.catalog.slsa.sa.gov.au/record=b2062030")</f>
        <v>https://www.catalog.slsa.sa.gov.au/record=b2062030</v>
      </c>
      <c r="C6146" s="1" t="str">
        <f>HYPERLINK("https://www.catalog.slsa.sa.gov.au/xrecord=b2062030")</f>
        <v>https://www.catalog.slsa.sa.gov.au/xrecord=b2062030</v>
      </c>
      <c r="D6146" t="s">
        <v>16831</v>
      </c>
      <c r="E6146" t="s">
        <v>21212</v>
      </c>
      <c r="F6146">
        <v>1952</v>
      </c>
      <c r="G6146" t="s">
        <v>16674</v>
      </c>
      <c r="H6146" t="s">
        <v>21213</v>
      </c>
      <c r="J6146" t="s">
        <v>21214</v>
      </c>
      <c r="K6146" s="2" t="str">
        <f>HYPERLINK("http://collections.slsa.sa.gov.au/mpcimg/12750/B12514.htm")</f>
        <v>http://collections.slsa.sa.gov.au/mpcimg/12750/B12514.htm</v>
      </c>
    </row>
    <row r="6147" spans="1:11" x14ac:dyDescent="0.25">
      <c r="A6147" t="s">
        <v>21215</v>
      </c>
      <c r="B6147" s="1" t="str">
        <f>HYPERLINK("https://www.catalog.slsa.sa.gov.au/record=b2062044")</f>
        <v>https://www.catalog.slsa.sa.gov.au/record=b2062044</v>
      </c>
      <c r="C6147" s="1" t="str">
        <f>HYPERLINK("https://www.catalog.slsa.sa.gov.au/xrecord=b2062044")</f>
        <v>https://www.catalog.slsa.sa.gov.au/xrecord=b2062044</v>
      </c>
      <c r="D6147" t="s">
        <v>16831</v>
      </c>
      <c r="E6147" t="s">
        <v>21216</v>
      </c>
      <c r="F6147">
        <v>1952</v>
      </c>
      <c r="G6147" t="s">
        <v>20895</v>
      </c>
      <c r="H6147" t="s">
        <v>21217</v>
      </c>
      <c r="J6147" t="s">
        <v>21218</v>
      </c>
      <c r="K6147" s="2" t="str">
        <f>HYPERLINK("http://collections.slsa.sa.gov.au/mpcimg/12500/B12487.htm")</f>
        <v>http://collections.slsa.sa.gov.au/mpcimg/12500/B12487.htm</v>
      </c>
    </row>
    <row r="6148" spans="1:11" x14ac:dyDescent="0.25">
      <c r="A6148" t="s">
        <v>21219</v>
      </c>
      <c r="B6148" s="1" t="str">
        <f>HYPERLINK("https://www.catalog.slsa.sa.gov.au/record=b2062106")</f>
        <v>https://www.catalog.slsa.sa.gov.au/record=b2062106</v>
      </c>
      <c r="C6148" s="1" t="str">
        <f>HYPERLINK("https://www.catalog.slsa.sa.gov.au/xrecord=b2062106")</f>
        <v>https://www.catalog.slsa.sa.gov.au/xrecord=b2062106</v>
      </c>
      <c r="D6148" t="s">
        <v>16831</v>
      </c>
      <c r="E6148" t="s">
        <v>16771</v>
      </c>
      <c r="F6148">
        <v>1952</v>
      </c>
      <c r="G6148" t="s">
        <v>20895</v>
      </c>
      <c r="H6148" t="s">
        <v>21220</v>
      </c>
      <c r="J6148" t="s">
        <v>21221</v>
      </c>
      <c r="K6148" s="2" t="str">
        <f>HYPERLINK("http://collections.slsa.sa.gov.au/mpcimg/12500/B12436.htm")</f>
        <v>http://collections.slsa.sa.gov.au/mpcimg/12500/B12436.htm</v>
      </c>
    </row>
    <row r="6149" spans="1:11" x14ac:dyDescent="0.25">
      <c r="A6149" t="s">
        <v>21222</v>
      </c>
      <c r="B6149" s="1" t="str">
        <f>HYPERLINK("https://www.catalog.slsa.sa.gov.au/record=b2062118")</f>
        <v>https://www.catalog.slsa.sa.gov.au/record=b2062118</v>
      </c>
      <c r="C6149" s="1" t="str">
        <f>HYPERLINK("https://www.catalog.slsa.sa.gov.au/xrecord=b2062118")</f>
        <v>https://www.catalog.slsa.sa.gov.au/xrecord=b2062118</v>
      </c>
      <c r="D6149" t="s">
        <v>16831</v>
      </c>
      <c r="E6149" t="s">
        <v>16771</v>
      </c>
      <c r="F6149">
        <v>1952</v>
      </c>
      <c r="G6149" t="s">
        <v>20895</v>
      </c>
      <c r="H6149" t="s">
        <v>21223</v>
      </c>
      <c r="J6149" t="s">
        <v>21224</v>
      </c>
      <c r="K6149" s="2" t="str">
        <f>HYPERLINK("http://collections.slsa.sa.gov.au/mpcimg/12500/B12437.htm")</f>
        <v>http://collections.slsa.sa.gov.au/mpcimg/12500/B12437.htm</v>
      </c>
    </row>
    <row r="6150" spans="1:11" x14ac:dyDescent="0.25">
      <c r="A6150" t="s">
        <v>21225</v>
      </c>
      <c r="B6150" s="1" t="str">
        <f>HYPERLINK("https://www.catalog.slsa.sa.gov.au/record=b2062319")</f>
        <v>https://www.catalog.slsa.sa.gov.au/record=b2062319</v>
      </c>
      <c r="C6150" s="1" t="str">
        <f>HYPERLINK("https://www.catalog.slsa.sa.gov.au/xrecord=b2062319")</f>
        <v>https://www.catalog.slsa.sa.gov.au/xrecord=b2062319</v>
      </c>
      <c r="D6150" t="s">
        <v>16831</v>
      </c>
      <c r="E6150" t="s">
        <v>16771</v>
      </c>
      <c r="F6150">
        <v>1952</v>
      </c>
      <c r="G6150" t="s">
        <v>20895</v>
      </c>
      <c r="H6150" t="s">
        <v>21226</v>
      </c>
      <c r="J6150" t="s">
        <v>21227</v>
      </c>
      <c r="K6150" s="2" t="str">
        <f>HYPERLINK("http://collections.slsa.sa.gov.au/mpcimg/12500/B12452.htm")</f>
        <v>http://collections.slsa.sa.gov.au/mpcimg/12500/B12452.htm</v>
      </c>
    </row>
    <row r="6151" spans="1:11" x14ac:dyDescent="0.25">
      <c r="A6151" t="s">
        <v>21228</v>
      </c>
      <c r="B6151" s="1" t="str">
        <f>HYPERLINK("https://www.catalog.slsa.sa.gov.au/record=b2062377")</f>
        <v>https://www.catalog.slsa.sa.gov.au/record=b2062377</v>
      </c>
      <c r="C6151" s="1" t="str">
        <f>HYPERLINK("https://www.catalog.slsa.sa.gov.au/xrecord=b2062377")</f>
        <v>https://www.catalog.slsa.sa.gov.au/xrecord=b2062377</v>
      </c>
      <c r="D6151" t="s">
        <v>16831</v>
      </c>
      <c r="E6151" t="s">
        <v>21212</v>
      </c>
      <c r="F6151">
        <v>1952</v>
      </c>
      <c r="G6151" t="s">
        <v>16674</v>
      </c>
      <c r="H6151" t="s">
        <v>21229</v>
      </c>
      <c r="J6151" t="s">
        <v>21230</v>
      </c>
      <c r="K6151" s="2" t="str">
        <f>HYPERLINK("http://collections.slsa.sa.gov.au/mpcimg/12750/B12517.htm")</f>
        <v>http://collections.slsa.sa.gov.au/mpcimg/12750/B12517.htm</v>
      </c>
    </row>
    <row r="6152" spans="1:11" x14ac:dyDescent="0.25">
      <c r="A6152" t="s">
        <v>21231</v>
      </c>
      <c r="B6152" s="1" t="str">
        <f>HYPERLINK("https://www.catalog.slsa.sa.gov.au/record=b2062520")</f>
        <v>https://www.catalog.slsa.sa.gov.au/record=b2062520</v>
      </c>
      <c r="C6152" s="1" t="str">
        <f>HYPERLINK("https://www.catalog.slsa.sa.gov.au/xrecord=b2062520")</f>
        <v>https://www.catalog.slsa.sa.gov.au/xrecord=b2062520</v>
      </c>
      <c r="D6152" t="s">
        <v>16831</v>
      </c>
      <c r="E6152" t="s">
        <v>21232</v>
      </c>
      <c r="F6152">
        <v>1952</v>
      </c>
      <c r="G6152" t="s">
        <v>20895</v>
      </c>
      <c r="H6152" t="s">
        <v>21233</v>
      </c>
      <c r="J6152" t="s">
        <v>21234</v>
      </c>
      <c r="K6152" s="2" t="str">
        <f>HYPERLINK("http://collections.slsa.sa.gov.au/mpcimg/12500/B12469.htm")</f>
        <v>http://collections.slsa.sa.gov.au/mpcimg/12500/B12469.htm</v>
      </c>
    </row>
    <row r="6153" spans="1:11" x14ac:dyDescent="0.25">
      <c r="A6153" t="s">
        <v>21235</v>
      </c>
      <c r="B6153" s="1" t="str">
        <f>HYPERLINK("https://www.catalog.slsa.sa.gov.au/record=b2062529")</f>
        <v>https://www.catalog.slsa.sa.gov.au/record=b2062529</v>
      </c>
      <c r="C6153" s="1" t="str">
        <f>HYPERLINK("https://www.catalog.slsa.sa.gov.au/xrecord=b2062529")</f>
        <v>https://www.catalog.slsa.sa.gov.au/xrecord=b2062529</v>
      </c>
      <c r="D6153" t="s">
        <v>16831</v>
      </c>
      <c r="E6153" t="s">
        <v>21236</v>
      </c>
      <c r="F6153">
        <v>1952</v>
      </c>
      <c r="G6153" t="s">
        <v>20895</v>
      </c>
      <c r="H6153" t="s">
        <v>21237</v>
      </c>
      <c r="J6153" t="s">
        <v>21238</v>
      </c>
      <c r="K6153" s="2" t="str">
        <f>HYPERLINK("http://collections.slsa.sa.gov.au/mpcimg/12500/B12496.htm")</f>
        <v>http://collections.slsa.sa.gov.au/mpcimg/12500/B12496.htm</v>
      </c>
    </row>
    <row r="6154" spans="1:11" x14ac:dyDescent="0.25">
      <c r="A6154" t="s">
        <v>21239</v>
      </c>
      <c r="B6154" s="1" t="str">
        <f>HYPERLINK("https://www.catalog.slsa.sa.gov.au/record=b2062553")</f>
        <v>https://www.catalog.slsa.sa.gov.au/record=b2062553</v>
      </c>
      <c r="C6154" s="1" t="str">
        <f>HYPERLINK("https://www.catalog.slsa.sa.gov.au/xrecord=b2062553")</f>
        <v>https://www.catalog.slsa.sa.gov.au/xrecord=b2062553</v>
      </c>
      <c r="D6154" t="s">
        <v>16831</v>
      </c>
      <c r="E6154" t="s">
        <v>21236</v>
      </c>
      <c r="F6154">
        <v>1952</v>
      </c>
      <c r="G6154" t="s">
        <v>20895</v>
      </c>
      <c r="H6154" t="s">
        <v>21240</v>
      </c>
      <c r="J6154" t="s">
        <v>21241</v>
      </c>
      <c r="K6154" s="2" t="str">
        <f>HYPERLINK("http://collections.slsa.sa.gov.au/mpcimg/12500/B12488.htm")</f>
        <v>http://collections.slsa.sa.gov.au/mpcimg/12500/B12488.htm</v>
      </c>
    </row>
    <row r="6155" spans="1:11" x14ac:dyDescent="0.25">
      <c r="A6155" t="s">
        <v>21242</v>
      </c>
      <c r="B6155" s="1" t="str">
        <f>HYPERLINK("https://www.catalog.slsa.sa.gov.au/record=b2062562")</f>
        <v>https://www.catalog.slsa.sa.gov.au/record=b2062562</v>
      </c>
      <c r="C6155" s="1" t="str">
        <f>HYPERLINK("https://www.catalog.slsa.sa.gov.au/xrecord=b2062562")</f>
        <v>https://www.catalog.slsa.sa.gov.au/xrecord=b2062562</v>
      </c>
      <c r="D6155" t="s">
        <v>16831</v>
      </c>
      <c r="E6155" t="s">
        <v>21243</v>
      </c>
      <c r="F6155">
        <v>1952</v>
      </c>
      <c r="G6155" t="s">
        <v>20895</v>
      </c>
      <c r="H6155" t="s">
        <v>21244</v>
      </c>
      <c r="I6155" t="s">
        <v>21245</v>
      </c>
      <c r="J6155" t="s">
        <v>21246</v>
      </c>
      <c r="K6155" s="2" t="str">
        <f>HYPERLINK("http://collections.slsa.sa.gov.au/mpcimg/12500/B12446.htm")</f>
        <v>http://collections.slsa.sa.gov.au/mpcimg/12500/B12446.htm</v>
      </c>
    </row>
    <row r="6156" spans="1:11" x14ac:dyDescent="0.25">
      <c r="A6156" t="s">
        <v>21247</v>
      </c>
      <c r="B6156" s="1" t="str">
        <f>HYPERLINK("https://www.catalog.slsa.sa.gov.au/record=b2062563")</f>
        <v>https://www.catalog.slsa.sa.gov.au/record=b2062563</v>
      </c>
      <c r="C6156" s="1" t="str">
        <f>HYPERLINK("https://www.catalog.slsa.sa.gov.au/xrecord=b2062563")</f>
        <v>https://www.catalog.slsa.sa.gov.au/xrecord=b2062563</v>
      </c>
      <c r="D6156" t="s">
        <v>16831</v>
      </c>
      <c r="E6156" t="s">
        <v>16827</v>
      </c>
      <c r="F6156">
        <v>1952</v>
      </c>
      <c r="G6156" t="s">
        <v>20895</v>
      </c>
      <c r="H6156" t="s">
        <v>21248</v>
      </c>
      <c r="J6156" t="s">
        <v>21246</v>
      </c>
      <c r="K6156" s="2" t="str">
        <f>HYPERLINK("http://collections.slsa.sa.gov.au/mpcimg/12500/B12447.htm")</f>
        <v>http://collections.slsa.sa.gov.au/mpcimg/12500/B12447.htm</v>
      </c>
    </row>
    <row r="6157" spans="1:11" x14ac:dyDescent="0.25">
      <c r="A6157" t="s">
        <v>21249</v>
      </c>
      <c r="B6157" s="1" t="str">
        <f>HYPERLINK("https://www.catalog.slsa.sa.gov.au/record=b2062616")</f>
        <v>https://www.catalog.slsa.sa.gov.au/record=b2062616</v>
      </c>
      <c r="C6157" s="1" t="str">
        <f>HYPERLINK("https://www.catalog.slsa.sa.gov.au/xrecord=b2062616")</f>
        <v>https://www.catalog.slsa.sa.gov.au/xrecord=b2062616</v>
      </c>
      <c r="D6157" t="s">
        <v>16831</v>
      </c>
      <c r="E6157" t="s">
        <v>21250</v>
      </c>
      <c r="F6157">
        <v>1952</v>
      </c>
      <c r="G6157" t="s">
        <v>20895</v>
      </c>
      <c r="H6157" t="s">
        <v>21251</v>
      </c>
      <c r="J6157" t="s">
        <v>16834</v>
      </c>
      <c r="K6157" s="2" t="str">
        <f>HYPERLINK("http://collections.slsa.sa.gov.au/mpcimg/12500/B12442.htm")</f>
        <v>http://collections.slsa.sa.gov.au/mpcimg/12500/B12442.htm</v>
      </c>
    </row>
    <row r="6158" spans="1:11" x14ac:dyDescent="0.25">
      <c r="A6158" t="s">
        <v>21252</v>
      </c>
      <c r="B6158" s="1" t="str">
        <f>HYPERLINK("https://www.catalog.slsa.sa.gov.au/record=b2062622")</f>
        <v>https://www.catalog.slsa.sa.gov.au/record=b2062622</v>
      </c>
      <c r="C6158" s="1" t="str">
        <f>HYPERLINK("https://www.catalog.slsa.sa.gov.au/xrecord=b2062622")</f>
        <v>https://www.catalog.slsa.sa.gov.au/xrecord=b2062622</v>
      </c>
      <c r="D6158" t="s">
        <v>16831</v>
      </c>
      <c r="E6158" t="s">
        <v>17109</v>
      </c>
      <c r="F6158">
        <v>1952</v>
      </c>
      <c r="G6158" t="s">
        <v>20063</v>
      </c>
      <c r="H6158" t="s">
        <v>21253</v>
      </c>
      <c r="J6158" t="s">
        <v>16834</v>
      </c>
      <c r="K6158" s="2" t="str">
        <f>HYPERLINK("http://collections.slsa.sa.gov.au/mpcimg/13250/B13138.htm")</f>
        <v>http://collections.slsa.sa.gov.au/mpcimg/13250/B13138.htm</v>
      </c>
    </row>
    <row r="6159" spans="1:11" x14ac:dyDescent="0.25">
      <c r="A6159" t="s">
        <v>21254</v>
      </c>
      <c r="B6159" s="1" t="str">
        <f>HYPERLINK("https://www.catalog.slsa.sa.gov.au/record=b2062738")</f>
        <v>https://www.catalog.slsa.sa.gov.au/record=b2062738</v>
      </c>
      <c r="C6159" s="1" t="str">
        <f>HYPERLINK("https://www.catalog.slsa.sa.gov.au/xrecord=b2062738")</f>
        <v>https://www.catalog.slsa.sa.gov.au/xrecord=b2062738</v>
      </c>
      <c r="D6159" t="s">
        <v>16831</v>
      </c>
      <c r="E6159" t="s">
        <v>21250</v>
      </c>
      <c r="F6159">
        <v>1952</v>
      </c>
      <c r="G6159" t="s">
        <v>20895</v>
      </c>
      <c r="H6159" t="s">
        <v>21255</v>
      </c>
      <c r="J6159" t="s">
        <v>21256</v>
      </c>
      <c r="K6159" s="2" t="str">
        <f>HYPERLINK("http://collections.slsa.sa.gov.au/mpcimg/12500/B12453.htm")</f>
        <v>http://collections.slsa.sa.gov.au/mpcimg/12500/B12453.htm</v>
      </c>
    </row>
    <row r="6160" spans="1:11" x14ac:dyDescent="0.25">
      <c r="A6160" t="s">
        <v>21257</v>
      </c>
      <c r="B6160" s="1" t="str">
        <f>HYPERLINK("https://www.catalog.slsa.sa.gov.au/record=b2062750")</f>
        <v>https://www.catalog.slsa.sa.gov.au/record=b2062750</v>
      </c>
      <c r="C6160" s="1" t="str">
        <f>HYPERLINK("https://www.catalog.slsa.sa.gov.au/xrecord=b2062750")</f>
        <v>https://www.catalog.slsa.sa.gov.au/xrecord=b2062750</v>
      </c>
      <c r="D6160" t="s">
        <v>16831</v>
      </c>
      <c r="E6160" t="s">
        <v>21250</v>
      </c>
      <c r="F6160">
        <v>1952</v>
      </c>
      <c r="G6160" t="s">
        <v>20895</v>
      </c>
      <c r="H6160" t="s">
        <v>21258</v>
      </c>
      <c r="J6160" t="s">
        <v>21259</v>
      </c>
      <c r="K6160" s="2" t="str">
        <f>HYPERLINK("http://collections.slsa.sa.gov.au/mpcimg/12500/B12445.htm")</f>
        <v>http://collections.slsa.sa.gov.au/mpcimg/12500/B12445.htm</v>
      </c>
    </row>
    <row r="6161" spans="1:11" x14ac:dyDescent="0.25">
      <c r="A6161" t="s">
        <v>21260</v>
      </c>
      <c r="B6161" s="1" t="str">
        <f>HYPERLINK("https://www.catalog.slsa.sa.gov.au/record=b2062820")</f>
        <v>https://www.catalog.slsa.sa.gov.au/record=b2062820</v>
      </c>
      <c r="C6161" s="1" t="str">
        <f>HYPERLINK("https://www.catalog.slsa.sa.gov.au/xrecord=b2062820")</f>
        <v>https://www.catalog.slsa.sa.gov.au/xrecord=b2062820</v>
      </c>
      <c r="D6161" t="s">
        <v>16831</v>
      </c>
      <c r="E6161" t="s">
        <v>21250</v>
      </c>
      <c r="F6161">
        <v>1952</v>
      </c>
      <c r="G6161" t="s">
        <v>20895</v>
      </c>
      <c r="H6161" t="s">
        <v>21261</v>
      </c>
      <c r="J6161" t="s">
        <v>21262</v>
      </c>
      <c r="K6161" s="2" t="str">
        <f>HYPERLINK("http://collections.slsa.sa.gov.au/mpcimg/12500/B12444.htm")</f>
        <v>http://collections.slsa.sa.gov.au/mpcimg/12500/B12444.htm</v>
      </c>
    </row>
    <row r="6162" spans="1:11" x14ac:dyDescent="0.25">
      <c r="A6162" t="s">
        <v>21263</v>
      </c>
      <c r="B6162" s="1" t="str">
        <f>HYPERLINK("https://www.catalog.slsa.sa.gov.au/record=b2062825")</f>
        <v>https://www.catalog.slsa.sa.gov.au/record=b2062825</v>
      </c>
      <c r="C6162" s="1" t="str">
        <f>HYPERLINK("https://www.catalog.slsa.sa.gov.au/xrecord=b2062825")</f>
        <v>https://www.catalog.slsa.sa.gov.au/xrecord=b2062825</v>
      </c>
      <c r="D6162" t="s">
        <v>16831</v>
      </c>
      <c r="E6162" t="s">
        <v>21250</v>
      </c>
      <c r="F6162">
        <v>1952</v>
      </c>
      <c r="G6162" t="s">
        <v>20895</v>
      </c>
      <c r="H6162" t="s">
        <v>21264</v>
      </c>
      <c r="J6162" t="s">
        <v>21265</v>
      </c>
      <c r="K6162" s="2" t="str">
        <f>HYPERLINK("http://collections.slsa.sa.gov.au/mpcimg/12500/B12443.htm")</f>
        <v>http://collections.slsa.sa.gov.au/mpcimg/12500/B12443.htm</v>
      </c>
    </row>
    <row r="6163" spans="1:11" x14ac:dyDescent="0.25">
      <c r="A6163" t="s">
        <v>21266</v>
      </c>
      <c r="B6163" s="1" t="str">
        <f>HYPERLINK("https://www.catalog.slsa.sa.gov.au/record=b2062832")</f>
        <v>https://www.catalog.slsa.sa.gov.au/record=b2062832</v>
      </c>
      <c r="C6163" s="1" t="str">
        <f>HYPERLINK("https://www.catalog.slsa.sa.gov.au/xrecord=b2062832")</f>
        <v>https://www.catalog.slsa.sa.gov.au/xrecord=b2062832</v>
      </c>
      <c r="D6163" t="s">
        <v>16831</v>
      </c>
      <c r="E6163" t="s">
        <v>21267</v>
      </c>
      <c r="F6163">
        <v>1952</v>
      </c>
      <c r="G6163" t="s">
        <v>20895</v>
      </c>
      <c r="H6163" t="s">
        <v>21268</v>
      </c>
      <c r="J6163" t="s">
        <v>21269</v>
      </c>
      <c r="K6163" s="2" t="str">
        <f>HYPERLINK("http://collections.slsa.sa.gov.au/mpcimg/12500/B12441.htm")</f>
        <v>http://collections.slsa.sa.gov.au/mpcimg/12500/B12441.htm</v>
      </c>
    </row>
    <row r="6164" spans="1:11" x14ac:dyDescent="0.25">
      <c r="A6164" t="s">
        <v>21270</v>
      </c>
      <c r="B6164" s="1" t="str">
        <f>HYPERLINK("https://www.catalog.slsa.sa.gov.au/record=b2062844")</f>
        <v>https://www.catalog.slsa.sa.gov.au/record=b2062844</v>
      </c>
      <c r="C6164" s="1" t="str">
        <f>HYPERLINK("https://www.catalog.slsa.sa.gov.au/xrecord=b2062844")</f>
        <v>https://www.catalog.slsa.sa.gov.au/xrecord=b2062844</v>
      </c>
      <c r="D6164" t="s">
        <v>16831</v>
      </c>
      <c r="E6164" t="s">
        <v>16771</v>
      </c>
      <c r="F6164">
        <v>1952</v>
      </c>
      <c r="G6164" t="s">
        <v>20895</v>
      </c>
      <c r="H6164" t="s">
        <v>21271</v>
      </c>
      <c r="J6164" t="s">
        <v>21272</v>
      </c>
      <c r="K6164" s="2" t="str">
        <f>HYPERLINK("http://collections.slsa.sa.gov.au/mpcimg/12500/B12439.htm")</f>
        <v>http://collections.slsa.sa.gov.au/mpcimg/12500/B12439.htm</v>
      </c>
    </row>
    <row r="6165" spans="1:11" x14ac:dyDescent="0.25">
      <c r="A6165" t="s">
        <v>21273</v>
      </c>
      <c r="B6165" s="1" t="str">
        <f>HYPERLINK("https://www.catalog.slsa.sa.gov.au/record=b2062853")</f>
        <v>https://www.catalog.slsa.sa.gov.au/record=b2062853</v>
      </c>
      <c r="C6165" s="1" t="str">
        <f>HYPERLINK("https://www.catalog.slsa.sa.gov.au/xrecord=b2062853")</f>
        <v>https://www.catalog.slsa.sa.gov.au/xrecord=b2062853</v>
      </c>
      <c r="D6165" t="s">
        <v>16831</v>
      </c>
      <c r="E6165" t="s">
        <v>16771</v>
      </c>
      <c r="F6165">
        <v>1952</v>
      </c>
      <c r="G6165" t="s">
        <v>20895</v>
      </c>
      <c r="H6165" t="s">
        <v>21274</v>
      </c>
      <c r="J6165" t="s">
        <v>21275</v>
      </c>
      <c r="K6165" s="2" t="str">
        <f>HYPERLINK("http://collections.slsa.sa.gov.au/mpcimg/12500/B12438.htm")</f>
        <v>http://collections.slsa.sa.gov.au/mpcimg/12500/B12438.htm</v>
      </c>
    </row>
    <row r="6166" spans="1:11" x14ac:dyDescent="0.25">
      <c r="A6166" t="s">
        <v>21276</v>
      </c>
      <c r="B6166" s="1" t="str">
        <f>HYPERLINK("https://www.catalog.slsa.sa.gov.au/record=b2062854")</f>
        <v>https://www.catalog.slsa.sa.gov.au/record=b2062854</v>
      </c>
      <c r="C6166" s="1" t="str">
        <f>HYPERLINK("https://www.catalog.slsa.sa.gov.au/xrecord=b2062854")</f>
        <v>https://www.catalog.slsa.sa.gov.au/xrecord=b2062854</v>
      </c>
      <c r="D6166" t="s">
        <v>16831</v>
      </c>
      <c r="E6166" t="s">
        <v>21277</v>
      </c>
      <c r="F6166">
        <v>1952</v>
      </c>
      <c r="G6166" t="s">
        <v>20895</v>
      </c>
      <c r="H6166" t="s">
        <v>21278</v>
      </c>
      <c r="J6166" t="s">
        <v>21275</v>
      </c>
      <c r="K6166" s="2" t="str">
        <f>HYPERLINK("http://collections.slsa.sa.gov.au/mpcimg/12500/B12494.htm")</f>
        <v>http://collections.slsa.sa.gov.au/mpcimg/12500/B12494.htm</v>
      </c>
    </row>
    <row r="6167" spans="1:11" x14ac:dyDescent="0.25">
      <c r="A6167" t="s">
        <v>21279</v>
      </c>
      <c r="B6167" s="1" t="str">
        <f>HYPERLINK("https://www.catalog.slsa.sa.gov.au/record=b2062862")</f>
        <v>https://www.catalog.slsa.sa.gov.au/record=b2062862</v>
      </c>
      <c r="C6167" s="1" t="str">
        <f>HYPERLINK("https://www.catalog.slsa.sa.gov.au/xrecord=b2062862")</f>
        <v>https://www.catalog.slsa.sa.gov.au/xrecord=b2062862</v>
      </c>
      <c r="D6167" t="s">
        <v>16831</v>
      </c>
      <c r="E6167" t="s">
        <v>21277</v>
      </c>
      <c r="F6167">
        <v>1952</v>
      </c>
      <c r="G6167" t="s">
        <v>16674</v>
      </c>
      <c r="H6167" t="s">
        <v>21280</v>
      </c>
      <c r="J6167" t="s">
        <v>21281</v>
      </c>
      <c r="K6167" s="2" t="str">
        <f>HYPERLINK("http://collections.slsa.sa.gov.au/mpcimg/12750/B12513.htm")</f>
        <v>http://collections.slsa.sa.gov.au/mpcimg/12750/B12513.htm</v>
      </c>
    </row>
    <row r="6168" spans="1:11" x14ac:dyDescent="0.25">
      <c r="A6168" t="s">
        <v>21282</v>
      </c>
      <c r="B6168" s="1" t="str">
        <f>HYPERLINK("https://www.catalog.slsa.sa.gov.au/record=b2062894")</f>
        <v>https://www.catalog.slsa.sa.gov.au/record=b2062894</v>
      </c>
      <c r="C6168" s="1" t="str">
        <f>HYPERLINK("https://www.catalog.slsa.sa.gov.au/xrecord=b2062894")</f>
        <v>https://www.catalog.slsa.sa.gov.au/xrecord=b2062894</v>
      </c>
      <c r="D6168" t="s">
        <v>16831</v>
      </c>
      <c r="E6168" t="s">
        <v>21283</v>
      </c>
      <c r="F6168">
        <v>1952</v>
      </c>
      <c r="G6168" t="s">
        <v>20895</v>
      </c>
      <c r="H6168" t="s">
        <v>21284</v>
      </c>
      <c r="J6168" t="s">
        <v>21285</v>
      </c>
      <c r="K6168" s="2" t="str">
        <f>HYPERLINK("http://collections.slsa.sa.gov.au/mpcimg/12500/B12483.htm")</f>
        <v>http://collections.slsa.sa.gov.au/mpcimg/12500/B12483.htm</v>
      </c>
    </row>
    <row r="6169" spans="1:11" x14ac:dyDescent="0.25">
      <c r="A6169" t="s">
        <v>21286</v>
      </c>
      <c r="B6169" s="1" t="str">
        <f>HYPERLINK("https://www.catalog.slsa.sa.gov.au/record=b2062917")</f>
        <v>https://www.catalog.slsa.sa.gov.au/record=b2062917</v>
      </c>
      <c r="C6169" s="1" t="str">
        <f>HYPERLINK("https://www.catalog.slsa.sa.gov.au/xrecord=b2062917")</f>
        <v>https://www.catalog.slsa.sa.gov.au/xrecord=b2062917</v>
      </c>
      <c r="D6169" t="s">
        <v>16831</v>
      </c>
      <c r="E6169" t="s">
        <v>21277</v>
      </c>
      <c r="F6169">
        <v>1952</v>
      </c>
      <c r="G6169" t="s">
        <v>20895</v>
      </c>
      <c r="H6169" t="s">
        <v>21287</v>
      </c>
      <c r="J6169" t="s">
        <v>21288</v>
      </c>
      <c r="K6169" s="2" t="str">
        <f>HYPERLINK("http://collections.slsa.sa.gov.au/mpcimg/12500/B12462.htm")</f>
        <v>http://collections.slsa.sa.gov.au/mpcimg/12500/B12462.htm</v>
      </c>
    </row>
    <row r="6170" spans="1:11" x14ac:dyDescent="0.25">
      <c r="A6170" t="s">
        <v>21289</v>
      </c>
      <c r="B6170" s="1" t="str">
        <f>HYPERLINK("https://www.catalog.slsa.sa.gov.au/record=b2062926")</f>
        <v>https://www.catalog.slsa.sa.gov.au/record=b2062926</v>
      </c>
      <c r="C6170" s="1" t="str">
        <f>HYPERLINK("https://www.catalog.slsa.sa.gov.au/xrecord=b2062926")</f>
        <v>https://www.catalog.slsa.sa.gov.au/xrecord=b2062926</v>
      </c>
      <c r="D6170" t="s">
        <v>16831</v>
      </c>
      <c r="E6170" t="s">
        <v>21277</v>
      </c>
      <c r="F6170">
        <v>1952</v>
      </c>
      <c r="G6170" t="s">
        <v>20895</v>
      </c>
      <c r="H6170" t="s">
        <v>21290</v>
      </c>
      <c r="J6170" t="s">
        <v>21291</v>
      </c>
      <c r="K6170" s="2" t="str">
        <f>HYPERLINK("http://collections.slsa.sa.gov.au/mpcimg/12500/B12491.htm")</f>
        <v>http://collections.slsa.sa.gov.au/mpcimg/12500/B12491.htm</v>
      </c>
    </row>
    <row r="6171" spans="1:11" x14ac:dyDescent="0.25">
      <c r="A6171" t="s">
        <v>21292</v>
      </c>
      <c r="B6171" s="1" t="str">
        <f>HYPERLINK("https://www.catalog.slsa.sa.gov.au/record=b2062934")</f>
        <v>https://www.catalog.slsa.sa.gov.au/record=b2062934</v>
      </c>
      <c r="C6171" s="1" t="str">
        <f>HYPERLINK("https://www.catalog.slsa.sa.gov.au/xrecord=b2062934")</f>
        <v>https://www.catalog.slsa.sa.gov.au/xrecord=b2062934</v>
      </c>
      <c r="D6171" t="s">
        <v>16831</v>
      </c>
      <c r="E6171" t="s">
        <v>21277</v>
      </c>
      <c r="F6171">
        <v>1952</v>
      </c>
      <c r="G6171" t="s">
        <v>16674</v>
      </c>
      <c r="H6171" t="s">
        <v>21293</v>
      </c>
      <c r="J6171" t="s">
        <v>21294</v>
      </c>
      <c r="K6171" s="2" t="str">
        <f>HYPERLINK("http://collections.slsa.sa.gov.au/mpcimg/12750/B12511.htm")</f>
        <v>http://collections.slsa.sa.gov.au/mpcimg/12750/B12511.htm</v>
      </c>
    </row>
    <row r="6172" spans="1:11" x14ac:dyDescent="0.25">
      <c r="A6172" t="s">
        <v>21295</v>
      </c>
      <c r="B6172" s="1" t="str">
        <f>HYPERLINK("https://www.catalog.slsa.sa.gov.au/record=b2062991")</f>
        <v>https://www.catalog.slsa.sa.gov.au/record=b2062991</v>
      </c>
      <c r="C6172" s="1" t="str">
        <f>HYPERLINK("https://www.catalog.slsa.sa.gov.au/xrecord=b2062991")</f>
        <v>https://www.catalog.slsa.sa.gov.au/xrecord=b2062991</v>
      </c>
      <c r="D6172" t="s">
        <v>16831</v>
      </c>
      <c r="E6172" t="s">
        <v>21296</v>
      </c>
      <c r="F6172">
        <v>1952</v>
      </c>
      <c r="G6172" t="s">
        <v>16674</v>
      </c>
      <c r="H6172" t="s">
        <v>21297</v>
      </c>
      <c r="J6172" t="s">
        <v>21298</v>
      </c>
      <c r="K6172" s="2" t="str">
        <f>HYPERLINK("http://collections.slsa.sa.gov.au/mpcimg/12750/B12505.htm")</f>
        <v>http://collections.slsa.sa.gov.au/mpcimg/12750/B12505.htm</v>
      </c>
    </row>
    <row r="6173" spans="1:11" x14ac:dyDescent="0.25">
      <c r="A6173" t="s">
        <v>21299</v>
      </c>
      <c r="B6173" s="1" t="str">
        <f>HYPERLINK("https://www.catalog.slsa.sa.gov.au/record=b2063006")</f>
        <v>https://www.catalog.slsa.sa.gov.au/record=b2063006</v>
      </c>
      <c r="C6173" s="1" t="str">
        <f>HYPERLINK("https://www.catalog.slsa.sa.gov.au/xrecord=b2063006")</f>
        <v>https://www.catalog.slsa.sa.gov.au/xrecord=b2063006</v>
      </c>
      <c r="D6173" t="s">
        <v>16831</v>
      </c>
      <c r="E6173" t="s">
        <v>21300</v>
      </c>
      <c r="F6173">
        <v>1952</v>
      </c>
      <c r="G6173" t="s">
        <v>16674</v>
      </c>
      <c r="H6173" t="s">
        <v>21301</v>
      </c>
      <c r="J6173" t="s">
        <v>21302</v>
      </c>
      <c r="K6173" s="2" t="str">
        <f>HYPERLINK("http://collections.slsa.sa.gov.au/mpcimg/12750/B12501.htm")</f>
        <v>http://collections.slsa.sa.gov.au/mpcimg/12750/B12501.htm</v>
      </c>
    </row>
    <row r="6174" spans="1:11" x14ac:dyDescent="0.25">
      <c r="A6174" t="s">
        <v>21303</v>
      </c>
      <c r="B6174" s="1" t="str">
        <f>HYPERLINK("https://www.catalog.slsa.sa.gov.au/record=b2063012")</f>
        <v>https://www.catalog.slsa.sa.gov.au/record=b2063012</v>
      </c>
      <c r="C6174" s="1" t="str">
        <f>HYPERLINK("https://www.catalog.slsa.sa.gov.au/xrecord=b2063012")</f>
        <v>https://www.catalog.slsa.sa.gov.au/xrecord=b2063012</v>
      </c>
      <c r="D6174" t="s">
        <v>16831</v>
      </c>
      <c r="E6174" t="s">
        <v>21304</v>
      </c>
      <c r="F6174">
        <v>1952</v>
      </c>
      <c r="G6174" t="s">
        <v>20895</v>
      </c>
      <c r="H6174" t="s">
        <v>21305</v>
      </c>
      <c r="J6174" t="s">
        <v>21306</v>
      </c>
      <c r="K6174" s="2" t="str">
        <f>HYPERLINK("http://collections.slsa.sa.gov.au/mpcimg/12500/B12500.htm")</f>
        <v>http://collections.slsa.sa.gov.au/mpcimg/12500/B12500.htm</v>
      </c>
    </row>
    <row r="6175" spans="1:11" x14ac:dyDescent="0.25">
      <c r="A6175" t="s">
        <v>21307</v>
      </c>
      <c r="B6175" s="1" t="str">
        <f>HYPERLINK("https://www.catalog.slsa.sa.gov.au/record=b2063013")</f>
        <v>https://www.catalog.slsa.sa.gov.au/record=b2063013</v>
      </c>
      <c r="C6175" s="1" t="str">
        <f>HYPERLINK("https://www.catalog.slsa.sa.gov.au/xrecord=b2063013")</f>
        <v>https://www.catalog.slsa.sa.gov.au/xrecord=b2063013</v>
      </c>
      <c r="D6175" t="s">
        <v>16831</v>
      </c>
      <c r="E6175" t="s">
        <v>21304</v>
      </c>
      <c r="F6175">
        <v>1952</v>
      </c>
      <c r="G6175" t="s">
        <v>16674</v>
      </c>
      <c r="H6175" t="s">
        <v>21308</v>
      </c>
      <c r="J6175" t="s">
        <v>21306</v>
      </c>
      <c r="K6175" s="2" t="str">
        <f>HYPERLINK("http://collections.slsa.sa.gov.au/mpcimg/12750/B12502.htm")</f>
        <v>http://collections.slsa.sa.gov.au/mpcimg/12750/B12502.htm</v>
      </c>
    </row>
    <row r="6176" spans="1:11" x14ac:dyDescent="0.25">
      <c r="A6176" t="s">
        <v>21309</v>
      </c>
      <c r="B6176" s="1" t="str">
        <f>HYPERLINK("https://www.catalog.slsa.sa.gov.au/record=b2063062")</f>
        <v>https://www.catalog.slsa.sa.gov.au/record=b2063062</v>
      </c>
      <c r="C6176" s="1" t="str">
        <f>HYPERLINK("https://www.catalog.slsa.sa.gov.au/xrecord=b2063062")</f>
        <v>https://www.catalog.slsa.sa.gov.au/xrecord=b2063062</v>
      </c>
      <c r="D6176" t="s">
        <v>16831</v>
      </c>
      <c r="E6176" t="s">
        <v>21304</v>
      </c>
      <c r="F6176">
        <v>1952</v>
      </c>
      <c r="G6176" t="s">
        <v>16674</v>
      </c>
      <c r="H6176" t="s">
        <v>21310</v>
      </c>
      <c r="J6176" t="s">
        <v>21311</v>
      </c>
      <c r="K6176" s="2" t="str">
        <f>HYPERLINK("http://collections.slsa.sa.gov.au/mpcimg/12500/B12334.htm")</f>
        <v>http://collections.slsa.sa.gov.au/mpcimg/12500/B12334.htm</v>
      </c>
    </row>
    <row r="6177" spans="1:11" x14ac:dyDescent="0.25">
      <c r="A6177" t="s">
        <v>21312</v>
      </c>
      <c r="B6177" s="1" t="str">
        <f>HYPERLINK("https://www.catalog.slsa.sa.gov.au/record=b2063104")</f>
        <v>https://www.catalog.slsa.sa.gov.au/record=b2063104</v>
      </c>
      <c r="C6177" s="1" t="str">
        <f>HYPERLINK("https://www.catalog.slsa.sa.gov.au/xrecord=b2063104")</f>
        <v>https://www.catalog.slsa.sa.gov.au/xrecord=b2063104</v>
      </c>
      <c r="D6177" t="s">
        <v>16831</v>
      </c>
      <c r="E6177" t="s">
        <v>16771</v>
      </c>
      <c r="F6177">
        <v>1952</v>
      </c>
      <c r="G6177" t="s">
        <v>20895</v>
      </c>
      <c r="H6177" t="s">
        <v>21313</v>
      </c>
      <c r="J6177" t="s">
        <v>21314</v>
      </c>
      <c r="K6177" s="2" t="str">
        <f>HYPERLINK("http://collections.slsa.sa.gov.au/mpcimg/12500/B12440.htm")</f>
        <v>http://collections.slsa.sa.gov.au/mpcimg/12500/B12440.htm</v>
      </c>
    </row>
    <row r="6178" spans="1:11" x14ac:dyDescent="0.25">
      <c r="A6178" t="s">
        <v>21315</v>
      </c>
      <c r="B6178" s="1" t="str">
        <f>HYPERLINK("https://www.catalog.slsa.sa.gov.au/record=b2063116")</f>
        <v>https://www.catalog.slsa.sa.gov.au/record=b2063116</v>
      </c>
      <c r="C6178" s="1" t="str">
        <f>HYPERLINK("https://www.catalog.slsa.sa.gov.au/xrecord=b2063116")</f>
        <v>https://www.catalog.slsa.sa.gov.au/xrecord=b2063116</v>
      </c>
      <c r="D6178" t="s">
        <v>16831</v>
      </c>
      <c r="E6178" t="s">
        <v>16771</v>
      </c>
      <c r="F6178">
        <v>1952</v>
      </c>
      <c r="G6178" t="s">
        <v>20895</v>
      </c>
      <c r="H6178" t="s">
        <v>21316</v>
      </c>
      <c r="J6178" t="s">
        <v>21317</v>
      </c>
      <c r="K6178" s="2" t="str">
        <f>HYPERLINK("http://collections.slsa.sa.gov.au/mpcimg/12500/B12449.htm")</f>
        <v>http://collections.slsa.sa.gov.au/mpcimg/12500/B12449.htm</v>
      </c>
    </row>
    <row r="6179" spans="1:11" x14ac:dyDescent="0.25">
      <c r="A6179" t="s">
        <v>21318</v>
      </c>
      <c r="B6179" s="1" t="str">
        <f>HYPERLINK("https://www.catalog.slsa.sa.gov.au/record=b2063122")</f>
        <v>https://www.catalog.slsa.sa.gov.au/record=b2063122</v>
      </c>
      <c r="C6179" s="1" t="str">
        <f>HYPERLINK("https://www.catalog.slsa.sa.gov.au/xrecord=b2063122")</f>
        <v>https://www.catalog.slsa.sa.gov.au/xrecord=b2063122</v>
      </c>
      <c r="D6179" t="s">
        <v>16831</v>
      </c>
      <c r="E6179" t="s">
        <v>21304</v>
      </c>
      <c r="F6179">
        <v>1952</v>
      </c>
      <c r="G6179" t="s">
        <v>16674</v>
      </c>
      <c r="H6179" t="s">
        <v>21319</v>
      </c>
      <c r="J6179" t="s">
        <v>21320</v>
      </c>
      <c r="K6179" s="2" t="str">
        <f>HYPERLINK("http://collections.slsa.sa.gov.au/mpcimg/12750/B12503.htm")</f>
        <v>http://collections.slsa.sa.gov.au/mpcimg/12750/B12503.htm</v>
      </c>
    </row>
    <row r="6180" spans="1:11" x14ac:dyDescent="0.25">
      <c r="A6180" t="s">
        <v>21321</v>
      </c>
      <c r="B6180" s="1" t="str">
        <f>HYPERLINK("https://www.catalog.slsa.sa.gov.au/record=b2063152")</f>
        <v>https://www.catalog.slsa.sa.gov.au/record=b2063152</v>
      </c>
      <c r="C6180" s="1" t="str">
        <f>HYPERLINK("https://www.catalog.slsa.sa.gov.au/xrecord=b2063152")</f>
        <v>https://www.catalog.slsa.sa.gov.au/xrecord=b2063152</v>
      </c>
      <c r="D6180" t="s">
        <v>16831</v>
      </c>
      <c r="E6180" t="s">
        <v>21304</v>
      </c>
      <c r="F6180">
        <v>1952</v>
      </c>
      <c r="G6180" t="s">
        <v>16674</v>
      </c>
      <c r="H6180" t="s">
        <v>21322</v>
      </c>
      <c r="J6180" t="s">
        <v>21323</v>
      </c>
      <c r="K6180" s="2" t="str">
        <f>HYPERLINK("http://collections.slsa.sa.gov.au/mpcimg/12750/B12504.htm")</f>
        <v>http://collections.slsa.sa.gov.au/mpcimg/12750/B12504.htm</v>
      </c>
    </row>
    <row r="6181" spans="1:11" x14ac:dyDescent="0.25">
      <c r="A6181" t="s">
        <v>21324</v>
      </c>
      <c r="B6181" s="1" t="str">
        <f>HYPERLINK("https://www.catalog.slsa.sa.gov.au/record=b2063164")</f>
        <v>https://www.catalog.slsa.sa.gov.au/record=b2063164</v>
      </c>
      <c r="C6181" s="1" t="str">
        <f>HYPERLINK("https://www.catalog.slsa.sa.gov.au/xrecord=b2063164")</f>
        <v>https://www.catalog.slsa.sa.gov.au/xrecord=b2063164</v>
      </c>
      <c r="D6181" t="s">
        <v>16831</v>
      </c>
      <c r="E6181" t="s">
        <v>21304</v>
      </c>
      <c r="F6181">
        <v>1952</v>
      </c>
      <c r="G6181" t="s">
        <v>20895</v>
      </c>
      <c r="H6181" t="s">
        <v>21325</v>
      </c>
      <c r="J6181" t="s">
        <v>21326</v>
      </c>
      <c r="K6181" s="2" t="str">
        <f>HYPERLINK("http://collections.slsa.sa.gov.au/mpcimg/12500/B12473.htm")</f>
        <v>http://collections.slsa.sa.gov.au/mpcimg/12500/B12473.htm</v>
      </c>
    </row>
    <row r="6182" spans="1:11" x14ac:dyDescent="0.25">
      <c r="A6182" t="s">
        <v>21327</v>
      </c>
      <c r="B6182" s="1" t="str">
        <f>HYPERLINK("https://www.catalog.slsa.sa.gov.au/record=b2063203")</f>
        <v>https://www.catalog.slsa.sa.gov.au/record=b2063203</v>
      </c>
      <c r="C6182" s="1" t="str">
        <f>HYPERLINK("https://www.catalog.slsa.sa.gov.au/xrecord=b2063203")</f>
        <v>https://www.catalog.slsa.sa.gov.au/xrecord=b2063203</v>
      </c>
      <c r="D6182" t="s">
        <v>16831</v>
      </c>
      <c r="E6182" t="s">
        <v>20974</v>
      </c>
      <c r="F6182">
        <v>1952</v>
      </c>
      <c r="G6182" t="s">
        <v>16674</v>
      </c>
      <c r="H6182" t="s">
        <v>21328</v>
      </c>
      <c r="J6182" t="s">
        <v>21329</v>
      </c>
      <c r="K6182" s="2" t="str">
        <f>HYPERLINK("http://collections.slsa.sa.gov.au/mpcimg/12750/B12507.htm")</f>
        <v>http://collections.slsa.sa.gov.au/mpcimg/12750/B12507.htm</v>
      </c>
    </row>
    <row r="6183" spans="1:11" x14ac:dyDescent="0.25">
      <c r="A6183" t="s">
        <v>21330</v>
      </c>
      <c r="B6183" s="1" t="str">
        <f>HYPERLINK("https://www.catalog.slsa.sa.gov.au/record=b2063479")</f>
        <v>https://www.catalog.slsa.sa.gov.au/record=b2063479</v>
      </c>
      <c r="C6183" s="1" t="str">
        <f>HYPERLINK("https://www.catalog.slsa.sa.gov.au/xrecord=b2063479")</f>
        <v>https://www.catalog.slsa.sa.gov.au/xrecord=b2063479</v>
      </c>
      <c r="D6183" t="s">
        <v>16831</v>
      </c>
      <c r="E6183" t="s">
        <v>17735</v>
      </c>
      <c r="F6183">
        <v>1952</v>
      </c>
      <c r="G6183" t="s">
        <v>20895</v>
      </c>
      <c r="H6183" t="s">
        <v>21331</v>
      </c>
      <c r="J6183" t="s">
        <v>21332</v>
      </c>
      <c r="K6183" s="2" t="str">
        <f>HYPERLINK("http://collections.slsa.sa.gov.au/mpcimg/12500/B12324.htm")</f>
        <v>http://collections.slsa.sa.gov.au/mpcimg/12500/B12324.htm</v>
      </c>
    </row>
    <row r="6184" spans="1:11" x14ac:dyDescent="0.25">
      <c r="A6184" t="s">
        <v>21333</v>
      </c>
      <c r="B6184" s="1" t="str">
        <f>HYPERLINK("https://www.catalog.slsa.sa.gov.au/record=b2063518")</f>
        <v>https://www.catalog.slsa.sa.gov.au/record=b2063518</v>
      </c>
      <c r="C6184" s="1" t="str">
        <f>HYPERLINK("https://www.catalog.slsa.sa.gov.au/xrecord=b2063518")</f>
        <v>https://www.catalog.slsa.sa.gov.au/xrecord=b2063518</v>
      </c>
      <c r="D6184" t="s">
        <v>16831</v>
      </c>
      <c r="E6184" t="s">
        <v>17735</v>
      </c>
      <c r="F6184">
        <v>1952</v>
      </c>
      <c r="G6184" t="s">
        <v>20895</v>
      </c>
      <c r="H6184" t="s">
        <v>21334</v>
      </c>
      <c r="J6184" t="s">
        <v>21335</v>
      </c>
      <c r="K6184" s="2" t="str">
        <f>HYPERLINK("http://collections.slsa.sa.gov.au/mpcimg/12500/B12325.htm")</f>
        <v>http://collections.slsa.sa.gov.au/mpcimg/12500/B12325.htm</v>
      </c>
    </row>
    <row r="6185" spans="1:11" x14ac:dyDescent="0.25">
      <c r="A6185" t="s">
        <v>21336</v>
      </c>
      <c r="B6185" s="1" t="str">
        <f>HYPERLINK("https://www.catalog.slsa.sa.gov.au/record=b2064923")</f>
        <v>https://www.catalog.slsa.sa.gov.au/record=b2064923</v>
      </c>
      <c r="C6185" s="1" t="str">
        <f>HYPERLINK("https://www.catalog.slsa.sa.gov.au/xrecord=b2064923")</f>
        <v>https://www.catalog.slsa.sa.gov.au/xrecord=b2064923</v>
      </c>
      <c r="E6185" t="s">
        <v>21337</v>
      </c>
      <c r="F6185">
        <v>1952</v>
      </c>
      <c r="G6185" t="s">
        <v>21338</v>
      </c>
      <c r="H6185" t="s">
        <v>21339</v>
      </c>
      <c r="I6185" t="s">
        <v>21340</v>
      </c>
      <c r="J6185" t="s">
        <v>21341</v>
      </c>
      <c r="K6185" s="2" t="str">
        <f>HYPERLINK("http://collections.slsa.sa.gov.au/mpcimg/24000/B23916.htm")</f>
        <v>http://collections.slsa.sa.gov.au/mpcimg/24000/B23916.htm</v>
      </c>
    </row>
    <row r="6186" spans="1:11" x14ac:dyDescent="0.25">
      <c r="A6186" t="s">
        <v>21342</v>
      </c>
      <c r="B6186" s="1" t="str">
        <f>HYPERLINK("https://www.catalog.slsa.sa.gov.au/record=b2065205")</f>
        <v>https://www.catalog.slsa.sa.gov.au/record=b2065205</v>
      </c>
      <c r="C6186" s="1" t="str">
        <f>HYPERLINK("https://www.catalog.slsa.sa.gov.au/xrecord=b2065205")</f>
        <v>https://www.catalog.slsa.sa.gov.au/xrecord=b2065205</v>
      </c>
      <c r="D6186" t="s">
        <v>16831</v>
      </c>
      <c r="E6186" t="s">
        <v>21343</v>
      </c>
      <c r="F6186">
        <v>1952</v>
      </c>
      <c r="G6186" t="s">
        <v>20895</v>
      </c>
      <c r="H6186" t="s">
        <v>21344</v>
      </c>
      <c r="I6186" t="s">
        <v>21345</v>
      </c>
      <c r="J6186" t="s">
        <v>21346</v>
      </c>
      <c r="K6186" s="2" t="str">
        <f>HYPERLINK("http://collections.slsa.sa.gov.au/mpcimg/12500/B12475.htm")</f>
        <v>http://collections.slsa.sa.gov.au/mpcimg/12500/B12475.htm</v>
      </c>
    </row>
    <row r="6187" spans="1:11" x14ac:dyDescent="0.25">
      <c r="A6187" t="s">
        <v>21347</v>
      </c>
      <c r="B6187" s="1" t="str">
        <f>HYPERLINK("https://www.catalog.slsa.sa.gov.au/record=b2066171")</f>
        <v>https://www.catalog.slsa.sa.gov.au/record=b2066171</v>
      </c>
      <c r="C6187" s="1" t="str">
        <f>HYPERLINK("https://www.catalog.slsa.sa.gov.au/xrecord=b2066171")</f>
        <v>https://www.catalog.slsa.sa.gov.au/xrecord=b2066171</v>
      </c>
      <c r="E6187" t="s">
        <v>21348</v>
      </c>
      <c r="F6187">
        <v>1952</v>
      </c>
      <c r="G6187" t="s">
        <v>21349</v>
      </c>
      <c r="H6187" t="s">
        <v>21350</v>
      </c>
      <c r="J6187" t="s">
        <v>21351</v>
      </c>
      <c r="K6187" s="2" t="str">
        <f>HYPERLINK("http://collections.slsa.sa.gov.au/mpcimg/22000/B21972.htm")</f>
        <v>http://collections.slsa.sa.gov.au/mpcimg/22000/B21972.htm</v>
      </c>
    </row>
    <row r="6188" spans="1:11" x14ac:dyDescent="0.25">
      <c r="A6188" t="s">
        <v>21352</v>
      </c>
      <c r="B6188" s="1" t="str">
        <f>HYPERLINK("https://www.catalog.slsa.sa.gov.au/record=b2066172")</f>
        <v>https://www.catalog.slsa.sa.gov.au/record=b2066172</v>
      </c>
      <c r="C6188" s="1" t="str">
        <f>HYPERLINK("https://www.catalog.slsa.sa.gov.au/xrecord=b2066172")</f>
        <v>https://www.catalog.slsa.sa.gov.au/xrecord=b2066172</v>
      </c>
      <c r="E6188" t="s">
        <v>21353</v>
      </c>
      <c r="F6188">
        <v>1952</v>
      </c>
      <c r="G6188" t="s">
        <v>21349</v>
      </c>
      <c r="H6188" t="s">
        <v>21350</v>
      </c>
      <c r="J6188" t="s">
        <v>21351</v>
      </c>
      <c r="K6188" s="2" t="str">
        <f>HYPERLINK("http://collections.slsa.sa.gov.au/mpcimg/22000/B21973.htm")</f>
        <v>http://collections.slsa.sa.gov.au/mpcimg/22000/B21973.htm</v>
      </c>
    </row>
    <row r="6189" spans="1:11" x14ac:dyDescent="0.25">
      <c r="A6189" t="s">
        <v>21354</v>
      </c>
      <c r="B6189" s="1" t="str">
        <f>HYPERLINK("https://www.catalog.slsa.sa.gov.au/record=b2067117")</f>
        <v>https://www.catalog.slsa.sa.gov.au/record=b2067117</v>
      </c>
      <c r="C6189" s="1" t="str">
        <f>HYPERLINK("https://www.catalog.slsa.sa.gov.au/xrecord=b2067117")</f>
        <v>https://www.catalog.slsa.sa.gov.au/xrecord=b2067117</v>
      </c>
      <c r="D6189" t="s">
        <v>2939</v>
      </c>
      <c r="E6189" t="s">
        <v>21355</v>
      </c>
      <c r="F6189">
        <v>1952</v>
      </c>
      <c r="G6189" t="s">
        <v>21356</v>
      </c>
      <c r="H6189" t="s">
        <v>21357</v>
      </c>
      <c r="I6189" t="s">
        <v>20822</v>
      </c>
      <c r="J6189" t="s">
        <v>21358</v>
      </c>
      <c r="K6189" s="2" t="str">
        <f>HYPERLINK("http://collections.slsa.sa.gov.au/mpcimg/13000/B12884.htm")</f>
        <v>http://collections.slsa.sa.gov.au/mpcimg/13000/B12884.htm</v>
      </c>
    </row>
    <row r="6190" spans="1:11" x14ac:dyDescent="0.25">
      <c r="A6190" t="s">
        <v>21359</v>
      </c>
      <c r="B6190" s="1" t="str">
        <f>HYPERLINK("https://www.catalog.slsa.sa.gov.au/record=b2067126")</f>
        <v>https://www.catalog.slsa.sa.gov.au/record=b2067126</v>
      </c>
      <c r="C6190" s="1" t="str">
        <f>HYPERLINK("https://www.catalog.slsa.sa.gov.au/xrecord=b2067126")</f>
        <v>https://www.catalog.slsa.sa.gov.au/xrecord=b2067126</v>
      </c>
      <c r="D6190" t="s">
        <v>15650</v>
      </c>
      <c r="E6190" t="s">
        <v>21360</v>
      </c>
      <c r="F6190">
        <v>1952</v>
      </c>
      <c r="G6190" t="s">
        <v>21361</v>
      </c>
      <c r="H6190" t="s">
        <v>21362</v>
      </c>
      <c r="I6190" t="s">
        <v>21363</v>
      </c>
      <c r="J6190" t="s">
        <v>21358</v>
      </c>
      <c r="K6190" s="2" t="str">
        <f>HYPERLINK("http://collections.slsa.sa.gov.au/mpcimg/18750/B18518.htm")</f>
        <v>http://collections.slsa.sa.gov.au/mpcimg/18750/B18518.htm</v>
      </c>
    </row>
    <row r="6191" spans="1:11" x14ac:dyDescent="0.25">
      <c r="A6191" t="s">
        <v>21364</v>
      </c>
      <c r="B6191" s="1" t="str">
        <f>HYPERLINK("https://www.catalog.slsa.sa.gov.au/record=b2073678")</f>
        <v>https://www.catalog.slsa.sa.gov.au/record=b2073678</v>
      </c>
      <c r="C6191" s="1" t="str">
        <f>HYPERLINK("https://www.catalog.slsa.sa.gov.au/xrecord=b2073678")</f>
        <v>https://www.catalog.slsa.sa.gov.au/xrecord=b2073678</v>
      </c>
      <c r="D6191" t="s">
        <v>21365</v>
      </c>
      <c r="E6191" t="s">
        <v>21366</v>
      </c>
      <c r="F6191">
        <v>1952</v>
      </c>
      <c r="G6191" t="s">
        <v>21367</v>
      </c>
      <c r="H6191" t="s">
        <v>21368</v>
      </c>
      <c r="I6191" t="s">
        <v>21369</v>
      </c>
      <c r="J6191" t="s">
        <v>2510</v>
      </c>
      <c r="K6191" s="2" t="str">
        <f>HYPERLINK("http://collections.slsa.sa.gov.au/mpcimg/63250/B63204.htm")</f>
        <v>http://collections.slsa.sa.gov.au/mpcimg/63250/B63204.htm</v>
      </c>
    </row>
    <row r="6192" spans="1:11" x14ac:dyDescent="0.25">
      <c r="A6192" t="s">
        <v>21370</v>
      </c>
      <c r="B6192" s="1" t="str">
        <f>HYPERLINK("https://www.catalog.slsa.sa.gov.au/record=b2074034")</f>
        <v>https://www.catalog.slsa.sa.gov.au/record=b2074034</v>
      </c>
      <c r="C6192" s="1" t="str">
        <f>HYPERLINK("https://www.catalog.slsa.sa.gov.au/xrecord=b2074034")</f>
        <v>https://www.catalog.slsa.sa.gov.au/xrecord=b2074034</v>
      </c>
      <c r="D6192" t="s">
        <v>15257</v>
      </c>
      <c r="E6192" t="s">
        <v>21371</v>
      </c>
      <c r="F6192">
        <v>1952</v>
      </c>
      <c r="G6192" t="s">
        <v>21372</v>
      </c>
      <c r="H6192" t="s">
        <v>21373</v>
      </c>
      <c r="I6192" t="s">
        <v>21374</v>
      </c>
      <c r="J6192" t="s">
        <v>14911</v>
      </c>
      <c r="K6192" s="2" t="str">
        <f>HYPERLINK("http://collections.slsa.sa.gov.au/mpcimg/63500/B63493.htm")</f>
        <v>http://collections.slsa.sa.gov.au/mpcimg/63500/B63493.htm</v>
      </c>
    </row>
    <row r="6193" spans="1:11" x14ac:dyDescent="0.25">
      <c r="A6193" t="s">
        <v>21375</v>
      </c>
      <c r="B6193" s="1" t="str">
        <f>HYPERLINK("https://www.catalog.slsa.sa.gov.au/record=b2077348")</f>
        <v>https://www.catalog.slsa.sa.gov.au/record=b2077348</v>
      </c>
      <c r="C6193" s="1" t="str">
        <f>HYPERLINK("https://www.catalog.slsa.sa.gov.au/xrecord=b2077348")</f>
        <v>https://www.catalog.slsa.sa.gov.au/xrecord=b2077348</v>
      </c>
      <c r="E6193" t="s">
        <v>21376</v>
      </c>
      <c r="F6193">
        <v>1952</v>
      </c>
      <c r="G6193" t="s">
        <v>17356</v>
      </c>
      <c r="H6193" t="s">
        <v>21377</v>
      </c>
      <c r="J6193" t="s">
        <v>15778</v>
      </c>
      <c r="K6193" s="2" t="str">
        <f>HYPERLINK("http://collections.slsa.sa.gov.au/mpcimg/55500/B55295.htm")</f>
        <v>http://collections.slsa.sa.gov.au/mpcimg/55500/B55295.htm</v>
      </c>
    </row>
    <row r="6194" spans="1:11" x14ac:dyDescent="0.25">
      <c r="A6194" t="s">
        <v>21378</v>
      </c>
      <c r="B6194" s="1" t="str">
        <f>HYPERLINK("https://www.catalog.slsa.sa.gov.au/record=b2077349")</f>
        <v>https://www.catalog.slsa.sa.gov.au/record=b2077349</v>
      </c>
      <c r="C6194" s="1" t="str">
        <f>HYPERLINK("https://www.catalog.slsa.sa.gov.au/xrecord=b2077349")</f>
        <v>https://www.catalog.slsa.sa.gov.au/xrecord=b2077349</v>
      </c>
      <c r="E6194" t="s">
        <v>21379</v>
      </c>
      <c r="F6194">
        <v>1952</v>
      </c>
      <c r="G6194" t="s">
        <v>17356</v>
      </c>
      <c r="H6194" t="s">
        <v>21380</v>
      </c>
      <c r="J6194" t="s">
        <v>15778</v>
      </c>
      <c r="K6194" s="2" t="str">
        <f>HYPERLINK("http://collections.slsa.sa.gov.au/mpcimg/55500/B55296.htm")</f>
        <v>http://collections.slsa.sa.gov.au/mpcimg/55500/B55296.htm</v>
      </c>
    </row>
    <row r="6195" spans="1:11" x14ac:dyDescent="0.25">
      <c r="A6195" t="s">
        <v>21381</v>
      </c>
      <c r="B6195" s="1" t="str">
        <f>HYPERLINK("https://www.catalog.slsa.sa.gov.au/record=b2077356")</f>
        <v>https://www.catalog.slsa.sa.gov.au/record=b2077356</v>
      </c>
      <c r="C6195" s="1" t="str">
        <f>HYPERLINK("https://www.catalog.slsa.sa.gov.au/xrecord=b2077356")</f>
        <v>https://www.catalog.slsa.sa.gov.au/xrecord=b2077356</v>
      </c>
      <c r="E6195" t="s">
        <v>21382</v>
      </c>
      <c r="F6195">
        <v>1952</v>
      </c>
      <c r="G6195" t="s">
        <v>17356</v>
      </c>
      <c r="H6195" t="s">
        <v>21383</v>
      </c>
      <c r="I6195" t="s">
        <v>21384</v>
      </c>
      <c r="J6195" t="s">
        <v>16421</v>
      </c>
      <c r="K6195" s="2" t="str">
        <f>HYPERLINK("http://collections.slsa.sa.gov.au/mpcimg/55500/B55303.htm")</f>
        <v>http://collections.slsa.sa.gov.au/mpcimg/55500/B55303.htm</v>
      </c>
    </row>
    <row r="6196" spans="1:11" x14ac:dyDescent="0.25">
      <c r="A6196" t="s">
        <v>21385</v>
      </c>
      <c r="B6196" s="1" t="str">
        <f>HYPERLINK("https://www.catalog.slsa.sa.gov.au/record=b2077357")</f>
        <v>https://www.catalog.slsa.sa.gov.au/record=b2077357</v>
      </c>
      <c r="C6196" s="1" t="str">
        <f>HYPERLINK("https://www.catalog.slsa.sa.gov.au/xrecord=b2077357")</f>
        <v>https://www.catalog.slsa.sa.gov.au/xrecord=b2077357</v>
      </c>
      <c r="E6196" t="s">
        <v>21386</v>
      </c>
      <c r="F6196">
        <v>1952</v>
      </c>
      <c r="G6196" t="s">
        <v>17356</v>
      </c>
      <c r="H6196" t="s">
        <v>21387</v>
      </c>
      <c r="I6196" t="s">
        <v>21388</v>
      </c>
      <c r="J6196" t="s">
        <v>21389</v>
      </c>
      <c r="K6196" s="2" t="str">
        <f>HYPERLINK("http://collections.slsa.sa.gov.au/mpcimg/55500/B55304.htm")</f>
        <v>http://collections.slsa.sa.gov.au/mpcimg/55500/B55304.htm</v>
      </c>
    </row>
    <row r="6197" spans="1:11" x14ac:dyDescent="0.25">
      <c r="A6197" t="s">
        <v>21390</v>
      </c>
      <c r="B6197" s="1" t="str">
        <f>HYPERLINK("https://www.catalog.slsa.sa.gov.au/record=b2078207")</f>
        <v>https://www.catalog.slsa.sa.gov.au/record=b2078207</v>
      </c>
      <c r="C6197" s="1" t="str">
        <f>HYPERLINK("https://www.catalog.slsa.sa.gov.au/xrecord=b2078207")</f>
        <v>https://www.catalog.slsa.sa.gov.au/xrecord=b2078207</v>
      </c>
      <c r="E6197" t="s">
        <v>21391</v>
      </c>
      <c r="F6197">
        <v>1952</v>
      </c>
      <c r="G6197" t="s">
        <v>15269</v>
      </c>
      <c r="H6197" t="s">
        <v>21392</v>
      </c>
      <c r="I6197" t="s">
        <v>21393</v>
      </c>
      <c r="J6197" t="s">
        <v>15278</v>
      </c>
      <c r="K6197" s="2" t="str">
        <f>HYPERLINK("http://collections.slsa.sa.gov.au/mpcimg/55500/B55417_185.htm")</f>
        <v>http://collections.slsa.sa.gov.au/mpcimg/55500/B55417_185.htm</v>
      </c>
    </row>
    <row r="6198" spans="1:11" x14ac:dyDescent="0.25">
      <c r="A6198" t="s">
        <v>21394</v>
      </c>
      <c r="B6198" s="1" t="str">
        <f>HYPERLINK("https://www.catalog.slsa.sa.gov.au/record=b2079865")</f>
        <v>https://www.catalog.slsa.sa.gov.au/record=b2079865</v>
      </c>
      <c r="C6198" s="1" t="str">
        <f>HYPERLINK("https://www.catalog.slsa.sa.gov.au/xrecord=b2079865")</f>
        <v>https://www.catalog.slsa.sa.gov.au/xrecord=b2079865</v>
      </c>
      <c r="E6198" t="s">
        <v>21395</v>
      </c>
      <c r="F6198">
        <v>1952</v>
      </c>
      <c r="G6198" t="s">
        <v>21396</v>
      </c>
      <c r="H6198" t="s">
        <v>21397</v>
      </c>
      <c r="I6198" t="s">
        <v>21398</v>
      </c>
      <c r="J6198" t="s">
        <v>15109</v>
      </c>
      <c r="K6198" s="2" t="str">
        <f>HYPERLINK("http://collections.slsa.sa.gov.au/mpcimg/58000/B57798.htm")</f>
        <v>http://collections.slsa.sa.gov.au/mpcimg/58000/B57798.htm</v>
      </c>
    </row>
    <row r="6199" spans="1:11" x14ac:dyDescent="0.25">
      <c r="A6199" t="s">
        <v>21399</v>
      </c>
      <c r="B6199" s="1" t="str">
        <f>HYPERLINK("https://www.catalog.slsa.sa.gov.au/record=b2080886")</f>
        <v>https://www.catalog.slsa.sa.gov.au/record=b2080886</v>
      </c>
      <c r="C6199" s="1" t="str">
        <f>HYPERLINK("https://www.catalog.slsa.sa.gov.au/xrecord=b2080886")</f>
        <v>https://www.catalog.slsa.sa.gov.au/xrecord=b2080886</v>
      </c>
      <c r="D6199" t="s">
        <v>21400</v>
      </c>
      <c r="E6199" t="s">
        <v>21401</v>
      </c>
      <c r="F6199">
        <v>1952</v>
      </c>
      <c r="G6199" t="s">
        <v>21402</v>
      </c>
      <c r="H6199" t="s">
        <v>21403</v>
      </c>
      <c r="I6199" t="s">
        <v>21404</v>
      </c>
      <c r="J6199" t="s">
        <v>21405</v>
      </c>
      <c r="K6199" s="2" t="str">
        <f>HYPERLINK("http://collections.slsa.sa.gov.au/mpcimg/59000/B58820.htm")</f>
        <v>http://collections.slsa.sa.gov.au/mpcimg/59000/B58820.htm</v>
      </c>
    </row>
    <row r="6200" spans="1:11" x14ac:dyDescent="0.25">
      <c r="A6200" t="s">
        <v>21406</v>
      </c>
      <c r="B6200" s="1" t="str">
        <f>HYPERLINK("https://www.catalog.slsa.sa.gov.au/record=b2080916")</f>
        <v>https://www.catalog.slsa.sa.gov.au/record=b2080916</v>
      </c>
      <c r="C6200" s="1" t="str">
        <f>HYPERLINK("https://www.catalog.slsa.sa.gov.au/xrecord=b2080916")</f>
        <v>https://www.catalog.slsa.sa.gov.au/xrecord=b2080916</v>
      </c>
      <c r="E6200" t="s">
        <v>21407</v>
      </c>
      <c r="F6200">
        <v>1952</v>
      </c>
      <c r="G6200" t="s">
        <v>15269</v>
      </c>
      <c r="H6200" t="s">
        <v>21408</v>
      </c>
      <c r="I6200" t="s">
        <v>21409</v>
      </c>
      <c r="J6200" t="s">
        <v>21410</v>
      </c>
      <c r="K6200" s="2" t="str">
        <f>HYPERLINK("http://collections.slsa.sa.gov.au/mpcimg/59000/B58850.htm")</f>
        <v>http://collections.slsa.sa.gov.au/mpcimg/59000/B58850.htm</v>
      </c>
    </row>
    <row r="6201" spans="1:11" x14ac:dyDescent="0.25">
      <c r="A6201" t="s">
        <v>21411</v>
      </c>
      <c r="B6201" s="1" t="str">
        <f>HYPERLINK("https://www.catalog.slsa.sa.gov.au/record=b2081644")</f>
        <v>https://www.catalog.slsa.sa.gov.au/record=b2081644</v>
      </c>
      <c r="C6201" s="1" t="str">
        <f>HYPERLINK("https://www.catalog.slsa.sa.gov.au/xrecord=b2081644")</f>
        <v>https://www.catalog.slsa.sa.gov.au/xrecord=b2081644</v>
      </c>
      <c r="E6201" t="s">
        <v>21412</v>
      </c>
      <c r="F6201">
        <v>1952</v>
      </c>
      <c r="G6201" t="s">
        <v>15269</v>
      </c>
      <c r="H6201" t="s">
        <v>21413</v>
      </c>
      <c r="I6201" t="s">
        <v>17551</v>
      </c>
      <c r="J6201" t="s">
        <v>1809</v>
      </c>
      <c r="K6201" s="2" t="str">
        <f>HYPERLINK("http://collections.slsa.sa.gov.au/mpcimg/59750/B59582.htm")</f>
        <v>http://collections.slsa.sa.gov.au/mpcimg/59750/B59582.htm</v>
      </c>
    </row>
    <row r="6202" spans="1:11" x14ac:dyDescent="0.25">
      <c r="A6202" t="s">
        <v>21414</v>
      </c>
      <c r="B6202" s="1" t="str">
        <f>HYPERLINK("https://www.catalog.slsa.sa.gov.au/record=b2082401")</f>
        <v>https://www.catalog.slsa.sa.gov.au/record=b2082401</v>
      </c>
      <c r="C6202" s="1" t="str">
        <f>HYPERLINK("https://www.catalog.slsa.sa.gov.au/xrecord=b2082401")</f>
        <v>https://www.catalog.slsa.sa.gov.au/xrecord=b2082401</v>
      </c>
      <c r="E6202" t="s">
        <v>21415</v>
      </c>
      <c r="F6202">
        <v>1952</v>
      </c>
      <c r="G6202" t="s">
        <v>21416</v>
      </c>
      <c r="H6202" t="s">
        <v>21417</v>
      </c>
      <c r="I6202" t="s">
        <v>21418</v>
      </c>
      <c r="J6202" t="s">
        <v>1809</v>
      </c>
      <c r="K6202" s="2" t="str">
        <f>HYPERLINK("http://collections.slsa.sa.gov.au/mpcimg/60500/B60341.htm")</f>
        <v>http://collections.slsa.sa.gov.au/mpcimg/60500/B60341.htm</v>
      </c>
    </row>
    <row r="6203" spans="1:11" x14ac:dyDescent="0.25">
      <c r="A6203" t="s">
        <v>21419</v>
      </c>
      <c r="B6203" s="1" t="str">
        <f>HYPERLINK("https://www.catalog.slsa.sa.gov.au/record=b2082402")</f>
        <v>https://www.catalog.slsa.sa.gov.au/record=b2082402</v>
      </c>
      <c r="C6203" s="1" t="str">
        <f>HYPERLINK("https://www.catalog.slsa.sa.gov.au/xrecord=b2082402")</f>
        <v>https://www.catalog.slsa.sa.gov.au/xrecord=b2082402</v>
      </c>
      <c r="E6203" t="s">
        <v>21420</v>
      </c>
      <c r="F6203">
        <v>1952</v>
      </c>
      <c r="G6203" t="s">
        <v>21421</v>
      </c>
      <c r="H6203" t="s">
        <v>21422</v>
      </c>
      <c r="I6203" t="s">
        <v>17500</v>
      </c>
      <c r="J6203" t="s">
        <v>2510</v>
      </c>
      <c r="K6203" s="2" t="str">
        <f>HYPERLINK("http://collections.slsa.sa.gov.au/mpcimg/60500/B60342.htm")</f>
        <v>http://collections.slsa.sa.gov.au/mpcimg/60500/B60342.htm</v>
      </c>
    </row>
    <row r="6204" spans="1:11" x14ac:dyDescent="0.25">
      <c r="A6204" t="s">
        <v>21423</v>
      </c>
      <c r="B6204" s="1" t="str">
        <f>HYPERLINK("https://www.catalog.slsa.sa.gov.au/record=b2082475")</f>
        <v>https://www.catalog.slsa.sa.gov.au/record=b2082475</v>
      </c>
      <c r="C6204" s="1" t="str">
        <f>HYPERLINK("https://www.catalog.slsa.sa.gov.au/xrecord=b2082475")</f>
        <v>https://www.catalog.slsa.sa.gov.au/xrecord=b2082475</v>
      </c>
      <c r="E6204" t="s">
        <v>21424</v>
      </c>
      <c r="F6204">
        <v>1952</v>
      </c>
      <c r="G6204" t="s">
        <v>21425</v>
      </c>
      <c r="H6204" t="s">
        <v>21426</v>
      </c>
      <c r="I6204" t="s">
        <v>21427</v>
      </c>
      <c r="J6204" t="s">
        <v>2510</v>
      </c>
      <c r="K6204" s="2" t="str">
        <f>HYPERLINK("http://collections.slsa.sa.gov.au/mpcimg/60500/B60415.htm")</f>
        <v>http://collections.slsa.sa.gov.au/mpcimg/60500/B60415.htm</v>
      </c>
    </row>
    <row r="6205" spans="1:11" x14ac:dyDescent="0.25">
      <c r="A6205" t="s">
        <v>21428</v>
      </c>
      <c r="B6205" s="1" t="str">
        <f>HYPERLINK("https://www.catalog.slsa.sa.gov.au/record=b2090189")</f>
        <v>https://www.catalog.slsa.sa.gov.au/record=b2090189</v>
      </c>
      <c r="C6205" s="1" t="str">
        <f>HYPERLINK("https://www.catalog.slsa.sa.gov.au/xrecord=b2090189")</f>
        <v>https://www.catalog.slsa.sa.gov.au/xrecord=b2090189</v>
      </c>
      <c r="E6205" t="s">
        <v>15337</v>
      </c>
      <c r="F6205">
        <v>1952</v>
      </c>
      <c r="G6205" t="s">
        <v>21429</v>
      </c>
      <c r="H6205" t="s">
        <v>21430</v>
      </c>
      <c r="I6205" t="s">
        <v>17703</v>
      </c>
      <c r="J6205" t="s">
        <v>15341</v>
      </c>
      <c r="K6205" s="2" t="str">
        <f>HYPERLINK("http://collections.slsa.sa.gov.au/mpcimg/59000/B58892_25.htm")</f>
        <v>http://collections.slsa.sa.gov.au/mpcimg/59000/B58892_25.htm</v>
      </c>
    </row>
    <row r="6206" spans="1:11" x14ac:dyDescent="0.25">
      <c r="A6206" t="s">
        <v>21431</v>
      </c>
      <c r="B6206" s="1" t="str">
        <f>HYPERLINK("https://www.catalog.slsa.sa.gov.au/record=b2090190")</f>
        <v>https://www.catalog.slsa.sa.gov.au/record=b2090190</v>
      </c>
      <c r="C6206" s="1" t="str">
        <f>HYPERLINK("https://www.catalog.slsa.sa.gov.au/xrecord=b2090190")</f>
        <v>https://www.catalog.slsa.sa.gov.au/xrecord=b2090190</v>
      </c>
      <c r="E6206" t="s">
        <v>15337</v>
      </c>
      <c r="F6206">
        <v>1952</v>
      </c>
      <c r="G6206" t="s">
        <v>21432</v>
      </c>
      <c r="H6206" t="s">
        <v>21433</v>
      </c>
      <c r="I6206" t="s">
        <v>21434</v>
      </c>
      <c r="J6206" t="s">
        <v>15341</v>
      </c>
      <c r="K6206" s="2" t="str">
        <f>HYPERLINK("http://collections.slsa.sa.gov.au/mpcimg/59000/B58892_26.htm")</f>
        <v>http://collections.slsa.sa.gov.au/mpcimg/59000/B58892_26.htm</v>
      </c>
    </row>
    <row r="6207" spans="1:11" x14ac:dyDescent="0.25">
      <c r="A6207" t="s">
        <v>21435</v>
      </c>
      <c r="B6207" s="1" t="str">
        <f>HYPERLINK("https://www.catalog.slsa.sa.gov.au/record=b2090192")</f>
        <v>https://www.catalog.slsa.sa.gov.au/record=b2090192</v>
      </c>
      <c r="C6207" s="1" t="str">
        <f>HYPERLINK("https://www.catalog.slsa.sa.gov.au/xrecord=b2090192")</f>
        <v>https://www.catalog.slsa.sa.gov.au/xrecord=b2090192</v>
      </c>
      <c r="E6207" t="s">
        <v>15337</v>
      </c>
      <c r="F6207">
        <v>1952</v>
      </c>
      <c r="G6207" t="s">
        <v>21436</v>
      </c>
      <c r="H6207" t="s">
        <v>21437</v>
      </c>
      <c r="I6207" t="s">
        <v>21434</v>
      </c>
      <c r="J6207" t="s">
        <v>15341</v>
      </c>
      <c r="K6207" s="2" t="str">
        <f>HYPERLINK("http://collections.slsa.sa.gov.au/mpcimg/59000/B58892_28.htm")</f>
        <v>http://collections.slsa.sa.gov.au/mpcimg/59000/B58892_28.htm</v>
      </c>
    </row>
    <row r="6208" spans="1:11" x14ac:dyDescent="0.25">
      <c r="A6208" t="s">
        <v>21438</v>
      </c>
      <c r="B6208" s="1" t="str">
        <f>HYPERLINK("https://www.catalog.slsa.sa.gov.au/record=b2090193")</f>
        <v>https://www.catalog.slsa.sa.gov.au/record=b2090193</v>
      </c>
      <c r="C6208" s="1" t="str">
        <f>HYPERLINK("https://www.catalog.slsa.sa.gov.au/xrecord=b2090193")</f>
        <v>https://www.catalog.slsa.sa.gov.au/xrecord=b2090193</v>
      </c>
      <c r="E6208" t="s">
        <v>15337</v>
      </c>
      <c r="F6208">
        <v>1952</v>
      </c>
      <c r="G6208" t="s">
        <v>21439</v>
      </c>
      <c r="H6208" t="s">
        <v>21440</v>
      </c>
      <c r="I6208" t="s">
        <v>15345</v>
      </c>
      <c r="J6208" t="s">
        <v>15341</v>
      </c>
      <c r="K6208" s="2" t="str">
        <f>HYPERLINK("http://collections.slsa.sa.gov.au/mpcimg/59000/B58892_29.htm")</f>
        <v>http://collections.slsa.sa.gov.au/mpcimg/59000/B58892_29.htm</v>
      </c>
    </row>
    <row r="6209" spans="1:11" x14ac:dyDescent="0.25">
      <c r="A6209" t="s">
        <v>21441</v>
      </c>
      <c r="B6209" s="1" t="str">
        <f>HYPERLINK("https://www.catalog.slsa.sa.gov.au/record=b2090194")</f>
        <v>https://www.catalog.slsa.sa.gov.au/record=b2090194</v>
      </c>
      <c r="C6209" s="1" t="str">
        <f>HYPERLINK("https://www.catalog.slsa.sa.gov.au/xrecord=b2090194")</f>
        <v>https://www.catalog.slsa.sa.gov.au/xrecord=b2090194</v>
      </c>
      <c r="E6209" t="s">
        <v>15337</v>
      </c>
      <c r="F6209">
        <v>1952</v>
      </c>
      <c r="G6209" t="s">
        <v>20160</v>
      </c>
      <c r="H6209" t="s">
        <v>21442</v>
      </c>
      <c r="I6209" t="s">
        <v>19560</v>
      </c>
      <c r="J6209" t="s">
        <v>15341</v>
      </c>
      <c r="K6209" s="2" t="str">
        <f>HYPERLINK("http://collections.slsa.sa.gov.au/mpcimg/59000/B58892_30.htm")</f>
        <v>http://collections.slsa.sa.gov.au/mpcimg/59000/B58892_30.htm</v>
      </c>
    </row>
    <row r="6210" spans="1:11" x14ac:dyDescent="0.25">
      <c r="A6210" t="s">
        <v>21443</v>
      </c>
      <c r="B6210" s="1" t="str">
        <f>HYPERLINK("https://www.catalog.slsa.sa.gov.au/record=b2090195")</f>
        <v>https://www.catalog.slsa.sa.gov.au/record=b2090195</v>
      </c>
      <c r="C6210" s="1" t="str">
        <f>HYPERLINK("https://www.catalog.slsa.sa.gov.au/xrecord=b2090195")</f>
        <v>https://www.catalog.slsa.sa.gov.au/xrecord=b2090195</v>
      </c>
      <c r="E6210" t="s">
        <v>15337</v>
      </c>
      <c r="F6210">
        <v>1952</v>
      </c>
      <c r="G6210" t="s">
        <v>19619</v>
      </c>
      <c r="H6210" t="s">
        <v>21444</v>
      </c>
      <c r="I6210" t="s">
        <v>15340</v>
      </c>
      <c r="J6210" t="s">
        <v>15341</v>
      </c>
      <c r="K6210" s="2" t="str">
        <f>HYPERLINK("http://collections.slsa.sa.gov.au/mpcimg/59000/B58892_31.htm")</f>
        <v>http://collections.slsa.sa.gov.au/mpcimg/59000/B58892_31.htm</v>
      </c>
    </row>
    <row r="6211" spans="1:11" x14ac:dyDescent="0.25">
      <c r="A6211" t="s">
        <v>21445</v>
      </c>
      <c r="B6211" s="1" t="str">
        <f>HYPERLINK("https://www.catalog.slsa.sa.gov.au/record=b2090196")</f>
        <v>https://www.catalog.slsa.sa.gov.au/record=b2090196</v>
      </c>
      <c r="C6211" s="1" t="str">
        <f>HYPERLINK("https://www.catalog.slsa.sa.gov.au/xrecord=b2090196")</f>
        <v>https://www.catalog.slsa.sa.gov.au/xrecord=b2090196</v>
      </c>
      <c r="E6211" t="s">
        <v>15337</v>
      </c>
      <c r="F6211">
        <v>1952</v>
      </c>
      <c r="G6211" t="s">
        <v>19691</v>
      </c>
      <c r="H6211" t="s">
        <v>21446</v>
      </c>
      <c r="I6211" t="s">
        <v>15345</v>
      </c>
      <c r="J6211" t="s">
        <v>15341</v>
      </c>
      <c r="K6211" s="2" t="str">
        <f>HYPERLINK("http://collections.slsa.sa.gov.au/mpcimg/59000/B58892_32.htm")</f>
        <v>http://collections.slsa.sa.gov.au/mpcimg/59000/B58892_32.htm</v>
      </c>
    </row>
    <row r="6212" spans="1:11" x14ac:dyDescent="0.25">
      <c r="A6212" t="s">
        <v>21447</v>
      </c>
      <c r="B6212" s="1" t="str">
        <f>HYPERLINK("https://www.catalog.slsa.sa.gov.au/record=b2090197")</f>
        <v>https://www.catalog.slsa.sa.gov.au/record=b2090197</v>
      </c>
      <c r="C6212" s="1" t="str">
        <f>HYPERLINK("https://www.catalog.slsa.sa.gov.au/xrecord=b2090197")</f>
        <v>https://www.catalog.slsa.sa.gov.au/xrecord=b2090197</v>
      </c>
      <c r="E6212" t="s">
        <v>15337</v>
      </c>
      <c r="F6212">
        <v>1952</v>
      </c>
      <c r="G6212" t="s">
        <v>21448</v>
      </c>
      <c r="H6212" t="s">
        <v>21449</v>
      </c>
      <c r="I6212" t="s">
        <v>21434</v>
      </c>
      <c r="J6212" t="s">
        <v>15341</v>
      </c>
      <c r="K6212" s="2" t="str">
        <f>HYPERLINK("http://collections.slsa.sa.gov.au/mpcimg/59000/B58892_33.htm")</f>
        <v>http://collections.slsa.sa.gov.au/mpcimg/59000/B58892_33.htm</v>
      </c>
    </row>
    <row r="6213" spans="1:11" x14ac:dyDescent="0.25">
      <c r="A6213" t="s">
        <v>21450</v>
      </c>
      <c r="B6213" s="1" t="str">
        <f>HYPERLINK("https://www.catalog.slsa.sa.gov.au/record=b2090198")</f>
        <v>https://www.catalog.slsa.sa.gov.au/record=b2090198</v>
      </c>
      <c r="C6213" s="1" t="str">
        <f>HYPERLINK("https://www.catalog.slsa.sa.gov.au/xrecord=b2090198")</f>
        <v>https://www.catalog.slsa.sa.gov.au/xrecord=b2090198</v>
      </c>
      <c r="E6213" t="s">
        <v>15337</v>
      </c>
      <c r="F6213">
        <v>1952</v>
      </c>
      <c r="G6213" t="s">
        <v>21451</v>
      </c>
      <c r="H6213" t="s">
        <v>21452</v>
      </c>
      <c r="I6213" t="s">
        <v>15340</v>
      </c>
      <c r="J6213" t="s">
        <v>15341</v>
      </c>
      <c r="K6213" s="2" t="str">
        <f>HYPERLINK("http://collections.slsa.sa.gov.au/mpcimg/59000/B58892_34.htm")</f>
        <v>http://collections.slsa.sa.gov.au/mpcimg/59000/B58892_34.htm</v>
      </c>
    </row>
    <row r="6214" spans="1:11" x14ac:dyDescent="0.25">
      <c r="A6214" t="s">
        <v>21453</v>
      </c>
      <c r="B6214" s="1" t="str">
        <f>HYPERLINK("https://www.catalog.slsa.sa.gov.au/record=b2090199")</f>
        <v>https://www.catalog.slsa.sa.gov.au/record=b2090199</v>
      </c>
      <c r="C6214" s="1" t="str">
        <f>HYPERLINK("https://www.catalog.slsa.sa.gov.au/xrecord=b2090199")</f>
        <v>https://www.catalog.slsa.sa.gov.au/xrecord=b2090199</v>
      </c>
      <c r="E6214" t="s">
        <v>15337</v>
      </c>
      <c r="F6214">
        <v>1952</v>
      </c>
      <c r="G6214" t="s">
        <v>21454</v>
      </c>
      <c r="H6214" t="s">
        <v>21455</v>
      </c>
      <c r="I6214" t="s">
        <v>15340</v>
      </c>
      <c r="J6214" t="s">
        <v>15341</v>
      </c>
      <c r="K6214" s="2" t="str">
        <f>HYPERLINK("http://collections.slsa.sa.gov.au/mpcimg/59000/B58892_35.htm")</f>
        <v>http://collections.slsa.sa.gov.au/mpcimg/59000/B58892_35.htm</v>
      </c>
    </row>
    <row r="6215" spans="1:11" x14ac:dyDescent="0.25">
      <c r="A6215" t="s">
        <v>21456</v>
      </c>
      <c r="B6215" s="1" t="str">
        <f>HYPERLINK("https://www.catalog.slsa.sa.gov.au/record=b2090201")</f>
        <v>https://www.catalog.slsa.sa.gov.au/record=b2090201</v>
      </c>
      <c r="C6215" s="1" t="str">
        <f>HYPERLINK("https://www.catalog.slsa.sa.gov.au/xrecord=b2090201")</f>
        <v>https://www.catalog.slsa.sa.gov.au/xrecord=b2090201</v>
      </c>
      <c r="E6215" t="s">
        <v>15337</v>
      </c>
      <c r="F6215">
        <v>1952</v>
      </c>
      <c r="G6215" t="s">
        <v>21457</v>
      </c>
      <c r="H6215" t="s">
        <v>21458</v>
      </c>
      <c r="I6215" t="s">
        <v>15345</v>
      </c>
      <c r="J6215" t="s">
        <v>15341</v>
      </c>
      <c r="K6215" s="2" t="str">
        <f>HYPERLINK("http://collections.slsa.sa.gov.au/mpcimg/59000/B58892_37.htm")</f>
        <v>http://collections.slsa.sa.gov.au/mpcimg/59000/B58892_37.htm</v>
      </c>
    </row>
    <row r="6216" spans="1:11" x14ac:dyDescent="0.25">
      <c r="A6216" t="s">
        <v>21459</v>
      </c>
      <c r="B6216" s="1" t="str">
        <f>HYPERLINK("https://www.catalog.slsa.sa.gov.au/record=b2090202")</f>
        <v>https://www.catalog.slsa.sa.gov.au/record=b2090202</v>
      </c>
      <c r="C6216" s="1" t="str">
        <f>HYPERLINK("https://www.catalog.slsa.sa.gov.au/xrecord=b2090202")</f>
        <v>https://www.catalog.slsa.sa.gov.au/xrecord=b2090202</v>
      </c>
      <c r="E6216" t="s">
        <v>15337</v>
      </c>
      <c r="F6216">
        <v>1952</v>
      </c>
      <c r="G6216" t="s">
        <v>19724</v>
      </c>
      <c r="H6216" t="s">
        <v>21460</v>
      </c>
      <c r="I6216" t="s">
        <v>15363</v>
      </c>
      <c r="J6216" t="s">
        <v>15341</v>
      </c>
      <c r="K6216" s="2" t="str">
        <f>HYPERLINK("http://collections.slsa.sa.gov.au/mpcimg/59000/B58892_38.htm")</f>
        <v>http://collections.slsa.sa.gov.au/mpcimg/59000/B58892_38.htm</v>
      </c>
    </row>
    <row r="6217" spans="1:11" x14ac:dyDescent="0.25">
      <c r="A6217" t="s">
        <v>21461</v>
      </c>
      <c r="B6217" s="1" t="str">
        <f>HYPERLINK("https://www.catalog.slsa.sa.gov.au/record=b2090235")</f>
        <v>https://www.catalog.slsa.sa.gov.au/record=b2090235</v>
      </c>
      <c r="C6217" s="1" t="str">
        <f>HYPERLINK("https://www.catalog.slsa.sa.gov.au/xrecord=b2090235")</f>
        <v>https://www.catalog.slsa.sa.gov.au/xrecord=b2090235</v>
      </c>
      <c r="E6217" t="s">
        <v>15353</v>
      </c>
      <c r="F6217">
        <v>1952</v>
      </c>
      <c r="G6217" t="s">
        <v>21462</v>
      </c>
      <c r="H6217" t="s">
        <v>21463</v>
      </c>
      <c r="I6217" t="s">
        <v>15386</v>
      </c>
      <c r="J6217" t="s">
        <v>15341</v>
      </c>
      <c r="K6217" s="2" t="str">
        <f>HYPERLINK("http://collections.slsa.sa.gov.au/mpcimg/59000/B58892_71.htm")</f>
        <v>http://collections.slsa.sa.gov.au/mpcimg/59000/B58892_71.htm</v>
      </c>
    </row>
    <row r="6218" spans="1:11" x14ac:dyDescent="0.25">
      <c r="A6218" t="s">
        <v>21464</v>
      </c>
      <c r="B6218" s="1" t="str">
        <f>HYPERLINK("https://www.catalog.slsa.sa.gov.au/record=b2090236")</f>
        <v>https://www.catalog.slsa.sa.gov.au/record=b2090236</v>
      </c>
      <c r="C6218" s="1" t="str">
        <f>HYPERLINK("https://www.catalog.slsa.sa.gov.au/xrecord=b2090236")</f>
        <v>https://www.catalog.slsa.sa.gov.au/xrecord=b2090236</v>
      </c>
      <c r="E6218" t="s">
        <v>15353</v>
      </c>
      <c r="F6218">
        <v>1952</v>
      </c>
      <c r="G6218" t="s">
        <v>19448</v>
      </c>
      <c r="H6218" t="s">
        <v>21465</v>
      </c>
      <c r="I6218" t="s">
        <v>15340</v>
      </c>
      <c r="J6218" t="s">
        <v>15341</v>
      </c>
      <c r="K6218" s="2" t="str">
        <f>HYPERLINK("http://collections.slsa.sa.gov.au/mpcimg/59000/B58892_72.htm")</f>
        <v>http://collections.slsa.sa.gov.au/mpcimg/59000/B58892_72.htm</v>
      </c>
    </row>
    <row r="6219" spans="1:11" x14ac:dyDescent="0.25">
      <c r="A6219" t="s">
        <v>21466</v>
      </c>
      <c r="B6219" s="1" t="str">
        <f>HYPERLINK("https://www.catalog.slsa.sa.gov.au/record=b2090239")</f>
        <v>https://www.catalog.slsa.sa.gov.au/record=b2090239</v>
      </c>
      <c r="C6219" s="1" t="str">
        <f>HYPERLINK("https://www.catalog.slsa.sa.gov.au/xrecord=b2090239")</f>
        <v>https://www.catalog.slsa.sa.gov.au/xrecord=b2090239</v>
      </c>
      <c r="E6219" t="s">
        <v>15353</v>
      </c>
      <c r="F6219">
        <v>1952</v>
      </c>
      <c r="G6219" t="s">
        <v>21467</v>
      </c>
      <c r="H6219" t="s">
        <v>21468</v>
      </c>
      <c r="I6219" t="s">
        <v>21434</v>
      </c>
      <c r="J6219" t="s">
        <v>15341</v>
      </c>
      <c r="K6219" s="2" t="str">
        <f>HYPERLINK("http://collections.slsa.sa.gov.au/mpcimg/59000/B58892_75.htm")</f>
        <v>http://collections.slsa.sa.gov.au/mpcimg/59000/B58892_75.htm</v>
      </c>
    </row>
    <row r="6220" spans="1:11" x14ac:dyDescent="0.25">
      <c r="A6220" t="s">
        <v>21469</v>
      </c>
      <c r="B6220" s="1" t="str">
        <f>HYPERLINK("https://www.catalog.slsa.sa.gov.au/record=b2090242")</f>
        <v>https://www.catalog.slsa.sa.gov.au/record=b2090242</v>
      </c>
      <c r="C6220" s="1" t="str">
        <f>HYPERLINK("https://www.catalog.slsa.sa.gov.au/xrecord=b2090242")</f>
        <v>https://www.catalog.slsa.sa.gov.au/xrecord=b2090242</v>
      </c>
      <c r="E6220" t="s">
        <v>15353</v>
      </c>
      <c r="F6220">
        <v>1952</v>
      </c>
      <c r="G6220" t="s">
        <v>21470</v>
      </c>
      <c r="H6220" t="s">
        <v>21471</v>
      </c>
      <c r="I6220" t="s">
        <v>17710</v>
      </c>
      <c r="J6220" t="s">
        <v>15341</v>
      </c>
      <c r="K6220" s="2" t="str">
        <f>HYPERLINK("http://collections.slsa.sa.gov.au/mpcimg/59000/B58892_78.htm")</f>
        <v>http://collections.slsa.sa.gov.au/mpcimg/59000/B58892_78.htm</v>
      </c>
    </row>
    <row r="6221" spans="1:11" x14ac:dyDescent="0.25">
      <c r="A6221" t="s">
        <v>21472</v>
      </c>
      <c r="B6221" s="1" t="str">
        <f>HYPERLINK("https://www.catalog.slsa.sa.gov.au/record=b2090243")</f>
        <v>https://www.catalog.slsa.sa.gov.au/record=b2090243</v>
      </c>
      <c r="C6221" s="1" t="str">
        <f>HYPERLINK("https://www.catalog.slsa.sa.gov.au/xrecord=b2090243")</f>
        <v>https://www.catalog.slsa.sa.gov.au/xrecord=b2090243</v>
      </c>
      <c r="E6221" t="s">
        <v>15353</v>
      </c>
      <c r="F6221">
        <v>1952</v>
      </c>
      <c r="G6221" t="s">
        <v>20396</v>
      </c>
      <c r="H6221" t="s">
        <v>21471</v>
      </c>
      <c r="I6221" t="s">
        <v>17710</v>
      </c>
      <c r="J6221" t="s">
        <v>15341</v>
      </c>
      <c r="K6221" s="2" t="str">
        <f>HYPERLINK("http://collections.slsa.sa.gov.au/mpcimg/59000/B58892_79.htm")</f>
        <v>http://collections.slsa.sa.gov.au/mpcimg/59000/B58892_79.htm</v>
      </c>
    </row>
    <row r="6222" spans="1:11" x14ac:dyDescent="0.25">
      <c r="A6222" t="s">
        <v>21473</v>
      </c>
      <c r="B6222" s="1" t="str">
        <f>HYPERLINK("https://www.catalog.slsa.sa.gov.au/record=b2090250")</f>
        <v>https://www.catalog.slsa.sa.gov.au/record=b2090250</v>
      </c>
      <c r="C6222" s="1" t="str">
        <f>HYPERLINK("https://www.catalog.slsa.sa.gov.au/xrecord=b2090250")</f>
        <v>https://www.catalog.slsa.sa.gov.au/xrecord=b2090250</v>
      </c>
      <c r="E6222" t="s">
        <v>15353</v>
      </c>
      <c r="F6222">
        <v>1952</v>
      </c>
      <c r="G6222" t="s">
        <v>20447</v>
      </c>
      <c r="H6222" t="s">
        <v>21474</v>
      </c>
      <c r="I6222" t="s">
        <v>15356</v>
      </c>
      <c r="J6222" t="s">
        <v>15341</v>
      </c>
      <c r="K6222" s="2" t="str">
        <f>HYPERLINK("http://collections.slsa.sa.gov.au/mpcimg/59000/B58892_86.htm")</f>
        <v>http://collections.slsa.sa.gov.au/mpcimg/59000/B58892_86.htm</v>
      </c>
    </row>
    <row r="6223" spans="1:11" x14ac:dyDescent="0.25">
      <c r="A6223" t="s">
        <v>21475</v>
      </c>
      <c r="B6223" s="1" t="str">
        <f>HYPERLINK("https://www.catalog.slsa.sa.gov.au/record=b2090251")</f>
        <v>https://www.catalog.slsa.sa.gov.au/record=b2090251</v>
      </c>
      <c r="C6223" s="1" t="str">
        <f>HYPERLINK("https://www.catalog.slsa.sa.gov.au/xrecord=b2090251")</f>
        <v>https://www.catalog.slsa.sa.gov.au/xrecord=b2090251</v>
      </c>
      <c r="E6223" t="s">
        <v>15353</v>
      </c>
      <c r="F6223">
        <v>1952</v>
      </c>
      <c r="G6223" t="s">
        <v>21476</v>
      </c>
      <c r="H6223" t="s">
        <v>21474</v>
      </c>
      <c r="I6223" t="s">
        <v>15356</v>
      </c>
      <c r="J6223" t="s">
        <v>15341</v>
      </c>
      <c r="K6223" s="2" t="str">
        <f>HYPERLINK("http://collections.slsa.sa.gov.au/mpcimg/59000/B58892_87.htm")</f>
        <v>http://collections.slsa.sa.gov.au/mpcimg/59000/B58892_87.htm</v>
      </c>
    </row>
    <row r="6224" spans="1:11" x14ac:dyDescent="0.25">
      <c r="A6224" t="s">
        <v>21477</v>
      </c>
      <c r="B6224" s="1" t="str">
        <f>HYPERLINK("https://www.catalog.slsa.sa.gov.au/record=b2090264")</f>
        <v>https://www.catalog.slsa.sa.gov.au/record=b2090264</v>
      </c>
      <c r="C6224" s="1" t="str">
        <f>HYPERLINK("https://www.catalog.slsa.sa.gov.au/xrecord=b2090264")</f>
        <v>https://www.catalog.slsa.sa.gov.au/xrecord=b2090264</v>
      </c>
      <c r="E6224" t="s">
        <v>19472</v>
      </c>
      <c r="F6224">
        <v>1952</v>
      </c>
      <c r="G6224" t="s">
        <v>21478</v>
      </c>
      <c r="H6224" t="s">
        <v>21479</v>
      </c>
      <c r="I6224" t="s">
        <v>15356</v>
      </c>
      <c r="J6224" t="s">
        <v>15341</v>
      </c>
      <c r="K6224" s="2" t="str">
        <f>HYPERLINK("http://collections.slsa.sa.gov.au/mpcimg/59000/B58892_100.htm")</f>
        <v>http://collections.slsa.sa.gov.au/mpcimg/59000/B58892_100.htm</v>
      </c>
    </row>
    <row r="6225" spans="1:11" x14ac:dyDescent="0.25">
      <c r="A6225" t="s">
        <v>21480</v>
      </c>
      <c r="B6225" s="1" t="str">
        <f>HYPERLINK("https://www.catalog.slsa.sa.gov.au/record=b2090266")</f>
        <v>https://www.catalog.slsa.sa.gov.au/record=b2090266</v>
      </c>
      <c r="C6225" s="1" t="str">
        <f>HYPERLINK("https://www.catalog.slsa.sa.gov.au/xrecord=b2090266")</f>
        <v>https://www.catalog.slsa.sa.gov.au/xrecord=b2090266</v>
      </c>
      <c r="E6225" t="s">
        <v>19472</v>
      </c>
      <c r="F6225">
        <v>1952</v>
      </c>
      <c r="G6225" t="s">
        <v>21481</v>
      </c>
      <c r="H6225" t="s">
        <v>21482</v>
      </c>
      <c r="I6225" t="s">
        <v>19475</v>
      </c>
      <c r="J6225" t="s">
        <v>15341</v>
      </c>
      <c r="K6225" s="2" t="str">
        <f>HYPERLINK("http://collections.slsa.sa.gov.au/mpcimg/59000/B58892_102.htm")</f>
        <v>http://collections.slsa.sa.gov.au/mpcimg/59000/B58892_102.htm</v>
      </c>
    </row>
    <row r="6226" spans="1:11" x14ac:dyDescent="0.25">
      <c r="A6226" t="s">
        <v>21483</v>
      </c>
      <c r="B6226" s="1" t="str">
        <f>HYPERLINK("https://www.catalog.slsa.sa.gov.au/record=b2090267")</f>
        <v>https://www.catalog.slsa.sa.gov.au/record=b2090267</v>
      </c>
      <c r="C6226" s="1" t="str">
        <f>HYPERLINK("https://www.catalog.slsa.sa.gov.au/xrecord=b2090267")</f>
        <v>https://www.catalog.slsa.sa.gov.au/xrecord=b2090267</v>
      </c>
      <c r="E6226" t="s">
        <v>19472</v>
      </c>
      <c r="F6226">
        <v>1952</v>
      </c>
      <c r="G6226" t="s">
        <v>20399</v>
      </c>
      <c r="H6226" t="s">
        <v>21484</v>
      </c>
      <c r="I6226" t="s">
        <v>19475</v>
      </c>
      <c r="J6226" t="s">
        <v>15341</v>
      </c>
      <c r="K6226" s="2" t="str">
        <f>HYPERLINK("http://collections.slsa.sa.gov.au/mpcimg/59000/B58892_103.htm")</f>
        <v>http://collections.slsa.sa.gov.au/mpcimg/59000/B58892_103.htm</v>
      </c>
    </row>
    <row r="6227" spans="1:11" x14ac:dyDescent="0.25">
      <c r="A6227" t="s">
        <v>21485</v>
      </c>
      <c r="B6227" s="1" t="str">
        <f>HYPERLINK("https://www.catalog.slsa.sa.gov.au/record=b2090277")</f>
        <v>https://www.catalog.slsa.sa.gov.au/record=b2090277</v>
      </c>
      <c r="C6227" s="1" t="str">
        <f>HYPERLINK("https://www.catalog.slsa.sa.gov.au/xrecord=b2090277")</f>
        <v>https://www.catalog.slsa.sa.gov.au/xrecord=b2090277</v>
      </c>
      <c r="E6227" t="s">
        <v>15365</v>
      </c>
      <c r="F6227">
        <v>1952</v>
      </c>
      <c r="G6227" t="s">
        <v>21486</v>
      </c>
      <c r="H6227" t="s">
        <v>21487</v>
      </c>
      <c r="I6227" t="s">
        <v>19481</v>
      </c>
      <c r="J6227" t="s">
        <v>15341</v>
      </c>
      <c r="K6227" s="2" t="str">
        <f>HYPERLINK("http://collections.slsa.sa.gov.au/mpcimg/59000/B58892_123.htm")</f>
        <v>http://collections.slsa.sa.gov.au/mpcimg/59000/B58892_123.htm</v>
      </c>
    </row>
    <row r="6228" spans="1:11" x14ac:dyDescent="0.25">
      <c r="A6228" t="s">
        <v>21488</v>
      </c>
      <c r="B6228" s="1" t="str">
        <f>HYPERLINK("https://www.catalog.slsa.sa.gov.au/record=b2090279")</f>
        <v>https://www.catalog.slsa.sa.gov.au/record=b2090279</v>
      </c>
      <c r="C6228" s="1" t="str">
        <f>HYPERLINK("https://www.catalog.slsa.sa.gov.au/xrecord=b2090279")</f>
        <v>https://www.catalog.slsa.sa.gov.au/xrecord=b2090279</v>
      </c>
      <c r="E6228" t="s">
        <v>15365</v>
      </c>
      <c r="F6228">
        <v>1952</v>
      </c>
      <c r="G6228" t="s">
        <v>21489</v>
      </c>
      <c r="H6228" t="s">
        <v>21490</v>
      </c>
      <c r="I6228" t="s">
        <v>19408</v>
      </c>
      <c r="J6228" t="s">
        <v>15341</v>
      </c>
      <c r="K6228" s="2" t="str">
        <f>HYPERLINK("http://collections.slsa.sa.gov.au/mpcimg/59000/B58892_125.htm")</f>
        <v>http://collections.slsa.sa.gov.au/mpcimg/59000/B58892_125.htm</v>
      </c>
    </row>
    <row r="6229" spans="1:11" x14ac:dyDescent="0.25">
      <c r="A6229" t="s">
        <v>21491</v>
      </c>
      <c r="B6229" s="1" t="str">
        <f>HYPERLINK("https://www.catalog.slsa.sa.gov.au/record=b2090289")</f>
        <v>https://www.catalog.slsa.sa.gov.au/record=b2090289</v>
      </c>
      <c r="C6229" s="1" t="str">
        <f>HYPERLINK("https://www.catalog.slsa.sa.gov.au/xrecord=b2090289")</f>
        <v>https://www.catalog.slsa.sa.gov.au/xrecord=b2090289</v>
      </c>
      <c r="E6229" t="s">
        <v>19472</v>
      </c>
      <c r="F6229">
        <v>1952</v>
      </c>
      <c r="G6229" t="s">
        <v>20342</v>
      </c>
      <c r="H6229" t="s">
        <v>21492</v>
      </c>
      <c r="I6229" t="s">
        <v>19475</v>
      </c>
      <c r="J6229" t="s">
        <v>15341</v>
      </c>
      <c r="K6229" s="2" t="str">
        <f>HYPERLINK("http://collections.slsa.sa.gov.au/mpcimg/59000/B58892_104.htm")</f>
        <v>http://collections.slsa.sa.gov.au/mpcimg/59000/B58892_104.htm</v>
      </c>
    </row>
    <row r="6230" spans="1:11" x14ac:dyDescent="0.25">
      <c r="A6230" t="s">
        <v>21493</v>
      </c>
      <c r="B6230" s="1" t="str">
        <f>HYPERLINK("https://www.catalog.slsa.sa.gov.au/record=b2090290")</f>
        <v>https://www.catalog.slsa.sa.gov.au/record=b2090290</v>
      </c>
      <c r="C6230" s="1" t="str">
        <f>HYPERLINK("https://www.catalog.slsa.sa.gov.au/xrecord=b2090290")</f>
        <v>https://www.catalog.slsa.sa.gov.au/xrecord=b2090290</v>
      </c>
      <c r="E6230" t="s">
        <v>19472</v>
      </c>
      <c r="F6230">
        <v>1952</v>
      </c>
      <c r="G6230" t="s">
        <v>19658</v>
      </c>
      <c r="H6230" t="s">
        <v>21494</v>
      </c>
      <c r="I6230" t="s">
        <v>19475</v>
      </c>
      <c r="J6230" t="s">
        <v>15341</v>
      </c>
      <c r="K6230" s="2" t="str">
        <f>HYPERLINK("http://collections.slsa.sa.gov.au/mpcimg/59000/B58892_105.htm")</f>
        <v>http://collections.slsa.sa.gov.au/mpcimg/59000/B58892_105.htm</v>
      </c>
    </row>
    <row r="6231" spans="1:11" x14ac:dyDescent="0.25">
      <c r="A6231" t="s">
        <v>21495</v>
      </c>
      <c r="B6231" s="1" t="str">
        <f>HYPERLINK("https://www.catalog.slsa.sa.gov.au/record=b2090291")</f>
        <v>https://www.catalog.slsa.sa.gov.au/record=b2090291</v>
      </c>
      <c r="C6231" s="1" t="str">
        <f>HYPERLINK("https://www.catalog.slsa.sa.gov.au/xrecord=b2090291")</f>
        <v>https://www.catalog.slsa.sa.gov.au/xrecord=b2090291</v>
      </c>
      <c r="E6231" t="s">
        <v>19472</v>
      </c>
      <c r="F6231">
        <v>1952</v>
      </c>
      <c r="G6231" t="s">
        <v>19572</v>
      </c>
      <c r="H6231" t="s">
        <v>21496</v>
      </c>
      <c r="I6231" t="s">
        <v>19475</v>
      </c>
      <c r="J6231" t="s">
        <v>15341</v>
      </c>
      <c r="K6231" s="2" t="str">
        <f>HYPERLINK("http://collections.slsa.sa.gov.au/mpcimg/59000/B58892_106.htm")</f>
        <v>http://collections.slsa.sa.gov.au/mpcimg/59000/B58892_106.htm</v>
      </c>
    </row>
    <row r="6232" spans="1:11" x14ac:dyDescent="0.25">
      <c r="A6232" t="s">
        <v>21497</v>
      </c>
      <c r="B6232" s="1" t="str">
        <f>HYPERLINK("https://www.catalog.slsa.sa.gov.au/record=b2090303")</f>
        <v>https://www.catalog.slsa.sa.gov.au/record=b2090303</v>
      </c>
      <c r="C6232" s="1" t="str">
        <f>HYPERLINK("https://www.catalog.slsa.sa.gov.au/xrecord=b2090303")</f>
        <v>https://www.catalog.slsa.sa.gov.au/xrecord=b2090303</v>
      </c>
      <c r="E6232" t="s">
        <v>19492</v>
      </c>
      <c r="F6232">
        <v>1952</v>
      </c>
      <c r="G6232" t="s">
        <v>19433</v>
      </c>
      <c r="H6232" t="s">
        <v>21498</v>
      </c>
      <c r="I6232" t="s">
        <v>19560</v>
      </c>
      <c r="J6232" t="s">
        <v>15341</v>
      </c>
      <c r="K6232" s="2" t="str">
        <f>HYPERLINK("http://collections.slsa.sa.gov.au/mpcimg/59000/B58892_139.htm")</f>
        <v>http://collections.slsa.sa.gov.au/mpcimg/59000/B58892_139.htm</v>
      </c>
    </row>
    <row r="6233" spans="1:11" x14ac:dyDescent="0.25">
      <c r="A6233" t="s">
        <v>21499</v>
      </c>
      <c r="B6233" s="1" t="str">
        <f>HYPERLINK("https://www.catalog.slsa.sa.gov.au/record=b2090304")</f>
        <v>https://www.catalog.slsa.sa.gov.au/record=b2090304</v>
      </c>
      <c r="C6233" s="1" t="str">
        <f>HYPERLINK("https://www.catalog.slsa.sa.gov.au/xrecord=b2090304")</f>
        <v>https://www.catalog.slsa.sa.gov.au/xrecord=b2090304</v>
      </c>
      <c r="E6233" t="s">
        <v>19492</v>
      </c>
      <c r="F6233">
        <v>1952</v>
      </c>
      <c r="G6233" t="s">
        <v>21500</v>
      </c>
      <c r="H6233" t="s">
        <v>21501</v>
      </c>
      <c r="I6233" t="s">
        <v>15345</v>
      </c>
      <c r="J6233" t="s">
        <v>15341</v>
      </c>
      <c r="K6233" s="2" t="str">
        <f>HYPERLINK("http://collections.slsa.sa.gov.au/mpcimg/59000/B58892_140.htm")</f>
        <v>http://collections.slsa.sa.gov.au/mpcimg/59000/B58892_140.htm</v>
      </c>
    </row>
    <row r="6234" spans="1:11" x14ac:dyDescent="0.25">
      <c r="A6234" t="s">
        <v>21502</v>
      </c>
      <c r="B6234" s="1" t="str">
        <f>HYPERLINK("https://www.catalog.slsa.sa.gov.au/record=b2090305")</f>
        <v>https://www.catalog.slsa.sa.gov.au/record=b2090305</v>
      </c>
      <c r="C6234" s="1" t="str">
        <f>HYPERLINK("https://www.catalog.slsa.sa.gov.au/xrecord=b2090305")</f>
        <v>https://www.catalog.slsa.sa.gov.au/xrecord=b2090305</v>
      </c>
      <c r="E6234" t="s">
        <v>19492</v>
      </c>
      <c r="F6234">
        <v>1952</v>
      </c>
      <c r="G6234" t="s">
        <v>21503</v>
      </c>
      <c r="H6234" t="s">
        <v>21504</v>
      </c>
      <c r="I6234" t="s">
        <v>17710</v>
      </c>
      <c r="J6234" t="s">
        <v>15341</v>
      </c>
      <c r="K6234" s="2" t="str">
        <f>HYPERLINK("http://collections.slsa.sa.gov.au/mpcimg/59000/B58892_141.htm")</f>
        <v>http://collections.slsa.sa.gov.au/mpcimg/59000/B58892_141.htm</v>
      </c>
    </row>
    <row r="6235" spans="1:11" x14ac:dyDescent="0.25">
      <c r="A6235" t="s">
        <v>21505</v>
      </c>
      <c r="B6235" s="1" t="str">
        <f>HYPERLINK("https://www.catalog.slsa.sa.gov.au/record=b2090308")</f>
        <v>https://www.catalog.slsa.sa.gov.au/record=b2090308</v>
      </c>
      <c r="C6235" s="1" t="str">
        <f>HYPERLINK("https://www.catalog.slsa.sa.gov.au/xrecord=b2090308")</f>
        <v>https://www.catalog.slsa.sa.gov.au/xrecord=b2090308</v>
      </c>
      <c r="E6235" t="s">
        <v>19492</v>
      </c>
      <c r="F6235">
        <v>1952</v>
      </c>
      <c r="G6235" t="s">
        <v>19626</v>
      </c>
      <c r="H6235" t="s">
        <v>21506</v>
      </c>
      <c r="I6235" t="s">
        <v>15363</v>
      </c>
      <c r="J6235" t="s">
        <v>15341</v>
      </c>
      <c r="K6235" s="2" t="str">
        <f>HYPERLINK("http://collections.slsa.sa.gov.au/mpcimg/59000/B58892_144.htm")</f>
        <v>http://collections.slsa.sa.gov.au/mpcimg/59000/B58892_144.htm</v>
      </c>
    </row>
    <row r="6236" spans="1:11" x14ac:dyDescent="0.25">
      <c r="A6236" t="s">
        <v>21507</v>
      </c>
      <c r="B6236" s="1" t="str">
        <f>HYPERLINK("https://www.catalog.slsa.sa.gov.au/record=b2090309")</f>
        <v>https://www.catalog.slsa.sa.gov.au/record=b2090309</v>
      </c>
      <c r="C6236" s="1" t="str">
        <f>HYPERLINK("https://www.catalog.slsa.sa.gov.au/xrecord=b2090309")</f>
        <v>https://www.catalog.slsa.sa.gov.au/xrecord=b2090309</v>
      </c>
      <c r="E6236" t="s">
        <v>19492</v>
      </c>
      <c r="F6236">
        <v>1952</v>
      </c>
      <c r="G6236" t="s">
        <v>20399</v>
      </c>
      <c r="H6236" t="s">
        <v>21508</v>
      </c>
      <c r="I6236" t="s">
        <v>21509</v>
      </c>
      <c r="J6236" t="s">
        <v>15341</v>
      </c>
      <c r="K6236" s="2" t="str">
        <f>HYPERLINK("http://collections.slsa.sa.gov.au/mpcimg/59000/B58892_145.htm")</f>
        <v>http://collections.slsa.sa.gov.au/mpcimg/59000/B58892_145.htm</v>
      </c>
    </row>
    <row r="6237" spans="1:11" x14ac:dyDescent="0.25">
      <c r="A6237" t="s">
        <v>21510</v>
      </c>
      <c r="B6237" s="1" t="str">
        <f>HYPERLINK("https://www.catalog.slsa.sa.gov.au/record=b2090314")</f>
        <v>https://www.catalog.slsa.sa.gov.au/record=b2090314</v>
      </c>
      <c r="C6237" s="1" t="str">
        <f>HYPERLINK("https://www.catalog.slsa.sa.gov.au/xrecord=b2090314")</f>
        <v>https://www.catalog.slsa.sa.gov.au/xrecord=b2090314</v>
      </c>
      <c r="E6237" t="s">
        <v>19492</v>
      </c>
      <c r="F6237">
        <v>1952</v>
      </c>
      <c r="G6237" t="s">
        <v>21511</v>
      </c>
      <c r="H6237" t="s">
        <v>21512</v>
      </c>
      <c r="I6237" t="s">
        <v>21513</v>
      </c>
      <c r="J6237" t="s">
        <v>15341</v>
      </c>
      <c r="K6237" s="2" t="str">
        <f>HYPERLINK("http://collections.slsa.sa.gov.au/mpcimg/59000/B58892_150.htm")</f>
        <v>http://collections.slsa.sa.gov.au/mpcimg/59000/B58892_150.htm</v>
      </c>
    </row>
    <row r="6238" spans="1:11" x14ac:dyDescent="0.25">
      <c r="A6238" t="s">
        <v>21514</v>
      </c>
      <c r="B6238" s="1" t="str">
        <f>HYPERLINK("https://www.catalog.slsa.sa.gov.au/record=b2090315")</f>
        <v>https://www.catalog.slsa.sa.gov.au/record=b2090315</v>
      </c>
      <c r="C6238" s="1" t="str">
        <f>HYPERLINK("https://www.catalog.slsa.sa.gov.au/xrecord=b2090315")</f>
        <v>https://www.catalog.slsa.sa.gov.au/xrecord=b2090315</v>
      </c>
      <c r="E6238" t="s">
        <v>19492</v>
      </c>
      <c r="F6238">
        <v>1952</v>
      </c>
      <c r="G6238" t="s">
        <v>19445</v>
      </c>
      <c r="H6238" t="s">
        <v>21515</v>
      </c>
      <c r="I6238" t="s">
        <v>15400</v>
      </c>
      <c r="J6238" t="s">
        <v>15341</v>
      </c>
      <c r="K6238" s="2" t="str">
        <f>HYPERLINK("http://collections.slsa.sa.gov.au/mpcimg/59000/B58892_151.htm")</f>
        <v>http://collections.slsa.sa.gov.au/mpcimg/59000/B58892_151.htm</v>
      </c>
    </row>
    <row r="6239" spans="1:11" x14ac:dyDescent="0.25">
      <c r="A6239" t="s">
        <v>21516</v>
      </c>
      <c r="B6239" s="1" t="str">
        <f>HYPERLINK("https://www.catalog.slsa.sa.gov.au/record=b2090326")</f>
        <v>https://www.catalog.slsa.sa.gov.au/record=b2090326</v>
      </c>
      <c r="C6239" s="1" t="str">
        <f>HYPERLINK("https://www.catalog.slsa.sa.gov.au/xrecord=b2090326")</f>
        <v>https://www.catalog.slsa.sa.gov.au/xrecord=b2090326</v>
      </c>
      <c r="E6239" t="s">
        <v>19516</v>
      </c>
      <c r="F6239">
        <v>1952</v>
      </c>
      <c r="G6239" t="s">
        <v>21517</v>
      </c>
      <c r="H6239" t="s">
        <v>21518</v>
      </c>
      <c r="I6239" t="s">
        <v>17710</v>
      </c>
      <c r="J6239" t="s">
        <v>15341</v>
      </c>
      <c r="K6239" s="2" t="str">
        <f>HYPERLINK("http://collections.slsa.sa.gov.au/mpcimg/59000/B58892_162.htm")</f>
        <v>http://collections.slsa.sa.gov.au/mpcimg/59000/B58892_162.htm</v>
      </c>
    </row>
    <row r="6240" spans="1:11" x14ac:dyDescent="0.25">
      <c r="A6240" t="s">
        <v>21519</v>
      </c>
      <c r="B6240" s="1" t="str">
        <f>HYPERLINK("https://www.catalog.slsa.sa.gov.au/record=b2090331")</f>
        <v>https://www.catalog.slsa.sa.gov.au/record=b2090331</v>
      </c>
      <c r="C6240" s="1" t="str">
        <f>HYPERLINK("https://www.catalog.slsa.sa.gov.au/xrecord=b2090331")</f>
        <v>https://www.catalog.slsa.sa.gov.au/xrecord=b2090331</v>
      </c>
      <c r="E6240" t="s">
        <v>19516</v>
      </c>
      <c r="F6240">
        <v>1952</v>
      </c>
      <c r="G6240" t="s">
        <v>21520</v>
      </c>
      <c r="H6240" t="s">
        <v>19505</v>
      </c>
      <c r="I6240" t="s">
        <v>15340</v>
      </c>
      <c r="J6240" t="s">
        <v>15341</v>
      </c>
      <c r="K6240" s="2" t="str">
        <f>HYPERLINK("http://collections.slsa.sa.gov.au/mpcimg/59000/B58892_167.htm")</f>
        <v>http://collections.slsa.sa.gov.au/mpcimg/59000/B58892_167.htm</v>
      </c>
    </row>
    <row r="6241" spans="1:11" x14ac:dyDescent="0.25">
      <c r="A6241" t="s">
        <v>21521</v>
      </c>
      <c r="B6241" s="1" t="str">
        <f>HYPERLINK("https://www.catalog.slsa.sa.gov.au/record=b2090357")</f>
        <v>https://www.catalog.slsa.sa.gov.au/record=b2090357</v>
      </c>
      <c r="C6241" s="1" t="str">
        <f>HYPERLINK("https://www.catalog.slsa.sa.gov.au/xrecord=b2090357")</f>
        <v>https://www.catalog.slsa.sa.gov.au/xrecord=b2090357</v>
      </c>
      <c r="E6241" t="s">
        <v>15372</v>
      </c>
      <c r="F6241">
        <v>1952</v>
      </c>
      <c r="G6241" t="s">
        <v>21522</v>
      </c>
      <c r="H6241" t="s">
        <v>21523</v>
      </c>
      <c r="I6241" t="s">
        <v>17703</v>
      </c>
      <c r="J6241" t="s">
        <v>15341</v>
      </c>
      <c r="K6241" s="2" t="str">
        <f>HYPERLINK("http://collections.slsa.sa.gov.au/mpcimg/59000/B58892_193.htm")</f>
        <v>http://collections.slsa.sa.gov.au/mpcimg/59000/B58892_193.htm</v>
      </c>
    </row>
    <row r="6242" spans="1:11" x14ac:dyDescent="0.25">
      <c r="A6242" t="s">
        <v>21524</v>
      </c>
      <c r="B6242" s="1" t="str">
        <f>HYPERLINK("https://www.catalog.slsa.sa.gov.au/record=b2090375")</f>
        <v>https://www.catalog.slsa.sa.gov.au/record=b2090375</v>
      </c>
      <c r="C6242" s="1" t="str">
        <f>HYPERLINK("https://www.catalog.slsa.sa.gov.au/xrecord=b2090375")</f>
        <v>https://www.catalog.slsa.sa.gov.au/xrecord=b2090375</v>
      </c>
      <c r="E6242" t="s">
        <v>15372</v>
      </c>
      <c r="F6242">
        <v>1952</v>
      </c>
      <c r="G6242" t="s">
        <v>21525</v>
      </c>
      <c r="H6242" t="s">
        <v>21526</v>
      </c>
      <c r="I6242" t="s">
        <v>15386</v>
      </c>
      <c r="J6242" t="s">
        <v>15341</v>
      </c>
      <c r="K6242" s="2" t="str">
        <f>HYPERLINK("http://collections.slsa.sa.gov.au/mpcimg/59000/B58892_211.htm")</f>
        <v>http://collections.slsa.sa.gov.au/mpcimg/59000/B58892_211.htm</v>
      </c>
    </row>
    <row r="6243" spans="1:11" x14ac:dyDescent="0.25">
      <c r="A6243" t="s">
        <v>21527</v>
      </c>
      <c r="B6243" s="1" t="str">
        <f>HYPERLINK("https://www.catalog.slsa.sa.gov.au/record=b2090376")</f>
        <v>https://www.catalog.slsa.sa.gov.au/record=b2090376</v>
      </c>
      <c r="C6243" s="1" t="str">
        <f>HYPERLINK("https://www.catalog.slsa.sa.gov.au/xrecord=b2090376")</f>
        <v>https://www.catalog.slsa.sa.gov.au/xrecord=b2090376</v>
      </c>
      <c r="E6243" t="s">
        <v>15372</v>
      </c>
      <c r="F6243">
        <v>1952</v>
      </c>
      <c r="G6243" t="s">
        <v>21528</v>
      </c>
      <c r="H6243" t="s">
        <v>19523</v>
      </c>
      <c r="I6243" t="s">
        <v>15356</v>
      </c>
      <c r="J6243" t="s">
        <v>15341</v>
      </c>
      <c r="K6243" s="2" t="str">
        <f>HYPERLINK("http://collections.slsa.sa.gov.au/mpcimg/59000/B58892_212.htm")</f>
        <v>http://collections.slsa.sa.gov.au/mpcimg/59000/B58892_212.htm</v>
      </c>
    </row>
    <row r="6244" spans="1:11" x14ac:dyDescent="0.25">
      <c r="A6244" t="s">
        <v>21529</v>
      </c>
      <c r="B6244" s="1" t="str">
        <f>HYPERLINK("https://www.catalog.slsa.sa.gov.au/record=b2090377")</f>
        <v>https://www.catalog.slsa.sa.gov.au/record=b2090377</v>
      </c>
      <c r="C6244" s="1" t="str">
        <f>HYPERLINK("https://www.catalog.slsa.sa.gov.au/xrecord=b2090377")</f>
        <v>https://www.catalog.slsa.sa.gov.au/xrecord=b2090377</v>
      </c>
      <c r="E6244" t="s">
        <v>15372</v>
      </c>
      <c r="F6244">
        <v>1952</v>
      </c>
      <c r="G6244" t="s">
        <v>20344</v>
      </c>
      <c r="H6244" t="s">
        <v>21506</v>
      </c>
      <c r="I6244" t="s">
        <v>15363</v>
      </c>
      <c r="J6244" t="s">
        <v>15341</v>
      </c>
      <c r="K6244" s="2" t="str">
        <f>HYPERLINK("http://collections.slsa.sa.gov.au/mpcimg/59000/B58892_213.htm")</f>
        <v>http://collections.slsa.sa.gov.au/mpcimg/59000/B58892_213.htm</v>
      </c>
    </row>
    <row r="6245" spans="1:11" x14ac:dyDescent="0.25">
      <c r="A6245" t="s">
        <v>21530</v>
      </c>
      <c r="B6245" s="1" t="str">
        <f>HYPERLINK("https://www.catalog.slsa.sa.gov.au/record=b2090378")</f>
        <v>https://www.catalog.slsa.sa.gov.au/record=b2090378</v>
      </c>
      <c r="C6245" s="1" t="str">
        <f>HYPERLINK("https://www.catalog.slsa.sa.gov.au/xrecord=b2090378")</f>
        <v>https://www.catalog.slsa.sa.gov.au/xrecord=b2090378</v>
      </c>
      <c r="E6245" t="s">
        <v>15372</v>
      </c>
      <c r="F6245">
        <v>1952</v>
      </c>
      <c r="G6245" t="s">
        <v>21531</v>
      </c>
      <c r="H6245" t="s">
        <v>21532</v>
      </c>
      <c r="I6245" t="s">
        <v>15356</v>
      </c>
      <c r="J6245" t="s">
        <v>15341</v>
      </c>
      <c r="K6245" s="2" t="str">
        <f>HYPERLINK("http://collections.slsa.sa.gov.au/mpcimg/59000/B58892_214.htm")</f>
        <v>http://collections.slsa.sa.gov.au/mpcimg/59000/B58892_214.htm</v>
      </c>
    </row>
    <row r="6246" spans="1:11" x14ac:dyDescent="0.25">
      <c r="A6246" t="s">
        <v>21533</v>
      </c>
      <c r="B6246" s="1" t="str">
        <f>HYPERLINK("https://www.catalog.slsa.sa.gov.au/record=b2090379")</f>
        <v>https://www.catalog.slsa.sa.gov.au/record=b2090379</v>
      </c>
      <c r="C6246" s="1" t="str">
        <f>HYPERLINK("https://www.catalog.slsa.sa.gov.au/xrecord=b2090379")</f>
        <v>https://www.catalog.slsa.sa.gov.au/xrecord=b2090379</v>
      </c>
      <c r="E6246" t="s">
        <v>15372</v>
      </c>
      <c r="F6246">
        <v>1952</v>
      </c>
      <c r="G6246" t="s">
        <v>21534</v>
      </c>
      <c r="H6246" t="s">
        <v>21506</v>
      </c>
      <c r="I6246" t="s">
        <v>15363</v>
      </c>
      <c r="J6246" t="s">
        <v>15341</v>
      </c>
      <c r="K6246" s="2" t="str">
        <f>HYPERLINK("http://collections.slsa.sa.gov.au/mpcimg/59000/B58892_215.htm")</f>
        <v>http://collections.slsa.sa.gov.au/mpcimg/59000/B58892_215.htm</v>
      </c>
    </row>
    <row r="6247" spans="1:11" x14ac:dyDescent="0.25">
      <c r="A6247" t="s">
        <v>21535</v>
      </c>
      <c r="B6247" s="1" t="str">
        <f>HYPERLINK("https://www.catalog.slsa.sa.gov.au/record=b2090380")</f>
        <v>https://www.catalog.slsa.sa.gov.au/record=b2090380</v>
      </c>
      <c r="C6247" s="1" t="str">
        <f>HYPERLINK("https://www.catalog.slsa.sa.gov.au/xrecord=b2090380")</f>
        <v>https://www.catalog.slsa.sa.gov.au/xrecord=b2090380</v>
      </c>
      <c r="E6247" t="s">
        <v>15372</v>
      </c>
      <c r="F6247">
        <v>1952</v>
      </c>
      <c r="G6247" t="s">
        <v>21536</v>
      </c>
      <c r="H6247" t="s">
        <v>21526</v>
      </c>
      <c r="I6247" t="s">
        <v>15386</v>
      </c>
      <c r="J6247" t="s">
        <v>15341</v>
      </c>
      <c r="K6247" s="2" t="str">
        <f>HYPERLINK("http://collections.slsa.sa.gov.au/mpcimg/59000/B58892_216.htm")</f>
        <v>http://collections.slsa.sa.gov.au/mpcimg/59000/B58892_216.htm</v>
      </c>
    </row>
    <row r="6248" spans="1:11" x14ac:dyDescent="0.25">
      <c r="A6248" t="s">
        <v>21537</v>
      </c>
      <c r="B6248" s="1" t="str">
        <f>HYPERLINK("https://www.catalog.slsa.sa.gov.au/record=b2090381")</f>
        <v>https://www.catalog.slsa.sa.gov.au/record=b2090381</v>
      </c>
      <c r="C6248" s="1" t="str">
        <f>HYPERLINK("https://www.catalog.slsa.sa.gov.au/xrecord=b2090381")</f>
        <v>https://www.catalog.slsa.sa.gov.au/xrecord=b2090381</v>
      </c>
      <c r="E6248" t="s">
        <v>15372</v>
      </c>
      <c r="F6248">
        <v>1952</v>
      </c>
      <c r="G6248" t="s">
        <v>21538</v>
      </c>
      <c r="H6248" t="s">
        <v>21539</v>
      </c>
      <c r="I6248" t="s">
        <v>15363</v>
      </c>
      <c r="J6248" t="s">
        <v>15341</v>
      </c>
      <c r="K6248" s="2" t="str">
        <f>HYPERLINK("http://collections.slsa.sa.gov.au/mpcimg/59000/B58892_217.htm")</f>
        <v>http://collections.slsa.sa.gov.au/mpcimg/59000/B58892_217.htm</v>
      </c>
    </row>
    <row r="6249" spans="1:11" x14ac:dyDescent="0.25">
      <c r="A6249" t="s">
        <v>21540</v>
      </c>
      <c r="B6249" s="1" t="str">
        <f>HYPERLINK("https://www.catalog.slsa.sa.gov.au/record=b2090382")</f>
        <v>https://www.catalog.slsa.sa.gov.au/record=b2090382</v>
      </c>
      <c r="C6249" s="1" t="str">
        <f>HYPERLINK("https://www.catalog.slsa.sa.gov.au/xrecord=b2090382")</f>
        <v>https://www.catalog.slsa.sa.gov.au/xrecord=b2090382</v>
      </c>
      <c r="E6249" t="s">
        <v>15372</v>
      </c>
      <c r="F6249">
        <v>1952</v>
      </c>
      <c r="G6249" t="s">
        <v>21534</v>
      </c>
      <c r="H6249" t="s">
        <v>21539</v>
      </c>
      <c r="I6249" t="s">
        <v>15363</v>
      </c>
      <c r="J6249" t="s">
        <v>15341</v>
      </c>
      <c r="K6249" s="2" t="str">
        <f>HYPERLINK("http://collections.slsa.sa.gov.au/mpcimg/59000/B58892_218.htm")</f>
        <v>http://collections.slsa.sa.gov.au/mpcimg/59000/B58892_218.htm</v>
      </c>
    </row>
    <row r="6250" spans="1:11" x14ac:dyDescent="0.25">
      <c r="A6250" t="s">
        <v>21541</v>
      </c>
      <c r="B6250" s="1" t="str">
        <f>HYPERLINK("https://www.catalog.slsa.sa.gov.au/record=b2090383")</f>
        <v>https://www.catalog.slsa.sa.gov.au/record=b2090383</v>
      </c>
      <c r="C6250" s="1" t="str">
        <f>HYPERLINK("https://www.catalog.slsa.sa.gov.au/xrecord=b2090383")</f>
        <v>https://www.catalog.slsa.sa.gov.au/xrecord=b2090383</v>
      </c>
      <c r="E6250" t="s">
        <v>15372</v>
      </c>
      <c r="F6250">
        <v>1952</v>
      </c>
      <c r="G6250" t="s">
        <v>21542</v>
      </c>
      <c r="H6250" t="s">
        <v>21543</v>
      </c>
      <c r="I6250" t="s">
        <v>17710</v>
      </c>
      <c r="J6250" t="s">
        <v>15341</v>
      </c>
      <c r="K6250" s="2" t="str">
        <f>HYPERLINK("http://collections.slsa.sa.gov.au/mpcimg/59000/B58892_219.htm")</f>
        <v>http://collections.slsa.sa.gov.au/mpcimg/59000/B58892_219.htm</v>
      </c>
    </row>
    <row r="6251" spans="1:11" x14ac:dyDescent="0.25">
      <c r="A6251" t="s">
        <v>21544</v>
      </c>
      <c r="B6251" s="1" t="str">
        <f>HYPERLINK("https://www.catalog.slsa.sa.gov.au/record=b2090387")</f>
        <v>https://www.catalog.slsa.sa.gov.au/record=b2090387</v>
      </c>
      <c r="C6251" s="1" t="str">
        <f>HYPERLINK("https://www.catalog.slsa.sa.gov.au/xrecord=b2090387")</f>
        <v>https://www.catalog.slsa.sa.gov.au/xrecord=b2090387</v>
      </c>
      <c r="E6251" t="s">
        <v>15372</v>
      </c>
      <c r="F6251">
        <v>1952</v>
      </c>
      <c r="G6251" t="s">
        <v>21545</v>
      </c>
      <c r="H6251" t="s">
        <v>19505</v>
      </c>
      <c r="I6251" t="s">
        <v>15340</v>
      </c>
      <c r="J6251" t="s">
        <v>15341</v>
      </c>
      <c r="K6251" s="2" t="str">
        <f>HYPERLINK("http://collections.slsa.sa.gov.au/mpcimg/59000/B58892_223.htm")</f>
        <v>http://collections.slsa.sa.gov.au/mpcimg/59000/B58892_223.htm</v>
      </c>
    </row>
    <row r="6252" spans="1:11" x14ac:dyDescent="0.25">
      <c r="A6252" t="s">
        <v>21546</v>
      </c>
      <c r="B6252" s="1" t="str">
        <f>HYPERLINK("https://www.catalog.slsa.sa.gov.au/record=b2090399")</f>
        <v>https://www.catalog.slsa.sa.gov.au/record=b2090399</v>
      </c>
      <c r="C6252" s="1" t="str">
        <f>HYPERLINK("https://www.catalog.slsa.sa.gov.au/xrecord=b2090399")</f>
        <v>https://www.catalog.slsa.sa.gov.au/xrecord=b2090399</v>
      </c>
      <c r="E6252" t="s">
        <v>21547</v>
      </c>
      <c r="F6252">
        <v>1952</v>
      </c>
      <c r="G6252" t="s">
        <v>19626</v>
      </c>
      <c r="H6252" t="s">
        <v>21548</v>
      </c>
      <c r="I6252" t="s">
        <v>17710</v>
      </c>
      <c r="J6252" t="s">
        <v>15341</v>
      </c>
      <c r="K6252" s="2" t="str">
        <f>HYPERLINK("http://collections.slsa.sa.gov.au/mpcimg/59000/B58892_235.htm")</f>
        <v>http://collections.slsa.sa.gov.au/mpcimg/59000/B58892_235.htm</v>
      </c>
    </row>
    <row r="6253" spans="1:11" x14ac:dyDescent="0.25">
      <c r="A6253" t="s">
        <v>21549</v>
      </c>
      <c r="B6253" s="1" t="str">
        <f>HYPERLINK("https://www.catalog.slsa.sa.gov.au/record=b2090401")</f>
        <v>https://www.catalog.slsa.sa.gov.au/record=b2090401</v>
      </c>
      <c r="C6253" s="1" t="str">
        <f>HYPERLINK("https://www.catalog.slsa.sa.gov.au/xrecord=b2090401")</f>
        <v>https://www.catalog.slsa.sa.gov.au/xrecord=b2090401</v>
      </c>
      <c r="E6253" t="s">
        <v>21547</v>
      </c>
      <c r="F6253">
        <v>1952</v>
      </c>
      <c r="G6253" t="s">
        <v>21550</v>
      </c>
      <c r="H6253" t="s">
        <v>21551</v>
      </c>
      <c r="I6253" t="s">
        <v>15400</v>
      </c>
      <c r="J6253" t="s">
        <v>15341</v>
      </c>
      <c r="K6253" s="2" t="str">
        <f>HYPERLINK("http://collections.slsa.sa.gov.au/mpcimg/59000/B58892_237.htm")</f>
        <v>http://collections.slsa.sa.gov.au/mpcimg/59000/B58892_237.htm</v>
      </c>
    </row>
    <row r="6254" spans="1:11" x14ac:dyDescent="0.25">
      <c r="A6254" t="s">
        <v>21552</v>
      </c>
      <c r="B6254" s="1" t="str">
        <f>HYPERLINK("https://www.catalog.slsa.sa.gov.au/record=b2090403")</f>
        <v>https://www.catalog.slsa.sa.gov.au/record=b2090403</v>
      </c>
      <c r="C6254" s="1" t="str">
        <f>HYPERLINK("https://www.catalog.slsa.sa.gov.au/xrecord=b2090403")</f>
        <v>https://www.catalog.slsa.sa.gov.au/xrecord=b2090403</v>
      </c>
      <c r="E6254" t="s">
        <v>21547</v>
      </c>
      <c r="F6254">
        <v>1952</v>
      </c>
      <c r="G6254" t="s">
        <v>21553</v>
      </c>
      <c r="H6254" t="s">
        <v>21554</v>
      </c>
      <c r="I6254" t="s">
        <v>19465</v>
      </c>
      <c r="J6254" t="s">
        <v>15341</v>
      </c>
      <c r="K6254" s="2" t="str">
        <f>HYPERLINK("http://collections.slsa.sa.gov.au/mpcimg/59000/B58892_239.htm")</f>
        <v>http://collections.slsa.sa.gov.au/mpcimg/59000/B58892_239.htm</v>
      </c>
    </row>
    <row r="6255" spans="1:11" x14ac:dyDescent="0.25">
      <c r="A6255" t="s">
        <v>21555</v>
      </c>
      <c r="B6255" s="1" t="str">
        <f>HYPERLINK("https://www.catalog.slsa.sa.gov.au/record=b2090404")</f>
        <v>https://www.catalog.slsa.sa.gov.au/record=b2090404</v>
      </c>
      <c r="C6255" s="1" t="str">
        <f>HYPERLINK("https://www.catalog.slsa.sa.gov.au/xrecord=b2090404")</f>
        <v>https://www.catalog.slsa.sa.gov.au/xrecord=b2090404</v>
      </c>
      <c r="E6255" t="s">
        <v>21547</v>
      </c>
      <c r="F6255">
        <v>1952</v>
      </c>
      <c r="G6255" t="s">
        <v>19520</v>
      </c>
      <c r="H6255" t="s">
        <v>21556</v>
      </c>
      <c r="I6255" t="s">
        <v>15400</v>
      </c>
      <c r="J6255" t="s">
        <v>15341</v>
      </c>
      <c r="K6255" s="2" t="str">
        <f>HYPERLINK("http://collections.slsa.sa.gov.au/mpcimg/59000/B58892_240.htm")</f>
        <v>http://collections.slsa.sa.gov.au/mpcimg/59000/B58892_240.htm</v>
      </c>
    </row>
    <row r="6256" spans="1:11" x14ac:dyDescent="0.25">
      <c r="A6256" t="s">
        <v>21557</v>
      </c>
      <c r="B6256" s="1" t="str">
        <f>HYPERLINK("https://www.catalog.slsa.sa.gov.au/record=b2090440")</f>
        <v>https://www.catalog.slsa.sa.gov.au/record=b2090440</v>
      </c>
      <c r="C6256" s="1" t="str">
        <f>HYPERLINK("https://www.catalog.slsa.sa.gov.au/xrecord=b2090440")</f>
        <v>https://www.catalog.slsa.sa.gov.au/xrecord=b2090440</v>
      </c>
      <c r="E6256" t="s">
        <v>19612</v>
      </c>
      <c r="F6256">
        <v>1952</v>
      </c>
      <c r="G6256" t="s">
        <v>19507</v>
      </c>
      <c r="H6256" t="s">
        <v>21558</v>
      </c>
      <c r="I6256" t="s">
        <v>21513</v>
      </c>
      <c r="J6256" t="s">
        <v>15341</v>
      </c>
      <c r="K6256" s="2" t="str">
        <f>HYPERLINK("http://collections.slsa.sa.gov.au/mpcimg/59000/B58892_276.htm")</f>
        <v>http://collections.slsa.sa.gov.au/mpcimg/59000/B58892_276.htm</v>
      </c>
    </row>
    <row r="6257" spans="1:11" x14ac:dyDescent="0.25">
      <c r="A6257" t="s">
        <v>21559</v>
      </c>
      <c r="B6257" s="1" t="str">
        <f>HYPERLINK("https://www.catalog.slsa.sa.gov.au/record=b2090445")</f>
        <v>https://www.catalog.slsa.sa.gov.au/record=b2090445</v>
      </c>
      <c r="C6257" s="1" t="str">
        <f>HYPERLINK("https://www.catalog.slsa.sa.gov.au/xrecord=b2090445")</f>
        <v>https://www.catalog.slsa.sa.gov.au/xrecord=b2090445</v>
      </c>
      <c r="E6257" t="s">
        <v>19612</v>
      </c>
      <c r="F6257">
        <v>1952</v>
      </c>
      <c r="G6257" t="s">
        <v>21560</v>
      </c>
      <c r="H6257" t="s">
        <v>21561</v>
      </c>
      <c r="I6257" t="s">
        <v>19465</v>
      </c>
      <c r="J6257" t="s">
        <v>15341</v>
      </c>
      <c r="K6257" s="2" t="str">
        <f>HYPERLINK("http://collections.slsa.sa.gov.au/mpcimg/59000/B58892_281.htm")</f>
        <v>http://collections.slsa.sa.gov.au/mpcimg/59000/B58892_281.htm</v>
      </c>
    </row>
    <row r="6258" spans="1:11" x14ac:dyDescent="0.25">
      <c r="A6258" t="s">
        <v>21562</v>
      </c>
      <c r="B6258" s="1" t="str">
        <f>HYPERLINK("https://www.catalog.slsa.sa.gov.au/record=b2090461")</f>
        <v>https://www.catalog.slsa.sa.gov.au/record=b2090461</v>
      </c>
      <c r="C6258" s="1" t="str">
        <f>HYPERLINK("https://www.catalog.slsa.sa.gov.au/xrecord=b2090461")</f>
        <v>https://www.catalog.slsa.sa.gov.au/xrecord=b2090461</v>
      </c>
      <c r="E6258" t="s">
        <v>19625</v>
      </c>
      <c r="F6258">
        <v>1952</v>
      </c>
      <c r="G6258" t="s">
        <v>20301</v>
      </c>
      <c r="H6258" t="s">
        <v>21563</v>
      </c>
      <c r="I6258" t="s">
        <v>15345</v>
      </c>
      <c r="J6258" t="s">
        <v>15341</v>
      </c>
      <c r="K6258" s="2" t="str">
        <f>HYPERLINK("http://collections.slsa.sa.gov.au/mpcimg/59000/B58892_297.htm")</f>
        <v>http://collections.slsa.sa.gov.au/mpcimg/59000/B58892_297.htm</v>
      </c>
    </row>
    <row r="6259" spans="1:11" x14ac:dyDescent="0.25">
      <c r="A6259" t="s">
        <v>21564</v>
      </c>
      <c r="B6259" s="1" t="str">
        <f>HYPERLINK("https://www.catalog.slsa.sa.gov.au/record=b2090464")</f>
        <v>https://www.catalog.slsa.sa.gov.au/record=b2090464</v>
      </c>
      <c r="C6259" s="1" t="str">
        <f>HYPERLINK("https://www.catalog.slsa.sa.gov.au/xrecord=b2090464")</f>
        <v>https://www.catalog.slsa.sa.gov.au/xrecord=b2090464</v>
      </c>
      <c r="E6259" t="s">
        <v>19625</v>
      </c>
      <c r="F6259">
        <v>1952</v>
      </c>
      <c r="G6259" t="s">
        <v>19510</v>
      </c>
      <c r="H6259" t="s">
        <v>21565</v>
      </c>
      <c r="I6259" t="s">
        <v>15340</v>
      </c>
      <c r="J6259" t="s">
        <v>15341</v>
      </c>
      <c r="K6259" s="2" t="str">
        <f>HYPERLINK("http://collections.slsa.sa.gov.au/mpcimg/59000/B58892_300.htm")</f>
        <v>http://collections.slsa.sa.gov.au/mpcimg/59000/B58892_300.htm</v>
      </c>
    </row>
    <row r="6260" spans="1:11" x14ac:dyDescent="0.25">
      <c r="A6260" t="s">
        <v>21566</v>
      </c>
      <c r="B6260" s="1" t="str">
        <f>HYPERLINK("https://www.catalog.slsa.sa.gov.au/record=b2090465")</f>
        <v>https://www.catalog.slsa.sa.gov.au/record=b2090465</v>
      </c>
      <c r="C6260" s="1" t="str">
        <f>HYPERLINK("https://www.catalog.slsa.sa.gov.au/xrecord=b2090465")</f>
        <v>https://www.catalog.slsa.sa.gov.au/xrecord=b2090465</v>
      </c>
      <c r="E6260" t="s">
        <v>19625</v>
      </c>
      <c r="F6260">
        <v>1952</v>
      </c>
      <c r="G6260" t="s">
        <v>21567</v>
      </c>
      <c r="H6260" t="s">
        <v>21568</v>
      </c>
      <c r="I6260" t="s">
        <v>19560</v>
      </c>
      <c r="J6260" t="s">
        <v>15341</v>
      </c>
      <c r="K6260" s="2" t="str">
        <f>HYPERLINK("http://collections.slsa.sa.gov.au/mpcimg/59000/B58892_301.htm")</f>
        <v>http://collections.slsa.sa.gov.au/mpcimg/59000/B58892_301.htm</v>
      </c>
    </row>
    <row r="6261" spans="1:11" x14ac:dyDescent="0.25">
      <c r="A6261" t="s">
        <v>21569</v>
      </c>
      <c r="B6261" s="1" t="str">
        <f>HYPERLINK("https://www.catalog.slsa.sa.gov.au/record=b2090469")</f>
        <v>https://www.catalog.slsa.sa.gov.au/record=b2090469</v>
      </c>
      <c r="C6261" s="1" t="str">
        <f>HYPERLINK("https://www.catalog.slsa.sa.gov.au/xrecord=b2090469")</f>
        <v>https://www.catalog.slsa.sa.gov.au/xrecord=b2090469</v>
      </c>
      <c r="E6261" t="s">
        <v>19625</v>
      </c>
      <c r="F6261">
        <v>1952</v>
      </c>
      <c r="G6261" t="s">
        <v>21570</v>
      </c>
      <c r="H6261" t="s">
        <v>21571</v>
      </c>
      <c r="I6261" t="s">
        <v>15340</v>
      </c>
      <c r="J6261" t="s">
        <v>15341</v>
      </c>
      <c r="K6261" s="2" t="str">
        <f>HYPERLINK("http://collections.slsa.sa.gov.au/mpcimg/59000/B58892_305.htm")</f>
        <v>http://collections.slsa.sa.gov.au/mpcimg/59000/B58892_305.htm</v>
      </c>
    </row>
    <row r="6262" spans="1:11" x14ac:dyDescent="0.25">
      <c r="A6262" t="s">
        <v>21572</v>
      </c>
      <c r="B6262" s="1" t="str">
        <f>HYPERLINK("https://www.catalog.slsa.sa.gov.au/record=b2090470")</f>
        <v>https://www.catalog.slsa.sa.gov.au/record=b2090470</v>
      </c>
      <c r="C6262" s="1" t="str">
        <f>HYPERLINK("https://www.catalog.slsa.sa.gov.au/xrecord=b2090470")</f>
        <v>https://www.catalog.slsa.sa.gov.au/xrecord=b2090470</v>
      </c>
      <c r="E6262" t="s">
        <v>19625</v>
      </c>
      <c r="F6262">
        <v>1952</v>
      </c>
      <c r="G6262" t="s">
        <v>20191</v>
      </c>
      <c r="H6262" t="s">
        <v>19627</v>
      </c>
      <c r="I6262" t="s">
        <v>15356</v>
      </c>
      <c r="J6262" t="s">
        <v>15341</v>
      </c>
      <c r="K6262" s="2" t="str">
        <f>HYPERLINK("http://collections.slsa.sa.gov.au/mpcimg/59000/B58892_306.htm")</f>
        <v>http://collections.slsa.sa.gov.au/mpcimg/59000/B58892_306.htm</v>
      </c>
    </row>
    <row r="6263" spans="1:11" x14ac:dyDescent="0.25">
      <c r="A6263" t="s">
        <v>21573</v>
      </c>
      <c r="B6263" s="1" t="str">
        <f>HYPERLINK("https://www.catalog.slsa.sa.gov.au/record=b2090491")</f>
        <v>https://www.catalog.slsa.sa.gov.au/record=b2090491</v>
      </c>
      <c r="C6263" s="1" t="str">
        <f>HYPERLINK("https://www.catalog.slsa.sa.gov.au/xrecord=b2090491")</f>
        <v>https://www.catalog.slsa.sa.gov.au/xrecord=b2090491</v>
      </c>
      <c r="E6263" t="s">
        <v>19632</v>
      </c>
      <c r="F6263">
        <v>1952</v>
      </c>
      <c r="G6263" t="s">
        <v>21574</v>
      </c>
      <c r="H6263" t="s">
        <v>21575</v>
      </c>
      <c r="I6263" t="s">
        <v>17710</v>
      </c>
      <c r="J6263" t="s">
        <v>15341</v>
      </c>
      <c r="K6263" s="2" t="str">
        <f>HYPERLINK("http://collections.slsa.sa.gov.au/mpcimg/59000/B58892_327.htm")</f>
        <v>http://collections.slsa.sa.gov.au/mpcimg/59000/B58892_327.htm</v>
      </c>
    </row>
    <row r="6264" spans="1:11" x14ac:dyDescent="0.25">
      <c r="A6264" t="s">
        <v>21576</v>
      </c>
      <c r="B6264" s="1" t="str">
        <f>HYPERLINK("https://www.catalog.slsa.sa.gov.au/record=b2090517")</f>
        <v>https://www.catalog.slsa.sa.gov.au/record=b2090517</v>
      </c>
      <c r="C6264" s="1" t="str">
        <f>HYPERLINK("https://www.catalog.slsa.sa.gov.au/xrecord=b2090517")</f>
        <v>https://www.catalog.slsa.sa.gov.au/xrecord=b2090517</v>
      </c>
      <c r="E6264" t="s">
        <v>15394</v>
      </c>
      <c r="F6264">
        <v>1952</v>
      </c>
      <c r="G6264" t="s">
        <v>19613</v>
      </c>
      <c r="H6264" t="s">
        <v>21577</v>
      </c>
      <c r="I6264" t="s">
        <v>17710</v>
      </c>
      <c r="J6264" t="s">
        <v>15341</v>
      </c>
      <c r="K6264" s="2" t="str">
        <f>HYPERLINK("http://collections.slsa.sa.gov.au/mpcimg/59000/B58892_353.htm")</f>
        <v>http://collections.slsa.sa.gov.au/mpcimg/59000/B58892_353.htm</v>
      </c>
    </row>
    <row r="6265" spans="1:11" x14ac:dyDescent="0.25">
      <c r="A6265" t="s">
        <v>21578</v>
      </c>
      <c r="B6265" s="1" t="str">
        <f>HYPERLINK("https://www.catalog.slsa.sa.gov.au/record=b2090519")</f>
        <v>https://www.catalog.slsa.sa.gov.au/record=b2090519</v>
      </c>
      <c r="C6265" s="1" t="str">
        <f>HYPERLINK("https://www.catalog.slsa.sa.gov.au/xrecord=b2090519")</f>
        <v>https://www.catalog.slsa.sa.gov.au/xrecord=b2090519</v>
      </c>
      <c r="E6265" t="s">
        <v>15394</v>
      </c>
      <c r="F6265">
        <v>1952</v>
      </c>
      <c r="G6265" t="s">
        <v>21579</v>
      </c>
      <c r="H6265" t="s">
        <v>21580</v>
      </c>
      <c r="I6265" t="s">
        <v>15356</v>
      </c>
      <c r="J6265" t="s">
        <v>15341</v>
      </c>
      <c r="K6265" s="2" t="str">
        <f>HYPERLINK("http://collections.slsa.sa.gov.au/mpcimg/59000/B58892_355.htm")</f>
        <v>http://collections.slsa.sa.gov.au/mpcimg/59000/B58892_355.htm</v>
      </c>
    </row>
    <row r="6266" spans="1:11" x14ac:dyDescent="0.25">
      <c r="A6266" t="s">
        <v>21581</v>
      </c>
      <c r="B6266" s="1" t="str">
        <f>HYPERLINK("https://www.catalog.slsa.sa.gov.au/record=b2090520")</f>
        <v>https://www.catalog.slsa.sa.gov.au/record=b2090520</v>
      </c>
      <c r="C6266" s="1" t="str">
        <f>HYPERLINK("https://www.catalog.slsa.sa.gov.au/xrecord=b2090520")</f>
        <v>https://www.catalog.slsa.sa.gov.au/xrecord=b2090520</v>
      </c>
      <c r="E6266" t="s">
        <v>15394</v>
      </c>
      <c r="F6266">
        <v>1952</v>
      </c>
      <c r="G6266" t="s">
        <v>20436</v>
      </c>
      <c r="H6266" t="s">
        <v>21582</v>
      </c>
      <c r="I6266" t="s">
        <v>19475</v>
      </c>
      <c r="J6266" t="s">
        <v>15341</v>
      </c>
      <c r="K6266" s="2" t="str">
        <f>HYPERLINK("http://collections.slsa.sa.gov.au/mpcimg/59000/B58892_356.htm")</f>
        <v>http://collections.slsa.sa.gov.au/mpcimg/59000/B58892_356.htm</v>
      </c>
    </row>
    <row r="6267" spans="1:11" x14ac:dyDescent="0.25">
      <c r="A6267" t="s">
        <v>21583</v>
      </c>
      <c r="B6267" s="1" t="str">
        <f>HYPERLINK("https://www.catalog.slsa.sa.gov.au/record=b2090522")</f>
        <v>https://www.catalog.slsa.sa.gov.au/record=b2090522</v>
      </c>
      <c r="C6267" s="1" t="str">
        <f>HYPERLINK("https://www.catalog.slsa.sa.gov.au/xrecord=b2090522")</f>
        <v>https://www.catalog.slsa.sa.gov.au/xrecord=b2090522</v>
      </c>
      <c r="E6267" t="s">
        <v>15394</v>
      </c>
      <c r="F6267">
        <v>1952</v>
      </c>
      <c r="G6267" t="s">
        <v>21584</v>
      </c>
      <c r="H6267" t="s">
        <v>21585</v>
      </c>
      <c r="I6267" t="s">
        <v>15340</v>
      </c>
      <c r="J6267" t="s">
        <v>15341</v>
      </c>
      <c r="K6267" s="2" t="str">
        <f>HYPERLINK("http://collections.slsa.sa.gov.au/mpcimg/59000/B58892_358.htm")</f>
        <v>http://collections.slsa.sa.gov.au/mpcimg/59000/B58892_358.htm</v>
      </c>
    </row>
    <row r="6268" spans="1:11" x14ac:dyDescent="0.25">
      <c r="A6268" t="s">
        <v>21586</v>
      </c>
      <c r="B6268" s="1" t="str">
        <f>HYPERLINK("https://www.catalog.slsa.sa.gov.au/record=b2090524")</f>
        <v>https://www.catalog.slsa.sa.gov.au/record=b2090524</v>
      </c>
      <c r="C6268" s="1" t="str">
        <f>HYPERLINK("https://www.catalog.slsa.sa.gov.au/xrecord=b2090524")</f>
        <v>https://www.catalog.slsa.sa.gov.au/xrecord=b2090524</v>
      </c>
      <c r="E6268" t="s">
        <v>15394</v>
      </c>
      <c r="F6268">
        <v>1952</v>
      </c>
      <c r="G6268" t="s">
        <v>21587</v>
      </c>
      <c r="H6268" t="s">
        <v>19627</v>
      </c>
      <c r="I6268" t="s">
        <v>15356</v>
      </c>
      <c r="J6268" t="s">
        <v>15341</v>
      </c>
      <c r="K6268" s="2" t="str">
        <f>HYPERLINK("http://collections.slsa.sa.gov.au/mpcimg/59000/B58892_360.htm")</f>
        <v>http://collections.slsa.sa.gov.au/mpcimg/59000/B58892_360.htm</v>
      </c>
    </row>
    <row r="6269" spans="1:11" x14ac:dyDescent="0.25">
      <c r="A6269" t="s">
        <v>21588</v>
      </c>
      <c r="B6269" s="1" t="str">
        <f>HYPERLINK("https://www.catalog.slsa.sa.gov.au/record=b2090525")</f>
        <v>https://www.catalog.slsa.sa.gov.au/record=b2090525</v>
      </c>
      <c r="C6269" s="1" t="str">
        <f>HYPERLINK("https://www.catalog.slsa.sa.gov.au/xrecord=b2090525")</f>
        <v>https://www.catalog.slsa.sa.gov.au/xrecord=b2090525</v>
      </c>
      <c r="E6269" t="s">
        <v>15394</v>
      </c>
      <c r="F6269">
        <v>1952</v>
      </c>
      <c r="G6269" t="s">
        <v>20367</v>
      </c>
      <c r="H6269" t="s">
        <v>21589</v>
      </c>
      <c r="I6269" t="s">
        <v>15356</v>
      </c>
      <c r="J6269" t="s">
        <v>15341</v>
      </c>
      <c r="K6269" s="2" t="str">
        <f>HYPERLINK("http://collections.slsa.sa.gov.au/mpcimg/59000/B58892_361.htm")</f>
        <v>http://collections.slsa.sa.gov.au/mpcimg/59000/B58892_361.htm</v>
      </c>
    </row>
    <row r="6270" spans="1:11" x14ac:dyDescent="0.25">
      <c r="A6270" t="s">
        <v>21590</v>
      </c>
      <c r="B6270" s="1" t="str">
        <f>HYPERLINK("https://www.catalog.slsa.sa.gov.au/record=b2090526")</f>
        <v>https://www.catalog.slsa.sa.gov.au/record=b2090526</v>
      </c>
      <c r="C6270" s="1" t="str">
        <f>HYPERLINK("https://www.catalog.slsa.sa.gov.au/xrecord=b2090526")</f>
        <v>https://www.catalog.slsa.sa.gov.au/xrecord=b2090526</v>
      </c>
      <c r="E6270" t="s">
        <v>15394</v>
      </c>
      <c r="F6270">
        <v>1952</v>
      </c>
      <c r="G6270" t="s">
        <v>21591</v>
      </c>
      <c r="H6270" t="s">
        <v>21592</v>
      </c>
      <c r="I6270" t="s">
        <v>21434</v>
      </c>
      <c r="J6270" t="s">
        <v>15341</v>
      </c>
      <c r="K6270" s="2" t="str">
        <f>HYPERLINK("http://collections.slsa.sa.gov.au/mpcimg/59000/B58892_362.htm")</f>
        <v>http://collections.slsa.sa.gov.au/mpcimg/59000/B58892_362.htm</v>
      </c>
    </row>
    <row r="6271" spans="1:11" x14ac:dyDescent="0.25">
      <c r="A6271" t="s">
        <v>21593</v>
      </c>
      <c r="B6271" s="1" t="str">
        <f>HYPERLINK("https://www.catalog.slsa.sa.gov.au/record=b2090527")</f>
        <v>https://www.catalog.slsa.sa.gov.au/record=b2090527</v>
      </c>
      <c r="C6271" s="1" t="str">
        <f>HYPERLINK("https://www.catalog.slsa.sa.gov.au/xrecord=b2090527")</f>
        <v>https://www.catalog.slsa.sa.gov.au/xrecord=b2090527</v>
      </c>
      <c r="E6271" t="s">
        <v>15394</v>
      </c>
      <c r="F6271">
        <v>1952</v>
      </c>
      <c r="G6271" t="s">
        <v>19507</v>
      </c>
      <c r="H6271" t="s">
        <v>21594</v>
      </c>
      <c r="I6271" t="s">
        <v>15386</v>
      </c>
      <c r="J6271" t="s">
        <v>15341</v>
      </c>
      <c r="K6271" s="2" t="str">
        <f>HYPERLINK("http://collections.slsa.sa.gov.au/mpcimg/59000/B58892_363.htm")</f>
        <v>http://collections.slsa.sa.gov.au/mpcimg/59000/B58892_363.htm</v>
      </c>
    </row>
    <row r="6272" spans="1:11" x14ac:dyDescent="0.25">
      <c r="A6272" t="s">
        <v>21595</v>
      </c>
      <c r="B6272" s="1" t="str">
        <f>HYPERLINK("https://www.catalog.slsa.sa.gov.au/record=b2090528")</f>
        <v>https://www.catalog.slsa.sa.gov.au/record=b2090528</v>
      </c>
      <c r="C6272" s="1" t="str">
        <f>HYPERLINK("https://www.catalog.slsa.sa.gov.au/xrecord=b2090528")</f>
        <v>https://www.catalog.slsa.sa.gov.au/xrecord=b2090528</v>
      </c>
      <c r="E6272" t="s">
        <v>15394</v>
      </c>
      <c r="F6272">
        <v>1952</v>
      </c>
      <c r="G6272" t="s">
        <v>20266</v>
      </c>
      <c r="H6272" t="s">
        <v>21596</v>
      </c>
      <c r="I6272" t="s">
        <v>15356</v>
      </c>
      <c r="J6272" t="s">
        <v>15341</v>
      </c>
      <c r="K6272" s="2" t="str">
        <f>HYPERLINK("http://collections.slsa.sa.gov.au/mpcimg/59000/B58892_364.htm")</f>
        <v>http://collections.slsa.sa.gov.au/mpcimg/59000/B58892_364.htm</v>
      </c>
    </row>
    <row r="6273" spans="1:11" x14ac:dyDescent="0.25">
      <c r="A6273" t="s">
        <v>21597</v>
      </c>
      <c r="B6273" s="1" t="str">
        <f>HYPERLINK("https://www.catalog.slsa.sa.gov.au/record=b2090529")</f>
        <v>https://www.catalog.slsa.sa.gov.au/record=b2090529</v>
      </c>
      <c r="C6273" s="1" t="str">
        <f>HYPERLINK("https://www.catalog.slsa.sa.gov.au/xrecord=b2090529")</f>
        <v>https://www.catalog.slsa.sa.gov.au/xrecord=b2090529</v>
      </c>
      <c r="E6273" t="s">
        <v>15394</v>
      </c>
      <c r="F6273">
        <v>1952</v>
      </c>
      <c r="G6273" t="s">
        <v>21598</v>
      </c>
      <c r="H6273" t="s">
        <v>21599</v>
      </c>
      <c r="I6273" t="s">
        <v>17710</v>
      </c>
      <c r="J6273" t="s">
        <v>15341</v>
      </c>
      <c r="K6273" s="2" t="str">
        <f>HYPERLINK("http://collections.slsa.sa.gov.au/mpcimg/59000/B58892_365.htm")</f>
        <v>http://collections.slsa.sa.gov.au/mpcimg/59000/B58892_365.htm</v>
      </c>
    </row>
    <row r="6274" spans="1:11" x14ac:dyDescent="0.25">
      <c r="A6274" t="s">
        <v>21600</v>
      </c>
      <c r="B6274" s="1" t="str">
        <f>HYPERLINK("https://www.catalog.slsa.sa.gov.au/record=b2090531")</f>
        <v>https://www.catalog.slsa.sa.gov.au/record=b2090531</v>
      </c>
      <c r="C6274" s="1" t="str">
        <f>HYPERLINK("https://www.catalog.slsa.sa.gov.au/xrecord=b2090531")</f>
        <v>https://www.catalog.slsa.sa.gov.au/xrecord=b2090531</v>
      </c>
      <c r="E6274" t="s">
        <v>15394</v>
      </c>
      <c r="F6274">
        <v>1952</v>
      </c>
      <c r="G6274" t="s">
        <v>21601</v>
      </c>
      <c r="H6274" t="s">
        <v>21602</v>
      </c>
      <c r="I6274" t="s">
        <v>15340</v>
      </c>
      <c r="J6274" t="s">
        <v>15341</v>
      </c>
      <c r="K6274" s="2" t="str">
        <f>HYPERLINK("http://collections.slsa.sa.gov.au/mpcimg/59000/B58892_367.htm")</f>
        <v>http://collections.slsa.sa.gov.au/mpcimg/59000/B58892_367.htm</v>
      </c>
    </row>
    <row r="6275" spans="1:11" x14ac:dyDescent="0.25">
      <c r="A6275" t="s">
        <v>21603</v>
      </c>
      <c r="B6275" s="1" t="str">
        <f>HYPERLINK("https://www.catalog.slsa.sa.gov.au/record=b2090532")</f>
        <v>https://www.catalog.slsa.sa.gov.au/record=b2090532</v>
      </c>
      <c r="C6275" s="1" t="str">
        <f>HYPERLINK("https://www.catalog.slsa.sa.gov.au/xrecord=b2090532")</f>
        <v>https://www.catalog.slsa.sa.gov.au/xrecord=b2090532</v>
      </c>
      <c r="E6275" t="s">
        <v>15394</v>
      </c>
      <c r="F6275">
        <v>1952</v>
      </c>
      <c r="G6275" t="s">
        <v>21604</v>
      </c>
      <c r="H6275" t="s">
        <v>21605</v>
      </c>
      <c r="I6275" t="s">
        <v>17710</v>
      </c>
      <c r="J6275" t="s">
        <v>15341</v>
      </c>
      <c r="K6275" s="2" t="str">
        <f>HYPERLINK("http://collections.slsa.sa.gov.au/mpcimg/59000/B58892_368.htm")</f>
        <v>http://collections.slsa.sa.gov.au/mpcimg/59000/B58892_368.htm</v>
      </c>
    </row>
    <row r="6276" spans="1:11" x14ac:dyDescent="0.25">
      <c r="A6276" t="s">
        <v>21606</v>
      </c>
      <c r="B6276" s="1" t="str">
        <f>HYPERLINK("https://www.catalog.slsa.sa.gov.au/record=b2090536")</f>
        <v>https://www.catalog.slsa.sa.gov.au/record=b2090536</v>
      </c>
      <c r="C6276" s="1" t="str">
        <f>HYPERLINK("https://www.catalog.slsa.sa.gov.au/xrecord=b2090536")</f>
        <v>https://www.catalog.slsa.sa.gov.au/xrecord=b2090536</v>
      </c>
      <c r="E6276" t="s">
        <v>15394</v>
      </c>
      <c r="F6276">
        <v>1952</v>
      </c>
      <c r="G6276" t="s">
        <v>21607</v>
      </c>
      <c r="H6276" t="s">
        <v>21608</v>
      </c>
      <c r="I6276" t="s">
        <v>17703</v>
      </c>
      <c r="J6276" t="s">
        <v>15341</v>
      </c>
      <c r="K6276" s="2" t="str">
        <f>HYPERLINK("http://collections.slsa.sa.gov.au/mpcimg/59000/B58892_372.htm")</f>
        <v>http://collections.slsa.sa.gov.au/mpcimg/59000/B58892_372.htm</v>
      </c>
    </row>
    <row r="6277" spans="1:11" x14ac:dyDescent="0.25">
      <c r="A6277" t="s">
        <v>21609</v>
      </c>
      <c r="B6277" s="1" t="str">
        <f>HYPERLINK("https://www.catalog.slsa.sa.gov.au/record=b2090545")</f>
        <v>https://www.catalog.slsa.sa.gov.au/record=b2090545</v>
      </c>
      <c r="C6277" s="1" t="str">
        <f>HYPERLINK("https://www.catalog.slsa.sa.gov.au/xrecord=b2090545")</f>
        <v>https://www.catalog.slsa.sa.gov.au/xrecord=b2090545</v>
      </c>
      <c r="E6277" t="s">
        <v>19666</v>
      </c>
      <c r="F6277">
        <v>1952</v>
      </c>
      <c r="G6277" t="s">
        <v>21610</v>
      </c>
      <c r="H6277" t="s">
        <v>21611</v>
      </c>
      <c r="I6277" t="s">
        <v>19475</v>
      </c>
      <c r="J6277" t="s">
        <v>15341</v>
      </c>
      <c r="K6277" s="2" t="str">
        <f>HYPERLINK("http://collections.slsa.sa.gov.au/mpcimg/59000/B58892_381.htm")</f>
        <v>http://collections.slsa.sa.gov.au/mpcimg/59000/B58892_381.htm</v>
      </c>
    </row>
    <row r="6278" spans="1:11" x14ac:dyDescent="0.25">
      <c r="A6278" t="s">
        <v>21612</v>
      </c>
      <c r="B6278" s="1" t="str">
        <f>HYPERLINK("https://www.catalog.slsa.sa.gov.au/record=b2090547")</f>
        <v>https://www.catalog.slsa.sa.gov.au/record=b2090547</v>
      </c>
      <c r="C6278" s="1" t="str">
        <f>HYPERLINK("https://www.catalog.slsa.sa.gov.au/xrecord=b2090547")</f>
        <v>https://www.catalog.slsa.sa.gov.au/xrecord=b2090547</v>
      </c>
      <c r="E6278" t="s">
        <v>19666</v>
      </c>
      <c r="F6278">
        <v>1952</v>
      </c>
      <c r="G6278" t="s">
        <v>21613</v>
      </c>
      <c r="H6278" t="s">
        <v>21614</v>
      </c>
      <c r="I6278" t="s">
        <v>19475</v>
      </c>
      <c r="J6278" t="s">
        <v>15341</v>
      </c>
      <c r="K6278" s="2" t="str">
        <f>HYPERLINK("http://collections.slsa.sa.gov.au/mpcimg/59000/B58892_383.htm")</f>
        <v>http://collections.slsa.sa.gov.au/mpcimg/59000/B58892_383.htm</v>
      </c>
    </row>
    <row r="6279" spans="1:11" x14ac:dyDescent="0.25">
      <c r="A6279" t="s">
        <v>21615</v>
      </c>
      <c r="B6279" s="1" t="str">
        <f>HYPERLINK("https://www.catalog.slsa.sa.gov.au/record=b2090549")</f>
        <v>https://www.catalog.slsa.sa.gov.au/record=b2090549</v>
      </c>
      <c r="C6279" s="1" t="str">
        <f>HYPERLINK("https://www.catalog.slsa.sa.gov.au/xrecord=b2090549")</f>
        <v>https://www.catalog.slsa.sa.gov.au/xrecord=b2090549</v>
      </c>
      <c r="E6279" t="s">
        <v>19666</v>
      </c>
      <c r="F6279">
        <v>1952</v>
      </c>
      <c r="G6279" t="s">
        <v>20414</v>
      </c>
      <c r="H6279" t="s">
        <v>21616</v>
      </c>
      <c r="I6279" t="s">
        <v>19475</v>
      </c>
      <c r="J6279" t="s">
        <v>15341</v>
      </c>
      <c r="K6279" s="2" t="str">
        <f>HYPERLINK("http://collections.slsa.sa.gov.au/mpcimg/59000/B58892_385.htm")</f>
        <v>http://collections.slsa.sa.gov.au/mpcimg/59000/B58892_385.htm</v>
      </c>
    </row>
    <row r="6280" spans="1:11" x14ac:dyDescent="0.25">
      <c r="A6280" t="s">
        <v>21617</v>
      </c>
      <c r="B6280" s="1" t="str">
        <f>HYPERLINK("https://www.catalog.slsa.sa.gov.au/record=b2090557")</f>
        <v>https://www.catalog.slsa.sa.gov.au/record=b2090557</v>
      </c>
      <c r="C6280" s="1" t="str">
        <f>HYPERLINK("https://www.catalog.slsa.sa.gov.au/xrecord=b2090557")</f>
        <v>https://www.catalog.slsa.sa.gov.au/xrecord=b2090557</v>
      </c>
      <c r="E6280" t="s">
        <v>19666</v>
      </c>
      <c r="F6280">
        <v>1952</v>
      </c>
      <c r="G6280" t="s">
        <v>21618</v>
      </c>
      <c r="H6280" t="s">
        <v>21619</v>
      </c>
      <c r="I6280" t="s">
        <v>17710</v>
      </c>
      <c r="J6280" t="s">
        <v>15341</v>
      </c>
      <c r="K6280" s="2" t="str">
        <f>HYPERLINK("http://collections.slsa.sa.gov.au/mpcimg/59000/B58892_393.htm")</f>
        <v>http://collections.slsa.sa.gov.au/mpcimg/59000/B58892_393.htm</v>
      </c>
    </row>
    <row r="6281" spans="1:11" x14ac:dyDescent="0.25">
      <c r="A6281" t="s">
        <v>21620</v>
      </c>
      <c r="B6281" s="1" t="str">
        <f>HYPERLINK("https://www.catalog.slsa.sa.gov.au/record=b2090558")</f>
        <v>https://www.catalog.slsa.sa.gov.au/record=b2090558</v>
      </c>
      <c r="C6281" s="1" t="str">
        <f>HYPERLINK("https://www.catalog.slsa.sa.gov.au/xrecord=b2090558")</f>
        <v>https://www.catalog.slsa.sa.gov.au/xrecord=b2090558</v>
      </c>
      <c r="E6281" t="s">
        <v>19666</v>
      </c>
      <c r="F6281">
        <v>1952</v>
      </c>
      <c r="G6281" t="s">
        <v>21621</v>
      </c>
      <c r="H6281" t="s">
        <v>21622</v>
      </c>
      <c r="I6281" t="s">
        <v>19408</v>
      </c>
      <c r="J6281" t="s">
        <v>15341</v>
      </c>
      <c r="K6281" s="2" t="str">
        <f>HYPERLINK("http://collections.slsa.sa.gov.au/mpcimg/59000/B58892_394.htm")</f>
        <v>http://collections.slsa.sa.gov.au/mpcimg/59000/B58892_394.htm</v>
      </c>
    </row>
    <row r="6282" spans="1:11" x14ac:dyDescent="0.25">
      <c r="A6282" t="s">
        <v>21623</v>
      </c>
      <c r="B6282" s="1" t="str">
        <f>HYPERLINK("https://www.catalog.slsa.sa.gov.au/record=b2090559")</f>
        <v>https://www.catalog.slsa.sa.gov.au/record=b2090559</v>
      </c>
      <c r="C6282" s="1" t="str">
        <f>HYPERLINK("https://www.catalog.slsa.sa.gov.au/xrecord=b2090559")</f>
        <v>https://www.catalog.slsa.sa.gov.au/xrecord=b2090559</v>
      </c>
      <c r="E6282" t="s">
        <v>19666</v>
      </c>
      <c r="F6282">
        <v>1952</v>
      </c>
      <c r="G6282" t="s">
        <v>21624</v>
      </c>
      <c r="H6282" t="s">
        <v>21625</v>
      </c>
      <c r="I6282" t="s">
        <v>21626</v>
      </c>
      <c r="J6282" t="s">
        <v>15341</v>
      </c>
      <c r="K6282" s="2" t="str">
        <f>HYPERLINK("http://collections.slsa.sa.gov.au/mpcimg/59000/B58892_395.htm")</f>
        <v>http://collections.slsa.sa.gov.au/mpcimg/59000/B58892_395.htm</v>
      </c>
    </row>
    <row r="6283" spans="1:11" x14ac:dyDescent="0.25">
      <c r="A6283" t="s">
        <v>21627</v>
      </c>
      <c r="B6283" s="1" t="str">
        <f>HYPERLINK("https://www.catalog.slsa.sa.gov.au/record=b2090560")</f>
        <v>https://www.catalog.slsa.sa.gov.au/record=b2090560</v>
      </c>
      <c r="C6283" s="1" t="str">
        <f>HYPERLINK("https://www.catalog.slsa.sa.gov.au/xrecord=b2090560")</f>
        <v>https://www.catalog.slsa.sa.gov.au/xrecord=b2090560</v>
      </c>
      <c r="E6283" t="s">
        <v>19666</v>
      </c>
      <c r="F6283">
        <v>1952</v>
      </c>
      <c r="G6283" t="s">
        <v>21628</v>
      </c>
      <c r="H6283" t="s">
        <v>21629</v>
      </c>
      <c r="I6283" t="s">
        <v>21630</v>
      </c>
      <c r="J6283" t="s">
        <v>15341</v>
      </c>
      <c r="K6283" s="2" t="str">
        <f>HYPERLINK("http://collections.slsa.sa.gov.au/mpcimg/59000/B58892_397.htm")</f>
        <v>http://collections.slsa.sa.gov.au/mpcimg/59000/B58892_397.htm</v>
      </c>
    </row>
    <row r="6284" spans="1:11" x14ac:dyDescent="0.25">
      <c r="A6284" t="s">
        <v>21631</v>
      </c>
      <c r="B6284" s="1" t="str">
        <f>HYPERLINK("https://www.catalog.slsa.sa.gov.au/record=b2090561")</f>
        <v>https://www.catalog.slsa.sa.gov.au/record=b2090561</v>
      </c>
      <c r="C6284" s="1" t="str">
        <f>HYPERLINK("https://www.catalog.slsa.sa.gov.au/xrecord=b2090561")</f>
        <v>https://www.catalog.slsa.sa.gov.au/xrecord=b2090561</v>
      </c>
      <c r="E6284" t="s">
        <v>19666</v>
      </c>
      <c r="F6284">
        <v>1952</v>
      </c>
      <c r="G6284" t="s">
        <v>20286</v>
      </c>
      <c r="H6284" t="s">
        <v>21632</v>
      </c>
      <c r="I6284" t="s">
        <v>21630</v>
      </c>
      <c r="J6284" t="s">
        <v>15341</v>
      </c>
      <c r="K6284" s="2" t="str">
        <f>HYPERLINK("http://collections.slsa.sa.gov.au/mpcimg/59000/B58892_399.htm")</f>
        <v>http://collections.slsa.sa.gov.au/mpcimg/59000/B58892_399.htm</v>
      </c>
    </row>
    <row r="6285" spans="1:11" x14ac:dyDescent="0.25">
      <c r="A6285" t="s">
        <v>21633</v>
      </c>
      <c r="B6285" s="1" t="str">
        <f>HYPERLINK("https://www.catalog.slsa.sa.gov.au/record=b2090567")</f>
        <v>https://www.catalog.slsa.sa.gov.au/record=b2090567</v>
      </c>
      <c r="C6285" s="1" t="str">
        <f>HYPERLINK("https://www.catalog.slsa.sa.gov.au/xrecord=b2090567")</f>
        <v>https://www.catalog.slsa.sa.gov.au/xrecord=b2090567</v>
      </c>
      <c r="E6285" t="s">
        <v>19666</v>
      </c>
      <c r="F6285">
        <v>1952</v>
      </c>
      <c r="G6285" t="s">
        <v>21634</v>
      </c>
      <c r="H6285" t="s">
        <v>21635</v>
      </c>
      <c r="I6285" t="s">
        <v>19475</v>
      </c>
      <c r="J6285" t="s">
        <v>15341</v>
      </c>
      <c r="K6285" s="2" t="str">
        <f>HYPERLINK("http://collections.slsa.sa.gov.au/mpcimg/59000/B58892_405.htm")</f>
        <v>http://collections.slsa.sa.gov.au/mpcimg/59000/B58892_405.htm</v>
      </c>
    </row>
    <row r="6286" spans="1:11" x14ac:dyDescent="0.25">
      <c r="A6286" t="s">
        <v>21636</v>
      </c>
      <c r="B6286" s="1" t="str">
        <f>HYPERLINK("https://www.catalog.slsa.sa.gov.au/record=b2090727")</f>
        <v>https://www.catalog.slsa.sa.gov.au/record=b2090727</v>
      </c>
      <c r="C6286" s="1" t="str">
        <f>HYPERLINK("https://www.catalog.slsa.sa.gov.au/xrecord=b2090727")</f>
        <v>https://www.catalog.slsa.sa.gov.au/xrecord=b2090727</v>
      </c>
      <c r="E6286" t="s">
        <v>15402</v>
      </c>
      <c r="F6286">
        <v>1952</v>
      </c>
      <c r="G6286" t="s">
        <v>19648</v>
      </c>
      <c r="H6286" t="s">
        <v>17709</v>
      </c>
      <c r="I6286" t="s">
        <v>17710</v>
      </c>
      <c r="J6286" t="s">
        <v>15341</v>
      </c>
      <c r="K6286" s="2" t="str">
        <f>HYPERLINK("http://collections.slsa.sa.gov.au/mpcimg/59000/B58892_514.htm")</f>
        <v>http://collections.slsa.sa.gov.au/mpcimg/59000/B58892_514.htm</v>
      </c>
    </row>
    <row r="6287" spans="1:11" x14ac:dyDescent="0.25">
      <c r="A6287" t="s">
        <v>21637</v>
      </c>
      <c r="B6287" s="1" t="str">
        <f>HYPERLINK("https://www.catalog.slsa.sa.gov.au/record=b2090728")</f>
        <v>https://www.catalog.slsa.sa.gov.au/record=b2090728</v>
      </c>
      <c r="C6287" s="1" t="str">
        <f>HYPERLINK("https://www.catalog.slsa.sa.gov.au/xrecord=b2090728")</f>
        <v>https://www.catalog.slsa.sa.gov.au/xrecord=b2090728</v>
      </c>
      <c r="E6287" t="s">
        <v>15402</v>
      </c>
      <c r="F6287">
        <v>1952</v>
      </c>
      <c r="G6287" t="s">
        <v>19730</v>
      </c>
      <c r="H6287" t="s">
        <v>21638</v>
      </c>
      <c r="I6287" t="s">
        <v>19408</v>
      </c>
      <c r="J6287" t="s">
        <v>15341</v>
      </c>
      <c r="K6287" s="2" t="str">
        <f>HYPERLINK("http://collections.slsa.sa.gov.au/mpcimg/59000/B58892_515.htm")</f>
        <v>http://collections.slsa.sa.gov.au/mpcimg/59000/B58892_515.htm</v>
      </c>
    </row>
    <row r="6288" spans="1:11" x14ac:dyDescent="0.25">
      <c r="A6288" t="s">
        <v>21639</v>
      </c>
      <c r="B6288" s="1" t="str">
        <f>HYPERLINK("https://www.catalog.slsa.sa.gov.au/record=b2090731")</f>
        <v>https://www.catalog.slsa.sa.gov.au/record=b2090731</v>
      </c>
      <c r="C6288" s="1" t="str">
        <f>HYPERLINK("https://www.catalog.slsa.sa.gov.au/xrecord=b2090731")</f>
        <v>https://www.catalog.slsa.sa.gov.au/xrecord=b2090731</v>
      </c>
      <c r="E6288" t="s">
        <v>15402</v>
      </c>
      <c r="F6288">
        <v>1952</v>
      </c>
      <c r="G6288" t="s">
        <v>21640</v>
      </c>
      <c r="H6288" t="s">
        <v>21641</v>
      </c>
      <c r="I6288" t="s">
        <v>17710</v>
      </c>
      <c r="J6288" t="s">
        <v>15341</v>
      </c>
      <c r="K6288" s="2" t="str">
        <f>HYPERLINK("http://collections.slsa.sa.gov.au/mpcimg/59000/B58892_518.htm")</f>
        <v>http://collections.slsa.sa.gov.au/mpcimg/59000/B58892_518.htm</v>
      </c>
    </row>
    <row r="6289" spans="1:11" x14ac:dyDescent="0.25">
      <c r="A6289" t="s">
        <v>21642</v>
      </c>
      <c r="B6289" s="1" t="str">
        <f>HYPERLINK("https://www.catalog.slsa.sa.gov.au/record=b2090733")</f>
        <v>https://www.catalog.slsa.sa.gov.au/record=b2090733</v>
      </c>
      <c r="C6289" s="1" t="str">
        <f>HYPERLINK("https://www.catalog.slsa.sa.gov.au/xrecord=b2090733")</f>
        <v>https://www.catalog.slsa.sa.gov.au/xrecord=b2090733</v>
      </c>
      <c r="E6289" t="s">
        <v>15402</v>
      </c>
      <c r="F6289">
        <v>1952</v>
      </c>
      <c r="G6289" t="s">
        <v>17708</v>
      </c>
      <c r="H6289" t="s">
        <v>21643</v>
      </c>
      <c r="I6289" t="s">
        <v>15400</v>
      </c>
      <c r="J6289" t="s">
        <v>15341</v>
      </c>
      <c r="K6289" s="2" t="str">
        <f>HYPERLINK("http://collections.slsa.sa.gov.au/mpcimg/59000/B58892_520.htm")</f>
        <v>http://collections.slsa.sa.gov.au/mpcimg/59000/B58892_520.htm</v>
      </c>
    </row>
    <row r="6290" spans="1:11" x14ac:dyDescent="0.25">
      <c r="A6290" t="s">
        <v>21644</v>
      </c>
      <c r="B6290" s="1" t="str">
        <f>HYPERLINK("https://www.catalog.slsa.sa.gov.au/record=b2090734")</f>
        <v>https://www.catalog.slsa.sa.gov.au/record=b2090734</v>
      </c>
      <c r="C6290" s="1" t="str">
        <f>HYPERLINK("https://www.catalog.slsa.sa.gov.au/xrecord=b2090734")</f>
        <v>https://www.catalog.slsa.sa.gov.au/xrecord=b2090734</v>
      </c>
      <c r="E6290" t="s">
        <v>15402</v>
      </c>
      <c r="F6290">
        <v>1952</v>
      </c>
      <c r="G6290" t="s">
        <v>21645</v>
      </c>
      <c r="H6290" t="s">
        <v>21646</v>
      </c>
      <c r="I6290" t="s">
        <v>19408</v>
      </c>
      <c r="J6290" t="s">
        <v>15341</v>
      </c>
      <c r="K6290" s="2" t="str">
        <f>HYPERLINK("http://collections.slsa.sa.gov.au/mpcimg/59000/B58892_521.htm")</f>
        <v>http://collections.slsa.sa.gov.au/mpcimg/59000/B58892_521.htm</v>
      </c>
    </row>
    <row r="6291" spans="1:11" x14ac:dyDescent="0.25">
      <c r="A6291" t="s">
        <v>21647</v>
      </c>
      <c r="B6291" s="1" t="str">
        <f>HYPERLINK("https://www.catalog.slsa.sa.gov.au/record=b2090735")</f>
        <v>https://www.catalog.slsa.sa.gov.au/record=b2090735</v>
      </c>
      <c r="C6291" s="1" t="str">
        <f>HYPERLINK("https://www.catalog.slsa.sa.gov.au/xrecord=b2090735")</f>
        <v>https://www.catalog.slsa.sa.gov.au/xrecord=b2090735</v>
      </c>
      <c r="E6291" t="s">
        <v>15402</v>
      </c>
      <c r="F6291">
        <v>1952</v>
      </c>
      <c r="G6291" t="s">
        <v>19613</v>
      </c>
      <c r="H6291" t="s">
        <v>17709</v>
      </c>
      <c r="I6291" t="s">
        <v>17710</v>
      </c>
      <c r="J6291" t="s">
        <v>15341</v>
      </c>
      <c r="K6291" s="2" t="str">
        <f>HYPERLINK("http://collections.slsa.sa.gov.au/mpcimg/59000/B58892_522.htm")</f>
        <v>http://collections.slsa.sa.gov.au/mpcimg/59000/B58892_522.htm</v>
      </c>
    </row>
    <row r="6292" spans="1:11" x14ac:dyDescent="0.25">
      <c r="A6292" t="s">
        <v>21648</v>
      </c>
      <c r="B6292" s="1" t="str">
        <f>HYPERLINK("https://www.catalog.slsa.sa.gov.au/record=b2090737")</f>
        <v>https://www.catalog.slsa.sa.gov.au/record=b2090737</v>
      </c>
      <c r="C6292" s="1" t="str">
        <f>HYPERLINK("https://www.catalog.slsa.sa.gov.au/xrecord=b2090737")</f>
        <v>https://www.catalog.slsa.sa.gov.au/xrecord=b2090737</v>
      </c>
      <c r="E6292" t="s">
        <v>15402</v>
      </c>
      <c r="F6292">
        <v>1952</v>
      </c>
      <c r="G6292" t="s">
        <v>15369</v>
      </c>
      <c r="H6292" t="s">
        <v>21649</v>
      </c>
      <c r="I6292" t="s">
        <v>15405</v>
      </c>
      <c r="J6292" t="s">
        <v>15341</v>
      </c>
      <c r="K6292" s="2" t="str">
        <f>HYPERLINK("http://collections.slsa.sa.gov.au/mpcimg/59000/B58892_524.htm")</f>
        <v>http://collections.slsa.sa.gov.au/mpcimg/59000/B58892_524.htm</v>
      </c>
    </row>
    <row r="6293" spans="1:11" x14ac:dyDescent="0.25">
      <c r="A6293" t="s">
        <v>21650</v>
      </c>
      <c r="B6293" s="1" t="str">
        <f>HYPERLINK("https://www.catalog.slsa.sa.gov.au/record=b2090740")</f>
        <v>https://www.catalog.slsa.sa.gov.au/record=b2090740</v>
      </c>
      <c r="C6293" s="1" t="str">
        <f>HYPERLINK("https://www.catalog.slsa.sa.gov.au/xrecord=b2090740")</f>
        <v>https://www.catalog.slsa.sa.gov.au/xrecord=b2090740</v>
      </c>
      <c r="E6293" t="s">
        <v>15402</v>
      </c>
      <c r="F6293">
        <v>1952</v>
      </c>
      <c r="G6293" t="s">
        <v>21651</v>
      </c>
      <c r="H6293" t="s">
        <v>21652</v>
      </c>
      <c r="I6293" t="s">
        <v>21653</v>
      </c>
      <c r="J6293" t="s">
        <v>15341</v>
      </c>
      <c r="K6293" s="2" t="str">
        <f>HYPERLINK("http://collections.slsa.sa.gov.au/mpcimg/59000/B58892_527.htm")</f>
        <v>http://collections.slsa.sa.gov.au/mpcimg/59000/B58892_527.htm</v>
      </c>
    </row>
    <row r="6294" spans="1:11" x14ac:dyDescent="0.25">
      <c r="A6294" t="s">
        <v>21654</v>
      </c>
      <c r="B6294" s="1" t="str">
        <f>HYPERLINK("https://www.catalog.slsa.sa.gov.au/record=b2090753")</f>
        <v>https://www.catalog.slsa.sa.gov.au/record=b2090753</v>
      </c>
      <c r="C6294" s="1" t="str">
        <f>HYPERLINK("https://www.catalog.slsa.sa.gov.au/xrecord=b2090753")</f>
        <v>https://www.catalog.slsa.sa.gov.au/xrecord=b2090753</v>
      </c>
      <c r="E6294" t="s">
        <v>15402</v>
      </c>
      <c r="F6294">
        <v>1952</v>
      </c>
      <c r="G6294" t="s">
        <v>21655</v>
      </c>
      <c r="H6294" t="s">
        <v>21656</v>
      </c>
      <c r="I6294" t="s">
        <v>15340</v>
      </c>
      <c r="J6294" t="s">
        <v>15341</v>
      </c>
      <c r="K6294" s="2" t="str">
        <f>HYPERLINK("http://collections.slsa.sa.gov.au/mpcimg/59000/B58892_540.htm")</f>
        <v>http://collections.slsa.sa.gov.au/mpcimg/59000/B58892_540.htm</v>
      </c>
    </row>
    <row r="6295" spans="1:11" x14ac:dyDescent="0.25">
      <c r="A6295" t="s">
        <v>21657</v>
      </c>
      <c r="B6295" s="1" t="str">
        <f>HYPERLINK("https://www.catalog.slsa.sa.gov.au/record=b2093010")</f>
        <v>https://www.catalog.slsa.sa.gov.au/record=b2093010</v>
      </c>
      <c r="C6295" s="1" t="str">
        <f>HYPERLINK("https://www.catalog.slsa.sa.gov.au/xrecord=b2093010")</f>
        <v>https://www.catalog.slsa.sa.gov.au/xrecord=b2093010</v>
      </c>
      <c r="D6295" t="s">
        <v>2939</v>
      </c>
      <c r="E6295" t="s">
        <v>21658</v>
      </c>
      <c r="F6295">
        <v>1952</v>
      </c>
      <c r="G6295" t="s">
        <v>15106</v>
      </c>
      <c r="H6295" t="s">
        <v>21659</v>
      </c>
      <c r="I6295" t="s">
        <v>21660</v>
      </c>
      <c r="J6295" t="s">
        <v>15449</v>
      </c>
      <c r="K6295" s="2" t="str">
        <f>HYPERLINK("http://collections.slsa.sa.gov.au/mpcimg/08000/B7798_42.htm")</f>
        <v>http://collections.slsa.sa.gov.au/mpcimg/08000/B7798_42.htm</v>
      </c>
    </row>
    <row r="6296" spans="1:11" x14ac:dyDescent="0.25">
      <c r="A6296" t="s">
        <v>21661</v>
      </c>
      <c r="B6296" s="1" t="str">
        <f>HYPERLINK("https://www.catalog.slsa.sa.gov.au/record=b2093013")</f>
        <v>https://www.catalog.slsa.sa.gov.au/record=b2093013</v>
      </c>
      <c r="C6296" s="1" t="str">
        <f>HYPERLINK("https://www.catalog.slsa.sa.gov.au/xrecord=b2093013")</f>
        <v>https://www.catalog.slsa.sa.gov.au/xrecord=b2093013</v>
      </c>
      <c r="D6296" t="s">
        <v>2939</v>
      </c>
      <c r="E6296" t="s">
        <v>21662</v>
      </c>
      <c r="F6296">
        <v>1952</v>
      </c>
      <c r="G6296" t="s">
        <v>21663</v>
      </c>
      <c r="H6296" t="s">
        <v>21664</v>
      </c>
      <c r="I6296" t="s">
        <v>21665</v>
      </c>
      <c r="J6296" t="s">
        <v>15449</v>
      </c>
      <c r="K6296" s="2" t="str">
        <f>HYPERLINK("http://collections.slsa.sa.gov.au/mpcimg/08000/B7798_46.htm")</f>
        <v>http://collections.slsa.sa.gov.au/mpcimg/08000/B7798_46.htm</v>
      </c>
    </row>
    <row r="6297" spans="1:11" x14ac:dyDescent="0.25">
      <c r="A6297" t="s">
        <v>21666</v>
      </c>
      <c r="B6297" s="1" t="str">
        <f>HYPERLINK("https://www.catalog.slsa.sa.gov.au/record=b2093014")</f>
        <v>https://www.catalog.slsa.sa.gov.au/record=b2093014</v>
      </c>
      <c r="C6297" s="1" t="str">
        <f>HYPERLINK("https://www.catalog.slsa.sa.gov.au/xrecord=b2093014")</f>
        <v>https://www.catalog.slsa.sa.gov.au/xrecord=b2093014</v>
      </c>
      <c r="D6297" t="s">
        <v>2939</v>
      </c>
      <c r="E6297" t="s">
        <v>21662</v>
      </c>
      <c r="F6297">
        <v>1952</v>
      </c>
      <c r="G6297" t="s">
        <v>21667</v>
      </c>
      <c r="H6297" t="s">
        <v>21668</v>
      </c>
      <c r="I6297" t="s">
        <v>21665</v>
      </c>
      <c r="J6297" t="s">
        <v>15449</v>
      </c>
      <c r="K6297" s="2" t="str">
        <f>HYPERLINK("http://collections.slsa.sa.gov.au/mpcimg/08000/B7798_45.htm")</f>
        <v>http://collections.slsa.sa.gov.au/mpcimg/08000/B7798_45.htm</v>
      </c>
    </row>
    <row r="6298" spans="1:11" x14ac:dyDescent="0.25">
      <c r="A6298" t="s">
        <v>21669</v>
      </c>
      <c r="B6298" s="1" t="str">
        <f>HYPERLINK("https://www.catalog.slsa.sa.gov.au/record=b2093025")</f>
        <v>https://www.catalog.slsa.sa.gov.au/record=b2093025</v>
      </c>
      <c r="C6298" s="1" t="str">
        <f>HYPERLINK("https://www.catalog.slsa.sa.gov.au/xrecord=b2093025")</f>
        <v>https://www.catalog.slsa.sa.gov.au/xrecord=b2093025</v>
      </c>
      <c r="E6298" t="s">
        <v>21670</v>
      </c>
      <c r="F6298">
        <v>1952</v>
      </c>
      <c r="G6298" t="s">
        <v>21671</v>
      </c>
      <c r="H6298" t="s">
        <v>21672</v>
      </c>
      <c r="I6298" t="s">
        <v>21673</v>
      </c>
      <c r="J6298" t="s">
        <v>15449</v>
      </c>
      <c r="K6298" s="2" t="str">
        <f>HYPERLINK("http://collections.slsa.sa.gov.au/mpcimg/08000/B7798_57.htm")</f>
        <v>http://collections.slsa.sa.gov.au/mpcimg/08000/B7798_57.htm</v>
      </c>
    </row>
    <row r="6299" spans="1:11" x14ac:dyDescent="0.25">
      <c r="A6299" t="s">
        <v>21674</v>
      </c>
      <c r="B6299" s="1" t="str">
        <f>HYPERLINK("https://www.catalog.slsa.sa.gov.au/record=b2093052")</f>
        <v>https://www.catalog.slsa.sa.gov.au/record=b2093052</v>
      </c>
      <c r="C6299" s="1" t="str">
        <f>HYPERLINK("https://www.catalog.slsa.sa.gov.au/xrecord=b2093052")</f>
        <v>https://www.catalog.slsa.sa.gov.au/xrecord=b2093052</v>
      </c>
      <c r="D6299" t="s">
        <v>2939</v>
      </c>
      <c r="E6299" t="s">
        <v>19799</v>
      </c>
      <c r="F6299">
        <v>1952</v>
      </c>
      <c r="G6299" t="s">
        <v>21675</v>
      </c>
      <c r="H6299" t="s">
        <v>21676</v>
      </c>
      <c r="I6299" t="s">
        <v>19802</v>
      </c>
      <c r="J6299" t="s">
        <v>15449</v>
      </c>
      <c r="K6299" s="2" t="str">
        <f>HYPERLINK("http://collections.slsa.sa.gov.au/mpcimg/08000/B7798_78.htm")</f>
        <v>http://collections.slsa.sa.gov.au/mpcimg/08000/B7798_78.htm</v>
      </c>
    </row>
    <row r="6300" spans="1:11" x14ac:dyDescent="0.25">
      <c r="A6300" t="s">
        <v>21677</v>
      </c>
      <c r="B6300" s="1" t="str">
        <f>HYPERLINK("https://www.catalog.slsa.sa.gov.au/record=b2093053")</f>
        <v>https://www.catalog.slsa.sa.gov.au/record=b2093053</v>
      </c>
      <c r="C6300" s="1" t="str">
        <f>HYPERLINK("https://www.catalog.slsa.sa.gov.au/xrecord=b2093053")</f>
        <v>https://www.catalog.slsa.sa.gov.au/xrecord=b2093053</v>
      </c>
      <c r="D6300" t="s">
        <v>2939</v>
      </c>
      <c r="E6300" t="s">
        <v>19799</v>
      </c>
      <c r="F6300">
        <v>1952</v>
      </c>
      <c r="G6300" t="s">
        <v>21678</v>
      </c>
      <c r="H6300" t="s">
        <v>21679</v>
      </c>
      <c r="I6300" t="s">
        <v>19802</v>
      </c>
      <c r="J6300" t="s">
        <v>15449</v>
      </c>
      <c r="K6300" s="2" t="str">
        <f>HYPERLINK("http://collections.slsa.sa.gov.au/mpcimg/08000/B7798_79.htm")</f>
        <v>http://collections.slsa.sa.gov.au/mpcimg/08000/B7798_79.htm</v>
      </c>
    </row>
    <row r="6301" spans="1:11" x14ac:dyDescent="0.25">
      <c r="A6301" t="s">
        <v>21680</v>
      </c>
      <c r="B6301" s="1" t="str">
        <f>HYPERLINK("https://www.catalog.slsa.sa.gov.au/record=b2093062")</f>
        <v>https://www.catalog.slsa.sa.gov.au/record=b2093062</v>
      </c>
      <c r="C6301" s="1" t="str">
        <f>HYPERLINK("https://www.catalog.slsa.sa.gov.au/xrecord=b2093062")</f>
        <v>https://www.catalog.slsa.sa.gov.au/xrecord=b2093062</v>
      </c>
      <c r="D6301" t="s">
        <v>2939</v>
      </c>
      <c r="E6301" t="s">
        <v>19806</v>
      </c>
      <c r="F6301">
        <v>1952</v>
      </c>
      <c r="G6301" t="s">
        <v>21681</v>
      </c>
      <c r="H6301" t="s">
        <v>21682</v>
      </c>
      <c r="I6301" t="s">
        <v>19809</v>
      </c>
      <c r="J6301" t="s">
        <v>15449</v>
      </c>
      <c r="K6301" s="2" t="str">
        <f>HYPERLINK("http://collections.slsa.sa.gov.au/mpcimg/08000/B7798_88.htm")</f>
        <v>http://collections.slsa.sa.gov.au/mpcimg/08000/B7798_88.htm</v>
      </c>
    </row>
    <row r="6302" spans="1:11" x14ac:dyDescent="0.25">
      <c r="A6302" t="s">
        <v>21683</v>
      </c>
      <c r="B6302" s="1" t="str">
        <f>HYPERLINK("https://www.catalog.slsa.sa.gov.au/record=b2093063")</f>
        <v>https://www.catalog.slsa.sa.gov.au/record=b2093063</v>
      </c>
      <c r="C6302" s="1" t="str">
        <f>HYPERLINK("https://www.catalog.slsa.sa.gov.au/xrecord=b2093063")</f>
        <v>https://www.catalog.slsa.sa.gov.au/xrecord=b2093063</v>
      </c>
      <c r="D6302" t="s">
        <v>2939</v>
      </c>
      <c r="E6302" t="s">
        <v>19806</v>
      </c>
      <c r="F6302">
        <v>1952</v>
      </c>
      <c r="G6302" t="s">
        <v>21684</v>
      </c>
      <c r="H6302" t="s">
        <v>21682</v>
      </c>
      <c r="I6302" t="s">
        <v>19809</v>
      </c>
      <c r="J6302" t="s">
        <v>15449</v>
      </c>
      <c r="K6302" s="2" t="str">
        <f>HYPERLINK("http://collections.slsa.sa.gov.au/mpcimg/08000/B7798_89.htm")</f>
        <v>http://collections.slsa.sa.gov.au/mpcimg/08000/B7798_89.htm</v>
      </c>
    </row>
    <row r="6303" spans="1:11" x14ac:dyDescent="0.25">
      <c r="A6303" t="s">
        <v>21685</v>
      </c>
      <c r="B6303" s="1" t="str">
        <f>HYPERLINK("https://www.catalog.slsa.sa.gov.au/record=b2093066")</f>
        <v>https://www.catalog.slsa.sa.gov.au/record=b2093066</v>
      </c>
      <c r="C6303" s="1" t="str">
        <f>HYPERLINK("https://www.catalog.slsa.sa.gov.au/xrecord=b2093066")</f>
        <v>https://www.catalog.slsa.sa.gov.au/xrecord=b2093066</v>
      </c>
      <c r="D6303" t="s">
        <v>2939</v>
      </c>
      <c r="E6303" t="s">
        <v>21686</v>
      </c>
      <c r="F6303">
        <v>1952</v>
      </c>
      <c r="G6303" t="s">
        <v>15106</v>
      </c>
      <c r="H6303" t="s">
        <v>21687</v>
      </c>
      <c r="I6303" t="s">
        <v>21688</v>
      </c>
      <c r="J6303" t="s">
        <v>15449</v>
      </c>
      <c r="K6303" s="2" t="str">
        <f>HYPERLINK("http://collections.slsa.sa.gov.au/mpcimg/08000/B7798_92.htm")</f>
        <v>http://collections.slsa.sa.gov.au/mpcimg/08000/B7798_92.htm</v>
      </c>
    </row>
    <row r="6304" spans="1:11" x14ac:dyDescent="0.25">
      <c r="A6304" t="s">
        <v>21689</v>
      </c>
      <c r="B6304" s="1" t="str">
        <f>HYPERLINK("https://www.catalog.slsa.sa.gov.au/record=b2093075")</f>
        <v>https://www.catalog.slsa.sa.gov.au/record=b2093075</v>
      </c>
      <c r="C6304" s="1" t="str">
        <f>HYPERLINK("https://www.catalog.slsa.sa.gov.au/xrecord=b2093075")</f>
        <v>https://www.catalog.slsa.sa.gov.au/xrecord=b2093075</v>
      </c>
      <c r="D6304" t="s">
        <v>2939</v>
      </c>
      <c r="E6304" t="s">
        <v>21690</v>
      </c>
      <c r="F6304">
        <v>1952</v>
      </c>
      <c r="G6304" t="s">
        <v>15106</v>
      </c>
      <c r="H6304" t="s">
        <v>21691</v>
      </c>
      <c r="I6304" t="s">
        <v>21692</v>
      </c>
      <c r="J6304" t="s">
        <v>15449</v>
      </c>
      <c r="K6304" s="2" t="str">
        <f>HYPERLINK("http://collections.slsa.sa.gov.au/mpcimg/08000/B7798_101.htm")</f>
        <v>http://collections.slsa.sa.gov.au/mpcimg/08000/B7798_101.htm</v>
      </c>
    </row>
    <row r="6305" spans="1:11" x14ac:dyDescent="0.25">
      <c r="A6305" t="s">
        <v>21693</v>
      </c>
      <c r="B6305" s="1" t="str">
        <f>HYPERLINK("https://www.catalog.slsa.sa.gov.au/record=b2093076")</f>
        <v>https://www.catalog.slsa.sa.gov.au/record=b2093076</v>
      </c>
      <c r="C6305" s="1" t="str">
        <f>HYPERLINK("https://www.catalog.slsa.sa.gov.au/xrecord=b2093076")</f>
        <v>https://www.catalog.slsa.sa.gov.au/xrecord=b2093076</v>
      </c>
      <c r="D6305" t="s">
        <v>2939</v>
      </c>
      <c r="E6305" t="s">
        <v>21694</v>
      </c>
      <c r="F6305">
        <v>1952</v>
      </c>
      <c r="G6305" t="s">
        <v>20837</v>
      </c>
      <c r="H6305" t="s">
        <v>21695</v>
      </c>
      <c r="I6305" t="s">
        <v>21692</v>
      </c>
      <c r="J6305" t="s">
        <v>15449</v>
      </c>
      <c r="K6305" s="2" t="str">
        <f>HYPERLINK("http://collections.slsa.sa.gov.au/mpcimg/08000/B7798_102.htm")</f>
        <v>http://collections.slsa.sa.gov.au/mpcimg/08000/B7798_102.htm</v>
      </c>
    </row>
    <row r="6306" spans="1:11" x14ac:dyDescent="0.25">
      <c r="A6306" t="s">
        <v>21696</v>
      </c>
      <c r="B6306" s="1" t="str">
        <f>HYPERLINK("https://www.catalog.slsa.sa.gov.au/record=b2093077")</f>
        <v>https://www.catalog.slsa.sa.gov.au/record=b2093077</v>
      </c>
      <c r="C6306" s="1" t="str">
        <f>HYPERLINK("https://www.catalog.slsa.sa.gov.au/xrecord=b2093077")</f>
        <v>https://www.catalog.slsa.sa.gov.au/xrecord=b2093077</v>
      </c>
      <c r="D6306" t="s">
        <v>2939</v>
      </c>
      <c r="E6306" t="s">
        <v>21694</v>
      </c>
      <c r="F6306">
        <v>1952</v>
      </c>
      <c r="G6306" t="s">
        <v>14804</v>
      </c>
      <c r="H6306" t="s">
        <v>21695</v>
      </c>
      <c r="I6306" t="s">
        <v>21692</v>
      </c>
      <c r="J6306" t="s">
        <v>15449</v>
      </c>
      <c r="K6306" s="2" t="str">
        <f>HYPERLINK("http://collections.slsa.sa.gov.au/mpcimg/08000/B7798_103.htm")</f>
        <v>http://collections.slsa.sa.gov.au/mpcimg/08000/B7798_103.htm</v>
      </c>
    </row>
    <row r="6307" spans="1:11" x14ac:dyDescent="0.25">
      <c r="A6307" t="s">
        <v>21697</v>
      </c>
      <c r="B6307" s="1" t="str">
        <f>HYPERLINK("https://www.catalog.slsa.sa.gov.au/record=b2093088")</f>
        <v>https://www.catalog.slsa.sa.gov.au/record=b2093088</v>
      </c>
      <c r="C6307" s="1" t="str">
        <f>HYPERLINK("https://www.catalog.slsa.sa.gov.au/xrecord=b2093088")</f>
        <v>https://www.catalog.slsa.sa.gov.au/xrecord=b2093088</v>
      </c>
      <c r="D6307" t="s">
        <v>2939</v>
      </c>
      <c r="E6307" t="s">
        <v>21698</v>
      </c>
      <c r="F6307">
        <v>1952</v>
      </c>
      <c r="G6307" t="s">
        <v>21699</v>
      </c>
      <c r="H6307" t="s">
        <v>21700</v>
      </c>
      <c r="I6307" t="s">
        <v>21701</v>
      </c>
      <c r="J6307" t="s">
        <v>15449</v>
      </c>
      <c r="K6307" s="2" t="str">
        <f>HYPERLINK("http://collections.slsa.sa.gov.au/mpcimg/08000/B7798_114.htm")</f>
        <v>http://collections.slsa.sa.gov.au/mpcimg/08000/B7798_114.htm</v>
      </c>
    </row>
    <row r="6308" spans="1:11" x14ac:dyDescent="0.25">
      <c r="A6308" t="s">
        <v>21702</v>
      </c>
      <c r="B6308" s="1" t="str">
        <f>HYPERLINK("https://www.catalog.slsa.sa.gov.au/record=b2093103")</f>
        <v>https://www.catalog.slsa.sa.gov.au/record=b2093103</v>
      </c>
      <c r="C6308" s="1" t="str">
        <f>HYPERLINK("https://www.catalog.slsa.sa.gov.au/xrecord=b2093103")</f>
        <v>https://www.catalog.slsa.sa.gov.au/xrecord=b2093103</v>
      </c>
      <c r="E6308" t="s">
        <v>21703</v>
      </c>
      <c r="F6308">
        <v>1952</v>
      </c>
      <c r="G6308" t="s">
        <v>15106</v>
      </c>
      <c r="H6308" t="s">
        <v>21704</v>
      </c>
      <c r="I6308" t="s">
        <v>21705</v>
      </c>
      <c r="J6308" t="s">
        <v>15449</v>
      </c>
      <c r="K6308" s="2" t="str">
        <f>HYPERLINK("http://collections.slsa.sa.gov.au/mpcimg/08000/B7798_129.htm")</f>
        <v>http://collections.slsa.sa.gov.au/mpcimg/08000/B7798_129.htm</v>
      </c>
    </row>
    <row r="6309" spans="1:11" x14ac:dyDescent="0.25">
      <c r="A6309" t="s">
        <v>21706</v>
      </c>
      <c r="B6309" s="1" t="str">
        <f>HYPERLINK("https://www.catalog.slsa.sa.gov.au/record=b2093139")</f>
        <v>https://www.catalog.slsa.sa.gov.au/record=b2093139</v>
      </c>
      <c r="C6309" s="1" t="str">
        <f>HYPERLINK("https://www.catalog.slsa.sa.gov.au/xrecord=b2093139")</f>
        <v>https://www.catalog.slsa.sa.gov.au/xrecord=b2093139</v>
      </c>
      <c r="E6309" t="s">
        <v>21707</v>
      </c>
      <c r="F6309">
        <v>1952</v>
      </c>
      <c r="G6309" t="s">
        <v>21708</v>
      </c>
      <c r="H6309" t="s">
        <v>21709</v>
      </c>
      <c r="J6309" t="s">
        <v>15449</v>
      </c>
      <c r="K6309" s="2" t="str">
        <f>HYPERLINK("http://collections.slsa.sa.gov.au/mpcimg/08000/B7798_165.htm")</f>
        <v>http://collections.slsa.sa.gov.au/mpcimg/08000/B7798_165.htm</v>
      </c>
    </row>
    <row r="6310" spans="1:11" x14ac:dyDescent="0.25">
      <c r="A6310" t="s">
        <v>21710</v>
      </c>
      <c r="B6310" s="1" t="str">
        <f>HYPERLINK("https://www.catalog.slsa.sa.gov.au/record=b2093140")</f>
        <v>https://www.catalog.slsa.sa.gov.au/record=b2093140</v>
      </c>
      <c r="C6310" s="1" t="str">
        <f>HYPERLINK("https://www.catalog.slsa.sa.gov.au/xrecord=b2093140")</f>
        <v>https://www.catalog.slsa.sa.gov.au/xrecord=b2093140</v>
      </c>
      <c r="E6310" t="s">
        <v>21707</v>
      </c>
      <c r="F6310">
        <v>1952</v>
      </c>
      <c r="G6310" t="s">
        <v>21711</v>
      </c>
      <c r="H6310" t="s">
        <v>21712</v>
      </c>
      <c r="J6310" t="s">
        <v>15449</v>
      </c>
      <c r="K6310" s="2" t="str">
        <f>HYPERLINK("http://collections.slsa.sa.gov.au/mpcimg/08000/B7798_166.htm")</f>
        <v>http://collections.slsa.sa.gov.au/mpcimg/08000/B7798_166.htm</v>
      </c>
    </row>
    <row r="6311" spans="1:11" x14ac:dyDescent="0.25">
      <c r="A6311" t="s">
        <v>21713</v>
      </c>
      <c r="B6311" s="1" t="str">
        <f>HYPERLINK("https://www.catalog.slsa.sa.gov.au/record=b2093141")</f>
        <v>https://www.catalog.slsa.sa.gov.au/record=b2093141</v>
      </c>
      <c r="C6311" s="1" t="str">
        <f>HYPERLINK("https://www.catalog.slsa.sa.gov.au/xrecord=b2093141")</f>
        <v>https://www.catalog.slsa.sa.gov.au/xrecord=b2093141</v>
      </c>
      <c r="E6311" t="s">
        <v>21707</v>
      </c>
      <c r="F6311">
        <v>1952</v>
      </c>
      <c r="G6311" t="s">
        <v>15446</v>
      </c>
      <c r="H6311" t="s">
        <v>21714</v>
      </c>
      <c r="J6311" t="s">
        <v>15449</v>
      </c>
      <c r="K6311" s="2" t="str">
        <f>HYPERLINK("http://collections.slsa.sa.gov.au/mpcimg/08000/B7798_167.htm")</f>
        <v>http://collections.slsa.sa.gov.au/mpcimg/08000/B7798_167.htm</v>
      </c>
    </row>
    <row r="6312" spans="1:11" x14ac:dyDescent="0.25">
      <c r="A6312" t="s">
        <v>21715</v>
      </c>
      <c r="B6312" s="1" t="str">
        <f>HYPERLINK("https://www.catalog.slsa.sa.gov.au/record=b2093155")</f>
        <v>https://www.catalog.slsa.sa.gov.au/record=b2093155</v>
      </c>
      <c r="C6312" s="1" t="str">
        <f>HYPERLINK("https://www.catalog.slsa.sa.gov.au/xrecord=b2093155")</f>
        <v>https://www.catalog.slsa.sa.gov.au/xrecord=b2093155</v>
      </c>
      <c r="E6312" t="s">
        <v>21716</v>
      </c>
      <c r="F6312">
        <v>1952</v>
      </c>
      <c r="G6312" t="s">
        <v>21671</v>
      </c>
      <c r="H6312" t="s">
        <v>21717</v>
      </c>
      <c r="I6312" t="s">
        <v>21718</v>
      </c>
      <c r="J6312" t="s">
        <v>15449</v>
      </c>
      <c r="K6312" s="2" t="str">
        <f>HYPERLINK("http://collections.slsa.sa.gov.au/mpcimg/08000/B7798_181.htm")</f>
        <v>http://collections.slsa.sa.gov.au/mpcimg/08000/B7798_181.htm</v>
      </c>
    </row>
    <row r="6313" spans="1:11" x14ac:dyDescent="0.25">
      <c r="A6313" t="s">
        <v>21719</v>
      </c>
      <c r="B6313" s="1" t="str">
        <f>HYPERLINK("https://www.catalog.slsa.sa.gov.au/record=b2093201")</f>
        <v>https://www.catalog.slsa.sa.gov.au/record=b2093201</v>
      </c>
      <c r="C6313" s="1" t="str">
        <f>HYPERLINK("https://www.catalog.slsa.sa.gov.au/xrecord=b2093201")</f>
        <v>https://www.catalog.slsa.sa.gov.au/xrecord=b2093201</v>
      </c>
      <c r="D6313" t="s">
        <v>2939</v>
      </c>
      <c r="E6313" t="s">
        <v>21720</v>
      </c>
      <c r="F6313">
        <v>1952</v>
      </c>
      <c r="G6313" t="s">
        <v>21721</v>
      </c>
      <c r="H6313" t="s">
        <v>21722</v>
      </c>
      <c r="I6313" t="s">
        <v>17297</v>
      </c>
      <c r="J6313" t="s">
        <v>15449</v>
      </c>
      <c r="K6313" s="2" t="str">
        <f>HYPERLINK("http://collections.slsa.sa.gov.au/mpcimg/08000/B7798_227.htm")</f>
        <v>http://collections.slsa.sa.gov.au/mpcimg/08000/B7798_227.htm</v>
      </c>
    </row>
    <row r="6314" spans="1:11" x14ac:dyDescent="0.25">
      <c r="A6314" t="s">
        <v>21723</v>
      </c>
      <c r="B6314" s="1" t="str">
        <f>HYPERLINK("https://www.catalog.slsa.sa.gov.au/record=b2093202")</f>
        <v>https://www.catalog.slsa.sa.gov.au/record=b2093202</v>
      </c>
      <c r="C6314" s="1" t="str">
        <f>HYPERLINK("https://www.catalog.slsa.sa.gov.au/xrecord=b2093202")</f>
        <v>https://www.catalog.slsa.sa.gov.au/xrecord=b2093202</v>
      </c>
      <c r="D6314" t="s">
        <v>2939</v>
      </c>
      <c r="E6314" t="s">
        <v>21724</v>
      </c>
      <c r="F6314">
        <v>1952</v>
      </c>
      <c r="G6314" t="s">
        <v>21725</v>
      </c>
      <c r="H6314" t="s">
        <v>21726</v>
      </c>
      <c r="I6314" t="s">
        <v>17297</v>
      </c>
      <c r="J6314" t="s">
        <v>15449</v>
      </c>
      <c r="K6314" s="2" t="str">
        <f>HYPERLINK("http://collections.slsa.sa.gov.au/mpcimg/08000/B7798_228.htm")</f>
        <v>http://collections.slsa.sa.gov.au/mpcimg/08000/B7798_228.htm</v>
      </c>
    </row>
    <row r="6315" spans="1:11" x14ac:dyDescent="0.25">
      <c r="A6315" t="s">
        <v>21727</v>
      </c>
      <c r="B6315" s="1" t="str">
        <f>HYPERLINK("https://www.catalog.slsa.sa.gov.au/record=b2093203")</f>
        <v>https://www.catalog.slsa.sa.gov.au/record=b2093203</v>
      </c>
      <c r="C6315" s="1" t="str">
        <f>HYPERLINK("https://www.catalog.slsa.sa.gov.au/xrecord=b2093203")</f>
        <v>https://www.catalog.slsa.sa.gov.au/xrecord=b2093203</v>
      </c>
      <c r="D6315" t="s">
        <v>2939</v>
      </c>
      <c r="E6315" t="s">
        <v>21728</v>
      </c>
      <c r="F6315">
        <v>1952</v>
      </c>
      <c r="G6315" t="s">
        <v>21684</v>
      </c>
      <c r="H6315" t="s">
        <v>21729</v>
      </c>
      <c r="I6315" t="s">
        <v>17297</v>
      </c>
      <c r="J6315" t="s">
        <v>15449</v>
      </c>
      <c r="K6315" s="2" t="str">
        <f>HYPERLINK("http://collections.slsa.sa.gov.au/mpcimg/08000/B7798_229.htm")</f>
        <v>http://collections.slsa.sa.gov.au/mpcimg/08000/B7798_229.htm</v>
      </c>
    </row>
    <row r="6316" spans="1:11" x14ac:dyDescent="0.25">
      <c r="A6316" t="s">
        <v>21730</v>
      </c>
      <c r="B6316" s="1" t="str">
        <f>HYPERLINK("https://www.catalog.slsa.sa.gov.au/record=b2093224")</f>
        <v>https://www.catalog.slsa.sa.gov.au/record=b2093224</v>
      </c>
      <c r="C6316" s="1" t="str">
        <f>HYPERLINK("https://www.catalog.slsa.sa.gov.au/xrecord=b2093224")</f>
        <v>https://www.catalog.slsa.sa.gov.au/xrecord=b2093224</v>
      </c>
      <c r="D6316" t="s">
        <v>2939</v>
      </c>
      <c r="E6316" t="s">
        <v>21731</v>
      </c>
      <c r="F6316">
        <v>1952</v>
      </c>
      <c r="G6316" t="s">
        <v>19812</v>
      </c>
      <c r="H6316" t="s">
        <v>21732</v>
      </c>
      <c r="I6316" t="s">
        <v>19822</v>
      </c>
      <c r="J6316" t="s">
        <v>15449</v>
      </c>
      <c r="K6316" s="2" t="str">
        <f>HYPERLINK("http://collections.slsa.sa.gov.au/mpcimg/08000/B7798_249.htm")</f>
        <v>http://collections.slsa.sa.gov.au/mpcimg/08000/B7798_249.htm</v>
      </c>
    </row>
    <row r="6317" spans="1:11" x14ac:dyDescent="0.25">
      <c r="A6317" t="s">
        <v>21733</v>
      </c>
      <c r="B6317" s="1" t="str">
        <f>HYPERLINK("https://www.catalog.slsa.sa.gov.au/record=b2093235")</f>
        <v>https://www.catalog.slsa.sa.gov.au/record=b2093235</v>
      </c>
      <c r="C6317" s="1" t="str">
        <f>HYPERLINK("https://www.catalog.slsa.sa.gov.au/xrecord=b2093235")</f>
        <v>https://www.catalog.slsa.sa.gov.au/xrecord=b2093235</v>
      </c>
      <c r="E6317" t="s">
        <v>21734</v>
      </c>
      <c r="F6317">
        <v>1952</v>
      </c>
      <c r="G6317" t="s">
        <v>20518</v>
      </c>
      <c r="H6317" t="s">
        <v>21735</v>
      </c>
      <c r="I6317" t="s">
        <v>21736</v>
      </c>
      <c r="J6317" t="s">
        <v>15449</v>
      </c>
      <c r="K6317" s="2" t="str">
        <f>HYPERLINK("http://collections.slsa.sa.gov.au/mpcimg/08000/B7798_260.htm")</f>
        <v>http://collections.slsa.sa.gov.au/mpcimg/08000/B7798_260.htm</v>
      </c>
    </row>
    <row r="6318" spans="1:11" x14ac:dyDescent="0.25">
      <c r="A6318" t="s">
        <v>21737</v>
      </c>
      <c r="B6318" s="1" t="str">
        <f>HYPERLINK("https://www.catalog.slsa.sa.gov.au/record=b2093250")</f>
        <v>https://www.catalog.slsa.sa.gov.au/record=b2093250</v>
      </c>
      <c r="C6318" s="1" t="str">
        <f>HYPERLINK("https://www.catalog.slsa.sa.gov.au/xrecord=b2093250")</f>
        <v>https://www.catalog.slsa.sa.gov.au/xrecord=b2093250</v>
      </c>
      <c r="D6318" t="s">
        <v>2939</v>
      </c>
      <c r="E6318" t="s">
        <v>21738</v>
      </c>
      <c r="F6318">
        <v>1952</v>
      </c>
      <c r="G6318" t="s">
        <v>21739</v>
      </c>
      <c r="H6318" t="s">
        <v>21740</v>
      </c>
      <c r="I6318" t="s">
        <v>6523</v>
      </c>
      <c r="J6318" t="s">
        <v>15449</v>
      </c>
      <c r="K6318" s="2" t="str">
        <f>HYPERLINK("http://collections.slsa.sa.gov.au/mpcimg/08000/B7798_275.htm")</f>
        <v>http://collections.slsa.sa.gov.au/mpcimg/08000/B7798_275.htm</v>
      </c>
    </row>
    <row r="6319" spans="1:11" x14ac:dyDescent="0.25">
      <c r="A6319" t="s">
        <v>21741</v>
      </c>
      <c r="B6319" s="1" t="str">
        <f>HYPERLINK("https://www.catalog.slsa.sa.gov.au/record=b2093252")</f>
        <v>https://www.catalog.slsa.sa.gov.au/record=b2093252</v>
      </c>
      <c r="C6319" s="1" t="str">
        <f>HYPERLINK("https://www.catalog.slsa.sa.gov.au/xrecord=b2093252")</f>
        <v>https://www.catalog.slsa.sa.gov.au/xrecord=b2093252</v>
      </c>
      <c r="D6319" t="s">
        <v>2939</v>
      </c>
      <c r="E6319" t="s">
        <v>21742</v>
      </c>
      <c r="F6319">
        <v>1952</v>
      </c>
      <c r="G6319" t="s">
        <v>21743</v>
      </c>
      <c r="H6319" t="s">
        <v>21744</v>
      </c>
      <c r="I6319" t="s">
        <v>6523</v>
      </c>
      <c r="J6319" t="s">
        <v>15449</v>
      </c>
      <c r="K6319" s="2" t="str">
        <f>HYPERLINK("http://collections.slsa.sa.gov.au/mpcimg/08000/B7798_277.htm")</f>
        <v>http://collections.slsa.sa.gov.au/mpcimg/08000/B7798_277.htm</v>
      </c>
    </row>
    <row r="6320" spans="1:11" x14ac:dyDescent="0.25">
      <c r="A6320" t="s">
        <v>21745</v>
      </c>
      <c r="B6320" s="1" t="str">
        <f>HYPERLINK("https://www.catalog.slsa.sa.gov.au/record=b2093253")</f>
        <v>https://www.catalog.slsa.sa.gov.au/record=b2093253</v>
      </c>
      <c r="C6320" s="1" t="str">
        <f>HYPERLINK("https://www.catalog.slsa.sa.gov.au/xrecord=b2093253")</f>
        <v>https://www.catalog.slsa.sa.gov.au/xrecord=b2093253</v>
      </c>
      <c r="D6320" t="s">
        <v>2939</v>
      </c>
      <c r="E6320" t="s">
        <v>21746</v>
      </c>
      <c r="F6320">
        <v>1952</v>
      </c>
      <c r="G6320" t="s">
        <v>21747</v>
      </c>
      <c r="H6320" t="s">
        <v>21748</v>
      </c>
      <c r="I6320" t="s">
        <v>6523</v>
      </c>
      <c r="J6320" t="s">
        <v>15449</v>
      </c>
      <c r="K6320" s="2" t="str">
        <f>HYPERLINK("http://collections.slsa.sa.gov.au/mpcimg/08000/B7798_278.htm")</f>
        <v>http://collections.slsa.sa.gov.au/mpcimg/08000/B7798_278.htm</v>
      </c>
    </row>
    <row r="6321" spans="1:11" x14ac:dyDescent="0.25">
      <c r="A6321" t="s">
        <v>21749</v>
      </c>
      <c r="B6321" s="1" t="str">
        <f>HYPERLINK("https://www.catalog.slsa.sa.gov.au/record=b2093278")</f>
        <v>https://www.catalog.slsa.sa.gov.au/record=b2093278</v>
      </c>
      <c r="C6321" s="1" t="str">
        <f>HYPERLINK("https://www.catalog.slsa.sa.gov.au/xrecord=b2093278")</f>
        <v>https://www.catalog.slsa.sa.gov.au/xrecord=b2093278</v>
      </c>
      <c r="D6321" t="s">
        <v>2939</v>
      </c>
      <c r="E6321" t="s">
        <v>21750</v>
      </c>
      <c r="F6321">
        <v>1952</v>
      </c>
      <c r="G6321" t="s">
        <v>21751</v>
      </c>
      <c r="H6321" t="s">
        <v>21752</v>
      </c>
      <c r="I6321" t="s">
        <v>21753</v>
      </c>
      <c r="J6321" t="s">
        <v>15449</v>
      </c>
      <c r="K6321" s="2" t="str">
        <f>HYPERLINK("http://collections.slsa.sa.gov.au/mpcimg/08000/B7798_303.htm")</f>
        <v>http://collections.slsa.sa.gov.au/mpcimg/08000/B7798_303.htm</v>
      </c>
    </row>
    <row r="6322" spans="1:11" x14ac:dyDescent="0.25">
      <c r="A6322" t="s">
        <v>21754</v>
      </c>
      <c r="B6322" s="1" t="str">
        <f>HYPERLINK("https://www.catalog.slsa.sa.gov.au/record=b2093302")</f>
        <v>https://www.catalog.slsa.sa.gov.au/record=b2093302</v>
      </c>
      <c r="C6322" s="1" t="str">
        <f>HYPERLINK("https://www.catalog.slsa.sa.gov.au/xrecord=b2093302")</f>
        <v>https://www.catalog.slsa.sa.gov.au/xrecord=b2093302</v>
      </c>
      <c r="D6322" t="s">
        <v>21755</v>
      </c>
      <c r="E6322" t="s">
        <v>19834</v>
      </c>
      <c r="F6322">
        <v>1952</v>
      </c>
      <c r="G6322" t="s">
        <v>15106</v>
      </c>
      <c r="H6322" t="s">
        <v>21756</v>
      </c>
      <c r="I6322" t="s">
        <v>21757</v>
      </c>
      <c r="J6322" t="s">
        <v>15449</v>
      </c>
      <c r="K6322" s="2" t="str">
        <f>HYPERLINK("http://collections.slsa.sa.gov.au/mpcimg/08000/B7798_327.htm")</f>
        <v>http://collections.slsa.sa.gov.au/mpcimg/08000/B7798_327.htm</v>
      </c>
    </row>
    <row r="6323" spans="1:11" x14ac:dyDescent="0.25">
      <c r="A6323" t="s">
        <v>21758</v>
      </c>
      <c r="B6323" s="1" t="str">
        <f>HYPERLINK("https://www.catalog.slsa.sa.gov.au/record=b2093303")</f>
        <v>https://www.catalog.slsa.sa.gov.au/record=b2093303</v>
      </c>
      <c r="C6323" s="1" t="str">
        <f>HYPERLINK("https://www.catalog.slsa.sa.gov.au/xrecord=b2093303")</f>
        <v>https://www.catalog.slsa.sa.gov.au/xrecord=b2093303</v>
      </c>
      <c r="D6323" t="s">
        <v>21755</v>
      </c>
      <c r="E6323" t="s">
        <v>21759</v>
      </c>
      <c r="F6323">
        <v>1952</v>
      </c>
      <c r="G6323" t="s">
        <v>21760</v>
      </c>
      <c r="H6323" t="s">
        <v>21761</v>
      </c>
      <c r="I6323" t="s">
        <v>21762</v>
      </c>
      <c r="J6323" t="s">
        <v>15449</v>
      </c>
      <c r="K6323" s="2" t="str">
        <f>HYPERLINK("http://collections.slsa.sa.gov.au/mpcimg/08000/B7798_328.htm")</f>
        <v>http://collections.slsa.sa.gov.au/mpcimg/08000/B7798_328.htm</v>
      </c>
    </row>
    <row r="6324" spans="1:11" x14ac:dyDescent="0.25">
      <c r="A6324" t="s">
        <v>21763</v>
      </c>
      <c r="B6324" s="1" t="str">
        <f>HYPERLINK("https://www.catalog.slsa.sa.gov.au/record=b2093304")</f>
        <v>https://www.catalog.slsa.sa.gov.au/record=b2093304</v>
      </c>
      <c r="C6324" s="1" t="str">
        <f>HYPERLINK("https://www.catalog.slsa.sa.gov.au/xrecord=b2093304")</f>
        <v>https://www.catalog.slsa.sa.gov.au/xrecord=b2093304</v>
      </c>
      <c r="D6324" t="s">
        <v>21755</v>
      </c>
      <c r="E6324" t="s">
        <v>21764</v>
      </c>
      <c r="F6324">
        <v>1952</v>
      </c>
      <c r="G6324" t="s">
        <v>21663</v>
      </c>
      <c r="H6324" t="s">
        <v>21765</v>
      </c>
      <c r="I6324" t="s">
        <v>21766</v>
      </c>
      <c r="J6324" t="s">
        <v>15449</v>
      </c>
      <c r="K6324" s="2" t="str">
        <f>HYPERLINK("http://collections.slsa.sa.gov.au/mpcimg/08000/B7798_329.htm")</f>
        <v>http://collections.slsa.sa.gov.au/mpcimg/08000/B7798_329.htm</v>
      </c>
    </row>
    <row r="6325" spans="1:11" x14ac:dyDescent="0.25">
      <c r="A6325" t="s">
        <v>21767</v>
      </c>
      <c r="B6325" s="1" t="str">
        <f>HYPERLINK("https://www.catalog.slsa.sa.gov.au/record=b2093327")</f>
        <v>https://www.catalog.slsa.sa.gov.au/record=b2093327</v>
      </c>
      <c r="C6325" s="1" t="str">
        <f>HYPERLINK("https://www.catalog.slsa.sa.gov.au/xrecord=b2093327")</f>
        <v>https://www.catalog.slsa.sa.gov.au/xrecord=b2093327</v>
      </c>
      <c r="D6325" t="s">
        <v>2939</v>
      </c>
      <c r="E6325" t="s">
        <v>19838</v>
      </c>
      <c r="F6325">
        <v>1952</v>
      </c>
      <c r="G6325" t="s">
        <v>21768</v>
      </c>
      <c r="H6325" t="s">
        <v>19840</v>
      </c>
      <c r="I6325" t="s">
        <v>19841</v>
      </c>
      <c r="J6325" t="s">
        <v>15449</v>
      </c>
      <c r="K6325" s="2" t="str">
        <f>HYPERLINK("http://collections.slsa.sa.gov.au/mpcimg/08000/B7798_360.htm")</f>
        <v>http://collections.slsa.sa.gov.au/mpcimg/08000/B7798_360.htm</v>
      </c>
    </row>
    <row r="6326" spans="1:11" x14ac:dyDescent="0.25">
      <c r="A6326" t="s">
        <v>21769</v>
      </c>
      <c r="B6326" s="1" t="str">
        <f>HYPERLINK("https://www.catalog.slsa.sa.gov.au/record=b2093328")</f>
        <v>https://www.catalog.slsa.sa.gov.au/record=b2093328</v>
      </c>
      <c r="C6326" s="1" t="str">
        <f>HYPERLINK("https://www.catalog.slsa.sa.gov.au/xrecord=b2093328")</f>
        <v>https://www.catalog.slsa.sa.gov.au/xrecord=b2093328</v>
      </c>
      <c r="D6326" t="s">
        <v>2939</v>
      </c>
      <c r="E6326" t="s">
        <v>19838</v>
      </c>
      <c r="F6326">
        <v>1952</v>
      </c>
      <c r="G6326" t="s">
        <v>21770</v>
      </c>
      <c r="H6326" t="s">
        <v>19840</v>
      </c>
      <c r="I6326" t="s">
        <v>19841</v>
      </c>
      <c r="J6326" t="s">
        <v>15449</v>
      </c>
      <c r="K6326" s="2" t="str">
        <f>HYPERLINK("http://collections.slsa.sa.gov.au/mpcimg/08000/B7798_361.htm")</f>
        <v>http://collections.slsa.sa.gov.au/mpcimg/08000/B7798_361.htm</v>
      </c>
    </row>
    <row r="6327" spans="1:11" x14ac:dyDescent="0.25">
      <c r="A6327" t="s">
        <v>21771</v>
      </c>
      <c r="B6327" s="1" t="str">
        <f>HYPERLINK("https://www.catalog.slsa.sa.gov.au/record=b2093329")</f>
        <v>https://www.catalog.slsa.sa.gov.au/record=b2093329</v>
      </c>
      <c r="C6327" s="1" t="str">
        <f>HYPERLINK("https://www.catalog.slsa.sa.gov.au/xrecord=b2093329")</f>
        <v>https://www.catalog.slsa.sa.gov.au/xrecord=b2093329</v>
      </c>
      <c r="D6327" t="s">
        <v>2939</v>
      </c>
      <c r="E6327" t="s">
        <v>19838</v>
      </c>
      <c r="F6327">
        <v>1952</v>
      </c>
      <c r="G6327" t="s">
        <v>21772</v>
      </c>
      <c r="H6327" t="s">
        <v>19840</v>
      </c>
      <c r="I6327" t="s">
        <v>19841</v>
      </c>
      <c r="J6327" t="s">
        <v>15449</v>
      </c>
      <c r="K6327" s="2" t="str">
        <f>HYPERLINK("http://collections.slsa.sa.gov.au/mpcimg/08000/B7798_362.htm")</f>
        <v>http://collections.slsa.sa.gov.au/mpcimg/08000/B7798_362.htm</v>
      </c>
    </row>
    <row r="6328" spans="1:11" x14ac:dyDescent="0.25">
      <c r="A6328" t="s">
        <v>21773</v>
      </c>
      <c r="B6328" s="1" t="str">
        <f>HYPERLINK("https://www.catalog.slsa.sa.gov.au/record=b2093333")</f>
        <v>https://www.catalog.slsa.sa.gov.au/record=b2093333</v>
      </c>
      <c r="C6328" s="1" t="str">
        <f>HYPERLINK("https://www.catalog.slsa.sa.gov.au/xrecord=b2093333")</f>
        <v>https://www.catalog.slsa.sa.gov.au/xrecord=b2093333</v>
      </c>
      <c r="E6328" t="s">
        <v>21774</v>
      </c>
      <c r="F6328">
        <v>1952</v>
      </c>
      <c r="G6328" t="s">
        <v>21775</v>
      </c>
      <c r="H6328" t="s">
        <v>21776</v>
      </c>
      <c r="I6328" t="s">
        <v>19841</v>
      </c>
      <c r="J6328" t="s">
        <v>15449</v>
      </c>
      <c r="K6328" s="2" t="str">
        <f>HYPERLINK("http://collections.slsa.sa.gov.au/mpcimg/08000/B7798_366.htm")</f>
        <v>http://collections.slsa.sa.gov.au/mpcimg/08000/B7798_366.htm</v>
      </c>
    </row>
    <row r="6329" spans="1:11" x14ac:dyDescent="0.25">
      <c r="A6329" t="s">
        <v>21777</v>
      </c>
      <c r="B6329" s="1" t="str">
        <f>HYPERLINK("https://www.catalog.slsa.sa.gov.au/record=b2093339")</f>
        <v>https://www.catalog.slsa.sa.gov.au/record=b2093339</v>
      </c>
      <c r="C6329" s="1" t="str">
        <f>HYPERLINK("https://www.catalog.slsa.sa.gov.au/xrecord=b2093339")</f>
        <v>https://www.catalog.slsa.sa.gov.au/xrecord=b2093339</v>
      </c>
      <c r="D6329" t="s">
        <v>2939</v>
      </c>
      <c r="E6329" t="s">
        <v>21778</v>
      </c>
      <c r="F6329">
        <v>1952</v>
      </c>
      <c r="G6329" t="s">
        <v>21779</v>
      </c>
      <c r="H6329" t="s">
        <v>21780</v>
      </c>
      <c r="I6329" t="s">
        <v>21781</v>
      </c>
      <c r="J6329" t="s">
        <v>15449</v>
      </c>
      <c r="K6329" s="2" t="str">
        <f>HYPERLINK("http://collections.slsa.sa.gov.au/mpcimg/08000/B7798_372.htm")</f>
        <v>http://collections.slsa.sa.gov.au/mpcimg/08000/B7798_372.htm</v>
      </c>
    </row>
    <row r="6330" spans="1:11" x14ac:dyDescent="0.25">
      <c r="A6330" t="s">
        <v>21782</v>
      </c>
      <c r="B6330" s="1" t="str">
        <f>HYPERLINK("https://www.catalog.slsa.sa.gov.au/record=b2093378")</f>
        <v>https://www.catalog.slsa.sa.gov.au/record=b2093378</v>
      </c>
      <c r="C6330" s="1" t="str">
        <f>HYPERLINK("https://www.catalog.slsa.sa.gov.au/xrecord=b2093378")</f>
        <v>https://www.catalog.slsa.sa.gov.au/xrecord=b2093378</v>
      </c>
      <c r="D6330" t="s">
        <v>2939</v>
      </c>
      <c r="E6330" t="s">
        <v>21783</v>
      </c>
      <c r="F6330">
        <v>1952</v>
      </c>
      <c r="G6330" t="s">
        <v>21784</v>
      </c>
      <c r="H6330" t="s">
        <v>21785</v>
      </c>
      <c r="I6330" t="s">
        <v>5970</v>
      </c>
      <c r="J6330" t="s">
        <v>15449</v>
      </c>
      <c r="K6330" s="2" t="str">
        <f>HYPERLINK("http://collections.slsa.sa.gov.au/mpcimg/08000/B7798_409.htm")</f>
        <v>http://collections.slsa.sa.gov.au/mpcimg/08000/B7798_409.htm</v>
      </c>
    </row>
    <row r="6331" spans="1:11" x14ac:dyDescent="0.25">
      <c r="A6331" t="s">
        <v>21786</v>
      </c>
      <c r="B6331" s="1" t="str">
        <f>HYPERLINK("https://www.catalog.slsa.sa.gov.au/record=b2094707")</f>
        <v>https://www.catalog.slsa.sa.gov.au/record=b2094707</v>
      </c>
      <c r="C6331" s="1" t="str">
        <f>HYPERLINK("https://www.catalog.slsa.sa.gov.au/xrecord=b2094707")</f>
        <v>https://www.catalog.slsa.sa.gov.au/xrecord=b2094707</v>
      </c>
      <c r="D6331" t="s">
        <v>2939</v>
      </c>
      <c r="E6331" t="s">
        <v>21787</v>
      </c>
      <c r="F6331">
        <v>1952</v>
      </c>
      <c r="G6331" t="s">
        <v>15106</v>
      </c>
      <c r="H6331" t="s">
        <v>21788</v>
      </c>
      <c r="I6331" t="s">
        <v>21789</v>
      </c>
      <c r="J6331" t="s">
        <v>15449</v>
      </c>
      <c r="K6331" s="2" t="str">
        <f>HYPERLINK("http://collections.slsa.sa.gov.au/mpcimg/08000/B7798_453.htm")</f>
        <v>http://collections.slsa.sa.gov.au/mpcimg/08000/B7798_453.htm</v>
      </c>
    </row>
    <row r="6332" spans="1:11" x14ac:dyDescent="0.25">
      <c r="A6332" t="s">
        <v>21790</v>
      </c>
      <c r="B6332" s="1" t="str">
        <f>HYPERLINK("https://www.catalog.slsa.sa.gov.au/record=b2094708")</f>
        <v>https://www.catalog.slsa.sa.gov.au/record=b2094708</v>
      </c>
      <c r="C6332" s="1" t="str">
        <f>HYPERLINK("https://www.catalog.slsa.sa.gov.au/xrecord=b2094708")</f>
        <v>https://www.catalog.slsa.sa.gov.au/xrecord=b2094708</v>
      </c>
      <c r="D6332" t="s">
        <v>2939</v>
      </c>
      <c r="E6332" t="s">
        <v>21791</v>
      </c>
      <c r="F6332">
        <v>1952</v>
      </c>
      <c r="G6332" t="s">
        <v>15106</v>
      </c>
      <c r="H6332" t="s">
        <v>21792</v>
      </c>
      <c r="I6332" t="s">
        <v>21789</v>
      </c>
      <c r="J6332" t="s">
        <v>15449</v>
      </c>
      <c r="K6332" s="2" t="str">
        <f>HYPERLINK("http://collections.slsa.sa.gov.au/mpcimg/08000/B7798_454.htm")</f>
        <v>http://collections.slsa.sa.gov.au/mpcimg/08000/B7798_454.htm</v>
      </c>
    </row>
    <row r="6333" spans="1:11" x14ac:dyDescent="0.25">
      <c r="A6333" t="s">
        <v>21793</v>
      </c>
      <c r="B6333" s="1" t="str">
        <f>HYPERLINK("https://www.catalog.slsa.sa.gov.au/record=b2094718")</f>
        <v>https://www.catalog.slsa.sa.gov.au/record=b2094718</v>
      </c>
      <c r="C6333" s="1" t="str">
        <f>HYPERLINK("https://www.catalog.slsa.sa.gov.au/xrecord=b2094718")</f>
        <v>https://www.catalog.slsa.sa.gov.au/xrecord=b2094718</v>
      </c>
      <c r="D6333" t="s">
        <v>2939</v>
      </c>
      <c r="E6333" t="s">
        <v>21794</v>
      </c>
      <c r="F6333">
        <v>1952</v>
      </c>
      <c r="G6333" t="s">
        <v>21795</v>
      </c>
      <c r="H6333" t="s">
        <v>21796</v>
      </c>
      <c r="I6333" t="s">
        <v>21797</v>
      </c>
      <c r="J6333" t="s">
        <v>15449</v>
      </c>
      <c r="K6333" s="2" t="str">
        <f>HYPERLINK("http://collections.slsa.sa.gov.au/mpcimg/08000/B7798_464.htm")</f>
        <v>http://collections.slsa.sa.gov.au/mpcimg/08000/B7798_464.htm</v>
      </c>
    </row>
    <row r="6334" spans="1:11" x14ac:dyDescent="0.25">
      <c r="A6334" t="s">
        <v>21798</v>
      </c>
      <c r="B6334" s="1" t="str">
        <f>HYPERLINK("https://www.catalog.slsa.sa.gov.au/record=b2094743")</f>
        <v>https://www.catalog.slsa.sa.gov.au/record=b2094743</v>
      </c>
      <c r="C6334" s="1" t="str">
        <f>HYPERLINK("https://www.catalog.slsa.sa.gov.au/xrecord=b2094743")</f>
        <v>https://www.catalog.slsa.sa.gov.au/xrecord=b2094743</v>
      </c>
      <c r="E6334" t="s">
        <v>21799</v>
      </c>
      <c r="F6334">
        <v>1952</v>
      </c>
      <c r="G6334" t="s">
        <v>21770</v>
      </c>
      <c r="H6334" t="s">
        <v>21800</v>
      </c>
      <c r="I6334" t="s">
        <v>21801</v>
      </c>
      <c r="J6334" t="s">
        <v>15449</v>
      </c>
      <c r="K6334" s="2" t="str">
        <f>HYPERLINK("http://collections.slsa.sa.gov.au/mpcimg/08000/B7798_489.htm")</f>
        <v>http://collections.slsa.sa.gov.au/mpcimg/08000/B7798_489.htm</v>
      </c>
    </row>
    <row r="6335" spans="1:11" x14ac:dyDescent="0.25">
      <c r="A6335" t="s">
        <v>21802</v>
      </c>
      <c r="B6335" s="1" t="str">
        <f>HYPERLINK("https://www.catalog.slsa.sa.gov.au/record=b2095124")</f>
        <v>https://www.catalog.slsa.sa.gov.au/record=b2095124</v>
      </c>
      <c r="C6335" s="1" t="str">
        <f>HYPERLINK("https://www.catalog.slsa.sa.gov.au/xrecord=b2095124")</f>
        <v>https://www.catalog.slsa.sa.gov.au/xrecord=b2095124</v>
      </c>
      <c r="D6335" t="s">
        <v>2939</v>
      </c>
      <c r="E6335" t="s">
        <v>21803</v>
      </c>
      <c r="F6335">
        <v>1952</v>
      </c>
      <c r="G6335" t="s">
        <v>21804</v>
      </c>
      <c r="H6335" t="s">
        <v>21805</v>
      </c>
      <c r="I6335" t="s">
        <v>21806</v>
      </c>
      <c r="J6335" t="s">
        <v>15449</v>
      </c>
      <c r="K6335" s="2" t="str">
        <f>HYPERLINK("http://collections.slsa.sa.gov.au/mpcimg/08000/B7798_503.htm")</f>
        <v>http://collections.slsa.sa.gov.au/mpcimg/08000/B7798_503.htm</v>
      </c>
    </row>
    <row r="6336" spans="1:11" x14ac:dyDescent="0.25">
      <c r="A6336" t="s">
        <v>21807</v>
      </c>
      <c r="B6336" s="1" t="str">
        <f>HYPERLINK("https://www.catalog.slsa.sa.gov.au/record=b2095267")</f>
        <v>https://www.catalog.slsa.sa.gov.au/record=b2095267</v>
      </c>
      <c r="C6336" s="1" t="str">
        <f>HYPERLINK("https://www.catalog.slsa.sa.gov.au/xrecord=b2095267")</f>
        <v>https://www.catalog.slsa.sa.gov.au/xrecord=b2095267</v>
      </c>
      <c r="D6336" t="s">
        <v>2939</v>
      </c>
      <c r="E6336" t="s">
        <v>21808</v>
      </c>
      <c r="F6336">
        <v>1952</v>
      </c>
      <c r="G6336" t="s">
        <v>21809</v>
      </c>
      <c r="H6336" t="s">
        <v>21810</v>
      </c>
      <c r="I6336" t="s">
        <v>21811</v>
      </c>
      <c r="J6336" t="s">
        <v>15449</v>
      </c>
      <c r="K6336" s="2" t="str">
        <f>HYPERLINK("http://collections.slsa.sa.gov.au/mpcimg/08000/B7798_513.htm")</f>
        <v>http://collections.slsa.sa.gov.au/mpcimg/08000/B7798_513.htm</v>
      </c>
    </row>
    <row r="6337" spans="1:11" x14ac:dyDescent="0.25">
      <c r="A6337" t="s">
        <v>21812</v>
      </c>
      <c r="B6337" s="1" t="str">
        <f>HYPERLINK("https://www.catalog.slsa.sa.gov.au/record=b2095269")</f>
        <v>https://www.catalog.slsa.sa.gov.au/record=b2095269</v>
      </c>
      <c r="C6337" s="1" t="str">
        <f>HYPERLINK("https://www.catalog.slsa.sa.gov.au/xrecord=b2095269")</f>
        <v>https://www.catalog.slsa.sa.gov.au/xrecord=b2095269</v>
      </c>
      <c r="D6337" t="s">
        <v>2939</v>
      </c>
      <c r="E6337" t="s">
        <v>21813</v>
      </c>
      <c r="F6337">
        <v>1952</v>
      </c>
      <c r="G6337" t="s">
        <v>21814</v>
      </c>
      <c r="H6337" t="s">
        <v>21815</v>
      </c>
      <c r="I6337" t="s">
        <v>21811</v>
      </c>
      <c r="J6337" t="s">
        <v>15449</v>
      </c>
      <c r="K6337" s="2" t="str">
        <f>HYPERLINK("http://collections.slsa.sa.gov.au/mpcimg/08000/B7798_514.htm")</f>
        <v>http://collections.slsa.sa.gov.au/mpcimg/08000/B7798_514.htm</v>
      </c>
    </row>
    <row r="6338" spans="1:11" x14ac:dyDescent="0.25">
      <c r="A6338" t="s">
        <v>21816</v>
      </c>
      <c r="B6338" s="1" t="str">
        <f>HYPERLINK("https://www.catalog.slsa.sa.gov.au/record=b2095270")</f>
        <v>https://www.catalog.slsa.sa.gov.au/record=b2095270</v>
      </c>
      <c r="C6338" s="1" t="str">
        <f>HYPERLINK("https://www.catalog.slsa.sa.gov.au/xrecord=b2095270")</f>
        <v>https://www.catalog.slsa.sa.gov.au/xrecord=b2095270</v>
      </c>
      <c r="D6338" t="s">
        <v>2939</v>
      </c>
      <c r="E6338" t="s">
        <v>21817</v>
      </c>
      <c r="F6338">
        <v>1952</v>
      </c>
      <c r="G6338" t="s">
        <v>21818</v>
      </c>
      <c r="H6338" t="s">
        <v>21819</v>
      </c>
      <c r="I6338" t="s">
        <v>21811</v>
      </c>
      <c r="J6338" t="s">
        <v>15449</v>
      </c>
      <c r="K6338" s="2" t="str">
        <f>HYPERLINK("http://collections.slsa.sa.gov.au/mpcimg/08000/B7798_515.htm")</f>
        <v>http://collections.slsa.sa.gov.au/mpcimg/08000/B7798_515.htm</v>
      </c>
    </row>
    <row r="6339" spans="1:11" x14ac:dyDescent="0.25">
      <c r="A6339" t="s">
        <v>21820</v>
      </c>
      <c r="B6339" s="1" t="str">
        <f>HYPERLINK("https://www.catalog.slsa.sa.gov.au/record=b2095292")</f>
        <v>https://www.catalog.slsa.sa.gov.au/record=b2095292</v>
      </c>
      <c r="C6339" s="1" t="str">
        <f>HYPERLINK("https://www.catalog.slsa.sa.gov.au/xrecord=b2095292")</f>
        <v>https://www.catalog.slsa.sa.gov.au/xrecord=b2095292</v>
      </c>
      <c r="D6339" t="s">
        <v>2939</v>
      </c>
      <c r="E6339" t="s">
        <v>21821</v>
      </c>
      <c r="F6339">
        <v>1952</v>
      </c>
      <c r="G6339" t="s">
        <v>21822</v>
      </c>
      <c r="H6339" t="s">
        <v>21823</v>
      </c>
      <c r="I6339" t="s">
        <v>21811</v>
      </c>
      <c r="J6339" t="s">
        <v>15449</v>
      </c>
      <c r="K6339" s="2" t="str">
        <f>HYPERLINK("http://collections.slsa.sa.gov.au/mpcimg/08000/B7798_526.htm")</f>
        <v>http://collections.slsa.sa.gov.au/mpcimg/08000/B7798_526.htm</v>
      </c>
    </row>
    <row r="6340" spans="1:11" x14ac:dyDescent="0.25">
      <c r="A6340" t="s">
        <v>21824</v>
      </c>
      <c r="B6340" s="1" t="str">
        <f>HYPERLINK("https://www.catalog.slsa.sa.gov.au/record=b2095399")</f>
        <v>https://www.catalog.slsa.sa.gov.au/record=b2095399</v>
      </c>
      <c r="C6340" s="1" t="str">
        <f>HYPERLINK("https://www.catalog.slsa.sa.gov.au/xrecord=b2095399")</f>
        <v>https://www.catalog.slsa.sa.gov.au/xrecord=b2095399</v>
      </c>
      <c r="E6340" t="s">
        <v>21825</v>
      </c>
      <c r="F6340">
        <v>1952</v>
      </c>
      <c r="G6340" t="s">
        <v>15333</v>
      </c>
      <c r="H6340" t="s">
        <v>21826</v>
      </c>
      <c r="J6340" t="s">
        <v>15449</v>
      </c>
      <c r="K6340" s="2" t="str">
        <f>HYPERLINK("http://collections.slsa.sa.gov.au/mpcimg/08000/B7798_557.htm")</f>
        <v>http://collections.slsa.sa.gov.au/mpcimg/08000/B7798_557.htm</v>
      </c>
    </row>
    <row r="6341" spans="1:11" x14ac:dyDescent="0.25">
      <c r="A6341" t="s">
        <v>21827</v>
      </c>
      <c r="B6341" s="1" t="str">
        <f>HYPERLINK("https://www.catalog.slsa.sa.gov.au/record=b2095400")</f>
        <v>https://www.catalog.slsa.sa.gov.au/record=b2095400</v>
      </c>
      <c r="C6341" s="1" t="str">
        <f>HYPERLINK("https://www.catalog.slsa.sa.gov.au/xrecord=b2095400")</f>
        <v>https://www.catalog.slsa.sa.gov.au/xrecord=b2095400</v>
      </c>
      <c r="E6341" t="s">
        <v>21828</v>
      </c>
      <c r="F6341">
        <v>1952</v>
      </c>
      <c r="G6341" t="s">
        <v>21809</v>
      </c>
      <c r="H6341" t="s">
        <v>21829</v>
      </c>
      <c r="J6341" t="s">
        <v>15449</v>
      </c>
      <c r="K6341" s="2" t="str">
        <f>HYPERLINK("http://collections.slsa.sa.gov.au/mpcimg/08000/B7798_558.htm")</f>
        <v>http://collections.slsa.sa.gov.au/mpcimg/08000/B7798_558.htm</v>
      </c>
    </row>
    <row r="6342" spans="1:11" x14ac:dyDescent="0.25">
      <c r="A6342" t="s">
        <v>21830</v>
      </c>
      <c r="B6342" s="1" t="str">
        <f>HYPERLINK("https://www.catalog.slsa.sa.gov.au/record=b2096272")</f>
        <v>https://www.catalog.slsa.sa.gov.au/record=b2096272</v>
      </c>
      <c r="C6342" s="1" t="str">
        <f>HYPERLINK("https://www.catalog.slsa.sa.gov.au/xrecord=b2096272")</f>
        <v>https://www.catalog.slsa.sa.gov.au/xrecord=b2096272</v>
      </c>
      <c r="D6342" t="s">
        <v>2939</v>
      </c>
      <c r="E6342" t="s">
        <v>21831</v>
      </c>
      <c r="F6342">
        <v>1952</v>
      </c>
      <c r="G6342" t="s">
        <v>21814</v>
      </c>
      <c r="H6342" t="s">
        <v>21832</v>
      </c>
      <c r="I6342" t="s">
        <v>21833</v>
      </c>
      <c r="J6342" t="s">
        <v>15449</v>
      </c>
      <c r="K6342" s="2" t="str">
        <f>HYPERLINK("http://collections.slsa.sa.gov.au/mpcimg/08000/B7798_617.htm")</f>
        <v>http://collections.slsa.sa.gov.au/mpcimg/08000/B7798_617.htm</v>
      </c>
    </row>
    <row r="6343" spans="1:11" x14ac:dyDescent="0.25">
      <c r="A6343" t="s">
        <v>21834</v>
      </c>
      <c r="B6343" s="1" t="str">
        <f>HYPERLINK("https://www.catalog.slsa.sa.gov.au/record=b2096319")</f>
        <v>https://www.catalog.slsa.sa.gov.au/record=b2096319</v>
      </c>
      <c r="C6343" s="1" t="str">
        <f>HYPERLINK("https://www.catalog.slsa.sa.gov.au/xrecord=b2096319")</f>
        <v>https://www.catalog.slsa.sa.gov.au/xrecord=b2096319</v>
      </c>
      <c r="D6343" t="s">
        <v>2939</v>
      </c>
      <c r="E6343" t="s">
        <v>21835</v>
      </c>
      <c r="F6343">
        <v>1952</v>
      </c>
      <c r="G6343" t="s">
        <v>15106</v>
      </c>
      <c r="H6343" t="s">
        <v>21836</v>
      </c>
      <c r="I6343" t="s">
        <v>21837</v>
      </c>
      <c r="J6343" t="s">
        <v>15449</v>
      </c>
      <c r="K6343" s="2" t="str">
        <f>HYPERLINK("http://collections.slsa.sa.gov.au/mpcimg/08000/B7798_650.htm")</f>
        <v>http://collections.slsa.sa.gov.au/mpcimg/08000/B7798_650.htm</v>
      </c>
    </row>
    <row r="6344" spans="1:11" x14ac:dyDescent="0.25">
      <c r="A6344" t="s">
        <v>21838</v>
      </c>
      <c r="B6344" s="1" t="str">
        <f>HYPERLINK("https://www.catalog.slsa.sa.gov.au/record=b2097690")</f>
        <v>https://www.catalog.slsa.sa.gov.au/record=b2097690</v>
      </c>
      <c r="C6344" s="1" t="str">
        <f>HYPERLINK("https://www.catalog.slsa.sa.gov.au/xrecord=b2097690")</f>
        <v>https://www.catalog.slsa.sa.gov.au/xrecord=b2097690</v>
      </c>
      <c r="E6344" t="s">
        <v>21839</v>
      </c>
      <c r="F6344">
        <v>1952</v>
      </c>
      <c r="G6344" t="s">
        <v>21840</v>
      </c>
      <c r="H6344" t="s">
        <v>21841</v>
      </c>
      <c r="I6344" t="s">
        <v>21842</v>
      </c>
      <c r="J6344" t="s">
        <v>14768</v>
      </c>
      <c r="K6344" s="2" t="str">
        <f>HYPERLINK("http://collections.slsa.sa.gov.au/mpcimg/48500/B48482_85.htm")</f>
        <v>http://collections.slsa.sa.gov.au/mpcimg/48500/B48482_85.htm</v>
      </c>
    </row>
    <row r="6345" spans="1:11" x14ac:dyDescent="0.25">
      <c r="A6345" t="s">
        <v>21843</v>
      </c>
      <c r="B6345" s="1" t="str">
        <f>HYPERLINK("https://www.catalog.slsa.sa.gov.au/record=b2097691")</f>
        <v>https://www.catalog.slsa.sa.gov.au/record=b2097691</v>
      </c>
      <c r="C6345" s="1" t="str">
        <f>HYPERLINK("https://www.catalog.slsa.sa.gov.au/xrecord=b2097691")</f>
        <v>https://www.catalog.slsa.sa.gov.au/xrecord=b2097691</v>
      </c>
      <c r="E6345" t="s">
        <v>21844</v>
      </c>
      <c r="F6345">
        <v>1952</v>
      </c>
      <c r="G6345" t="s">
        <v>21845</v>
      </c>
      <c r="H6345" t="s">
        <v>21846</v>
      </c>
      <c r="J6345" t="s">
        <v>14768</v>
      </c>
      <c r="K6345" s="2" t="str">
        <f>HYPERLINK("http://collections.slsa.sa.gov.au/mpcimg/48500/B48482_86.htm")</f>
        <v>http://collections.slsa.sa.gov.au/mpcimg/48500/B48482_86.htm</v>
      </c>
    </row>
    <row r="6346" spans="1:11" x14ac:dyDescent="0.25">
      <c r="A6346" t="s">
        <v>21847</v>
      </c>
      <c r="B6346" s="1" t="str">
        <f>HYPERLINK("https://www.catalog.slsa.sa.gov.au/record=b2097699")</f>
        <v>https://www.catalog.slsa.sa.gov.au/record=b2097699</v>
      </c>
      <c r="C6346" s="1" t="str">
        <f>HYPERLINK("https://www.catalog.slsa.sa.gov.au/xrecord=b2097699")</f>
        <v>https://www.catalog.slsa.sa.gov.au/xrecord=b2097699</v>
      </c>
      <c r="E6346" t="s">
        <v>21848</v>
      </c>
      <c r="F6346">
        <v>1952</v>
      </c>
      <c r="G6346" t="s">
        <v>21849</v>
      </c>
      <c r="H6346" t="s">
        <v>21850</v>
      </c>
      <c r="J6346" t="s">
        <v>14768</v>
      </c>
      <c r="K6346" s="2" t="str">
        <f>HYPERLINK("http://collections.slsa.sa.gov.au/mpcimg/48500/B48482_94.htm")</f>
        <v>http://collections.slsa.sa.gov.au/mpcimg/48500/B48482_94.htm</v>
      </c>
    </row>
    <row r="6347" spans="1:11" x14ac:dyDescent="0.25">
      <c r="A6347" t="s">
        <v>21851</v>
      </c>
      <c r="B6347" s="1" t="str">
        <f>HYPERLINK("https://www.catalog.slsa.sa.gov.au/record=b2097700")</f>
        <v>https://www.catalog.slsa.sa.gov.au/record=b2097700</v>
      </c>
      <c r="C6347" s="1" t="str">
        <f>HYPERLINK("https://www.catalog.slsa.sa.gov.au/xrecord=b2097700")</f>
        <v>https://www.catalog.slsa.sa.gov.au/xrecord=b2097700</v>
      </c>
      <c r="E6347" t="s">
        <v>21852</v>
      </c>
      <c r="F6347">
        <v>1952</v>
      </c>
      <c r="G6347" t="s">
        <v>21853</v>
      </c>
      <c r="H6347" t="s">
        <v>21854</v>
      </c>
      <c r="I6347" t="s">
        <v>21842</v>
      </c>
      <c r="J6347" t="s">
        <v>14768</v>
      </c>
      <c r="K6347" s="2" t="str">
        <f>HYPERLINK("http://collections.slsa.sa.gov.au/mpcimg/48500/B48482_95.htm")</f>
        <v>http://collections.slsa.sa.gov.au/mpcimg/48500/B48482_95.htm</v>
      </c>
    </row>
    <row r="6348" spans="1:11" x14ac:dyDescent="0.25">
      <c r="A6348" t="s">
        <v>21855</v>
      </c>
      <c r="B6348" s="1" t="str">
        <f>HYPERLINK("https://www.catalog.slsa.sa.gov.au/record=b2101433")</f>
        <v>https://www.catalog.slsa.sa.gov.au/record=b2101433</v>
      </c>
      <c r="C6348" s="1" t="str">
        <f>HYPERLINK("https://www.catalog.slsa.sa.gov.au/xrecord=b2101433")</f>
        <v>https://www.catalog.slsa.sa.gov.au/xrecord=b2101433</v>
      </c>
      <c r="E6348" t="s">
        <v>15459</v>
      </c>
      <c r="F6348">
        <v>1952</v>
      </c>
      <c r="G6348" t="s">
        <v>21856</v>
      </c>
      <c r="H6348" t="s">
        <v>21857</v>
      </c>
      <c r="I6348" t="s">
        <v>15470</v>
      </c>
      <c r="J6348" t="s">
        <v>14768</v>
      </c>
      <c r="K6348" s="2" t="str">
        <f>HYPERLINK("http://collections.slsa.sa.gov.au/mpcimg/57250/B57200_252.htm")</f>
        <v>http://collections.slsa.sa.gov.au/mpcimg/57250/B57200_252.htm</v>
      </c>
    </row>
    <row r="6349" spans="1:11" x14ac:dyDescent="0.25">
      <c r="A6349" t="s">
        <v>21858</v>
      </c>
      <c r="B6349" s="1" t="str">
        <f>HYPERLINK("https://www.catalog.slsa.sa.gov.au/record=b2105914")</f>
        <v>https://www.catalog.slsa.sa.gov.au/record=b2105914</v>
      </c>
      <c r="C6349" s="1" t="str">
        <f>HYPERLINK("https://www.catalog.slsa.sa.gov.au/xrecord=b2105914")</f>
        <v>https://www.catalog.slsa.sa.gov.au/xrecord=b2105914</v>
      </c>
      <c r="E6349" t="s">
        <v>21859</v>
      </c>
      <c r="F6349">
        <v>1952</v>
      </c>
      <c r="G6349" t="s">
        <v>21860</v>
      </c>
      <c r="H6349" t="s">
        <v>21861</v>
      </c>
      <c r="I6349" t="s">
        <v>19888</v>
      </c>
      <c r="J6349" t="s">
        <v>14768</v>
      </c>
      <c r="K6349" s="2" t="str">
        <f>HYPERLINK("http://collections.slsa.sa.gov.au/mpcimg/69250/B69087_7.htm")</f>
        <v>http://collections.slsa.sa.gov.au/mpcimg/69250/B69087_7.htm</v>
      </c>
    </row>
    <row r="6350" spans="1:11" x14ac:dyDescent="0.25">
      <c r="A6350" t="s">
        <v>21862</v>
      </c>
      <c r="B6350" s="1" t="str">
        <f>HYPERLINK("https://www.catalog.slsa.sa.gov.au/record=b2105942")</f>
        <v>https://www.catalog.slsa.sa.gov.au/record=b2105942</v>
      </c>
      <c r="C6350" s="1" t="str">
        <f>HYPERLINK("https://www.catalog.slsa.sa.gov.au/xrecord=b2105942")</f>
        <v>https://www.catalog.slsa.sa.gov.au/xrecord=b2105942</v>
      </c>
      <c r="E6350" t="s">
        <v>21863</v>
      </c>
      <c r="F6350">
        <v>1952</v>
      </c>
      <c r="G6350" t="s">
        <v>21860</v>
      </c>
      <c r="H6350" t="s">
        <v>21864</v>
      </c>
      <c r="I6350" t="s">
        <v>19888</v>
      </c>
      <c r="J6350" t="s">
        <v>14768</v>
      </c>
      <c r="K6350" s="2" t="str">
        <f>HYPERLINK("http://collections.slsa.sa.gov.au/mpcimg/69250/B69087_18.htm")</f>
        <v>http://collections.slsa.sa.gov.au/mpcimg/69250/B69087_18.htm</v>
      </c>
    </row>
    <row r="6351" spans="1:11" x14ac:dyDescent="0.25">
      <c r="A6351" t="s">
        <v>21865</v>
      </c>
      <c r="B6351" s="1" t="str">
        <f>HYPERLINK("https://www.catalog.slsa.sa.gov.au/record=b2106072")</f>
        <v>https://www.catalog.slsa.sa.gov.au/record=b2106072</v>
      </c>
      <c r="C6351" s="1" t="str">
        <f>HYPERLINK("https://www.catalog.slsa.sa.gov.au/xrecord=b2106072")</f>
        <v>https://www.catalog.slsa.sa.gov.au/xrecord=b2106072</v>
      </c>
      <c r="E6351" t="s">
        <v>21866</v>
      </c>
      <c r="F6351">
        <v>1952</v>
      </c>
      <c r="G6351" t="s">
        <v>21867</v>
      </c>
      <c r="H6351" t="s">
        <v>21868</v>
      </c>
      <c r="I6351" t="s">
        <v>21869</v>
      </c>
      <c r="J6351" t="s">
        <v>21870</v>
      </c>
      <c r="K6351" s="2" t="str">
        <f>HYPERLINK("http://collections.slsa.sa.gov.au/mpcimg/69250/B69214.htm")</f>
        <v>http://collections.slsa.sa.gov.au/mpcimg/69250/B69214.htm</v>
      </c>
    </row>
    <row r="6352" spans="1:11" x14ac:dyDescent="0.25">
      <c r="A6352" t="s">
        <v>21871</v>
      </c>
      <c r="B6352" s="1" t="str">
        <f>HYPERLINK("https://www.catalog.slsa.sa.gov.au/record=b2106116")</f>
        <v>https://www.catalog.slsa.sa.gov.au/record=b2106116</v>
      </c>
      <c r="C6352" s="1" t="str">
        <f>HYPERLINK("https://www.catalog.slsa.sa.gov.au/xrecord=b2106116")</f>
        <v>https://www.catalog.slsa.sa.gov.au/xrecord=b2106116</v>
      </c>
      <c r="E6352" t="s">
        <v>21863</v>
      </c>
      <c r="F6352">
        <v>1952</v>
      </c>
      <c r="G6352" t="s">
        <v>21872</v>
      </c>
      <c r="H6352" t="s">
        <v>21873</v>
      </c>
      <c r="I6352" t="s">
        <v>19888</v>
      </c>
      <c r="J6352" t="s">
        <v>14768</v>
      </c>
      <c r="K6352" s="2" t="str">
        <f>HYPERLINK("http://collections.slsa.sa.gov.au/mpcimg/69250/B69087_26.htm")</f>
        <v>http://collections.slsa.sa.gov.au/mpcimg/69250/B69087_26.htm</v>
      </c>
    </row>
    <row r="6353" spans="1:11" x14ac:dyDescent="0.25">
      <c r="A6353" t="s">
        <v>21874</v>
      </c>
      <c r="B6353" s="1" t="str">
        <f>HYPERLINK("https://www.catalog.slsa.sa.gov.au/record=b2106117")</f>
        <v>https://www.catalog.slsa.sa.gov.au/record=b2106117</v>
      </c>
      <c r="C6353" s="1" t="str">
        <f>HYPERLINK("https://www.catalog.slsa.sa.gov.au/xrecord=b2106117")</f>
        <v>https://www.catalog.slsa.sa.gov.au/xrecord=b2106117</v>
      </c>
      <c r="D6353" t="s">
        <v>2666</v>
      </c>
      <c r="E6353" t="s">
        <v>21875</v>
      </c>
      <c r="F6353">
        <v>1952</v>
      </c>
      <c r="G6353" t="s">
        <v>21876</v>
      </c>
      <c r="H6353" t="s">
        <v>21877</v>
      </c>
      <c r="I6353" t="s">
        <v>19888</v>
      </c>
      <c r="J6353" t="s">
        <v>14768</v>
      </c>
      <c r="K6353" s="2" t="str">
        <f>HYPERLINK("http://collections.slsa.sa.gov.au/mpcimg/69250/B69087_27.htm")</f>
        <v>http://collections.slsa.sa.gov.au/mpcimg/69250/B69087_27.htm</v>
      </c>
    </row>
    <row r="6354" spans="1:11" x14ac:dyDescent="0.25">
      <c r="A6354" t="s">
        <v>21878</v>
      </c>
      <c r="B6354" s="1" t="str">
        <f>HYPERLINK("https://www.catalog.slsa.sa.gov.au/record=b2106660")</f>
        <v>https://www.catalog.slsa.sa.gov.au/record=b2106660</v>
      </c>
      <c r="C6354" s="1" t="str">
        <f>HYPERLINK("https://www.catalog.slsa.sa.gov.au/xrecord=b2106660")</f>
        <v>https://www.catalog.slsa.sa.gov.au/xrecord=b2106660</v>
      </c>
      <c r="D6354" t="s">
        <v>21879</v>
      </c>
      <c r="E6354" t="s">
        <v>21880</v>
      </c>
      <c r="F6354">
        <v>1952</v>
      </c>
      <c r="G6354" t="s">
        <v>21881</v>
      </c>
      <c r="H6354" t="s">
        <v>21882</v>
      </c>
      <c r="I6354" t="s">
        <v>21883</v>
      </c>
      <c r="J6354" t="s">
        <v>1809</v>
      </c>
      <c r="K6354" s="2" t="str">
        <f>HYPERLINK("http://collections.slsa.sa.gov.au/mpcimg/69500/B69367.htm")</f>
        <v>http://collections.slsa.sa.gov.au/mpcimg/69500/B69367.htm</v>
      </c>
    </row>
    <row r="6355" spans="1:11" x14ac:dyDescent="0.25">
      <c r="A6355" t="s">
        <v>21884</v>
      </c>
      <c r="B6355" s="1" t="str">
        <f>HYPERLINK("https://www.catalog.slsa.sa.gov.au/record=b2107260")</f>
        <v>https://www.catalog.slsa.sa.gov.au/record=b2107260</v>
      </c>
      <c r="C6355" s="1" t="str">
        <f>HYPERLINK("https://www.catalog.slsa.sa.gov.au/xrecord=b2107260")</f>
        <v>https://www.catalog.slsa.sa.gov.au/xrecord=b2107260</v>
      </c>
      <c r="D6355" t="s">
        <v>21879</v>
      </c>
      <c r="E6355" t="s">
        <v>21885</v>
      </c>
      <c r="F6355">
        <v>1952</v>
      </c>
      <c r="G6355" t="s">
        <v>21886</v>
      </c>
      <c r="H6355" t="s">
        <v>21887</v>
      </c>
      <c r="I6355" t="s">
        <v>21888</v>
      </c>
      <c r="J6355" t="s">
        <v>1809</v>
      </c>
      <c r="K6355" s="2" t="str">
        <f>HYPERLINK("http://collections.slsa.sa.gov.au/mpcimg/69500/B69404.htm")</f>
        <v>http://collections.slsa.sa.gov.au/mpcimg/69500/B69404.htm</v>
      </c>
    </row>
    <row r="6356" spans="1:11" x14ac:dyDescent="0.25">
      <c r="A6356" t="s">
        <v>21889</v>
      </c>
      <c r="B6356" s="1" t="str">
        <f>HYPERLINK("https://www.catalog.slsa.sa.gov.au/record=b2108908")</f>
        <v>https://www.catalog.slsa.sa.gov.au/record=b2108908</v>
      </c>
      <c r="C6356" s="1" t="str">
        <f>HYPERLINK("https://www.catalog.slsa.sa.gov.au/xrecord=b2108908")</f>
        <v>https://www.catalog.slsa.sa.gov.au/xrecord=b2108908</v>
      </c>
      <c r="D6356" t="s">
        <v>14894</v>
      </c>
      <c r="E6356" t="s">
        <v>21890</v>
      </c>
      <c r="F6356">
        <v>1952</v>
      </c>
      <c r="G6356" t="s">
        <v>21891</v>
      </c>
      <c r="H6356" t="s">
        <v>21892</v>
      </c>
      <c r="I6356" t="s">
        <v>21893</v>
      </c>
      <c r="J6356" t="s">
        <v>2510</v>
      </c>
      <c r="K6356" s="2" t="str">
        <f>HYPERLINK("http://collections.slsa.sa.gov.au/mpcimg/69750/B69660.htm")</f>
        <v>http://collections.slsa.sa.gov.au/mpcimg/69750/B69660.htm</v>
      </c>
    </row>
    <row r="6357" spans="1:11" x14ac:dyDescent="0.25">
      <c r="A6357" t="s">
        <v>21894</v>
      </c>
      <c r="B6357" s="1" t="str">
        <f>HYPERLINK("https://www.catalog.slsa.sa.gov.au/record=b2108935")</f>
        <v>https://www.catalog.slsa.sa.gov.au/record=b2108935</v>
      </c>
      <c r="C6357" s="1" t="str">
        <f>HYPERLINK("https://www.catalog.slsa.sa.gov.au/xrecord=b2108935")</f>
        <v>https://www.catalog.slsa.sa.gov.au/xrecord=b2108935</v>
      </c>
      <c r="E6357" t="s">
        <v>21895</v>
      </c>
      <c r="F6357">
        <v>1952</v>
      </c>
      <c r="G6357" t="s">
        <v>21896</v>
      </c>
      <c r="H6357" t="s">
        <v>21897</v>
      </c>
      <c r="I6357" t="s">
        <v>21898</v>
      </c>
      <c r="J6357" t="s">
        <v>16065</v>
      </c>
      <c r="K6357" s="2" t="str">
        <f>HYPERLINK("http://collections.slsa.sa.gov.au/mpcimg/69750/B69674.htm")</f>
        <v>http://collections.slsa.sa.gov.au/mpcimg/69750/B69674.htm</v>
      </c>
    </row>
    <row r="6358" spans="1:11" x14ac:dyDescent="0.25">
      <c r="A6358" t="s">
        <v>21899</v>
      </c>
      <c r="B6358" s="1" t="str">
        <f>HYPERLINK("https://www.catalog.slsa.sa.gov.au/record=b2108946")</f>
        <v>https://www.catalog.slsa.sa.gov.au/record=b2108946</v>
      </c>
      <c r="C6358" s="1" t="str">
        <f>HYPERLINK("https://www.catalog.slsa.sa.gov.au/xrecord=b2108946")</f>
        <v>https://www.catalog.slsa.sa.gov.au/xrecord=b2108946</v>
      </c>
      <c r="D6358" t="s">
        <v>21900</v>
      </c>
      <c r="E6358" t="s">
        <v>21901</v>
      </c>
      <c r="F6358">
        <v>1952</v>
      </c>
      <c r="G6358" t="s">
        <v>21902</v>
      </c>
      <c r="H6358" t="s">
        <v>21903</v>
      </c>
      <c r="I6358" t="s">
        <v>21904</v>
      </c>
      <c r="J6358" t="s">
        <v>2510</v>
      </c>
      <c r="K6358" s="2" t="str">
        <f>HYPERLINK("http://collections.slsa.sa.gov.au/mpcimg/69750/B69685.htm")</f>
        <v>http://collections.slsa.sa.gov.au/mpcimg/69750/B69685.htm</v>
      </c>
    </row>
    <row r="6359" spans="1:11" x14ac:dyDescent="0.25">
      <c r="A6359" t="s">
        <v>21905</v>
      </c>
      <c r="B6359" s="1" t="str">
        <f>HYPERLINK("https://www.catalog.slsa.sa.gov.au/record=b2109425")</f>
        <v>https://www.catalog.slsa.sa.gov.au/record=b2109425</v>
      </c>
      <c r="C6359" s="1" t="str">
        <f>HYPERLINK("https://www.catalog.slsa.sa.gov.au/xrecord=b2109425")</f>
        <v>https://www.catalog.slsa.sa.gov.au/xrecord=b2109425</v>
      </c>
      <c r="D6359" t="s">
        <v>16831</v>
      </c>
      <c r="E6359" t="s">
        <v>21906</v>
      </c>
      <c r="F6359">
        <v>1952</v>
      </c>
      <c r="G6359" t="s">
        <v>20895</v>
      </c>
      <c r="H6359" t="s">
        <v>21907</v>
      </c>
      <c r="I6359" t="s">
        <v>21908</v>
      </c>
      <c r="J6359" t="s">
        <v>21909</v>
      </c>
      <c r="K6359" s="2" t="str">
        <f>HYPERLINK("http://collections.slsa.sa.gov.au/mpcimg/12500/B12482.htm")</f>
        <v>http://collections.slsa.sa.gov.au/mpcimg/12500/B12482.htm</v>
      </c>
    </row>
    <row r="6360" spans="1:11" x14ac:dyDescent="0.25">
      <c r="A6360" t="s">
        <v>21910</v>
      </c>
      <c r="B6360" s="1" t="str">
        <f>HYPERLINK("https://www.catalog.slsa.sa.gov.au/record=b2112260")</f>
        <v>https://www.catalog.slsa.sa.gov.au/record=b2112260</v>
      </c>
      <c r="C6360" s="1" t="str">
        <f>HYPERLINK("https://www.catalog.slsa.sa.gov.au/xrecord=b2112260")</f>
        <v>https://www.catalog.slsa.sa.gov.au/xrecord=b2112260</v>
      </c>
      <c r="D6360" t="s">
        <v>17335</v>
      </c>
      <c r="E6360" t="s">
        <v>21911</v>
      </c>
      <c r="F6360">
        <v>1952</v>
      </c>
      <c r="G6360" t="s">
        <v>21912</v>
      </c>
      <c r="H6360" t="s">
        <v>21913</v>
      </c>
      <c r="I6360" t="s">
        <v>21914</v>
      </c>
      <c r="J6360" t="s">
        <v>15298</v>
      </c>
      <c r="K6360" s="2" t="str">
        <f>HYPERLINK("http://collections.slsa.sa.gov.au/mpcimg/70250/B70056.htm")</f>
        <v>http://collections.slsa.sa.gov.au/mpcimg/70250/B70056.htm</v>
      </c>
    </row>
    <row r="6361" spans="1:11" x14ac:dyDescent="0.25">
      <c r="A6361" t="s">
        <v>21915</v>
      </c>
      <c r="B6361" s="1" t="str">
        <f>HYPERLINK("https://www.catalog.slsa.sa.gov.au/record=b2112261")</f>
        <v>https://www.catalog.slsa.sa.gov.au/record=b2112261</v>
      </c>
      <c r="C6361" s="1" t="str">
        <f>HYPERLINK("https://www.catalog.slsa.sa.gov.au/xrecord=b2112261")</f>
        <v>https://www.catalog.slsa.sa.gov.au/xrecord=b2112261</v>
      </c>
      <c r="E6361" t="s">
        <v>21916</v>
      </c>
      <c r="F6361">
        <v>1952</v>
      </c>
      <c r="G6361" t="s">
        <v>21917</v>
      </c>
      <c r="H6361" t="s">
        <v>21918</v>
      </c>
      <c r="I6361" t="s">
        <v>21914</v>
      </c>
      <c r="J6361" t="s">
        <v>2510</v>
      </c>
      <c r="K6361" s="2" t="str">
        <f>HYPERLINK("http://collections.slsa.sa.gov.au/mpcimg/70250/B70057.htm")</f>
        <v>http://collections.slsa.sa.gov.au/mpcimg/70250/B70057.htm</v>
      </c>
    </row>
    <row r="6362" spans="1:11" x14ac:dyDescent="0.25">
      <c r="A6362" t="s">
        <v>21919</v>
      </c>
      <c r="B6362" s="1" t="str">
        <f>HYPERLINK("https://www.catalog.slsa.sa.gov.au/record=b2116832")</f>
        <v>https://www.catalog.slsa.sa.gov.au/record=b2116832</v>
      </c>
      <c r="C6362" s="1" t="str">
        <f>HYPERLINK("https://www.catalog.slsa.sa.gov.au/xrecord=b2116832")</f>
        <v>https://www.catalog.slsa.sa.gov.au/xrecord=b2116832</v>
      </c>
      <c r="D6362" t="s">
        <v>21920</v>
      </c>
      <c r="E6362" t="s">
        <v>21921</v>
      </c>
      <c r="F6362">
        <v>1952</v>
      </c>
      <c r="G6362" t="s">
        <v>21922</v>
      </c>
      <c r="H6362" t="s">
        <v>21923</v>
      </c>
      <c r="I6362" t="s">
        <v>21924</v>
      </c>
      <c r="J6362" t="s">
        <v>2510</v>
      </c>
      <c r="K6362" s="2" t="str">
        <f>HYPERLINK("http://collections.slsa.sa.gov.au/mpcimg/70500/B70323.htm")</f>
        <v>http://collections.slsa.sa.gov.au/mpcimg/70500/B70323.htm</v>
      </c>
    </row>
    <row r="6363" spans="1:11" x14ac:dyDescent="0.25">
      <c r="A6363" t="s">
        <v>21925</v>
      </c>
      <c r="B6363" s="1" t="str">
        <f>HYPERLINK("https://www.catalog.slsa.sa.gov.au/record=b2117467")</f>
        <v>https://www.catalog.slsa.sa.gov.au/record=b2117467</v>
      </c>
      <c r="C6363" s="1" t="str">
        <f>HYPERLINK("https://www.catalog.slsa.sa.gov.au/xrecord=b2117467")</f>
        <v>https://www.catalog.slsa.sa.gov.au/xrecord=b2117467</v>
      </c>
      <c r="E6363" t="s">
        <v>21926</v>
      </c>
      <c r="F6363">
        <v>1952</v>
      </c>
      <c r="G6363" t="s">
        <v>21927</v>
      </c>
      <c r="H6363" t="s">
        <v>21928</v>
      </c>
      <c r="I6363" t="s">
        <v>21929</v>
      </c>
      <c r="J6363" t="s">
        <v>21930</v>
      </c>
      <c r="K6363" s="2" t="str">
        <f>HYPERLINK("http://collections.slsa.sa.gov.au/mpcimg/70500/B70347.htm")</f>
        <v>http://collections.slsa.sa.gov.au/mpcimg/70500/B70347.htm</v>
      </c>
    </row>
    <row r="6364" spans="1:11" x14ac:dyDescent="0.25">
      <c r="A6364" t="s">
        <v>21931</v>
      </c>
      <c r="B6364" s="1" t="str">
        <f>HYPERLINK("https://www.catalog.slsa.sa.gov.au/record=b2117857")</f>
        <v>https://www.catalog.slsa.sa.gov.au/record=b2117857</v>
      </c>
      <c r="C6364" s="1" t="str">
        <f>HYPERLINK("https://www.catalog.slsa.sa.gov.au/xrecord=b2117857")</f>
        <v>https://www.catalog.slsa.sa.gov.au/xrecord=b2117857</v>
      </c>
      <c r="E6364" t="s">
        <v>21932</v>
      </c>
      <c r="F6364">
        <v>1952</v>
      </c>
      <c r="G6364" t="s">
        <v>21933</v>
      </c>
      <c r="H6364" t="s">
        <v>21934</v>
      </c>
      <c r="I6364" t="s">
        <v>21935</v>
      </c>
      <c r="J6364" t="s">
        <v>14768</v>
      </c>
      <c r="K6364" s="2" t="str">
        <f>HYPERLINK("http://collections.slsa.sa.gov.au/mpcimg/70500/B70351_9.htm")</f>
        <v>http://collections.slsa.sa.gov.au/mpcimg/70500/B70351_9.htm</v>
      </c>
    </row>
    <row r="6365" spans="1:11" x14ac:dyDescent="0.25">
      <c r="A6365" t="s">
        <v>21936</v>
      </c>
      <c r="B6365" s="1" t="str">
        <f>HYPERLINK("https://www.catalog.slsa.sa.gov.au/record=b2117865")</f>
        <v>https://www.catalog.slsa.sa.gov.au/record=b2117865</v>
      </c>
      <c r="C6365" s="1" t="str">
        <f>HYPERLINK("https://www.catalog.slsa.sa.gov.au/xrecord=b2117865")</f>
        <v>https://www.catalog.slsa.sa.gov.au/xrecord=b2117865</v>
      </c>
      <c r="E6365" t="s">
        <v>21937</v>
      </c>
      <c r="F6365">
        <v>1952</v>
      </c>
      <c r="G6365" t="s">
        <v>21938</v>
      </c>
      <c r="H6365" t="s">
        <v>21939</v>
      </c>
      <c r="I6365" t="s">
        <v>21940</v>
      </c>
      <c r="J6365" t="s">
        <v>14768</v>
      </c>
      <c r="K6365" s="2" t="str">
        <f>HYPERLINK("http://collections.slsa.sa.gov.au/mpcimg/70500/B70351_10.htm")</f>
        <v>http://collections.slsa.sa.gov.au/mpcimg/70500/B70351_10.htm</v>
      </c>
    </row>
    <row r="6366" spans="1:11" x14ac:dyDescent="0.25">
      <c r="A6366" t="s">
        <v>21941</v>
      </c>
      <c r="B6366" s="1" t="str">
        <f>HYPERLINK("https://www.catalog.slsa.sa.gov.au/record=b2126329")</f>
        <v>https://www.catalog.slsa.sa.gov.au/record=b2126329</v>
      </c>
      <c r="C6366" s="1" t="str">
        <f>HYPERLINK("https://www.catalog.slsa.sa.gov.au/xrecord=b2126329")</f>
        <v>https://www.catalog.slsa.sa.gov.au/xrecord=b2126329</v>
      </c>
      <c r="D6366" t="s">
        <v>19991</v>
      </c>
      <c r="E6366" t="s">
        <v>21942</v>
      </c>
      <c r="F6366">
        <v>1952</v>
      </c>
      <c r="G6366" t="s">
        <v>20000</v>
      </c>
      <c r="H6366" t="s">
        <v>21943</v>
      </c>
      <c r="J6366" t="s">
        <v>14768</v>
      </c>
      <c r="K6366" s="2" t="str">
        <f>HYPERLINK("http://collections.slsa.sa.gov.au/mpcimg/71000/B70782_67.htm")</f>
        <v>http://collections.slsa.sa.gov.au/mpcimg/71000/B70782_67.htm</v>
      </c>
    </row>
    <row r="6367" spans="1:11" x14ac:dyDescent="0.25">
      <c r="A6367" t="s">
        <v>21944</v>
      </c>
      <c r="B6367" s="1" t="str">
        <f>HYPERLINK("https://www.catalog.slsa.sa.gov.au/record=b2126363")</f>
        <v>https://www.catalog.slsa.sa.gov.au/record=b2126363</v>
      </c>
      <c r="C6367" s="1" t="str">
        <f>HYPERLINK("https://www.catalog.slsa.sa.gov.au/xrecord=b2126363")</f>
        <v>https://www.catalog.slsa.sa.gov.au/xrecord=b2126363</v>
      </c>
      <c r="D6367" t="s">
        <v>19991</v>
      </c>
      <c r="E6367" t="s">
        <v>21945</v>
      </c>
      <c r="F6367">
        <v>1952</v>
      </c>
      <c r="G6367" t="s">
        <v>19993</v>
      </c>
      <c r="H6367" t="s">
        <v>21946</v>
      </c>
      <c r="J6367" t="s">
        <v>14768</v>
      </c>
      <c r="K6367" s="2" t="str">
        <f>HYPERLINK("http://collections.slsa.sa.gov.au/mpcimg/71000/B70782_10.htm")</f>
        <v>http://collections.slsa.sa.gov.au/mpcimg/71000/B70782_10.htm</v>
      </c>
    </row>
    <row r="6368" spans="1:11" x14ac:dyDescent="0.25">
      <c r="A6368" t="s">
        <v>21947</v>
      </c>
      <c r="B6368" s="1" t="str">
        <f>HYPERLINK("https://www.catalog.slsa.sa.gov.au/record=b2126364")</f>
        <v>https://www.catalog.slsa.sa.gov.au/record=b2126364</v>
      </c>
      <c r="C6368" s="1" t="str">
        <f>HYPERLINK("https://www.catalog.slsa.sa.gov.au/xrecord=b2126364")</f>
        <v>https://www.catalog.slsa.sa.gov.au/xrecord=b2126364</v>
      </c>
      <c r="D6368" t="s">
        <v>19991</v>
      </c>
      <c r="E6368" t="s">
        <v>21948</v>
      </c>
      <c r="F6368">
        <v>1952</v>
      </c>
      <c r="G6368" t="s">
        <v>19993</v>
      </c>
      <c r="H6368" t="s">
        <v>21949</v>
      </c>
      <c r="J6368" t="s">
        <v>14768</v>
      </c>
      <c r="K6368" s="2" t="str">
        <f>HYPERLINK("http://collections.slsa.sa.gov.au/mpcimg/71000/B70782_11.htm")</f>
        <v>http://collections.slsa.sa.gov.au/mpcimg/71000/B70782_11.htm</v>
      </c>
    </row>
    <row r="6369" spans="1:11" x14ac:dyDescent="0.25">
      <c r="A6369" t="s">
        <v>21950</v>
      </c>
      <c r="B6369" s="1" t="str">
        <f>HYPERLINK("https://www.catalog.slsa.sa.gov.au/record=b2126365")</f>
        <v>https://www.catalog.slsa.sa.gov.au/record=b2126365</v>
      </c>
      <c r="C6369" s="1" t="str">
        <f>HYPERLINK("https://www.catalog.slsa.sa.gov.au/xrecord=b2126365")</f>
        <v>https://www.catalog.slsa.sa.gov.au/xrecord=b2126365</v>
      </c>
      <c r="D6369" t="s">
        <v>19991</v>
      </c>
      <c r="E6369" t="s">
        <v>21951</v>
      </c>
      <c r="F6369">
        <v>1952</v>
      </c>
      <c r="G6369" t="s">
        <v>19993</v>
      </c>
      <c r="H6369" t="s">
        <v>21952</v>
      </c>
      <c r="J6369" t="s">
        <v>14768</v>
      </c>
      <c r="K6369" s="2" t="str">
        <f>HYPERLINK("http://collections.slsa.sa.gov.au/mpcimg/71000/B70782_12.htm")</f>
        <v>http://collections.slsa.sa.gov.au/mpcimg/71000/B70782_12.htm</v>
      </c>
    </row>
    <row r="6370" spans="1:11" x14ac:dyDescent="0.25">
      <c r="A6370" t="s">
        <v>21953</v>
      </c>
      <c r="B6370" s="1" t="str">
        <f>HYPERLINK("https://www.catalog.slsa.sa.gov.au/record=b2126366")</f>
        <v>https://www.catalog.slsa.sa.gov.au/record=b2126366</v>
      </c>
      <c r="C6370" s="1" t="str">
        <f>HYPERLINK("https://www.catalog.slsa.sa.gov.au/xrecord=b2126366")</f>
        <v>https://www.catalog.slsa.sa.gov.au/xrecord=b2126366</v>
      </c>
      <c r="D6370" t="s">
        <v>19991</v>
      </c>
      <c r="E6370" t="s">
        <v>21954</v>
      </c>
      <c r="F6370">
        <v>1952</v>
      </c>
      <c r="G6370" t="s">
        <v>19993</v>
      </c>
      <c r="H6370" t="s">
        <v>21955</v>
      </c>
      <c r="J6370" t="s">
        <v>14768</v>
      </c>
      <c r="K6370" s="2" t="str">
        <f>HYPERLINK("http://collections.slsa.sa.gov.au/mpcimg/71000/B70782_13.htm")</f>
        <v>http://collections.slsa.sa.gov.au/mpcimg/71000/B70782_13.htm</v>
      </c>
    </row>
    <row r="6371" spans="1:11" x14ac:dyDescent="0.25">
      <c r="A6371" t="s">
        <v>21956</v>
      </c>
      <c r="B6371" s="1" t="str">
        <f>HYPERLINK("https://www.catalog.slsa.sa.gov.au/record=b2126367")</f>
        <v>https://www.catalog.slsa.sa.gov.au/record=b2126367</v>
      </c>
      <c r="C6371" s="1" t="str">
        <f>HYPERLINK("https://www.catalog.slsa.sa.gov.au/xrecord=b2126367")</f>
        <v>https://www.catalog.slsa.sa.gov.au/xrecord=b2126367</v>
      </c>
      <c r="D6371" t="s">
        <v>19991</v>
      </c>
      <c r="E6371" t="s">
        <v>21957</v>
      </c>
      <c r="F6371">
        <v>1952</v>
      </c>
      <c r="G6371" t="s">
        <v>19993</v>
      </c>
      <c r="H6371" t="s">
        <v>21958</v>
      </c>
      <c r="J6371" t="s">
        <v>14768</v>
      </c>
      <c r="K6371" s="2" t="str">
        <f>HYPERLINK("http://collections.slsa.sa.gov.au/mpcimg/71000/B70782_14.htm")</f>
        <v>http://collections.slsa.sa.gov.au/mpcimg/71000/B70782_14.htm</v>
      </c>
    </row>
    <row r="6372" spans="1:11" x14ac:dyDescent="0.25">
      <c r="A6372" t="s">
        <v>21959</v>
      </c>
      <c r="B6372" s="1" t="str">
        <f>HYPERLINK("https://www.catalog.slsa.sa.gov.au/record=b2126427")</f>
        <v>https://www.catalog.slsa.sa.gov.au/record=b2126427</v>
      </c>
      <c r="C6372" s="1" t="str">
        <f>HYPERLINK("https://www.catalog.slsa.sa.gov.au/xrecord=b2126427")</f>
        <v>https://www.catalog.slsa.sa.gov.au/xrecord=b2126427</v>
      </c>
      <c r="D6372" t="s">
        <v>19991</v>
      </c>
      <c r="E6372" t="s">
        <v>21960</v>
      </c>
      <c r="F6372">
        <v>1952</v>
      </c>
      <c r="G6372" t="s">
        <v>20000</v>
      </c>
      <c r="H6372" t="s">
        <v>21961</v>
      </c>
      <c r="J6372" t="s">
        <v>14768</v>
      </c>
      <c r="K6372" s="2" t="str">
        <f>HYPERLINK("http://collections.slsa.sa.gov.au/mpcimg/71000/B70782_68.htm")</f>
        <v>http://collections.slsa.sa.gov.au/mpcimg/71000/B70782_68.htm</v>
      </c>
    </row>
    <row r="6373" spans="1:11" x14ac:dyDescent="0.25">
      <c r="A6373" t="s">
        <v>21962</v>
      </c>
      <c r="B6373" s="1" t="str">
        <f>HYPERLINK("https://www.catalog.slsa.sa.gov.au/record=b2126428")</f>
        <v>https://www.catalog.slsa.sa.gov.au/record=b2126428</v>
      </c>
      <c r="C6373" s="1" t="str">
        <f>HYPERLINK("https://www.catalog.slsa.sa.gov.au/xrecord=b2126428")</f>
        <v>https://www.catalog.slsa.sa.gov.au/xrecord=b2126428</v>
      </c>
      <c r="D6373" t="s">
        <v>19991</v>
      </c>
      <c r="E6373" t="s">
        <v>21963</v>
      </c>
      <c r="F6373">
        <v>1952</v>
      </c>
      <c r="G6373" t="s">
        <v>20000</v>
      </c>
      <c r="H6373" t="s">
        <v>21964</v>
      </c>
      <c r="J6373" t="s">
        <v>14768</v>
      </c>
      <c r="K6373" s="2" t="str">
        <f>HYPERLINK("http://collections.slsa.sa.gov.au/mpcimg/71000/B70782_69.htm")</f>
        <v>http://collections.slsa.sa.gov.au/mpcimg/71000/B70782_69.htm</v>
      </c>
    </row>
    <row r="6374" spans="1:11" x14ac:dyDescent="0.25">
      <c r="A6374" t="s">
        <v>21965</v>
      </c>
      <c r="B6374" s="1" t="str">
        <f>HYPERLINK("https://www.catalog.slsa.sa.gov.au/record=b2126429")</f>
        <v>https://www.catalog.slsa.sa.gov.au/record=b2126429</v>
      </c>
      <c r="C6374" s="1" t="str">
        <f>HYPERLINK("https://www.catalog.slsa.sa.gov.au/xrecord=b2126429")</f>
        <v>https://www.catalog.slsa.sa.gov.au/xrecord=b2126429</v>
      </c>
      <c r="D6374" t="s">
        <v>19991</v>
      </c>
      <c r="E6374" t="s">
        <v>21966</v>
      </c>
      <c r="F6374">
        <v>1952</v>
      </c>
      <c r="G6374" t="s">
        <v>20000</v>
      </c>
      <c r="H6374" t="s">
        <v>21967</v>
      </c>
      <c r="J6374" t="s">
        <v>14768</v>
      </c>
      <c r="K6374" s="2" t="str">
        <f>HYPERLINK("http://collections.slsa.sa.gov.au/mpcimg/71000/B70782_70.htm")</f>
        <v>http://collections.slsa.sa.gov.au/mpcimg/71000/B70782_70.htm</v>
      </c>
    </row>
    <row r="6375" spans="1:11" x14ac:dyDescent="0.25">
      <c r="A6375" t="s">
        <v>21968</v>
      </c>
      <c r="B6375" s="1" t="str">
        <f>HYPERLINK("https://www.catalog.slsa.sa.gov.au/record=b2126430")</f>
        <v>https://www.catalog.slsa.sa.gov.au/record=b2126430</v>
      </c>
      <c r="C6375" s="1" t="str">
        <f>HYPERLINK("https://www.catalog.slsa.sa.gov.au/xrecord=b2126430")</f>
        <v>https://www.catalog.slsa.sa.gov.au/xrecord=b2126430</v>
      </c>
      <c r="D6375" t="s">
        <v>19991</v>
      </c>
      <c r="E6375" t="s">
        <v>21969</v>
      </c>
      <c r="F6375">
        <v>1952</v>
      </c>
      <c r="G6375" t="s">
        <v>20000</v>
      </c>
      <c r="H6375" t="s">
        <v>21970</v>
      </c>
      <c r="J6375" t="s">
        <v>14768</v>
      </c>
      <c r="K6375" s="2" t="str">
        <f>HYPERLINK("http://collections.slsa.sa.gov.au/mpcimg/71000/B70782_71.htm")</f>
        <v>http://collections.slsa.sa.gov.au/mpcimg/71000/B70782_71.htm</v>
      </c>
    </row>
    <row r="6376" spans="1:11" x14ac:dyDescent="0.25">
      <c r="A6376" t="s">
        <v>21971</v>
      </c>
      <c r="B6376" s="1" t="str">
        <f>HYPERLINK("https://www.catalog.slsa.sa.gov.au/record=b2126431")</f>
        <v>https://www.catalog.slsa.sa.gov.au/record=b2126431</v>
      </c>
      <c r="C6376" s="1" t="str">
        <f>HYPERLINK("https://www.catalog.slsa.sa.gov.au/xrecord=b2126431")</f>
        <v>https://www.catalog.slsa.sa.gov.au/xrecord=b2126431</v>
      </c>
      <c r="D6376" t="s">
        <v>19991</v>
      </c>
      <c r="E6376" t="s">
        <v>21972</v>
      </c>
      <c r="F6376">
        <v>1952</v>
      </c>
      <c r="G6376" t="s">
        <v>20000</v>
      </c>
      <c r="H6376" t="s">
        <v>21973</v>
      </c>
      <c r="J6376" t="s">
        <v>14768</v>
      </c>
      <c r="K6376" s="2" t="str">
        <f>HYPERLINK("http://collections.slsa.sa.gov.au/mpcimg/71000/B70782_72.htm")</f>
        <v>http://collections.slsa.sa.gov.au/mpcimg/71000/B70782_72.htm</v>
      </c>
    </row>
    <row r="6377" spans="1:11" x14ac:dyDescent="0.25">
      <c r="A6377" t="s">
        <v>21974</v>
      </c>
      <c r="B6377" s="1" t="str">
        <f>HYPERLINK("https://www.catalog.slsa.sa.gov.au/record=b2126432")</f>
        <v>https://www.catalog.slsa.sa.gov.au/record=b2126432</v>
      </c>
      <c r="C6377" s="1" t="str">
        <f>HYPERLINK("https://www.catalog.slsa.sa.gov.au/xrecord=b2126432")</f>
        <v>https://www.catalog.slsa.sa.gov.au/xrecord=b2126432</v>
      </c>
      <c r="D6377" t="s">
        <v>19991</v>
      </c>
      <c r="E6377" t="s">
        <v>21975</v>
      </c>
      <c r="F6377">
        <v>1952</v>
      </c>
      <c r="G6377" t="s">
        <v>20000</v>
      </c>
      <c r="H6377" t="s">
        <v>21976</v>
      </c>
      <c r="J6377" t="s">
        <v>14768</v>
      </c>
      <c r="K6377" s="2" t="str">
        <f>HYPERLINK("http://collections.slsa.sa.gov.au/mpcimg/71000/B70782_73.htm")</f>
        <v>http://collections.slsa.sa.gov.au/mpcimg/71000/B70782_73.htm</v>
      </c>
    </row>
    <row r="6378" spans="1:11" x14ac:dyDescent="0.25">
      <c r="A6378" t="s">
        <v>21977</v>
      </c>
      <c r="B6378" s="1" t="str">
        <f>HYPERLINK("https://www.catalog.slsa.sa.gov.au/record=b2126433")</f>
        <v>https://www.catalog.slsa.sa.gov.au/record=b2126433</v>
      </c>
      <c r="C6378" s="1" t="str">
        <f>HYPERLINK("https://www.catalog.slsa.sa.gov.au/xrecord=b2126433")</f>
        <v>https://www.catalog.slsa.sa.gov.au/xrecord=b2126433</v>
      </c>
      <c r="D6378" t="s">
        <v>19991</v>
      </c>
      <c r="E6378" t="s">
        <v>21942</v>
      </c>
      <c r="F6378">
        <v>1952</v>
      </c>
      <c r="G6378" t="s">
        <v>20000</v>
      </c>
      <c r="H6378" t="s">
        <v>21978</v>
      </c>
      <c r="J6378" t="s">
        <v>14768</v>
      </c>
      <c r="K6378" s="2" t="str">
        <f>HYPERLINK("http://collections.slsa.sa.gov.au/mpcimg/71000/B70782_74.htm")</f>
        <v>http://collections.slsa.sa.gov.au/mpcimg/71000/B70782_74.htm</v>
      </c>
    </row>
    <row r="6379" spans="1:11" x14ac:dyDescent="0.25">
      <c r="A6379" t="s">
        <v>21979</v>
      </c>
      <c r="B6379" s="1" t="str">
        <f>HYPERLINK("https://www.catalog.slsa.sa.gov.au/record=b2126434")</f>
        <v>https://www.catalog.slsa.sa.gov.au/record=b2126434</v>
      </c>
      <c r="C6379" s="1" t="str">
        <f>HYPERLINK("https://www.catalog.slsa.sa.gov.au/xrecord=b2126434")</f>
        <v>https://www.catalog.slsa.sa.gov.au/xrecord=b2126434</v>
      </c>
      <c r="D6379" t="s">
        <v>19991</v>
      </c>
      <c r="E6379" t="s">
        <v>21942</v>
      </c>
      <c r="F6379">
        <v>1952</v>
      </c>
      <c r="G6379" t="s">
        <v>20000</v>
      </c>
      <c r="H6379" t="s">
        <v>21980</v>
      </c>
      <c r="J6379" t="s">
        <v>14768</v>
      </c>
      <c r="K6379" s="2" t="str">
        <f>HYPERLINK("http://collections.slsa.sa.gov.au/mpcimg/71000/B70782_75.htm")</f>
        <v>http://collections.slsa.sa.gov.au/mpcimg/71000/B70782_75.htm</v>
      </c>
    </row>
    <row r="6380" spans="1:11" x14ac:dyDescent="0.25">
      <c r="A6380" t="s">
        <v>21981</v>
      </c>
      <c r="B6380" s="1" t="str">
        <f>HYPERLINK("https://www.catalog.slsa.sa.gov.au/record=b2126435")</f>
        <v>https://www.catalog.slsa.sa.gov.au/record=b2126435</v>
      </c>
      <c r="C6380" s="1" t="str">
        <f>HYPERLINK("https://www.catalog.slsa.sa.gov.au/xrecord=b2126435")</f>
        <v>https://www.catalog.slsa.sa.gov.au/xrecord=b2126435</v>
      </c>
      <c r="D6380" t="s">
        <v>19991</v>
      </c>
      <c r="E6380" t="s">
        <v>21982</v>
      </c>
      <c r="F6380">
        <v>1952</v>
      </c>
      <c r="G6380" t="s">
        <v>20000</v>
      </c>
      <c r="H6380" t="s">
        <v>21983</v>
      </c>
      <c r="J6380" t="s">
        <v>14768</v>
      </c>
      <c r="K6380" s="2" t="str">
        <f>HYPERLINK("http://collections.slsa.sa.gov.au/mpcimg/71000/B70782_76.htm")</f>
        <v>http://collections.slsa.sa.gov.au/mpcimg/71000/B70782_76.htm</v>
      </c>
    </row>
    <row r="6381" spans="1:11" x14ac:dyDescent="0.25">
      <c r="A6381" t="s">
        <v>21984</v>
      </c>
      <c r="B6381" s="1" t="str">
        <f>HYPERLINK("https://www.catalog.slsa.sa.gov.au/record=b2126436")</f>
        <v>https://www.catalog.slsa.sa.gov.au/record=b2126436</v>
      </c>
      <c r="C6381" s="1" t="str">
        <f>HYPERLINK("https://www.catalog.slsa.sa.gov.au/xrecord=b2126436")</f>
        <v>https://www.catalog.slsa.sa.gov.au/xrecord=b2126436</v>
      </c>
      <c r="D6381" t="s">
        <v>19991</v>
      </c>
      <c r="E6381" t="s">
        <v>19996</v>
      </c>
      <c r="F6381">
        <v>1952</v>
      </c>
      <c r="G6381" t="s">
        <v>20000</v>
      </c>
      <c r="H6381" t="s">
        <v>21985</v>
      </c>
      <c r="J6381" t="s">
        <v>14768</v>
      </c>
      <c r="K6381" s="2" t="str">
        <f>HYPERLINK("http://collections.slsa.sa.gov.au/mpcimg/71000/B70782_77.htm")</f>
        <v>http://collections.slsa.sa.gov.au/mpcimg/71000/B70782_77.htm</v>
      </c>
    </row>
    <row r="6382" spans="1:11" x14ac:dyDescent="0.25">
      <c r="A6382" t="s">
        <v>21986</v>
      </c>
      <c r="B6382" s="1" t="str">
        <f>HYPERLINK("https://www.catalog.slsa.sa.gov.au/record=b2126437")</f>
        <v>https://www.catalog.slsa.sa.gov.au/record=b2126437</v>
      </c>
      <c r="C6382" s="1" t="str">
        <f>HYPERLINK("https://www.catalog.slsa.sa.gov.au/xrecord=b2126437")</f>
        <v>https://www.catalog.slsa.sa.gov.au/xrecord=b2126437</v>
      </c>
      <c r="D6382" t="s">
        <v>19991</v>
      </c>
      <c r="E6382" t="s">
        <v>21987</v>
      </c>
      <c r="F6382">
        <v>1952</v>
      </c>
      <c r="G6382" t="s">
        <v>20000</v>
      </c>
      <c r="H6382" t="s">
        <v>21988</v>
      </c>
      <c r="J6382" t="s">
        <v>14768</v>
      </c>
      <c r="K6382" s="2" t="str">
        <f>HYPERLINK("http://collections.slsa.sa.gov.au/mpcimg/71000/B70782_78.htm")</f>
        <v>http://collections.slsa.sa.gov.au/mpcimg/71000/B70782_78.htm</v>
      </c>
    </row>
    <row r="6383" spans="1:11" x14ac:dyDescent="0.25">
      <c r="A6383" t="s">
        <v>21989</v>
      </c>
      <c r="B6383" s="1" t="str">
        <f>HYPERLINK("https://www.catalog.slsa.sa.gov.au/record=b2126438")</f>
        <v>https://www.catalog.slsa.sa.gov.au/record=b2126438</v>
      </c>
      <c r="C6383" s="1" t="str">
        <f>HYPERLINK("https://www.catalog.slsa.sa.gov.au/xrecord=b2126438")</f>
        <v>https://www.catalog.slsa.sa.gov.au/xrecord=b2126438</v>
      </c>
      <c r="D6383" t="s">
        <v>19991</v>
      </c>
      <c r="E6383" t="s">
        <v>21990</v>
      </c>
      <c r="F6383">
        <v>1952</v>
      </c>
      <c r="G6383" t="s">
        <v>20000</v>
      </c>
      <c r="H6383" t="s">
        <v>21991</v>
      </c>
      <c r="J6383" t="s">
        <v>14768</v>
      </c>
      <c r="K6383" s="2" t="str">
        <f>HYPERLINK("http://collections.slsa.sa.gov.au/mpcimg/71000/B70782_79.htm")</f>
        <v>http://collections.slsa.sa.gov.au/mpcimg/71000/B70782_79.htm</v>
      </c>
    </row>
    <row r="6384" spans="1:11" x14ac:dyDescent="0.25">
      <c r="A6384" t="s">
        <v>21992</v>
      </c>
      <c r="B6384" s="1" t="str">
        <f>HYPERLINK("https://www.catalog.slsa.sa.gov.au/record=b2126439")</f>
        <v>https://www.catalog.slsa.sa.gov.au/record=b2126439</v>
      </c>
      <c r="C6384" s="1" t="str">
        <f>HYPERLINK("https://www.catalog.slsa.sa.gov.au/xrecord=b2126439")</f>
        <v>https://www.catalog.slsa.sa.gov.au/xrecord=b2126439</v>
      </c>
      <c r="D6384" t="s">
        <v>19991</v>
      </c>
      <c r="E6384" t="s">
        <v>20005</v>
      </c>
      <c r="F6384">
        <v>1952</v>
      </c>
      <c r="G6384" t="s">
        <v>20000</v>
      </c>
      <c r="H6384" t="s">
        <v>21993</v>
      </c>
      <c r="J6384" t="s">
        <v>14768</v>
      </c>
      <c r="K6384" s="2" t="str">
        <f>HYPERLINK("http://collections.slsa.sa.gov.au/mpcimg/71000/B70782_80.htm")</f>
        <v>http://collections.slsa.sa.gov.au/mpcimg/71000/B70782_80.htm</v>
      </c>
    </row>
    <row r="6385" spans="1:11" x14ac:dyDescent="0.25">
      <c r="A6385" t="s">
        <v>21994</v>
      </c>
      <c r="B6385" s="1" t="str">
        <f>HYPERLINK("https://www.catalog.slsa.sa.gov.au/record=b2126446")</f>
        <v>https://www.catalog.slsa.sa.gov.au/record=b2126446</v>
      </c>
      <c r="C6385" s="1" t="str">
        <f>HYPERLINK("https://www.catalog.slsa.sa.gov.au/xrecord=b2126446")</f>
        <v>https://www.catalog.slsa.sa.gov.au/xrecord=b2126446</v>
      </c>
      <c r="D6385" t="s">
        <v>19991</v>
      </c>
      <c r="E6385" t="s">
        <v>21995</v>
      </c>
      <c r="F6385">
        <v>1952</v>
      </c>
      <c r="G6385" t="s">
        <v>20000</v>
      </c>
      <c r="H6385" t="s">
        <v>21996</v>
      </c>
      <c r="I6385" t="s">
        <v>21997</v>
      </c>
      <c r="J6385" t="s">
        <v>14768</v>
      </c>
      <c r="K6385" s="2" t="str">
        <f>HYPERLINK("http://collections.slsa.sa.gov.au/mpcimg/71000/B70782_86.htm")</f>
        <v>http://collections.slsa.sa.gov.au/mpcimg/71000/B70782_86.htm</v>
      </c>
    </row>
    <row r="6386" spans="1:11" x14ac:dyDescent="0.25">
      <c r="A6386" t="s">
        <v>21998</v>
      </c>
      <c r="B6386" s="1" t="str">
        <f>HYPERLINK("https://www.catalog.slsa.sa.gov.au/record=b2126447")</f>
        <v>https://www.catalog.slsa.sa.gov.au/record=b2126447</v>
      </c>
      <c r="C6386" s="1" t="str">
        <f>HYPERLINK("https://www.catalog.slsa.sa.gov.au/xrecord=b2126447")</f>
        <v>https://www.catalog.slsa.sa.gov.au/xrecord=b2126447</v>
      </c>
      <c r="D6386" t="s">
        <v>19991</v>
      </c>
      <c r="E6386" t="s">
        <v>21999</v>
      </c>
      <c r="F6386">
        <v>1952</v>
      </c>
      <c r="G6386" t="s">
        <v>20000</v>
      </c>
      <c r="H6386" t="s">
        <v>22000</v>
      </c>
      <c r="I6386" t="s">
        <v>21997</v>
      </c>
      <c r="J6386" t="s">
        <v>14768</v>
      </c>
      <c r="K6386" s="2" t="str">
        <f>HYPERLINK("http://collections.slsa.sa.gov.au/mpcimg/71000/B70782_87.htm")</f>
        <v>http://collections.slsa.sa.gov.au/mpcimg/71000/B70782_87.htm</v>
      </c>
    </row>
    <row r="6387" spans="1:11" x14ac:dyDescent="0.25">
      <c r="A6387" t="s">
        <v>22001</v>
      </c>
      <c r="B6387" s="1" t="str">
        <f>HYPERLINK("https://www.catalog.slsa.sa.gov.au/record=b2126449")</f>
        <v>https://www.catalog.slsa.sa.gov.au/record=b2126449</v>
      </c>
      <c r="C6387" s="1" t="str">
        <f>HYPERLINK("https://www.catalog.slsa.sa.gov.au/xrecord=b2126449")</f>
        <v>https://www.catalog.slsa.sa.gov.au/xrecord=b2126449</v>
      </c>
      <c r="D6387" t="s">
        <v>19991</v>
      </c>
      <c r="E6387" t="s">
        <v>22002</v>
      </c>
      <c r="F6387">
        <v>1952</v>
      </c>
      <c r="G6387" t="s">
        <v>20000</v>
      </c>
      <c r="H6387" t="s">
        <v>22003</v>
      </c>
      <c r="I6387" t="s">
        <v>21997</v>
      </c>
      <c r="J6387" t="s">
        <v>14768</v>
      </c>
      <c r="K6387" s="2" t="str">
        <f>HYPERLINK("http://collections.slsa.sa.gov.au/mpcimg/71000/B70782_88.htm")</f>
        <v>http://collections.slsa.sa.gov.au/mpcimg/71000/B70782_88.htm</v>
      </c>
    </row>
    <row r="6388" spans="1:11" x14ac:dyDescent="0.25">
      <c r="A6388" t="s">
        <v>22004</v>
      </c>
      <c r="B6388" s="1" t="str">
        <f>HYPERLINK("https://www.catalog.slsa.sa.gov.au/record=b2126450")</f>
        <v>https://www.catalog.slsa.sa.gov.au/record=b2126450</v>
      </c>
      <c r="C6388" s="1" t="str">
        <f>HYPERLINK("https://www.catalog.slsa.sa.gov.au/xrecord=b2126450")</f>
        <v>https://www.catalog.slsa.sa.gov.au/xrecord=b2126450</v>
      </c>
      <c r="D6388" t="s">
        <v>19991</v>
      </c>
      <c r="E6388" t="s">
        <v>22005</v>
      </c>
      <c r="F6388">
        <v>1952</v>
      </c>
      <c r="G6388" t="s">
        <v>20000</v>
      </c>
      <c r="H6388" t="s">
        <v>21996</v>
      </c>
      <c r="I6388" t="s">
        <v>21997</v>
      </c>
      <c r="J6388" t="s">
        <v>14768</v>
      </c>
      <c r="K6388" s="2" t="str">
        <f>HYPERLINK("http://collections.slsa.sa.gov.au/mpcimg/71000/B70782_89.htm")</f>
        <v>http://collections.slsa.sa.gov.au/mpcimg/71000/B70782_89.htm</v>
      </c>
    </row>
    <row r="6389" spans="1:11" x14ac:dyDescent="0.25">
      <c r="A6389" t="s">
        <v>22006</v>
      </c>
      <c r="B6389" s="1" t="str">
        <f>HYPERLINK("https://www.catalog.slsa.sa.gov.au/record=b2126451")</f>
        <v>https://www.catalog.slsa.sa.gov.au/record=b2126451</v>
      </c>
      <c r="C6389" s="1" t="str">
        <f>HYPERLINK("https://www.catalog.slsa.sa.gov.au/xrecord=b2126451")</f>
        <v>https://www.catalog.slsa.sa.gov.au/xrecord=b2126451</v>
      </c>
      <c r="D6389" t="s">
        <v>19991</v>
      </c>
      <c r="E6389" t="s">
        <v>22002</v>
      </c>
      <c r="F6389">
        <v>1952</v>
      </c>
      <c r="G6389" t="s">
        <v>20000</v>
      </c>
      <c r="H6389" t="s">
        <v>22007</v>
      </c>
      <c r="I6389" t="s">
        <v>21997</v>
      </c>
      <c r="J6389" t="s">
        <v>14768</v>
      </c>
      <c r="K6389" s="2" t="str">
        <f>HYPERLINK("http://collections.slsa.sa.gov.au/mpcimg/71000/B70782_90.htm")</f>
        <v>http://collections.slsa.sa.gov.au/mpcimg/71000/B70782_90.htm</v>
      </c>
    </row>
    <row r="6390" spans="1:11" x14ac:dyDescent="0.25">
      <c r="A6390" t="s">
        <v>22008</v>
      </c>
      <c r="B6390" s="1" t="str">
        <f>HYPERLINK("https://www.catalog.slsa.sa.gov.au/record=b2126452")</f>
        <v>https://www.catalog.slsa.sa.gov.au/record=b2126452</v>
      </c>
      <c r="C6390" s="1" t="str">
        <f>HYPERLINK("https://www.catalog.slsa.sa.gov.au/xrecord=b2126452")</f>
        <v>https://www.catalog.slsa.sa.gov.au/xrecord=b2126452</v>
      </c>
      <c r="D6390" t="s">
        <v>19991</v>
      </c>
      <c r="E6390" t="s">
        <v>22009</v>
      </c>
      <c r="F6390">
        <v>1952</v>
      </c>
      <c r="G6390" t="s">
        <v>20000</v>
      </c>
      <c r="H6390" t="s">
        <v>22010</v>
      </c>
      <c r="I6390" t="s">
        <v>21997</v>
      </c>
      <c r="J6390" t="s">
        <v>14768</v>
      </c>
      <c r="K6390" s="2" t="str">
        <f>HYPERLINK("http://collections.slsa.sa.gov.au/mpcimg/71000/B70782_91.htm")</f>
        <v>http://collections.slsa.sa.gov.au/mpcimg/71000/B70782_91.htm</v>
      </c>
    </row>
    <row r="6391" spans="1:11" x14ac:dyDescent="0.25">
      <c r="A6391" t="s">
        <v>22011</v>
      </c>
      <c r="B6391" s="1" t="str">
        <f>HYPERLINK("https://www.catalog.slsa.sa.gov.au/record=b2126453")</f>
        <v>https://www.catalog.slsa.sa.gov.au/record=b2126453</v>
      </c>
      <c r="C6391" s="1" t="str">
        <f>HYPERLINK("https://www.catalog.slsa.sa.gov.au/xrecord=b2126453")</f>
        <v>https://www.catalog.slsa.sa.gov.au/xrecord=b2126453</v>
      </c>
      <c r="D6391" t="s">
        <v>19991</v>
      </c>
      <c r="E6391" t="s">
        <v>22012</v>
      </c>
      <c r="F6391">
        <v>1952</v>
      </c>
      <c r="G6391" t="s">
        <v>20000</v>
      </c>
      <c r="H6391" t="s">
        <v>21996</v>
      </c>
      <c r="I6391" t="s">
        <v>21997</v>
      </c>
      <c r="J6391" t="s">
        <v>14768</v>
      </c>
      <c r="K6391" s="2" t="str">
        <f>HYPERLINK("http://collections.slsa.sa.gov.au/mpcimg/71000/B70782_92.htm")</f>
        <v>http://collections.slsa.sa.gov.au/mpcimg/71000/B70782_92.htm</v>
      </c>
    </row>
    <row r="6392" spans="1:11" x14ac:dyDescent="0.25">
      <c r="A6392" t="s">
        <v>22013</v>
      </c>
      <c r="B6392" s="1" t="str">
        <f>HYPERLINK("https://www.catalog.slsa.sa.gov.au/record=b2126454")</f>
        <v>https://www.catalog.slsa.sa.gov.au/record=b2126454</v>
      </c>
      <c r="C6392" s="1" t="str">
        <f>HYPERLINK("https://www.catalog.slsa.sa.gov.au/xrecord=b2126454")</f>
        <v>https://www.catalog.slsa.sa.gov.au/xrecord=b2126454</v>
      </c>
      <c r="D6392" t="s">
        <v>19991</v>
      </c>
      <c r="E6392" t="s">
        <v>22014</v>
      </c>
      <c r="F6392">
        <v>1952</v>
      </c>
      <c r="G6392" t="s">
        <v>20000</v>
      </c>
      <c r="H6392" t="s">
        <v>22015</v>
      </c>
      <c r="J6392" t="s">
        <v>14768</v>
      </c>
      <c r="K6392" s="2" t="str">
        <f>HYPERLINK("http://collections.slsa.sa.gov.au/mpcimg/71000/B70782_93.htm")</f>
        <v>http://collections.slsa.sa.gov.au/mpcimg/71000/B70782_93.htm</v>
      </c>
    </row>
    <row r="6393" spans="1:11" x14ac:dyDescent="0.25">
      <c r="A6393" t="s">
        <v>22016</v>
      </c>
      <c r="B6393" s="1" t="str">
        <f>HYPERLINK("https://www.catalog.slsa.sa.gov.au/record=b2126456")</f>
        <v>https://www.catalog.slsa.sa.gov.au/record=b2126456</v>
      </c>
      <c r="C6393" s="1" t="str">
        <f>HYPERLINK("https://www.catalog.slsa.sa.gov.au/xrecord=b2126456")</f>
        <v>https://www.catalog.slsa.sa.gov.au/xrecord=b2126456</v>
      </c>
      <c r="D6393" t="s">
        <v>19991</v>
      </c>
      <c r="E6393" t="s">
        <v>22017</v>
      </c>
      <c r="F6393">
        <v>1952</v>
      </c>
      <c r="G6393" t="s">
        <v>20000</v>
      </c>
      <c r="H6393" t="s">
        <v>22018</v>
      </c>
      <c r="J6393" t="s">
        <v>14768</v>
      </c>
      <c r="K6393" s="2" t="str">
        <f>HYPERLINK("http://collections.slsa.sa.gov.au/mpcimg/71000/B70782_94.htm")</f>
        <v>http://collections.slsa.sa.gov.au/mpcimg/71000/B70782_94.htm</v>
      </c>
    </row>
    <row r="6394" spans="1:11" x14ac:dyDescent="0.25">
      <c r="A6394" t="s">
        <v>22019</v>
      </c>
      <c r="B6394" s="1" t="str">
        <f>HYPERLINK("https://www.catalog.slsa.sa.gov.au/record=b2126458")</f>
        <v>https://www.catalog.slsa.sa.gov.au/record=b2126458</v>
      </c>
      <c r="C6394" s="1" t="str">
        <f>HYPERLINK("https://www.catalog.slsa.sa.gov.au/xrecord=b2126458")</f>
        <v>https://www.catalog.slsa.sa.gov.au/xrecord=b2126458</v>
      </c>
      <c r="D6394" t="s">
        <v>19991</v>
      </c>
      <c r="E6394" t="s">
        <v>22020</v>
      </c>
      <c r="F6394">
        <v>1952</v>
      </c>
      <c r="G6394" t="s">
        <v>20000</v>
      </c>
      <c r="H6394" t="s">
        <v>22021</v>
      </c>
      <c r="J6394" t="s">
        <v>14768</v>
      </c>
      <c r="K6394" s="2" t="str">
        <f>HYPERLINK("http://collections.slsa.sa.gov.au/mpcimg/71000/B70782_96.htm")</f>
        <v>http://collections.slsa.sa.gov.au/mpcimg/71000/B70782_96.htm</v>
      </c>
    </row>
    <row r="6395" spans="1:11" x14ac:dyDescent="0.25">
      <c r="A6395" t="s">
        <v>22022</v>
      </c>
      <c r="B6395" s="1" t="str">
        <f>HYPERLINK("https://www.catalog.slsa.sa.gov.au/record=b2126459")</f>
        <v>https://www.catalog.slsa.sa.gov.au/record=b2126459</v>
      </c>
      <c r="C6395" s="1" t="str">
        <f>HYPERLINK("https://www.catalog.slsa.sa.gov.au/xrecord=b2126459")</f>
        <v>https://www.catalog.slsa.sa.gov.au/xrecord=b2126459</v>
      </c>
      <c r="D6395" t="s">
        <v>19991</v>
      </c>
      <c r="E6395" t="s">
        <v>22023</v>
      </c>
      <c r="F6395">
        <v>1952</v>
      </c>
      <c r="G6395" t="s">
        <v>20000</v>
      </c>
      <c r="H6395" t="s">
        <v>22024</v>
      </c>
      <c r="J6395" t="s">
        <v>14768</v>
      </c>
      <c r="K6395" s="2" t="str">
        <f>HYPERLINK("http://collections.slsa.sa.gov.au/mpcimg/71000/B70782_97.htm")</f>
        <v>http://collections.slsa.sa.gov.au/mpcimg/71000/B70782_97.htm</v>
      </c>
    </row>
    <row r="6396" spans="1:11" x14ac:dyDescent="0.25">
      <c r="A6396" t="s">
        <v>22025</v>
      </c>
      <c r="B6396" s="1" t="str">
        <f>HYPERLINK("https://www.catalog.slsa.sa.gov.au/record=b2126460")</f>
        <v>https://www.catalog.slsa.sa.gov.au/record=b2126460</v>
      </c>
      <c r="C6396" s="1" t="str">
        <f>HYPERLINK("https://www.catalog.slsa.sa.gov.au/xrecord=b2126460")</f>
        <v>https://www.catalog.slsa.sa.gov.au/xrecord=b2126460</v>
      </c>
      <c r="D6396" t="s">
        <v>19991</v>
      </c>
      <c r="E6396" t="s">
        <v>22026</v>
      </c>
      <c r="F6396">
        <v>1952</v>
      </c>
      <c r="G6396" t="s">
        <v>20000</v>
      </c>
      <c r="H6396" t="s">
        <v>22027</v>
      </c>
      <c r="J6396" t="s">
        <v>14768</v>
      </c>
      <c r="K6396" s="2" t="str">
        <f>HYPERLINK("http://collections.slsa.sa.gov.au/mpcimg/71000/B70782_98.htm")</f>
        <v>http://collections.slsa.sa.gov.au/mpcimg/71000/B70782_98.htm</v>
      </c>
    </row>
    <row r="6397" spans="1:11" x14ac:dyDescent="0.25">
      <c r="A6397" t="s">
        <v>22028</v>
      </c>
      <c r="B6397" s="1" t="str">
        <f>HYPERLINK("https://www.catalog.slsa.sa.gov.au/record=b2126461")</f>
        <v>https://www.catalog.slsa.sa.gov.au/record=b2126461</v>
      </c>
      <c r="C6397" s="1" t="str">
        <f>HYPERLINK("https://www.catalog.slsa.sa.gov.au/xrecord=b2126461")</f>
        <v>https://www.catalog.slsa.sa.gov.au/xrecord=b2126461</v>
      </c>
      <c r="D6397" t="s">
        <v>19991</v>
      </c>
      <c r="E6397" t="s">
        <v>22029</v>
      </c>
      <c r="F6397">
        <v>1952</v>
      </c>
      <c r="G6397" t="s">
        <v>20000</v>
      </c>
      <c r="H6397" t="s">
        <v>22030</v>
      </c>
      <c r="J6397" t="s">
        <v>14768</v>
      </c>
      <c r="K6397" s="2" t="str">
        <f>HYPERLINK("http://collections.slsa.sa.gov.au/mpcimg/71000/B70782_99.htm")</f>
        <v>http://collections.slsa.sa.gov.au/mpcimg/71000/B70782_99.htm</v>
      </c>
    </row>
    <row r="6398" spans="1:11" x14ac:dyDescent="0.25">
      <c r="A6398" t="s">
        <v>22031</v>
      </c>
      <c r="B6398" s="1" t="str">
        <f>HYPERLINK("https://www.catalog.slsa.sa.gov.au/record=b2126462")</f>
        <v>https://www.catalog.slsa.sa.gov.au/record=b2126462</v>
      </c>
      <c r="C6398" s="1" t="str">
        <f>HYPERLINK("https://www.catalog.slsa.sa.gov.au/xrecord=b2126462")</f>
        <v>https://www.catalog.slsa.sa.gov.au/xrecord=b2126462</v>
      </c>
      <c r="D6398" t="s">
        <v>19991</v>
      </c>
      <c r="E6398" t="s">
        <v>22020</v>
      </c>
      <c r="F6398">
        <v>1952</v>
      </c>
      <c r="G6398" t="s">
        <v>20000</v>
      </c>
      <c r="H6398" t="s">
        <v>22032</v>
      </c>
      <c r="J6398" t="s">
        <v>14768</v>
      </c>
      <c r="K6398" s="2" t="str">
        <f>HYPERLINK("http://collections.slsa.sa.gov.au/mpcimg/71000/B70782_100.htm")</f>
        <v>http://collections.slsa.sa.gov.au/mpcimg/71000/B70782_100.htm</v>
      </c>
    </row>
    <row r="6399" spans="1:11" x14ac:dyDescent="0.25">
      <c r="A6399" t="s">
        <v>22033</v>
      </c>
      <c r="B6399" s="1" t="str">
        <f>HYPERLINK("https://www.catalog.slsa.sa.gov.au/record=b2126463")</f>
        <v>https://www.catalog.slsa.sa.gov.au/record=b2126463</v>
      </c>
      <c r="C6399" s="1" t="str">
        <f>HYPERLINK("https://www.catalog.slsa.sa.gov.au/xrecord=b2126463")</f>
        <v>https://www.catalog.slsa.sa.gov.au/xrecord=b2126463</v>
      </c>
      <c r="D6399" t="s">
        <v>19991</v>
      </c>
      <c r="E6399" t="s">
        <v>22034</v>
      </c>
      <c r="F6399">
        <v>1952</v>
      </c>
      <c r="G6399" t="s">
        <v>20000</v>
      </c>
      <c r="H6399" t="s">
        <v>22035</v>
      </c>
      <c r="J6399" t="s">
        <v>14768</v>
      </c>
      <c r="K6399" s="2" t="str">
        <f>HYPERLINK("http://collections.slsa.sa.gov.au/mpcimg/71000/B70782_101.htm")</f>
        <v>http://collections.slsa.sa.gov.au/mpcimg/71000/B70782_101.htm</v>
      </c>
    </row>
    <row r="6400" spans="1:11" x14ac:dyDescent="0.25">
      <c r="A6400" t="s">
        <v>22036</v>
      </c>
      <c r="B6400" s="1" t="str">
        <f>HYPERLINK("https://www.catalog.slsa.sa.gov.au/record=b2126464")</f>
        <v>https://www.catalog.slsa.sa.gov.au/record=b2126464</v>
      </c>
      <c r="C6400" s="1" t="str">
        <f>HYPERLINK("https://www.catalog.slsa.sa.gov.au/xrecord=b2126464")</f>
        <v>https://www.catalog.slsa.sa.gov.au/xrecord=b2126464</v>
      </c>
      <c r="D6400" t="s">
        <v>19991</v>
      </c>
      <c r="E6400" t="s">
        <v>22037</v>
      </c>
      <c r="F6400">
        <v>1952</v>
      </c>
      <c r="G6400" t="s">
        <v>20000</v>
      </c>
      <c r="H6400" t="s">
        <v>22038</v>
      </c>
      <c r="J6400" t="s">
        <v>14768</v>
      </c>
      <c r="K6400" s="2" t="str">
        <f>HYPERLINK("http://collections.slsa.sa.gov.au/mpcimg/71000/B70782_102.htm")</f>
        <v>http://collections.slsa.sa.gov.au/mpcimg/71000/B70782_102.htm</v>
      </c>
    </row>
    <row r="6401" spans="1:11" x14ac:dyDescent="0.25">
      <c r="A6401" t="s">
        <v>22039</v>
      </c>
      <c r="B6401" s="1" t="str">
        <f>HYPERLINK("https://www.catalog.slsa.sa.gov.au/record=b2126465")</f>
        <v>https://www.catalog.slsa.sa.gov.au/record=b2126465</v>
      </c>
      <c r="C6401" s="1" t="str">
        <f>HYPERLINK("https://www.catalog.slsa.sa.gov.au/xrecord=b2126465")</f>
        <v>https://www.catalog.slsa.sa.gov.au/xrecord=b2126465</v>
      </c>
      <c r="D6401" t="s">
        <v>19991</v>
      </c>
      <c r="E6401" t="s">
        <v>22040</v>
      </c>
      <c r="F6401">
        <v>1952</v>
      </c>
      <c r="G6401" t="s">
        <v>20000</v>
      </c>
      <c r="H6401" t="s">
        <v>22041</v>
      </c>
      <c r="J6401" t="s">
        <v>14768</v>
      </c>
      <c r="K6401" s="2" t="str">
        <f>HYPERLINK("http://collections.slsa.sa.gov.au/mpcimg/71000/B70782_103.htm")</f>
        <v>http://collections.slsa.sa.gov.au/mpcimg/71000/B70782_103.htm</v>
      </c>
    </row>
    <row r="6402" spans="1:11" x14ac:dyDescent="0.25">
      <c r="A6402" t="s">
        <v>22042</v>
      </c>
      <c r="B6402" s="1" t="str">
        <f>HYPERLINK("https://www.catalog.slsa.sa.gov.au/record=b2126466")</f>
        <v>https://www.catalog.slsa.sa.gov.au/record=b2126466</v>
      </c>
      <c r="C6402" s="1" t="str">
        <f>HYPERLINK("https://www.catalog.slsa.sa.gov.au/xrecord=b2126466")</f>
        <v>https://www.catalog.slsa.sa.gov.au/xrecord=b2126466</v>
      </c>
      <c r="D6402" t="s">
        <v>19991</v>
      </c>
      <c r="E6402" t="s">
        <v>19996</v>
      </c>
      <c r="F6402">
        <v>1952</v>
      </c>
      <c r="G6402" t="s">
        <v>20000</v>
      </c>
      <c r="H6402" t="s">
        <v>22043</v>
      </c>
      <c r="J6402" t="s">
        <v>14768</v>
      </c>
      <c r="K6402" s="2" t="str">
        <f>HYPERLINK("http://collections.slsa.sa.gov.au/mpcimg/71000/B70782_104.htm")</f>
        <v>http://collections.slsa.sa.gov.au/mpcimg/71000/B70782_104.htm</v>
      </c>
    </row>
    <row r="6403" spans="1:11" x14ac:dyDescent="0.25">
      <c r="A6403" t="s">
        <v>22044</v>
      </c>
      <c r="B6403" s="1" t="str">
        <f>HYPERLINK("https://www.catalog.slsa.sa.gov.au/record=b2126482")</f>
        <v>https://www.catalog.slsa.sa.gov.au/record=b2126482</v>
      </c>
      <c r="C6403" s="1" t="str">
        <f>HYPERLINK("https://www.catalog.slsa.sa.gov.au/xrecord=b2126482")</f>
        <v>https://www.catalog.slsa.sa.gov.au/xrecord=b2126482</v>
      </c>
      <c r="D6403" t="s">
        <v>19991</v>
      </c>
      <c r="E6403" t="s">
        <v>22023</v>
      </c>
      <c r="F6403">
        <v>1952</v>
      </c>
      <c r="G6403" t="s">
        <v>20000</v>
      </c>
      <c r="H6403" t="s">
        <v>22045</v>
      </c>
      <c r="J6403" t="s">
        <v>14768</v>
      </c>
      <c r="K6403" s="2" t="str">
        <f>HYPERLINK("http://collections.slsa.sa.gov.au/mpcimg/71000/B70782_118.htm")</f>
        <v>http://collections.slsa.sa.gov.au/mpcimg/71000/B70782_118.htm</v>
      </c>
    </row>
    <row r="6404" spans="1:11" x14ac:dyDescent="0.25">
      <c r="A6404" t="s">
        <v>22046</v>
      </c>
      <c r="B6404" s="1" t="str">
        <f>HYPERLINK("https://www.catalog.slsa.sa.gov.au/record=b2126483")</f>
        <v>https://www.catalog.slsa.sa.gov.au/record=b2126483</v>
      </c>
      <c r="C6404" s="1" t="str">
        <f>HYPERLINK("https://www.catalog.slsa.sa.gov.au/xrecord=b2126483")</f>
        <v>https://www.catalog.slsa.sa.gov.au/xrecord=b2126483</v>
      </c>
      <c r="D6404" t="s">
        <v>19991</v>
      </c>
      <c r="E6404" t="s">
        <v>22020</v>
      </c>
      <c r="F6404">
        <v>1952</v>
      </c>
      <c r="G6404" t="s">
        <v>20000</v>
      </c>
      <c r="H6404" t="s">
        <v>22047</v>
      </c>
      <c r="J6404" t="s">
        <v>14768</v>
      </c>
      <c r="K6404" s="2" t="str">
        <f>HYPERLINK("http://collections.slsa.sa.gov.au/mpcimg/71000/B70782_119.htm")</f>
        <v>http://collections.slsa.sa.gov.au/mpcimg/71000/B70782_119.htm</v>
      </c>
    </row>
    <row r="6405" spans="1:11" x14ac:dyDescent="0.25">
      <c r="A6405" t="s">
        <v>22048</v>
      </c>
      <c r="B6405" s="1" t="str">
        <f>HYPERLINK("https://www.catalog.slsa.sa.gov.au/record=b2126484")</f>
        <v>https://www.catalog.slsa.sa.gov.au/record=b2126484</v>
      </c>
      <c r="C6405" s="1" t="str">
        <f>HYPERLINK("https://www.catalog.slsa.sa.gov.au/xrecord=b2126484")</f>
        <v>https://www.catalog.slsa.sa.gov.au/xrecord=b2126484</v>
      </c>
      <c r="D6405" t="s">
        <v>19991</v>
      </c>
      <c r="E6405" t="s">
        <v>22049</v>
      </c>
      <c r="F6405">
        <v>1952</v>
      </c>
      <c r="G6405" t="s">
        <v>20000</v>
      </c>
      <c r="H6405" t="s">
        <v>22050</v>
      </c>
      <c r="J6405" t="s">
        <v>14768</v>
      </c>
      <c r="K6405" s="2" t="str">
        <f>HYPERLINK("http://collections.slsa.sa.gov.au/mpcimg/71000/B70782_120.htm")</f>
        <v>http://collections.slsa.sa.gov.au/mpcimg/71000/B70782_120.htm</v>
      </c>
    </row>
    <row r="6406" spans="1:11" x14ac:dyDescent="0.25">
      <c r="A6406" t="s">
        <v>22051</v>
      </c>
      <c r="B6406" s="1" t="str">
        <f>HYPERLINK("https://www.catalog.slsa.sa.gov.au/record=b2126485")</f>
        <v>https://www.catalog.slsa.sa.gov.au/record=b2126485</v>
      </c>
      <c r="C6406" s="1" t="str">
        <f>HYPERLINK("https://www.catalog.slsa.sa.gov.au/xrecord=b2126485")</f>
        <v>https://www.catalog.slsa.sa.gov.au/xrecord=b2126485</v>
      </c>
      <c r="D6406" t="s">
        <v>19991</v>
      </c>
      <c r="E6406" t="s">
        <v>22052</v>
      </c>
      <c r="F6406">
        <v>1952</v>
      </c>
      <c r="G6406" t="s">
        <v>20000</v>
      </c>
      <c r="H6406" t="s">
        <v>22053</v>
      </c>
      <c r="J6406" t="s">
        <v>14768</v>
      </c>
      <c r="K6406" s="2" t="str">
        <f>HYPERLINK("http://collections.slsa.sa.gov.au/mpcimg/71000/B70782_121.htm")</f>
        <v>http://collections.slsa.sa.gov.au/mpcimg/71000/B70782_121.htm</v>
      </c>
    </row>
    <row r="6407" spans="1:11" x14ac:dyDescent="0.25">
      <c r="A6407" t="s">
        <v>22054</v>
      </c>
      <c r="B6407" s="1" t="str">
        <f>HYPERLINK("https://www.catalog.slsa.sa.gov.au/record=b2126486")</f>
        <v>https://www.catalog.slsa.sa.gov.au/record=b2126486</v>
      </c>
      <c r="C6407" s="1" t="str">
        <f>HYPERLINK("https://www.catalog.slsa.sa.gov.au/xrecord=b2126486")</f>
        <v>https://www.catalog.slsa.sa.gov.au/xrecord=b2126486</v>
      </c>
      <c r="D6407" t="s">
        <v>19991</v>
      </c>
      <c r="E6407" t="s">
        <v>22055</v>
      </c>
      <c r="F6407">
        <v>1952</v>
      </c>
      <c r="G6407" t="s">
        <v>20000</v>
      </c>
      <c r="H6407" t="s">
        <v>22056</v>
      </c>
      <c r="J6407" t="s">
        <v>14768</v>
      </c>
      <c r="K6407" s="2" t="str">
        <f>HYPERLINK("http://collections.slsa.sa.gov.au/mpcimg/71000/B70782_122.htm")</f>
        <v>http://collections.slsa.sa.gov.au/mpcimg/71000/B70782_122.htm</v>
      </c>
    </row>
    <row r="6408" spans="1:11" x14ac:dyDescent="0.25">
      <c r="A6408" t="s">
        <v>22057</v>
      </c>
      <c r="B6408" s="1" t="str">
        <f>HYPERLINK("https://www.catalog.slsa.sa.gov.au/record=b2126487")</f>
        <v>https://www.catalog.slsa.sa.gov.au/record=b2126487</v>
      </c>
      <c r="C6408" s="1" t="str">
        <f>HYPERLINK("https://www.catalog.slsa.sa.gov.au/xrecord=b2126487")</f>
        <v>https://www.catalog.slsa.sa.gov.au/xrecord=b2126487</v>
      </c>
      <c r="D6408" t="s">
        <v>19991</v>
      </c>
      <c r="E6408" t="s">
        <v>22058</v>
      </c>
      <c r="F6408">
        <v>1952</v>
      </c>
      <c r="G6408" t="s">
        <v>20000</v>
      </c>
      <c r="H6408" t="s">
        <v>22059</v>
      </c>
      <c r="J6408" t="s">
        <v>14768</v>
      </c>
      <c r="K6408" s="2" t="str">
        <f>HYPERLINK("http://collections.slsa.sa.gov.au/mpcimg/71000/B70782_123.htm")</f>
        <v>http://collections.slsa.sa.gov.au/mpcimg/71000/B70782_123.htm</v>
      </c>
    </row>
    <row r="6409" spans="1:11" x14ac:dyDescent="0.25">
      <c r="A6409" t="s">
        <v>22060</v>
      </c>
      <c r="B6409" s="1" t="str">
        <f>HYPERLINK("https://www.catalog.slsa.sa.gov.au/record=b2126488")</f>
        <v>https://www.catalog.slsa.sa.gov.au/record=b2126488</v>
      </c>
      <c r="C6409" s="1" t="str">
        <f>HYPERLINK("https://www.catalog.slsa.sa.gov.au/xrecord=b2126488")</f>
        <v>https://www.catalog.slsa.sa.gov.au/xrecord=b2126488</v>
      </c>
      <c r="D6409" t="s">
        <v>19991</v>
      </c>
      <c r="E6409" t="s">
        <v>22061</v>
      </c>
      <c r="F6409">
        <v>1952</v>
      </c>
      <c r="G6409" t="s">
        <v>20000</v>
      </c>
      <c r="H6409" t="s">
        <v>22062</v>
      </c>
      <c r="J6409" t="s">
        <v>14768</v>
      </c>
      <c r="K6409" s="2" t="str">
        <f>HYPERLINK("http://collections.slsa.sa.gov.au/mpcimg/71000/B70782_124.htm")</f>
        <v>http://collections.slsa.sa.gov.au/mpcimg/71000/B70782_124.htm</v>
      </c>
    </row>
    <row r="6410" spans="1:11" x14ac:dyDescent="0.25">
      <c r="A6410" t="s">
        <v>22063</v>
      </c>
      <c r="B6410" s="1" t="str">
        <f>HYPERLINK("https://www.catalog.slsa.sa.gov.au/record=b2126489")</f>
        <v>https://www.catalog.slsa.sa.gov.au/record=b2126489</v>
      </c>
      <c r="C6410" s="1" t="str">
        <f>HYPERLINK("https://www.catalog.slsa.sa.gov.au/xrecord=b2126489")</f>
        <v>https://www.catalog.slsa.sa.gov.au/xrecord=b2126489</v>
      </c>
      <c r="D6410" t="s">
        <v>19991</v>
      </c>
      <c r="E6410" t="s">
        <v>22064</v>
      </c>
      <c r="F6410">
        <v>1952</v>
      </c>
      <c r="G6410" t="s">
        <v>19993</v>
      </c>
      <c r="H6410" t="s">
        <v>22065</v>
      </c>
      <c r="J6410" t="s">
        <v>14768</v>
      </c>
      <c r="K6410" s="2" t="str">
        <f>HYPERLINK("http://collections.slsa.sa.gov.au/mpcimg/71000/B70782_125.htm")</f>
        <v>http://collections.slsa.sa.gov.au/mpcimg/71000/B70782_125.htm</v>
      </c>
    </row>
    <row r="6411" spans="1:11" x14ac:dyDescent="0.25">
      <c r="A6411" t="s">
        <v>22066</v>
      </c>
      <c r="B6411" s="1" t="str">
        <f>HYPERLINK("https://www.catalog.slsa.sa.gov.au/record=b2126491")</f>
        <v>https://www.catalog.slsa.sa.gov.au/record=b2126491</v>
      </c>
      <c r="C6411" s="1" t="str">
        <f>HYPERLINK("https://www.catalog.slsa.sa.gov.au/xrecord=b2126491")</f>
        <v>https://www.catalog.slsa.sa.gov.au/xrecord=b2126491</v>
      </c>
      <c r="D6411" t="s">
        <v>19991</v>
      </c>
      <c r="E6411" t="s">
        <v>22037</v>
      </c>
      <c r="F6411">
        <v>1952</v>
      </c>
      <c r="G6411" t="s">
        <v>19993</v>
      </c>
      <c r="H6411" t="s">
        <v>22067</v>
      </c>
      <c r="J6411" t="s">
        <v>14768</v>
      </c>
      <c r="K6411" s="2" t="str">
        <f>HYPERLINK("http://collections.slsa.sa.gov.au/mpcimg/71000/B70782_127.htm")</f>
        <v>http://collections.slsa.sa.gov.au/mpcimg/71000/B70782_127.htm</v>
      </c>
    </row>
    <row r="6412" spans="1:11" x14ac:dyDescent="0.25">
      <c r="A6412" t="s">
        <v>22068</v>
      </c>
      <c r="B6412" s="1" t="str">
        <f>HYPERLINK("https://www.catalog.slsa.sa.gov.au/record=b2126492")</f>
        <v>https://www.catalog.slsa.sa.gov.au/record=b2126492</v>
      </c>
      <c r="C6412" s="1" t="str">
        <f>HYPERLINK("https://www.catalog.slsa.sa.gov.au/xrecord=b2126492")</f>
        <v>https://www.catalog.slsa.sa.gov.au/xrecord=b2126492</v>
      </c>
      <c r="D6412" t="s">
        <v>19991</v>
      </c>
      <c r="E6412" t="s">
        <v>22069</v>
      </c>
      <c r="F6412">
        <v>1952</v>
      </c>
      <c r="G6412" t="s">
        <v>19993</v>
      </c>
      <c r="H6412" t="s">
        <v>22070</v>
      </c>
      <c r="J6412" t="s">
        <v>14768</v>
      </c>
      <c r="K6412" s="2" t="str">
        <f>HYPERLINK("http://collections.slsa.sa.gov.au/mpcimg/71000/B70782_128.htm")</f>
        <v>http://collections.slsa.sa.gov.au/mpcimg/71000/B70782_128.htm</v>
      </c>
    </row>
    <row r="6413" spans="1:11" x14ac:dyDescent="0.25">
      <c r="A6413" t="s">
        <v>22071</v>
      </c>
      <c r="B6413" s="1" t="str">
        <f>HYPERLINK("https://www.catalog.slsa.sa.gov.au/record=b2126493")</f>
        <v>https://www.catalog.slsa.sa.gov.au/record=b2126493</v>
      </c>
      <c r="C6413" s="1" t="str">
        <f>HYPERLINK("https://www.catalog.slsa.sa.gov.au/xrecord=b2126493")</f>
        <v>https://www.catalog.slsa.sa.gov.au/xrecord=b2126493</v>
      </c>
      <c r="D6413" t="s">
        <v>19991</v>
      </c>
      <c r="E6413" t="s">
        <v>22072</v>
      </c>
      <c r="F6413">
        <v>1952</v>
      </c>
      <c r="G6413" t="s">
        <v>19993</v>
      </c>
      <c r="H6413" t="s">
        <v>22073</v>
      </c>
      <c r="J6413" t="s">
        <v>14768</v>
      </c>
      <c r="K6413" s="2" t="str">
        <f>HYPERLINK("http://collections.slsa.sa.gov.au/mpcimg/71000/B70782_129.htm")</f>
        <v>http://collections.slsa.sa.gov.au/mpcimg/71000/B70782_129.htm</v>
      </c>
    </row>
    <row r="6414" spans="1:11" x14ac:dyDescent="0.25">
      <c r="A6414" t="s">
        <v>22074</v>
      </c>
      <c r="B6414" s="1" t="str">
        <f>HYPERLINK("https://www.catalog.slsa.sa.gov.au/record=b2126494")</f>
        <v>https://www.catalog.slsa.sa.gov.au/record=b2126494</v>
      </c>
      <c r="C6414" s="1" t="str">
        <f>HYPERLINK("https://www.catalog.slsa.sa.gov.au/xrecord=b2126494")</f>
        <v>https://www.catalog.slsa.sa.gov.au/xrecord=b2126494</v>
      </c>
      <c r="D6414" t="s">
        <v>19991</v>
      </c>
      <c r="E6414" t="s">
        <v>22075</v>
      </c>
      <c r="F6414">
        <v>1952</v>
      </c>
      <c r="G6414" t="s">
        <v>19993</v>
      </c>
      <c r="H6414" t="s">
        <v>22076</v>
      </c>
      <c r="J6414" t="s">
        <v>14768</v>
      </c>
      <c r="K6414" s="2" t="str">
        <f>HYPERLINK("http://collections.slsa.sa.gov.au/mpcimg/71000/B70782_130.htm")</f>
        <v>http://collections.slsa.sa.gov.au/mpcimg/71000/B70782_130.htm</v>
      </c>
    </row>
    <row r="6415" spans="1:11" x14ac:dyDescent="0.25">
      <c r="A6415" t="s">
        <v>22077</v>
      </c>
      <c r="B6415" s="1" t="str">
        <f>HYPERLINK("https://www.catalog.slsa.sa.gov.au/record=b2126495")</f>
        <v>https://www.catalog.slsa.sa.gov.au/record=b2126495</v>
      </c>
      <c r="C6415" s="1" t="str">
        <f>HYPERLINK("https://www.catalog.slsa.sa.gov.au/xrecord=b2126495")</f>
        <v>https://www.catalog.slsa.sa.gov.au/xrecord=b2126495</v>
      </c>
      <c r="D6415" t="s">
        <v>19991</v>
      </c>
      <c r="E6415" t="s">
        <v>22078</v>
      </c>
      <c r="F6415">
        <v>1952</v>
      </c>
      <c r="G6415" t="s">
        <v>19993</v>
      </c>
      <c r="H6415" t="s">
        <v>22079</v>
      </c>
      <c r="J6415" t="s">
        <v>14768</v>
      </c>
      <c r="K6415" s="2" t="str">
        <f>HYPERLINK("http://collections.slsa.sa.gov.au/mpcimg/71000/B70782_131.htm")</f>
        <v>http://collections.slsa.sa.gov.au/mpcimg/71000/B70782_131.htm</v>
      </c>
    </row>
    <row r="6416" spans="1:11" x14ac:dyDescent="0.25">
      <c r="A6416" t="s">
        <v>22080</v>
      </c>
      <c r="B6416" s="1" t="str">
        <f>HYPERLINK("https://www.catalog.slsa.sa.gov.au/record=b2126496")</f>
        <v>https://www.catalog.slsa.sa.gov.au/record=b2126496</v>
      </c>
      <c r="C6416" s="1" t="str">
        <f>HYPERLINK("https://www.catalog.slsa.sa.gov.au/xrecord=b2126496")</f>
        <v>https://www.catalog.slsa.sa.gov.au/xrecord=b2126496</v>
      </c>
      <c r="D6416" t="s">
        <v>19991</v>
      </c>
      <c r="E6416" t="s">
        <v>22081</v>
      </c>
      <c r="F6416">
        <v>1952</v>
      </c>
      <c r="G6416" t="s">
        <v>19993</v>
      </c>
      <c r="H6416" t="s">
        <v>22082</v>
      </c>
      <c r="J6416" t="s">
        <v>14768</v>
      </c>
      <c r="K6416" s="2" t="str">
        <f>HYPERLINK("http://collections.slsa.sa.gov.au/mpcimg/71000/B70782_132.htm")</f>
        <v>http://collections.slsa.sa.gov.au/mpcimg/71000/B70782_132.htm</v>
      </c>
    </row>
    <row r="6417" spans="1:11" x14ac:dyDescent="0.25">
      <c r="A6417" t="s">
        <v>22083</v>
      </c>
      <c r="B6417" s="1" t="str">
        <f>HYPERLINK("https://www.catalog.slsa.sa.gov.au/record=b2126497")</f>
        <v>https://www.catalog.slsa.sa.gov.au/record=b2126497</v>
      </c>
      <c r="C6417" s="1" t="str">
        <f>HYPERLINK("https://www.catalog.slsa.sa.gov.au/xrecord=b2126497")</f>
        <v>https://www.catalog.slsa.sa.gov.au/xrecord=b2126497</v>
      </c>
      <c r="D6417" t="s">
        <v>19991</v>
      </c>
      <c r="E6417" t="s">
        <v>22084</v>
      </c>
      <c r="F6417">
        <v>1952</v>
      </c>
      <c r="G6417" t="s">
        <v>19993</v>
      </c>
      <c r="H6417" t="s">
        <v>22085</v>
      </c>
      <c r="J6417" t="s">
        <v>14768</v>
      </c>
      <c r="K6417" s="2" t="str">
        <f>HYPERLINK("http://collections.slsa.sa.gov.au/mpcimg/71000/B70782_133.htm")</f>
        <v>http://collections.slsa.sa.gov.au/mpcimg/71000/B70782_133.htm</v>
      </c>
    </row>
    <row r="6418" spans="1:11" x14ac:dyDescent="0.25">
      <c r="A6418" t="s">
        <v>22086</v>
      </c>
      <c r="B6418" s="1" t="str">
        <f>HYPERLINK("https://www.catalog.slsa.sa.gov.au/record=b2126498")</f>
        <v>https://www.catalog.slsa.sa.gov.au/record=b2126498</v>
      </c>
      <c r="C6418" s="1" t="str">
        <f>HYPERLINK("https://www.catalog.slsa.sa.gov.au/xrecord=b2126498")</f>
        <v>https://www.catalog.slsa.sa.gov.au/xrecord=b2126498</v>
      </c>
      <c r="D6418" t="s">
        <v>19991</v>
      </c>
      <c r="E6418" t="s">
        <v>22087</v>
      </c>
      <c r="F6418">
        <v>1952</v>
      </c>
      <c r="G6418" t="s">
        <v>19993</v>
      </c>
      <c r="H6418" t="s">
        <v>22088</v>
      </c>
      <c r="J6418" t="s">
        <v>14768</v>
      </c>
      <c r="K6418" s="2" t="str">
        <f>HYPERLINK("http://collections.slsa.sa.gov.au/mpcimg/71000/B70782_134.htm")</f>
        <v>http://collections.slsa.sa.gov.au/mpcimg/71000/B70782_134.htm</v>
      </c>
    </row>
    <row r="6419" spans="1:11" x14ac:dyDescent="0.25">
      <c r="A6419" t="s">
        <v>22089</v>
      </c>
      <c r="B6419" s="1" t="str">
        <f>HYPERLINK("https://www.catalog.slsa.sa.gov.au/record=b2126500")</f>
        <v>https://www.catalog.slsa.sa.gov.au/record=b2126500</v>
      </c>
      <c r="C6419" s="1" t="str">
        <f>HYPERLINK("https://www.catalog.slsa.sa.gov.au/xrecord=b2126500")</f>
        <v>https://www.catalog.slsa.sa.gov.au/xrecord=b2126500</v>
      </c>
      <c r="D6419" t="s">
        <v>19991</v>
      </c>
      <c r="E6419" t="s">
        <v>22090</v>
      </c>
      <c r="F6419">
        <v>1952</v>
      </c>
      <c r="G6419" t="s">
        <v>19993</v>
      </c>
      <c r="H6419" t="s">
        <v>22091</v>
      </c>
      <c r="J6419" t="s">
        <v>14768</v>
      </c>
      <c r="K6419" s="2" t="str">
        <f>HYPERLINK("http://collections.slsa.sa.gov.au/mpcimg/71000/B70782_136.htm")</f>
        <v>http://collections.slsa.sa.gov.au/mpcimg/71000/B70782_136.htm</v>
      </c>
    </row>
    <row r="6420" spans="1:11" x14ac:dyDescent="0.25">
      <c r="A6420" t="s">
        <v>22092</v>
      </c>
      <c r="B6420" s="1" t="str">
        <f>HYPERLINK("https://www.catalog.slsa.sa.gov.au/record=b2126502")</f>
        <v>https://www.catalog.slsa.sa.gov.au/record=b2126502</v>
      </c>
      <c r="C6420" s="1" t="str">
        <f>HYPERLINK("https://www.catalog.slsa.sa.gov.au/xrecord=b2126502")</f>
        <v>https://www.catalog.slsa.sa.gov.au/xrecord=b2126502</v>
      </c>
      <c r="D6420" t="s">
        <v>19991</v>
      </c>
      <c r="E6420" t="s">
        <v>22093</v>
      </c>
      <c r="F6420">
        <v>1952</v>
      </c>
      <c r="G6420" t="s">
        <v>19993</v>
      </c>
      <c r="H6420" t="s">
        <v>22094</v>
      </c>
      <c r="J6420" t="s">
        <v>14768</v>
      </c>
      <c r="K6420" s="2" t="str">
        <f>HYPERLINK("http://collections.slsa.sa.gov.au/mpcimg/71000/B70782_138.htm")</f>
        <v>http://collections.slsa.sa.gov.au/mpcimg/71000/B70782_138.htm</v>
      </c>
    </row>
    <row r="6421" spans="1:11" x14ac:dyDescent="0.25">
      <c r="A6421" t="s">
        <v>22095</v>
      </c>
      <c r="B6421" s="1" t="str">
        <f>HYPERLINK("https://www.catalog.slsa.sa.gov.au/record=b2126505")</f>
        <v>https://www.catalog.slsa.sa.gov.au/record=b2126505</v>
      </c>
      <c r="C6421" s="1" t="str">
        <f>HYPERLINK("https://www.catalog.slsa.sa.gov.au/xrecord=b2126505")</f>
        <v>https://www.catalog.slsa.sa.gov.au/xrecord=b2126505</v>
      </c>
      <c r="D6421" t="s">
        <v>19991</v>
      </c>
      <c r="E6421" t="s">
        <v>22096</v>
      </c>
      <c r="F6421">
        <v>1952</v>
      </c>
      <c r="G6421" t="s">
        <v>19993</v>
      </c>
      <c r="H6421" t="s">
        <v>22097</v>
      </c>
      <c r="J6421" t="s">
        <v>14768</v>
      </c>
      <c r="K6421" s="2" t="str">
        <f>HYPERLINK("http://collections.slsa.sa.gov.au/mpcimg/71000/B70782_140.htm")</f>
        <v>http://collections.slsa.sa.gov.au/mpcimg/71000/B70782_140.htm</v>
      </c>
    </row>
    <row r="6422" spans="1:11" x14ac:dyDescent="0.25">
      <c r="A6422" t="s">
        <v>22098</v>
      </c>
      <c r="B6422" s="1" t="str">
        <f>HYPERLINK("https://www.catalog.slsa.sa.gov.au/record=b2126506")</f>
        <v>https://www.catalog.slsa.sa.gov.au/record=b2126506</v>
      </c>
      <c r="C6422" s="1" t="str">
        <f>HYPERLINK("https://www.catalog.slsa.sa.gov.au/xrecord=b2126506")</f>
        <v>https://www.catalog.slsa.sa.gov.au/xrecord=b2126506</v>
      </c>
      <c r="D6422" t="s">
        <v>19991</v>
      </c>
      <c r="E6422" t="s">
        <v>22096</v>
      </c>
      <c r="F6422">
        <v>1952</v>
      </c>
      <c r="G6422" t="s">
        <v>19993</v>
      </c>
      <c r="H6422" t="s">
        <v>22099</v>
      </c>
      <c r="J6422" t="s">
        <v>14768</v>
      </c>
      <c r="K6422" s="2" t="str">
        <f>HYPERLINK("http://collections.slsa.sa.gov.au/mpcimg/71000/B70782_141.htm")</f>
        <v>http://collections.slsa.sa.gov.au/mpcimg/71000/B70782_141.htm</v>
      </c>
    </row>
    <row r="6423" spans="1:11" x14ac:dyDescent="0.25">
      <c r="A6423" t="s">
        <v>22100</v>
      </c>
      <c r="B6423" s="1" t="str">
        <f>HYPERLINK("https://www.catalog.slsa.sa.gov.au/record=b2126507")</f>
        <v>https://www.catalog.slsa.sa.gov.au/record=b2126507</v>
      </c>
      <c r="C6423" s="1" t="str">
        <f>HYPERLINK("https://www.catalog.slsa.sa.gov.au/xrecord=b2126507")</f>
        <v>https://www.catalog.slsa.sa.gov.au/xrecord=b2126507</v>
      </c>
      <c r="D6423" t="s">
        <v>19991</v>
      </c>
      <c r="E6423" t="s">
        <v>22096</v>
      </c>
      <c r="F6423">
        <v>1952</v>
      </c>
      <c r="G6423" t="s">
        <v>19993</v>
      </c>
      <c r="H6423" t="s">
        <v>22101</v>
      </c>
      <c r="J6423" t="s">
        <v>14768</v>
      </c>
      <c r="K6423" s="2" t="str">
        <f>HYPERLINK("http://collections.slsa.sa.gov.au/mpcimg/71000/B70782_142.htm")</f>
        <v>http://collections.slsa.sa.gov.au/mpcimg/71000/B70782_142.htm</v>
      </c>
    </row>
    <row r="6424" spans="1:11" x14ac:dyDescent="0.25">
      <c r="A6424" t="s">
        <v>22102</v>
      </c>
      <c r="B6424" s="1" t="str">
        <f>HYPERLINK("https://www.catalog.slsa.sa.gov.au/record=b2126508")</f>
        <v>https://www.catalog.slsa.sa.gov.au/record=b2126508</v>
      </c>
      <c r="C6424" s="1" t="str">
        <f>HYPERLINK("https://www.catalog.slsa.sa.gov.au/xrecord=b2126508")</f>
        <v>https://www.catalog.slsa.sa.gov.au/xrecord=b2126508</v>
      </c>
      <c r="D6424" t="s">
        <v>19991</v>
      </c>
      <c r="E6424" t="s">
        <v>22096</v>
      </c>
      <c r="F6424">
        <v>1952</v>
      </c>
      <c r="G6424" t="s">
        <v>19993</v>
      </c>
      <c r="H6424" t="s">
        <v>22103</v>
      </c>
      <c r="J6424" t="s">
        <v>14768</v>
      </c>
      <c r="K6424" s="2" t="str">
        <f>HYPERLINK("http://collections.slsa.sa.gov.au/mpcimg/71000/B70782_143.htm")</f>
        <v>http://collections.slsa.sa.gov.au/mpcimg/71000/B70782_143.htm</v>
      </c>
    </row>
    <row r="6425" spans="1:11" x14ac:dyDescent="0.25">
      <c r="A6425" t="s">
        <v>22104</v>
      </c>
      <c r="B6425" s="1" t="str">
        <f>HYPERLINK("https://www.catalog.slsa.sa.gov.au/record=b2616610")</f>
        <v>https://www.catalog.slsa.sa.gov.au/record=b2616610</v>
      </c>
      <c r="C6425" s="1" t="str">
        <f>HYPERLINK("https://www.catalog.slsa.sa.gov.au/xrecord=b2616610")</f>
        <v>https://www.catalog.slsa.sa.gov.au/xrecord=b2616610</v>
      </c>
      <c r="D6425" t="s">
        <v>22105</v>
      </c>
      <c r="E6425" t="s">
        <v>22106</v>
      </c>
      <c r="F6425">
        <v>1952</v>
      </c>
      <c r="G6425" t="s">
        <v>22107</v>
      </c>
      <c r="H6425" t="s">
        <v>22108</v>
      </c>
      <c r="I6425" t="s">
        <v>22109</v>
      </c>
      <c r="J6425" t="s">
        <v>22110</v>
      </c>
      <c r="K6425" s="2" t="str">
        <f>HYPERLINK("http://collections.slsa.sa.gov.au/mpcimg/72250/B72104.htm")</f>
        <v>http://collections.slsa.sa.gov.au/mpcimg/72250/B72104.htm</v>
      </c>
    </row>
    <row r="6426" spans="1:11" x14ac:dyDescent="0.25">
      <c r="A6426" t="s">
        <v>22111</v>
      </c>
      <c r="B6426" s="1" t="str">
        <f>HYPERLINK("https://www.catalog.slsa.sa.gov.au/record=b2909024")</f>
        <v>https://www.catalog.slsa.sa.gov.au/record=b2909024</v>
      </c>
      <c r="C6426" s="1" t="str">
        <f>HYPERLINK("https://www.catalog.slsa.sa.gov.au/xrecord=b2909024")</f>
        <v>https://www.catalog.slsa.sa.gov.au/xrecord=b2909024</v>
      </c>
      <c r="E6426" t="s">
        <v>22112</v>
      </c>
      <c r="F6426">
        <v>1952</v>
      </c>
      <c r="G6426" t="s">
        <v>22113</v>
      </c>
      <c r="H6426" t="s">
        <v>22114</v>
      </c>
      <c r="I6426" t="s">
        <v>22115</v>
      </c>
      <c r="J6426" t="s">
        <v>2510</v>
      </c>
      <c r="K6426" s="2" t="str">
        <f>HYPERLINK("http://collections.slsa.sa.gov.au/mpcimg/73000/B72821.htm")</f>
        <v>http://collections.slsa.sa.gov.au/mpcimg/73000/B72821.htm</v>
      </c>
    </row>
    <row r="6427" spans="1:11" x14ac:dyDescent="0.25">
      <c r="A6427" t="s">
        <v>22116</v>
      </c>
      <c r="B6427" s="1" t="str">
        <f>HYPERLINK("https://www.catalog.slsa.sa.gov.au/record=b2020039")</f>
        <v>https://www.catalog.slsa.sa.gov.au/record=b2020039</v>
      </c>
      <c r="C6427" s="1" t="str">
        <f>HYPERLINK("https://www.catalog.slsa.sa.gov.au/xrecord=b2020039")</f>
        <v>https://www.catalog.slsa.sa.gov.au/xrecord=b2020039</v>
      </c>
      <c r="E6427" t="s">
        <v>22117</v>
      </c>
      <c r="F6427" t="s">
        <v>5021</v>
      </c>
      <c r="G6427" t="s">
        <v>22118</v>
      </c>
      <c r="H6427" t="s">
        <v>22119</v>
      </c>
      <c r="I6427" t="s">
        <v>22120</v>
      </c>
      <c r="J6427" t="s">
        <v>22121</v>
      </c>
      <c r="K6427" s="2" t="str">
        <f>HYPERLINK("http://collections.slsa.sa.gov.au/mpcimg/33750/B33629.htm")</f>
        <v>http://collections.slsa.sa.gov.au/mpcimg/33750/B33629.htm</v>
      </c>
    </row>
    <row r="6428" spans="1:11" x14ac:dyDescent="0.25">
      <c r="A6428" t="s">
        <v>22122</v>
      </c>
      <c r="B6428" s="1" t="str">
        <f>HYPERLINK("https://www.catalog.slsa.sa.gov.au/record=b2023757")</f>
        <v>https://www.catalog.slsa.sa.gov.au/record=b2023757</v>
      </c>
      <c r="C6428" s="1" t="str">
        <f>HYPERLINK("https://www.catalog.slsa.sa.gov.au/xrecord=b2023757")</f>
        <v>https://www.catalog.slsa.sa.gov.au/xrecord=b2023757</v>
      </c>
      <c r="D6428" t="s">
        <v>15985</v>
      </c>
      <c r="E6428" t="s">
        <v>22123</v>
      </c>
      <c r="F6428" t="s">
        <v>5021</v>
      </c>
      <c r="G6428" t="s">
        <v>22124</v>
      </c>
      <c r="H6428" t="s">
        <v>22125</v>
      </c>
      <c r="I6428" t="s">
        <v>22126</v>
      </c>
      <c r="J6428" t="s">
        <v>15900</v>
      </c>
      <c r="K6428" s="2" t="str">
        <f>HYPERLINK("http://collections.slsa.sa.gov.au/mpcimg/47250/B47162.htm")</f>
        <v>http://collections.slsa.sa.gov.au/mpcimg/47250/B47162.htm</v>
      </c>
    </row>
    <row r="6429" spans="1:11" x14ac:dyDescent="0.25">
      <c r="A6429" t="s">
        <v>22127</v>
      </c>
      <c r="B6429" s="1" t="str">
        <f>HYPERLINK("https://www.catalog.slsa.sa.gov.au/record=b2039306")</f>
        <v>https://www.catalog.slsa.sa.gov.au/record=b2039306</v>
      </c>
      <c r="C6429" s="1" t="str">
        <f>HYPERLINK("https://www.catalog.slsa.sa.gov.au/xrecord=b2039306")</f>
        <v>https://www.catalog.slsa.sa.gov.au/xrecord=b2039306</v>
      </c>
      <c r="E6429" t="s">
        <v>22128</v>
      </c>
      <c r="F6429" t="s">
        <v>5021</v>
      </c>
      <c r="G6429" t="s">
        <v>22129</v>
      </c>
      <c r="H6429" t="s">
        <v>22130</v>
      </c>
      <c r="I6429" t="s">
        <v>22131</v>
      </c>
      <c r="J6429" t="s">
        <v>16375</v>
      </c>
      <c r="K6429" s="2" t="str">
        <f>HYPERLINK("http://collections.slsa.sa.gov.au/mpcimg/50500/B50337.htm")</f>
        <v>http://collections.slsa.sa.gov.au/mpcimg/50500/B50337.htm</v>
      </c>
    </row>
    <row r="6430" spans="1:11" x14ac:dyDescent="0.25">
      <c r="A6430" t="s">
        <v>22132</v>
      </c>
      <c r="B6430" s="1" t="str">
        <f>HYPERLINK("https://www.catalog.slsa.sa.gov.au/record=b2041898")</f>
        <v>https://www.catalog.slsa.sa.gov.au/record=b2041898</v>
      </c>
      <c r="C6430" s="1" t="str">
        <f>HYPERLINK("https://www.catalog.slsa.sa.gov.au/xrecord=b2041898")</f>
        <v>https://www.catalog.slsa.sa.gov.au/xrecord=b2041898</v>
      </c>
      <c r="D6430" t="s">
        <v>14894</v>
      </c>
      <c r="E6430" t="s">
        <v>22133</v>
      </c>
      <c r="F6430" t="s">
        <v>5021</v>
      </c>
      <c r="G6430" t="s">
        <v>16068</v>
      </c>
      <c r="H6430" t="s">
        <v>22134</v>
      </c>
      <c r="I6430" t="s">
        <v>22135</v>
      </c>
      <c r="J6430" t="s">
        <v>16579</v>
      </c>
      <c r="K6430" s="2" t="str">
        <f>HYPERLINK("http://collections.slsa.sa.gov.au/mpcimg/20500/B20263.htm")</f>
        <v>http://collections.slsa.sa.gov.au/mpcimg/20500/B20263.htm</v>
      </c>
    </row>
    <row r="6431" spans="1:11" x14ac:dyDescent="0.25">
      <c r="A6431" t="s">
        <v>22136</v>
      </c>
      <c r="B6431" s="1" t="str">
        <f>HYPERLINK("https://www.catalog.slsa.sa.gov.au/record=b2041899")</f>
        <v>https://www.catalog.slsa.sa.gov.au/record=b2041899</v>
      </c>
      <c r="C6431" s="1" t="str">
        <f>HYPERLINK("https://www.catalog.slsa.sa.gov.au/xrecord=b2041899")</f>
        <v>https://www.catalog.slsa.sa.gov.au/xrecord=b2041899</v>
      </c>
      <c r="E6431" t="s">
        <v>22137</v>
      </c>
      <c r="F6431" t="s">
        <v>5021</v>
      </c>
      <c r="G6431" t="s">
        <v>22138</v>
      </c>
      <c r="H6431" t="s">
        <v>22139</v>
      </c>
      <c r="I6431" t="s">
        <v>22140</v>
      </c>
      <c r="J6431" t="s">
        <v>16579</v>
      </c>
      <c r="K6431" s="2" t="str">
        <f>HYPERLINK("http://collections.slsa.sa.gov.au/mpcimg/22250/B22021.htm")</f>
        <v>http://collections.slsa.sa.gov.au/mpcimg/22250/B22021.htm</v>
      </c>
    </row>
    <row r="6432" spans="1:11" x14ac:dyDescent="0.25">
      <c r="A6432" t="s">
        <v>22141</v>
      </c>
      <c r="B6432" s="1" t="str">
        <f>HYPERLINK("https://www.catalog.slsa.sa.gov.au/record=b2047990")</f>
        <v>https://www.catalog.slsa.sa.gov.au/record=b2047990</v>
      </c>
      <c r="C6432" s="1" t="str">
        <f>HYPERLINK("https://www.catalog.slsa.sa.gov.au/xrecord=b2047990")</f>
        <v>https://www.catalog.slsa.sa.gov.au/xrecord=b2047990</v>
      </c>
      <c r="E6432" t="s">
        <v>22142</v>
      </c>
      <c r="F6432" t="s">
        <v>5021</v>
      </c>
      <c r="G6432" t="s">
        <v>15446</v>
      </c>
      <c r="H6432" t="s">
        <v>22143</v>
      </c>
      <c r="I6432" t="s">
        <v>22144</v>
      </c>
      <c r="J6432" t="s">
        <v>1809</v>
      </c>
      <c r="K6432" s="2" t="str">
        <f>HYPERLINK("http://collections.slsa.sa.gov.au/mpcimg/31250/B31065.htm")</f>
        <v>http://collections.slsa.sa.gov.au/mpcimg/31250/B31065.htm</v>
      </c>
    </row>
    <row r="6433" spans="1:11" x14ac:dyDescent="0.25">
      <c r="A6433" t="s">
        <v>22145</v>
      </c>
      <c r="B6433" s="1" t="str">
        <f>HYPERLINK("https://www.catalog.slsa.sa.gov.au/record=b2058390")</f>
        <v>https://www.catalog.slsa.sa.gov.au/record=b2058390</v>
      </c>
      <c r="C6433" s="1" t="str">
        <f>HYPERLINK("https://www.catalog.slsa.sa.gov.au/xrecord=b2058390")</f>
        <v>https://www.catalog.slsa.sa.gov.au/xrecord=b2058390</v>
      </c>
      <c r="E6433" t="s">
        <v>20970</v>
      </c>
      <c r="F6433" t="s">
        <v>5021</v>
      </c>
      <c r="G6433" t="s">
        <v>16674</v>
      </c>
      <c r="H6433" t="s">
        <v>22146</v>
      </c>
      <c r="J6433" t="s">
        <v>22147</v>
      </c>
      <c r="K6433" s="2" t="str">
        <f>HYPERLINK("http://collections.slsa.sa.gov.au/mpcimg/12750/B12525.htm")</f>
        <v>http://collections.slsa.sa.gov.au/mpcimg/12750/B12525.htm</v>
      </c>
    </row>
    <row r="6434" spans="1:11" x14ac:dyDescent="0.25">
      <c r="A6434" t="s">
        <v>22148</v>
      </c>
      <c r="B6434" s="1" t="str">
        <f>HYPERLINK("https://www.catalog.slsa.sa.gov.au/record=b2058391")</f>
        <v>https://www.catalog.slsa.sa.gov.au/record=b2058391</v>
      </c>
      <c r="C6434" s="1" t="str">
        <f>HYPERLINK("https://www.catalog.slsa.sa.gov.au/xrecord=b2058391")</f>
        <v>https://www.catalog.slsa.sa.gov.au/xrecord=b2058391</v>
      </c>
      <c r="E6434" t="s">
        <v>22149</v>
      </c>
      <c r="F6434" t="s">
        <v>5021</v>
      </c>
      <c r="G6434" t="s">
        <v>16674</v>
      </c>
      <c r="H6434" t="s">
        <v>22150</v>
      </c>
      <c r="J6434" t="s">
        <v>22147</v>
      </c>
      <c r="K6434" s="2" t="str">
        <f>HYPERLINK("http://collections.slsa.sa.gov.au/mpcimg/12750/B12526.htm")</f>
        <v>http://collections.slsa.sa.gov.au/mpcimg/12750/B12526.htm</v>
      </c>
    </row>
    <row r="6435" spans="1:11" x14ac:dyDescent="0.25">
      <c r="A6435" t="s">
        <v>22151</v>
      </c>
      <c r="B6435" s="1" t="str">
        <f>HYPERLINK("https://www.catalog.slsa.sa.gov.au/record=b2060631")</f>
        <v>https://www.catalog.slsa.sa.gov.au/record=b2060631</v>
      </c>
      <c r="C6435" s="1" t="str">
        <f>HYPERLINK("https://www.catalog.slsa.sa.gov.au/xrecord=b2060631")</f>
        <v>https://www.catalog.slsa.sa.gov.au/xrecord=b2060631</v>
      </c>
      <c r="E6435" t="s">
        <v>22152</v>
      </c>
      <c r="F6435" t="s">
        <v>5021</v>
      </c>
      <c r="G6435" t="s">
        <v>22153</v>
      </c>
      <c r="H6435" t="s">
        <v>22154</v>
      </c>
      <c r="I6435" t="s">
        <v>16822</v>
      </c>
      <c r="J6435" t="s">
        <v>16818</v>
      </c>
      <c r="K6435" s="2" t="str">
        <f>HYPERLINK("http://collections.slsa.sa.gov.au/mpcimg/28000/B27770.htm")</f>
        <v>http://collections.slsa.sa.gov.au/mpcimg/28000/B27770.htm</v>
      </c>
    </row>
    <row r="6436" spans="1:11" x14ac:dyDescent="0.25">
      <c r="A6436" t="s">
        <v>22155</v>
      </c>
      <c r="B6436" s="1" t="str">
        <f>HYPERLINK("https://www.catalog.slsa.sa.gov.au/record=b2060662")</f>
        <v>https://www.catalog.slsa.sa.gov.au/record=b2060662</v>
      </c>
      <c r="C6436" s="1" t="str">
        <f>HYPERLINK("https://www.catalog.slsa.sa.gov.au/xrecord=b2060662")</f>
        <v>https://www.catalog.slsa.sa.gov.au/xrecord=b2060662</v>
      </c>
      <c r="D6436" t="s">
        <v>16814</v>
      </c>
      <c r="E6436" t="s">
        <v>16820</v>
      </c>
      <c r="F6436" t="s">
        <v>5021</v>
      </c>
      <c r="G6436" t="s">
        <v>15147</v>
      </c>
      <c r="H6436" t="s">
        <v>22156</v>
      </c>
      <c r="I6436" t="s">
        <v>16822</v>
      </c>
      <c r="J6436" t="s">
        <v>16818</v>
      </c>
      <c r="K6436" s="2" t="str">
        <f>HYPERLINK("http://collections.slsa.sa.gov.au/mpcimg/38000/B37804.htm")</f>
        <v>http://collections.slsa.sa.gov.au/mpcimg/38000/B37804.htm</v>
      </c>
    </row>
    <row r="6437" spans="1:11" x14ac:dyDescent="0.25">
      <c r="A6437" t="s">
        <v>22157</v>
      </c>
      <c r="B6437" s="1" t="str">
        <f>HYPERLINK("https://www.catalog.slsa.sa.gov.au/record=b2062895")</f>
        <v>https://www.catalog.slsa.sa.gov.au/record=b2062895</v>
      </c>
      <c r="C6437" s="1" t="str">
        <f>HYPERLINK("https://www.catalog.slsa.sa.gov.au/xrecord=b2062895")</f>
        <v>https://www.catalog.slsa.sa.gov.au/xrecord=b2062895</v>
      </c>
      <c r="E6437" t="s">
        <v>21283</v>
      </c>
      <c r="F6437" t="s">
        <v>5021</v>
      </c>
      <c r="G6437" t="s">
        <v>16674</v>
      </c>
      <c r="H6437" t="s">
        <v>22158</v>
      </c>
      <c r="J6437" t="s">
        <v>22159</v>
      </c>
      <c r="K6437" s="2" t="str">
        <f>HYPERLINK("http://collections.slsa.sa.gov.au/mpcimg/12750/B12515.htm")</f>
        <v>http://collections.slsa.sa.gov.au/mpcimg/12750/B12515.htm</v>
      </c>
    </row>
    <row r="6438" spans="1:11" x14ac:dyDescent="0.25">
      <c r="A6438" t="s">
        <v>22160</v>
      </c>
      <c r="B6438" s="1" t="str">
        <f>HYPERLINK("https://www.catalog.slsa.sa.gov.au/record=b2072550")</f>
        <v>https://www.catalog.slsa.sa.gov.au/record=b2072550</v>
      </c>
      <c r="C6438" s="1" t="str">
        <f>HYPERLINK("https://www.catalog.slsa.sa.gov.au/xrecord=b2072550")</f>
        <v>https://www.catalog.slsa.sa.gov.au/xrecord=b2072550</v>
      </c>
      <c r="E6438" t="s">
        <v>15215</v>
      </c>
      <c r="F6438" t="s">
        <v>5021</v>
      </c>
      <c r="G6438" t="s">
        <v>15216</v>
      </c>
      <c r="H6438" t="s">
        <v>22161</v>
      </c>
      <c r="I6438" t="s">
        <v>15244</v>
      </c>
      <c r="J6438" t="s">
        <v>15219</v>
      </c>
      <c r="K6438" s="2" t="str">
        <f>HYPERLINK("http://collections.slsa.sa.gov.au/mpcimg/46750/B46528_45.htm")</f>
        <v>http://collections.slsa.sa.gov.au/mpcimg/46750/B46528_45.htm</v>
      </c>
    </row>
    <row r="6439" spans="1:11" x14ac:dyDescent="0.25">
      <c r="A6439" t="s">
        <v>22162</v>
      </c>
      <c r="B6439" s="1" t="str">
        <f>HYPERLINK("https://www.catalog.slsa.sa.gov.au/record=b2075250")</f>
        <v>https://www.catalog.slsa.sa.gov.au/record=b2075250</v>
      </c>
      <c r="C6439" s="1" t="str">
        <f>HYPERLINK("https://www.catalog.slsa.sa.gov.au/xrecord=b2075250")</f>
        <v>https://www.catalog.slsa.sa.gov.au/xrecord=b2075250</v>
      </c>
      <c r="E6439" t="s">
        <v>22163</v>
      </c>
      <c r="F6439" t="s">
        <v>5021</v>
      </c>
      <c r="G6439" t="s">
        <v>22164</v>
      </c>
      <c r="H6439" t="s">
        <v>22165</v>
      </c>
      <c r="I6439" t="s">
        <v>22166</v>
      </c>
      <c r="J6439" t="s">
        <v>22167</v>
      </c>
      <c r="K6439" s="2" t="str">
        <f>HYPERLINK("http://collections.slsa.sa.gov.au/mpcimg/62250/B62038.htm")</f>
        <v>http://collections.slsa.sa.gov.au/mpcimg/62250/B62038.htm</v>
      </c>
    </row>
    <row r="6440" spans="1:11" x14ac:dyDescent="0.25">
      <c r="A6440" t="s">
        <v>22168</v>
      </c>
      <c r="B6440" s="1" t="str">
        <f>HYPERLINK("https://www.catalog.slsa.sa.gov.au/record=b2075251")</f>
        <v>https://www.catalog.slsa.sa.gov.au/record=b2075251</v>
      </c>
      <c r="C6440" s="1" t="str">
        <f>HYPERLINK("https://www.catalog.slsa.sa.gov.au/xrecord=b2075251")</f>
        <v>https://www.catalog.slsa.sa.gov.au/xrecord=b2075251</v>
      </c>
      <c r="E6440" t="s">
        <v>22169</v>
      </c>
      <c r="F6440" t="s">
        <v>5021</v>
      </c>
      <c r="G6440" t="s">
        <v>22170</v>
      </c>
      <c r="H6440" t="s">
        <v>22171</v>
      </c>
      <c r="I6440" t="s">
        <v>22172</v>
      </c>
      <c r="J6440" t="s">
        <v>22167</v>
      </c>
      <c r="K6440" s="2" t="str">
        <f>HYPERLINK("http://collections.slsa.sa.gov.au/mpcimg/62250/B62039.htm")</f>
        <v>http://collections.slsa.sa.gov.au/mpcimg/62250/B62039.htm</v>
      </c>
    </row>
    <row r="6441" spans="1:11" x14ac:dyDescent="0.25">
      <c r="A6441" t="s">
        <v>22173</v>
      </c>
      <c r="B6441" s="1" t="str">
        <f>HYPERLINK("https://www.catalog.slsa.sa.gov.au/record=b2075252")</f>
        <v>https://www.catalog.slsa.sa.gov.au/record=b2075252</v>
      </c>
      <c r="C6441" s="1" t="str">
        <f>HYPERLINK("https://www.catalog.slsa.sa.gov.au/xrecord=b2075252")</f>
        <v>https://www.catalog.slsa.sa.gov.au/xrecord=b2075252</v>
      </c>
      <c r="E6441" t="s">
        <v>22174</v>
      </c>
      <c r="F6441" t="s">
        <v>5021</v>
      </c>
      <c r="G6441" t="s">
        <v>22175</v>
      </c>
      <c r="H6441" t="s">
        <v>22176</v>
      </c>
      <c r="I6441" t="s">
        <v>22177</v>
      </c>
      <c r="J6441" t="s">
        <v>22167</v>
      </c>
      <c r="K6441" s="2" t="str">
        <f>HYPERLINK("http://collections.slsa.sa.gov.au/mpcimg/62250/B62040.htm")</f>
        <v>http://collections.slsa.sa.gov.au/mpcimg/62250/B62040.htm</v>
      </c>
    </row>
    <row r="6442" spans="1:11" x14ac:dyDescent="0.25">
      <c r="A6442" t="s">
        <v>22178</v>
      </c>
      <c r="B6442" s="1" t="str">
        <f>HYPERLINK("https://www.catalog.slsa.sa.gov.au/record=b2075490")</f>
        <v>https://www.catalog.slsa.sa.gov.au/record=b2075490</v>
      </c>
      <c r="C6442" s="1" t="str">
        <f>HYPERLINK("https://www.catalog.slsa.sa.gov.au/xrecord=b2075490")</f>
        <v>https://www.catalog.slsa.sa.gov.au/xrecord=b2075490</v>
      </c>
      <c r="E6442" t="s">
        <v>22179</v>
      </c>
      <c r="F6442" t="s">
        <v>5021</v>
      </c>
      <c r="G6442" t="s">
        <v>15269</v>
      </c>
      <c r="H6442" t="s">
        <v>22180</v>
      </c>
      <c r="I6442" t="s">
        <v>22181</v>
      </c>
      <c r="J6442" t="s">
        <v>1809</v>
      </c>
      <c r="K6442" s="2" t="str">
        <f>HYPERLINK("http://collections.slsa.sa.gov.au/mpcimg/62500/B62280.htm")</f>
        <v>http://collections.slsa.sa.gov.au/mpcimg/62500/B62280.htm</v>
      </c>
    </row>
    <row r="6443" spans="1:11" x14ac:dyDescent="0.25">
      <c r="A6443" t="s">
        <v>22182</v>
      </c>
      <c r="B6443" s="1" t="str">
        <f>HYPERLINK("https://www.catalog.slsa.sa.gov.au/record=b2079915")</f>
        <v>https://www.catalog.slsa.sa.gov.au/record=b2079915</v>
      </c>
      <c r="C6443" s="1" t="str">
        <f>HYPERLINK("https://www.catalog.slsa.sa.gov.au/xrecord=b2079915")</f>
        <v>https://www.catalog.slsa.sa.gov.au/xrecord=b2079915</v>
      </c>
      <c r="E6443" t="s">
        <v>22183</v>
      </c>
      <c r="F6443" t="s">
        <v>5021</v>
      </c>
      <c r="G6443" t="s">
        <v>15269</v>
      </c>
      <c r="H6443" t="s">
        <v>22184</v>
      </c>
      <c r="I6443" t="s">
        <v>22185</v>
      </c>
      <c r="J6443" t="s">
        <v>22186</v>
      </c>
      <c r="K6443" s="2" t="str">
        <f>HYPERLINK("http://collections.slsa.sa.gov.au/mpcimg/58000/B57848.htm")</f>
        <v>http://collections.slsa.sa.gov.au/mpcimg/58000/B57848.htm</v>
      </c>
    </row>
    <row r="6444" spans="1:11" x14ac:dyDescent="0.25">
      <c r="A6444" t="s">
        <v>22187</v>
      </c>
      <c r="B6444" s="1" t="str">
        <f>HYPERLINK("https://www.catalog.slsa.sa.gov.au/record=b2081207")</f>
        <v>https://www.catalog.slsa.sa.gov.au/record=b2081207</v>
      </c>
      <c r="C6444" s="1" t="str">
        <f>HYPERLINK("https://www.catalog.slsa.sa.gov.au/xrecord=b2081207")</f>
        <v>https://www.catalog.slsa.sa.gov.au/xrecord=b2081207</v>
      </c>
      <c r="E6444" t="s">
        <v>22188</v>
      </c>
      <c r="F6444" t="s">
        <v>5021</v>
      </c>
      <c r="G6444" t="s">
        <v>15269</v>
      </c>
      <c r="H6444" t="s">
        <v>22189</v>
      </c>
      <c r="I6444" t="s">
        <v>22190</v>
      </c>
      <c r="J6444" t="s">
        <v>22191</v>
      </c>
      <c r="K6444" s="2" t="str">
        <f>HYPERLINK("http://collections.slsa.sa.gov.au/mpcimg/59250/B59143.htm")</f>
        <v>http://collections.slsa.sa.gov.au/mpcimg/59250/B59143.htm</v>
      </c>
    </row>
    <row r="6445" spans="1:11" x14ac:dyDescent="0.25">
      <c r="A6445" t="s">
        <v>22192</v>
      </c>
      <c r="B6445" s="1" t="str">
        <f>HYPERLINK("https://www.catalog.slsa.sa.gov.au/record=b2081208")</f>
        <v>https://www.catalog.slsa.sa.gov.au/record=b2081208</v>
      </c>
      <c r="C6445" s="1" t="str">
        <f>HYPERLINK("https://www.catalog.slsa.sa.gov.au/xrecord=b2081208")</f>
        <v>https://www.catalog.slsa.sa.gov.au/xrecord=b2081208</v>
      </c>
      <c r="E6445" t="s">
        <v>22193</v>
      </c>
      <c r="F6445" t="s">
        <v>5021</v>
      </c>
      <c r="G6445" t="s">
        <v>15269</v>
      </c>
      <c r="H6445" t="s">
        <v>22194</v>
      </c>
      <c r="I6445" t="s">
        <v>22195</v>
      </c>
      <c r="J6445" t="s">
        <v>22191</v>
      </c>
      <c r="K6445" s="2" t="str">
        <f>HYPERLINK("http://collections.slsa.sa.gov.au/mpcimg/59250/B59144.htm")</f>
        <v>http://collections.slsa.sa.gov.au/mpcimg/59250/B59144.htm</v>
      </c>
    </row>
    <row r="6446" spans="1:11" x14ac:dyDescent="0.25">
      <c r="A6446" t="s">
        <v>22196</v>
      </c>
      <c r="B6446" s="1" t="str">
        <f>HYPERLINK("https://www.catalog.slsa.sa.gov.au/record=b2081209")</f>
        <v>https://www.catalog.slsa.sa.gov.au/record=b2081209</v>
      </c>
      <c r="C6446" s="1" t="str">
        <f>HYPERLINK("https://www.catalog.slsa.sa.gov.au/xrecord=b2081209")</f>
        <v>https://www.catalog.slsa.sa.gov.au/xrecord=b2081209</v>
      </c>
      <c r="E6446" t="s">
        <v>22193</v>
      </c>
      <c r="F6446" t="s">
        <v>5021</v>
      </c>
      <c r="G6446" t="s">
        <v>15269</v>
      </c>
      <c r="H6446" t="s">
        <v>22194</v>
      </c>
      <c r="I6446" t="s">
        <v>22195</v>
      </c>
      <c r="J6446" t="s">
        <v>22191</v>
      </c>
      <c r="K6446" s="2" t="str">
        <f>HYPERLINK("http://collections.slsa.sa.gov.au/mpcimg/59250/B59145.htm")</f>
        <v>http://collections.slsa.sa.gov.au/mpcimg/59250/B59145.htm</v>
      </c>
    </row>
    <row r="6447" spans="1:11" x14ac:dyDescent="0.25">
      <c r="A6447" t="s">
        <v>22197</v>
      </c>
      <c r="B6447" s="1" t="str">
        <f>HYPERLINK("https://www.catalog.slsa.sa.gov.au/record=b2081210")</f>
        <v>https://www.catalog.slsa.sa.gov.au/record=b2081210</v>
      </c>
      <c r="C6447" s="1" t="str">
        <f>HYPERLINK("https://www.catalog.slsa.sa.gov.au/xrecord=b2081210")</f>
        <v>https://www.catalog.slsa.sa.gov.au/xrecord=b2081210</v>
      </c>
      <c r="E6447" t="s">
        <v>22193</v>
      </c>
      <c r="F6447" t="s">
        <v>5021</v>
      </c>
      <c r="G6447" t="s">
        <v>15269</v>
      </c>
      <c r="H6447" t="s">
        <v>22194</v>
      </c>
      <c r="I6447" t="s">
        <v>22195</v>
      </c>
      <c r="J6447" t="s">
        <v>22191</v>
      </c>
      <c r="K6447" s="2" t="str">
        <f>HYPERLINK("http://collections.slsa.sa.gov.au/mpcimg/59250/B59146.htm")</f>
        <v>http://collections.slsa.sa.gov.au/mpcimg/59250/B59146.htm</v>
      </c>
    </row>
    <row r="6448" spans="1:11" x14ac:dyDescent="0.25">
      <c r="A6448" t="s">
        <v>22198</v>
      </c>
      <c r="B6448" s="1" t="str">
        <f>HYPERLINK("https://www.catalog.slsa.sa.gov.au/record=b2090237")</f>
        <v>https://www.catalog.slsa.sa.gov.au/record=b2090237</v>
      </c>
      <c r="C6448" s="1" t="str">
        <f>HYPERLINK("https://www.catalog.slsa.sa.gov.au/xrecord=b2090237")</f>
        <v>https://www.catalog.slsa.sa.gov.au/xrecord=b2090237</v>
      </c>
      <c r="E6448" t="s">
        <v>15353</v>
      </c>
      <c r="F6448" t="s">
        <v>5021</v>
      </c>
      <c r="G6448" t="s">
        <v>22199</v>
      </c>
      <c r="H6448" t="s">
        <v>21463</v>
      </c>
      <c r="I6448" t="s">
        <v>15386</v>
      </c>
      <c r="J6448" t="s">
        <v>15341</v>
      </c>
      <c r="K6448" s="2" t="str">
        <f>HYPERLINK("http://collections.slsa.sa.gov.au/mpcimg/59000/B58892_73.htm")</f>
        <v>http://collections.slsa.sa.gov.au/mpcimg/59000/B58892_73.htm</v>
      </c>
    </row>
    <row r="6449" spans="1:11" x14ac:dyDescent="0.25">
      <c r="A6449" t="s">
        <v>22200</v>
      </c>
      <c r="B6449" s="1" t="str">
        <f>HYPERLINK("https://www.catalog.slsa.sa.gov.au/record=b2090238")</f>
        <v>https://www.catalog.slsa.sa.gov.au/record=b2090238</v>
      </c>
      <c r="C6449" s="1" t="str">
        <f>HYPERLINK("https://www.catalog.slsa.sa.gov.au/xrecord=b2090238")</f>
        <v>https://www.catalog.slsa.sa.gov.au/xrecord=b2090238</v>
      </c>
      <c r="E6449" t="s">
        <v>15353</v>
      </c>
      <c r="F6449" t="s">
        <v>5021</v>
      </c>
      <c r="G6449" t="s">
        <v>22201</v>
      </c>
      <c r="H6449" t="s">
        <v>22202</v>
      </c>
      <c r="I6449" t="s">
        <v>21513</v>
      </c>
      <c r="J6449" t="s">
        <v>15341</v>
      </c>
      <c r="K6449" s="2" t="str">
        <f>HYPERLINK("http://collections.slsa.sa.gov.au/mpcimg/59000/B58892_74.htm")</f>
        <v>http://collections.slsa.sa.gov.au/mpcimg/59000/B58892_74.htm</v>
      </c>
    </row>
    <row r="6450" spans="1:11" x14ac:dyDescent="0.25">
      <c r="A6450" t="s">
        <v>22203</v>
      </c>
      <c r="B6450" s="1" t="str">
        <f>HYPERLINK("https://www.catalog.slsa.sa.gov.au/record=b2090240")</f>
        <v>https://www.catalog.slsa.sa.gov.au/record=b2090240</v>
      </c>
      <c r="C6450" s="1" t="str">
        <f>HYPERLINK("https://www.catalog.slsa.sa.gov.au/xrecord=b2090240")</f>
        <v>https://www.catalog.slsa.sa.gov.au/xrecord=b2090240</v>
      </c>
      <c r="E6450" t="s">
        <v>15353</v>
      </c>
      <c r="F6450" t="s">
        <v>5021</v>
      </c>
      <c r="G6450" t="s">
        <v>22204</v>
      </c>
      <c r="H6450" t="s">
        <v>22205</v>
      </c>
      <c r="I6450" t="s">
        <v>15400</v>
      </c>
      <c r="J6450" t="s">
        <v>15341</v>
      </c>
      <c r="K6450" s="2" t="str">
        <f>HYPERLINK("http://collections.slsa.sa.gov.au/mpcimg/59000/B58892_76.htm")</f>
        <v>http://collections.slsa.sa.gov.au/mpcimg/59000/B58892_76.htm</v>
      </c>
    </row>
    <row r="6451" spans="1:11" x14ac:dyDescent="0.25">
      <c r="A6451" t="s">
        <v>22206</v>
      </c>
      <c r="B6451" s="1" t="str">
        <f>HYPERLINK("https://www.catalog.slsa.sa.gov.au/record=b2090241")</f>
        <v>https://www.catalog.slsa.sa.gov.au/record=b2090241</v>
      </c>
      <c r="C6451" s="1" t="str">
        <f>HYPERLINK("https://www.catalog.slsa.sa.gov.au/xrecord=b2090241")</f>
        <v>https://www.catalog.slsa.sa.gov.au/xrecord=b2090241</v>
      </c>
      <c r="E6451" t="s">
        <v>15353</v>
      </c>
      <c r="F6451" t="s">
        <v>5021</v>
      </c>
      <c r="G6451" t="s">
        <v>22207</v>
      </c>
      <c r="H6451" t="s">
        <v>22208</v>
      </c>
      <c r="I6451" t="s">
        <v>19408</v>
      </c>
      <c r="J6451" t="s">
        <v>15341</v>
      </c>
      <c r="K6451" s="2" t="str">
        <f>HYPERLINK("http://collections.slsa.sa.gov.au/mpcimg/59000/B58892_77.htm")</f>
        <v>http://collections.slsa.sa.gov.au/mpcimg/59000/B58892_77.htm</v>
      </c>
    </row>
    <row r="6452" spans="1:11" x14ac:dyDescent="0.25">
      <c r="A6452" t="s">
        <v>22209</v>
      </c>
      <c r="B6452" s="1" t="str">
        <f>HYPERLINK("https://www.catalog.slsa.sa.gov.au/record=b2090244")</f>
        <v>https://www.catalog.slsa.sa.gov.au/record=b2090244</v>
      </c>
      <c r="C6452" s="1" t="str">
        <f>HYPERLINK("https://www.catalog.slsa.sa.gov.au/xrecord=b2090244")</f>
        <v>https://www.catalog.slsa.sa.gov.au/xrecord=b2090244</v>
      </c>
      <c r="E6452" t="s">
        <v>15353</v>
      </c>
      <c r="F6452" t="s">
        <v>5021</v>
      </c>
      <c r="G6452" t="s">
        <v>22210</v>
      </c>
      <c r="H6452" t="s">
        <v>22211</v>
      </c>
      <c r="I6452" t="s">
        <v>15400</v>
      </c>
      <c r="J6452" t="s">
        <v>15341</v>
      </c>
      <c r="K6452" s="2" t="str">
        <f>HYPERLINK("http://collections.slsa.sa.gov.au/mpcimg/59000/B58892_80.htm")</f>
        <v>http://collections.slsa.sa.gov.au/mpcimg/59000/B58892_80.htm</v>
      </c>
    </row>
    <row r="6453" spans="1:11" x14ac:dyDescent="0.25">
      <c r="A6453" t="s">
        <v>22212</v>
      </c>
      <c r="B6453" s="1" t="str">
        <f>HYPERLINK("https://www.catalog.slsa.sa.gov.au/record=b2090245")</f>
        <v>https://www.catalog.slsa.sa.gov.au/record=b2090245</v>
      </c>
      <c r="C6453" s="1" t="str">
        <f>HYPERLINK("https://www.catalog.slsa.sa.gov.au/xrecord=b2090245")</f>
        <v>https://www.catalog.slsa.sa.gov.au/xrecord=b2090245</v>
      </c>
      <c r="E6453" t="s">
        <v>15353</v>
      </c>
      <c r="F6453" t="s">
        <v>5021</v>
      </c>
      <c r="G6453" t="s">
        <v>22213</v>
      </c>
      <c r="H6453" t="s">
        <v>22214</v>
      </c>
      <c r="I6453" t="s">
        <v>15400</v>
      </c>
      <c r="J6453" t="s">
        <v>15341</v>
      </c>
      <c r="K6453" s="2" t="str">
        <f>HYPERLINK("http://collections.slsa.sa.gov.au/mpcimg/59000/B58892_81.htm")</f>
        <v>http://collections.slsa.sa.gov.au/mpcimg/59000/B58892_81.htm</v>
      </c>
    </row>
    <row r="6454" spans="1:11" x14ac:dyDescent="0.25">
      <c r="A6454" t="s">
        <v>22215</v>
      </c>
      <c r="B6454" s="1" t="str">
        <f>HYPERLINK("https://www.catalog.slsa.sa.gov.au/record=b2090252")</f>
        <v>https://www.catalog.slsa.sa.gov.au/record=b2090252</v>
      </c>
      <c r="C6454" s="1" t="str">
        <f>HYPERLINK("https://www.catalog.slsa.sa.gov.au/xrecord=b2090252")</f>
        <v>https://www.catalog.slsa.sa.gov.au/xrecord=b2090252</v>
      </c>
      <c r="E6454" t="s">
        <v>15353</v>
      </c>
      <c r="F6454" t="s">
        <v>5021</v>
      </c>
      <c r="G6454" t="s">
        <v>22216</v>
      </c>
      <c r="H6454" t="s">
        <v>22217</v>
      </c>
      <c r="I6454" t="s">
        <v>15400</v>
      </c>
      <c r="J6454" t="s">
        <v>15341</v>
      </c>
      <c r="K6454" s="2" t="str">
        <f>HYPERLINK("http://collections.slsa.sa.gov.au/mpcimg/59000/B58892_88.htm")</f>
        <v>http://collections.slsa.sa.gov.au/mpcimg/59000/B58892_88.htm</v>
      </c>
    </row>
    <row r="6455" spans="1:11" x14ac:dyDescent="0.25">
      <c r="A6455" t="s">
        <v>22218</v>
      </c>
      <c r="B6455" s="1" t="str">
        <f>HYPERLINK("https://www.catalog.slsa.sa.gov.au/record=b2090253")</f>
        <v>https://www.catalog.slsa.sa.gov.au/record=b2090253</v>
      </c>
      <c r="C6455" s="1" t="str">
        <f>HYPERLINK("https://www.catalog.slsa.sa.gov.au/xrecord=b2090253")</f>
        <v>https://www.catalog.slsa.sa.gov.au/xrecord=b2090253</v>
      </c>
      <c r="E6455" t="s">
        <v>15353</v>
      </c>
      <c r="F6455" t="s">
        <v>5021</v>
      </c>
      <c r="G6455" t="s">
        <v>22219</v>
      </c>
      <c r="H6455" t="s">
        <v>22220</v>
      </c>
      <c r="I6455" t="s">
        <v>15400</v>
      </c>
      <c r="J6455" t="s">
        <v>15341</v>
      </c>
      <c r="K6455" s="2" t="str">
        <f>HYPERLINK("http://collections.slsa.sa.gov.au/mpcimg/59000/B58892_89.htm")</f>
        <v>http://collections.slsa.sa.gov.au/mpcimg/59000/B58892_89.htm</v>
      </c>
    </row>
    <row r="6456" spans="1:11" x14ac:dyDescent="0.25">
      <c r="A6456" t="s">
        <v>22221</v>
      </c>
      <c r="B6456" s="1" t="str">
        <f>HYPERLINK("https://www.catalog.slsa.sa.gov.au/record=b2090254")</f>
        <v>https://www.catalog.slsa.sa.gov.au/record=b2090254</v>
      </c>
      <c r="C6456" s="1" t="str">
        <f>HYPERLINK("https://www.catalog.slsa.sa.gov.au/xrecord=b2090254")</f>
        <v>https://www.catalog.slsa.sa.gov.au/xrecord=b2090254</v>
      </c>
      <c r="E6456" t="s">
        <v>15353</v>
      </c>
      <c r="F6456" t="s">
        <v>5021</v>
      </c>
      <c r="G6456" t="s">
        <v>22222</v>
      </c>
      <c r="H6456" t="s">
        <v>22223</v>
      </c>
      <c r="I6456" t="s">
        <v>15400</v>
      </c>
      <c r="J6456" t="s">
        <v>15341</v>
      </c>
      <c r="K6456" s="2" t="str">
        <f>HYPERLINK("http://collections.slsa.sa.gov.au/mpcimg/59000/B58892_90.htm")</f>
        <v>http://collections.slsa.sa.gov.au/mpcimg/59000/B58892_90.htm</v>
      </c>
    </row>
    <row r="6457" spans="1:11" x14ac:dyDescent="0.25">
      <c r="A6457" t="s">
        <v>22224</v>
      </c>
      <c r="B6457" s="1" t="str">
        <f>HYPERLINK("https://www.catalog.slsa.sa.gov.au/record=b2090280")</f>
        <v>https://www.catalog.slsa.sa.gov.au/record=b2090280</v>
      </c>
      <c r="C6457" s="1" t="str">
        <f>HYPERLINK("https://www.catalog.slsa.sa.gov.au/xrecord=b2090280")</f>
        <v>https://www.catalog.slsa.sa.gov.au/xrecord=b2090280</v>
      </c>
      <c r="E6457" t="s">
        <v>15365</v>
      </c>
      <c r="F6457" t="s">
        <v>5021</v>
      </c>
      <c r="G6457" t="s">
        <v>21574</v>
      </c>
      <c r="H6457" t="s">
        <v>19627</v>
      </c>
      <c r="I6457" t="s">
        <v>15356</v>
      </c>
      <c r="J6457" t="s">
        <v>15341</v>
      </c>
      <c r="K6457" s="2" t="str">
        <f>HYPERLINK("http://collections.slsa.sa.gov.au/mpcimg/59000/B58892_126.htm")</f>
        <v>http://collections.slsa.sa.gov.au/mpcimg/59000/B58892_126.htm</v>
      </c>
    </row>
    <row r="6458" spans="1:11" x14ac:dyDescent="0.25">
      <c r="A6458" t="s">
        <v>22225</v>
      </c>
      <c r="B6458" s="1" t="str">
        <f>HYPERLINK("https://www.catalog.slsa.sa.gov.au/record=b2090281")</f>
        <v>https://www.catalog.slsa.sa.gov.au/record=b2090281</v>
      </c>
      <c r="C6458" s="1" t="str">
        <f>HYPERLINK("https://www.catalog.slsa.sa.gov.au/xrecord=b2090281")</f>
        <v>https://www.catalog.slsa.sa.gov.au/xrecord=b2090281</v>
      </c>
      <c r="E6458" t="s">
        <v>15365</v>
      </c>
      <c r="F6458" t="s">
        <v>5021</v>
      </c>
      <c r="G6458" t="s">
        <v>22226</v>
      </c>
      <c r="H6458" t="s">
        <v>22227</v>
      </c>
      <c r="I6458" t="s">
        <v>15400</v>
      </c>
      <c r="J6458" t="s">
        <v>15341</v>
      </c>
      <c r="K6458" s="2" t="str">
        <f>HYPERLINK("http://collections.slsa.sa.gov.au/mpcimg/59000/B58892_127.htm")</f>
        <v>http://collections.slsa.sa.gov.au/mpcimg/59000/B58892_127.htm</v>
      </c>
    </row>
    <row r="6459" spans="1:11" x14ac:dyDescent="0.25">
      <c r="A6459" t="s">
        <v>22228</v>
      </c>
      <c r="B6459" s="1" t="str">
        <f>HYPERLINK("https://www.catalog.slsa.sa.gov.au/record=b2090282")</f>
        <v>https://www.catalog.slsa.sa.gov.au/record=b2090282</v>
      </c>
      <c r="C6459" s="1" t="str">
        <f>HYPERLINK("https://www.catalog.slsa.sa.gov.au/xrecord=b2090282")</f>
        <v>https://www.catalog.slsa.sa.gov.au/xrecord=b2090282</v>
      </c>
      <c r="E6459" t="s">
        <v>15365</v>
      </c>
      <c r="F6459" t="s">
        <v>5021</v>
      </c>
      <c r="G6459" t="s">
        <v>20367</v>
      </c>
      <c r="H6459" t="s">
        <v>15396</v>
      </c>
      <c r="I6459" t="s">
        <v>15340</v>
      </c>
      <c r="J6459" t="s">
        <v>15341</v>
      </c>
      <c r="K6459" s="2" t="str">
        <f>HYPERLINK("http://collections.slsa.sa.gov.au/mpcimg/59000/B58892_128.htm")</f>
        <v>http://collections.slsa.sa.gov.au/mpcimg/59000/B58892_128.htm</v>
      </c>
    </row>
    <row r="6460" spans="1:11" x14ac:dyDescent="0.25">
      <c r="A6460" t="s">
        <v>22229</v>
      </c>
      <c r="B6460" s="1" t="str">
        <f>HYPERLINK("https://www.catalog.slsa.sa.gov.au/record=b2090283")</f>
        <v>https://www.catalog.slsa.sa.gov.au/record=b2090283</v>
      </c>
      <c r="C6460" s="1" t="str">
        <f>HYPERLINK("https://www.catalog.slsa.sa.gov.au/xrecord=b2090283")</f>
        <v>https://www.catalog.slsa.sa.gov.au/xrecord=b2090283</v>
      </c>
      <c r="E6460" t="s">
        <v>15365</v>
      </c>
      <c r="F6460" t="s">
        <v>5021</v>
      </c>
      <c r="G6460" t="s">
        <v>22230</v>
      </c>
      <c r="H6460" t="s">
        <v>19627</v>
      </c>
      <c r="I6460" t="s">
        <v>15356</v>
      </c>
      <c r="J6460" t="s">
        <v>15341</v>
      </c>
      <c r="K6460" s="2" t="str">
        <f>HYPERLINK("http://collections.slsa.sa.gov.au/mpcimg/59000/B58892_129.htm")</f>
        <v>http://collections.slsa.sa.gov.au/mpcimg/59000/B58892_129.htm</v>
      </c>
    </row>
    <row r="6461" spans="1:11" x14ac:dyDescent="0.25">
      <c r="A6461" t="s">
        <v>22231</v>
      </c>
      <c r="B6461" s="1" t="str">
        <f>HYPERLINK("https://www.catalog.slsa.sa.gov.au/record=b2090284")</f>
        <v>https://www.catalog.slsa.sa.gov.au/record=b2090284</v>
      </c>
      <c r="C6461" s="1" t="str">
        <f>HYPERLINK("https://www.catalog.slsa.sa.gov.au/xrecord=b2090284")</f>
        <v>https://www.catalog.slsa.sa.gov.au/xrecord=b2090284</v>
      </c>
      <c r="E6461" t="s">
        <v>15365</v>
      </c>
      <c r="F6461" t="s">
        <v>5021</v>
      </c>
      <c r="G6461" t="s">
        <v>22232</v>
      </c>
      <c r="H6461" t="s">
        <v>22233</v>
      </c>
      <c r="I6461" t="s">
        <v>15400</v>
      </c>
      <c r="J6461" t="s">
        <v>15341</v>
      </c>
      <c r="K6461" s="2" t="str">
        <f>HYPERLINK("http://collections.slsa.sa.gov.au/mpcimg/59000/B58892_130.htm")</f>
        <v>http://collections.slsa.sa.gov.au/mpcimg/59000/B58892_130.htm</v>
      </c>
    </row>
    <row r="6462" spans="1:11" x14ac:dyDescent="0.25">
      <c r="A6462" t="s">
        <v>22234</v>
      </c>
      <c r="B6462" s="1" t="str">
        <f>HYPERLINK("https://www.catalog.slsa.sa.gov.au/record=b2090285")</f>
        <v>https://www.catalog.slsa.sa.gov.au/record=b2090285</v>
      </c>
      <c r="C6462" s="1" t="str">
        <f>HYPERLINK("https://www.catalog.slsa.sa.gov.au/xrecord=b2090285")</f>
        <v>https://www.catalog.slsa.sa.gov.au/xrecord=b2090285</v>
      </c>
      <c r="E6462" t="s">
        <v>15365</v>
      </c>
      <c r="F6462" t="s">
        <v>5021</v>
      </c>
      <c r="G6462" t="s">
        <v>22235</v>
      </c>
      <c r="H6462" t="s">
        <v>22236</v>
      </c>
      <c r="I6462" t="s">
        <v>15400</v>
      </c>
      <c r="J6462" t="s">
        <v>15341</v>
      </c>
      <c r="K6462" s="2" t="str">
        <f>HYPERLINK("http://collections.slsa.sa.gov.au/mpcimg/59000/B58892_131.htm")</f>
        <v>http://collections.slsa.sa.gov.au/mpcimg/59000/B58892_131.htm</v>
      </c>
    </row>
    <row r="6463" spans="1:11" x14ac:dyDescent="0.25">
      <c r="A6463" t="s">
        <v>22237</v>
      </c>
      <c r="B6463" s="1" t="str">
        <f>HYPERLINK("https://www.catalog.slsa.sa.gov.au/record=b2090286")</f>
        <v>https://www.catalog.slsa.sa.gov.au/record=b2090286</v>
      </c>
      <c r="C6463" s="1" t="str">
        <f>HYPERLINK("https://www.catalog.slsa.sa.gov.au/xrecord=b2090286")</f>
        <v>https://www.catalog.slsa.sa.gov.au/xrecord=b2090286</v>
      </c>
      <c r="E6463" t="s">
        <v>15365</v>
      </c>
      <c r="F6463" t="s">
        <v>5021</v>
      </c>
      <c r="G6463" t="s">
        <v>22238</v>
      </c>
      <c r="H6463" t="s">
        <v>22239</v>
      </c>
      <c r="I6463" t="s">
        <v>15400</v>
      </c>
      <c r="J6463" t="s">
        <v>15341</v>
      </c>
      <c r="K6463" s="2" t="str">
        <f>HYPERLINK("http://collections.slsa.sa.gov.au/mpcimg/59000/B58892_132.htm")</f>
        <v>http://collections.slsa.sa.gov.au/mpcimg/59000/B58892_132.htm</v>
      </c>
    </row>
    <row r="6464" spans="1:11" x14ac:dyDescent="0.25">
      <c r="A6464" t="s">
        <v>22240</v>
      </c>
      <c r="B6464" s="1" t="str">
        <f>HYPERLINK("https://www.catalog.slsa.sa.gov.au/record=b2090287")</f>
        <v>https://www.catalog.slsa.sa.gov.au/record=b2090287</v>
      </c>
      <c r="C6464" s="1" t="str">
        <f>HYPERLINK("https://www.catalog.slsa.sa.gov.au/xrecord=b2090287")</f>
        <v>https://www.catalog.slsa.sa.gov.au/xrecord=b2090287</v>
      </c>
      <c r="E6464" t="s">
        <v>15365</v>
      </c>
      <c r="F6464" t="s">
        <v>5021</v>
      </c>
      <c r="G6464" t="s">
        <v>22241</v>
      </c>
      <c r="H6464" t="s">
        <v>22242</v>
      </c>
      <c r="I6464" t="s">
        <v>15400</v>
      </c>
      <c r="J6464" t="s">
        <v>15341</v>
      </c>
      <c r="K6464" s="2" t="str">
        <f>HYPERLINK("http://collections.slsa.sa.gov.au/mpcimg/59000/B58892_133.htm")</f>
        <v>http://collections.slsa.sa.gov.au/mpcimg/59000/B58892_133.htm</v>
      </c>
    </row>
    <row r="6465" spans="1:11" x14ac:dyDescent="0.25">
      <c r="A6465" t="s">
        <v>22243</v>
      </c>
      <c r="B6465" s="1" t="str">
        <f>HYPERLINK("https://www.catalog.slsa.sa.gov.au/record=b2090288")</f>
        <v>https://www.catalog.slsa.sa.gov.au/record=b2090288</v>
      </c>
      <c r="C6465" s="1" t="str">
        <f>HYPERLINK("https://www.catalog.slsa.sa.gov.au/xrecord=b2090288")</f>
        <v>https://www.catalog.slsa.sa.gov.au/xrecord=b2090288</v>
      </c>
      <c r="E6465" t="s">
        <v>15365</v>
      </c>
      <c r="F6465" t="s">
        <v>5021</v>
      </c>
      <c r="G6465" t="s">
        <v>22244</v>
      </c>
      <c r="H6465" t="s">
        <v>22245</v>
      </c>
      <c r="I6465" t="s">
        <v>15400</v>
      </c>
      <c r="J6465" t="s">
        <v>15341</v>
      </c>
      <c r="K6465" s="2" t="str">
        <f>HYPERLINK("http://collections.slsa.sa.gov.au/mpcimg/59000/B58892_134.htm")</f>
        <v>http://collections.slsa.sa.gov.au/mpcimg/59000/B58892_134.htm</v>
      </c>
    </row>
    <row r="6466" spans="1:11" x14ac:dyDescent="0.25">
      <c r="A6466" t="s">
        <v>22246</v>
      </c>
      <c r="B6466" s="1" t="str">
        <f>HYPERLINK("https://www.catalog.slsa.sa.gov.au/record=b2090292")</f>
        <v>https://www.catalog.slsa.sa.gov.au/record=b2090292</v>
      </c>
      <c r="C6466" s="1" t="str">
        <f>HYPERLINK("https://www.catalog.slsa.sa.gov.au/xrecord=b2090292")</f>
        <v>https://www.catalog.slsa.sa.gov.au/xrecord=b2090292</v>
      </c>
      <c r="E6466" t="s">
        <v>19472</v>
      </c>
      <c r="F6466" t="s">
        <v>5021</v>
      </c>
      <c r="G6466" t="s">
        <v>20477</v>
      </c>
      <c r="H6466" t="s">
        <v>22247</v>
      </c>
      <c r="I6466" t="s">
        <v>15400</v>
      </c>
      <c r="J6466" t="s">
        <v>15341</v>
      </c>
      <c r="K6466" s="2" t="str">
        <f>HYPERLINK("http://collections.slsa.sa.gov.au/mpcimg/59000/B58892_107.htm")</f>
        <v>http://collections.slsa.sa.gov.au/mpcimg/59000/B58892_107.htm</v>
      </c>
    </row>
    <row r="6467" spans="1:11" x14ac:dyDescent="0.25">
      <c r="A6467" t="s">
        <v>22248</v>
      </c>
      <c r="B6467" s="1" t="str">
        <f>HYPERLINK("https://www.catalog.slsa.sa.gov.au/record=b2090306")</f>
        <v>https://www.catalog.slsa.sa.gov.au/record=b2090306</v>
      </c>
      <c r="C6467" s="1" t="str">
        <f>HYPERLINK("https://www.catalog.slsa.sa.gov.au/xrecord=b2090306")</f>
        <v>https://www.catalog.slsa.sa.gov.au/xrecord=b2090306</v>
      </c>
      <c r="E6467" t="s">
        <v>19492</v>
      </c>
      <c r="F6467" t="s">
        <v>5021</v>
      </c>
      <c r="G6467" t="s">
        <v>22249</v>
      </c>
      <c r="H6467" t="s">
        <v>22250</v>
      </c>
      <c r="I6467" t="s">
        <v>15400</v>
      </c>
      <c r="J6467" t="s">
        <v>15341</v>
      </c>
      <c r="K6467" s="2" t="str">
        <f>HYPERLINK("http://collections.slsa.sa.gov.au/mpcimg/59000/B58892_142.htm")</f>
        <v>http://collections.slsa.sa.gov.au/mpcimg/59000/B58892_142.htm</v>
      </c>
    </row>
    <row r="6468" spans="1:11" x14ac:dyDescent="0.25">
      <c r="A6468" t="s">
        <v>22251</v>
      </c>
      <c r="B6468" s="1" t="str">
        <f>HYPERLINK("https://www.catalog.slsa.sa.gov.au/record=b2090332")</f>
        <v>https://www.catalog.slsa.sa.gov.au/record=b2090332</v>
      </c>
      <c r="C6468" s="1" t="str">
        <f>HYPERLINK("https://www.catalog.slsa.sa.gov.au/xrecord=b2090332")</f>
        <v>https://www.catalog.slsa.sa.gov.au/xrecord=b2090332</v>
      </c>
      <c r="E6468" t="s">
        <v>19516</v>
      </c>
      <c r="F6468" t="s">
        <v>5021</v>
      </c>
      <c r="G6468" t="s">
        <v>22252</v>
      </c>
      <c r="H6468" t="s">
        <v>22253</v>
      </c>
      <c r="I6468" t="s">
        <v>15400</v>
      </c>
      <c r="J6468" t="s">
        <v>15341</v>
      </c>
      <c r="K6468" s="2" t="str">
        <f>HYPERLINK("http://collections.slsa.sa.gov.au/mpcimg/59000/B58892_168.htm")</f>
        <v>http://collections.slsa.sa.gov.au/mpcimg/59000/B58892_168.htm</v>
      </c>
    </row>
    <row r="6469" spans="1:11" x14ac:dyDescent="0.25">
      <c r="A6469" t="s">
        <v>22254</v>
      </c>
      <c r="B6469" s="1" t="str">
        <f>HYPERLINK("https://www.catalog.slsa.sa.gov.au/record=b2090384")</f>
        <v>https://www.catalog.slsa.sa.gov.au/record=b2090384</v>
      </c>
      <c r="C6469" s="1" t="str">
        <f>HYPERLINK("https://www.catalog.slsa.sa.gov.au/xrecord=b2090384")</f>
        <v>https://www.catalog.slsa.sa.gov.au/xrecord=b2090384</v>
      </c>
      <c r="E6469" t="s">
        <v>15372</v>
      </c>
      <c r="F6469" t="s">
        <v>5021</v>
      </c>
      <c r="G6469" t="s">
        <v>19507</v>
      </c>
      <c r="H6469" t="s">
        <v>22255</v>
      </c>
      <c r="I6469" t="s">
        <v>15340</v>
      </c>
      <c r="J6469" t="s">
        <v>15341</v>
      </c>
      <c r="K6469" s="2" t="str">
        <f>HYPERLINK("http://collections.slsa.sa.gov.au/mpcimg/59000/B58892_220.htm")</f>
        <v>http://collections.slsa.sa.gov.au/mpcimg/59000/B58892_220.htm</v>
      </c>
    </row>
    <row r="6470" spans="1:11" x14ac:dyDescent="0.25">
      <c r="A6470" t="s">
        <v>22256</v>
      </c>
      <c r="B6470" s="1" t="str">
        <f>HYPERLINK("https://www.catalog.slsa.sa.gov.au/record=b2090385")</f>
        <v>https://www.catalog.slsa.sa.gov.au/record=b2090385</v>
      </c>
      <c r="C6470" s="1" t="str">
        <f>HYPERLINK("https://www.catalog.slsa.sa.gov.au/xrecord=b2090385")</f>
        <v>https://www.catalog.slsa.sa.gov.au/xrecord=b2090385</v>
      </c>
      <c r="E6470" t="s">
        <v>15372</v>
      </c>
      <c r="F6470" t="s">
        <v>5021</v>
      </c>
      <c r="G6470" t="s">
        <v>20204</v>
      </c>
      <c r="H6470" t="s">
        <v>19505</v>
      </c>
      <c r="I6470" t="s">
        <v>15340</v>
      </c>
      <c r="J6470" t="s">
        <v>15341</v>
      </c>
      <c r="K6470" s="2" t="str">
        <f>HYPERLINK("http://collections.slsa.sa.gov.au/mpcimg/59000/B58892_221.htm")</f>
        <v>http://collections.slsa.sa.gov.au/mpcimg/59000/B58892_221.htm</v>
      </c>
    </row>
    <row r="6471" spans="1:11" x14ac:dyDescent="0.25">
      <c r="A6471" t="s">
        <v>22257</v>
      </c>
      <c r="B6471" s="1" t="str">
        <f>HYPERLINK("https://www.catalog.slsa.sa.gov.au/record=b2090386")</f>
        <v>https://www.catalog.slsa.sa.gov.au/record=b2090386</v>
      </c>
      <c r="C6471" s="1" t="str">
        <f>HYPERLINK("https://www.catalog.slsa.sa.gov.au/xrecord=b2090386")</f>
        <v>https://www.catalog.slsa.sa.gov.au/xrecord=b2090386</v>
      </c>
      <c r="E6471" t="s">
        <v>15372</v>
      </c>
      <c r="F6471" t="s">
        <v>5021</v>
      </c>
      <c r="G6471" t="s">
        <v>19460</v>
      </c>
      <c r="H6471" t="s">
        <v>22258</v>
      </c>
      <c r="I6471" t="s">
        <v>19408</v>
      </c>
      <c r="J6471" t="s">
        <v>22259</v>
      </c>
      <c r="K6471" s="2" t="str">
        <f>HYPERLINK("http://collections.slsa.sa.gov.au/mpcimg/59000/B58892_222.htm")</f>
        <v>http://collections.slsa.sa.gov.au/mpcimg/59000/B58892_222.htm</v>
      </c>
    </row>
    <row r="6472" spans="1:11" x14ac:dyDescent="0.25">
      <c r="A6472" t="s">
        <v>22260</v>
      </c>
      <c r="B6472" s="1" t="str">
        <f>HYPERLINK("https://www.catalog.slsa.sa.gov.au/record=b2090400")</f>
        <v>https://www.catalog.slsa.sa.gov.au/record=b2090400</v>
      </c>
      <c r="C6472" s="1" t="str">
        <f>HYPERLINK("https://www.catalog.slsa.sa.gov.au/xrecord=b2090400")</f>
        <v>https://www.catalog.slsa.sa.gov.au/xrecord=b2090400</v>
      </c>
      <c r="E6472" t="s">
        <v>21547</v>
      </c>
      <c r="F6472" t="s">
        <v>5021</v>
      </c>
      <c r="G6472" t="s">
        <v>20356</v>
      </c>
      <c r="H6472" t="s">
        <v>22261</v>
      </c>
      <c r="I6472" t="s">
        <v>15400</v>
      </c>
      <c r="J6472" t="s">
        <v>15341</v>
      </c>
      <c r="K6472" s="2" t="str">
        <f>HYPERLINK("http://collections.slsa.sa.gov.au/mpcimg/59000/B58892_236.htm")</f>
        <v>http://collections.slsa.sa.gov.au/mpcimg/59000/B58892_236.htm</v>
      </c>
    </row>
    <row r="6473" spans="1:11" x14ac:dyDescent="0.25">
      <c r="A6473" t="s">
        <v>22262</v>
      </c>
      <c r="B6473" s="1" t="str">
        <f>HYPERLINK("https://www.catalog.slsa.sa.gov.au/record=b2090402")</f>
        <v>https://www.catalog.slsa.sa.gov.au/record=b2090402</v>
      </c>
      <c r="C6473" s="1" t="str">
        <f>HYPERLINK("https://www.catalog.slsa.sa.gov.au/xrecord=b2090402")</f>
        <v>https://www.catalog.slsa.sa.gov.au/xrecord=b2090402</v>
      </c>
      <c r="E6473" t="s">
        <v>21547</v>
      </c>
      <c r="F6473" t="s">
        <v>5021</v>
      </c>
      <c r="G6473" t="s">
        <v>22263</v>
      </c>
      <c r="H6473" t="s">
        <v>22264</v>
      </c>
      <c r="I6473" t="s">
        <v>15400</v>
      </c>
      <c r="J6473" t="s">
        <v>15341</v>
      </c>
      <c r="K6473" s="2" t="str">
        <f>HYPERLINK("http://collections.slsa.sa.gov.au/mpcimg/59000/B58892_238.htm")</f>
        <v>http://collections.slsa.sa.gov.au/mpcimg/59000/B58892_238.htm</v>
      </c>
    </row>
    <row r="6474" spans="1:11" x14ac:dyDescent="0.25">
      <c r="A6474" t="s">
        <v>22265</v>
      </c>
      <c r="B6474" s="1" t="str">
        <f>HYPERLINK("https://www.catalog.slsa.sa.gov.au/record=b2090405")</f>
        <v>https://www.catalog.slsa.sa.gov.au/record=b2090405</v>
      </c>
      <c r="C6474" s="1" t="str">
        <f>HYPERLINK("https://www.catalog.slsa.sa.gov.au/xrecord=b2090405")</f>
        <v>https://www.catalog.slsa.sa.gov.au/xrecord=b2090405</v>
      </c>
      <c r="E6474" t="s">
        <v>21547</v>
      </c>
      <c r="F6474" t="s">
        <v>5021</v>
      </c>
      <c r="G6474" t="s">
        <v>22266</v>
      </c>
      <c r="H6474" t="s">
        <v>22267</v>
      </c>
      <c r="I6474" t="s">
        <v>15400</v>
      </c>
      <c r="J6474" t="s">
        <v>15341</v>
      </c>
      <c r="K6474" s="2" t="str">
        <f>HYPERLINK("http://collections.slsa.sa.gov.au/mpcimg/59000/B58892_241.htm")</f>
        <v>http://collections.slsa.sa.gov.au/mpcimg/59000/B58892_241.htm</v>
      </c>
    </row>
    <row r="6475" spans="1:11" x14ac:dyDescent="0.25">
      <c r="A6475" t="s">
        <v>22268</v>
      </c>
      <c r="B6475" s="1" t="str">
        <f>HYPERLINK("https://www.catalog.slsa.sa.gov.au/record=b2090406")</f>
        <v>https://www.catalog.slsa.sa.gov.au/record=b2090406</v>
      </c>
      <c r="C6475" s="1" t="str">
        <f>HYPERLINK("https://www.catalog.slsa.sa.gov.au/xrecord=b2090406")</f>
        <v>https://www.catalog.slsa.sa.gov.au/xrecord=b2090406</v>
      </c>
      <c r="E6475" t="s">
        <v>21547</v>
      </c>
      <c r="F6475" t="s">
        <v>5021</v>
      </c>
      <c r="G6475" t="s">
        <v>19504</v>
      </c>
      <c r="H6475" t="s">
        <v>20228</v>
      </c>
      <c r="I6475" t="s">
        <v>15400</v>
      </c>
      <c r="J6475" t="s">
        <v>15341</v>
      </c>
      <c r="K6475" s="2" t="str">
        <f>HYPERLINK("http://collections.slsa.sa.gov.au/mpcimg/59000/B58892_242.htm")</f>
        <v>http://collections.slsa.sa.gov.au/mpcimg/59000/B58892_242.htm</v>
      </c>
    </row>
    <row r="6476" spans="1:11" x14ac:dyDescent="0.25">
      <c r="A6476" t="s">
        <v>22269</v>
      </c>
      <c r="B6476" s="1" t="str">
        <f>HYPERLINK("https://www.catalog.slsa.sa.gov.au/record=b2090407")</f>
        <v>https://www.catalog.slsa.sa.gov.au/record=b2090407</v>
      </c>
      <c r="C6476" s="1" t="str">
        <f>HYPERLINK("https://www.catalog.slsa.sa.gov.au/xrecord=b2090407")</f>
        <v>https://www.catalog.slsa.sa.gov.au/xrecord=b2090407</v>
      </c>
      <c r="E6476" t="s">
        <v>21547</v>
      </c>
      <c r="F6476" t="s">
        <v>5021</v>
      </c>
      <c r="G6476" t="s">
        <v>22270</v>
      </c>
      <c r="H6476" t="s">
        <v>20228</v>
      </c>
      <c r="I6476" t="s">
        <v>15400</v>
      </c>
      <c r="J6476" t="s">
        <v>15341</v>
      </c>
      <c r="K6476" s="2" t="str">
        <f>HYPERLINK("http://collections.slsa.sa.gov.au/mpcimg/59000/B58892_243.htm")</f>
        <v>http://collections.slsa.sa.gov.au/mpcimg/59000/B58892_243.htm</v>
      </c>
    </row>
    <row r="6477" spans="1:11" x14ac:dyDescent="0.25">
      <c r="A6477" t="s">
        <v>22271</v>
      </c>
      <c r="B6477" s="1" t="str">
        <f>HYPERLINK("https://www.catalog.slsa.sa.gov.au/record=b2090408")</f>
        <v>https://www.catalog.slsa.sa.gov.au/record=b2090408</v>
      </c>
      <c r="C6477" s="1" t="str">
        <f>HYPERLINK("https://www.catalog.slsa.sa.gov.au/xrecord=b2090408")</f>
        <v>https://www.catalog.slsa.sa.gov.au/xrecord=b2090408</v>
      </c>
      <c r="E6477" t="s">
        <v>21547</v>
      </c>
      <c r="F6477" t="s">
        <v>5021</v>
      </c>
      <c r="G6477" t="s">
        <v>21432</v>
      </c>
      <c r="H6477" t="s">
        <v>22272</v>
      </c>
      <c r="I6477" t="s">
        <v>15400</v>
      </c>
      <c r="J6477" t="s">
        <v>15341</v>
      </c>
      <c r="K6477" s="2" t="str">
        <f>HYPERLINK("http://collections.slsa.sa.gov.au/mpcimg/59000/B58892_244.htm")</f>
        <v>http://collections.slsa.sa.gov.au/mpcimg/59000/B58892_244.htm</v>
      </c>
    </row>
    <row r="6478" spans="1:11" x14ac:dyDescent="0.25">
      <c r="A6478" t="s">
        <v>22273</v>
      </c>
      <c r="B6478" s="1" t="str">
        <f>HYPERLINK("https://www.catalog.slsa.sa.gov.au/record=b2090409")</f>
        <v>https://www.catalog.slsa.sa.gov.au/record=b2090409</v>
      </c>
      <c r="C6478" s="1" t="str">
        <f>HYPERLINK("https://www.catalog.slsa.sa.gov.au/xrecord=b2090409")</f>
        <v>https://www.catalog.slsa.sa.gov.au/xrecord=b2090409</v>
      </c>
      <c r="E6478" t="s">
        <v>21547</v>
      </c>
      <c r="F6478" t="s">
        <v>5021</v>
      </c>
      <c r="G6478" t="s">
        <v>22274</v>
      </c>
      <c r="H6478" t="s">
        <v>22275</v>
      </c>
      <c r="I6478" t="s">
        <v>19408</v>
      </c>
      <c r="J6478" t="s">
        <v>22259</v>
      </c>
      <c r="K6478" s="2" t="str">
        <f>HYPERLINK("http://collections.slsa.sa.gov.au/mpcimg/59000/B58892_245.htm")</f>
        <v>http://collections.slsa.sa.gov.au/mpcimg/59000/B58892_245.htm</v>
      </c>
    </row>
    <row r="6479" spans="1:11" x14ac:dyDescent="0.25">
      <c r="A6479" t="s">
        <v>22276</v>
      </c>
      <c r="B6479" s="1" t="str">
        <f>HYPERLINK("https://www.catalog.slsa.sa.gov.au/record=b2090410")</f>
        <v>https://www.catalog.slsa.sa.gov.au/record=b2090410</v>
      </c>
      <c r="C6479" s="1" t="str">
        <f>HYPERLINK("https://www.catalog.slsa.sa.gov.au/xrecord=b2090410")</f>
        <v>https://www.catalog.slsa.sa.gov.au/xrecord=b2090410</v>
      </c>
      <c r="E6479" t="s">
        <v>21547</v>
      </c>
      <c r="F6479" t="s">
        <v>5021</v>
      </c>
      <c r="G6479" t="s">
        <v>20185</v>
      </c>
      <c r="H6479" t="s">
        <v>22275</v>
      </c>
      <c r="I6479" t="s">
        <v>15400</v>
      </c>
      <c r="J6479" t="s">
        <v>15341</v>
      </c>
      <c r="K6479" s="2" t="str">
        <f>HYPERLINK("http://collections.slsa.sa.gov.au/mpcimg/59000/B58892_246.htm")</f>
        <v>http://collections.slsa.sa.gov.au/mpcimg/59000/B58892_246.htm</v>
      </c>
    </row>
    <row r="6480" spans="1:11" x14ac:dyDescent="0.25">
      <c r="A6480" t="s">
        <v>22277</v>
      </c>
      <c r="B6480" s="1" t="str">
        <f>HYPERLINK("https://www.catalog.slsa.sa.gov.au/record=b2090446")</f>
        <v>https://www.catalog.slsa.sa.gov.au/record=b2090446</v>
      </c>
      <c r="C6480" s="1" t="str">
        <f>HYPERLINK("https://www.catalog.slsa.sa.gov.au/xrecord=b2090446")</f>
        <v>https://www.catalog.slsa.sa.gov.au/xrecord=b2090446</v>
      </c>
      <c r="E6480" t="s">
        <v>19612</v>
      </c>
      <c r="F6480" t="s">
        <v>5021</v>
      </c>
      <c r="G6480" t="s">
        <v>22278</v>
      </c>
      <c r="H6480" t="s">
        <v>22279</v>
      </c>
      <c r="I6480" t="s">
        <v>15400</v>
      </c>
      <c r="J6480" t="s">
        <v>15341</v>
      </c>
      <c r="K6480" s="2" t="str">
        <f>HYPERLINK("http://collections.slsa.sa.gov.au/mpcimg/59000/B58892_282.htm")</f>
        <v>http://collections.slsa.sa.gov.au/mpcimg/59000/B58892_282.htm</v>
      </c>
    </row>
    <row r="6481" spans="1:11" x14ac:dyDescent="0.25">
      <c r="A6481" t="s">
        <v>22280</v>
      </c>
      <c r="B6481" s="1" t="str">
        <f>HYPERLINK("https://www.catalog.slsa.sa.gov.au/record=b2090466")</f>
        <v>https://www.catalog.slsa.sa.gov.au/record=b2090466</v>
      </c>
      <c r="C6481" s="1" t="str">
        <f>HYPERLINK("https://www.catalog.slsa.sa.gov.au/xrecord=b2090466")</f>
        <v>https://www.catalog.slsa.sa.gov.au/xrecord=b2090466</v>
      </c>
      <c r="E6481" t="s">
        <v>19625</v>
      </c>
      <c r="F6481" t="s">
        <v>5021</v>
      </c>
      <c r="G6481" t="s">
        <v>22281</v>
      </c>
      <c r="H6481" t="s">
        <v>20240</v>
      </c>
      <c r="I6481" t="s">
        <v>19408</v>
      </c>
      <c r="J6481" t="s">
        <v>15341</v>
      </c>
      <c r="K6481" s="2" t="str">
        <f>HYPERLINK("http://collections.slsa.sa.gov.au/mpcimg/59000/B58892_302.htm")</f>
        <v>http://collections.slsa.sa.gov.au/mpcimg/59000/B58892_302.htm</v>
      </c>
    </row>
    <row r="6482" spans="1:11" x14ac:dyDescent="0.25">
      <c r="A6482" t="s">
        <v>22282</v>
      </c>
      <c r="B6482" s="1" t="str">
        <f>HYPERLINK("https://www.catalog.slsa.sa.gov.au/record=b2090467")</f>
        <v>https://www.catalog.slsa.sa.gov.au/record=b2090467</v>
      </c>
      <c r="C6482" s="1" t="str">
        <f>HYPERLINK("https://www.catalog.slsa.sa.gov.au/xrecord=b2090467")</f>
        <v>https://www.catalog.slsa.sa.gov.au/xrecord=b2090467</v>
      </c>
      <c r="E6482" t="s">
        <v>19625</v>
      </c>
      <c r="F6482" t="s">
        <v>5021</v>
      </c>
      <c r="G6482" t="s">
        <v>22283</v>
      </c>
      <c r="H6482" t="s">
        <v>22284</v>
      </c>
      <c r="I6482" t="s">
        <v>15400</v>
      </c>
      <c r="J6482" t="s">
        <v>15341</v>
      </c>
      <c r="K6482" s="2" t="str">
        <f>HYPERLINK("http://collections.slsa.sa.gov.au/mpcimg/59000/B58892_303.htm")</f>
        <v>http://collections.slsa.sa.gov.au/mpcimg/59000/B58892_303.htm</v>
      </c>
    </row>
    <row r="6483" spans="1:11" x14ac:dyDescent="0.25">
      <c r="A6483" t="s">
        <v>22285</v>
      </c>
      <c r="B6483" s="1" t="str">
        <f>HYPERLINK("https://www.catalog.slsa.sa.gov.au/record=b2090468")</f>
        <v>https://www.catalog.slsa.sa.gov.au/record=b2090468</v>
      </c>
      <c r="C6483" s="1" t="str">
        <f>HYPERLINK("https://www.catalog.slsa.sa.gov.au/xrecord=b2090468")</f>
        <v>https://www.catalog.slsa.sa.gov.au/xrecord=b2090468</v>
      </c>
      <c r="E6483" t="s">
        <v>19625</v>
      </c>
      <c r="F6483" t="s">
        <v>5021</v>
      </c>
      <c r="G6483" t="s">
        <v>22286</v>
      </c>
      <c r="H6483" t="s">
        <v>20216</v>
      </c>
      <c r="I6483" t="s">
        <v>15400</v>
      </c>
      <c r="J6483" t="s">
        <v>15341</v>
      </c>
      <c r="K6483" s="2" t="str">
        <f>HYPERLINK("http://collections.slsa.sa.gov.au/mpcimg/59000/B58892_304.htm")</f>
        <v>http://collections.slsa.sa.gov.au/mpcimg/59000/B58892_304.htm</v>
      </c>
    </row>
    <row r="6484" spans="1:11" x14ac:dyDescent="0.25">
      <c r="A6484" t="s">
        <v>22287</v>
      </c>
      <c r="B6484" s="1" t="str">
        <f>HYPERLINK("https://www.catalog.slsa.sa.gov.au/record=b2090471")</f>
        <v>https://www.catalog.slsa.sa.gov.au/record=b2090471</v>
      </c>
      <c r="C6484" s="1" t="str">
        <f>HYPERLINK("https://www.catalog.slsa.sa.gov.au/xrecord=b2090471")</f>
        <v>https://www.catalog.slsa.sa.gov.au/xrecord=b2090471</v>
      </c>
      <c r="E6484" t="s">
        <v>22288</v>
      </c>
      <c r="F6484" t="s">
        <v>5021</v>
      </c>
      <c r="G6484" t="s">
        <v>22289</v>
      </c>
      <c r="H6484" t="s">
        <v>22290</v>
      </c>
      <c r="I6484" t="s">
        <v>17710</v>
      </c>
      <c r="J6484" t="s">
        <v>15341</v>
      </c>
      <c r="K6484" s="2" t="str">
        <f>HYPERLINK("http://collections.slsa.sa.gov.au/mpcimg/59000/B58892_307.htm")</f>
        <v>http://collections.slsa.sa.gov.au/mpcimg/59000/B58892_307.htm</v>
      </c>
    </row>
    <row r="6485" spans="1:11" x14ac:dyDescent="0.25">
      <c r="A6485" t="s">
        <v>22291</v>
      </c>
      <c r="B6485" s="1" t="str">
        <f>HYPERLINK("https://www.catalog.slsa.sa.gov.au/record=b2090472")</f>
        <v>https://www.catalog.slsa.sa.gov.au/record=b2090472</v>
      </c>
      <c r="C6485" s="1" t="str">
        <f>HYPERLINK("https://www.catalog.slsa.sa.gov.au/xrecord=b2090472")</f>
        <v>https://www.catalog.slsa.sa.gov.au/xrecord=b2090472</v>
      </c>
      <c r="E6485" t="s">
        <v>22292</v>
      </c>
      <c r="F6485" t="s">
        <v>5021</v>
      </c>
      <c r="G6485" t="s">
        <v>22201</v>
      </c>
      <c r="H6485" t="s">
        <v>22293</v>
      </c>
      <c r="I6485" t="s">
        <v>19635</v>
      </c>
      <c r="J6485" t="s">
        <v>15341</v>
      </c>
      <c r="K6485" s="2" t="str">
        <f>HYPERLINK("http://collections.slsa.sa.gov.au/mpcimg/59000/B58892_308.htm")</f>
        <v>http://collections.slsa.sa.gov.au/mpcimg/59000/B58892_308.htm</v>
      </c>
    </row>
    <row r="6486" spans="1:11" x14ac:dyDescent="0.25">
      <c r="A6486" t="s">
        <v>22294</v>
      </c>
      <c r="B6486" s="1" t="str">
        <f>HYPERLINK("https://www.catalog.slsa.sa.gov.au/record=b2090473")</f>
        <v>https://www.catalog.slsa.sa.gov.au/record=b2090473</v>
      </c>
      <c r="C6486" s="1" t="str">
        <f>HYPERLINK("https://www.catalog.slsa.sa.gov.au/xrecord=b2090473")</f>
        <v>https://www.catalog.slsa.sa.gov.au/xrecord=b2090473</v>
      </c>
      <c r="E6486" t="s">
        <v>19625</v>
      </c>
      <c r="F6486" t="s">
        <v>5021</v>
      </c>
      <c r="G6486" t="s">
        <v>20253</v>
      </c>
      <c r="H6486" t="s">
        <v>22295</v>
      </c>
      <c r="I6486" t="s">
        <v>15400</v>
      </c>
      <c r="J6486" t="s">
        <v>15341</v>
      </c>
      <c r="K6486" s="2" t="str">
        <f>HYPERLINK("http://collections.slsa.sa.gov.au/mpcimg/59000/B58892_309.htm")</f>
        <v>http://collections.slsa.sa.gov.au/mpcimg/59000/B58892_309.htm</v>
      </c>
    </row>
    <row r="6487" spans="1:11" x14ac:dyDescent="0.25">
      <c r="A6487" t="s">
        <v>22296</v>
      </c>
      <c r="B6487" s="1" t="str">
        <f>HYPERLINK("https://www.catalog.slsa.sa.gov.au/record=b2090474")</f>
        <v>https://www.catalog.slsa.sa.gov.au/record=b2090474</v>
      </c>
      <c r="C6487" s="1" t="str">
        <f>HYPERLINK("https://www.catalog.slsa.sa.gov.au/xrecord=b2090474")</f>
        <v>https://www.catalog.slsa.sa.gov.au/xrecord=b2090474</v>
      </c>
      <c r="E6487" t="s">
        <v>19625</v>
      </c>
      <c r="F6487" t="s">
        <v>5021</v>
      </c>
      <c r="G6487" t="s">
        <v>19626</v>
      </c>
      <c r="H6487" t="s">
        <v>22297</v>
      </c>
      <c r="I6487" t="s">
        <v>15400</v>
      </c>
      <c r="J6487" t="s">
        <v>15341</v>
      </c>
      <c r="K6487" s="2" t="str">
        <f>HYPERLINK("http://collections.slsa.sa.gov.au/mpcimg/59000/B58892_310.htm")</f>
        <v>http://collections.slsa.sa.gov.au/mpcimg/59000/B58892_310.htm</v>
      </c>
    </row>
    <row r="6488" spans="1:11" x14ac:dyDescent="0.25">
      <c r="A6488" t="s">
        <v>22298</v>
      </c>
      <c r="B6488" s="1" t="str">
        <f>HYPERLINK("https://www.catalog.slsa.sa.gov.au/record=b2090475")</f>
        <v>https://www.catalog.slsa.sa.gov.au/record=b2090475</v>
      </c>
      <c r="C6488" s="1" t="str">
        <f>HYPERLINK("https://www.catalog.slsa.sa.gov.au/xrecord=b2090475")</f>
        <v>https://www.catalog.slsa.sa.gov.au/xrecord=b2090475</v>
      </c>
      <c r="E6488" t="s">
        <v>19625</v>
      </c>
      <c r="F6488" t="s">
        <v>5021</v>
      </c>
      <c r="G6488" t="s">
        <v>22299</v>
      </c>
      <c r="H6488" t="s">
        <v>20269</v>
      </c>
      <c r="I6488" t="s">
        <v>15400</v>
      </c>
      <c r="J6488" t="s">
        <v>15341</v>
      </c>
      <c r="K6488" s="2" t="str">
        <f>HYPERLINK("http://collections.slsa.sa.gov.au/mpcimg/59000/B58892_311.htm")</f>
        <v>http://collections.slsa.sa.gov.au/mpcimg/59000/B58892_311.htm</v>
      </c>
    </row>
    <row r="6489" spans="1:11" x14ac:dyDescent="0.25">
      <c r="A6489" t="s">
        <v>22300</v>
      </c>
      <c r="B6489" s="1" t="str">
        <f>HYPERLINK("https://www.catalog.slsa.sa.gov.au/record=b2090476")</f>
        <v>https://www.catalog.slsa.sa.gov.au/record=b2090476</v>
      </c>
      <c r="C6489" s="1" t="str">
        <f>HYPERLINK("https://www.catalog.slsa.sa.gov.au/xrecord=b2090476")</f>
        <v>https://www.catalog.slsa.sa.gov.au/xrecord=b2090476</v>
      </c>
      <c r="E6489" t="s">
        <v>19625</v>
      </c>
      <c r="F6489" t="s">
        <v>5021</v>
      </c>
      <c r="G6489" t="s">
        <v>19469</v>
      </c>
      <c r="H6489" t="s">
        <v>20269</v>
      </c>
      <c r="I6489" t="s">
        <v>15400</v>
      </c>
      <c r="J6489" t="s">
        <v>15341</v>
      </c>
      <c r="K6489" s="2" t="str">
        <f>HYPERLINK("http://collections.slsa.sa.gov.au/mpcimg/59000/B58892_312.htm")</f>
        <v>http://collections.slsa.sa.gov.au/mpcimg/59000/B58892_312.htm</v>
      </c>
    </row>
    <row r="6490" spans="1:11" x14ac:dyDescent="0.25">
      <c r="A6490" t="s">
        <v>22301</v>
      </c>
      <c r="B6490" s="1" t="str">
        <f>HYPERLINK("https://www.catalog.slsa.sa.gov.au/record=b2090477")</f>
        <v>https://www.catalog.slsa.sa.gov.au/record=b2090477</v>
      </c>
      <c r="C6490" s="1" t="str">
        <f>HYPERLINK("https://www.catalog.slsa.sa.gov.au/xrecord=b2090477")</f>
        <v>https://www.catalog.slsa.sa.gov.au/xrecord=b2090477</v>
      </c>
      <c r="E6490" t="s">
        <v>19625</v>
      </c>
      <c r="F6490" t="s">
        <v>5021</v>
      </c>
      <c r="G6490" t="s">
        <v>19442</v>
      </c>
      <c r="H6490" t="s">
        <v>20216</v>
      </c>
      <c r="I6490" t="s">
        <v>15400</v>
      </c>
      <c r="J6490" t="s">
        <v>15341</v>
      </c>
      <c r="K6490" s="2" t="str">
        <f>HYPERLINK("http://collections.slsa.sa.gov.au/mpcimg/59000/B58892_313.htm")</f>
        <v>http://collections.slsa.sa.gov.au/mpcimg/59000/B58892_313.htm</v>
      </c>
    </row>
    <row r="6491" spans="1:11" x14ac:dyDescent="0.25">
      <c r="A6491" t="s">
        <v>22302</v>
      </c>
      <c r="B6491" s="1" t="str">
        <f>HYPERLINK("https://www.catalog.slsa.sa.gov.au/record=b2090478")</f>
        <v>https://www.catalog.slsa.sa.gov.au/record=b2090478</v>
      </c>
      <c r="C6491" s="1" t="str">
        <f>HYPERLINK("https://www.catalog.slsa.sa.gov.au/xrecord=b2090478")</f>
        <v>https://www.catalog.slsa.sa.gov.au/xrecord=b2090478</v>
      </c>
      <c r="E6491" t="s">
        <v>19625</v>
      </c>
      <c r="F6491" t="s">
        <v>5021</v>
      </c>
      <c r="G6491" t="s">
        <v>22278</v>
      </c>
      <c r="H6491" t="s">
        <v>20269</v>
      </c>
      <c r="I6491" t="s">
        <v>15400</v>
      </c>
      <c r="J6491" t="s">
        <v>15341</v>
      </c>
      <c r="K6491" s="2" t="str">
        <f>HYPERLINK("http://collections.slsa.sa.gov.au/mpcimg/59000/B58892_314.htm")</f>
        <v>http://collections.slsa.sa.gov.au/mpcimg/59000/B58892_314.htm</v>
      </c>
    </row>
    <row r="6492" spans="1:11" x14ac:dyDescent="0.25">
      <c r="A6492" t="s">
        <v>22303</v>
      </c>
      <c r="B6492" s="1" t="str">
        <f>HYPERLINK("https://www.catalog.slsa.sa.gov.au/record=b2090479")</f>
        <v>https://www.catalog.slsa.sa.gov.au/record=b2090479</v>
      </c>
      <c r="C6492" s="1" t="str">
        <f>HYPERLINK("https://www.catalog.slsa.sa.gov.au/xrecord=b2090479")</f>
        <v>https://www.catalog.slsa.sa.gov.au/xrecord=b2090479</v>
      </c>
      <c r="E6492" t="s">
        <v>19625</v>
      </c>
      <c r="F6492" t="s">
        <v>5021</v>
      </c>
      <c r="G6492" t="s">
        <v>19433</v>
      </c>
      <c r="H6492" t="s">
        <v>22304</v>
      </c>
      <c r="I6492" t="s">
        <v>17710</v>
      </c>
      <c r="J6492" t="s">
        <v>15341</v>
      </c>
      <c r="K6492" s="2" t="str">
        <f>HYPERLINK("http://collections.slsa.sa.gov.au/mpcimg/59000/B58892_315.htm")</f>
        <v>http://collections.slsa.sa.gov.au/mpcimg/59000/B58892_315.htm</v>
      </c>
    </row>
    <row r="6493" spans="1:11" x14ac:dyDescent="0.25">
      <c r="A6493" t="s">
        <v>22305</v>
      </c>
      <c r="B6493" s="1" t="str">
        <f>HYPERLINK("https://www.catalog.slsa.sa.gov.au/record=b2090480")</f>
        <v>https://www.catalog.slsa.sa.gov.au/record=b2090480</v>
      </c>
      <c r="C6493" s="1" t="str">
        <f>HYPERLINK("https://www.catalog.slsa.sa.gov.au/xrecord=b2090480")</f>
        <v>https://www.catalog.slsa.sa.gov.au/xrecord=b2090480</v>
      </c>
      <c r="E6493" t="s">
        <v>19625</v>
      </c>
      <c r="F6493" t="s">
        <v>5021</v>
      </c>
      <c r="G6493" t="s">
        <v>21560</v>
      </c>
      <c r="H6493" t="s">
        <v>22306</v>
      </c>
      <c r="I6493" t="s">
        <v>15400</v>
      </c>
      <c r="J6493" t="s">
        <v>15341</v>
      </c>
      <c r="K6493" s="2" t="str">
        <f>HYPERLINK("http://collections.slsa.sa.gov.au/mpcimg/59000/B58892_316.htm")</f>
        <v>http://collections.slsa.sa.gov.au/mpcimg/59000/B58892_316.htm</v>
      </c>
    </row>
    <row r="6494" spans="1:11" x14ac:dyDescent="0.25">
      <c r="A6494" t="s">
        <v>22307</v>
      </c>
      <c r="B6494" s="1" t="str">
        <f>HYPERLINK("https://www.catalog.slsa.sa.gov.au/record=b2090481")</f>
        <v>https://www.catalog.slsa.sa.gov.au/record=b2090481</v>
      </c>
      <c r="C6494" s="1" t="str">
        <f>HYPERLINK("https://www.catalog.slsa.sa.gov.au/xrecord=b2090481")</f>
        <v>https://www.catalog.slsa.sa.gov.au/xrecord=b2090481</v>
      </c>
      <c r="E6494" t="s">
        <v>19625</v>
      </c>
      <c r="F6494" t="s">
        <v>5021</v>
      </c>
      <c r="G6494" t="s">
        <v>22289</v>
      </c>
      <c r="H6494" t="s">
        <v>22306</v>
      </c>
      <c r="I6494" t="s">
        <v>15400</v>
      </c>
      <c r="J6494" t="s">
        <v>15341</v>
      </c>
      <c r="K6494" s="2" t="str">
        <f>HYPERLINK("http://collections.slsa.sa.gov.au/mpcimg/59000/B58892_317.htm")</f>
        <v>http://collections.slsa.sa.gov.au/mpcimg/59000/B58892_317.htm</v>
      </c>
    </row>
    <row r="6495" spans="1:11" x14ac:dyDescent="0.25">
      <c r="A6495" t="s">
        <v>22308</v>
      </c>
      <c r="B6495" s="1" t="str">
        <f>HYPERLINK("https://www.catalog.slsa.sa.gov.au/record=b2090482")</f>
        <v>https://www.catalog.slsa.sa.gov.au/record=b2090482</v>
      </c>
      <c r="C6495" s="1" t="str">
        <f>HYPERLINK("https://www.catalog.slsa.sa.gov.au/xrecord=b2090482")</f>
        <v>https://www.catalog.slsa.sa.gov.au/xrecord=b2090482</v>
      </c>
      <c r="E6495" t="s">
        <v>19625</v>
      </c>
      <c r="F6495" t="s">
        <v>5021</v>
      </c>
      <c r="G6495" t="s">
        <v>22309</v>
      </c>
      <c r="H6495" t="s">
        <v>22310</v>
      </c>
      <c r="I6495" t="s">
        <v>19408</v>
      </c>
      <c r="J6495" t="s">
        <v>15341</v>
      </c>
      <c r="K6495" s="2" t="str">
        <f>HYPERLINK("http://collections.slsa.sa.gov.au/mpcimg/59000/B58892_318.htm")</f>
        <v>http://collections.slsa.sa.gov.au/mpcimg/59000/B58892_318.htm</v>
      </c>
    </row>
    <row r="6496" spans="1:11" x14ac:dyDescent="0.25">
      <c r="A6496" t="s">
        <v>22311</v>
      </c>
      <c r="B6496" s="1" t="str">
        <f>HYPERLINK("https://www.catalog.slsa.sa.gov.au/record=b2090483")</f>
        <v>https://www.catalog.slsa.sa.gov.au/record=b2090483</v>
      </c>
      <c r="C6496" s="1" t="str">
        <f>HYPERLINK("https://www.catalog.slsa.sa.gov.au/xrecord=b2090483")</f>
        <v>https://www.catalog.slsa.sa.gov.au/xrecord=b2090483</v>
      </c>
      <c r="E6496" t="s">
        <v>19625</v>
      </c>
      <c r="F6496" t="s">
        <v>5021</v>
      </c>
      <c r="G6496" t="s">
        <v>20498</v>
      </c>
      <c r="H6496" t="s">
        <v>22312</v>
      </c>
      <c r="I6496" t="s">
        <v>15400</v>
      </c>
      <c r="J6496" t="s">
        <v>15341</v>
      </c>
      <c r="K6496" s="2" t="str">
        <f>HYPERLINK("http://collections.slsa.sa.gov.au/mpcimg/59000/B58892_319.htm")</f>
        <v>http://collections.slsa.sa.gov.au/mpcimg/59000/B58892_319.htm</v>
      </c>
    </row>
    <row r="6497" spans="1:11" x14ac:dyDescent="0.25">
      <c r="A6497" t="s">
        <v>22313</v>
      </c>
      <c r="B6497" s="1" t="str">
        <f>HYPERLINK("https://www.catalog.slsa.sa.gov.au/record=b2090484")</f>
        <v>https://www.catalog.slsa.sa.gov.au/record=b2090484</v>
      </c>
      <c r="C6497" s="1" t="str">
        <f>HYPERLINK("https://www.catalog.slsa.sa.gov.au/xrecord=b2090484")</f>
        <v>https://www.catalog.slsa.sa.gov.au/xrecord=b2090484</v>
      </c>
      <c r="E6497" t="s">
        <v>19625</v>
      </c>
      <c r="F6497" t="s">
        <v>5021</v>
      </c>
      <c r="G6497" t="s">
        <v>19572</v>
      </c>
      <c r="H6497" t="s">
        <v>15399</v>
      </c>
      <c r="I6497" t="s">
        <v>15400</v>
      </c>
      <c r="J6497" t="s">
        <v>15341</v>
      </c>
      <c r="K6497" s="2" t="str">
        <f>HYPERLINK("http://collections.slsa.sa.gov.au/mpcimg/59000/B58892_320.htm")</f>
        <v>http://collections.slsa.sa.gov.au/mpcimg/59000/B58892_320.htm</v>
      </c>
    </row>
    <row r="6498" spans="1:11" x14ac:dyDescent="0.25">
      <c r="A6498" t="s">
        <v>22314</v>
      </c>
      <c r="B6498" s="1" t="str">
        <f>HYPERLINK("https://www.catalog.slsa.sa.gov.au/record=b2090485")</f>
        <v>https://www.catalog.slsa.sa.gov.au/record=b2090485</v>
      </c>
      <c r="C6498" s="1" t="str">
        <f>HYPERLINK("https://www.catalog.slsa.sa.gov.au/xrecord=b2090485")</f>
        <v>https://www.catalog.slsa.sa.gov.au/xrecord=b2090485</v>
      </c>
      <c r="E6498" t="s">
        <v>19625</v>
      </c>
      <c r="F6498" t="s">
        <v>5021</v>
      </c>
      <c r="G6498" t="s">
        <v>22315</v>
      </c>
      <c r="H6498" t="s">
        <v>15399</v>
      </c>
      <c r="I6498" t="s">
        <v>15400</v>
      </c>
      <c r="J6498" t="s">
        <v>15341</v>
      </c>
      <c r="K6498" s="2" t="str">
        <f>HYPERLINK("http://collections.slsa.sa.gov.au/mpcimg/59000/B58892_321.htm")</f>
        <v>http://collections.slsa.sa.gov.au/mpcimg/59000/B58892_321.htm</v>
      </c>
    </row>
    <row r="6499" spans="1:11" x14ac:dyDescent="0.25">
      <c r="A6499" t="s">
        <v>22316</v>
      </c>
      <c r="B6499" s="1" t="str">
        <f>HYPERLINK("https://www.catalog.slsa.sa.gov.au/record=b2090486")</f>
        <v>https://www.catalog.slsa.sa.gov.au/record=b2090486</v>
      </c>
      <c r="C6499" s="1" t="str">
        <f>HYPERLINK("https://www.catalog.slsa.sa.gov.au/xrecord=b2090486")</f>
        <v>https://www.catalog.slsa.sa.gov.au/xrecord=b2090486</v>
      </c>
      <c r="E6499" t="s">
        <v>19625</v>
      </c>
      <c r="F6499" t="s">
        <v>5021</v>
      </c>
      <c r="G6499" t="s">
        <v>20182</v>
      </c>
      <c r="H6499" t="s">
        <v>22317</v>
      </c>
      <c r="I6499" t="s">
        <v>15400</v>
      </c>
      <c r="J6499" t="s">
        <v>15341</v>
      </c>
      <c r="K6499" s="2" t="str">
        <f>HYPERLINK("http://collections.slsa.sa.gov.au/mpcimg/59000/B58892_322.htm")</f>
        <v>http://collections.slsa.sa.gov.au/mpcimg/59000/B58892_322.htm</v>
      </c>
    </row>
    <row r="6500" spans="1:11" x14ac:dyDescent="0.25">
      <c r="A6500" t="s">
        <v>22318</v>
      </c>
      <c r="B6500" s="1" t="str">
        <f>HYPERLINK("https://www.catalog.slsa.sa.gov.au/record=b2090487")</f>
        <v>https://www.catalog.slsa.sa.gov.au/record=b2090487</v>
      </c>
      <c r="C6500" s="1" t="str">
        <f>HYPERLINK("https://www.catalog.slsa.sa.gov.au/xrecord=b2090487")</f>
        <v>https://www.catalog.slsa.sa.gov.au/xrecord=b2090487</v>
      </c>
      <c r="E6500" t="s">
        <v>22319</v>
      </c>
      <c r="F6500" t="s">
        <v>5021</v>
      </c>
      <c r="G6500" t="s">
        <v>22320</v>
      </c>
      <c r="H6500" t="s">
        <v>22321</v>
      </c>
      <c r="I6500" t="s">
        <v>17710</v>
      </c>
      <c r="J6500" t="s">
        <v>15341</v>
      </c>
      <c r="K6500" s="2" t="str">
        <f>HYPERLINK("http://collections.slsa.sa.gov.au/mpcimg/59000/B58892_323.htm")</f>
        <v>http://collections.slsa.sa.gov.au/mpcimg/59000/B58892_323.htm</v>
      </c>
    </row>
    <row r="6501" spans="1:11" x14ac:dyDescent="0.25">
      <c r="A6501" t="s">
        <v>22322</v>
      </c>
      <c r="B6501" s="1" t="str">
        <f>HYPERLINK("https://www.catalog.slsa.sa.gov.au/record=b2090488")</f>
        <v>https://www.catalog.slsa.sa.gov.au/record=b2090488</v>
      </c>
      <c r="C6501" s="1" t="str">
        <f>HYPERLINK("https://www.catalog.slsa.sa.gov.au/xrecord=b2090488")</f>
        <v>https://www.catalog.slsa.sa.gov.au/xrecord=b2090488</v>
      </c>
      <c r="E6501" t="s">
        <v>19625</v>
      </c>
      <c r="F6501" t="s">
        <v>5021</v>
      </c>
      <c r="G6501" t="s">
        <v>19578</v>
      </c>
      <c r="H6501" t="s">
        <v>15399</v>
      </c>
      <c r="I6501" t="s">
        <v>15400</v>
      </c>
      <c r="J6501" t="s">
        <v>15341</v>
      </c>
      <c r="K6501" s="2" t="str">
        <f>HYPERLINK("http://collections.slsa.sa.gov.au/mpcimg/59000/B58892_324.htm")</f>
        <v>http://collections.slsa.sa.gov.au/mpcimg/59000/B58892_324.htm</v>
      </c>
    </row>
    <row r="6502" spans="1:11" x14ac:dyDescent="0.25">
      <c r="A6502" t="s">
        <v>22323</v>
      </c>
      <c r="B6502" s="1" t="str">
        <f>HYPERLINK("https://www.catalog.slsa.sa.gov.au/record=b2090492")</f>
        <v>https://www.catalog.slsa.sa.gov.au/record=b2090492</v>
      </c>
      <c r="C6502" s="1" t="str">
        <f>HYPERLINK("https://www.catalog.slsa.sa.gov.au/xrecord=b2090492")</f>
        <v>https://www.catalog.slsa.sa.gov.au/xrecord=b2090492</v>
      </c>
      <c r="E6502" t="s">
        <v>19632</v>
      </c>
      <c r="F6502" t="s">
        <v>5021</v>
      </c>
      <c r="G6502" t="s">
        <v>21621</v>
      </c>
      <c r="H6502" t="s">
        <v>20269</v>
      </c>
      <c r="I6502" t="s">
        <v>15400</v>
      </c>
      <c r="J6502" t="s">
        <v>15341</v>
      </c>
      <c r="K6502" s="2" t="str">
        <f>HYPERLINK("http://collections.slsa.sa.gov.au/mpcimg/59000/B58892_328.htm")</f>
        <v>http://collections.slsa.sa.gov.au/mpcimg/59000/B58892_328.htm</v>
      </c>
    </row>
    <row r="6503" spans="1:11" x14ac:dyDescent="0.25">
      <c r="A6503" t="s">
        <v>22324</v>
      </c>
      <c r="B6503" s="1" t="str">
        <f>HYPERLINK("https://www.catalog.slsa.sa.gov.au/record=b2090493")</f>
        <v>https://www.catalog.slsa.sa.gov.au/record=b2090493</v>
      </c>
      <c r="C6503" s="1" t="str">
        <f>HYPERLINK("https://www.catalog.slsa.sa.gov.au/xrecord=b2090493")</f>
        <v>https://www.catalog.slsa.sa.gov.au/xrecord=b2090493</v>
      </c>
      <c r="E6503" t="s">
        <v>19632</v>
      </c>
      <c r="F6503" t="s">
        <v>5021</v>
      </c>
      <c r="G6503" t="s">
        <v>19626</v>
      </c>
      <c r="H6503" t="s">
        <v>22325</v>
      </c>
      <c r="I6503" t="s">
        <v>17710</v>
      </c>
      <c r="J6503" t="s">
        <v>15341</v>
      </c>
      <c r="K6503" s="2" t="str">
        <f>HYPERLINK("http://collections.slsa.sa.gov.au/mpcimg/59000/B58892_329.htm")</f>
        <v>http://collections.slsa.sa.gov.au/mpcimg/59000/B58892_329.htm</v>
      </c>
    </row>
    <row r="6504" spans="1:11" x14ac:dyDescent="0.25">
      <c r="A6504" t="s">
        <v>22326</v>
      </c>
      <c r="B6504" s="1" t="str">
        <f>HYPERLINK("https://www.catalog.slsa.sa.gov.au/record=b2090494")</f>
        <v>https://www.catalog.slsa.sa.gov.au/record=b2090494</v>
      </c>
      <c r="C6504" s="1" t="str">
        <f>HYPERLINK("https://www.catalog.slsa.sa.gov.au/xrecord=b2090494")</f>
        <v>https://www.catalog.slsa.sa.gov.au/xrecord=b2090494</v>
      </c>
      <c r="E6504" t="s">
        <v>19632</v>
      </c>
      <c r="F6504" t="s">
        <v>5021</v>
      </c>
      <c r="G6504" t="s">
        <v>22235</v>
      </c>
      <c r="H6504" t="s">
        <v>19638</v>
      </c>
      <c r="I6504" t="s">
        <v>19635</v>
      </c>
      <c r="J6504" t="s">
        <v>15341</v>
      </c>
      <c r="K6504" s="2" t="str">
        <f>HYPERLINK("http://collections.slsa.sa.gov.au/mpcimg/59000/B58892_330.htm")</f>
        <v>http://collections.slsa.sa.gov.au/mpcimg/59000/B58892_330.htm</v>
      </c>
    </row>
    <row r="6505" spans="1:11" x14ac:dyDescent="0.25">
      <c r="A6505" t="s">
        <v>22327</v>
      </c>
      <c r="B6505" s="1" t="str">
        <f>HYPERLINK("https://www.catalog.slsa.sa.gov.au/record=b2090530")</f>
        <v>https://www.catalog.slsa.sa.gov.au/record=b2090530</v>
      </c>
      <c r="C6505" s="1" t="str">
        <f>HYPERLINK("https://www.catalog.slsa.sa.gov.au/xrecord=b2090530")</f>
        <v>https://www.catalog.slsa.sa.gov.au/xrecord=b2090530</v>
      </c>
      <c r="E6505" t="s">
        <v>15394</v>
      </c>
      <c r="F6505" t="s">
        <v>5021</v>
      </c>
      <c r="G6505" t="s">
        <v>21531</v>
      </c>
      <c r="H6505" t="s">
        <v>22328</v>
      </c>
      <c r="I6505" t="s">
        <v>15400</v>
      </c>
      <c r="J6505" t="s">
        <v>15341</v>
      </c>
      <c r="K6505" s="2" t="str">
        <f>HYPERLINK("http://collections.slsa.sa.gov.au/mpcimg/59000/B58892_366.htm")</f>
        <v>http://collections.slsa.sa.gov.au/mpcimg/59000/B58892_366.htm</v>
      </c>
    </row>
    <row r="6506" spans="1:11" x14ac:dyDescent="0.25">
      <c r="A6506" t="s">
        <v>22329</v>
      </c>
      <c r="B6506" s="1" t="str">
        <f>HYPERLINK("https://www.catalog.slsa.sa.gov.au/record=b2090533")</f>
        <v>https://www.catalog.slsa.sa.gov.au/record=b2090533</v>
      </c>
      <c r="C6506" s="1" t="str">
        <f>HYPERLINK("https://www.catalog.slsa.sa.gov.au/xrecord=b2090533")</f>
        <v>https://www.catalog.slsa.sa.gov.au/xrecord=b2090533</v>
      </c>
      <c r="E6506" t="s">
        <v>15394</v>
      </c>
      <c r="F6506" t="s">
        <v>5021</v>
      </c>
      <c r="G6506" t="s">
        <v>22330</v>
      </c>
      <c r="H6506" t="s">
        <v>20269</v>
      </c>
      <c r="I6506" t="s">
        <v>15400</v>
      </c>
      <c r="J6506" t="s">
        <v>15341</v>
      </c>
      <c r="K6506" s="2" t="str">
        <f>HYPERLINK("http://collections.slsa.sa.gov.au/mpcimg/59000/B58892_369.htm")</f>
        <v>http://collections.slsa.sa.gov.au/mpcimg/59000/B58892_369.htm</v>
      </c>
    </row>
    <row r="6507" spans="1:11" x14ac:dyDescent="0.25">
      <c r="A6507" t="s">
        <v>22331</v>
      </c>
      <c r="B6507" s="1" t="str">
        <f>HYPERLINK("https://www.catalog.slsa.sa.gov.au/record=b2090537")</f>
        <v>https://www.catalog.slsa.sa.gov.au/record=b2090537</v>
      </c>
      <c r="C6507" s="1" t="str">
        <f>HYPERLINK("https://www.catalog.slsa.sa.gov.au/xrecord=b2090537")</f>
        <v>https://www.catalog.slsa.sa.gov.au/xrecord=b2090537</v>
      </c>
      <c r="E6507" t="s">
        <v>22332</v>
      </c>
      <c r="F6507" t="s">
        <v>5021</v>
      </c>
      <c r="G6507" t="s">
        <v>20380</v>
      </c>
      <c r="H6507" t="s">
        <v>22333</v>
      </c>
      <c r="I6507" t="s">
        <v>22334</v>
      </c>
      <c r="J6507" t="s">
        <v>15341</v>
      </c>
      <c r="K6507" s="2" t="str">
        <f>HYPERLINK("http://collections.slsa.sa.gov.au/mpcimg/59000/B58892_373.htm")</f>
        <v>http://collections.slsa.sa.gov.au/mpcimg/59000/B58892_373.htm</v>
      </c>
    </row>
    <row r="6508" spans="1:11" x14ac:dyDescent="0.25">
      <c r="A6508" t="s">
        <v>22335</v>
      </c>
      <c r="B6508" s="1" t="str">
        <f>HYPERLINK("https://www.catalog.slsa.sa.gov.au/record=b2090546")</f>
        <v>https://www.catalog.slsa.sa.gov.au/record=b2090546</v>
      </c>
      <c r="C6508" s="1" t="str">
        <f>HYPERLINK("https://www.catalog.slsa.sa.gov.au/xrecord=b2090546")</f>
        <v>https://www.catalog.slsa.sa.gov.au/xrecord=b2090546</v>
      </c>
      <c r="E6508" t="s">
        <v>19666</v>
      </c>
      <c r="F6508" t="s">
        <v>5021</v>
      </c>
      <c r="G6508" t="s">
        <v>22336</v>
      </c>
      <c r="H6508" t="s">
        <v>22337</v>
      </c>
      <c r="I6508" t="s">
        <v>15400</v>
      </c>
      <c r="J6508" t="s">
        <v>15341</v>
      </c>
      <c r="K6508" s="2" t="str">
        <f>HYPERLINK("http://collections.slsa.sa.gov.au/mpcimg/59000/B58892_382.htm")</f>
        <v>http://collections.slsa.sa.gov.au/mpcimg/59000/B58892_382.htm</v>
      </c>
    </row>
    <row r="6509" spans="1:11" x14ac:dyDescent="0.25">
      <c r="A6509" t="s">
        <v>22338</v>
      </c>
      <c r="B6509" s="1" t="str">
        <f>HYPERLINK("https://www.catalog.slsa.sa.gov.au/record=b2097696")</f>
        <v>https://www.catalog.slsa.sa.gov.au/record=b2097696</v>
      </c>
      <c r="C6509" s="1" t="str">
        <f>HYPERLINK("https://www.catalog.slsa.sa.gov.au/xrecord=b2097696")</f>
        <v>https://www.catalog.slsa.sa.gov.au/xrecord=b2097696</v>
      </c>
      <c r="E6509" t="s">
        <v>22339</v>
      </c>
      <c r="F6509" t="s">
        <v>5021</v>
      </c>
      <c r="G6509" t="s">
        <v>22340</v>
      </c>
      <c r="H6509" t="s">
        <v>22341</v>
      </c>
      <c r="J6509" t="s">
        <v>14768</v>
      </c>
      <c r="K6509" s="2" t="str">
        <f>HYPERLINK("http://collections.slsa.sa.gov.au/mpcimg/48500/B48482_91.htm")</f>
        <v>http://collections.slsa.sa.gov.au/mpcimg/48500/B48482_91.htm</v>
      </c>
    </row>
    <row r="6510" spans="1:11" x14ac:dyDescent="0.25">
      <c r="A6510" t="s">
        <v>22342</v>
      </c>
      <c r="B6510" s="1" t="str">
        <f>HYPERLINK("https://www.catalog.slsa.sa.gov.au/record=b2097697")</f>
        <v>https://www.catalog.slsa.sa.gov.au/record=b2097697</v>
      </c>
      <c r="C6510" s="1" t="str">
        <f>HYPERLINK("https://www.catalog.slsa.sa.gov.au/xrecord=b2097697")</f>
        <v>https://www.catalog.slsa.sa.gov.au/xrecord=b2097697</v>
      </c>
      <c r="E6510" t="s">
        <v>22343</v>
      </c>
      <c r="F6510" t="s">
        <v>5021</v>
      </c>
      <c r="G6510" t="s">
        <v>22344</v>
      </c>
      <c r="H6510" t="s">
        <v>22345</v>
      </c>
      <c r="J6510" t="s">
        <v>14768</v>
      </c>
      <c r="K6510" s="2" t="str">
        <f>HYPERLINK("http://collections.slsa.sa.gov.au/mpcimg/48500/B48482_92.htm")</f>
        <v>http://collections.slsa.sa.gov.au/mpcimg/48500/B48482_92.htm</v>
      </c>
    </row>
    <row r="6511" spans="1:11" x14ac:dyDescent="0.25">
      <c r="A6511" t="s">
        <v>22346</v>
      </c>
      <c r="B6511" s="1" t="str">
        <f>HYPERLINK("https://www.catalog.slsa.sa.gov.au/record=b2097698")</f>
        <v>https://www.catalog.slsa.sa.gov.au/record=b2097698</v>
      </c>
      <c r="C6511" s="1" t="str">
        <f>HYPERLINK("https://www.catalog.slsa.sa.gov.au/xrecord=b2097698")</f>
        <v>https://www.catalog.slsa.sa.gov.au/xrecord=b2097698</v>
      </c>
      <c r="E6511" t="s">
        <v>21848</v>
      </c>
      <c r="F6511" t="s">
        <v>5021</v>
      </c>
      <c r="G6511" t="s">
        <v>22347</v>
      </c>
      <c r="H6511" t="s">
        <v>22348</v>
      </c>
      <c r="J6511" t="s">
        <v>14768</v>
      </c>
      <c r="K6511" s="2" t="str">
        <f>HYPERLINK("http://collections.slsa.sa.gov.au/mpcimg/48500/B48482_93.htm")</f>
        <v>http://collections.slsa.sa.gov.au/mpcimg/48500/B48482_93.htm</v>
      </c>
    </row>
    <row r="6512" spans="1:11" x14ac:dyDescent="0.25">
      <c r="A6512" t="s">
        <v>22349</v>
      </c>
      <c r="B6512" s="1" t="str">
        <f>HYPERLINK("https://www.catalog.slsa.sa.gov.au/record=b2108881")</f>
        <v>https://www.catalog.slsa.sa.gov.au/record=b2108881</v>
      </c>
      <c r="C6512" s="1" t="str">
        <f>HYPERLINK("https://www.catalog.slsa.sa.gov.au/xrecord=b2108881")</f>
        <v>https://www.catalog.slsa.sa.gov.au/xrecord=b2108881</v>
      </c>
      <c r="D6512" t="s">
        <v>19938</v>
      </c>
      <c r="E6512" t="s">
        <v>22350</v>
      </c>
      <c r="F6512" t="s">
        <v>5021</v>
      </c>
      <c r="G6512" t="s">
        <v>22351</v>
      </c>
      <c r="H6512" t="s">
        <v>22352</v>
      </c>
      <c r="I6512" t="s">
        <v>22353</v>
      </c>
      <c r="J6512" t="s">
        <v>2510</v>
      </c>
      <c r="K6512" s="2" t="str">
        <f>HYPERLINK("http://collections.slsa.sa.gov.au/mpcimg/69750/B69658.htm")</f>
        <v>http://collections.slsa.sa.gov.au/mpcimg/69750/B69658.htm</v>
      </c>
    </row>
    <row r="6513" spans="1:11" x14ac:dyDescent="0.25">
      <c r="A6513" t="s">
        <v>22354</v>
      </c>
      <c r="B6513" s="1" t="str">
        <f>HYPERLINK("https://www.catalog.slsa.sa.gov.au/record=b2112411")</f>
        <v>https://www.catalog.slsa.sa.gov.au/record=b2112411</v>
      </c>
      <c r="C6513" s="1" t="str">
        <f>HYPERLINK("https://www.catalog.slsa.sa.gov.au/xrecord=b2112411")</f>
        <v>https://www.catalog.slsa.sa.gov.au/xrecord=b2112411</v>
      </c>
      <c r="E6513" t="s">
        <v>22355</v>
      </c>
      <c r="F6513" t="s">
        <v>5021</v>
      </c>
      <c r="G6513" t="s">
        <v>22356</v>
      </c>
      <c r="H6513" t="s">
        <v>22357</v>
      </c>
      <c r="I6513" t="s">
        <v>22358</v>
      </c>
      <c r="J6513" t="s">
        <v>14768</v>
      </c>
      <c r="K6513" s="2" t="str">
        <f>HYPERLINK("http://collections.slsa.sa.gov.au/mpcimg/70000/B69996_66.htm")</f>
        <v>http://collections.slsa.sa.gov.au/mpcimg/70000/B69996_66.htm</v>
      </c>
    </row>
    <row r="6514" spans="1:11" x14ac:dyDescent="0.25">
      <c r="A6514" t="s">
        <v>22359</v>
      </c>
      <c r="B6514" s="1" t="str">
        <f>HYPERLINK("https://www.catalog.slsa.sa.gov.au/record=b2112666")</f>
        <v>https://www.catalog.slsa.sa.gov.au/record=b2112666</v>
      </c>
      <c r="C6514" s="1" t="str">
        <f>HYPERLINK("https://www.catalog.slsa.sa.gov.au/xrecord=b2112666")</f>
        <v>https://www.catalog.slsa.sa.gov.au/xrecord=b2112666</v>
      </c>
      <c r="E6514" t="s">
        <v>22360</v>
      </c>
      <c r="F6514" t="s">
        <v>5021</v>
      </c>
      <c r="G6514" t="s">
        <v>22361</v>
      </c>
      <c r="H6514" t="s">
        <v>22362</v>
      </c>
      <c r="I6514" t="s">
        <v>22363</v>
      </c>
      <c r="J6514" t="s">
        <v>22364</v>
      </c>
      <c r="K6514" s="2" t="str">
        <f>HYPERLINK("http://collections.slsa.sa.gov.au/mpcimg/12500/B12329.htm")</f>
        <v>http://collections.slsa.sa.gov.au/mpcimg/12500/B12329.htm</v>
      </c>
    </row>
    <row r="6515" spans="1:11" x14ac:dyDescent="0.25">
      <c r="A6515" t="s">
        <v>22365</v>
      </c>
      <c r="B6515" s="1" t="str">
        <f>HYPERLINK("https://www.catalog.slsa.sa.gov.au/record=b3130231")</f>
        <v>https://www.catalog.slsa.sa.gov.au/record=b3130231</v>
      </c>
      <c r="C6515" s="1" t="str">
        <f>HYPERLINK("https://www.catalog.slsa.sa.gov.au/xrecord=b3130231")</f>
        <v>https://www.catalog.slsa.sa.gov.au/xrecord=b3130231</v>
      </c>
      <c r="E6515" t="s">
        <v>22366</v>
      </c>
      <c r="F6515" t="s">
        <v>22367</v>
      </c>
      <c r="G6515" t="s">
        <v>22368</v>
      </c>
      <c r="H6515" t="s">
        <v>22369</v>
      </c>
      <c r="I6515" t="s">
        <v>22370</v>
      </c>
      <c r="J6515" t="s">
        <v>15278</v>
      </c>
      <c r="K6515" s="2" t="str">
        <f>HYPERLINK("http://collections.slsa.sa.gov.au/resource/B+75362")</f>
        <v>http://collections.slsa.sa.gov.au/resource/B+75362</v>
      </c>
    </row>
    <row r="6516" spans="1:11" x14ac:dyDescent="0.25">
      <c r="A6516" t="s">
        <v>22371</v>
      </c>
      <c r="B6516" s="1" t="str">
        <f>HYPERLINK("https://www.catalog.slsa.sa.gov.au/record=b3011448")</f>
        <v>https://www.catalog.slsa.sa.gov.au/record=b3011448</v>
      </c>
      <c r="C6516" s="1" t="str">
        <f>HYPERLINK("https://www.catalog.slsa.sa.gov.au/xrecord=b3011448")</f>
        <v>https://www.catalog.slsa.sa.gov.au/xrecord=b3011448</v>
      </c>
      <c r="E6516" t="s">
        <v>22372</v>
      </c>
      <c r="F6516" t="s">
        <v>22373</v>
      </c>
      <c r="G6516" t="s">
        <v>22374</v>
      </c>
      <c r="H6516" t="s">
        <v>22375</v>
      </c>
      <c r="I6516" t="s">
        <v>22376</v>
      </c>
      <c r="J6516" t="s">
        <v>18874</v>
      </c>
      <c r="K6516" s="2" t="str">
        <f>HYPERLINK("http://collections.slsa.sa.gov.au/resource/B+73977")</f>
        <v>http://collections.slsa.sa.gov.au/resource/B+73977</v>
      </c>
    </row>
    <row r="6517" spans="1:11" x14ac:dyDescent="0.25">
      <c r="A6517" t="s">
        <v>22377</v>
      </c>
      <c r="B6517" s="1" t="str">
        <f>HYPERLINK("https://www.catalog.slsa.sa.gov.au/record=b2958292")</f>
        <v>https://www.catalog.slsa.sa.gov.au/record=b2958292</v>
      </c>
      <c r="C6517" s="1" t="str">
        <f>HYPERLINK("https://www.catalog.slsa.sa.gov.au/xrecord=b2958292")</f>
        <v>https://www.catalog.slsa.sa.gov.au/xrecord=b2958292</v>
      </c>
      <c r="E6517" t="s">
        <v>22378</v>
      </c>
      <c r="F6517" t="s">
        <v>22379</v>
      </c>
      <c r="G6517" t="s">
        <v>22380</v>
      </c>
      <c r="H6517" t="s">
        <v>22381</v>
      </c>
      <c r="I6517" t="s">
        <v>22382</v>
      </c>
      <c r="J6517" t="s">
        <v>2510</v>
      </c>
      <c r="K6517" s="2" t="str">
        <f>HYPERLINK("http://collections.slsa.sa.gov.au/mpcimg/74000/B73947.htm")</f>
        <v>http://collections.slsa.sa.gov.au/mpcimg/74000/B73947.htm</v>
      </c>
    </row>
    <row r="6518" spans="1:11" x14ac:dyDescent="0.25">
      <c r="A6518" t="s">
        <v>22383</v>
      </c>
      <c r="B6518" s="1" t="str">
        <f>HYPERLINK("https://www.catalog.slsa.sa.gov.au/record=b2067135")</f>
        <v>https://www.catalog.slsa.sa.gov.au/record=b2067135</v>
      </c>
      <c r="C6518" s="1" t="str">
        <f>HYPERLINK("https://www.catalog.slsa.sa.gov.au/xrecord=b2067135")</f>
        <v>https://www.catalog.slsa.sa.gov.au/xrecord=b2067135</v>
      </c>
      <c r="E6518" t="s">
        <v>22384</v>
      </c>
      <c r="F6518" t="s">
        <v>22385</v>
      </c>
      <c r="G6518" t="s">
        <v>21349</v>
      </c>
      <c r="H6518" t="s">
        <v>22386</v>
      </c>
      <c r="I6518" t="s">
        <v>22387</v>
      </c>
      <c r="J6518" t="s">
        <v>21358</v>
      </c>
      <c r="K6518" s="2" t="str">
        <f>HYPERLINK("http://collections.slsa.sa.gov.au/mpcimg/22000/B21971.htm")</f>
        <v>http://collections.slsa.sa.gov.au/mpcimg/22000/B21971.htm</v>
      </c>
    </row>
    <row r="6519" spans="1:11" x14ac:dyDescent="0.25">
      <c r="A6519" t="s">
        <v>22388</v>
      </c>
      <c r="B6519" s="1" t="str">
        <f>HYPERLINK("https://www.catalog.slsa.sa.gov.au/record=b3134007")</f>
        <v>https://www.catalog.slsa.sa.gov.au/record=b3134007</v>
      </c>
      <c r="C6519" s="1" t="str">
        <f>HYPERLINK("https://www.catalog.slsa.sa.gov.au/xrecord=b3134007")</f>
        <v>https://www.catalog.slsa.sa.gov.au/xrecord=b3134007</v>
      </c>
      <c r="E6519" t="s">
        <v>22389</v>
      </c>
      <c r="F6519" t="s">
        <v>22390</v>
      </c>
      <c r="G6519" t="s">
        <v>22391</v>
      </c>
      <c r="H6519" t="s">
        <v>22392</v>
      </c>
      <c r="I6519" t="s">
        <v>22393</v>
      </c>
      <c r="J6519" t="s">
        <v>15023</v>
      </c>
      <c r="K6519" s="2" t="str">
        <f>HYPERLINK("http://collections.slsa.sa.gov.au/resource/B+76001")</f>
        <v>http://collections.slsa.sa.gov.au/resource/B+76001</v>
      </c>
    </row>
    <row r="6520" spans="1:11" x14ac:dyDescent="0.25">
      <c r="A6520" t="s">
        <v>22394</v>
      </c>
      <c r="B6520" s="1" t="str">
        <f>HYPERLINK("https://www.catalog.slsa.sa.gov.au/record=b3011424")</f>
        <v>https://www.catalog.slsa.sa.gov.au/record=b3011424</v>
      </c>
      <c r="C6520" s="1" t="str">
        <f>HYPERLINK("https://www.catalog.slsa.sa.gov.au/xrecord=b3011424")</f>
        <v>https://www.catalog.slsa.sa.gov.au/xrecord=b3011424</v>
      </c>
      <c r="E6520" t="s">
        <v>22395</v>
      </c>
      <c r="F6520" t="s">
        <v>22396</v>
      </c>
      <c r="G6520" t="s">
        <v>22397</v>
      </c>
      <c r="H6520" t="s">
        <v>22398</v>
      </c>
      <c r="I6520" t="s">
        <v>22399</v>
      </c>
      <c r="J6520" t="s">
        <v>18874</v>
      </c>
      <c r="K6520" s="2" t="str">
        <f>HYPERLINK("http://collections.slsa.sa.gov.au/resource/B+73976")</f>
        <v>http://collections.slsa.sa.gov.au/resource/B+73976</v>
      </c>
    </row>
    <row r="6521" spans="1:11" x14ac:dyDescent="0.25">
      <c r="A6521" t="s">
        <v>22400</v>
      </c>
      <c r="B6521" s="1" t="str">
        <f>HYPERLINK("https://www.catalog.slsa.sa.gov.au/record=b3011583")</f>
        <v>https://www.catalog.slsa.sa.gov.au/record=b3011583</v>
      </c>
      <c r="C6521" s="1" t="str">
        <f>HYPERLINK("https://www.catalog.slsa.sa.gov.au/xrecord=b3011583")</f>
        <v>https://www.catalog.slsa.sa.gov.au/xrecord=b3011583</v>
      </c>
      <c r="E6521" t="s">
        <v>22401</v>
      </c>
      <c r="F6521" t="s">
        <v>22396</v>
      </c>
      <c r="G6521" t="s">
        <v>22397</v>
      </c>
      <c r="H6521" t="s">
        <v>22402</v>
      </c>
      <c r="I6521" t="s">
        <v>22403</v>
      </c>
      <c r="J6521" t="s">
        <v>18874</v>
      </c>
      <c r="K6521" s="2" t="str">
        <f>HYPERLINK("http://collections.slsa.sa.gov.au/resource/B+73986")</f>
        <v>http://collections.slsa.sa.gov.au/resource/B+73986</v>
      </c>
    </row>
    <row r="6522" spans="1:11" x14ac:dyDescent="0.25">
      <c r="A6522" t="s">
        <v>22404</v>
      </c>
      <c r="B6522" s="1" t="str">
        <f>HYPERLINK("https://www.catalog.slsa.sa.gov.au/record=b3011587")</f>
        <v>https://www.catalog.slsa.sa.gov.au/record=b3011587</v>
      </c>
      <c r="C6522" s="1" t="str">
        <f>HYPERLINK("https://www.catalog.slsa.sa.gov.au/xrecord=b3011587")</f>
        <v>https://www.catalog.slsa.sa.gov.au/xrecord=b3011587</v>
      </c>
      <c r="E6522" t="s">
        <v>22405</v>
      </c>
      <c r="F6522" t="s">
        <v>22396</v>
      </c>
      <c r="G6522" t="s">
        <v>22397</v>
      </c>
      <c r="H6522" t="s">
        <v>22406</v>
      </c>
      <c r="I6522" t="s">
        <v>22407</v>
      </c>
      <c r="J6522" t="s">
        <v>18874</v>
      </c>
      <c r="K6522" s="2" t="str">
        <f>HYPERLINK("http://collections.slsa.sa.gov.au/resource/B+73987")</f>
        <v>http://collections.slsa.sa.gov.au/resource/B+73987</v>
      </c>
    </row>
    <row r="6523" spans="1:11" x14ac:dyDescent="0.25">
      <c r="A6523" t="s">
        <v>22408</v>
      </c>
      <c r="B6523" s="1" t="str">
        <f>HYPERLINK("https://www.catalog.slsa.sa.gov.au/record=b3011592")</f>
        <v>https://www.catalog.slsa.sa.gov.au/record=b3011592</v>
      </c>
      <c r="C6523" s="1" t="str">
        <f>HYPERLINK("https://www.catalog.slsa.sa.gov.au/xrecord=b3011592")</f>
        <v>https://www.catalog.slsa.sa.gov.au/xrecord=b3011592</v>
      </c>
      <c r="E6523" t="s">
        <v>22409</v>
      </c>
      <c r="F6523" t="s">
        <v>22396</v>
      </c>
      <c r="G6523" t="s">
        <v>22397</v>
      </c>
      <c r="H6523" t="s">
        <v>22410</v>
      </c>
      <c r="I6523" t="s">
        <v>22411</v>
      </c>
      <c r="J6523" t="s">
        <v>18874</v>
      </c>
      <c r="K6523" s="2" t="str">
        <f>HYPERLINK("http://collections.slsa.sa.gov.au/resource/B+73988")</f>
        <v>http://collections.slsa.sa.gov.au/resource/B+73988</v>
      </c>
    </row>
    <row r="6524" spans="1:11" x14ac:dyDescent="0.25">
      <c r="A6524" t="s">
        <v>22412</v>
      </c>
      <c r="B6524" s="1" t="str">
        <f>HYPERLINK("https://www.catalog.slsa.sa.gov.au/record=b3142158")</f>
        <v>https://www.catalog.slsa.sa.gov.au/record=b3142158</v>
      </c>
      <c r="C6524" s="1" t="str">
        <f>HYPERLINK("https://www.catalog.slsa.sa.gov.au/xrecord=b3142158")</f>
        <v>https://www.catalog.slsa.sa.gov.au/xrecord=b3142158</v>
      </c>
      <c r="E6524" t="s">
        <v>22413</v>
      </c>
      <c r="F6524" t="s">
        <v>22414</v>
      </c>
      <c r="G6524" t="s">
        <v>22415</v>
      </c>
      <c r="H6524" t="s">
        <v>22416</v>
      </c>
      <c r="I6524" t="s">
        <v>22417</v>
      </c>
      <c r="J6524" t="s">
        <v>15023</v>
      </c>
      <c r="K6524" s="2" t="str">
        <f>HYPERLINK("http://collections.slsa.sa.gov.au/resource/B+76367")</f>
        <v>http://collections.slsa.sa.gov.au/resource/B+76367</v>
      </c>
    </row>
    <row r="6525" spans="1:11" x14ac:dyDescent="0.25">
      <c r="A6525" t="s">
        <v>22418</v>
      </c>
      <c r="B6525" s="1" t="str">
        <f>HYPERLINK("https://www.catalog.slsa.sa.gov.au/record=b3011548")</f>
        <v>https://www.catalog.slsa.sa.gov.au/record=b3011548</v>
      </c>
      <c r="C6525" s="1" t="str">
        <f>HYPERLINK("https://www.catalog.slsa.sa.gov.au/xrecord=b3011548")</f>
        <v>https://www.catalog.slsa.sa.gov.au/xrecord=b3011548</v>
      </c>
      <c r="E6525" t="s">
        <v>22419</v>
      </c>
      <c r="F6525" t="s">
        <v>22420</v>
      </c>
      <c r="G6525" t="s">
        <v>22397</v>
      </c>
      <c r="H6525" t="s">
        <v>22421</v>
      </c>
      <c r="I6525" t="s">
        <v>22422</v>
      </c>
      <c r="J6525" t="s">
        <v>18874</v>
      </c>
      <c r="K6525" s="2" t="str">
        <f>HYPERLINK("http://collections.slsa.sa.gov.au/resource/B+73983")</f>
        <v>http://collections.slsa.sa.gov.au/resource/B+73983</v>
      </c>
    </row>
    <row r="6526" spans="1:11" x14ac:dyDescent="0.25">
      <c r="A6526" t="s">
        <v>22423</v>
      </c>
      <c r="B6526" s="1" t="str">
        <f>HYPERLINK("https://www.catalog.slsa.sa.gov.au/record=b3011626")</f>
        <v>https://www.catalog.slsa.sa.gov.au/record=b3011626</v>
      </c>
      <c r="C6526" s="1" t="str">
        <f>HYPERLINK("https://www.catalog.slsa.sa.gov.au/xrecord=b3011626")</f>
        <v>https://www.catalog.slsa.sa.gov.au/xrecord=b3011626</v>
      </c>
      <c r="E6526" t="s">
        <v>22424</v>
      </c>
      <c r="F6526" t="s">
        <v>22420</v>
      </c>
      <c r="G6526" t="s">
        <v>22425</v>
      </c>
      <c r="H6526" t="s">
        <v>22426</v>
      </c>
      <c r="I6526" t="s">
        <v>22427</v>
      </c>
      <c r="J6526" t="s">
        <v>18874</v>
      </c>
      <c r="K6526" s="2" t="str">
        <f>HYPERLINK("http://collections.slsa.sa.gov.au/resource/B+73991")</f>
        <v>http://collections.slsa.sa.gov.au/resource/B+73991</v>
      </c>
    </row>
    <row r="6527" spans="1:11" x14ac:dyDescent="0.25">
      <c r="A6527" t="s">
        <v>22428</v>
      </c>
      <c r="B6527" s="1" t="str">
        <f>HYPERLINK("https://www.catalog.slsa.sa.gov.au/record=b3011637")</f>
        <v>https://www.catalog.slsa.sa.gov.au/record=b3011637</v>
      </c>
      <c r="C6527" s="1" t="str">
        <f>HYPERLINK("https://www.catalog.slsa.sa.gov.au/xrecord=b3011637")</f>
        <v>https://www.catalog.slsa.sa.gov.au/xrecord=b3011637</v>
      </c>
      <c r="E6527" t="s">
        <v>22429</v>
      </c>
      <c r="F6527" t="s">
        <v>22420</v>
      </c>
      <c r="G6527" t="s">
        <v>22374</v>
      </c>
      <c r="H6527" t="s">
        <v>22430</v>
      </c>
      <c r="I6527" t="s">
        <v>22431</v>
      </c>
      <c r="J6527" t="s">
        <v>18874</v>
      </c>
      <c r="K6527" s="2" t="str">
        <f>HYPERLINK("http://collections.slsa.sa.gov.au/resource/B+73992")</f>
        <v>http://collections.slsa.sa.gov.au/resource/B+73992</v>
      </c>
    </row>
    <row r="6528" spans="1:11" x14ac:dyDescent="0.25">
      <c r="A6528" t="s">
        <v>22432</v>
      </c>
      <c r="B6528" s="1" t="str">
        <f>HYPERLINK("https://www.catalog.slsa.sa.gov.au/record=b3011496")</f>
        <v>https://www.catalog.slsa.sa.gov.au/record=b3011496</v>
      </c>
      <c r="C6528" s="1" t="str">
        <f>HYPERLINK("https://www.catalog.slsa.sa.gov.au/xrecord=b3011496")</f>
        <v>https://www.catalog.slsa.sa.gov.au/xrecord=b3011496</v>
      </c>
      <c r="E6528" t="s">
        <v>22433</v>
      </c>
      <c r="F6528" t="s">
        <v>22434</v>
      </c>
      <c r="G6528" t="s">
        <v>22397</v>
      </c>
      <c r="H6528" t="s">
        <v>22435</v>
      </c>
      <c r="I6528" t="s">
        <v>22436</v>
      </c>
      <c r="J6528" t="s">
        <v>15620</v>
      </c>
      <c r="K6528" s="2" t="str">
        <f>HYPERLINK("http://collections.slsa.sa.gov.au/resource/B+73980")</f>
        <v>http://collections.slsa.sa.gov.au/resource/B+73980</v>
      </c>
    </row>
    <row r="6529" spans="1:11" x14ac:dyDescent="0.25">
      <c r="A6529" t="s">
        <v>22437</v>
      </c>
      <c r="B6529" s="1" t="str">
        <f>HYPERLINK("https://www.catalog.slsa.sa.gov.au/record=b3011504")</f>
        <v>https://www.catalog.slsa.sa.gov.au/record=b3011504</v>
      </c>
      <c r="C6529" s="1" t="str">
        <f>HYPERLINK("https://www.catalog.slsa.sa.gov.au/xrecord=b3011504")</f>
        <v>https://www.catalog.slsa.sa.gov.au/xrecord=b3011504</v>
      </c>
      <c r="E6529" t="s">
        <v>22438</v>
      </c>
      <c r="F6529" t="s">
        <v>22434</v>
      </c>
      <c r="G6529" t="s">
        <v>22397</v>
      </c>
      <c r="H6529" t="s">
        <v>22439</v>
      </c>
      <c r="I6529" t="s">
        <v>22440</v>
      </c>
      <c r="J6529" t="s">
        <v>18874</v>
      </c>
      <c r="K6529" s="2" t="str">
        <f>HYPERLINK("http://collections.slsa.sa.gov.au/resource/B+73981")</f>
        <v>http://collections.slsa.sa.gov.au/resource/B+73981</v>
      </c>
    </row>
    <row r="6530" spans="1:11" x14ac:dyDescent="0.25">
      <c r="A6530" t="s">
        <v>22441</v>
      </c>
      <c r="B6530" s="1" t="str">
        <f>HYPERLINK("https://www.catalog.slsa.sa.gov.au/record=b2205192")</f>
        <v>https://www.catalog.slsa.sa.gov.au/record=b2205192</v>
      </c>
      <c r="C6530" s="1" t="str">
        <f>HYPERLINK("https://www.catalog.slsa.sa.gov.au/xrecord=b2205192")</f>
        <v>https://www.catalog.slsa.sa.gov.au/xrecord=b2205192</v>
      </c>
      <c r="D6530" t="s">
        <v>22442</v>
      </c>
      <c r="E6530" t="s">
        <v>22443</v>
      </c>
      <c r="F6530" t="s">
        <v>22444</v>
      </c>
      <c r="G6530" t="s">
        <v>22445</v>
      </c>
      <c r="H6530" t="s">
        <v>22446</v>
      </c>
      <c r="I6530" t="s">
        <v>22447</v>
      </c>
      <c r="J6530" t="s">
        <v>22448</v>
      </c>
      <c r="K6530" s="2" t="str">
        <f>HYPERLINK("http://collections.slsa.sa.gov.au/mpcimg/71250/B71001.htm")</f>
        <v>http://collections.slsa.sa.gov.au/mpcimg/71250/B71001.htm</v>
      </c>
    </row>
    <row r="6531" spans="1:11" x14ac:dyDescent="0.25">
      <c r="A6531" t="s">
        <v>22449</v>
      </c>
      <c r="B6531" s="1" t="str">
        <f>HYPERLINK("https://www.catalog.slsa.sa.gov.au/record=b2221396")</f>
        <v>https://www.catalog.slsa.sa.gov.au/record=b2221396</v>
      </c>
      <c r="C6531" s="1" t="str">
        <f>HYPERLINK("https://www.catalog.slsa.sa.gov.au/xrecord=b2221396")</f>
        <v>https://www.catalog.slsa.sa.gov.au/xrecord=b2221396</v>
      </c>
      <c r="D6531" t="s">
        <v>1811</v>
      </c>
      <c r="E6531" t="s">
        <v>22450</v>
      </c>
      <c r="F6531" t="s">
        <v>22444</v>
      </c>
      <c r="G6531" t="s">
        <v>22451</v>
      </c>
      <c r="H6531" t="s">
        <v>22452</v>
      </c>
      <c r="I6531" t="s">
        <v>22453</v>
      </c>
      <c r="J6531" t="s">
        <v>22454</v>
      </c>
      <c r="K6531" s="2" t="str">
        <f>HYPERLINK("http://collections.slsa.sa.gov.au/mpcimg/71250/B71059.htm")</f>
        <v>http://collections.slsa.sa.gov.au/mpcimg/71250/B71059.htm</v>
      </c>
    </row>
    <row r="6532" spans="1:11" x14ac:dyDescent="0.25">
      <c r="A6532" t="s">
        <v>22455</v>
      </c>
      <c r="B6532" s="1" t="str">
        <f>HYPERLINK("https://www.catalog.slsa.sa.gov.au/record=b2019202")</f>
        <v>https://www.catalog.slsa.sa.gov.au/record=b2019202</v>
      </c>
      <c r="C6532" s="1" t="str">
        <f>HYPERLINK("https://www.catalog.slsa.sa.gov.au/xrecord=b2019202")</f>
        <v>https://www.catalog.slsa.sa.gov.au/xrecord=b2019202</v>
      </c>
      <c r="D6532" t="s">
        <v>15257</v>
      </c>
      <c r="E6532" t="s">
        <v>22456</v>
      </c>
      <c r="F6532">
        <v>1953</v>
      </c>
      <c r="G6532" t="s">
        <v>19</v>
      </c>
      <c r="H6532" t="s">
        <v>22457</v>
      </c>
      <c r="I6532" t="s">
        <v>22458</v>
      </c>
      <c r="J6532" t="s">
        <v>14796</v>
      </c>
      <c r="K6532" s="2" t="str">
        <f>HYPERLINK("http://collections.slsa.sa.gov.au/mpcimg/13500/B13498.htm")</f>
        <v>http://collections.slsa.sa.gov.au/mpcimg/13500/B13498.htm</v>
      </c>
    </row>
    <row r="6533" spans="1:11" x14ac:dyDescent="0.25">
      <c r="A6533" t="s">
        <v>22459</v>
      </c>
      <c r="B6533" s="1" t="str">
        <f>HYPERLINK("https://www.catalog.slsa.sa.gov.au/record=b2019203")</f>
        <v>https://www.catalog.slsa.sa.gov.au/record=b2019203</v>
      </c>
      <c r="C6533" s="1" t="str">
        <f>HYPERLINK("https://www.catalog.slsa.sa.gov.au/xrecord=b2019203")</f>
        <v>https://www.catalog.slsa.sa.gov.au/xrecord=b2019203</v>
      </c>
      <c r="D6533" t="s">
        <v>15257</v>
      </c>
      <c r="E6533" t="s">
        <v>22460</v>
      </c>
      <c r="F6533">
        <v>1953</v>
      </c>
      <c r="G6533" t="s">
        <v>19</v>
      </c>
      <c r="H6533" t="s">
        <v>22461</v>
      </c>
      <c r="I6533" t="s">
        <v>22458</v>
      </c>
      <c r="J6533" t="s">
        <v>14796</v>
      </c>
      <c r="K6533" s="2" t="str">
        <f>HYPERLINK("http://collections.slsa.sa.gov.au/mpcimg/13500/B13499.htm")</f>
        <v>http://collections.slsa.sa.gov.au/mpcimg/13500/B13499.htm</v>
      </c>
    </row>
    <row r="6534" spans="1:11" x14ac:dyDescent="0.25">
      <c r="A6534" t="s">
        <v>22462</v>
      </c>
      <c r="B6534" s="1" t="str">
        <f>HYPERLINK("https://www.catalog.slsa.sa.gov.au/record=b2019477")</f>
        <v>https://www.catalog.slsa.sa.gov.au/record=b2019477</v>
      </c>
      <c r="C6534" s="1" t="str">
        <f>HYPERLINK("https://www.catalog.slsa.sa.gov.au/xrecord=b2019477")</f>
        <v>https://www.catalog.slsa.sa.gov.au/xrecord=b2019477</v>
      </c>
      <c r="E6534" t="s">
        <v>22463</v>
      </c>
      <c r="F6534">
        <v>1953</v>
      </c>
      <c r="G6534" t="s">
        <v>22464</v>
      </c>
      <c r="H6534" t="s">
        <v>22465</v>
      </c>
      <c r="I6534" t="s">
        <v>22466</v>
      </c>
      <c r="J6534" t="s">
        <v>18911</v>
      </c>
      <c r="K6534" s="2" t="str">
        <f>HYPERLINK("http://collections.slsa.sa.gov.au/mpcimg/48000/B47825.htm")</f>
        <v>http://collections.slsa.sa.gov.au/mpcimg/48000/B47825.htm</v>
      </c>
    </row>
    <row r="6535" spans="1:11" x14ac:dyDescent="0.25">
      <c r="A6535" t="s">
        <v>22467</v>
      </c>
      <c r="B6535" s="1" t="str">
        <f>HYPERLINK("https://www.catalog.slsa.sa.gov.au/record=b2019509")</f>
        <v>https://www.catalog.slsa.sa.gov.au/record=b2019509</v>
      </c>
      <c r="C6535" s="1" t="str">
        <f>HYPERLINK("https://www.catalog.slsa.sa.gov.au/xrecord=b2019509")</f>
        <v>https://www.catalog.slsa.sa.gov.au/xrecord=b2019509</v>
      </c>
      <c r="E6535" t="s">
        <v>22468</v>
      </c>
      <c r="F6535">
        <v>1953</v>
      </c>
      <c r="G6535" t="s">
        <v>16674</v>
      </c>
      <c r="H6535" t="s">
        <v>22469</v>
      </c>
      <c r="I6535" t="s">
        <v>22470</v>
      </c>
      <c r="J6535" t="s">
        <v>14830</v>
      </c>
      <c r="K6535" s="2" t="str">
        <f>HYPERLINK("http://collections.slsa.sa.gov.au/mpcimg/21500/B21398.htm")</f>
        <v>http://collections.slsa.sa.gov.au/mpcimg/21500/B21398.htm</v>
      </c>
    </row>
    <row r="6536" spans="1:11" x14ac:dyDescent="0.25">
      <c r="A6536" t="s">
        <v>22471</v>
      </c>
      <c r="B6536" s="1" t="str">
        <f>HYPERLINK("https://www.catalog.slsa.sa.gov.au/record=b2019770")</f>
        <v>https://www.catalog.slsa.sa.gov.au/record=b2019770</v>
      </c>
      <c r="C6536" s="1" t="str">
        <f>HYPERLINK("https://www.catalog.slsa.sa.gov.au/xrecord=b2019770")</f>
        <v>https://www.catalog.slsa.sa.gov.au/xrecord=b2019770</v>
      </c>
      <c r="E6536" t="s">
        <v>22472</v>
      </c>
      <c r="F6536">
        <v>1953</v>
      </c>
      <c r="G6536" t="s">
        <v>14809</v>
      </c>
      <c r="H6536" t="s">
        <v>22473</v>
      </c>
      <c r="J6536" t="s">
        <v>18397</v>
      </c>
      <c r="K6536" s="2" t="str">
        <f>HYPERLINK("http://collections.slsa.sa.gov.au/mpcimg/25000/B24994.htm")</f>
        <v>http://collections.slsa.sa.gov.au/mpcimg/25000/B24994.htm</v>
      </c>
    </row>
    <row r="6537" spans="1:11" x14ac:dyDescent="0.25">
      <c r="A6537" t="s">
        <v>22474</v>
      </c>
      <c r="B6537" s="1" t="str">
        <f>HYPERLINK("https://www.catalog.slsa.sa.gov.au/record=b2020557")</f>
        <v>https://www.catalog.slsa.sa.gov.au/record=b2020557</v>
      </c>
      <c r="C6537" s="1" t="str">
        <f>HYPERLINK("https://www.catalog.slsa.sa.gov.au/xrecord=b2020557")</f>
        <v>https://www.catalog.slsa.sa.gov.au/xrecord=b2020557</v>
      </c>
      <c r="E6537" t="s">
        <v>22475</v>
      </c>
      <c r="F6537">
        <v>1953</v>
      </c>
      <c r="G6537" t="s">
        <v>22476</v>
      </c>
      <c r="H6537" t="s">
        <v>22477</v>
      </c>
      <c r="I6537" t="s">
        <v>22478</v>
      </c>
      <c r="J6537" t="s">
        <v>22479</v>
      </c>
      <c r="K6537" s="2" t="str">
        <f>HYPERLINK("http://collections.slsa.sa.gov.au/mpcimg/49000/B48911.htm")</f>
        <v>http://collections.slsa.sa.gov.au/mpcimg/49000/B48911.htm</v>
      </c>
    </row>
    <row r="6538" spans="1:11" x14ac:dyDescent="0.25">
      <c r="A6538" t="s">
        <v>22480</v>
      </c>
      <c r="B6538" s="1" t="str">
        <f>HYPERLINK("https://www.catalog.slsa.sa.gov.au/record=b2023003")</f>
        <v>https://www.catalog.slsa.sa.gov.au/record=b2023003</v>
      </c>
      <c r="C6538" s="1" t="str">
        <f>HYPERLINK("https://www.catalog.slsa.sa.gov.au/xrecord=b2023003")</f>
        <v>https://www.catalog.slsa.sa.gov.au/xrecord=b2023003</v>
      </c>
      <c r="E6538" t="s">
        <v>14863</v>
      </c>
      <c r="F6538">
        <v>1953</v>
      </c>
      <c r="G6538" t="s">
        <v>22481</v>
      </c>
      <c r="H6538" t="s">
        <v>22482</v>
      </c>
      <c r="I6538" t="s">
        <v>22483</v>
      </c>
      <c r="J6538" t="s">
        <v>14867</v>
      </c>
      <c r="K6538" s="2" t="str">
        <f>HYPERLINK("http://collections.slsa.sa.gov.au/mpcimg/23500/B23390.htm")</f>
        <v>http://collections.slsa.sa.gov.au/mpcimg/23500/B23390.htm</v>
      </c>
    </row>
    <row r="6539" spans="1:11" x14ac:dyDescent="0.25">
      <c r="A6539" t="s">
        <v>22484</v>
      </c>
      <c r="B6539" s="1" t="str">
        <f>HYPERLINK("https://www.catalog.slsa.sa.gov.au/record=b2024187")</f>
        <v>https://www.catalog.slsa.sa.gov.au/record=b2024187</v>
      </c>
      <c r="C6539" s="1" t="str">
        <f>HYPERLINK("https://www.catalog.slsa.sa.gov.au/xrecord=b2024187")</f>
        <v>https://www.catalog.slsa.sa.gov.au/xrecord=b2024187</v>
      </c>
      <c r="E6539" t="s">
        <v>22485</v>
      </c>
      <c r="F6539">
        <v>1953</v>
      </c>
      <c r="G6539" t="s">
        <v>22486</v>
      </c>
      <c r="H6539" t="s">
        <v>22487</v>
      </c>
      <c r="I6539" t="s">
        <v>22488</v>
      </c>
      <c r="J6539" t="s">
        <v>15919</v>
      </c>
      <c r="K6539" s="2" t="str">
        <f>HYPERLINK("http://collections.slsa.sa.gov.au/mpcimg/25250/B25189.htm")</f>
        <v>http://collections.slsa.sa.gov.au/mpcimg/25250/B25189.htm</v>
      </c>
    </row>
    <row r="6540" spans="1:11" x14ac:dyDescent="0.25">
      <c r="A6540" t="s">
        <v>22489</v>
      </c>
      <c r="B6540" s="1" t="str">
        <f>HYPERLINK("https://www.catalog.slsa.sa.gov.au/record=b2024188")</f>
        <v>https://www.catalog.slsa.sa.gov.au/record=b2024188</v>
      </c>
      <c r="C6540" s="1" t="str">
        <f>HYPERLINK("https://www.catalog.slsa.sa.gov.au/xrecord=b2024188")</f>
        <v>https://www.catalog.slsa.sa.gov.au/xrecord=b2024188</v>
      </c>
      <c r="E6540" t="s">
        <v>22485</v>
      </c>
      <c r="F6540">
        <v>1953</v>
      </c>
      <c r="G6540" t="s">
        <v>22486</v>
      </c>
      <c r="H6540" t="s">
        <v>22490</v>
      </c>
      <c r="I6540" t="s">
        <v>22488</v>
      </c>
      <c r="J6540" t="s">
        <v>15919</v>
      </c>
      <c r="K6540" s="2" t="str">
        <f>HYPERLINK("http://collections.slsa.sa.gov.au/mpcimg/25250/B25190.htm")</f>
        <v>http://collections.slsa.sa.gov.au/mpcimg/25250/B25190.htm</v>
      </c>
    </row>
    <row r="6541" spans="1:11" x14ac:dyDescent="0.25">
      <c r="A6541" t="s">
        <v>22491</v>
      </c>
      <c r="B6541" s="1" t="str">
        <f>HYPERLINK("https://www.catalog.slsa.sa.gov.au/record=b2024189")</f>
        <v>https://www.catalog.slsa.sa.gov.au/record=b2024189</v>
      </c>
      <c r="C6541" s="1" t="str">
        <f>HYPERLINK("https://www.catalog.slsa.sa.gov.au/xrecord=b2024189")</f>
        <v>https://www.catalog.slsa.sa.gov.au/xrecord=b2024189</v>
      </c>
      <c r="E6541" t="s">
        <v>22485</v>
      </c>
      <c r="F6541">
        <v>1953</v>
      </c>
      <c r="G6541" t="s">
        <v>22486</v>
      </c>
      <c r="H6541" t="s">
        <v>22490</v>
      </c>
      <c r="I6541" t="s">
        <v>22488</v>
      </c>
      <c r="J6541" t="s">
        <v>15919</v>
      </c>
      <c r="K6541" s="2" t="str">
        <f>HYPERLINK("http://collections.slsa.sa.gov.au/mpcimg/25250/B25191.htm")</f>
        <v>http://collections.slsa.sa.gov.au/mpcimg/25250/B25191.htm</v>
      </c>
    </row>
    <row r="6542" spans="1:11" x14ac:dyDescent="0.25">
      <c r="A6542" t="s">
        <v>22492</v>
      </c>
      <c r="B6542" s="1" t="str">
        <f>HYPERLINK("https://www.catalog.slsa.sa.gov.au/record=b2024255")</f>
        <v>https://www.catalog.slsa.sa.gov.au/record=b2024255</v>
      </c>
      <c r="C6542" s="1" t="str">
        <f>HYPERLINK("https://www.catalog.slsa.sa.gov.au/xrecord=b2024255")</f>
        <v>https://www.catalog.slsa.sa.gov.au/xrecord=b2024255</v>
      </c>
      <c r="E6542" t="s">
        <v>15916</v>
      </c>
      <c r="F6542">
        <v>1953</v>
      </c>
      <c r="G6542" t="s">
        <v>22493</v>
      </c>
      <c r="H6542" t="s">
        <v>22494</v>
      </c>
      <c r="I6542" t="s">
        <v>22495</v>
      </c>
      <c r="J6542" t="s">
        <v>15919</v>
      </c>
      <c r="K6542" s="2" t="str">
        <f>HYPERLINK("http://collections.slsa.sa.gov.au/mpcimg/29250/B29231.htm")</f>
        <v>http://collections.slsa.sa.gov.au/mpcimg/29250/B29231.htm</v>
      </c>
    </row>
    <row r="6543" spans="1:11" x14ac:dyDescent="0.25">
      <c r="A6543" t="s">
        <v>22496</v>
      </c>
      <c r="B6543" s="1" t="str">
        <f>HYPERLINK("https://www.catalog.slsa.sa.gov.au/record=b2025341")</f>
        <v>https://www.catalog.slsa.sa.gov.au/record=b2025341</v>
      </c>
      <c r="C6543" s="1" t="str">
        <f>HYPERLINK("https://www.catalog.slsa.sa.gov.au/xrecord=b2025341")</f>
        <v>https://www.catalog.slsa.sa.gov.au/xrecord=b2025341</v>
      </c>
      <c r="D6543" t="s">
        <v>22497</v>
      </c>
      <c r="E6543" t="s">
        <v>22498</v>
      </c>
      <c r="F6543">
        <v>1953</v>
      </c>
      <c r="G6543" t="s">
        <v>22499</v>
      </c>
      <c r="H6543" t="s">
        <v>22500</v>
      </c>
      <c r="I6543" t="s">
        <v>22501</v>
      </c>
      <c r="J6543" t="s">
        <v>22502</v>
      </c>
      <c r="K6543" s="2" t="str">
        <f>HYPERLINK("http://collections.slsa.sa.gov.au/mpcimg/18250/B18165.htm")</f>
        <v>http://collections.slsa.sa.gov.au/mpcimg/18250/B18165.htm</v>
      </c>
    </row>
    <row r="6544" spans="1:11" x14ac:dyDescent="0.25">
      <c r="A6544" t="s">
        <v>22503</v>
      </c>
      <c r="B6544" s="1" t="str">
        <f>HYPERLINK("https://www.catalog.slsa.sa.gov.au/record=b2025757")</f>
        <v>https://www.catalog.slsa.sa.gov.au/record=b2025757</v>
      </c>
      <c r="C6544" s="1" t="str">
        <f>HYPERLINK("https://www.catalog.slsa.sa.gov.au/xrecord=b2025757")</f>
        <v>https://www.catalog.slsa.sa.gov.au/xrecord=b2025757</v>
      </c>
      <c r="E6544" t="s">
        <v>22504</v>
      </c>
      <c r="F6544">
        <v>1953</v>
      </c>
      <c r="G6544" t="s">
        <v>22486</v>
      </c>
      <c r="H6544" t="s">
        <v>22505</v>
      </c>
      <c r="I6544" t="s">
        <v>22506</v>
      </c>
      <c r="J6544" t="s">
        <v>3486</v>
      </c>
      <c r="K6544" s="2" t="str">
        <f>HYPERLINK("http://collections.slsa.sa.gov.au/mpcimg/25250/B25187.htm")</f>
        <v>http://collections.slsa.sa.gov.au/mpcimg/25250/B25187.htm</v>
      </c>
    </row>
    <row r="6545" spans="1:11" x14ac:dyDescent="0.25">
      <c r="A6545" t="s">
        <v>22507</v>
      </c>
      <c r="B6545" s="1" t="str">
        <f>HYPERLINK("https://www.catalog.slsa.sa.gov.au/record=b2025758")</f>
        <v>https://www.catalog.slsa.sa.gov.au/record=b2025758</v>
      </c>
      <c r="C6545" s="1" t="str">
        <f>HYPERLINK("https://www.catalog.slsa.sa.gov.au/xrecord=b2025758")</f>
        <v>https://www.catalog.slsa.sa.gov.au/xrecord=b2025758</v>
      </c>
      <c r="E6545" t="s">
        <v>22508</v>
      </c>
      <c r="F6545">
        <v>1953</v>
      </c>
      <c r="G6545" t="s">
        <v>22486</v>
      </c>
      <c r="H6545" t="s">
        <v>22509</v>
      </c>
      <c r="I6545" t="s">
        <v>22506</v>
      </c>
      <c r="J6545" t="s">
        <v>3486</v>
      </c>
      <c r="K6545" s="2" t="str">
        <f>HYPERLINK("http://collections.slsa.sa.gov.au/mpcimg/25250/B25188.htm")</f>
        <v>http://collections.slsa.sa.gov.au/mpcimg/25250/B25188.htm</v>
      </c>
    </row>
    <row r="6546" spans="1:11" x14ac:dyDescent="0.25">
      <c r="A6546" t="s">
        <v>22510</v>
      </c>
      <c r="B6546" s="1" t="str">
        <f>HYPERLINK("https://www.catalog.slsa.sa.gov.au/record=b2025777")</f>
        <v>https://www.catalog.slsa.sa.gov.au/record=b2025777</v>
      </c>
      <c r="C6546" s="1" t="str">
        <f>HYPERLINK("https://www.catalog.slsa.sa.gov.au/xrecord=b2025777")</f>
        <v>https://www.catalog.slsa.sa.gov.au/xrecord=b2025777</v>
      </c>
      <c r="D6546" t="s">
        <v>16303</v>
      </c>
      <c r="E6546" t="s">
        <v>22508</v>
      </c>
      <c r="F6546">
        <v>1953</v>
      </c>
      <c r="G6546" t="s">
        <v>22511</v>
      </c>
      <c r="H6546" t="s">
        <v>22512</v>
      </c>
      <c r="I6546" t="s">
        <v>22513</v>
      </c>
      <c r="J6546" t="s">
        <v>22514</v>
      </c>
      <c r="K6546" s="2" t="str">
        <f>HYPERLINK("http://collections.slsa.sa.gov.au/mpcimg/43750/B43526.htm")</f>
        <v>http://collections.slsa.sa.gov.au/mpcimg/43750/B43526.htm</v>
      </c>
    </row>
    <row r="6547" spans="1:11" x14ac:dyDescent="0.25">
      <c r="A6547" t="s">
        <v>22515</v>
      </c>
      <c r="B6547" s="1" t="str">
        <f>HYPERLINK("https://www.catalog.slsa.sa.gov.au/record=b2025778")</f>
        <v>https://www.catalog.slsa.sa.gov.au/record=b2025778</v>
      </c>
      <c r="C6547" s="1" t="str">
        <f>HYPERLINK("https://www.catalog.slsa.sa.gov.au/xrecord=b2025778")</f>
        <v>https://www.catalog.slsa.sa.gov.au/xrecord=b2025778</v>
      </c>
      <c r="D6547" t="s">
        <v>16303</v>
      </c>
      <c r="E6547" t="s">
        <v>22508</v>
      </c>
      <c r="F6547">
        <v>1953</v>
      </c>
      <c r="G6547" t="s">
        <v>22516</v>
      </c>
      <c r="H6547" t="s">
        <v>22517</v>
      </c>
      <c r="I6547" t="s">
        <v>22513</v>
      </c>
      <c r="J6547" t="s">
        <v>22514</v>
      </c>
      <c r="K6547" s="2" t="str">
        <f>HYPERLINK("http://collections.slsa.sa.gov.au/mpcimg/43750/B43527.htm")</f>
        <v>http://collections.slsa.sa.gov.au/mpcimg/43750/B43527.htm</v>
      </c>
    </row>
    <row r="6548" spans="1:11" x14ac:dyDescent="0.25">
      <c r="A6548" t="s">
        <v>22518</v>
      </c>
      <c r="B6548" s="1" t="str">
        <f>HYPERLINK("https://www.catalog.slsa.sa.gov.au/record=b2025779")</f>
        <v>https://www.catalog.slsa.sa.gov.au/record=b2025779</v>
      </c>
      <c r="C6548" s="1" t="str">
        <f>HYPERLINK("https://www.catalog.slsa.sa.gov.au/xrecord=b2025779")</f>
        <v>https://www.catalog.slsa.sa.gov.au/xrecord=b2025779</v>
      </c>
      <c r="D6548" t="s">
        <v>16303</v>
      </c>
      <c r="E6548" t="s">
        <v>22508</v>
      </c>
      <c r="F6548">
        <v>1953</v>
      </c>
      <c r="G6548" t="s">
        <v>22519</v>
      </c>
      <c r="H6548" t="s">
        <v>22520</v>
      </c>
      <c r="I6548" t="s">
        <v>22513</v>
      </c>
      <c r="J6548" t="s">
        <v>22514</v>
      </c>
      <c r="K6548" s="2" t="str">
        <f>HYPERLINK("http://collections.slsa.sa.gov.au/mpcimg/43750/B43528.htm")</f>
        <v>http://collections.slsa.sa.gov.au/mpcimg/43750/B43528.htm</v>
      </c>
    </row>
    <row r="6549" spans="1:11" x14ac:dyDescent="0.25">
      <c r="A6549" t="s">
        <v>22521</v>
      </c>
      <c r="B6549" s="1" t="str">
        <f>HYPERLINK("https://www.catalog.slsa.sa.gov.au/record=b2025780")</f>
        <v>https://www.catalog.slsa.sa.gov.au/record=b2025780</v>
      </c>
      <c r="C6549" s="1" t="str">
        <f>HYPERLINK("https://www.catalog.slsa.sa.gov.au/xrecord=b2025780")</f>
        <v>https://www.catalog.slsa.sa.gov.au/xrecord=b2025780</v>
      </c>
      <c r="D6549" t="s">
        <v>16303</v>
      </c>
      <c r="E6549" t="s">
        <v>22508</v>
      </c>
      <c r="F6549">
        <v>1953</v>
      </c>
      <c r="G6549" t="s">
        <v>22522</v>
      </c>
      <c r="H6549" t="s">
        <v>22523</v>
      </c>
      <c r="I6549" t="s">
        <v>22513</v>
      </c>
      <c r="J6549" t="s">
        <v>22514</v>
      </c>
      <c r="K6549" s="2" t="str">
        <f>HYPERLINK("http://collections.slsa.sa.gov.au/mpcimg/43750/B43529.htm")</f>
        <v>http://collections.slsa.sa.gov.au/mpcimg/43750/B43529.htm</v>
      </c>
    </row>
    <row r="6550" spans="1:11" x14ac:dyDescent="0.25">
      <c r="A6550" t="s">
        <v>22524</v>
      </c>
      <c r="B6550" s="1" t="str">
        <f>HYPERLINK("https://www.catalog.slsa.sa.gov.au/record=b2027349")</f>
        <v>https://www.catalog.slsa.sa.gov.au/record=b2027349</v>
      </c>
      <c r="C6550" s="1" t="str">
        <f>HYPERLINK("https://www.catalog.slsa.sa.gov.au/xrecord=b2027349")</f>
        <v>https://www.catalog.slsa.sa.gov.au/xrecord=b2027349</v>
      </c>
      <c r="D6550" t="s">
        <v>22525</v>
      </c>
      <c r="E6550" t="s">
        <v>22526</v>
      </c>
      <c r="F6550">
        <v>1953</v>
      </c>
      <c r="G6550" t="s">
        <v>22527</v>
      </c>
      <c r="H6550" t="s">
        <v>22528</v>
      </c>
      <c r="I6550" t="s">
        <v>22529</v>
      </c>
      <c r="J6550" t="s">
        <v>22530</v>
      </c>
      <c r="K6550" s="2" t="str">
        <f>HYPERLINK("http://collections.slsa.sa.gov.au/mpcimg/13250/B13239.htm")</f>
        <v>http://collections.slsa.sa.gov.au/mpcimg/13250/B13239.htm</v>
      </c>
    </row>
    <row r="6551" spans="1:11" x14ac:dyDescent="0.25">
      <c r="A6551" t="s">
        <v>22531</v>
      </c>
      <c r="B6551" s="1" t="str">
        <f>HYPERLINK("https://www.catalog.slsa.sa.gov.au/record=b2027350")</f>
        <v>https://www.catalog.slsa.sa.gov.au/record=b2027350</v>
      </c>
      <c r="C6551" s="1" t="str">
        <f>HYPERLINK("https://www.catalog.slsa.sa.gov.au/xrecord=b2027350")</f>
        <v>https://www.catalog.slsa.sa.gov.au/xrecord=b2027350</v>
      </c>
      <c r="D6551" t="s">
        <v>22525</v>
      </c>
      <c r="E6551" t="s">
        <v>22532</v>
      </c>
      <c r="F6551">
        <v>1953</v>
      </c>
      <c r="G6551" t="s">
        <v>22527</v>
      </c>
      <c r="H6551" t="s">
        <v>22533</v>
      </c>
      <c r="I6551" t="s">
        <v>22529</v>
      </c>
      <c r="J6551" t="s">
        <v>22530</v>
      </c>
      <c r="K6551" s="2" t="str">
        <f>HYPERLINK("http://collections.slsa.sa.gov.au/mpcimg/13250/B13240.htm")</f>
        <v>http://collections.slsa.sa.gov.au/mpcimg/13250/B13240.htm</v>
      </c>
    </row>
    <row r="6552" spans="1:11" x14ac:dyDescent="0.25">
      <c r="A6552" t="s">
        <v>22534</v>
      </c>
      <c r="B6552" s="1" t="str">
        <f>HYPERLINK("https://www.catalog.slsa.sa.gov.au/record=b2028781")</f>
        <v>https://www.catalog.slsa.sa.gov.au/record=b2028781</v>
      </c>
      <c r="C6552" s="1" t="str">
        <f>HYPERLINK("https://www.catalog.slsa.sa.gov.au/xrecord=b2028781")</f>
        <v>https://www.catalog.slsa.sa.gov.au/xrecord=b2028781</v>
      </c>
      <c r="D6552" t="s">
        <v>14894</v>
      </c>
      <c r="E6552" t="s">
        <v>22535</v>
      </c>
      <c r="F6552">
        <v>1953</v>
      </c>
      <c r="G6552" t="s">
        <v>22536</v>
      </c>
      <c r="H6552" t="s">
        <v>22537</v>
      </c>
      <c r="I6552" t="s">
        <v>22538</v>
      </c>
      <c r="J6552" t="s">
        <v>22539</v>
      </c>
      <c r="K6552" s="2" t="str">
        <f>HYPERLINK("http://collections.slsa.sa.gov.au/mpcimg/20500/B20276.htm")</f>
        <v>http://collections.slsa.sa.gov.au/mpcimg/20500/B20276.htm</v>
      </c>
    </row>
    <row r="6553" spans="1:11" x14ac:dyDescent="0.25">
      <c r="A6553" t="s">
        <v>22540</v>
      </c>
      <c r="B6553" s="1" t="str">
        <f>HYPERLINK("https://www.catalog.slsa.sa.gov.au/record=b2031114")</f>
        <v>https://www.catalog.slsa.sa.gov.au/record=b2031114</v>
      </c>
      <c r="C6553" s="1" t="str">
        <f>HYPERLINK("https://www.catalog.slsa.sa.gov.au/xrecord=b2031114")</f>
        <v>https://www.catalog.slsa.sa.gov.au/xrecord=b2031114</v>
      </c>
      <c r="E6553" t="s">
        <v>22541</v>
      </c>
      <c r="F6553">
        <v>1953</v>
      </c>
      <c r="G6553" t="s">
        <v>22542</v>
      </c>
      <c r="H6553" t="s">
        <v>22543</v>
      </c>
      <c r="I6553" t="s">
        <v>22544</v>
      </c>
      <c r="J6553" t="s">
        <v>2963</v>
      </c>
      <c r="K6553" s="2" t="str">
        <f>HYPERLINK("http://collections.slsa.sa.gov.au/mpcimg/13000/B12880.htm")</f>
        <v>http://collections.slsa.sa.gov.au/mpcimg/13000/B12880.htm</v>
      </c>
    </row>
    <row r="6554" spans="1:11" x14ac:dyDescent="0.25">
      <c r="A6554" t="s">
        <v>22545</v>
      </c>
      <c r="B6554" s="1" t="str">
        <f>HYPERLINK("https://www.catalog.slsa.sa.gov.au/record=b2031526")</f>
        <v>https://www.catalog.slsa.sa.gov.au/record=b2031526</v>
      </c>
      <c r="C6554" s="1" t="str">
        <f>HYPERLINK("https://www.catalog.slsa.sa.gov.au/xrecord=b2031526")</f>
        <v>https://www.catalog.slsa.sa.gov.au/xrecord=b2031526</v>
      </c>
      <c r="E6554" t="s">
        <v>22546</v>
      </c>
      <c r="F6554">
        <v>1953</v>
      </c>
      <c r="G6554" t="s">
        <v>4731</v>
      </c>
      <c r="H6554" t="s">
        <v>22547</v>
      </c>
      <c r="I6554" t="s">
        <v>22548</v>
      </c>
      <c r="J6554" t="s">
        <v>2963</v>
      </c>
      <c r="K6554" s="2" t="str">
        <f>HYPERLINK("http://collections.slsa.sa.gov.au/mpcimg/20250/B20014.htm")</f>
        <v>http://collections.slsa.sa.gov.au/mpcimg/20250/B20014.htm</v>
      </c>
    </row>
    <row r="6555" spans="1:11" x14ac:dyDescent="0.25">
      <c r="A6555" t="s">
        <v>22549</v>
      </c>
      <c r="B6555" s="1" t="str">
        <f>HYPERLINK("https://www.catalog.slsa.sa.gov.au/record=b2031658")</f>
        <v>https://www.catalog.slsa.sa.gov.au/record=b2031658</v>
      </c>
      <c r="C6555" s="1" t="str">
        <f>HYPERLINK("https://www.catalog.slsa.sa.gov.au/xrecord=b2031658")</f>
        <v>https://www.catalog.slsa.sa.gov.au/xrecord=b2031658</v>
      </c>
      <c r="E6555" t="s">
        <v>22550</v>
      </c>
      <c r="F6555">
        <v>1953</v>
      </c>
      <c r="G6555" t="s">
        <v>16772</v>
      </c>
      <c r="H6555" t="s">
        <v>22551</v>
      </c>
      <c r="J6555" t="s">
        <v>2963</v>
      </c>
      <c r="K6555" s="2" t="str">
        <f>HYPERLINK("http://collections.slsa.sa.gov.au/mpcimg/25250/B25235.htm")</f>
        <v>http://collections.slsa.sa.gov.au/mpcimg/25250/B25235.htm</v>
      </c>
    </row>
    <row r="6556" spans="1:11" x14ac:dyDescent="0.25">
      <c r="A6556" t="s">
        <v>22552</v>
      </c>
      <c r="B6556" s="1" t="str">
        <f>HYPERLINK("https://www.catalog.slsa.sa.gov.au/record=b2031729")</f>
        <v>https://www.catalog.slsa.sa.gov.au/record=b2031729</v>
      </c>
      <c r="C6556" s="1" t="str">
        <f>HYPERLINK("https://www.catalog.slsa.sa.gov.au/xrecord=b2031729")</f>
        <v>https://www.catalog.slsa.sa.gov.au/xrecord=b2031729</v>
      </c>
      <c r="E6556" t="s">
        <v>22553</v>
      </c>
      <c r="F6556">
        <v>1953</v>
      </c>
      <c r="G6556" t="s">
        <v>14809</v>
      </c>
      <c r="H6556" t="s">
        <v>22554</v>
      </c>
      <c r="I6556" t="s">
        <v>5559</v>
      </c>
      <c r="J6556" t="s">
        <v>2963</v>
      </c>
      <c r="K6556" s="2" t="str">
        <f>HYPERLINK("http://collections.slsa.sa.gov.au/mpcimg/36500/B36252.htm")</f>
        <v>http://collections.slsa.sa.gov.au/mpcimg/36500/B36252.htm</v>
      </c>
    </row>
    <row r="6557" spans="1:11" x14ac:dyDescent="0.25">
      <c r="A6557" t="s">
        <v>22555</v>
      </c>
      <c r="B6557" s="1" t="str">
        <f>HYPERLINK("https://www.catalog.slsa.sa.gov.au/record=b2031771")</f>
        <v>https://www.catalog.slsa.sa.gov.au/record=b2031771</v>
      </c>
      <c r="C6557" s="1" t="str">
        <f>HYPERLINK("https://www.catalog.slsa.sa.gov.au/xrecord=b2031771")</f>
        <v>https://www.catalog.slsa.sa.gov.au/xrecord=b2031771</v>
      </c>
      <c r="E6557" t="s">
        <v>22556</v>
      </c>
      <c r="F6557">
        <v>1953</v>
      </c>
      <c r="G6557" t="s">
        <v>14809</v>
      </c>
      <c r="H6557" t="s">
        <v>22557</v>
      </c>
      <c r="I6557" t="s">
        <v>22558</v>
      </c>
      <c r="J6557" t="s">
        <v>2963</v>
      </c>
      <c r="K6557" s="2" t="str">
        <f>HYPERLINK("http://collections.slsa.sa.gov.au/mpcimg/37000/B36993.htm")</f>
        <v>http://collections.slsa.sa.gov.au/mpcimg/37000/B36993.htm</v>
      </c>
    </row>
    <row r="6558" spans="1:11" x14ac:dyDescent="0.25">
      <c r="A6558" t="s">
        <v>22559</v>
      </c>
      <c r="B6558" s="1" t="str">
        <f>HYPERLINK("https://www.catalog.slsa.sa.gov.au/record=b2031786")</f>
        <v>https://www.catalog.slsa.sa.gov.au/record=b2031786</v>
      </c>
      <c r="C6558" s="1" t="str">
        <f>HYPERLINK("https://www.catalog.slsa.sa.gov.au/xrecord=b2031786")</f>
        <v>https://www.catalog.slsa.sa.gov.au/xrecord=b2031786</v>
      </c>
      <c r="E6558" t="s">
        <v>22560</v>
      </c>
      <c r="F6558">
        <v>1953</v>
      </c>
      <c r="G6558" t="s">
        <v>14809</v>
      </c>
      <c r="H6558" t="s">
        <v>22561</v>
      </c>
      <c r="I6558" t="s">
        <v>22562</v>
      </c>
      <c r="J6558" t="s">
        <v>2963</v>
      </c>
      <c r="K6558" s="2" t="str">
        <f>HYPERLINK("http://collections.slsa.sa.gov.au/mpcimg/38250/B38070.htm")</f>
        <v>http://collections.slsa.sa.gov.au/mpcimg/38250/B38070.htm</v>
      </c>
    </row>
    <row r="6559" spans="1:11" x14ac:dyDescent="0.25">
      <c r="A6559" t="s">
        <v>22563</v>
      </c>
      <c r="B6559" s="1" t="str">
        <f>HYPERLINK("https://www.catalog.slsa.sa.gov.au/record=b2031947")</f>
        <v>https://www.catalog.slsa.sa.gov.au/record=b2031947</v>
      </c>
      <c r="C6559" s="1" t="str">
        <f>HYPERLINK("https://www.catalog.slsa.sa.gov.au/xrecord=b2031947")</f>
        <v>https://www.catalog.slsa.sa.gov.au/xrecord=b2031947</v>
      </c>
      <c r="E6559" t="s">
        <v>22564</v>
      </c>
      <c r="F6559">
        <v>1953</v>
      </c>
      <c r="G6559" t="s">
        <v>22565</v>
      </c>
      <c r="H6559" t="s">
        <v>22566</v>
      </c>
      <c r="I6559" t="s">
        <v>11814</v>
      </c>
      <c r="J6559" t="s">
        <v>2963</v>
      </c>
      <c r="K6559" s="2" t="str">
        <f>HYPERLINK("http://collections.slsa.sa.gov.au/mpcimg/40000/B39812.htm")</f>
        <v>http://collections.slsa.sa.gov.au/mpcimg/40000/B39812.htm</v>
      </c>
    </row>
    <row r="6560" spans="1:11" x14ac:dyDescent="0.25">
      <c r="A6560" t="s">
        <v>22567</v>
      </c>
      <c r="B6560" s="1" t="str">
        <f>HYPERLINK("https://www.catalog.slsa.sa.gov.au/record=b2032610")</f>
        <v>https://www.catalog.slsa.sa.gov.au/record=b2032610</v>
      </c>
      <c r="C6560" s="1" t="str">
        <f>HYPERLINK("https://www.catalog.slsa.sa.gov.au/xrecord=b2032610")</f>
        <v>https://www.catalog.slsa.sa.gov.au/xrecord=b2032610</v>
      </c>
      <c r="D6560" t="s">
        <v>22568</v>
      </c>
      <c r="E6560" t="s">
        <v>22569</v>
      </c>
      <c r="F6560">
        <v>1953</v>
      </c>
      <c r="G6560" t="s">
        <v>14771</v>
      </c>
      <c r="H6560" t="s">
        <v>22570</v>
      </c>
      <c r="I6560" t="s">
        <v>22571</v>
      </c>
      <c r="J6560" t="s">
        <v>16173</v>
      </c>
      <c r="K6560" s="2" t="str">
        <f>HYPERLINK("http://collections.slsa.sa.gov.au/mpcimg/19000/B18940.htm")</f>
        <v>http://collections.slsa.sa.gov.au/mpcimg/19000/B18940.htm</v>
      </c>
    </row>
    <row r="6561" spans="1:11" x14ac:dyDescent="0.25">
      <c r="A6561" t="s">
        <v>22572</v>
      </c>
      <c r="B6561" s="1" t="str">
        <f>HYPERLINK("https://www.catalog.slsa.sa.gov.au/record=b2032611")</f>
        <v>https://www.catalog.slsa.sa.gov.au/record=b2032611</v>
      </c>
      <c r="C6561" s="1" t="str">
        <f>HYPERLINK("https://www.catalog.slsa.sa.gov.au/xrecord=b2032611")</f>
        <v>https://www.catalog.slsa.sa.gov.au/xrecord=b2032611</v>
      </c>
      <c r="E6561" t="s">
        <v>22573</v>
      </c>
      <c r="F6561">
        <v>1953</v>
      </c>
      <c r="G6561" t="s">
        <v>14771</v>
      </c>
      <c r="H6561" t="s">
        <v>22574</v>
      </c>
      <c r="I6561" t="s">
        <v>22575</v>
      </c>
      <c r="J6561" t="s">
        <v>16173</v>
      </c>
      <c r="K6561" s="2" t="str">
        <f>HYPERLINK("http://collections.slsa.sa.gov.au/mpcimg/19000/B18941.htm")</f>
        <v>http://collections.slsa.sa.gov.au/mpcimg/19000/B18941.htm</v>
      </c>
    </row>
    <row r="6562" spans="1:11" x14ac:dyDescent="0.25">
      <c r="A6562" t="s">
        <v>22576</v>
      </c>
      <c r="B6562" s="1" t="str">
        <f>HYPERLINK("https://www.catalog.slsa.sa.gov.au/record=b2032612")</f>
        <v>https://www.catalog.slsa.sa.gov.au/record=b2032612</v>
      </c>
      <c r="C6562" s="1" t="str">
        <f>HYPERLINK("https://www.catalog.slsa.sa.gov.au/xrecord=b2032612")</f>
        <v>https://www.catalog.slsa.sa.gov.au/xrecord=b2032612</v>
      </c>
      <c r="D6562" t="s">
        <v>22568</v>
      </c>
      <c r="E6562" t="s">
        <v>22577</v>
      </c>
      <c r="F6562">
        <v>1953</v>
      </c>
      <c r="G6562" t="s">
        <v>14771</v>
      </c>
      <c r="H6562" t="s">
        <v>22578</v>
      </c>
      <c r="I6562" t="s">
        <v>22579</v>
      </c>
      <c r="J6562" t="s">
        <v>16173</v>
      </c>
      <c r="K6562" s="2" t="str">
        <f>HYPERLINK("http://collections.slsa.sa.gov.au/mpcimg/19000/B18942.htm")</f>
        <v>http://collections.slsa.sa.gov.au/mpcimg/19000/B18942.htm</v>
      </c>
    </row>
    <row r="6563" spans="1:11" x14ac:dyDescent="0.25">
      <c r="A6563" t="s">
        <v>22580</v>
      </c>
      <c r="B6563" s="1" t="str">
        <f>HYPERLINK("https://www.catalog.slsa.sa.gov.au/record=b2032613")</f>
        <v>https://www.catalog.slsa.sa.gov.au/record=b2032613</v>
      </c>
      <c r="C6563" s="1" t="str">
        <f>HYPERLINK("https://www.catalog.slsa.sa.gov.au/xrecord=b2032613")</f>
        <v>https://www.catalog.slsa.sa.gov.au/xrecord=b2032613</v>
      </c>
      <c r="D6563" t="s">
        <v>22581</v>
      </c>
      <c r="E6563" t="s">
        <v>22582</v>
      </c>
      <c r="F6563">
        <v>1953</v>
      </c>
      <c r="G6563" t="s">
        <v>22583</v>
      </c>
      <c r="H6563" t="s">
        <v>22584</v>
      </c>
      <c r="I6563" t="s">
        <v>22585</v>
      </c>
      <c r="J6563" t="s">
        <v>16173</v>
      </c>
      <c r="K6563" s="2" t="str">
        <f>HYPERLINK("http://collections.slsa.sa.gov.au/mpcimg/19000/B18943.htm")</f>
        <v>http://collections.slsa.sa.gov.au/mpcimg/19000/B18943.htm</v>
      </c>
    </row>
    <row r="6564" spans="1:11" x14ac:dyDescent="0.25">
      <c r="A6564" t="s">
        <v>22586</v>
      </c>
      <c r="B6564" s="1" t="str">
        <f>HYPERLINK("https://www.catalog.slsa.sa.gov.au/record=b2032614")</f>
        <v>https://www.catalog.slsa.sa.gov.au/record=b2032614</v>
      </c>
      <c r="C6564" s="1" t="str">
        <f>HYPERLINK("https://www.catalog.slsa.sa.gov.au/xrecord=b2032614")</f>
        <v>https://www.catalog.slsa.sa.gov.au/xrecord=b2032614</v>
      </c>
      <c r="D6564" t="s">
        <v>22568</v>
      </c>
      <c r="E6564" t="s">
        <v>22587</v>
      </c>
      <c r="F6564">
        <v>1953</v>
      </c>
      <c r="G6564" t="s">
        <v>14771</v>
      </c>
      <c r="H6564" t="s">
        <v>22588</v>
      </c>
      <c r="I6564" t="s">
        <v>22589</v>
      </c>
      <c r="J6564" t="s">
        <v>16173</v>
      </c>
      <c r="K6564" s="2" t="str">
        <f>HYPERLINK("http://collections.slsa.sa.gov.au/mpcimg/19000/B18944.htm")</f>
        <v>http://collections.slsa.sa.gov.au/mpcimg/19000/B18944.htm</v>
      </c>
    </row>
    <row r="6565" spans="1:11" x14ac:dyDescent="0.25">
      <c r="A6565" t="s">
        <v>22590</v>
      </c>
      <c r="B6565" s="1" t="str">
        <f>HYPERLINK("https://www.catalog.slsa.sa.gov.au/record=b2032615")</f>
        <v>https://www.catalog.slsa.sa.gov.au/record=b2032615</v>
      </c>
      <c r="C6565" s="1" t="str">
        <f>HYPERLINK("https://www.catalog.slsa.sa.gov.au/xrecord=b2032615")</f>
        <v>https://www.catalog.slsa.sa.gov.au/xrecord=b2032615</v>
      </c>
      <c r="E6565" t="s">
        <v>22591</v>
      </c>
      <c r="F6565">
        <v>1953</v>
      </c>
      <c r="G6565" t="s">
        <v>14771</v>
      </c>
      <c r="H6565" t="s">
        <v>22592</v>
      </c>
      <c r="I6565" t="s">
        <v>22593</v>
      </c>
      <c r="J6565" t="s">
        <v>16173</v>
      </c>
      <c r="K6565" s="2" t="str">
        <f>HYPERLINK("http://collections.slsa.sa.gov.au/mpcimg/19000/B18945.htm")</f>
        <v>http://collections.slsa.sa.gov.au/mpcimg/19000/B18945.htm</v>
      </c>
    </row>
    <row r="6566" spans="1:11" x14ac:dyDescent="0.25">
      <c r="A6566" t="s">
        <v>22594</v>
      </c>
      <c r="B6566" s="1" t="str">
        <f>HYPERLINK("https://www.catalog.slsa.sa.gov.au/record=b2032616")</f>
        <v>https://www.catalog.slsa.sa.gov.au/record=b2032616</v>
      </c>
      <c r="C6566" s="1" t="str">
        <f>HYPERLINK("https://www.catalog.slsa.sa.gov.au/xrecord=b2032616")</f>
        <v>https://www.catalog.slsa.sa.gov.au/xrecord=b2032616</v>
      </c>
      <c r="D6566" t="s">
        <v>22568</v>
      </c>
      <c r="E6566" t="s">
        <v>22591</v>
      </c>
      <c r="F6566">
        <v>1953</v>
      </c>
      <c r="G6566" t="s">
        <v>14771</v>
      </c>
      <c r="H6566" t="s">
        <v>22592</v>
      </c>
      <c r="I6566" t="s">
        <v>22593</v>
      </c>
      <c r="J6566" t="s">
        <v>16173</v>
      </c>
      <c r="K6566" s="2" t="str">
        <f>HYPERLINK("http://collections.slsa.sa.gov.au/mpcimg/19000/B18946.htm")</f>
        <v>http://collections.slsa.sa.gov.au/mpcimg/19000/B18946.htm</v>
      </c>
    </row>
    <row r="6567" spans="1:11" x14ac:dyDescent="0.25">
      <c r="A6567" t="s">
        <v>22595</v>
      </c>
      <c r="B6567" s="1" t="str">
        <f>HYPERLINK("https://www.catalog.slsa.sa.gov.au/record=b2032617")</f>
        <v>https://www.catalog.slsa.sa.gov.au/record=b2032617</v>
      </c>
      <c r="C6567" s="1" t="str">
        <f>HYPERLINK("https://www.catalog.slsa.sa.gov.au/xrecord=b2032617")</f>
        <v>https://www.catalog.slsa.sa.gov.au/xrecord=b2032617</v>
      </c>
      <c r="E6567" t="s">
        <v>22596</v>
      </c>
      <c r="F6567">
        <v>1953</v>
      </c>
      <c r="G6567" t="s">
        <v>14771</v>
      </c>
      <c r="H6567" t="s">
        <v>22597</v>
      </c>
      <c r="I6567" t="s">
        <v>22593</v>
      </c>
      <c r="J6567" t="s">
        <v>16173</v>
      </c>
      <c r="K6567" s="2" t="str">
        <f>HYPERLINK("http://collections.slsa.sa.gov.au/mpcimg/19000/B18947.htm")</f>
        <v>http://collections.slsa.sa.gov.au/mpcimg/19000/B18947.htm</v>
      </c>
    </row>
    <row r="6568" spans="1:11" x14ac:dyDescent="0.25">
      <c r="A6568" t="s">
        <v>22598</v>
      </c>
      <c r="B6568" s="1" t="str">
        <f>HYPERLINK("https://www.catalog.slsa.sa.gov.au/record=b2032618")</f>
        <v>https://www.catalog.slsa.sa.gov.au/record=b2032618</v>
      </c>
      <c r="C6568" s="1" t="str">
        <f>HYPERLINK("https://www.catalog.slsa.sa.gov.au/xrecord=b2032618")</f>
        <v>https://www.catalog.slsa.sa.gov.au/xrecord=b2032618</v>
      </c>
      <c r="D6568" t="s">
        <v>22568</v>
      </c>
      <c r="E6568" t="s">
        <v>22599</v>
      </c>
      <c r="F6568">
        <v>1953</v>
      </c>
      <c r="G6568" t="s">
        <v>14771</v>
      </c>
      <c r="H6568" t="s">
        <v>22600</v>
      </c>
      <c r="I6568" t="s">
        <v>22593</v>
      </c>
      <c r="J6568" t="s">
        <v>16173</v>
      </c>
      <c r="K6568" s="2" t="str">
        <f>HYPERLINK("http://collections.slsa.sa.gov.au/mpcimg/19000/B18948.htm")</f>
        <v>http://collections.slsa.sa.gov.au/mpcimg/19000/B18948.htm</v>
      </c>
    </row>
    <row r="6569" spans="1:11" x14ac:dyDescent="0.25">
      <c r="A6569" t="s">
        <v>22601</v>
      </c>
      <c r="B6569" s="1" t="str">
        <f>HYPERLINK("https://www.catalog.slsa.sa.gov.au/record=b2032619")</f>
        <v>https://www.catalog.slsa.sa.gov.au/record=b2032619</v>
      </c>
      <c r="C6569" s="1" t="str">
        <f>HYPERLINK("https://www.catalog.slsa.sa.gov.au/xrecord=b2032619")</f>
        <v>https://www.catalog.slsa.sa.gov.au/xrecord=b2032619</v>
      </c>
      <c r="D6569" t="s">
        <v>22602</v>
      </c>
      <c r="E6569" t="s">
        <v>22603</v>
      </c>
      <c r="F6569">
        <v>1953</v>
      </c>
      <c r="G6569" t="s">
        <v>14771</v>
      </c>
      <c r="H6569" t="s">
        <v>22604</v>
      </c>
      <c r="J6569" t="s">
        <v>16173</v>
      </c>
      <c r="K6569" s="2" t="str">
        <f>HYPERLINK("http://collections.slsa.sa.gov.au/mpcimg/19000/B18949.htm")</f>
        <v>http://collections.slsa.sa.gov.au/mpcimg/19000/B18949.htm</v>
      </c>
    </row>
    <row r="6570" spans="1:11" x14ac:dyDescent="0.25">
      <c r="A6570" t="s">
        <v>22605</v>
      </c>
      <c r="B6570" s="1" t="str">
        <f>HYPERLINK("https://www.catalog.slsa.sa.gov.au/record=b2032620")</f>
        <v>https://www.catalog.slsa.sa.gov.au/record=b2032620</v>
      </c>
      <c r="C6570" s="1" t="str">
        <f>HYPERLINK("https://www.catalog.slsa.sa.gov.au/xrecord=b2032620")</f>
        <v>https://www.catalog.slsa.sa.gov.au/xrecord=b2032620</v>
      </c>
      <c r="D6570" t="s">
        <v>22568</v>
      </c>
      <c r="E6570" t="s">
        <v>22606</v>
      </c>
      <c r="F6570">
        <v>1953</v>
      </c>
      <c r="G6570" t="s">
        <v>14771</v>
      </c>
      <c r="H6570" t="s">
        <v>22607</v>
      </c>
      <c r="I6570" t="s">
        <v>22608</v>
      </c>
      <c r="J6570" t="s">
        <v>16173</v>
      </c>
      <c r="K6570" s="2" t="str">
        <f>HYPERLINK("http://collections.slsa.sa.gov.au/mpcimg/19000/B18950.htm")</f>
        <v>http://collections.slsa.sa.gov.au/mpcimg/19000/B18950.htm</v>
      </c>
    </row>
    <row r="6571" spans="1:11" x14ac:dyDescent="0.25">
      <c r="A6571" t="s">
        <v>22609</v>
      </c>
      <c r="B6571" s="1" t="str">
        <f>HYPERLINK("https://www.catalog.slsa.sa.gov.au/record=b2032621")</f>
        <v>https://www.catalog.slsa.sa.gov.au/record=b2032621</v>
      </c>
      <c r="C6571" s="1" t="str">
        <f>HYPERLINK("https://www.catalog.slsa.sa.gov.au/xrecord=b2032621")</f>
        <v>https://www.catalog.slsa.sa.gov.au/xrecord=b2032621</v>
      </c>
      <c r="E6571" t="s">
        <v>22610</v>
      </c>
      <c r="F6571">
        <v>1953</v>
      </c>
      <c r="G6571" t="s">
        <v>14771</v>
      </c>
      <c r="H6571" t="s">
        <v>22611</v>
      </c>
      <c r="I6571" t="s">
        <v>22612</v>
      </c>
      <c r="J6571" t="s">
        <v>16173</v>
      </c>
      <c r="K6571" s="2" t="str">
        <f>HYPERLINK("http://collections.slsa.sa.gov.au/mpcimg/19000/B18951.htm")</f>
        <v>http://collections.slsa.sa.gov.au/mpcimg/19000/B18951.htm</v>
      </c>
    </row>
    <row r="6572" spans="1:11" x14ac:dyDescent="0.25">
      <c r="A6572" t="s">
        <v>22613</v>
      </c>
      <c r="B6572" s="1" t="str">
        <f>HYPERLINK("https://www.catalog.slsa.sa.gov.au/record=b2032622")</f>
        <v>https://www.catalog.slsa.sa.gov.au/record=b2032622</v>
      </c>
      <c r="C6572" s="1" t="str">
        <f>HYPERLINK("https://www.catalog.slsa.sa.gov.au/xrecord=b2032622")</f>
        <v>https://www.catalog.slsa.sa.gov.au/xrecord=b2032622</v>
      </c>
      <c r="E6572" t="s">
        <v>22614</v>
      </c>
      <c r="F6572">
        <v>1953</v>
      </c>
      <c r="G6572" t="s">
        <v>14771</v>
      </c>
      <c r="H6572" t="s">
        <v>22615</v>
      </c>
      <c r="I6572" t="s">
        <v>22616</v>
      </c>
      <c r="J6572" t="s">
        <v>16173</v>
      </c>
      <c r="K6572" s="2" t="str">
        <f>HYPERLINK("http://collections.slsa.sa.gov.au/mpcimg/19000/B18952.htm")</f>
        <v>http://collections.slsa.sa.gov.au/mpcimg/19000/B18952.htm</v>
      </c>
    </row>
    <row r="6573" spans="1:11" x14ac:dyDescent="0.25">
      <c r="A6573" t="s">
        <v>22617</v>
      </c>
      <c r="B6573" s="1" t="str">
        <f>HYPERLINK("https://www.catalog.slsa.sa.gov.au/record=b2032623")</f>
        <v>https://www.catalog.slsa.sa.gov.au/record=b2032623</v>
      </c>
      <c r="C6573" s="1" t="str">
        <f>HYPERLINK("https://www.catalog.slsa.sa.gov.au/xrecord=b2032623")</f>
        <v>https://www.catalog.slsa.sa.gov.au/xrecord=b2032623</v>
      </c>
      <c r="D6573" t="s">
        <v>22568</v>
      </c>
      <c r="E6573" t="s">
        <v>22618</v>
      </c>
      <c r="F6573">
        <v>1953</v>
      </c>
      <c r="G6573" t="s">
        <v>14771</v>
      </c>
      <c r="H6573" t="s">
        <v>22619</v>
      </c>
      <c r="I6573" t="s">
        <v>22620</v>
      </c>
      <c r="J6573" t="s">
        <v>16173</v>
      </c>
      <c r="K6573" s="2" t="str">
        <f>HYPERLINK("http://collections.slsa.sa.gov.au/mpcimg/19000/B18953.htm")</f>
        <v>http://collections.slsa.sa.gov.au/mpcimg/19000/B18953.htm</v>
      </c>
    </row>
    <row r="6574" spans="1:11" x14ac:dyDescent="0.25">
      <c r="A6574" t="s">
        <v>22621</v>
      </c>
      <c r="B6574" s="1" t="str">
        <f>HYPERLINK("https://www.catalog.slsa.sa.gov.au/record=b2032624")</f>
        <v>https://www.catalog.slsa.sa.gov.au/record=b2032624</v>
      </c>
      <c r="C6574" s="1" t="str">
        <f>HYPERLINK("https://www.catalog.slsa.sa.gov.au/xrecord=b2032624")</f>
        <v>https://www.catalog.slsa.sa.gov.au/xrecord=b2032624</v>
      </c>
      <c r="D6574" t="s">
        <v>22568</v>
      </c>
      <c r="E6574" t="s">
        <v>22622</v>
      </c>
      <c r="F6574">
        <v>1953</v>
      </c>
      <c r="G6574" t="s">
        <v>14771</v>
      </c>
      <c r="H6574" t="s">
        <v>22623</v>
      </c>
      <c r="J6574" t="s">
        <v>16173</v>
      </c>
      <c r="K6574" s="2" t="str">
        <f>HYPERLINK("http://collections.slsa.sa.gov.au/mpcimg/19000/B18954.htm")</f>
        <v>http://collections.slsa.sa.gov.au/mpcimg/19000/B18954.htm</v>
      </c>
    </row>
    <row r="6575" spans="1:11" x14ac:dyDescent="0.25">
      <c r="A6575" t="s">
        <v>22624</v>
      </c>
      <c r="B6575" s="1" t="str">
        <f>HYPERLINK("https://www.catalog.slsa.sa.gov.au/record=b2032625")</f>
        <v>https://www.catalog.slsa.sa.gov.au/record=b2032625</v>
      </c>
      <c r="C6575" s="1" t="str">
        <f>HYPERLINK("https://www.catalog.slsa.sa.gov.au/xrecord=b2032625")</f>
        <v>https://www.catalog.slsa.sa.gov.au/xrecord=b2032625</v>
      </c>
      <c r="E6575" t="s">
        <v>22625</v>
      </c>
      <c r="F6575">
        <v>1953</v>
      </c>
      <c r="G6575" t="s">
        <v>14771</v>
      </c>
      <c r="H6575" t="s">
        <v>22626</v>
      </c>
      <c r="I6575" t="s">
        <v>22627</v>
      </c>
      <c r="J6575" t="s">
        <v>16173</v>
      </c>
      <c r="K6575" s="2" t="str">
        <f>HYPERLINK("http://collections.slsa.sa.gov.au/mpcimg/19000/B18955.htm")</f>
        <v>http://collections.slsa.sa.gov.au/mpcimg/19000/B18955.htm</v>
      </c>
    </row>
    <row r="6576" spans="1:11" x14ac:dyDescent="0.25">
      <c r="A6576" t="s">
        <v>22628</v>
      </c>
      <c r="B6576" s="1" t="str">
        <f>HYPERLINK("https://www.catalog.slsa.sa.gov.au/record=b2032626")</f>
        <v>https://www.catalog.slsa.sa.gov.au/record=b2032626</v>
      </c>
      <c r="C6576" s="1" t="str">
        <f>HYPERLINK("https://www.catalog.slsa.sa.gov.au/xrecord=b2032626")</f>
        <v>https://www.catalog.slsa.sa.gov.au/xrecord=b2032626</v>
      </c>
      <c r="E6576" t="s">
        <v>22625</v>
      </c>
      <c r="F6576">
        <v>1953</v>
      </c>
      <c r="G6576" t="s">
        <v>14771</v>
      </c>
      <c r="H6576" t="s">
        <v>22629</v>
      </c>
      <c r="J6576" t="s">
        <v>16173</v>
      </c>
      <c r="K6576" s="2" t="str">
        <f>HYPERLINK("http://collections.slsa.sa.gov.au/mpcimg/19000/B18956.htm")</f>
        <v>http://collections.slsa.sa.gov.au/mpcimg/19000/B18956.htm</v>
      </c>
    </row>
    <row r="6577" spans="1:11" x14ac:dyDescent="0.25">
      <c r="A6577" t="s">
        <v>22630</v>
      </c>
      <c r="B6577" s="1" t="str">
        <f>HYPERLINK("https://www.catalog.slsa.sa.gov.au/record=b2032627")</f>
        <v>https://www.catalog.slsa.sa.gov.au/record=b2032627</v>
      </c>
      <c r="C6577" s="1" t="str">
        <f>HYPERLINK("https://www.catalog.slsa.sa.gov.au/xrecord=b2032627")</f>
        <v>https://www.catalog.slsa.sa.gov.au/xrecord=b2032627</v>
      </c>
      <c r="D6577" t="s">
        <v>22568</v>
      </c>
      <c r="E6577" t="s">
        <v>22625</v>
      </c>
      <c r="F6577">
        <v>1953</v>
      </c>
      <c r="G6577" t="s">
        <v>14771</v>
      </c>
      <c r="H6577" t="s">
        <v>22626</v>
      </c>
      <c r="J6577" t="s">
        <v>16173</v>
      </c>
      <c r="K6577" s="2" t="str">
        <f>HYPERLINK("http://collections.slsa.sa.gov.au/mpcimg/19000/B18957.htm")</f>
        <v>http://collections.slsa.sa.gov.au/mpcimg/19000/B18957.htm</v>
      </c>
    </row>
    <row r="6578" spans="1:11" x14ac:dyDescent="0.25">
      <c r="A6578" t="s">
        <v>22631</v>
      </c>
      <c r="B6578" s="1" t="str">
        <f>HYPERLINK("https://www.catalog.slsa.sa.gov.au/record=b2032628")</f>
        <v>https://www.catalog.slsa.sa.gov.au/record=b2032628</v>
      </c>
      <c r="C6578" s="1" t="str">
        <f>HYPERLINK("https://www.catalog.slsa.sa.gov.au/xrecord=b2032628")</f>
        <v>https://www.catalog.slsa.sa.gov.au/xrecord=b2032628</v>
      </c>
      <c r="D6578" t="s">
        <v>22568</v>
      </c>
      <c r="E6578" t="s">
        <v>22632</v>
      </c>
      <c r="F6578">
        <v>1953</v>
      </c>
      <c r="G6578" t="s">
        <v>14771</v>
      </c>
      <c r="H6578" t="s">
        <v>22633</v>
      </c>
      <c r="I6578" t="s">
        <v>22634</v>
      </c>
      <c r="J6578" t="s">
        <v>16173</v>
      </c>
      <c r="K6578" s="2" t="str">
        <f>HYPERLINK("http://collections.slsa.sa.gov.au/mpcimg/19000/B18958.htm")</f>
        <v>http://collections.slsa.sa.gov.au/mpcimg/19000/B18958.htm</v>
      </c>
    </row>
    <row r="6579" spans="1:11" x14ac:dyDescent="0.25">
      <c r="A6579" t="s">
        <v>22635</v>
      </c>
      <c r="B6579" s="1" t="str">
        <f>HYPERLINK("https://www.catalog.slsa.sa.gov.au/record=b2032629")</f>
        <v>https://www.catalog.slsa.sa.gov.au/record=b2032629</v>
      </c>
      <c r="C6579" s="1" t="str">
        <f>HYPERLINK("https://www.catalog.slsa.sa.gov.au/xrecord=b2032629")</f>
        <v>https://www.catalog.slsa.sa.gov.au/xrecord=b2032629</v>
      </c>
      <c r="E6579" t="s">
        <v>22636</v>
      </c>
      <c r="F6579">
        <v>1953</v>
      </c>
      <c r="G6579" t="s">
        <v>14771</v>
      </c>
      <c r="H6579" t="s">
        <v>22637</v>
      </c>
      <c r="I6579" t="s">
        <v>22638</v>
      </c>
      <c r="J6579" t="s">
        <v>16173</v>
      </c>
      <c r="K6579" s="2" t="str">
        <f>HYPERLINK("http://collections.slsa.sa.gov.au/mpcimg/19000/B18959.htm")</f>
        <v>http://collections.slsa.sa.gov.au/mpcimg/19000/B18959.htm</v>
      </c>
    </row>
    <row r="6580" spans="1:11" x14ac:dyDescent="0.25">
      <c r="A6580" t="s">
        <v>22639</v>
      </c>
      <c r="B6580" s="1" t="str">
        <f>HYPERLINK("https://www.catalog.slsa.sa.gov.au/record=b2032630")</f>
        <v>https://www.catalog.slsa.sa.gov.au/record=b2032630</v>
      </c>
      <c r="C6580" s="1" t="str">
        <f>HYPERLINK("https://www.catalog.slsa.sa.gov.au/xrecord=b2032630")</f>
        <v>https://www.catalog.slsa.sa.gov.au/xrecord=b2032630</v>
      </c>
      <c r="E6580" t="s">
        <v>22636</v>
      </c>
      <c r="F6580">
        <v>1953</v>
      </c>
      <c r="G6580" t="s">
        <v>14771</v>
      </c>
      <c r="H6580" t="s">
        <v>22640</v>
      </c>
      <c r="I6580" t="s">
        <v>22638</v>
      </c>
      <c r="J6580" t="s">
        <v>16173</v>
      </c>
      <c r="K6580" s="2" t="str">
        <f>HYPERLINK("http://collections.slsa.sa.gov.au/mpcimg/19000/B18960.htm")</f>
        <v>http://collections.slsa.sa.gov.au/mpcimg/19000/B18960.htm</v>
      </c>
    </row>
    <row r="6581" spans="1:11" x14ac:dyDescent="0.25">
      <c r="A6581" t="s">
        <v>22641</v>
      </c>
      <c r="B6581" s="1" t="str">
        <f>HYPERLINK("https://www.catalog.slsa.sa.gov.au/record=b2032631")</f>
        <v>https://www.catalog.slsa.sa.gov.au/record=b2032631</v>
      </c>
      <c r="C6581" s="1" t="str">
        <f>HYPERLINK("https://www.catalog.slsa.sa.gov.au/xrecord=b2032631")</f>
        <v>https://www.catalog.slsa.sa.gov.au/xrecord=b2032631</v>
      </c>
      <c r="D6581" t="s">
        <v>22568</v>
      </c>
      <c r="E6581" t="s">
        <v>22642</v>
      </c>
      <c r="F6581">
        <v>1953</v>
      </c>
      <c r="G6581" t="s">
        <v>14771</v>
      </c>
      <c r="H6581" t="s">
        <v>22643</v>
      </c>
      <c r="I6581" t="s">
        <v>22644</v>
      </c>
      <c r="J6581" t="s">
        <v>16173</v>
      </c>
      <c r="K6581" s="2" t="str">
        <f>HYPERLINK("http://collections.slsa.sa.gov.au/mpcimg/19000/B18961.htm")</f>
        <v>http://collections.slsa.sa.gov.au/mpcimg/19000/B18961.htm</v>
      </c>
    </row>
    <row r="6582" spans="1:11" x14ac:dyDescent="0.25">
      <c r="A6582" t="s">
        <v>22645</v>
      </c>
      <c r="B6582" s="1" t="str">
        <f>HYPERLINK("https://www.catalog.slsa.sa.gov.au/record=b2032632")</f>
        <v>https://www.catalog.slsa.sa.gov.au/record=b2032632</v>
      </c>
      <c r="C6582" s="1" t="str">
        <f>HYPERLINK("https://www.catalog.slsa.sa.gov.au/xrecord=b2032632")</f>
        <v>https://www.catalog.slsa.sa.gov.au/xrecord=b2032632</v>
      </c>
      <c r="E6582" t="s">
        <v>22646</v>
      </c>
      <c r="F6582">
        <v>1953</v>
      </c>
      <c r="G6582" t="s">
        <v>14771</v>
      </c>
      <c r="H6582" t="s">
        <v>22647</v>
      </c>
      <c r="J6582" t="s">
        <v>16173</v>
      </c>
      <c r="K6582" s="2" t="str">
        <f>HYPERLINK("http://collections.slsa.sa.gov.au/mpcimg/19000/B18962.htm")</f>
        <v>http://collections.slsa.sa.gov.au/mpcimg/19000/B18962.htm</v>
      </c>
    </row>
    <row r="6583" spans="1:11" x14ac:dyDescent="0.25">
      <c r="A6583" t="s">
        <v>22648</v>
      </c>
      <c r="B6583" s="1" t="str">
        <f>HYPERLINK("https://www.catalog.slsa.sa.gov.au/record=b2035516")</f>
        <v>https://www.catalog.slsa.sa.gov.au/record=b2035516</v>
      </c>
      <c r="C6583" s="1" t="str">
        <f>HYPERLINK("https://www.catalog.slsa.sa.gov.au/xrecord=b2035516")</f>
        <v>https://www.catalog.slsa.sa.gov.au/xrecord=b2035516</v>
      </c>
      <c r="E6583" t="s">
        <v>22649</v>
      </c>
      <c r="F6583">
        <v>1953</v>
      </c>
      <c r="G6583" t="s">
        <v>14804</v>
      </c>
      <c r="H6583" t="s">
        <v>22650</v>
      </c>
      <c r="I6583" t="s">
        <v>22651</v>
      </c>
      <c r="J6583" t="s">
        <v>22652</v>
      </c>
      <c r="K6583" s="2" t="str">
        <f>HYPERLINK("http://collections.slsa.sa.gov.au/mpcimg/31250/B31161.htm")</f>
        <v>http://collections.slsa.sa.gov.au/mpcimg/31250/B31161.htm</v>
      </c>
    </row>
    <row r="6584" spans="1:11" x14ac:dyDescent="0.25">
      <c r="A6584" t="s">
        <v>22653</v>
      </c>
      <c r="B6584" s="1" t="str">
        <f>HYPERLINK("https://www.catalog.slsa.sa.gov.au/record=b2035941")</f>
        <v>https://www.catalog.slsa.sa.gov.au/record=b2035941</v>
      </c>
      <c r="C6584" s="1" t="str">
        <f>HYPERLINK("https://www.catalog.slsa.sa.gov.au/xrecord=b2035941")</f>
        <v>https://www.catalog.slsa.sa.gov.au/xrecord=b2035941</v>
      </c>
      <c r="E6584" t="s">
        <v>22654</v>
      </c>
      <c r="F6584">
        <v>1953</v>
      </c>
      <c r="G6584" t="s">
        <v>22655</v>
      </c>
      <c r="H6584" t="s">
        <v>22656</v>
      </c>
      <c r="I6584" t="s">
        <v>22657</v>
      </c>
      <c r="J6584" t="s">
        <v>2654</v>
      </c>
      <c r="K6584" s="2" t="str">
        <f>HYPERLINK("http://collections.slsa.sa.gov.au/mpcimg/34750/B34555.htm")</f>
        <v>http://collections.slsa.sa.gov.au/mpcimg/34750/B34555.htm</v>
      </c>
    </row>
    <row r="6585" spans="1:11" x14ac:dyDescent="0.25">
      <c r="A6585" t="s">
        <v>22658</v>
      </c>
      <c r="B6585" s="1" t="str">
        <f>HYPERLINK("https://www.catalog.slsa.sa.gov.au/record=b2035942")</f>
        <v>https://www.catalog.slsa.sa.gov.au/record=b2035942</v>
      </c>
      <c r="C6585" s="1" t="str">
        <f>HYPERLINK("https://www.catalog.slsa.sa.gov.au/xrecord=b2035942")</f>
        <v>https://www.catalog.slsa.sa.gov.au/xrecord=b2035942</v>
      </c>
      <c r="E6585" t="s">
        <v>22654</v>
      </c>
      <c r="F6585">
        <v>1953</v>
      </c>
      <c r="G6585" t="s">
        <v>22655</v>
      </c>
      <c r="H6585" t="s">
        <v>22659</v>
      </c>
      <c r="I6585" t="s">
        <v>22660</v>
      </c>
      <c r="J6585" t="s">
        <v>2654</v>
      </c>
      <c r="K6585" s="2" t="str">
        <f>HYPERLINK("http://collections.slsa.sa.gov.au/mpcimg/34750/B34556.htm")</f>
        <v>http://collections.slsa.sa.gov.au/mpcimg/34750/B34556.htm</v>
      </c>
    </row>
    <row r="6586" spans="1:11" x14ac:dyDescent="0.25">
      <c r="A6586" t="s">
        <v>22661</v>
      </c>
      <c r="B6586" s="1" t="str">
        <f>HYPERLINK("https://www.catalog.slsa.sa.gov.au/record=b2037748")</f>
        <v>https://www.catalog.slsa.sa.gov.au/record=b2037748</v>
      </c>
      <c r="C6586" s="1" t="str">
        <f>HYPERLINK("https://www.catalog.slsa.sa.gov.au/xrecord=b2037748")</f>
        <v>https://www.catalog.slsa.sa.gov.au/xrecord=b2037748</v>
      </c>
      <c r="E6586" t="s">
        <v>22662</v>
      </c>
      <c r="F6586">
        <v>1953</v>
      </c>
      <c r="G6586" t="s">
        <v>22663</v>
      </c>
      <c r="H6586" t="s">
        <v>22664</v>
      </c>
      <c r="J6586" t="s">
        <v>22665</v>
      </c>
      <c r="K6586" s="2" t="str">
        <f>HYPERLINK("http://collections.slsa.sa.gov.au/mpcimg/24000/B23909.htm")</f>
        <v>http://collections.slsa.sa.gov.au/mpcimg/24000/B23909.htm</v>
      </c>
    </row>
    <row r="6587" spans="1:11" x14ac:dyDescent="0.25">
      <c r="A6587" t="s">
        <v>22666</v>
      </c>
      <c r="B6587" s="1" t="str">
        <f>HYPERLINK("https://www.catalog.slsa.sa.gov.au/record=b2040315")</f>
        <v>https://www.catalog.slsa.sa.gov.au/record=b2040315</v>
      </c>
      <c r="C6587" s="1" t="str">
        <f>HYPERLINK("https://www.catalog.slsa.sa.gov.au/xrecord=b2040315")</f>
        <v>https://www.catalog.slsa.sa.gov.au/xrecord=b2040315</v>
      </c>
      <c r="E6587" t="s">
        <v>15081</v>
      </c>
      <c r="F6587">
        <v>1953</v>
      </c>
      <c r="G6587" t="s">
        <v>15031</v>
      </c>
      <c r="H6587" t="s">
        <v>22667</v>
      </c>
      <c r="I6587" t="s">
        <v>22668</v>
      </c>
      <c r="J6587" t="s">
        <v>15084</v>
      </c>
      <c r="K6587" s="2" t="str">
        <f>HYPERLINK("http://collections.slsa.sa.gov.au/mpcimg/44500/B44465.htm")</f>
        <v>http://collections.slsa.sa.gov.au/mpcimg/44500/B44465.htm</v>
      </c>
    </row>
    <row r="6588" spans="1:11" x14ac:dyDescent="0.25">
      <c r="A6588" t="s">
        <v>22669</v>
      </c>
      <c r="B6588" s="1" t="str">
        <f>HYPERLINK("https://www.catalog.slsa.sa.gov.au/record=b2040316")</f>
        <v>https://www.catalog.slsa.sa.gov.au/record=b2040316</v>
      </c>
      <c r="C6588" s="1" t="str">
        <f>HYPERLINK("https://www.catalog.slsa.sa.gov.au/xrecord=b2040316")</f>
        <v>https://www.catalog.slsa.sa.gov.au/xrecord=b2040316</v>
      </c>
      <c r="E6588" t="s">
        <v>15081</v>
      </c>
      <c r="F6588">
        <v>1953</v>
      </c>
      <c r="G6588" t="s">
        <v>15806</v>
      </c>
      <c r="H6588" t="s">
        <v>22670</v>
      </c>
      <c r="I6588" t="s">
        <v>22671</v>
      </c>
      <c r="J6588" t="s">
        <v>15084</v>
      </c>
      <c r="K6588" s="2" t="str">
        <f>HYPERLINK("http://collections.slsa.sa.gov.au/mpcimg/44500/B44466.htm")</f>
        <v>http://collections.slsa.sa.gov.au/mpcimg/44500/B44466.htm</v>
      </c>
    </row>
    <row r="6589" spans="1:11" x14ac:dyDescent="0.25">
      <c r="A6589" t="s">
        <v>22672</v>
      </c>
      <c r="B6589" s="1" t="str">
        <f>HYPERLINK("https://www.catalog.slsa.sa.gov.au/record=b2040955")</f>
        <v>https://www.catalog.slsa.sa.gov.au/record=b2040955</v>
      </c>
      <c r="C6589" s="1" t="str">
        <f>HYPERLINK("https://www.catalog.slsa.sa.gov.au/xrecord=b2040955")</f>
        <v>https://www.catalog.slsa.sa.gov.au/xrecord=b2040955</v>
      </c>
      <c r="E6589" t="s">
        <v>22673</v>
      </c>
      <c r="F6589">
        <v>1953</v>
      </c>
      <c r="G6589" t="s">
        <v>22486</v>
      </c>
      <c r="H6589" t="s">
        <v>22674</v>
      </c>
      <c r="I6589" t="s">
        <v>22675</v>
      </c>
      <c r="J6589" t="s">
        <v>15097</v>
      </c>
      <c r="K6589" s="2" t="str">
        <f>HYPERLINK("http://collections.slsa.sa.gov.au/mpcimg/25250/B25186.htm")</f>
        <v>http://collections.slsa.sa.gov.au/mpcimg/25250/B25186.htm</v>
      </c>
    </row>
    <row r="6590" spans="1:11" x14ac:dyDescent="0.25">
      <c r="A6590" t="s">
        <v>22676</v>
      </c>
      <c r="B6590" s="1" t="str">
        <f>HYPERLINK("https://www.catalog.slsa.sa.gov.au/record=b2050784")</f>
        <v>https://www.catalog.slsa.sa.gov.au/record=b2050784</v>
      </c>
      <c r="C6590" s="1" t="str">
        <f>HYPERLINK("https://www.catalog.slsa.sa.gov.au/xrecord=b2050784")</f>
        <v>https://www.catalog.slsa.sa.gov.au/xrecord=b2050784</v>
      </c>
      <c r="D6590" t="s">
        <v>15280</v>
      </c>
      <c r="E6590" t="s">
        <v>22677</v>
      </c>
      <c r="F6590">
        <v>1953</v>
      </c>
      <c r="G6590" t="s">
        <v>22678</v>
      </c>
      <c r="H6590" t="s">
        <v>22679</v>
      </c>
      <c r="I6590" t="s">
        <v>22680</v>
      </c>
      <c r="J6590" t="s">
        <v>2510</v>
      </c>
      <c r="K6590" s="2" t="str">
        <f>HYPERLINK("http://collections.slsa.sa.gov.au/mpcimg/13250/B13242.htm")</f>
        <v>http://collections.slsa.sa.gov.au/mpcimg/13250/B13242.htm</v>
      </c>
    </row>
    <row r="6591" spans="1:11" x14ac:dyDescent="0.25">
      <c r="A6591" t="s">
        <v>22681</v>
      </c>
      <c r="B6591" s="1" t="str">
        <f>HYPERLINK("https://www.catalog.slsa.sa.gov.au/record=b2051584")</f>
        <v>https://www.catalog.slsa.sa.gov.au/record=b2051584</v>
      </c>
      <c r="C6591" s="1" t="str">
        <f>HYPERLINK("https://www.catalog.slsa.sa.gov.au/xrecord=b2051584")</f>
        <v>https://www.catalog.slsa.sa.gov.au/xrecord=b2051584</v>
      </c>
      <c r="E6591" t="s">
        <v>22682</v>
      </c>
      <c r="F6591">
        <v>1953</v>
      </c>
      <c r="G6591" t="s">
        <v>22683</v>
      </c>
      <c r="H6591" t="s">
        <v>22684</v>
      </c>
      <c r="I6591" t="s">
        <v>22685</v>
      </c>
      <c r="J6591" t="s">
        <v>2510</v>
      </c>
      <c r="K6591" s="2" t="str">
        <f>HYPERLINK("http://collections.slsa.sa.gov.au/mpcimg/22500/B22392.htm")</f>
        <v>http://collections.slsa.sa.gov.au/mpcimg/22500/B22392.htm</v>
      </c>
    </row>
    <row r="6592" spans="1:11" x14ac:dyDescent="0.25">
      <c r="A6592" t="s">
        <v>22686</v>
      </c>
      <c r="B6592" s="1" t="str">
        <f>HYPERLINK("https://www.catalog.slsa.sa.gov.au/record=b2052850")</f>
        <v>https://www.catalog.slsa.sa.gov.au/record=b2052850</v>
      </c>
      <c r="C6592" s="1" t="str">
        <f>HYPERLINK("https://www.catalog.slsa.sa.gov.au/xrecord=b2052850")</f>
        <v>https://www.catalog.slsa.sa.gov.au/xrecord=b2052850</v>
      </c>
      <c r="E6592" t="s">
        <v>22687</v>
      </c>
      <c r="F6592">
        <v>1953</v>
      </c>
      <c r="G6592" t="s">
        <v>14809</v>
      </c>
      <c r="H6592" t="s">
        <v>22688</v>
      </c>
      <c r="I6592" t="s">
        <v>22689</v>
      </c>
      <c r="J6592" t="s">
        <v>2510</v>
      </c>
      <c r="K6592" s="2" t="str">
        <f>HYPERLINK("http://collections.slsa.sa.gov.au/mpcimg/39000/B38826.htm")</f>
        <v>http://collections.slsa.sa.gov.au/mpcimg/39000/B38826.htm</v>
      </c>
    </row>
    <row r="6593" spans="1:11" x14ac:dyDescent="0.25">
      <c r="A6593" t="s">
        <v>22690</v>
      </c>
      <c r="B6593" s="1" t="str">
        <f>HYPERLINK("https://www.catalog.slsa.sa.gov.au/record=b2054245")</f>
        <v>https://www.catalog.slsa.sa.gov.au/record=b2054245</v>
      </c>
      <c r="C6593" s="1" t="str">
        <f>HYPERLINK("https://www.catalog.slsa.sa.gov.au/xrecord=b2054245")</f>
        <v>https://www.catalog.slsa.sa.gov.au/xrecord=b2054245</v>
      </c>
      <c r="E6593" t="s">
        <v>22691</v>
      </c>
      <c r="F6593">
        <v>1953</v>
      </c>
      <c r="G6593" t="s">
        <v>22692</v>
      </c>
      <c r="H6593" t="s">
        <v>22693</v>
      </c>
      <c r="I6593" t="s">
        <v>22694</v>
      </c>
      <c r="J6593" t="s">
        <v>2510</v>
      </c>
      <c r="K6593" s="2" t="str">
        <f>HYPERLINK("http://collections.slsa.sa.gov.au/mpcimg/52750/B52544.htm")</f>
        <v>http://collections.slsa.sa.gov.au/mpcimg/52750/B52544.htm</v>
      </c>
    </row>
    <row r="6594" spans="1:11" x14ac:dyDescent="0.25">
      <c r="A6594" t="s">
        <v>22695</v>
      </c>
      <c r="B6594" s="1" t="str">
        <f>HYPERLINK("https://www.catalog.slsa.sa.gov.au/record=b2054335")</f>
        <v>https://www.catalog.slsa.sa.gov.au/record=b2054335</v>
      </c>
      <c r="C6594" s="1" t="str">
        <f>HYPERLINK("https://www.catalog.slsa.sa.gov.au/xrecord=b2054335")</f>
        <v>https://www.catalog.slsa.sa.gov.au/xrecord=b2054335</v>
      </c>
      <c r="D6594" t="s">
        <v>2939</v>
      </c>
      <c r="E6594" t="s">
        <v>22696</v>
      </c>
      <c r="F6594">
        <v>1953</v>
      </c>
      <c r="G6594" t="s">
        <v>22697</v>
      </c>
      <c r="H6594" t="s">
        <v>22698</v>
      </c>
      <c r="I6594" t="s">
        <v>22699</v>
      </c>
      <c r="J6594" t="s">
        <v>2510</v>
      </c>
      <c r="K6594" s="2" t="str">
        <f>HYPERLINK("http://collections.slsa.sa.gov.au/mpcimg/53000/B52820.htm")</f>
        <v>http://collections.slsa.sa.gov.au/mpcimg/53000/B52820.htm</v>
      </c>
    </row>
    <row r="6595" spans="1:11" x14ac:dyDescent="0.25">
      <c r="A6595" t="s">
        <v>22700</v>
      </c>
      <c r="B6595" s="1" t="str">
        <f>HYPERLINK("https://www.catalog.slsa.sa.gov.au/record=b2054336")</f>
        <v>https://www.catalog.slsa.sa.gov.au/record=b2054336</v>
      </c>
      <c r="C6595" s="1" t="str">
        <f>HYPERLINK("https://www.catalog.slsa.sa.gov.au/xrecord=b2054336")</f>
        <v>https://www.catalog.slsa.sa.gov.au/xrecord=b2054336</v>
      </c>
      <c r="D6595" t="s">
        <v>2939</v>
      </c>
      <c r="E6595" t="s">
        <v>22696</v>
      </c>
      <c r="F6595">
        <v>1953</v>
      </c>
      <c r="G6595" t="s">
        <v>22701</v>
      </c>
      <c r="H6595" t="s">
        <v>22702</v>
      </c>
      <c r="I6595" t="s">
        <v>22703</v>
      </c>
      <c r="J6595" t="s">
        <v>2510</v>
      </c>
      <c r="K6595" s="2" t="str">
        <f>HYPERLINK("http://collections.slsa.sa.gov.au/mpcimg/53000/B52821.htm")</f>
        <v>http://collections.slsa.sa.gov.au/mpcimg/53000/B52821.htm</v>
      </c>
    </row>
    <row r="6596" spans="1:11" x14ac:dyDescent="0.25">
      <c r="A6596" t="s">
        <v>22704</v>
      </c>
      <c r="B6596" s="1" t="str">
        <f>HYPERLINK("https://www.catalog.slsa.sa.gov.au/record=b2054337")</f>
        <v>https://www.catalog.slsa.sa.gov.au/record=b2054337</v>
      </c>
      <c r="C6596" s="1" t="str">
        <f>HYPERLINK("https://www.catalog.slsa.sa.gov.au/xrecord=b2054337")</f>
        <v>https://www.catalog.slsa.sa.gov.au/xrecord=b2054337</v>
      </c>
      <c r="D6596" t="s">
        <v>2939</v>
      </c>
      <c r="E6596" t="s">
        <v>15178</v>
      </c>
      <c r="F6596">
        <v>1953</v>
      </c>
      <c r="G6596" t="s">
        <v>22705</v>
      </c>
      <c r="H6596" t="s">
        <v>22706</v>
      </c>
      <c r="I6596" t="s">
        <v>22707</v>
      </c>
      <c r="J6596" t="s">
        <v>2510</v>
      </c>
      <c r="K6596" s="2" t="str">
        <f>HYPERLINK("http://collections.slsa.sa.gov.au/mpcimg/53000/B52822.htm")</f>
        <v>http://collections.slsa.sa.gov.au/mpcimg/53000/B52822.htm</v>
      </c>
    </row>
    <row r="6597" spans="1:11" x14ac:dyDescent="0.25">
      <c r="A6597" t="s">
        <v>22708</v>
      </c>
      <c r="B6597" s="1" t="str">
        <f>HYPERLINK("https://www.catalog.slsa.sa.gov.au/record=b2054477")</f>
        <v>https://www.catalog.slsa.sa.gov.au/record=b2054477</v>
      </c>
      <c r="C6597" s="1" t="str">
        <f>HYPERLINK("https://www.catalog.slsa.sa.gov.au/xrecord=b2054477")</f>
        <v>https://www.catalog.slsa.sa.gov.au/xrecord=b2054477</v>
      </c>
      <c r="D6597" t="s">
        <v>16831</v>
      </c>
      <c r="E6597" t="s">
        <v>15201</v>
      </c>
      <c r="F6597">
        <v>1953</v>
      </c>
      <c r="G6597" t="s">
        <v>22709</v>
      </c>
      <c r="H6597" t="s">
        <v>22710</v>
      </c>
      <c r="J6597" t="s">
        <v>20875</v>
      </c>
      <c r="K6597" s="2" t="str">
        <f>HYPERLINK("http://collections.slsa.sa.gov.au/mpcimg/13000/B12841.htm")</f>
        <v>http://collections.slsa.sa.gov.au/mpcimg/13000/B12841.htm</v>
      </c>
    </row>
    <row r="6598" spans="1:11" x14ac:dyDescent="0.25">
      <c r="A6598" t="s">
        <v>22711</v>
      </c>
      <c r="B6598" s="1" t="str">
        <f>HYPERLINK("https://www.catalog.slsa.sa.gov.au/record=b2054489")</f>
        <v>https://www.catalog.slsa.sa.gov.au/record=b2054489</v>
      </c>
      <c r="C6598" s="1" t="str">
        <f>HYPERLINK("https://www.catalog.slsa.sa.gov.au/xrecord=b2054489")</f>
        <v>https://www.catalog.slsa.sa.gov.au/xrecord=b2054489</v>
      </c>
      <c r="D6598" t="s">
        <v>16831</v>
      </c>
      <c r="E6598" t="s">
        <v>22712</v>
      </c>
      <c r="F6598">
        <v>1953</v>
      </c>
      <c r="G6598" t="s">
        <v>22709</v>
      </c>
      <c r="H6598" t="s">
        <v>22713</v>
      </c>
      <c r="J6598" t="s">
        <v>22714</v>
      </c>
      <c r="K6598" s="2" t="str">
        <f>HYPERLINK("http://collections.slsa.sa.gov.au/mpcimg/13000/B12842.htm")</f>
        <v>http://collections.slsa.sa.gov.au/mpcimg/13000/B12842.htm</v>
      </c>
    </row>
    <row r="6599" spans="1:11" x14ac:dyDescent="0.25">
      <c r="A6599" t="s">
        <v>22715</v>
      </c>
      <c r="B6599" s="1" t="str">
        <f>HYPERLINK("https://www.catalog.slsa.sa.gov.au/record=b2054499")</f>
        <v>https://www.catalog.slsa.sa.gov.au/record=b2054499</v>
      </c>
      <c r="C6599" s="1" t="str">
        <f>HYPERLINK("https://www.catalog.slsa.sa.gov.au/xrecord=b2054499")</f>
        <v>https://www.catalog.slsa.sa.gov.au/xrecord=b2054499</v>
      </c>
      <c r="D6599" t="s">
        <v>16831</v>
      </c>
      <c r="E6599" t="s">
        <v>15201</v>
      </c>
      <c r="F6599">
        <v>1953</v>
      </c>
      <c r="G6599" t="s">
        <v>22709</v>
      </c>
      <c r="H6599" t="s">
        <v>22716</v>
      </c>
      <c r="J6599" t="s">
        <v>22717</v>
      </c>
      <c r="K6599" s="2" t="str">
        <f>HYPERLINK("http://collections.slsa.sa.gov.au/mpcimg/13000/B12843.htm")</f>
        <v>http://collections.slsa.sa.gov.au/mpcimg/13000/B12843.htm</v>
      </c>
    </row>
    <row r="6600" spans="1:11" x14ac:dyDescent="0.25">
      <c r="A6600" t="s">
        <v>22718</v>
      </c>
      <c r="B6600" s="1" t="str">
        <f>HYPERLINK("https://www.catalog.slsa.sa.gov.au/record=b2054556")</f>
        <v>https://www.catalog.slsa.sa.gov.au/record=b2054556</v>
      </c>
      <c r="C6600" s="1" t="str">
        <f>HYPERLINK("https://www.catalog.slsa.sa.gov.au/xrecord=b2054556")</f>
        <v>https://www.catalog.slsa.sa.gov.au/xrecord=b2054556</v>
      </c>
      <c r="D6600" t="s">
        <v>16831</v>
      </c>
      <c r="E6600" t="s">
        <v>22149</v>
      </c>
      <c r="F6600">
        <v>1953</v>
      </c>
      <c r="G6600" t="s">
        <v>22709</v>
      </c>
      <c r="H6600" t="s">
        <v>22719</v>
      </c>
      <c r="J6600" t="s">
        <v>22720</v>
      </c>
      <c r="K6600" s="2" t="str">
        <f>HYPERLINK("http://collections.slsa.sa.gov.au/mpcimg/13000/B12844.htm")</f>
        <v>http://collections.slsa.sa.gov.au/mpcimg/13000/B12844.htm</v>
      </c>
    </row>
    <row r="6601" spans="1:11" x14ac:dyDescent="0.25">
      <c r="A6601" t="s">
        <v>22721</v>
      </c>
      <c r="B6601" s="1" t="str">
        <f>HYPERLINK("https://www.catalog.slsa.sa.gov.au/record=b2054912")</f>
        <v>https://www.catalog.slsa.sa.gov.au/record=b2054912</v>
      </c>
      <c r="C6601" s="1" t="str">
        <f>HYPERLINK("https://www.catalog.slsa.sa.gov.au/xrecord=b2054912")</f>
        <v>https://www.catalog.slsa.sa.gov.au/xrecord=b2054912</v>
      </c>
      <c r="D6601" t="s">
        <v>16831</v>
      </c>
      <c r="E6601" t="s">
        <v>22722</v>
      </c>
      <c r="F6601">
        <v>1953</v>
      </c>
      <c r="G6601" t="s">
        <v>22709</v>
      </c>
      <c r="H6601" t="s">
        <v>22723</v>
      </c>
      <c r="J6601" t="s">
        <v>22724</v>
      </c>
      <c r="K6601" s="2" t="str">
        <f>HYPERLINK("http://collections.slsa.sa.gov.au/mpcimg/13000/B12847.htm")</f>
        <v>http://collections.slsa.sa.gov.au/mpcimg/13000/B12847.htm</v>
      </c>
    </row>
    <row r="6602" spans="1:11" x14ac:dyDescent="0.25">
      <c r="A6602" t="s">
        <v>22725</v>
      </c>
      <c r="B6602" s="1" t="str">
        <f>HYPERLINK("https://www.catalog.slsa.sa.gov.au/record=b2054940")</f>
        <v>https://www.catalog.slsa.sa.gov.au/record=b2054940</v>
      </c>
      <c r="C6602" s="1" t="str">
        <f>HYPERLINK("https://www.catalog.slsa.sa.gov.au/xrecord=b2054940")</f>
        <v>https://www.catalog.slsa.sa.gov.au/xrecord=b2054940</v>
      </c>
      <c r="D6602" t="s">
        <v>16831</v>
      </c>
      <c r="E6602" t="s">
        <v>15201</v>
      </c>
      <c r="F6602">
        <v>1953</v>
      </c>
      <c r="G6602" t="s">
        <v>22726</v>
      </c>
      <c r="H6602" t="s">
        <v>22727</v>
      </c>
      <c r="J6602" t="s">
        <v>18795</v>
      </c>
      <c r="K6602" s="2" t="str">
        <f>HYPERLINK("http://collections.slsa.sa.gov.au/mpcimg/12750/B12675.htm")</f>
        <v>http://collections.slsa.sa.gov.au/mpcimg/12750/B12675.htm</v>
      </c>
    </row>
    <row r="6603" spans="1:11" x14ac:dyDescent="0.25">
      <c r="A6603" t="s">
        <v>22728</v>
      </c>
      <c r="B6603" s="1" t="str">
        <f>HYPERLINK("https://www.catalog.slsa.sa.gov.au/record=b2054986")</f>
        <v>https://www.catalog.slsa.sa.gov.au/record=b2054986</v>
      </c>
      <c r="C6603" s="1" t="str">
        <f>HYPERLINK("https://www.catalog.slsa.sa.gov.au/xrecord=b2054986")</f>
        <v>https://www.catalog.slsa.sa.gov.au/xrecord=b2054986</v>
      </c>
      <c r="D6603" t="s">
        <v>16831</v>
      </c>
      <c r="E6603" t="s">
        <v>15201</v>
      </c>
      <c r="F6603">
        <v>1953</v>
      </c>
      <c r="G6603" t="s">
        <v>22726</v>
      </c>
      <c r="H6603" t="s">
        <v>22729</v>
      </c>
      <c r="J6603" t="s">
        <v>22730</v>
      </c>
      <c r="K6603" s="2" t="str">
        <f>HYPERLINK("http://collections.slsa.sa.gov.au/mpcimg/12750/B12682.htm")</f>
        <v>http://collections.slsa.sa.gov.au/mpcimg/12750/B12682.htm</v>
      </c>
    </row>
    <row r="6604" spans="1:11" x14ac:dyDescent="0.25">
      <c r="A6604" t="s">
        <v>22731</v>
      </c>
      <c r="B6604" s="1" t="str">
        <f>HYPERLINK("https://www.catalog.slsa.sa.gov.au/record=b2055082")</f>
        <v>https://www.catalog.slsa.sa.gov.au/record=b2055082</v>
      </c>
      <c r="C6604" s="1" t="str">
        <f>HYPERLINK("https://www.catalog.slsa.sa.gov.au/xrecord=b2055082")</f>
        <v>https://www.catalog.slsa.sa.gov.au/xrecord=b2055082</v>
      </c>
      <c r="D6604" t="s">
        <v>16831</v>
      </c>
      <c r="E6604" t="s">
        <v>22732</v>
      </c>
      <c r="F6604">
        <v>1953</v>
      </c>
      <c r="G6604" t="s">
        <v>20063</v>
      </c>
      <c r="H6604" t="s">
        <v>22733</v>
      </c>
      <c r="J6604" t="s">
        <v>22734</v>
      </c>
      <c r="K6604" s="2" t="str">
        <f>HYPERLINK("http://collections.slsa.sa.gov.au/mpcimg/13250/B13102.htm")</f>
        <v>http://collections.slsa.sa.gov.au/mpcimg/13250/B13102.htm</v>
      </c>
    </row>
    <row r="6605" spans="1:11" x14ac:dyDescent="0.25">
      <c r="A6605" t="s">
        <v>22735</v>
      </c>
      <c r="B6605" s="1" t="str">
        <f>HYPERLINK("https://www.catalog.slsa.sa.gov.au/record=b2055733")</f>
        <v>https://www.catalog.slsa.sa.gov.au/record=b2055733</v>
      </c>
      <c r="C6605" s="1" t="str">
        <f>HYPERLINK("https://www.catalog.slsa.sa.gov.au/xrecord=b2055733")</f>
        <v>https://www.catalog.slsa.sa.gov.au/xrecord=b2055733</v>
      </c>
      <c r="D6605" t="s">
        <v>16831</v>
      </c>
      <c r="E6605" t="s">
        <v>22736</v>
      </c>
      <c r="F6605">
        <v>1953</v>
      </c>
      <c r="G6605" t="s">
        <v>22726</v>
      </c>
      <c r="H6605" t="s">
        <v>22737</v>
      </c>
      <c r="J6605" t="s">
        <v>22167</v>
      </c>
      <c r="K6605" s="2" t="str">
        <f>HYPERLINK("http://collections.slsa.sa.gov.au/mpcimg/12750/B12671.htm")</f>
        <v>http://collections.slsa.sa.gov.au/mpcimg/12750/B12671.htm</v>
      </c>
    </row>
    <row r="6606" spans="1:11" x14ac:dyDescent="0.25">
      <c r="A6606" t="s">
        <v>22738</v>
      </c>
      <c r="B6606" s="1" t="str">
        <f>HYPERLINK("https://www.catalog.slsa.sa.gov.au/record=b2055734")</f>
        <v>https://www.catalog.slsa.sa.gov.au/record=b2055734</v>
      </c>
      <c r="C6606" s="1" t="str">
        <f>HYPERLINK("https://www.catalog.slsa.sa.gov.au/xrecord=b2055734")</f>
        <v>https://www.catalog.slsa.sa.gov.au/xrecord=b2055734</v>
      </c>
      <c r="D6606" t="s">
        <v>16831</v>
      </c>
      <c r="E6606" t="s">
        <v>20904</v>
      </c>
      <c r="F6606">
        <v>1953</v>
      </c>
      <c r="G6606" t="s">
        <v>22726</v>
      </c>
      <c r="H6606" t="s">
        <v>22739</v>
      </c>
      <c r="J6606" t="s">
        <v>22167</v>
      </c>
      <c r="K6606" s="2" t="str">
        <f>HYPERLINK("http://collections.slsa.sa.gov.au/mpcimg/12750/B12672.htm")</f>
        <v>http://collections.slsa.sa.gov.au/mpcimg/12750/B12672.htm</v>
      </c>
    </row>
    <row r="6607" spans="1:11" x14ac:dyDescent="0.25">
      <c r="A6607" t="s">
        <v>22740</v>
      </c>
      <c r="B6607" s="1" t="str">
        <f>HYPERLINK("https://www.catalog.slsa.sa.gov.au/record=b2055735")</f>
        <v>https://www.catalog.slsa.sa.gov.au/record=b2055735</v>
      </c>
      <c r="C6607" s="1" t="str">
        <f>HYPERLINK("https://www.catalog.slsa.sa.gov.au/xrecord=b2055735")</f>
        <v>https://www.catalog.slsa.sa.gov.au/xrecord=b2055735</v>
      </c>
      <c r="D6607" t="s">
        <v>16831</v>
      </c>
      <c r="E6607" t="s">
        <v>20904</v>
      </c>
      <c r="F6607">
        <v>1953</v>
      </c>
      <c r="G6607" t="s">
        <v>22709</v>
      </c>
      <c r="H6607" t="s">
        <v>22741</v>
      </c>
      <c r="J6607" t="s">
        <v>22167</v>
      </c>
      <c r="K6607" s="2" t="str">
        <f>HYPERLINK("http://collections.slsa.sa.gov.au/mpcimg/13000/B12833.htm")</f>
        <v>http://collections.slsa.sa.gov.au/mpcimg/13000/B12833.htm</v>
      </c>
    </row>
    <row r="6608" spans="1:11" x14ac:dyDescent="0.25">
      <c r="A6608" t="s">
        <v>22742</v>
      </c>
      <c r="B6608" s="1" t="str">
        <f>HYPERLINK("https://www.catalog.slsa.sa.gov.au/record=b2055865")</f>
        <v>https://www.catalog.slsa.sa.gov.au/record=b2055865</v>
      </c>
      <c r="C6608" s="1" t="str">
        <f>HYPERLINK("https://www.catalog.slsa.sa.gov.au/xrecord=b2055865")</f>
        <v>https://www.catalog.slsa.sa.gov.au/xrecord=b2055865</v>
      </c>
      <c r="D6608" t="s">
        <v>16831</v>
      </c>
      <c r="E6608" t="s">
        <v>22743</v>
      </c>
      <c r="F6608">
        <v>1953</v>
      </c>
      <c r="G6608" t="s">
        <v>22709</v>
      </c>
      <c r="H6608" t="s">
        <v>22744</v>
      </c>
      <c r="J6608" t="s">
        <v>22745</v>
      </c>
      <c r="K6608" s="2" t="str">
        <f>HYPERLINK("http://collections.slsa.sa.gov.au/mpcimg/13000/B12839.htm")</f>
        <v>http://collections.slsa.sa.gov.au/mpcimg/13000/B12839.htm</v>
      </c>
    </row>
    <row r="6609" spans="1:11" x14ac:dyDescent="0.25">
      <c r="A6609" t="s">
        <v>22746</v>
      </c>
      <c r="B6609" s="1" t="str">
        <f>HYPERLINK("https://www.catalog.slsa.sa.gov.au/record=b2055898")</f>
        <v>https://www.catalog.slsa.sa.gov.au/record=b2055898</v>
      </c>
      <c r="C6609" s="1" t="str">
        <f>HYPERLINK("https://www.catalog.slsa.sa.gov.au/xrecord=b2055898")</f>
        <v>https://www.catalog.slsa.sa.gov.au/xrecord=b2055898</v>
      </c>
      <c r="D6609" t="s">
        <v>16831</v>
      </c>
      <c r="E6609" t="s">
        <v>22747</v>
      </c>
      <c r="F6609">
        <v>1953</v>
      </c>
      <c r="G6609" t="s">
        <v>22709</v>
      </c>
      <c r="H6609" t="s">
        <v>22748</v>
      </c>
      <c r="J6609" t="s">
        <v>22749</v>
      </c>
      <c r="K6609" s="2" t="str">
        <f>HYPERLINK("http://collections.slsa.sa.gov.au/mpcimg/13000/B12840.htm")</f>
        <v>http://collections.slsa.sa.gov.au/mpcimg/13000/B12840.htm</v>
      </c>
    </row>
    <row r="6610" spans="1:11" x14ac:dyDescent="0.25">
      <c r="A6610" t="s">
        <v>22750</v>
      </c>
      <c r="B6610" s="1" t="str">
        <f>HYPERLINK("https://www.catalog.slsa.sa.gov.au/record=b2055959")</f>
        <v>https://www.catalog.slsa.sa.gov.au/record=b2055959</v>
      </c>
      <c r="C6610" s="1" t="str">
        <f>HYPERLINK("https://www.catalog.slsa.sa.gov.au/xrecord=b2055959")</f>
        <v>https://www.catalog.slsa.sa.gov.au/xrecord=b2055959</v>
      </c>
      <c r="D6610" t="s">
        <v>16831</v>
      </c>
      <c r="E6610" t="s">
        <v>22751</v>
      </c>
      <c r="F6610">
        <v>1953</v>
      </c>
      <c r="G6610" t="s">
        <v>22726</v>
      </c>
      <c r="H6610" t="s">
        <v>22752</v>
      </c>
      <c r="J6610" t="s">
        <v>22753</v>
      </c>
      <c r="K6610" s="2" t="str">
        <f>HYPERLINK("http://collections.slsa.sa.gov.au/mpcimg/12750/B12696.htm")</f>
        <v>http://collections.slsa.sa.gov.au/mpcimg/12750/B12696.htm</v>
      </c>
    </row>
    <row r="6611" spans="1:11" x14ac:dyDescent="0.25">
      <c r="A6611" t="s">
        <v>22754</v>
      </c>
      <c r="B6611" s="1" t="str">
        <f>HYPERLINK("https://www.catalog.slsa.sa.gov.au/record=b2055971")</f>
        <v>https://www.catalog.slsa.sa.gov.au/record=b2055971</v>
      </c>
      <c r="C6611" s="1" t="str">
        <f>HYPERLINK("https://www.catalog.slsa.sa.gov.au/xrecord=b2055971")</f>
        <v>https://www.catalog.slsa.sa.gov.au/xrecord=b2055971</v>
      </c>
      <c r="D6611" t="s">
        <v>16831</v>
      </c>
      <c r="E6611" t="s">
        <v>22755</v>
      </c>
      <c r="F6611">
        <v>1953</v>
      </c>
      <c r="G6611" t="s">
        <v>21182</v>
      </c>
      <c r="H6611" t="s">
        <v>22756</v>
      </c>
      <c r="J6611" t="s">
        <v>22757</v>
      </c>
      <c r="K6611" s="2" t="str">
        <f>HYPERLINK("http://collections.slsa.sa.gov.au/mpcimg/12750/B12559.htm")</f>
        <v>http://collections.slsa.sa.gov.au/mpcimg/12750/B12559.htm</v>
      </c>
    </row>
    <row r="6612" spans="1:11" x14ac:dyDescent="0.25">
      <c r="A6612" t="s">
        <v>22758</v>
      </c>
      <c r="B6612" s="1" t="str">
        <f>HYPERLINK("https://www.catalog.slsa.sa.gov.au/record=b2055972")</f>
        <v>https://www.catalog.slsa.sa.gov.au/record=b2055972</v>
      </c>
      <c r="C6612" s="1" t="str">
        <f>HYPERLINK("https://www.catalog.slsa.sa.gov.au/xrecord=b2055972")</f>
        <v>https://www.catalog.slsa.sa.gov.au/xrecord=b2055972</v>
      </c>
      <c r="D6612" t="s">
        <v>16831</v>
      </c>
      <c r="E6612" t="s">
        <v>20904</v>
      </c>
      <c r="F6612">
        <v>1953</v>
      </c>
      <c r="G6612" t="s">
        <v>22709</v>
      </c>
      <c r="H6612" t="s">
        <v>22759</v>
      </c>
      <c r="J6612" t="s">
        <v>22757</v>
      </c>
      <c r="K6612" s="2" t="str">
        <f>HYPERLINK("http://collections.slsa.sa.gov.au/mpcimg/13000/B12837.htm")</f>
        <v>http://collections.slsa.sa.gov.au/mpcimg/13000/B12837.htm</v>
      </c>
    </row>
    <row r="6613" spans="1:11" x14ac:dyDescent="0.25">
      <c r="A6613" t="s">
        <v>22760</v>
      </c>
      <c r="B6613" s="1" t="str">
        <f>HYPERLINK("https://www.catalog.slsa.sa.gov.au/record=b2055973")</f>
        <v>https://www.catalog.slsa.sa.gov.au/record=b2055973</v>
      </c>
      <c r="C6613" s="1" t="str">
        <f>HYPERLINK("https://www.catalog.slsa.sa.gov.au/xrecord=b2055973")</f>
        <v>https://www.catalog.slsa.sa.gov.au/xrecord=b2055973</v>
      </c>
      <c r="D6613" t="s">
        <v>16831</v>
      </c>
      <c r="E6613" t="s">
        <v>22149</v>
      </c>
      <c r="F6613">
        <v>1953</v>
      </c>
      <c r="G6613" t="s">
        <v>22709</v>
      </c>
      <c r="H6613" t="s">
        <v>22761</v>
      </c>
      <c r="J6613" t="s">
        <v>22757</v>
      </c>
      <c r="K6613" s="2" t="str">
        <f>HYPERLINK("http://collections.slsa.sa.gov.au/mpcimg/13000/B12838.htm")</f>
        <v>http://collections.slsa.sa.gov.au/mpcimg/13000/B12838.htm</v>
      </c>
    </row>
    <row r="6614" spans="1:11" x14ac:dyDescent="0.25">
      <c r="A6614" t="s">
        <v>22762</v>
      </c>
      <c r="B6614" s="1" t="str">
        <f>HYPERLINK("https://www.catalog.slsa.sa.gov.au/record=b2055992")</f>
        <v>https://www.catalog.slsa.sa.gov.au/record=b2055992</v>
      </c>
      <c r="C6614" s="1" t="str">
        <f>HYPERLINK("https://www.catalog.slsa.sa.gov.au/xrecord=b2055992")</f>
        <v>https://www.catalog.slsa.sa.gov.au/xrecord=b2055992</v>
      </c>
      <c r="D6614" t="s">
        <v>16831</v>
      </c>
      <c r="E6614" t="s">
        <v>22149</v>
      </c>
      <c r="F6614">
        <v>1953</v>
      </c>
      <c r="G6614" t="s">
        <v>22709</v>
      </c>
      <c r="H6614" t="s">
        <v>22763</v>
      </c>
      <c r="J6614" t="s">
        <v>20910</v>
      </c>
      <c r="K6614" s="2" t="str">
        <f>HYPERLINK("http://collections.slsa.sa.gov.au/mpcimg/13000/B12836.htm")</f>
        <v>http://collections.slsa.sa.gov.au/mpcimg/13000/B12836.htm</v>
      </c>
    </row>
    <row r="6615" spans="1:11" x14ac:dyDescent="0.25">
      <c r="A6615" t="s">
        <v>22764</v>
      </c>
      <c r="B6615" s="1" t="str">
        <f>HYPERLINK("https://www.catalog.slsa.sa.gov.au/record=b2056006")</f>
        <v>https://www.catalog.slsa.sa.gov.au/record=b2056006</v>
      </c>
      <c r="C6615" s="1" t="str">
        <f>HYPERLINK("https://www.catalog.slsa.sa.gov.au/xrecord=b2056006")</f>
        <v>https://www.catalog.slsa.sa.gov.au/xrecord=b2056006</v>
      </c>
      <c r="D6615" t="s">
        <v>16831</v>
      </c>
      <c r="E6615" t="s">
        <v>20904</v>
      </c>
      <c r="F6615">
        <v>1953</v>
      </c>
      <c r="G6615" t="s">
        <v>22709</v>
      </c>
      <c r="H6615" t="s">
        <v>22765</v>
      </c>
      <c r="J6615" t="s">
        <v>22766</v>
      </c>
      <c r="K6615" s="2" t="str">
        <f>HYPERLINK("http://collections.slsa.sa.gov.au/mpcimg/13000/B12835.htm")</f>
        <v>http://collections.slsa.sa.gov.au/mpcimg/13000/B12835.htm</v>
      </c>
    </row>
    <row r="6616" spans="1:11" x14ac:dyDescent="0.25">
      <c r="A6616" t="s">
        <v>22767</v>
      </c>
      <c r="B6616" s="1" t="str">
        <f>HYPERLINK("https://www.catalog.slsa.sa.gov.au/record=b2056176")</f>
        <v>https://www.catalog.slsa.sa.gov.au/record=b2056176</v>
      </c>
      <c r="C6616" s="1" t="str">
        <f>HYPERLINK("https://www.catalog.slsa.sa.gov.au/xrecord=b2056176")</f>
        <v>https://www.catalog.slsa.sa.gov.au/xrecord=b2056176</v>
      </c>
      <c r="D6616" t="s">
        <v>16831</v>
      </c>
      <c r="E6616" t="s">
        <v>22768</v>
      </c>
      <c r="F6616">
        <v>1953</v>
      </c>
      <c r="G6616" t="s">
        <v>22726</v>
      </c>
      <c r="H6616" t="s">
        <v>22769</v>
      </c>
      <c r="J6616" t="s">
        <v>22770</v>
      </c>
      <c r="K6616" s="2" t="str">
        <f>HYPERLINK("http://collections.slsa.sa.gov.au/mpcimg/12750/B12699.htm")</f>
        <v>http://collections.slsa.sa.gov.au/mpcimg/12750/B12699.htm</v>
      </c>
    </row>
    <row r="6617" spans="1:11" x14ac:dyDescent="0.25">
      <c r="A6617" t="s">
        <v>22771</v>
      </c>
      <c r="B6617" s="1" t="str">
        <f>HYPERLINK("https://www.catalog.slsa.sa.gov.au/record=b2056776")</f>
        <v>https://www.catalog.slsa.sa.gov.au/record=b2056776</v>
      </c>
      <c r="C6617" s="1" t="str">
        <f>HYPERLINK("https://www.catalog.slsa.sa.gov.au/xrecord=b2056776")</f>
        <v>https://www.catalog.slsa.sa.gov.au/xrecord=b2056776</v>
      </c>
      <c r="D6617" t="s">
        <v>16831</v>
      </c>
      <c r="E6617" t="s">
        <v>16777</v>
      </c>
      <c r="F6617">
        <v>1953</v>
      </c>
      <c r="G6617" t="s">
        <v>22709</v>
      </c>
      <c r="H6617" t="s">
        <v>22772</v>
      </c>
      <c r="J6617" t="s">
        <v>22773</v>
      </c>
      <c r="K6617" s="2" t="str">
        <f>HYPERLINK("http://collections.slsa.sa.gov.au/mpcimg/13000/B12810.htm")</f>
        <v>http://collections.slsa.sa.gov.au/mpcimg/13000/B12810.htm</v>
      </c>
    </row>
    <row r="6618" spans="1:11" x14ac:dyDescent="0.25">
      <c r="A6618" t="s">
        <v>22774</v>
      </c>
      <c r="B6618" s="1" t="str">
        <f>HYPERLINK("https://www.catalog.slsa.sa.gov.au/record=b2056777")</f>
        <v>https://www.catalog.slsa.sa.gov.au/record=b2056777</v>
      </c>
      <c r="C6618" s="1" t="str">
        <f>HYPERLINK("https://www.catalog.slsa.sa.gov.au/xrecord=b2056777")</f>
        <v>https://www.catalog.slsa.sa.gov.au/xrecord=b2056777</v>
      </c>
      <c r="D6618" t="s">
        <v>16831</v>
      </c>
      <c r="E6618" t="s">
        <v>20925</v>
      </c>
      <c r="F6618">
        <v>1953</v>
      </c>
      <c r="G6618" t="s">
        <v>22709</v>
      </c>
      <c r="H6618" t="s">
        <v>22775</v>
      </c>
      <c r="J6618" t="s">
        <v>22773</v>
      </c>
      <c r="K6618" s="2" t="str">
        <f>HYPERLINK("http://collections.slsa.sa.gov.au/mpcimg/13000/B12848.htm")</f>
        <v>http://collections.slsa.sa.gov.au/mpcimg/13000/B12848.htm</v>
      </c>
    </row>
    <row r="6619" spans="1:11" x14ac:dyDescent="0.25">
      <c r="A6619" t="s">
        <v>22776</v>
      </c>
      <c r="B6619" s="1" t="str">
        <f>HYPERLINK("https://www.catalog.slsa.sa.gov.au/record=b2056828")</f>
        <v>https://www.catalog.slsa.sa.gov.au/record=b2056828</v>
      </c>
      <c r="C6619" s="1" t="str">
        <f>HYPERLINK("https://www.catalog.slsa.sa.gov.au/xrecord=b2056828")</f>
        <v>https://www.catalog.slsa.sa.gov.au/xrecord=b2056828</v>
      </c>
      <c r="D6619" t="s">
        <v>16831</v>
      </c>
      <c r="E6619" t="s">
        <v>16777</v>
      </c>
      <c r="F6619">
        <v>1953</v>
      </c>
      <c r="G6619" t="s">
        <v>22709</v>
      </c>
      <c r="H6619" t="s">
        <v>22777</v>
      </c>
      <c r="J6619" t="s">
        <v>20920</v>
      </c>
      <c r="K6619" s="2" t="str">
        <f>HYPERLINK("http://collections.slsa.sa.gov.au/mpcimg/13000/B12811.htm")</f>
        <v>http://collections.slsa.sa.gov.au/mpcimg/13000/B12811.htm</v>
      </c>
    </row>
    <row r="6620" spans="1:11" x14ac:dyDescent="0.25">
      <c r="A6620" t="s">
        <v>22778</v>
      </c>
      <c r="B6620" s="1" t="str">
        <f>HYPERLINK("https://www.catalog.slsa.sa.gov.au/record=b2056829")</f>
        <v>https://www.catalog.slsa.sa.gov.au/record=b2056829</v>
      </c>
      <c r="C6620" s="1" t="str">
        <f>HYPERLINK("https://www.catalog.slsa.sa.gov.au/xrecord=b2056829")</f>
        <v>https://www.catalog.slsa.sa.gov.au/xrecord=b2056829</v>
      </c>
      <c r="D6620" t="s">
        <v>16831</v>
      </c>
      <c r="E6620" t="s">
        <v>16777</v>
      </c>
      <c r="F6620">
        <v>1953</v>
      </c>
      <c r="G6620" t="s">
        <v>22709</v>
      </c>
      <c r="H6620" t="s">
        <v>22779</v>
      </c>
      <c r="J6620" t="s">
        <v>20920</v>
      </c>
      <c r="K6620" s="2" t="str">
        <f>HYPERLINK("http://collections.slsa.sa.gov.au/mpcimg/13000/B12812.htm")</f>
        <v>http://collections.slsa.sa.gov.au/mpcimg/13000/B12812.htm</v>
      </c>
    </row>
    <row r="6621" spans="1:11" x14ac:dyDescent="0.25">
      <c r="A6621" t="s">
        <v>22780</v>
      </c>
      <c r="B6621" s="1" t="str">
        <f>HYPERLINK("https://www.catalog.slsa.sa.gov.au/record=b2056838")</f>
        <v>https://www.catalog.slsa.sa.gov.au/record=b2056838</v>
      </c>
      <c r="C6621" s="1" t="str">
        <f>HYPERLINK("https://www.catalog.slsa.sa.gov.au/xrecord=b2056838")</f>
        <v>https://www.catalog.slsa.sa.gov.au/xrecord=b2056838</v>
      </c>
      <c r="D6621" t="s">
        <v>16831</v>
      </c>
      <c r="E6621" t="s">
        <v>16777</v>
      </c>
      <c r="F6621">
        <v>1953</v>
      </c>
      <c r="G6621" t="s">
        <v>22726</v>
      </c>
      <c r="H6621" t="s">
        <v>22781</v>
      </c>
      <c r="J6621" t="s">
        <v>22782</v>
      </c>
      <c r="K6621" s="2" t="str">
        <f>HYPERLINK("http://collections.slsa.sa.gov.au/mpcimg/12750/B12676.htm")</f>
        <v>http://collections.slsa.sa.gov.au/mpcimg/12750/B12676.htm</v>
      </c>
    </row>
    <row r="6622" spans="1:11" x14ac:dyDescent="0.25">
      <c r="A6622" t="s">
        <v>22783</v>
      </c>
      <c r="B6622" s="1" t="str">
        <f>HYPERLINK("https://www.catalog.slsa.sa.gov.au/record=b2056852")</f>
        <v>https://www.catalog.slsa.sa.gov.au/record=b2056852</v>
      </c>
      <c r="C6622" s="1" t="str">
        <f>HYPERLINK("https://www.catalog.slsa.sa.gov.au/xrecord=b2056852")</f>
        <v>https://www.catalog.slsa.sa.gov.au/xrecord=b2056852</v>
      </c>
      <c r="D6622" t="s">
        <v>16831</v>
      </c>
      <c r="E6622" t="s">
        <v>16777</v>
      </c>
      <c r="F6622">
        <v>1953</v>
      </c>
      <c r="G6622" t="s">
        <v>22709</v>
      </c>
      <c r="H6622" t="s">
        <v>22784</v>
      </c>
      <c r="J6622" t="s">
        <v>22785</v>
      </c>
      <c r="K6622" s="2" t="str">
        <f>HYPERLINK("http://collections.slsa.sa.gov.au/mpcimg/13000/B12813.htm")</f>
        <v>http://collections.slsa.sa.gov.au/mpcimg/13000/B12813.htm</v>
      </c>
    </row>
    <row r="6623" spans="1:11" x14ac:dyDescent="0.25">
      <c r="A6623" t="s">
        <v>22786</v>
      </c>
      <c r="B6623" s="1" t="str">
        <f>HYPERLINK("https://www.catalog.slsa.sa.gov.au/record=b2056886")</f>
        <v>https://www.catalog.slsa.sa.gov.au/record=b2056886</v>
      </c>
      <c r="C6623" s="1" t="str">
        <f>HYPERLINK("https://www.catalog.slsa.sa.gov.au/xrecord=b2056886")</f>
        <v>https://www.catalog.slsa.sa.gov.au/xrecord=b2056886</v>
      </c>
      <c r="D6623" t="s">
        <v>16831</v>
      </c>
      <c r="E6623" t="s">
        <v>20925</v>
      </c>
      <c r="F6623">
        <v>1953</v>
      </c>
      <c r="G6623" t="s">
        <v>22709</v>
      </c>
      <c r="H6623" t="s">
        <v>22787</v>
      </c>
      <c r="J6623" t="s">
        <v>20927</v>
      </c>
      <c r="K6623" s="2" t="str">
        <f>HYPERLINK("http://collections.slsa.sa.gov.au/mpcimg/13000/B12850.htm")</f>
        <v>http://collections.slsa.sa.gov.au/mpcimg/13000/B12850.htm</v>
      </c>
    </row>
    <row r="6624" spans="1:11" x14ac:dyDescent="0.25">
      <c r="A6624" t="s">
        <v>22788</v>
      </c>
      <c r="B6624" s="1" t="str">
        <f>HYPERLINK("https://www.catalog.slsa.sa.gov.au/record=b2057181")</f>
        <v>https://www.catalog.slsa.sa.gov.au/record=b2057181</v>
      </c>
      <c r="C6624" s="1" t="str">
        <f>HYPERLINK("https://www.catalog.slsa.sa.gov.au/xrecord=b2057181")</f>
        <v>https://www.catalog.slsa.sa.gov.au/xrecord=b2057181</v>
      </c>
      <c r="D6624" t="s">
        <v>16831</v>
      </c>
      <c r="E6624" t="s">
        <v>22789</v>
      </c>
      <c r="F6624">
        <v>1953</v>
      </c>
      <c r="G6624" t="s">
        <v>22726</v>
      </c>
      <c r="H6624" t="s">
        <v>22790</v>
      </c>
      <c r="J6624" t="s">
        <v>22791</v>
      </c>
      <c r="K6624" s="2" t="str">
        <f>HYPERLINK("http://collections.slsa.sa.gov.au/mpcimg/12750/B12698.htm")</f>
        <v>http://collections.slsa.sa.gov.au/mpcimg/12750/B12698.htm</v>
      </c>
    </row>
    <row r="6625" spans="1:11" x14ac:dyDescent="0.25">
      <c r="A6625" t="s">
        <v>22792</v>
      </c>
      <c r="B6625" s="1" t="str">
        <f>HYPERLINK("https://www.catalog.slsa.sa.gov.au/record=b2057487")</f>
        <v>https://www.catalog.slsa.sa.gov.au/record=b2057487</v>
      </c>
      <c r="C6625" s="1" t="str">
        <f>HYPERLINK("https://www.catalog.slsa.sa.gov.au/xrecord=b2057487")</f>
        <v>https://www.catalog.slsa.sa.gov.au/xrecord=b2057487</v>
      </c>
      <c r="D6625" t="s">
        <v>16831</v>
      </c>
      <c r="E6625" t="s">
        <v>16786</v>
      </c>
      <c r="F6625">
        <v>1953</v>
      </c>
      <c r="G6625" t="s">
        <v>14809</v>
      </c>
      <c r="H6625" t="s">
        <v>22793</v>
      </c>
      <c r="J6625" t="s">
        <v>20953</v>
      </c>
      <c r="K6625" s="2" t="str">
        <f>HYPERLINK("http://collections.slsa.sa.gov.au/mpcimg/12750/B12697.htm")</f>
        <v>http://collections.slsa.sa.gov.au/mpcimg/12750/B12697.htm</v>
      </c>
    </row>
    <row r="6626" spans="1:11" x14ac:dyDescent="0.25">
      <c r="A6626" t="s">
        <v>22794</v>
      </c>
      <c r="B6626" s="1" t="str">
        <f>HYPERLINK("https://www.catalog.slsa.sa.gov.au/record=b2057647")</f>
        <v>https://www.catalog.slsa.sa.gov.au/record=b2057647</v>
      </c>
      <c r="C6626" s="1" t="str">
        <f>HYPERLINK("https://www.catalog.slsa.sa.gov.au/xrecord=b2057647")</f>
        <v>https://www.catalog.slsa.sa.gov.au/xrecord=b2057647</v>
      </c>
      <c r="D6626" t="s">
        <v>16831</v>
      </c>
      <c r="E6626" t="s">
        <v>16791</v>
      </c>
      <c r="F6626">
        <v>1953</v>
      </c>
      <c r="G6626" t="s">
        <v>22795</v>
      </c>
      <c r="H6626" t="s">
        <v>22796</v>
      </c>
      <c r="J6626" t="s">
        <v>22797</v>
      </c>
      <c r="K6626" s="2" t="str">
        <f>HYPERLINK("http://collections.slsa.sa.gov.au/mpcimg/12750/B12680.htm")</f>
        <v>http://collections.slsa.sa.gov.au/mpcimg/12750/B12680.htm</v>
      </c>
    </row>
    <row r="6627" spans="1:11" x14ac:dyDescent="0.25">
      <c r="A6627" t="s">
        <v>22798</v>
      </c>
      <c r="B6627" s="1" t="str">
        <f>HYPERLINK("https://www.catalog.slsa.sa.gov.au/record=b2057698")</f>
        <v>https://www.catalog.slsa.sa.gov.au/record=b2057698</v>
      </c>
      <c r="C6627" s="1" t="str">
        <f>HYPERLINK("https://www.catalog.slsa.sa.gov.au/xrecord=b2057698")</f>
        <v>https://www.catalog.slsa.sa.gov.au/xrecord=b2057698</v>
      </c>
      <c r="D6627" t="s">
        <v>16831</v>
      </c>
      <c r="E6627" t="s">
        <v>20933</v>
      </c>
      <c r="F6627">
        <v>1953</v>
      </c>
      <c r="G6627" t="s">
        <v>22726</v>
      </c>
      <c r="H6627" t="s">
        <v>22799</v>
      </c>
      <c r="J6627" t="s">
        <v>22800</v>
      </c>
      <c r="K6627" s="2" t="str">
        <f>HYPERLINK("http://collections.slsa.sa.gov.au/mpcimg/12750/B12692.htm")</f>
        <v>http://collections.slsa.sa.gov.au/mpcimg/12750/B12692.htm</v>
      </c>
    </row>
    <row r="6628" spans="1:11" x14ac:dyDescent="0.25">
      <c r="A6628" t="s">
        <v>22801</v>
      </c>
      <c r="B6628" s="1" t="str">
        <f>HYPERLINK("https://www.catalog.slsa.sa.gov.au/record=b2057747")</f>
        <v>https://www.catalog.slsa.sa.gov.au/record=b2057747</v>
      </c>
      <c r="C6628" s="1" t="str">
        <f>HYPERLINK("https://www.catalog.slsa.sa.gov.au/xrecord=b2057747")</f>
        <v>https://www.catalog.slsa.sa.gov.au/xrecord=b2057747</v>
      </c>
      <c r="D6628" t="s">
        <v>16831</v>
      </c>
      <c r="E6628" t="s">
        <v>16791</v>
      </c>
      <c r="F6628">
        <v>1953</v>
      </c>
      <c r="G6628" t="s">
        <v>22726</v>
      </c>
      <c r="H6628" t="s">
        <v>22802</v>
      </c>
      <c r="J6628" t="s">
        <v>22803</v>
      </c>
      <c r="K6628" s="2" t="str">
        <f>HYPERLINK("http://collections.slsa.sa.gov.au/mpcimg/12750/B12678.htm")</f>
        <v>http://collections.slsa.sa.gov.au/mpcimg/12750/B12678.htm</v>
      </c>
    </row>
    <row r="6629" spans="1:11" x14ac:dyDescent="0.25">
      <c r="A6629" t="s">
        <v>22804</v>
      </c>
      <c r="B6629" s="1" t="str">
        <f>HYPERLINK("https://www.catalog.slsa.sa.gov.au/record=b2057857")</f>
        <v>https://www.catalog.slsa.sa.gov.au/record=b2057857</v>
      </c>
      <c r="C6629" s="1" t="str">
        <f>HYPERLINK("https://www.catalog.slsa.sa.gov.au/xrecord=b2057857")</f>
        <v>https://www.catalog.slsa.sa.gov.au/xrecord=b2057857</v>
      </c>
      <c r="D6629" t="s">
        <v>16831</v>
      </c>
      <c r="E6629" t="s">
        <v>22805</v>
      </c>
      <c r="F6629">
        <v>1953</v>
      </c>
      <c r="G6629" t="s">
        <v>22709</v>
      </c>
      <c r="H6629" t="s">
        <v>22806</v>
      </c>
      <c r="J6629" t="s">
        <v>22807</v>
      </c>
      <c r="K6629" s="2" t="str">
        <f>HYPERLINK("http://collections.slsa.sa.gov.au/mpcimg/13000/B12849.htm")</f>
        <v>http://collections.slsa.sa.gov.au/mpcimg/13000/B12849.htm</v>
      </c>
    </row>
    <row r="6630" spans="1:11" x14ac:dyDescent="0.25">
      <c r="A6630" t="s">
        <v>22808</v>
      </c>
      <c r="B6630" s="1" t="str">
        <f>HYPERLINK("https://www.catalog.slsa.sa.gov.au/record=b2058066")</f>
        <v>https://www.catalog.slsa.sa.gov.au/record=b2058066</v>
      </c>
      <c r="C6630" s="1" t="str">
        <f>HYPERLINK("https://www.catalog.slsa.sa.gov.au/xrecord=b2058066")</f>
        <v>https://www.catalog.slsa.sa.gov.au/xrecord=b2058066</v>
      </c>
      <c r="D6630" t="s">
        <v>16831</v>
      </c>
      <c r="E6630" t="s">
        <v>16771</v>
      </c>
      <c r="F6630">
        <v>1953</v>
      </c>
      <c r="G6630" t="s">
        <v>22726</v>
      </c>
      <c r="H6630" t="s">
        <v>22809</v>
      </c>
      <c r="J6630" t="s">
        <v>16803</v>
      </c>
      <c r="K6630" s="2" t="str">
        <f>HYPERLINK("http://collections.slsa.sa.gov.au/mpcimg/12750/B12677.htm")</f>
        <v>http://collections.slsa.sa.gov.au/mpcimg/12750/B12677.htm</v>
      </c>
    </row>
    <row r="6631" spans="1:11" x14ac:dyDescent="0.25">
      <c r="A6631" t="s">
        <v>22810</v>
      </c>
      <c r="B6631" s="1" t="str">
        <f>HYPERLINK("https://www.catalog.slsa.sa.gov.au/record=b2058141")</f>
        <v>https://www.catalog.slsa.sa.gov.au/record=b2058141</v>
      </c>
      <c r="C6631" s="1" t="str">
        <f>HYPERLINK("https://www.catalog.slsa.sa.gov.au/xrecord=b2058141")</f>
        <v>https://www.catalog.slsa.sa.gov.au/xrecord=b2058141</v>
      </c>
      <c r="D6631" t="s">
        <v>16831</v>
      </c>
      <c r="E6631" t="s">
        <v>20970</v>
      </c>
      <c r="F6631">
        <v>1953</v>
      </c>
      <c r="G6631" t="s">
        <v>22726</v>
      </c>
      <c r="H6631" t="s">
        <v>22811</v>
      </c>
      <c r="J6631" t="s">
        <v>16808</v>
      </c>
      <c r="K6631" s="2" t="str">
        <f>HYPERLINK("http://collections.slsa.sa.gov.au/mpcimg/12750/B12683.htm")</f>
        <v>http://collections.slsa.sa.gov.au/mpcimg/12750/B12683.htm</v>
      </c>
    </row>
    <row r="6632" spans="1:11" x14ac:dyDescent="0.25">
      <c r="A6632" t="s">
        <v>22812</v>
      </c>
      <c r="B6632" s="1" t="str">
        <f>HYPERLINK("https://www.catalog.slsa.sa.gov.au/record=b2058226")</f>
        <v>https://www.catalog.slsa.sa.gov.au/record=b2058226</v>
      </c>
      <c r="C6632" s="1" t="str">
        <f>HYPERLINK("https://www.catalog.slsa.sa.gov.au/xrecord=b2058226")</f>
        <v>https://www.catalog.slsa.sa.gov.au/xrecord=b2058226</v>
      </c>
      <c r="E6632" t="s">
        <v>22813</v>
      </c>
      <c r="F6632">
        <v>1953</v>
      </c>
      <c r="G6632" t="s">
        <v>15147</v>
      </c>
      <c r="H6632" t="s">
        <v>22814</v>
      </c>
      <c r="J6632" t="s">
        <v>22815</v>
      </c>
      <c r="K6632" s="2" t="str">
        <f>HYPERLINK("http://collections.slsa.sa.gov.au/mpcimg/37000/B36802.htm")</f>
        <v>http://collections.slsa.sa.gov.au/mpcimg/37000/B36802.htm</v>
      </c>
    </row>
    <row r="6633" spans="1:11" x14ac:dyDescent="0.25">
      <c r="A6633" t="s">
        <v>22816</v>
      </c>
      <c r="B6633" s="1" t="str">
        <f>HYPERLINK("https://www.catalog.slsa.sa.gov.au/record=b2058326")</f>
        <v>https://www.catalog.slsa.sa.gov.au/record=b2058326</v>
      </c>
      <c r="C6633" s="1" t="str">
        <f>HYPERLINK("https://www.catalog.slsa.sa.gov.au/xrecord=b2058326")</f>
        <v>https://www.catalog.slsa.sa.gov.au/xrecord=b2058326</v>
      </c>
      <c r="D6633" t="s">
        <v>16831</v>
      </c>
      <c r="E6633" t="s">
        <v>20970</v>
      </c>
      <c r="F6633">
        <v>1953</v>
      </c>
      <c r="G6633" t="s">
        <v>16674</v>
      </c>
      <c r="H6633" t="s">
        <v>22817</v>
      </c>
      <c r="J6633" t="s">
        <v>22818</v>
      </c>
      <c r="K6633" s="2" t="str">
        <f>HYPERLINK("http://collections.slsa.sa.gov.au/mpcimg/12750/B12520.htm")</f>
        <v>http://collections.slsa.sa.gov.au/mpcimg/12750/B12520.htm</v>
      </c>
    </row>
    <row r="6634" spans="1:11" x14ac:dyDescent="0.25">
      <c r="A6634" t="s">
        <v>22819</v>
      </c>
      <c r="B6634" s="1" t="str">
        <f>HYPERLINK("https://www.catalog.slsa.sa.gov.au/record=b2058389")</f>
        <v>https://www.catalog.slsa.sa.gov.au/record=b2058389</v>
      </c>
      <c r="C6634" s="1" t="str">
        <f>HYPERLINK("https://www.catalog.slsa.sa.gov.au/xrecord=b2058389")</f>
        <v>https://www.catalog.slsa.sa.gov.au/xrecord=b2058389</v>
      </c>
      <c r="D6634" t="s">
        <v>16831</v>
      </c>
      <c r="E6634" t="s">
        <v>20970</v>
      </c>
      <c r="F6634">
        <v>1953</v>
      </c>
      <c r="G6634" t="s">
        <v>16674</v>
      </c>
      <c r="H6634" t="s">
        <v>22820</v>
      </c>
      <c r="J6634" t="s">
        <v>22147</v>
      </c>
      <c r="K6634" s="2" t="str">
        <f>HYPERLINK("http://collections.slsa.sa.gov.au/mpcimg/12750/B12519.htm")</f>
        <v>http://collections.slsa.sa.gov.au/mpcimg/12750/B12519.htm</v>
      </c>
    </row>
    <row r="6635" spans="1:11" x14ac:dyDescent="0.25">
      <c r="A6635" t="s">
        <v>22821</v>
      </c>
      <c r="B6635" s="1" t="str">
        <f>HYPERLINK("https://www.catalog.slsa.sa.gov.au/record=b2058834")</f>
        <v>https://www.catalog.slsa.sa.gov.au/record=b2058834</v>
      </c>
      <c r="C6635" s="1" t="str">
        <f>HYPERLINK("https://www.catalog.slsa.sa.gov.au/xrecord=b2058834")</f>
        <v>https://www.catalog.slsa.sa.gov.au/xrecord=b2058834</v>
      </c>
      <c r="D6635" t="s">
        <v>16831</v>
      </c>
      <c r="E6635" t="s">
        <v>22822</v>
      </c>
      <c r="F6635">
        <v>1953</v>
      </c>
      <c r="G6635" t="s">
        <v>22726</v>
      </c>
      <c r="H6635" t="s">
        <v>22823</v>
      </c>
      <c r="J6635" t="s">
        <v>22824</v>
      </c>
      <c r="K6635" s="2" t="str">
        <f>HYPERLINK("http://collections.slsa.sa.gov.au/mpcimg/12750/B12693.htm")</f>
        <v>http://collections.slsa.sa.gov.au/mpcimg/12750/B12693.htm</v>
      </c>
    </row>
    <row r="6636" spans="1:11" x14ac:dyDescent="0.25">
      <c r="A6636" t="s">
        <v>22825</v>
      </c>
      <c r="B6636" s="1" t="str">
        <f>HYPERLINK("https://www.catalog.slsa.sa.gov.au/record=b2058852")</f>
        <v>https://www.catalog.slsa.sa.gov.au/record=b2058852</v>
      </c>
      <c r="C6636" s="1" t="str">
        <f>HYPERLINK("https://www.catalog.slsa.sa.gov.au/xrecord=b2058852")</f>
        <v>https://www.catalog.slsa.sa.gov.au/xrecord=b2058852</v>
      </c>
      <c r="D6636" t="s">
        <v>16831</v>
      </c>
      <c r="E6636" t="s">
        <v>22822</v>
      </c>
      <c r="F6636">
        <v>1953</v>
      </c>
      <c r="G6636" t="s">
        <v>22726</v>
      </c>
      <c r="H6636" t="s">
        <v>22826</v>
      </c>
      <c r="J6636" t="s">
        <v>22827</v>
      </c>
      <c r="K6636" s="2" t="str">
        <f>HYPERLINK("http://collections.slsa.sa.gov.au/mpcimg/12750/B12684.htm")</f>
        <v>http://collections.slsa.sa.gov.au/mpcimg/12750/B12684.htm</v>
      </c>
    </row>
    <row r="6637" spans="1:11" x14ac:dyDescent="0.25">
      <c r="A6637" t="s">
        <v>22828</v>
      </c>
      <c r="B6637" s="1" t="str">
        <f>HYPERLINK("https://www.catalog.slsa.sa.gov.au/record=b2058914")</f>
        <v>https://www.catalog.slsa.sa.gov.au/record=b2058914</v>
      </c>
      <c r="C6637" s="1" t="str">
        <f>HYPERLINK("https://www.catalog.slsa.sa.gov.au/xrecord=b2058914")</f>
        <v>https://www.catalog.slsa.sa.gov.au/xrecord=b2058914</v>
      </c>
      <c r="D6637" t="s">
        <v>16831</v>
      </c>
      <c r="E6637" t="s">
        <v>15191</v>
      </c>
      <c r="F6637">
        <v>1953</v>
      </c>
      <c r="G6637" t="s">
        <v>22709</v>
      </c>
      <c r="H6637" t="s">
        <v>22829</v>
      </c>
      <c r="J6637" t="s">
        <v>22830</v>
      </c>
      <c r="K6637" s="2" t="str">
        <f>HYPERLINK("http://collections.slsa.sa.gov.au/mpcimg/13000/B12851.htm")</f>
        <v>http://collections.slsa.sa.gov.au/mpcimg/13000/B12851.htm</v>
      </c>
    </row>
    <row r="6638" spans="1:11" x14ac:dyDescent="0.25">
      <c r="A6638" t="s">
        <v>22831</v>
      </c>
      <c r="B6638" s="1" t="str">
        <f>HYPERLINK("https://www.catalog.slsa.sa.gov.au/record=b2058941")</f>
        <v>https://www.catalog.slsa.sa.gov.au/record=b2058941</v>
      </c>
      <c r="C6638" s="1" t="str">
        <f>HYPERLINK("https://www.catalog.slsa.sa.gov.au/xrecord=b2058941")</f>
        <v>https://www.catalog.slsa.sa.gov.au/xrecord=b2058941</v>
      </c>
      <c r="D6638" t="s">
        <v>16831</v>
      </c>
      <c r="E6638" t="s">
        <v>15191</v>
      </c>
      <c r="F6638">
        <v>1953</v>
      </c>
      <c r="G6638" t="s">
        <v>22709</v>
      </c>
      <c r="H6638" t="s">
        <v>22832</v>
      </c>
      <c r="J6638" t="s">
        <v>22833</v>
      </c>
      <c r="K6638" s="2" t="str">
        <f>HYPERLINK("http://collections.slsa.sa.gov.au/mpcimg/13000/B12827.htm")</f>
        <v>http://collections.slsa.sa.gov.au/mpcimg/13000/B12827.htm</v>
      </c>
    </row>
    <row r="6639" spans="1:11" x14ac:dyDescent="0.25">
      <c r="A6639" t="s">
        <v>22834</v>
      </c>
      <c r="B6639" s="1" t="str">
        <f>HYPERLINK("https://www.catalog.slsa.sa.gov.au/record=b2059271")</f>
        <v>https://www.catalog.slsa.sa.gov.au/record=b2059271</v>
      </c>
      <c r="C6639" s="1" t="str">
        <f>HYPERLINK("https://www.catalog.slsa.sa.gov.au/xrecord=b2059271")</f>
        <v>https://www.catalog.slsa.sa.gov.au/xrecord=b2059271</v>
      </c>
      <c r="D6639" t="s">
        <v>16831</v>
      </c>
      <c r="E6639" t="s">
        <v>22835</v>
      </c>
      <c r="F6639">
        <v>1953</v>
      </c>
      <c r="G6639" t="s">
        <v>22709</v>
      </c>
      <c r="H6639" t="s">
        <v>22836</v>
      </c>
      <c r="J6639" t="s">
        <v>22837</v>
      </c>
      <c r="K6639" s="2" t="str">
        <f>HYPERLINK("http://collections.slsa.sa.gov.au/mpcimg/13000/B12834.htm")</f>
        <v>http://collections.slsa.sa.gov.au/mpcimg/13000/B12834.htm</v>
      </c>
    </row>
    <row r="6640" spans="1:11" x14ac:dyDescent="0.25">
      <c r="A6640" t="s">
        <v>22838</v>
      </c>
      <c r="B6640" s="1" t="str">
        <f>HYPERLINK("https://www.catalog.slsa.sa.gov.au/record=b2059293")</f>
        <v>https://www.catalog.slsa.sa.gov.au/record=b2059293</v>
      </c>
      <c r="C6640" s="1" t="str">
        <f>HYPERLINK("https://www.catalog.slsa.sa.gov.au/xrecord=b2059293")</f>
        <v>https://www.catalog.slsa.sa.gov.au/xrecord=b2059293</v>
      </c>
      <c r="D6640" t="s">
        <v>16831</v>
      </c>
      <c r="E6640" t="s">
        <v>22839</v>
      </c>
      <c r="F6640">
        <v>1953</v>
      </c>
      <c r="G6640" t="s">
        <v>22709</v>
      </c>
      <c r="H6640" t="s">
        <v>22840</v>
      </c>
      <c r="J6640" t="s">
        <v>22841</v>
      </c>
      <c r="K6640" s="2" t="str">
        <f>HYPERLINK("http://collections.slsa.sa.gov.au/mpcimg/13000/B12845.htm")</f>
        <v>http://collections.slsa.sa.gov.au/mpcimg/13000/B12845.htm</v>
      </c>
    </row>
    <row r="6641" spans="1:11" x14ac:dyDescent="0.25">
      <c r="A6641" t="s">
        <v>22842</v>
      </c>
      <c r="B6641" s="1" t="str">
        <f>HYPERLINK("https://www.catalog.slsa.sa.gov.au/record=b2059488")</f>
        <v>https://www.catalog.slsa.sa.gov.au/record=b2059488</v>
      </c>
      <c r="C6641" s="1" t="str">
        <f>HYPERLINK("https://www.catalog.slsa.sa.gov.au/xrecord=b2059488")</f>
        <v>https://www.catalog.slsa.sa.gov.au/xrecord=b2059488</v>
      </c>
      <c r="D6641" t="s">
        <v>16831</v>
      </c>
      <c r="E6641" t="s">
        <v>20096</v>
      </c>
      <c r="F6641">
        <v>1953</v>
      </c>
      <c r="G6641" t="s">
        <v>16674</v>
      </c>
      <c r="H6641" t="s">
        <v>22843</v>
      </c>
      <c r="J6641" t="s">
        <v>22844</v>
      </c>
      <c r="K6641" s="2" t="str">
        <f>HYPERLINK("http://collections.slsa.sa.gov.au/mpcimg/12750/B12523.htm")</f>
        <v>http://collections.slsa.sa.gov.au/mpcimg/12750/B12523.htm</v>
      </c>
    </row>
    <row r="6642" spans="1:11" x14ac:dyDescent="0.25">
      <c r="A6642" t="s">
        <v>22845</v>
      </c>
      <c r="B6642" s="1" t="str">
        <f>HYPERLINK("https://www.catalog.slsa.sa.gov.au/record=b2059515")</f>
        <v>https://www.catalog.slsa.sa.gov.au/record=b2059515</v>
      </c>
      <c r="C6642" s="1" t="str">
        <f>HYPERLINK("https://www.catalog.slsa.sa.gov.au/xrecord=b2059515")</f>
        <v>https://www.catalog.slsa.sa.gov.au/xrecord=b2059515</v>
      </c>
      <c r="D6642" t="s">
        <v>16831</v>
      </c>
      <c r="E6642" t="s">
        <v>20974</v>
      </c>
      <c r="F6642">
        <v>1953</v>
      </c>
      <c r="G6642" t="s">
        <v>22726</v>
      </c>
      <c r="H6642" t="s">
        <v>22846</v>
      </c>
      <c r="J6642" t="s">
        <v>22847</v>
      </c>
      <c r="K6642" s="2" t="str">
        <f>HYPERLINK("http://collections.slsa.sa.gov.au/mpcimg/12750/B12673.htm")</f>
        <v>http://collections.slsa.sa.gov.au/mpcimg/12750/B12673.htm</v>
      </c>
    </row>
    <row r="6643" spans="1:11" x14ac:dyDescent="0.25">
      <c r="A6643" t="s">
        <v>22848</v>
      </c>
      <c r="B6643" s="1" t="str">
        <f>HYPERLINK("https://www.catalog.slsa.sa.gov.au/record=b2059613")</f>
        <v>https://www.catalog.slsa.sa.gov.au/record=b2059613</v>
      </c>
      <c r="C6643" s="1" t="str">
        <f>HYPERLINK("https://www.catalog.slsa.sa.gov.au/xrecord=b2059613")</f>
        <v>https://www.catalog.slsa.sa.gov.au/xrecord=b2059613</v>
      </c>
      <c r="D6643" t="s">
        <v>16831</v>
      </c>
      <c r="E6643" t="s">
        <v>22849</v>
      </c>
      <c r="F6643">
        <v>1953</v>
      </c>
      <c r="G6643" t="s">
        <v>16674</v>
      </c>
      <c r="H6643" t="s">
        <v>22850</v>
      </c>
      <c r="J6643" t="s">
        <v>22851</v>
      </c>
      <c r="K6643" s="2" t="str">
        <f>HYPERLINK("http://collections.slsa.sa.gov.au/mpcimg/12750/B12521.htm")</f>
        <v>http://collections.slsa.sa.gov.au/mpcimg/12750/B12521.htm</v>
      </c>
    </row>
    <row r="6644" spans="1:11" x14ac:dyDescent="0.25">
      <c r="A6644" t="s">
        <v>22852</v>
      </c>
      <c r="B6644" s="1" t="str">
        <f>HYPERLINK("https://www.catalog.slsa.sa.gov.au/record=b2059638")</f>
        <v>https://www.catalog.slsa.sa.gov.au/record=b2059638</v>
      </c>
      <c r="C6644" s="1" t="str">
        <f>HYPERLINK("https://www.catalog.slsa.sa.gov.au/xrecord=b2059638")</f>
        <v>https://www.catalog.slsa.sa.gov.au/xrecord=b2059638</v>
      </c>
      <c r="D6644" t="s">
        <v>16831</v>
      </c>
      <c r="E6644" t="s">
        <v>20096</v>
      </c>
      <c r="F6644">
        <v>1953</v>
      </c>
      <c r="G6644" t="s">
        <v>22726</v>
      </c>
      <c r="H6644" t="s">
        <v>22853</v>
      </c>
      <c r="J6644" t="s">
        <v>22854</v>
      </c>
      <c r="K6644" s="2" t="str">
        <f>HYPERLINK("http://collections.slsa.sa.gov.au/mpcimg/12750/B12681.htm")</f>
        <v>http://collections.slsa.sa.gov.au/mpcimg/12750/B12681.htm</v>
      </c>
    </row>
    <row r="6645" spans="1:11" x14ac:dyDescent="0.25">
      <c r="A6645" t="s">
        <v>22855</v>
      </c>
      <c r="B6645" s="1" t="str">
        <f>HYPERLINK("https://www.catalog.slsa.sa.gov.au/record=b2059776")</f>
        <v>https://www.catalog.slsa.sa.gov.au/record=b2059776</v>
      </c>
      <c r="C6645" s="1" t="str">
        <f>HYPERLINK("https://www.catalog.slsa.sa.gov.au/xrecord=b2059776")</f>
        <v>https://www.catalog.slsa.sa.gov.au/xrecord=b2059776</v>
      </c>
      <c r="D6645" t="s">
        <v>16831</v>
      </c>
      <c r="E6645" t="s">
        <v>15191</v>
      </c>
      <c r="F6645">
        <v>1953</v>
      </c>
      <c r="G6645" t="s">
        <v>22709</v>
      </c>
      <c r="H6645" t="s">
        <v>22856</v>
      </c>
      <c r="J6645" t="s">
        <v>22857</v>
      </c>
      <c r="K6645" s="2" t="str">
        <f>HYPERLINK("http://collections.slsa.sa.gov.au/mpcimg/13000/B12824.htm")</f>
        <v>http://collections.slsa.sa.gov.au/mpcimg/13000/B12824.htm</v>
      </c>
    </row>
    <row r="6646" spans="1:11" x14ac:dyDescent="0.25">
      <c r="A6646" t="s">
        <v>22858</v>
      </c>
      <c r="B6646" s="1" t="str">
        <f>HYPERLINK("https://www.catalog.slsa.sa.gov.au/record=b2059800")</f>
        <v>https://www.catalog.slsa.sa.gov.au/record=b2059800</v>
      </c>
      <c r="C6646" s="1" t="str">
        <f>HYPERLINK("https://www.catalog.slsa.sa.gov.au/xrecord=b2059800")</f>
        <v>https://www.catalog.slsa.sa.gov.au/xrecord=b2059800</v>
      </c>
      <c r="D6646" t="s">
        <v>16831</v>
      </c>
      <c r="E6646" t="s">
        <v>21014</v>
      </c>
      <c r="F6646">
        <v>1953</v>
      </c>
      <c r="G6646" t="s">
        <v>22709</v>
      </c>
      <c r="H6646" t="s">
        <v>22859</v>
      </c>
      <c r="J6646" t="s">
        <v>22860</v>
      </c>
      <c r="K6646" s="2" t="str">
        <f>HYPERLINK("http://collections.slsa.sa.gov.au/mpcimg/13000/B12816.htm")</f>
        <v>http://collections.slsa.sa.gov.au/mpcimg/13000/B12816.htm</v>
      </c>
    </row>
    <row r="6647" spans="1:11" x14ac:dyDescent="0.25">
      <c r="A6647" t="s">
        <v>22861</v>
      </c>
      <c r="B6647" s="1" t="str">
        <f>HYPERLINK("https://www.catalog.slsa.sa.gov.au/record=b2059836")</f>
        <v>https://www.catalog.slsa.sa.gov.au/record=b2059836</v>
      </c>
      <c r="C6647" s="1" t="str">
        <f>HYPERLINK("https://www.catalog.slsa.sa.gov.au/xrecord=b2059836")</f>
        <v>https://www.catalog.slsa.sa.gov.au/xrecord=b2059836</v>
      </c>
      <c r="D6647" t="s">
        <v>16831</v>
      </c>
      <c r="E6647" t="s">
        <v>22862</v>
      </c>
      <c r="F6647">
        <v>1953</v>
      </c>
      <c r="G6647" t="s">
        <v>22709</v>
      </c>
      <c r="H6647" t="s">
        <v>22863</v>
      </c>
      <c r="J6647" t="s">
        <v>22864</v>
      </c>
      <c r="K6647" s="2" t="str">
        <f>HYPERLINK("http://collections.slsa.sa.gov.au/mpcimg/13000/B12823.htm")</f>
        <v>http://collections.slsa.sa.gov.au/mpcimg/13000/B12823.htm</v>
      </c>
    </row>
    <row r="6648" spans="1:11" x14ac:dyDescent="0.25">
      <c r="A6648" t="s">
        <v>22865</v>
      </c>
      <c r="B6648" s="1" t="str">
        <f>HYPERLINK("https://www.catalog.slsa.sa.gov.au/record=b2060498")</f>
        <v>https://www.catalog.slsa.sa.gov.au/record=b2060498</v>
      </c>
      <c r="C6648" s="1" t="str">
        <f>HYPERLINK("https://www.catalog.slsa.sa.gov.au/xrecord=b2060498")</f>
        <v>https://www.catalog.slsa.sa.gov.au/xrecord=b2060498</v>
      </c>
      <c r="D6648" t="s">
        <v>16831</v>
      </c>
      <c r="E6648" t="s">
        <v>5365</v>
      </c>
      <c r="F6648">
        <v>1953</v>
      </c>
      <c r="G6648" t="s">
        <v>16674</v>
      </c>
      <c r="H6648" t="s">
        <v>22866</v>
      </c>
      <c r="J6648" t="s">
        <v>22867</v>
      </c>
      <c r="K6648" s="2" t="str">
        <f>HYPERLINK("http://collections.slsa.sa.gov.au/mpcimg/12750/B12685.htm")</f>
        <v>http://collections.slsa.sa.gov.au/mpcimg/12750/B12685.htm</v>
      </c>
    </row>
    <row r="6649" spans="1:11" x14ac:dyDescent="0.25">
      <c r="A6649" t="s">
        <v>22868</v>
      </c>
      <c r="B6649" s="1" t="str">
        <f>HYPERLINK("https://www.catalog.slsa.sa.gov.au/record=b2060527")</f>
        <v>https://www.catalog.slsa.sa.gov.au/record=b2060527</v>
      </c>
      <c r="C6649" s="1" t="str">
        <f>HYPERLINK("https://www.catalog.slsa.sa.gov.au/xrecord=b2060527")</f>
        <v>https://www.catalog.slsa.sa.gov.au/xrecord=b2060527</v>
      </c>
      <c r="D6649" t="s">
        <v>16831</v>
      </c>
      <c r="E6649" t="s">
        <v>5365</v>
      </c>
      <c r="F6649">
        <v>1953</v>
      </c>
      <c r="G6649" t="s">
        <v>22869</v>
      </c>
      <c r="H6649" t="s">
        <v>22870</v>
      </c>
      <c r="J6649" t="s">
        <v>22871</v>
      </c>
      <c r="K6649" s="2" t="str">
        <f>HYPERLINK("http://collections.slsa.sa.gov.au/mpcimg/12750/B12679.htm")</f>
        <v>http://collections.slsa.sa.gov.au/mpcimg/12750/B12679.htm</v>
      </c>
    </row>
    <row r="6650" spans="1:11" x14ac:dyDescent="0.25">
      <c r="A6650" t="s">
        <v>22872</v>
      </c>
      <c r="B6650" s="1" t="str">
        <f>HYPERLINK("https://www.catalog.slsa.sa.gov.au/record=b2060777")</f>
        <v>https://www.catalog.slsa.sa.gov.au/record=b2060777</v>
      </c>
      <c r="C6650" s="1" t="str">
        <f>HYPERLINK("https://www.catalog.slsa.sa.gov.au/xrecord=b2060777")</f>
        <v>https://www.catalog.slsa.sa.gov.au/xrecord=b2060777</v>
      </c>
      <c r="D6650" t="s">
        <v>16831</v>
      </c>
      <c r="E6650" t="s">
        <v>20100</v>
      </c>
      <c r="F6650">
        <v>1953</v>
      </c>
      <c r="G6650" t="s">
        <v>22873</v>
      </c>
      <c r="H6650" t="s">
        <v>22874</v>
      </c>
      <c r="J6650" t="s">
        <v>22875</v>
      </c>
      <c r="K6650" s="2" t="str">
        <f>HYPERLINK("http://collections.slsa.sa.gov.au/mpcimg/12750/B12674.htm")</f>
        <v>http://collections.slsa.sa.gov.au/mpcimg/12750/B12674.htm</v>
      </c>
    </row>
    <row r="6651" spans="1:11" x14ac:dyDescent="0.25">
      <c r="A6651" t="s">
        <v>22876</v>
      </c>
      <c r="B6651" s="1" t="str">
        <f>HYPERLINK("https://www.catalog.slsa.sa.gov.au/record=b2060788")</f>
        <v>https://www.catalog.slsa.sa.gov.au/record=b2060788</v>
      </c>
      <c r="C6651" s="1" t="str">
        <f>HYPERLINK("https://www.catalog.slsa.sa.gov.au/xrecord=b2060788")</f>
        <v>https://www.catalog.slsa.sa.gov.au/xrecord=b2060788</v>
      </c>
      <c r="D6651" t="s">
        <v>16831</v>
      </c>
      <c r="E6651" t="s">
        <v>20100</v>
      </c>
      <c r="F6651">
        <v>1953</v>
      </c>
      <c r="G6651" t="s">
        <v>22709</v>
      </c>
      <c r="H6651" t="s">
        <v>22877</v>
      </c>
      <c r="J6651" t="s">
        <v>22878</v>
      </c>
      <c r="K6651" s="2" t="str">
        <f>HYPERLINK("http://collections.slsa.sa.gov.au/mpcimg/13000/B12852.htm")</f>
        <v>http://collections.slsa.sa.gov.au/mpcimg/13000/B12852.htm</v>
      </c>
    </row>
    <row r="6652" spans="1:11" x14ac:dyDescent="0.25">
      <c r="A6652" t="s">
        <v>22879</v>
      </c>
      <c r="B6652" s="1" t="str">
        <f>HYPERLINK("https://www.catalog.slsa.sa.gov.au/record=b2060845")</f>
        <v>https://www.catalog.slsa.sa.gov.au/record=b2060845</v>
      </c>
      <c r="C6652" s="1" t="str">
        <f>HYPERLINK("https://www.catalog.slsa.sa.gov.au/xrecord=b2060845")</f>
        <v>https://www.catalog.slsa.sa.gov.au/xrecord=b2060845</v>
      </c>
      <c r="D6652" t="s">
        <v>16831</v>
      </c>
      <c r="E6652" t="s">
        <v>22880</v>
      </c>
      <c r="F6652">
        <v>1953</v>
      </c>
      <c r="G6652" t="s">
        <v>16674</v>
      </c>
      <c r="H6652" t="s">
        <v>22881</v>
      </c>
      <c r="J6652" t="s">
        <v>21109</v>
      </c>
      <c r="K6652" s="2" t="str">
        <f>HYPERLINK("http://collections.slsa.sa.gov.au/mpcimg/12750/B12554.htm")</f>
        <v>http://collections.slsa.sa.gov.au/mpcimg/12750/B12554.htm</v>
      </c>
    </row>
    <row r="6653" spans="1:11" x14ac:dyDescent="0.25">
      <c r="A6653" t="s">
        <v>22882</v>
      </c>
      <c r="B6653" s="1" t="str">
        <f>HYPERLINK("https://www.catalog.slsa.sa.gov.au/record=b2060868")</f>
        <v>https://www.catalog.slsa.sa.gov.au/record=b2060868</v>
      </c>
      <c r="C6653" s="1" t="str">
        <f>HYPERLINK("https://www.catalog.slsa.sa.gov.au/xrecord=b2060868")</f>
        <v>https://www.catalog.slsa.sa.gov.au/xrecord=b2060868</v>
      </c>
      <c r="D6653" t="s">
        <v>16831</v>
      </c>
      <c r="E6653" t="s">
        <v>21111</v>
      </c>
      <c r="F6653">
        <v>1953</v>
      </c>
      <c r="G6653" t="s">
        <v>22709</v>
      </c>
      <c r="H6653" t="s">
        <v>22883</v>
      </c>
      <c r="J6653" t="s">
        <v>21113</v>
      </c>
      <c r="K6653" s="2" t="str">
        <f>HYPERLINK("http://collections.slsa.sa.gov.au/mpcimg/13000/B12822.htm")</f>
        <v>http://collections.slsa.sa.gov.au/mpcimg/13000/B12822.htm</v>
      </c>
    </row>
    <row r="6654" spans="1:11" x14ac:dyDescent="0.25">
      <c r="A6654" t="s">
        <v>22884</v>
      </c>
      <c r="B6654" s="1" t="str">
        <f>HYPERLINK("https://www.catalog.slsa.sa.gov.au/record=b2060880")</f>
        <v>https://www.catalog.slsa.sa.gov.au/record=b2060880</v>
      </c>
      <c r="C6654" s="1" t="str">
        <f>HYPERLINK("https://www.catalog.slsa.sa.gov.au/xrecord=b2060880")</f>
        <v>https://www.catalog.slsa.sa.gov.au/xrecord=b2060880</v>
      </c>
      <c r="D6654" t="s">
        <v>16831</v>
      </c>
      <c r="E6654" t="s">
        <v>16827</v>
      </c>
      <c r="F6654">
        <v>1953</v>
      </c>
      <c r="G6654" t="s">
        <v>22709</v>
      </c>
      <c r="H6654" t="s">
        <v>22885</v>
      </c>
      <c r="J6654" t="s">
        <v>22886</v>
      </c>
      <c r="K6654" s="2" t="str">
        <f>HYPERLINK("http://collections.slsa.sa.gov.au/mpcimg/13000/B12821.htm")</f>
        <v>http://collections.slsa.sa.gov.au/mpcimg/13000/B12821.htm</v>
      </c>
    </row>
    <row r="6655" spans="1:11" x14ac:dyDescent="0.25">
      <c r="A6655" t="s">
        <v>22887</v>
      </c>
      <c r="B6655" s="1" t="str">
        <f>HYPERLINK("https://www.catalog.slsa.sa.gov.au/record=b2061062")</f>
        <v>https://www.catalog.slsa.sa.gov.au/record=b2061062</v>
      </c>
      <c r="C6655" s="1" t="str">
        <f>HYPERLINK("https://www.catalog.slsa.sa.gov.au/xrecord=b2061062")</f>
        <v>https://www.catalog.slsa.sa.gov.au/xrecord=b2061062</v>
      </c>
      <c r="D6655" t="s">
        <v>16831</v>
      </c>
      <c r="E6655" t="s">
        <v>21118</v>
      </c>
      <c r="F6655">
        <v>1953</v>
      </c>
      <c r="G6655" t="s">
        <v>21182</v>
      </c>
      <c r="H6655" t="s">
        <v>22888</v>
      </c>
      <c r="J6655" t="s">
        <v>22889</v>
      </c>
      <c r="K6655" s="2" t="str">
        <f>HYPERLINK("http://collections.slsa.sa.gov.au/mpcimg/12750/B12558.htm")</f>
        <v>http://collections.slsa.sa.gov.au/mpcimg/12750/B12558.htm</v>
      </c>
    </row>
    <row r="6656" spans="1:11" x14ac:dyDescent="0.25">
      <c r="A6656" t="s">
        <v>22890</v>
      </c>
      <c r="B6656" s="1" t="str">
        <f>HYPERLINK("https://www.catalog.slsa.sa.gov.au/record=b2061076")</f>
        <v>https://www.catalog.slsa.sa.gov.au/record=b2061076</v>
      </c>
      <c r="C6656" s="1" t="str">
        <f>HYPERLINK("https://www.catalog.slsa.sa.gov.au/xrecord=b2061076")</f>
        <v>https://www.catalog.slsa.sa.gov.au/xrecord=b2061076</v>
      </c>
      <c r="D6656" t="s">
        <v>16831</v>
      </c>
      <c r="E6656" t="s">
        <v>21118</v>
      </c>
      <c r="F6656">
        <v>1953</v>
      </c>
      <c r="G6656" t="s">
        <v>21182</v>
      </c>
      <c r="H6656" t="s">
        <v>22891</v>
      </c>
      <c r="J6656" t="s">
        <v>22892</v>
      </c>
      <c r="K6656" s="2" t="str">
        <f>HYPERLINK("http://collections.slsa.sa.gov.au/mpcimg/12750/B12561.htm")</f>
        <v>http://collections.slsa.sa.gov.au/mpcimg/12750/B12561.htm</v>
      </c>
    </row>
    <row r="6657" spans="1:11" x14ac:dyDescent="0.25">
      <c r="A6657" t="s">
        <v>22893</v>
      </c>
      <c r="B6657" s="1" t="str">
        <f>HYPERLINK("https://www.catalog.slsa.sa.gov.au/record=b2061116")</f>
        <v>https://www.catalog.slsa.sa.gov.au/record=b2061116</v>
      </c>
      <c r="C6657" s="1" t="str">
        <f>HYPERLINK("https://www.catalog.slsa.sa.gov.au/xrecord=b2061116")</f>
        <v>https://www.catalog.slsa.sa.gov.au/xrecord=b2061116</v>
      </c>
      <c r="D6657" t="s">
        <v>16831</v>
      </c>
      <c r="E6657" t="s">
        <v>21125</v>
      </c>
      <c r="F6657">
        <v>1953</v>
      </c>
      <c r="G6657" t="s">
        <v>21182</v>
      </c>
      <c r="H6657" t="s">
        <v>22894</v>
      </c>
      <c r="J6657" t="s">
        <v>21135</v>
      </c>
      <c r="K6657" s="2" t="str">
        <f>HYPERLINK("http://collections.slsa.sa.gov.au/mpcimg/12750/B12560.htm")</f>
        <v>http://collections.slsa.sa.gov.au/mpcimg/12750/B12560.htm</v>
      </c>
    </row>
    <row r="6658" spans="1:11" x14ac:dyDescent="0.25">
      <c r="A6658" t="s">
        <v>22895</v>
      </c>
      <c r="B6658" s="1" t="str">
        <f>HYPERLINK("https://www.catalog.slsa.sa.gov.au/record=b2061178")</f>
        <v>https://www.catalog.slsa.sa.gov.au/record=b2061178</v>
      </c>
      <c r="C6658" s="1" t="str">
        <f>HYPERLINK("https://www.catalog.slsa.sa.gov.au/xrecord=b2061178")</f>
        <v>https://www.catalog.slsa.sa.gov.au/xrecord=b2061178</v>
      </c>
      <c r="D6658" t="s">
        <v>16831</v>
      </c>
      <c r="E6658" t="s">
        <v>21118</v>
      </c>
      <c r="F6658">
        <v>1953</v>
      </c>
      <c r="G6658" t="s">
        <v>16674</v>
      </c>
      <c r="H6658" t="s">
        <v>22896</v>
      </c>
      <c r="J6658" t="s">
        <v>22897</v>
      </c>
      <c r="K6658" s="2" t="str">
        <f>HYPERLINK("http://collections.slsa.sa.gov.au/mpcimg/12750/B12522.htm")</f>
        <v>http://collections.slsa.sa.gov.au/mpcimg/12750/B12522.htm</v>
      </c>
    </row>
    <row r="6659" spans="1:11" x14ac:dyDescent="0.25">
      <c r="A6659" t="s">
        <v>22898</v>
      </c>
      <c r="B6659" s="1" t="str">
        <f>HYPERLINK("https://www.catalog.slsa.sa.gov.au/record=b2061298")</f>
        <v>https://www.catalog.slsa.sa.gov.au/record=b2061298</v>
      </c>
      <c r="C6659" s="1" t="str">
        <f>HYPERLINK("https://www.catalog.slsa.sa.gov.au/xrecord=b2061298")</f>
        <v>https://www.catalog.slsa.sa.gov.au/xrecord=b2061298</v>
      </c>
      <c r="D6659" t="s">
        <v>16831</v>
      </c>
      <c r="E6659" t="s">
        <v>21099</v>
      </c>
      <c r="F6659">
        <v>1953</v>
      </c>
      <c r="G6659" t="s">
        <v>22709</v>
      </c>
      <c r="H6659" t="s">
        <v>22899</v>
      </c>
      <c r="J6659" t="s">
        <v>22900</v>
      </c>
      <c r="K6659" s="2" t="str">
        <f>HYPERLINK("http://collections.slsa.sa.gov.au/mpcimg/13000/B12815.htm")</f>
        <v>http://collections.slsa.sa.gov.au/mpcimg/13000/B12815.htm</v>
      </c>
    </row>
    <row r="6660" spans="1:11" x14ac:dyDescent="0.25">
      <c r="A6660" t="s">
        <v>22901</v>
      </c>
      <c r="B6660" s="1" t="str">
        <f>HYPERLINK("https://www.catalog.slsa.sa.gov.au/record=b2061352")</f>
        <v>https://www.catalog.slsa.sa.gov.au/record=b2061352</v>
      </c>
      <c r="C6660" s="1" t="str">
        <f>HYPERLINK("https://www.catalog.slsa.sa.gov.au/xrecord=b2061352")</f>
        <v>https://www.catalog.slsa.sa.gov.au/xrecord=b2061352</v>
      </c>
      <c r="D6660" t="s">
        <v>16831</v>
      </c>
      <c r="E6660" t="s">
        <v>22902</v>
      </c>
      <c r="F6660">
        <v>1953</v>
      </c>
      <c r="G6660" t="s">
        <v>22709</v>
      </c>
      <c r="H6660" t="s">
        <v>22903</v>
      </c>
      <c r="J6660" t="s">
        <v>21154</v>
      </c>
      <c r="K6660" s="2" t="str">
        <f>HYPERLINK("http://collections.slsa.sa.gov.au/mpcimg/13000/B12856.htm")</f>
        <v>http://collections.slsa.sa.gov.au/mpcimg/13000/B12856.htm</v>
      </c>
    </row>
    <row r="6661" spans="1:11" x14ac:dyDescent="0.25">
      <c r="A6661" t="s">
        <v>22904</v>
      </c>
      <c r="B6661" s="1" t="str">
        <f>HYPERLINK("https://www.catalog.slsa.sa.gov.au/record=b2061364")</f>
        <v>https://www.catalog.slsa.sa.gov.au/record=b2061364</v>
      </c>
      <c r="C6661" s="1" t="str">
        <f>HYPERLINK("https://www.catalog.slsa.sa.gov.au/xrecord=b2061364")</f>
        <v>https://www.catalog.slsa.sa.gov.au/xrecord=b2061364</v>
      </c>
      <c r="D6661" t="s">
        <v>16831</v>
      </c>
      <c r="E6661" t="s">
        <v>22905</v>
      </c>
      <c r="F6661">
        <v>1953</v>
      </c>
      <c r="G6661" t="s">
        <v>22709</v>
      </c>
      <c r="H6661" t="s">
        <v>22906</v>
      </c>
      <c r="J6661" t="s">
        <v>22907</v>
      </c>
      <c r="K6661" s="2" t="str">
        <f>HYPERLINK("http://collections.slsa.sa.gov.au/mpcimg/13000/B12858.htm")</f>
        <v>http://collections.slsa.sa.gov.au/mpcimg/13000/B12858.htm</v>
      </c>
    </row>
    <row r="6662" spans="1:11" x14ac:dyDescent="0.25">
      <c r="A6662" t="s">
        <v>22908</v>
      </c>
      <c r="B6662" s="1" t="str">
        <f>HYPERLINK("https://www.catalog.slsa.sa.gov.au/record=b2061365")</f>
        <v>https://www.catalog.slsa.sa.gov.au/record=b2061365</v>
      </c>
      <c r="C6662" s="1" t="str">
        <f>HYPERLINK("https://www.catalog.slsa.sa.gov.au/xrecord=b2061365")</f>
        <v>https://www.catalog.slsa.sa.gov.au/xrecord=b2061365</v>
      </c>
      <c r="D6662" t="s">
        <v>16831</v>
      </c>
      <c r="E6662" t="s">
        <v>22905</v>
      </c>
      <c r="F6662">
        <v>1953</v>
      </c>
      <c r="G6662" t="s">
        <v>22709</v>
      </c>
      <c r="H6662" t="s">
        <v>22909</v>
      </c>
      <c r="J6662" t="s">
        <v>22907</v>
      </c>
      <c r="K6662" s="2" t="str">
        <f>HYPERLINK("http://collections.slsa.sa.gov.au/mpcimg/13000/B12859.htm")</f>
        <v>http://collections.slsa.sa.gov.au/mpcimg/13000/B12859.htm</v>
      </c>
    </row>
    <row r="6663" spans="1:11" x14ac:dyDescent="0.25">
      <c r="A6663" t="s">
        <v>22910</v>
      </c>
      <c r="B6663" s="1" t="str">
        <f>HYPERLINK("https://www.catalog.slsa.sa.gov.au/record=b2061416")</f>
        <v>https://www.catalog.slsa.sa.gov.au/record=b2061416</v>
      </c>
      <c r="C6663" s="1" t="str">
        <f>HYPERLINK("https://www.catalog.slsa.sa.gov.au/xrecord=b2061416")</f>
        <v>https://www.catalog.slsa.sa.gov.au/xrecord=b2061416</v>
      </c>
      <c r="D6663" t="s">
        <v>16831</v>
      </c>
      <c r="E6663" t="s">
        <v>21099</v>
      </c>
      <c r="F6663">
        <v>1953</v>
      </c>
      <c r="G6663" t="s">
        <v>22873</v>
      </c>
      <c r="H6663" t="s">
        <v>22911</v>
      </c>
      <c r="J6663" t="s">
        <v>21172</v>
      </c>
      <c r="K6663" s="2" t="str">
        <f>HYPERLINK("http://collections.slsa.sa.gov.au/mpcimg/12750/B12694.htm")</f>
        <v>http://collections.slsa.sa.gov.au/mpcimg/12750/B12694.htm</v>
      </c>
    </row>
    <row r="6664" spans="1:11" x14ac:dyDescent="0.25">
      <c r="A6664" t="s">
        <v>22912</v>
      </c>
      <c r="B6664" s="1" t="str">
        <f>HYPERLINK("https://www.catalog.slsa.sa.gov.au/record=b2061477")</f>
        <v>https://www.catalog.slsa.sa.gov.au/record=b2061477</v>
      </c>
      <c r="C6664" s="1" t="str">
        <f>HYPERLINK("https://www.catalog.slsa.sa.gov.au/xrecord=b2061477")</f>
        <v>https://www.catalog.slsa.sa.gov.au/xrecord=b2061477</v>
      </c>
      <c r="D6664" t="s">
        <v>16831</v>
      </c>
      <c r="E6664" t="s">
        <v>21178</v>
      </c>
      <c r="F6664">
        <v>1953</v>
      </c>
      <c r="G6664" t="s">
        <v>21182</v>
      </c>
      <c r="H6664" t="s">
        <v>22913</v>
      </c>
      <c r="J6664" t="s">
        <v>22914</v>
      </c>
      <c r="K6664" s="2" t="str">
        <f>HYPERLINK("http://collections.slsa.sa.gov.au/mpcimg/12750/B12555.htm")</f>
        <v>http://collections.slsa.sa.gov.au/mpcimg/12750/B12555.htm</v>
      </c>
    </row>
    <row r="6665" spans="1:11" x14ac:dyDescent="0.25">
      <c r="A6665" t="s">
        <v>22915</v>
      </c>
      <c r="B6665" s="1" t="str">
        <f>HYPERLINK("https://www.catalog.slsa.sa.gov.au/record=b2062140")</f>
        <v>https://www.catalog.slsa.sa.gov.au/record=b2062140</v>
      </c>
      <c r="C6665" s="1" t="str">
        <f>HYPERLINK("https://www.catalog.slsa.sa.gov.au/xrecord=b2062140")</f>
        <v>https://www.catalog.slsa.sa.gov.au/xrecord=b2062140</v>
      </c>
      <c r="D6665" t="s">
        <v>16831</v>
      </c>
      <c r="E6665" t="s">
        <v>10268</v>
      </c>
      <c r="F6665">
        <v>1953</v>
      </c>
      <c r="G6665" t="s">
        <v>22726</v>
      </c>
      <c r="H6665" t="s">
        <v>22916</v>
      </c>
      <c r="J6665" t="s">
        <v>22917</v>
      </c>
      <c r="K6665" s="2" t="str">
        <f>HYPERLINK("http://collections.slsa.sa.gov.au/mpcimg/12750/B12687.htm")</f>
        <v>http://collections.slsa.sa.gov.au/mpcimg/12750/B12687.htm</v>
      </c>
    </row>
    <row r="6666" spans="1:11" x14ac:dyDescent="0.25">
      <c r="A6666" t="s">
        <v>22918</v>
      </c>
      <c r="B6666" s="1" t="str">
        <f>HYPERLINK("https://www.catalog.slsa.sa.gov.au/record=b2062161")</f>
        <v>https://www.catalog.slsa.sa.gov.au/record=b2062161</v>
      </c>
      <c r="C6666" s="1" t="str">
        <f>HYPERLINK("https://www.catalog.slsa.sa.gov.au/xrecord=b2062161")</f>
        <v>https://www.catalog.slsa.sa.gov.au/xrecord=b2062161</v>
      </c>
      <c r="D6666" t="s">
        <v>16831</v>
      </c>
      <c r="E6666" t="s">
        <v>10268</v>
      </c>
      <c r="F6666">
        <v>1953</v>
      </c>
      <c r="G6666" t="s">
        <v>22709</v>
      </c>
      <c r="H6666" t="s">
        <v>22919</v>
      </c>
      <c r="J6666" t="s">
        <v>22920</v>
      </c>
      <c r="K6666" s="2" t="str">
        <f>HYPERLINK("http://collections.slsa.sa.gov.au/mpcimg/13000/B12818.htm")</f>
        <v>http://collections.slsa.sa.gov.au/mpcimg/13000/B12818.htm</v>
      </c>
    </row>
    <row r="6667" spans="1:11" x14ac:dyDescent="0.25">
      <c r="A6667" t="s">
        <v>22921</v>
      </c>
      <c r="B6667" s="1" t="str">
        <f>HYPERLINK("https://www.catalog.slsa.sa.gov.au/record=b2062195")</f>
        <v>https://www.catalog.slsa.sa.gov.au/record=b2062195</v>
      </c>
      <c r="C6667" s="1" t="str">
        <f>HYPERLINK("https://www.catalog.slsa.sa.gov.au/xrecord=b2062195")</f>
        <v>https://www.catalog.slsa.sa.gov.au/xrecord=b2062195</v>
      </c>
      <c r="D6667" t="s">
        <v>16831</v>
      </c>
      <c r="E6667" t="s">
        <v>22922</v>
      </c>
      <c r="F6667">
        <v>1953</v>
      </c>
      <c r="G6667" t="s">
        <v>22726</v>
      </c>
      <c r="H6667" t="s">
        <v>22923</v>
      </c>
      <c r="J6667" t="s">
        <v>22924</v>
      </c>
      <c r="K6667" s="2" t="str">
        <f>HYPERLINK("http://collections.slsa.sa.gov.au/mpcimg/12750/B12688.htm")</f>
        <v>http://collections.slsa.sa.gov.au/mpcimg/12750/B12688.htm</v>
      </c>
    </row>
    <row r="6668" spans="1:11" x14ac:dyDescent="0.25">
      <c r="A6668" t="s">
        <v>22925</v>
      </c>
      <c r="B6668" s="1" t="str">
        <f>HYPERLINK("https://www.catalog.slsa.sa.gov.au/record=b2062200")</f>
        <v>https://www.catalog.slsa.sa.gov.au/record=b2062200</v>
      </c>
      <c r="C6668" s="1" t="str">
        <f>HYPERLINK("https://www.catalog.slsa.sa.gov.au/xrecord=b2062200")</f>
        <v>https://www.catalog.slsa.sa.gov.au/xrecord=b2062200</v>
      </c>
      <c r="D6668" t="s">
        <v>16831</v>
      </c>
      <c r="E6668" t="s">
        <v>10268</v>
      </c>
      <c r="F6668">
        <v>1953</v>
      </c>
      <c r="G6668" t="s">
        <v>22709</v>
      </c>
      <c r="H6668" t="s">
        <v>22926</v>
      </c>
      <c r="J6668" t="s">
        <v>22927</v>
      </c>
      <c r="K6668" s="2" t="str">
        <f>HYPERLINK("http://collections.slsa.sa.gov.au/mpcimg/13000/B12826.htm")</f>
        <v>http://collections.slsa.sa.gov.au/mpcimg/13000/B12826.htm</v>
      </c>
    </row>
    <row r="6669" spans="1:11" x14ac:dyDescent="0.25">
      <c r="A6669" t="s">
        <v>22928</v>
      </c>
      <c r="B6669" s="1" t="str">
        <f>HYPERLINK("https://www.catalog.slsa.sa.gov.au/record=b2062203")</f>
        <v>https://www.catalog.slsa.sa.gov.au/record=b2062203</v>
      </c>
      <c r="C6669" s="1" t="str">
        <f>HYPERLINK("https://www.catalog.slsa.sa.gov.au/xrecord=b2062203")</f>
        <v>https://www.catalog.slsa.sa.gov.au/xrecord=b2062203</v>
      </c>
      <c r="D6669" t="s">
        <v>16831</v>
      </c>
      <c r="E6669" t="s">
        <v>10268</v>
      </c>
      <c r="F6669">
        <v>1953</v>
      </c>
      <c r="G6669" t="s">
        <v>22726</v>
      </c>
      <c r="H6669" t="s">
        <v>22929</v>
      </c>
      <c r="J6669" t="s">
        <v>22927</v>
      </c>
      <c r="K6669" s="2" t="str">
        <f>HYPERLINK("http://collections.slsa.sa.gov.au/mpcimg/12750/B12689.htm")</f>
        <v>http://collections.slsa.sa.gov.au/mpcimg/12750/B12689.htm</v>
      </c>
    </row>
    <row r="6670" spans="1:11" x14ac:dyDescent="0.25">
      <c r="A6670" t="s">
        <v>22930</v>
      </c>
      <c r="B6670" s="1" t="str">
        <f>HYPERLINK("https://www.catalog.slsa.sa.gov.au/record=b2062240")</f>
        <v>https://www.catalog.slsa.sa.gov.au/record=b2062240</v>
      </c>
      <c r="C6670" s="1" t="str">
        <f>HYPERLINK("https://www.catalog.slsa.sa.gov.au/xrecord=b2062240")</f>
        <v>https://www.catalog.slsa.sa.gov.au/xrecord=b2062240</v>
      </c>
      <c r="D6670" t="s">
        <v>16831</v>
      </c>
      <c r="E6670" t="s">
        <v>10268</v>
      </c>
      <c r="F6670">
        <v>1953</v>
      </c>
      <c r="G6670" t="s">
        <v>22726</v>
      </c>
      <c r="H6670" t="s">
        <v>22931</v>
      </c>
      <c r="J6670" t="s">
        <v>22932</v>
      </c>
      <c r="K6670" s="2" t="str">
        <f>HYPERLINK("http://collections.slsa.sa.gov.au/mpcimg/12750/B12690.htm")</f>
        <v>http://collections.slsa.sa.gov.au/mpcimg/12750/B12690.htm</v>
      </c>
    </row>
    <row r="6671" spans="1:11" x14ac:dyDescent="0.25">
      <c r="A6671" t="s">
        <v>22933</v>
      </c>
      <c r="B6671" s="1" t="str">
        <f>HYPERLINK("https://www.catalog.slsa.sa.gov.au/record=b2062259")</f>
        <v>https://www.catalog.slsa.sa.gov.au/record=b2062259</v>
      </c>
      <c r="C6671" s="1" t="str">
        <f>HYPERLINK("https://www.catalog.slsa.sa.gov.au/xrecord=b2062259")</f>
        <v>https://www.catalog.slsa.sa.gov.au/xrecord=b2062259</v>
      </c>
      <c r="D6671" t="s">
        <v>16831</v>
      </c>
      <c r="E6671" t="s">
        <v>10268</v>
      </c>
      <c r="F6671">
        <v>1953</v>
      </c>
      <c r="G6671" t="s">
        <v>22709</v>
      </c>
      <c r="H6671" t="s">
        <v>22934</v>
      </c>
      <c r="J6671" t="s">
        <v>22935</v>
      </c>
      <c r="K6671" s="2" t="str">
        <f>HYPERLINK("http://collections.slsa.sa.gov.au/mpcimg/13000/B12817.htm")</f>
        <v>http://collections.slsa.sa.gov.au/mpcimg/13000/B12817.htm</v>
      </c>
    </row>
    <row r="6672" spans="1:11" x14ac:dyDescent="0.25">
      <c r="A6672" t="s">
        <v>22936</v>
      </c>
      <c r="B6672" s="1" t="str">
        <f>HYPERLINK("https://www.catalog.slsa.sa.gov.au/record=b2062291")</f>
        <v>https://www.catalog.slsa.sa.gov.au/record=b2062291</v>
      </c>
      <c r="C6672" s="1" t="str">
        <f>HYPERLINK("https://www.catalog.slsa.sa.gov.au/xrecord=b2062291")</f>
        <v>https://www.catalog.slsa.sa.gov.au/xrecord=b2062291</v>
      </c>
      <c r="D6672" t="s">
        <v>16831</v>
      </c>
      <c r="E6672" t="s">
        <v>10268</v>
      </c>
      <c r="F6672">
        <v>1953</v>
      </c>
      <c r="G6672" t="s">
        <v>22709</v>
      </c>
      <c r="H6672" t="s">
        <v>22937</v>
      </c>
      <c r="J6672" t="s">
        <v>22938</v>
      </c>
      <c r="K6672" s="2" t="str">
        <f>HYPERLINK("http://collections.slsa.sa.gov.au/mpcimg/13000/B12819.htm")</f>
        <v>http://collections.slsa.sa.gov.au/mpcimg/13000/B12819.htm</v>
      </c>
    </row>
    <row r="6673" spans="1:11" x14ac:dyDescent="0.25">
      <c r="A6673" t="s">
        <v>22939</v>
      </c>
      <c r="B6673" s="1" t="str">
        <f>HYPERLINK("https://www.catalog.slsa.sa.gov.au/record=b2062294")</f>
        <v>https://www.catalog.slsa.sa.gov.au/record=b2062294</v>
      </c>
      <c r="C6673" s="1" t="str">
        <f>HYPERLINK("https://www.catalog.slsa.sa.gov.au/xrecord=b2062294")</f>
        <v>https://www.catalog.slsa.sa.gov.au/xrecord=b2062294</v>
      </c>
      <c r="D6673" t="s">
        <v>16831</v>
      </c>
      <c r="E6673" t="s">
        <v>10268</v>
      </c>
      <c r="F6673">
        <v>1953</v>
      </c>
      <c r="G6673" t="s">
        <v>22709</v>
      </c>
      <c r="H6673" t="s">
        <v>22940</v>
      </c>
      <c r="J6673" t="s">
        <v>22941</v>
      </c>
      <c r="K6673" s="2" t="str">
        <f>HYPERLINK("http://collections.slsa.sa.gov.au/mpcimg/13000/B12825.htm")</f>
        <v>http://collections.slsa.sa.gov.au/mpcimg/13000/B12825.htm</v>
      </c>
    </row>
    <row r="6674" spans="1:11" x14ac:dyDescent="0.25">
      <c r="A6674" t="s">
        <v>22942</v>
      </c>
      <c r="B6674" s="1" t="str">
        <f>HYPERLINK("https://www.catalog.slsa.sa.gov.au/record=b2062306")</f>
        <v>https://www.catalog.slsa.sa.gov.au/record=b2062306</v>
      </c>
      <c r="C6674" s="1" t="str">
        <f>HYPERLINK("https://www.catalog.slsa.sa.gov.au/xrecord=b2062306")</f>
        <v>https://www.catalog.slsa.sa.gov.au/xrecord=b2062306</v>
      </c>
      <c r="D6674" t="s">
        <v>16831</v>
      </c>
      <c r="E6674" t="s">
        <v>10268</v>
      </c>
      <c r="F6674">
        <v>1953</v>
      </c>
      <c r="G6674" t="s">
        <v>22709</v>
      </c>
      <c r="H6674" t="s">
        <v>22943</v>
      </c>
      <c r="J6674" t="s">
        <v>22944</v>
      </c>
      <c r="K6674" s="2" t="str">
        <f>HYPERLINK("http://collections.slsa.sa.gov.au/mpcimg/13000/B12820.htm")</f>
        <v>http://collections.slsa.sa.gov.au/mpcimg/13000/B12820.htm</v>
      </c>
    </row>
    <row r="6675" spans="1:11" x14ac:dyDescent="0.25">
      <c r="A6675" t="s">
        <v>22945</v>
      </c>
      <c r="B6675" s="1" t="str">
        <f>HYPERLINK("https://www.catalog.slsa.sa.gov.au/record=b2062318")</f>
        <v>https://www.catalog.slsa.sa.gov.au/record=b2062318</v>
      </c>
      <c r="C6675" s="1" t="str">
        <f>HYPERLINK("https://www.catalog.slsa.sa.gov.au/xrecord=b2062318")</f>
        <v>https://www.catalog.slsa.sa.gov.au/xrecord=b2062318</v>
      </c>
      <c r="D6675" t="s">
        <v>16831</v>
      </c>
      <c r="E6675" t="s">
        <v>10268</v>
      </c>
      <c r="F6675">
        <v>1953</v>
      </c>
      <c r="G6675" t="s">
        <v>22726</v>
      </c>
      <c r="H6675" t="s">
        <v>22946</v>
      </c>
      <c r="J6675" t="s">
        <v>21227</v>
      </c>
      <c r="K6675" s="2" t="str">
        <f>HYPERLINK("http://collections.slsa.sa.gov.au/mpcimg/12750/B12695.htm")</f>
        <v>http://collections.slsa.sa.gov.au/mpcimg/12750/B12695.htm</v>
      </c>
    </row>
    <row r="6676" spans="1:11" x14ac:dyDescent="0.25">
      <c r="A6676" t="s">
        <v>22947</v>
      </c>
      <c r="B6676" s="1" t="str">
        <f>HYPERLINK("https://www.catalog.slsa.sa.gov.au/record=b2062617")</f>
        <v>https://www.catalog.slsa.sa.gov.au/record=b2062617</v>
      </c>
      <c r="C6676" s="1" t="str">
        <f>HYPERLINK("https://www.catalog.slsa.sa.gov.au/xrecord=b2062617")</f>
        <v>https://www.catalog.slsa.sa.gov.au/xrecord=b2062617</v>
      </c>
      <c r="D6676" t="s">
        <v>16831</v>
      </c>
      <c r="E6676" t="s">
        <v>16771</v>
      </c>
      <c r="F6676">
        <v>1953</v>
      </c>
      <c r="G6676" t="s">
        <v>21182</v>
      </c>
      <c r="H6676" t="s">
        <v>22948</v>
      </c>
      <c r="J6676" t="s">
        <v>16834</v>
      </c>
      <c r="K6676" s="2" t="str">
        <f>HYPERLINK("http://collections.slsa.sa.gov.au/mpcimg/12750/B12551.htm")</f>
        <v>http://collections.slsa.sa.gov.au/mpcimg/12750/B12551.htm</v>
      </c>
    </row>
    <row r="6677" spans="1:11" x14ac:dyDescent="0.25">
      <c r="A6677" t="s">
        <v>22949</v>
      </c>
      <c r="B6677" s="1" t="str">
        <f>HYPERLINK("https://www.catalog.slsa.sa.gov.au/record=b2062618")</f>
        <v>https://www.catalog.slsa.sa.gov.au/record=b2062618</v>
      </c>
      <c r="C6677" s="1" t="str">
        <f>HYPERLINK("https://www.catalog.slsa.sa.gov.au/xrecord=b2062618")</f>
        <v>https://www.catalog.slsa.sa.gov.au/xrecord=b2062618</v>
      </c>
      <c r="D6677" t="s">
        <v>16831</v>
      </c>
      <c r="E6677" t="s">
        <v>16771</v>
      </c>
      <c r="F6677">
        <v>1953</v>
      </c>
      <c r="G6677" t="s">
        <v>21182</v>
      </c>
      <c r="H6677" t="s">
        <v>22950</v>
      </c>
      <c r="J6677" t="s">
        <v>16834</v>
      </c>
      <c r="K6677" s="2" t="str">
        <f>HYPERLINK("http://collections.slsa.sa.gov.au/mpcimg/12750/B12552.htm")</f>
        <v>http://collections.slsa.sa.gov.au/mpcimg/12750/B12552.htm</v>
      </c>
    </row>
    <row r="6678" spans="1:11" x14ac:dyDescent="0.25">
      <c r="A6678" t="s">
        <v>22951</v>
      </c>
      <c r="B6678" s="1" t="str">
        <f>HYPERLINK("https://www.catalog.slsa.sa.gov.au/record=b2062619")</f>
        <v>https://www.catalog.slsa.sa.gov.au/record=b2062619</v>
      </c>
      <c r="C6678" s="1" t="str">
        <f>HYPERLINK("https://www.catalog.slsa.sa.gov.au/xrecord=b2062619")</f>
        <v>https://www.catalog.slsa.sa.gov.au/xrecord=b2062619</v>
      </c>
      <c r="D6678" t="s">
        <v>16831</v>
      </c>
      <c r="E6678" t="s">
        <v>16771</v>
      </c>
      <c r="F6678">
        <v>1953</v>
      </c>
      <c r="G6678" t="s">
        <v>21182</v>
      </c>
      <c r="H6678" t="s">
        <v>22952</v>
      </c>
      <c r="J6678" t="s">
        <v>16834</v>
      </c>
      <c r="K6678" s="2" t="str">
        <f>HYPERLINK("http://collections.slsa.sa.gov.au/mpcimg/12750/B12553.htm")</f>
        <v>http://collections.slsa.sa.gov.au/mpcimg/12750/B12553.htm</v>
      </c>
    </row>
    <row r="6679" spans="1:11" x14ac:dyDescent="0.25">
      <c r="A6679" t="s">
        <v>22953</v>
      </c>
      <c r="B6679" s="1" t="str">
        <f>HYPERLINK("https://www.catalog.slsa.sa.gov.au/record=b2062800")</f>
        <v>https://www.catalog.slsa.sa.gov.au/record=b2062800</v>
      </c>
      <c r="C6679" s="1" t="str">
        <f>HYPERLINK("https://www.catalog.slsa.sa.gov.au/xrecord=b2062800")</f>
        <v>https://www.catalog.slsa.sa.gov.au/xrecord=b2062800</v>
      </c>
      <c r="D6679" t="s">
        <v>16831</v>
      </c>
      <c r="E6679" t="s">
        <v>22954</v>
      </c>
      <c r="F6679">
        <v>1953</v>
      </c>
      <c r="G6679" t="s">
        <v>22709</v>
      </c>
      <c r="H6679" t="s">
        <v>22955</v>
      </c>
      <c r="J6679" t="s">
        <v>22956</v>
      </c>
      <c r="K6679" s="2" t="str">
        <f>HYPERLINK("http://collections.slsa.sa.gov.au/mpcimg/13000/B12814.htm")</f>
        <v>http://collections.slsa.sa.gov.au/mpcimg/13000/B12814.htm</v>
      </c>
    </row>
    <row r="6680" spans="1:11" x14ac:dyDescent="0.25">
      <c r="A6680" t="s">
        <v>22957</v>
      </c>
      <c r="B6680" s="1" t="str">
        <f>HYPERLINK("https://www.catalog.slsa.sa.gov.au/record=b2062845")</f>
        <v>https://www.catalog.slsa.sa.gov.au/record=b2062845</v>
      </c>
      <c r="C6680" s="1" t="str">
        <f>HYPERLINK("https://www.catalog.slsa.sa.gov.au/xrecord=b2062845")</f>
        <v>https://www.catalog.slsa.sa.gov.au/xrecord=b2062845</v>
      </c>
      <c r="D6680" t="s">
        <v>16831</v>
      </c>
      <c r="E6680" t="s">
        <v>16771</v>
      </c>
      <c r="F6680">
        <v>1953</v>
      </c>
      <c r="G6680" t="s">
        <v>22726</v>
      </c>
      <c r="H6680" t="s">
        <v>22958</v>
      </c>
      <c r="J6680" t="s">
        <v>21272</v>
      </c>
      <c r="K6680" s="2" t="str">
        <f>HYPERLINK("http://collections.slsa.sa.gov.au/mpcimg/12750/B12686.htm")</f>
        <v>http://collections.slsa.sa.gov.au/mpcimg/12750/B12686.htm</v>
      </c>
    </row>
    <row r="6681" spans="1:11" x14ac:dyDescent="0.25">
      <c r="A6681" t="s">
        <v>22959</v>
      </c>
      <c r="B6681" s="1" t="str">
        <f>HYPERLINK("https://www.catalog.slsa.sa.gov.au/record=b2062846")</f>
        <v>https://www.catalog.slsa.sa.gov.au/record=b2062846</v>
      </c>
      <c r="C6681" s="1" t="str">
        <f>HYPERLINK("https://www.catalog.slsa.sa.gov.au/xrecord=b2062846")</f>
        <v>https://www.catalog.slsa.sa.gov.au/xrecord=b2062846</v>
      </c>
      <c r="D6681" t="s">
        <v>16831</v>
      </c>
      <c r="E6681" t="s">
        <v>16771</v>
      </c>
      <c r="F6681">
        <v>1953</v>
      </c>
      <c r="G6681" t="s">
        <v>22873</v>
      </c>
      <c r="H6681" t="s">
        <v>22960</v>
      </c>
      <c r="J6681" t="s">
        <v>21272</v>
      </c>
      <c r="K6681" s="2" t="str">
        <f>HYPERLINK("http://collections.slsa.sa.gov.au/mpcimg/12750/B12691.htm")</f>
        <v>http://collections.slsa.sa.gov.au/mpcimg/12750/B12691.htm</v>
      </c>
    </row>
    <row r="6682" spans="1:11" x14ac:dyDescent="0.25">
      <c r="A6682" t="s">
        <v>22961</v>
      </c>
      <c r="B6682" s="1" t="str">
        <f>HYPERLINK("https://www.catalog.slsa.sa.gov.au/record=b2063375")</f>
        <v>https://www.catalog.slsa.sa.gov.au/record=b2063375</v>
      </c>
      <c r="C6682" s="1" t="str">
        <f>HYPERLINK("https://www.catalog.slsa.sa.gov.au/xrecord=b2063375")</f>
        <v>https://www.catalog.slsa.sa.gov.au/xrecord=b2063375</v>
      </c>
      <c r="D6682" t="s">
        <v>16831</v>
      </c>
      <c r="E6682" t="s">
        <v>22962</v>
      </c>
      <c r="F6682">
        <v>1953</v>
      </c>
      <c r="G6682" t="s">
        <v>22709</v>
      </c>
      <c r="H6682" t="s">
        <v>22963</v>
      </c>
      <c r="J6682" t="s">
        <v>22964</v>
      </c>
      <c r="K6682" s="2" t="str">
        <f>HYPERLINK("http://collections.slsa.sa.gov.au/mpcimg/13000/B12831.htm")</f>
        <v>http://collections.slsa.sa.gov.au/mpcimg/13000/B12831.htm</v>
      </c>
    </row>
    <row r="6683" spans="1:11" x14ac:dyDescent="0.25">
      <c r="A6683" t="s">
        <v>22965</v>
      </c>
      <c r="B6683" s="1" t="str">
        <f>HYPERLINK("https://www.catalog.slsa.sa.gov.au/record=b2063446")</f>
        <v>https://www.catalog.slsa.sa.gov.au/record=b2063446</v>
      </c>
      <c r="C6683" s="1" t="str">
        <f>HYPERLINK("https://www.catalog.slsa.sa.gov.au/xrecord=b2063446")</f>
        <v>https://www.catalog.slsa.sa.gov.au/xrecord=b2063446</v>
      </c>
      <c r="D6683" t="s">
        <v>16831</v>
      </c>
      <c r="E6683" t="s">
        <v>17735</v>
      </c>
      <c r="F6683">
        <v>1953</v>
      </c>
      <c r="G6683" t="s">
        <v>22709</v>
      </c>
      <c r="H6683" t="s">
        <v>22966</v>
      </c>
      <c r="J6683" t="s">
        <v>22967</v>
      </c>
      <c r="K6683" s="2" t="str">
        <f>HYPERLINK("http://collections.slsa.sa.gov.au/mpcimg/13000/B12829.htm")</f>
        <v>http://collections.slsa.sa.gov.au/mpcimg/13000/B12829.htm</v>
      </c>
    </row>
    <row r="6684" spans="1:11" x14ac:dyDescent="0.25">
      <c r="A6684" t="s">
        <v>22968</v>
      </c>
      <c r="B6684" s="1" t="str">
        <f>HYPERLINK("https://www.catalog.slsa.sa.gov.au/record=b2063460")</f>
        <v>https://www.catalog.slsa.sa.gov.au/record=b2063460</v>
      </c>
      <c r="C6684" s="1" t="str">
        <f>HYPERLINK("https://www.catalog.slsa.sa.gov.au/xrecord=b2063460")</f>
        <v>https://www.catalog.slsa.sa.gov.au/xrecord=b2063460</v>
      </c>
      <c r="D6684" t="s">
        <v>16831</v>
      </c>
      <c r="E6684" t="s">
        <v>17735</v>
      </c>
      <c r="F6684">
        <v>1953</v>
      </c>
      <c r="G6684" t="s">
        <v>22709</v>
      </c>
      <c r="H6684" t="s">
        <v>22969</v>
      </c>
      <c r="J6684" t="s">
        <v>22970</v>
      </c>
      <c r="K6684" s="2" t="str">
        <f>HYPERLINK("http://collections.slsa.sa.gov.au/mpcimg/13000/B12832.htm")</f>
        <v>http://collections.slsa.sa.gov.au/mpcimg/13000/B12832.htm</v>
      </c>
    </row>
    <row r="6685" spans="1:11" x14ac:dyDescent="0.25">
      <c r="A6685" t="s">
        <v>22971</v>
      </c>
      <c r="B6685" s="1" t="str">
        <f>HYPERLINK("https://www.catalog.slsa.sa.gov.au/record=b2063569")</f>
        <v>https://www.catalog.slsa.sa.gov.au/record=b2063569</v>
      </c>
      <c r="C6685" s="1" t="str">
        <f>HYPERLINK("https://www.catalog.slsa.sa.gov.au/xrecord=b2063569")</f>
        <v>https://www.catalog.slsa.sa.gov.au/xrecord=b2063569</v>
      </c>
      <c r="D6685" t="s">
        <v>16831</v>
      </c>
      <c r="E6685" t="s">
        <v>17735</v>
      </c>
      <c r="F6685">
        <v>1953</v>
      </c>
      <c r="G6685" t="s">
        <v>16674</v>
      </c>
      <c r="H6685" t="s">
        <v>22972</v>
      </c>
      <c r="J6685" t="s">
        <v>22973</v>
      </c>
      <c r="K6685" s="2" t="str">
        <f>HYPERLINK("http://collections.slsa.sa.gov.au/mpcimg/12750/B12518.htm")</f>
        <v>http://collections.slsa.sa.gov.au/mpcimg/12750/B12518.htm</v>
      </c>
    </row>
    <row r="6686" spans="1:11" x14ac:dyDescent="0.25">
      <c r="A6686" t="s">
        <v>22974</v>
      </c>
      <c r="B6686" s="1" t="str">
        <f>HYPERLINK("https://www.catalog.slsa.sa.gov.au/record=b2063651")</f>
        <v>https://www.catalog.slsa.sa.gov.au/record=b2063651</v>
      </c>
      <c r="C6686" s="1" t="str">
        <f>HYPERLINK("https://www.catalog.slsa.sa.gov.au/xrecord=b2063651")</f>
        <v>https://www.catalog.slsa.sa.gov.au/xrecord=b2063651</v>
      </c>
      <c r="D6686" t="s">
        <v>16831</v>
      </c>
      <c r="E6686" t="s">
        <v>17735</v>
      </c>
      <c r="F6686">
        <v>1953</v>
      </c>
      <c r="G6686" t="s">
        <v>22709</v>
      </c>
      <c r="H6686" t="s">
        <v>22975</v>
      </c>
      <c r="J6686" t="s">
        <v>22976</v>
      </c>
      <c r="K6686" s="2" t="str">
        <f>HYPERLINK("http://collections.slsa.sa.gov.au/mpcimg/13000/B12828.htm")</f>
        <v>http://collections.slsa.sa.gov.au/mpcimg/13000/B12828.htm</v>
      </c>
    </row>
    <row r="6687" spans="1:11" x14ac:dyDescent="0.25">
      <c r="A6687" t="s">
        <v>22977</v>
      </c>
      <c r="B6687" s="1" t="str">
        <f>HYPERLINK("https://www.catalog.slsa.sa.gov.au/record=b2063677")</f>
        <v>https://www.catalog.slsa.sa.gov.au/record=b2063677</v>
      </c>
      <c r="C6687" s="1" t="str">
        <f>HYPERLINK("https://www.catalog.slsa.sa.gov.au/xrecord=b2063677")</f>
        <v>https://www.catalog.slsa.sa.gov.au/xrecord=b2063677</v>
      </c>
      <c r="D6687" t="s">
        <v>16831</v>
      </c>
      <c r="E6687" t="s">
        <v>22978</v>
      </c>
      <c r="F6687">
        <v>1953</v>
      </c>
      <c r="G6687" t="s">
        <v>22709</v>
      </c>
      <c r="H6687" t="s">
        <v>22979</v>
      </c>
      <c r="J6687" t="s">
        <v>22980</v>
      </c>
      <c r="K6687" s="2" t="str">
        <f>HYPERLINK("http://collections.slsa.sa.gov.au/mpcimg/13000/B12830.htm")</f>
        <v>http://collections.slsa.sa.gov.au/mpcimg/13000/B12830.htm</v>
      </c>
    </row>
    <row r="6688" spans="1:11" x14ac:dyDescent="0.25">
      <c r="A6688" t="s">
        <v>22981</v>
      </c>
      <c r="B6688" s="1" t="str">
        <f>HYPERLINK("https://www.catalog.slsa.sa.gov.au/record=b2067936")</f>
        <v>https://www.catalog.slsa.sa.gov.au/record=b2067936</v>
      </c>
      <c r="C6688" s="1" t="str">
        <f>HYPERLINK("https://www.catalog.slsa.sa.gov.au/xrecord=b2067936")</f>
        <v>https://www.catalog.slsa.sa.gov.au/xrecord=b2067936</v>
      </c>
      <c r="D6688" t="s">
        <v>16831</v>
      </c>
      <c r="E6688" t="s">
        <v>22982</v>
      </c>
      <c r="F6688">
        <v>1953</v>
      </c>
      <c r="G6688" t="s">
        <v>22983</v>
      </c>
      <c r="H6688" t="s">
        <v>22984</v>
      </c>
      <c r="J6688" t="s">
        <v>22985</v>
      </c>
      <c r="K6688" s="2" t="str">
        <f>HYPERLINK("http://collections.slsa.sa.gov.au/mpcimg/13000/B12873.htm")</f>
        <v>http://collections.slsa.sa.gov.au/mpcimg/13000/B12873.htm</v>
      </c>
    </row>
    <row r="6689" spans="1:11" x14ac:dyDescent="0.25">
      <c r="A6689" t="s">
        <v>22986</v>
      </c>
      <c r="B6689" s="1" t="str">
        <f>HYPERLINK("https://www.catalog.slsa.sa.gov.au/record=b2067937")</f>
        <v>https://www.catalog.slsa.sa.gov.au/record=b2067937</v>
      </c>
      <c r="C6689" s="1" t="str">
        <f>HYPERLINK("https://www.catalog.slsa.sa.gov.au/xrecord=b2067937")</f>
        <v>https://www.catalog.slsa.sa.gov.au/xrecord=b2067937</v>
      </c>
      <c r="D6689" t="s">
        <v>16831</v>
      </c>
      <c r="E6689" t="s">
        <v>22982</v>
      </c>
      <c r="F6689">
        <v>1953</v>
      </c>
      <c r="G6689" t="s">
        <v>22983</v>
      </c>
      <c r="H6689" t="s">
        <v>22987</v>
      </c>
      <c r="J6689" t="s">
        <v>22985</v>
      </c>
      <c r="K6689" s="2" t="str">
        <f>HYPERLINK("http://collections.slsa.sa.gov.au/mpcimg/13000/B12874.htm")</f>
        <v>http://collections.slsa.sa.gov.au/mpcimg/13000/B12874.htm</v>
      </c>
    </row>
    <row r="6690" spans="1:11" x14ac:dyDescent="0.25">
      <c r="A6690" t="s">
        <v>22988</v>
      </c>
      <c r="B6690" s="1" t="str">
        <f>HYPERLINK("https://www.catalog.slsa.sa.gov.au/record=b2072547")</f>
        <v>https://www.catalog.slsa.sa.gov.au/record=b2072547</v>
      </c>
      <c r="C6690" s="1" t="str">
        <f>HYPERLINK("https://www.catalog.slsa.sa.gov.au/xrecord=b2072547")</f>
        <v>https://www.catalog.slsa.sa.gov.au/xrecord=b2072547</v>
      </c>
      <c r="E6690" t="s">
        <v>15215</v>
      </c>
      <c r="F6690">
        <v>1953</v>
      </c>
      <c r="G6690" t="s">
        <v>15216</v>
      </c>
      <c r="H6690" t="s">
        <v>22989</v>
      </c>
      <c r="I6690" t="s">
        <v>22990</v>
      </c>
      <c r="J6690" t="s">
        <v>15219</v>
      </c>
      <c r="K6690" s="2" t="str">
        <f>HYPERLINK("http://collections.slsa.sa.gov.au/mpcimg/46750/B46528_42.htm")</f>
        <v>http://collections.slsa.sa.gov.au/mpcimg/46750/B46528_42.htm</v>
      </c>
    </row>
    <row r="6691" spans="1:11" x14ac:dyDescent="0.25">
      <c r="A6691" t="s">
        <v>22991</v>
      </c>
      <c r="B6691" s="1" t="str">
        <f>HYPERLINK("https://www.catalog.slsa.sa.gov.au/record=b2074008")</f>
        <v>https://www.catalog.slsa.sa.gov.au/record=b2074008</v>
      </c>
      <c r="C6691" s="1" t="str">
        <f>HYPERLINK("https://www.catalog.slsa.sa.gov.au/xrecord=b2074008")</f>
        <v>https://www.catalog.slsa.sa.gov.au/xrecord=b2074008</v>
      </c>
      <c r="D6691" t="s">
        <v>15257</v>
      </c>
      <c r="E6691" t="s">
        <v>22992</v>
      </c>
      <c r="F6691">
        <v>1953</v>
      </c>
      <c r="G6691" t="s">
        <v>22993</v>
      </c>
      <c r="H6691" t="s">
        <v>22994</v>
      </c>
      <c r="I6691" t="s">
        <v>15261</v>
      </c>
      <c r="J6691" t="s">
        <v>15262</v>
      </c>
      <c r="K6691" s="2" t="str">
        <f>HYPERLINK("http://collections.slsa.sa.gov.au/mpcimg/63500/B63472.htm")</f>
        <v>http://collections.slsa.sa.gov.au/mpcimg/63500/B63472.htm</v>
      </c>
    </row>
    <row r="6692" spans="1:11" x14ac:dyDescent="0.25">
      <c r="A6692" t="s">
        <v>22995</v>
      </c>
      <c r="B6692" s="1" t="str">
        <f>HYPERLINK("https://www.catalog.slsa.sa.gov.au/record=b2075488")</f>
        <v>https://www.catalog.slsa.sa.gov.au/record=b2075488</v>
      </c>
      <c r="C6692" s="1" t="str">
        <f>HYPERLINK("https://www.catalog.slsa.sa.gov.au/xrecord=b2075488")</f>
        <v>https://www.catalog.slsa.sa.gov.au/xrecord=b2075488</v>
      </c>
      <c r="E6692" t="s">
        <v>22996</v>
      </c>
      <c r="F6692">
        <v>1953</v>
      </c>
      <c r="G6692" t="s">
        <v>15269</v>
      </c>
      <c r="H6692" t="s">
        <v>22997</v>
      </c>
      <c r="I6692" t="s">
        <v>22998</v>
      </c>
      <c r="J6692" t="s">
        <v>2510</v>
      </c>
      <c r="K6692" s="2" t="str">
        <f>HYPERLINK("http://collections.slsa.sa.gov.au/mpcimg/62500/B62278.htm")</f>
        <v>http://collections.slsa.sa.gov.au/mpcimg/62500/B62278.htm</v>
      </c>
    </row>
    <row r="6693" spans="1:11" x14ac:dyDescent="0.25">
      <c r="A6693" t="s">
        <v>22999</v>
      </c>
      <c r="B6693" s="1" t="str">
        <f>HYPERLINK("https://www.catalog.slsa.sa.gov.au/record=b2075494")</f>
        <v>https://www.catalog.slsa.sa.gov.au/record=b2075494</v>
      </c>
      <c r="C6693" s="1" t="str">
        <f>HYPERLINK("https://www.catalog.slsa.sa.gov.au/xrecord=b2075494")</f>
        <v>https://www.catalog.slsa.sa.gov.au/xrecord=b2075494</v>
      </c>
      <c r="E6693" t="s">
        <v>23000</v>
      </c>
      <c r="F6693">
        <v>1953</v>
      </c>
      <c r="G6693" t="s">
        <v>15269</v>
      </c>
      <c r="H6693" t="s">
        <v>23001</v>
      </c>
      <c r="I6693" t="s">
        <v>23002</v>
      </c>
      <c r="J6693" t="s">
        <v>1809</v>
      </c>
      <c r="K6693" s="2" t="str">
        <f>HYPERLINK("http://collections.slsa.sa.gov.au/mpcimg/62500/B62284.htm")</f>
        <v>http://collections.slsa.sa.gov.au/mpcimg/62500/B62284.htm</v>
      </c>
    </row>
    <row r="6694" spans="1:11" x14ac:dyDescent="0.25">
      <c r="A6694" t="s">
        <v>23003</v>
      </c>
      <c r="B6694" s="1" t="str">
        <f>HYPERLINK("https://www.catalog.slsa.sa.gov.au/record=b2075495")</f>
        <v>https://www.catalog.slsa.sa.gov.au/record=b2075495</v>
      </c>
      <c r="C6694" s="1" t="str">
        <f>HYPERLINK("https://www.catalog.slsa.sa.gov.au/xrecord=b2075495")</f>
        <v>https://www.catalog.slsa.sa.gov.au/xrecord=b2075495</v>
      </c>
      <c r="D6694" t="s">
        <v>15280</v>
      </c>
      <c r="E6694" t="s">
        <v>23004</v>
      </c>
      <c r="F6694">
        <v>1953</v>
      </c>
      <c r="G6694" t="s">
        <v>15269</v>
      </c>
      <c r="H6694" t="s">
        <v>23005</v>
      </c>
      <c r="I6694" t="s">
        <v>22998</v>
      </c>
      <c r="J6694" t="s">
        <v>1809</v>
      </c>
      <c r="K6694" s="2" t="str">
        <f>HYPERLINK("http://collections.slsa.sa.gov.au/mpcimg/62500/B62285.htm")</f>
        <v>http://collections.slsa.sa.gov.au/mpcimg/62500/B62285.htm</v>
      </c>
    </row>
    <row r="6695" spans="1:11" x14ac:dyDescent="0.25">
      <c r="A6695" t="s">
        <v>23006</v>
      </c>
      <c r="B6695" s="1" t="str">
        <f>HYPERLINK("https://www.catalog.slsa.sa.gov.au/record=b2076630")</f>
        <v>https://www.catalog.slsa.sa.gov.au/record=b2076630</v>
      </c>
      <c r="C6695" s="1" t="str">
        <f>HYPERLINK("https://www.catalog.slsa.sa.gov.au/xrecord=b2076630")</f>
        <v>https://www.catalog.slsa.sa.gov.au/xrecord=b2076630</v>
      </c>
      <c r="D6695" t="s">
        <v>2939</v>
      </c>
      <c r="E6695" t="s">
        <v>23007</v>
      </c>
      <c r="F6695">
        <v>1953</v>
      </c>
      <c r="G6695" t="s">
        <v>23008</v>
      </c>
      <c r="H6695" t="s">
        <v>23009</v>
      </c>
      <c r="I6695" t="s">
        <v>23010</v>
      </c>
      <c r="J6695" t="s">
        <v>23011</v>
      </c>
      <c r="K6695" s="2" t="str">
        <f>HYPERLINK("http://collections.slsa.sa.gov.au/mpcimg/54750/B54576.htm")</f>
        <v>http://collections.slsa.sa.gov.au/mpcimg/54750/B54576.htm</v>
      </c>
    </row>
    <row r="6696" spans="1:11" x14ac:dyDescent="0.25">
      <c r="A6696" t="s">
        <v>23012</v>
      </c>
      <c r="B6696" s="1" t="str">
        <f>HYPERLINK("https://www.catalog.slsa.sa.gov.au/record=b2076631")</f>
        <v>https://www.catalog.slsa.sa.gov.au/record=b2076631</v>
      </c>
      <c r="C6696" s="1" t="str">
        <f>HYPERLINK("https://www.catalog.slsa.sa.gov.au/xrecord=b2076631")</f>
        <v>https://www.catalog.slsa.sa.gov.au/xrecord=b2076631</v>
      </c>
      <c r="D6696" t="s">
        <v>2939</v>
      </c>
      <c r="E6696" t="s">
        <v>23013</v>
      </c>
      <c r="F6696">
        <v>1953</v>
      </c>
      <c r="G6696" t="s">
        <v>23014</v>
      </c>
      <c r="H6696" t="s">
        <v>23015</v>
      </c>
      <c r="J6696" t="s">
        <v>23016</v>
      </c>
      <c r="K6696" s="2" t="str">
        <f>HYPERLINK("http://collections.slsa.sa.gov.au/mpcimg/54750/B54577.htm")</f>
        <v>http://collections.slsa.sa.gov.au/mpcimg/54750/B54577.htm</v>
      </c>
    </row>
    <row r="6697" spans="1:11" x14ac:dyDescent="0.25">
      <c r="A6697" t="s">
        <v>23017</v>
      </c>
      <c r="B6697" s="1" t="str">
        <f>HYPERLINK("https://www.catalog.slsa.sa.gov.au/record=b2076632")</f>
        <v>https://www.catalog.slsa.sa.gov.au/record=b2076632</v>
      </c>
      <c r="C6697" s="1" t="str">
        <f>HYPERLINK("https://www.catalog.slsa.sa.gov.au/xrecord=b2076632")</f>
        <v>https://www.catalog.slsa.sa.gov.au/xrecord=b2076632</v>
      </c>
      <c r="D6697" t="s">
        <v>2939</v>
      </c>
      <c r="E6697" t="s">
        <v>23018</v>
      </c>
      <c r="F6697">
        <v>1953</v>
      </c>
      <c r="G6697" t="s">
        <v>23019</v>
      </c>
      <c r="H6697" t="s">
        <v>23020</v>
      </c>
      <c r="J6697" t="s">
        <v>23016</v>
      </c>
      <c r="K6697" s="2" t="str">
        <f>HYPERLINK("http://collections.slsa.sa.gov.au/mpcimg/54750/B54578.htm")</f>
        <v>http://collections.slsa.sa.gov.au/mpcimg/54750/B54578.htm</v>
      </c>
    </row>
    <row r="6698" spans="1:11" x14ac:dyDescent="0.25">
      <c r="A6698" t="s">
        <v>23021</v>
      </c>
      <c r="B6698" s="1" t="str">
        <f>HYPERLINK("https://www.catalog.slsa.sa.gov.au/record=b2076633")</f>
        <v>https://www.catalog.slsa.sa.gov.au/record=b2076633</v>
      </c>
      <c r="C6698" s="1" t="str">
        <f>HYPERLINK("https://www.catalog.slsa.sa.gov.au/xrecord=b2076633")</f>
        <v>https://www.catalog.slsa.sa.gov.au/xrecord=b2076633</v>
      </c>
      <c r="D6698" t="s">
        <v>2939</v>
      </c>
      <c r="E6698" t="s">
        <v>23022</v>
      </c>
      <c r="F6698">
        <v>1953</v>
      </c>
      <c r="G6698" t="s">
        <v>23023</v>
      </c>
      <c r="H6698" t="s">
        <v>23024</v>
      </c>
      <c r="I6698" t="s">
        <v>23025</v>
      </c>
      <c r="J6698" t="s">
        <v>15803</v>
      </c>
      <c r="K6698" s="2" t="str">
        <f>HYPERLINK("http://collections.slsa.sa.gov.au/mpcimg/54750/B54579.htm")</f>
        <v>http://collections.slsa.sa.gov.au/mpcimg/54750/B54579.htm</v>
      </c>
    </row>
    <row r="6699" spans="1:11" x14ac:dyDescent="0.25">
      <c r="A6699" t="s">
        <v>23026</v>
      </c>
      <c r="B6699" s="1" t="str">
        <f>HYPERLINK("https://www.catalog.slsa.sa.gov.au/record=b2076634")</f>
        <v>https://www.catalog.slsa.sa.gov.au/record=b2076634</v>
      </c>
      <c r="C6699" s="1" t="str">
        <f>HYPERLINK("https://www.catalog.slsa.sa.gov.au/xrecord=b2076634")</f>
        <v>https://www.catalog.slsa.sa.gov.au/xrecord=b2076634</v>
      </c>
      <c r="E6699" t="s">
        <v>23022</v>
      </c>
      <c r="F6699">
        <v>1953</v>
      </c>
      <c r="G6699" t="s">
        <v>23027</v>
      </c>
      <c r="H6699" t="s">
        <v>23028</v>
      </c>
      <c r="I6699" t="s">
        <v>23029</v>
      </c>
      <c r="J6699" t="s">
        <v>15803</v>
      </c>
      <c r="K6699" s="2" t="str">
        <f>HYPERLINK("http://collections.slsa.sa.gov.au/mpcimg/54750/B54580.htm")</f>
        <v>http://collections.slsa.sa.gov.au/mpcimg/54750/B54580.htm</v>
      </c>
    </row>
    <row r="6700" spans="1:11" x14ac:dyDescent="0.25">
      <c r="A6700" t="s">
        <v>23030</v>
      </c>
      <c r="B6700" s="1" t="str">
        <f>HYPERLINK("https://www.catalog.slsa.sa.gov.au/record=b2076635")</f>
        <v>https://www.catalog.slsa.sa.gov.au/record=b2076635</v>
      </c>
      <c r="C6700" s="1" t="str">
        <f>HYPERLINK("https://www.catalog.slsa.sa.gov.au/xrecord=b2076635")</f>
        <v>https://www.catalog.slsa.sa.gov.au/xrecord=b2076635</v>
      </c>
      <c r="E6700" t="s">
        <v>23031</v>
      </c>
      <c r="F6700">
        <v>1953</v>
      </c>
      <c r="G6700" t="s">
        <v>23032</v>
      </c>
      <c r="H6700" t="s">
        <v>23033</v>
      </c>
      <c r="I6700" t="s">
        <v>23029</v>
      </c>
      <c r="J6700" t="s">
        <v>15803</v>
      </c>
      <c r="K6700" s="2" t="str">
        <f>HYPERLINK("http://collections.slsa.sa.gov.au/mpcimg/54750/B54581.htm")</f>
        <v>http://collections.slsa.sa.gov.au/mpcimg/54750/B54581.htm</v>
      </c>
    </row>
    <row r="6701" spans="1:11" x14ac:dyDescent="0.25">
      <c r="A6701" t="s">
        <v>23034</v>
      </c>
      <c r="B6701" s="1" t="str">
        <f>HYPERLINK("https://www.catalog.slsa.sa.gov.au/record=b2076638")</f>
        <v>https://www.catalog.slsa.sa.gov.au/record=b2076638</v>
      </c>
      <c r="C6701" s="1" t="str">
        <f>HYPERLINK("https://www.catalog.slsa.sa.gov.au/xrecord=b2076638")</f>
        <v>https://www.catalog.slsa.sa.gov.au/xrecord=b2076638</v>
      </c>
      <c r="D6701" t="s">
        <v>2939</v>
      </c>
      <c r="E6701" t="s">
        <v>23035</v>
      </c>
      <c r="F6701">
        <v>1953</v>
      </c>
      <c r="G6701" t="s">
        <v>23036</v>
      </c>
      <c r="H6701" t="s">
        <v>23037</v>
      </c>
      <c r="I6701" t="s">
        <v>23029</v>
      </c>
      <c r="J6701" t="s">
        <v>15803</v>
      </c>
      <c r="K6701" s="2" t="str">
        <f>HYPERLINK("http://collections.slsa.sa.gov.au/mpcimg/54750/B54584.htm")</f>
        <v>http://collections.slsa.sa.gov.au/mpcimg/54750/B54584.htm</v>
      </c>
    </row>
    <row r="6702" spans="1:11" x14ac:dyDescent="0.25">
      <c r="A6702" t="s">
        <v>23038</v>
      </c>
      <c r="B6702" s="1" t="str">
        <f>HYPERLINK("https://www.catalog.slsa.sa.gov.au/record=b2076639")</f>
        <v>https://www.catalog.slsa.sa.gov.au/record=b2076639</v>
      </c>
      <c r="C6702" s="1" t="str">
        <f>HYPERLINK("https://www.catalog.slsa.sa.gov.au/xrecord=b2076639")</f>
        <v>https://www.catalog.slsa.sa.gov.au/xrecord=b2076639</v>
      </c>
      <c r="E6702" t="s">
        <v>23039</v>
      </c>
      <c r="F6702">
        <v>1953</v>
      </c>
      <c r="G6702" t="s">
        <v>23040</v>
      </c>
      <c r="H6702" t="s">
        <v>23041</v>
      </c>
      <c r="I6702" t="s">
        <v>23029</v>
      </c>
      <c r="J6702" t="s">
        <v>15803</v>
      </c>
      <c r="K6702" s="2" t="str">
        <f>HYPERLINK("http://collections.slsa.sa.gov.au/mpcimg/54750/B54585.htm")</f>
        <v>http://collections.slsa.sa.gov.au/mpcimg/54750/B54585.htm</v>
      </c>
    </row>
    <row r="6703" spans="1:11" x14ac:dyDescent="0.25">
      <c r="A6703" t="s">
        <v>23042</v>
      </c>
      <c r="B6703" s="1" t="str">
        <f>HYPERLINK("https://www.catalog.slsa.sa.gov.au/record=b2076640")</f>
        <v>https://www.catalog.slsa.sa.gov.au/record=b2076640</v>
      </c>
      <c r="C6703" s="1" t="str">
        <f>HYPERLINK("https://www.catalog.slsa.sa.gov.au/xrecord=b2076640")</f>
        <v>https://www.catalog.slsa.sa.gov.au/xrecord=b2076640</v>
      </c>
      <c r="D6703" t="s">
        <v>2939</v>
      </c>
      <c r="E6703" t="s">
        <v>23043</v>
      </c>
      <c r="F6703">
        <v>1953</v>
      </c>
      <c r="G6703" t="s">
        <v>23044</v>
      </c>
      <c r="H6703" t="s">
        <v>23037</v>
      </c>
      <c r="I6703" t="s">
        <v>23029</v>
      </c>
      <c r="J6703" t="s">
        <v>15803</v>
      </c>
      <c r="K6703" s="2" t="str">
        <f>HYPERLINK("http://collections.slsa.sa.gov.au/mpcimg/54750/B54586.htm")</f>
        <v>http://collections.slsa.sa.gov.au/mpcimg/54750/B54586.htm</v>
      </c>
    </row>
    <row r="6704" spans="1:11" x14ac:dyDescent="0.25">
      <c r="A6704" t="s">
        <v>23045</v>
      </c>
      <c r="B6704" s="1" t="str">
        <f>HYPERLINK("https://www.catalog.slsa.sa.gov.au/record=b2076641")</f>
        <v>https://www.catalog.slsa.sa.gov.au/record=b2076641</v>
      </c>
      <c r="C6704" s="1" t="str">
        <f>HYPERLINK("https://www.catalog.slsa.sa.gov.au/xrecord=b2076641")</f>
        <v>https://www.catalog.slsa.sa.gov.au/xrecord=b2076641</v>
      </c>
      <c r="D6704" t="s">
        <v>2939</v>
      </c>
      <c r="E6704" t="s">
        <v>23043</v>
      </c>
      <c r="F6704">
        <v>1953</v>
      </c>
      <c r="G6704" t="s">
        <v>23046</v>
      </c>
      <c r="H6704" t="s">
        <v>23037</v>
      </c>
      <c r="I6704" t="s">
        <v>23029</v>
      </c>
      <c r="J6704" t="s">
        <v>15803</v>
      </c>
      <c r="K6704" s="2" t="str">
        <f>HYPERLINK("http://collections.slsa.sa.gov.au/mpcimg/54750/B54587.htm")</f>
        <v>http://collections.slsa.sa.gov.au/mpcimg/54750/B54587.htm</v>
      </c>
    </row>
    <row r="6705" spans="1:11" x14ac:dyDescent="0.25">
      <c r="A6705" t="s">
        <v>23047</v>
      </c>
      <c r="B6705" s="1" t="str">
        <f>HYPERLINK("https://www.catalog.slsa.sa.gov.au/record=b2076642")</f>
        <v>https://www.catalog.slsa.sa.gov.au/record=b2076642</v>
      </c>
      <c r="C6705" s="1" t="str">
        <f>HYPERLINK("https://www.catalog.slsa.sa.gov.au/xrecord=b2076642")</f>
        <v>https://www.catalog.slsa.sa.gov.au/xrecord=b2076642</v>
      </c>
      <c r="D6705" t="s">
        <v>2939</v>
      </c>
      <c r="E6705" t="s">
        <v>23048</v>
      </c>
      <c r="F6705">
        <v>1953</v>
      </c>
      <c r="G6705" t="s">
        <v>23049</v>
      </c>
      <c r="H6705" t="s">
        <v>23050</v>
      </c>
      <c r="I6705" t="s">
        <v>23029</v>
      </c>
      <c r="J6705" t="s">
        <v>15803</v>
      </c>
      <c r="K6705" s="2" t="str">
        <f>HYPERLINK("http://collections.slsa.sa.gov.au/mpcimg/54750/B54588.htm")</f>
        <v>http://collections.slsa.sa.gov.au/mpcimg/54750/B54588.htm</v>
      </c>
    </row>
    <row r="6706" spans="1:11" x14ac:dyDescent="0.25">
      <c r="A6706" t="s">
        <v>23051</v>
      </c>
      <c r="B6706" s="1" t="str">
        <f>HYPERLINK("https://www.catalog.slsa.sa.gov.au/record=b2076643")</f>
        <v>https://www.catalog.slsa.sa.gov.au/record=b2076643</v>
      </c>
      <c r="C6706" s="1" t="str">
        <f>HYPERLINK("https://www.catalog.slsa.sa.gov.au/xrecord=b2076643")</f>
        <v>https://www.catalog.slsa.sa.gov.au/xrecord=b2076643</v>
      </c>
      <c r="D6706" t="s">
        <v>2939</v>
      </c>
      <c r="E6706" t="s">
        <v>23048</v>
      </c>
      <c r="F6706">
        <v>1953</v>
      </c>
      <c r="G6706" t="s">
        <v>23052</v>
      </c>
      <c r="H6706" t="s">
        <v>23050</v>
      </c>
      <c r="I6706" t="s">
        <v>23029</v>
      </c>
      <c r="J6706" t="s">
        <v>15803</v>
      </c>
      <c r="K6706" s="2" t="str">
        <f>HYPERLINK("http://collections.slsa.sa.gov.au/mpcimg/54750/B54589.htm")</f>
        <v>http://collections.slsa.sa.gov.au/mpcimg/54750/B54589.htm</v>
      </c>
    </row>
    <row r="6707" spans="1:11" x14ac:dyDescent="0.25">
      <c r="A6707" t="s">
        <v>23053</v>
      </c>
      <c r="B6707" s="1" t="str">
        <f>HYPERLINK("https://www.catalog.slsa.sa.gov.au/record=b2076644")</f>
        <v>https://www.catalog.slsa.sa.gov.au/record=b2076644</v>
      </c>
      <c r="C6707" s="1" t="str">
        <f>HYPERLINK("https://www.catalog.slsa.sa.gov.au/xrecord=b2076644")</f>
        <v>https://www.catalog.slsa.sa.gov.au/xrecord=b2076644</v>
      </c>
      <c r="D6707" t="s">
        <v>2939</v>
      </c>
      <c r="E6707" t="s">
        <v>23043</v>
      </c>
      <c r="F6707">
        <v>1953</v>
      </c>
      <c r="G6707" t="s">
        <v>23054</v>
      </c>
      <c r="H6707" t="s">
        <v>23055</v>
      </c>
      <c r="I6707" t="s">
        <v>23029</v>
      </c>
      <c r="J6707" t="s">
        <v>15803</v>
      </c>
      <c r="K6707" s="2" t="str">
        <f>HYPERLINK("http://collections.slsa.sa.gov.au/mpcimg/54750/B54590.htm")</f>
        <v>http://collections.slsa.sa.gov.au/mpcimg/54750/B54590.htm</v>
      </c>
    </row>
    <row r="6708" spans="1:11" x14ac:dyDescent="0.25">
      <c r="A6708" t="s">
        <v>23056</v>
      </c>
      <c r="B6708" s="1" t="str">
        <f>HYPERLINK("https://www.catalog.slsa.sa.gov.au/record=b2076645")</f>
        <v>https://www.catalog.slsa.sa.gov.au/record=b2076645</v>
      </c>
      <c r="C6708" s="1" t="str">
        <f>HYPERLINK("https://www.catalog.slsa.sa.gov.au/xrecord=b2076645")</f>
        <v>https://www.catalog.slsa.sa.gov.au/xrecord=b2076645</v>
      </c>
      <c r="D6708" t="s">
        <v>2939</v>
      </c>
      <c r="E6708" t="s">
        <v>23043</v>
      </c>
      <c r="F6708">
        <v>1953</v>
      </c>
      <c r="G6708" t="s">
        <v>23057</v>
      </c>
      <c r="H6708" t="s">
        <v>23058</v>
      </c>
      <c r="I6708" t="s">
        <v>23029</v>
      </c>
      <c r="J6708" t="s">
        <v>15803</v>
      </c>
      <c r="K6708" s="2" t="str">
        <f>HYPERLINK("http://collections.slsa.sa.gov.au/mpcimg/54750/B54591.htm")</f>
        <v>http://collections.slsa.sa.gov.au/mpcimg/54750/B54591.htm</v>
      </c>
    </row>
    <row r="6709" spans="1:11" x14ac:dyDescent="0.25">
      <c r="A6709" t="s">
        <v>23059</v>
      </c>
      <c r="B6709" s="1" t="str">
        <f>HYPERLINK("https://www.catalog.slsa.sa.gov.au/record=b2076646")</f>
        <v>https://www.catalog.slsa.sa.gov.au/record=b2076646</v>
      </c>
      <c r="C6709" s="1" t="str">
        <f>HYPERLINK("https://www.catalog.slsa.sa.gov.au/xrecord=b2076646")</f>
        <v>https://www.catalog.slsa.sa.gov.au/xrecord=b2076646</v>
      </c>
      <c r="D6709" t="s">
        <v>2939</v>
      </c>
      <c r="E6709" t="s">
        <v>23043</v>
      </c>
      <c r="F6709">
        <v>1953</v>
      </c>
      <c r="G6709" t="s">
        <v>23060</v>
      </c>
      <c r="H6709" t="s">
        <v>23037</v>
      </c>
      <c r="I6709" t="s">
        <v>23029</v>
      </c>
      <c r="J6709" t="s">
        <v>15803</v>
      </c>
      <c r="K6709" s="2" t="str">
        <f>HYPERLINK("http://collections.slsa.sa.gov.au/mpcimg/54750/B54592.htm")</f>
        <v>http://collections.slsa.sa.gov.au/mpcimg/54750/B54592.htm</v>
      </c>
    </row>
    <row r="6710" spans="1:11" x14ac:dyDescent="0.25">
      <c r="A6710" t="s">
        <v>23061</v>
      </c>
      <c r="B6710" s="1" t="str">
        <f>HYPERLINK("https://www.catalog.slsa.sa.gov.au/record=b2076647")</f>
        <v>https://www.catalog.slsa.sa.gov.au/record=b2076647</v>
      </c>
      <c r="C6710" s="1" t="str">
        <f>HYPERLINK("https://www.catalog.slsa.sa.gov.au/xrecord=b2076647")</f>
        <v>https://www.catalog.slsa.sa.gov.au/xrecord=b2076647</v>
      </c>
      <c r="D6710" t="s">
        <v>2939</v>
      </c>
      <c r="E6710" t="s">
        <v>23043</v>
      </c>
      <c r="F6710">
        <v>1953</v>
      </c>
      <c r="G6710" t="s">
        <v>23062</v>
      </c>
      <c r="H6710" t="s">
        <v>23063</v>
      </c>
      <c r="I6710" t="s">
        <v>23029</v>
      </c>
      <c r="J6710" t="s">
        <v>15803</v>
      </c>
      <c r="K6710" s="2" t="str">
        <f>HYPERLINK("http://collections.slsa.sa.gov.au/mpcimg/54750/B54593.htm")</f>
        <v>http://collections.slsa.sa.gov.au/mpcimg/54750/B54593.htm</v>
      </c>
    </row>
    <row r="6711" spans="1:11" x14ac:dyDescent="0.25">
      <c r="A6711" t="s">
        <v>23064</v>
      </c>
      <c r="B6711" s="1" t="str">
        <f>HYPERLINK("https://www.catalog.slsa.sa.gov.au/record=b2076648")</f>
        <v>https://www.catalog.slsa.sa.gov.au/record=b2076648</v>
      </c>
      <c r="C6711" s="1" t="str">
        <f>HYPERLINK("https://www.catalog.slsa.sa.gov.au/xrecord=b2076648")</f>
        <v>https://www.catalog.slsa.sa.gov.au/xrecord=b2076648</v>
      </c>
      <c r="D6711" t="s">
        <v>2939</v>
      </c>
      <c r="E6711" t="s">
        <v>23043</v>
      </c>
      <c r="F6711">
        <v>1953</v>
      </c>
      <c r="G6711" t="s">
        <v>23065</v>
      </c>
      <c r="H6711" t="s">
        <v>23066</v>
      </c>
      <c r="I6711" t="s">
        <v>23029</v>
      </c>
      <c r="J6711" t="s">
        <v>15803</v>
      </c>
      <c r="K6711" s="2" t="str">
        <f>HYPERLINK("http://collections.slsa.sa.gov.au/mpcimg/54750/B54594.htm")</f>
        <v>http://collections.slsa.sa.gov.au/mpcimg/54750/B54594.htm</v>
      </c>
    </row>
    <row r="6712" spans="1:11" x14ac:dyDescent="0.25">
      <c r="A6712" t="s">
        <v>23067</v>
      </c>
      <c r="B6712" s="1" t="str">
        <f>HYPERLINK("https://www.catalog.slsa.sa.gov.au/record=b2076649")</f>
        <v>https://www.catalog.slsa.sa.gov.au/record=b2076649</v>
      </c>
      <c r="C6712" s="1" t="str">
        <f>HYPERLINK("https://www.catalog.slsa.sa.gov.au/xrecord=b2076649")</f>
        <v>https://www.catalog.slsa.sa.gov.au/xrecord=b2076649</v>
      </c>
      <c r="D6712" t="s">
        <v>2939</v>
      </c>
      <c r="E6712" t="s">
        <v>23068</v>
      </c>
      <c r="F6712">
        <v>1953</v>
      </c>
      <c r="G6712" t="s">
        <v>23027</v>
      </c>
      <c r="H6712" t="s">
        <v>23069</v>
      </c>
      <c r="I6712" t="s">
        <v>23025</v>
      </c>
      <c r="J6712" t="s">
        <v>15803</v>
      </c>
      <c r="K6712" s="2" t="str">
        <f>HYPERLINK("http://collections.slsa.sa.gov.au/mpcimg/54750/B54595.htm")</f>
        <v>http://collections.slsa.sa.gov.au/mpcimg/54750/B54595.htm</v>
      </c>
    </row>
    <row r="6713" spans="1:11" x14ac:dyDescent="0.25">
      <c r="A6713" t="s">
        <v>23070</v>
      </c>
      <c r="B6713" s="1" t="str">
        <f>HYPERLINK("https://www.catalog.slsa.sa.gov.au/record=b2076650")</f>
        <v>https://www.catalog.slsa.sa.gov.au/record=b2076650</v>
      </c>
      <c r="C6713" s="1" t="str">
        <f>HYPERLINK("https://www.catalog.slsa.sa.gov.au/xrecord=b2076650")</f>
        <v>https://www.catalog.slsa.sa.gov.au/xrecord=b2076650</v>
      </c>
      <c r="D6713" t="s">
        <v>2939</v>
      </c>
      <c r="E6713" t="s">
        <v>23022</v>
      </c>
      <c r="F6713">
        <v>1953</v>
      </c>
      <c r="G6713" t="s">
        <v>23071</v>
      </c>
      <c r="H6713" t="s">
        <v>23072</v>
      </c>
      <c r="I6713" t="s">
        <v>23025</v>
      </c>
      <c r="J6713" t="s">
        <v>15803</v>
      </c>
      <c r="K6713" s="2" t="str">
        <f>HYPERLINK("http://collections.slsa.sa.gov.au/mpcimg/54750/B54596.htm")</f>
        <v>http://collections.slsa.sa.gov.au/mpcimg/54750/B54596.htm</v>
      </c>
    </row>
    <row r="6714" spans="1:11" x14ac:dyDescent="0.25">
      <c r="A6714" t="s">
        <v>23073</v>
      </c>
      <c r="B6714" s="1" t="str">
        <f>HYPERLINK("https://www.catalog.slsa.sa.gov.au/record=b2076651")</f>
        <v>https://www.catalog.slsa.sa.gov.au/record=b2076651</v>
      </c>
      <c r="C6714" s="1" t="str">
        <f>HYPERLINK("https://www.catalog.slsa.sa.gov.au/xrecord=b2076651")</f>
        <v>https://www.catalog.slsa.sa.gov.au/xrecord=b2076651</v>
      </c>
      <c r="D6714" t="s">
        <v>2939</v>
      </c>
      <c r="E6714" t="s">
        <v>23022</v>
      </c>
      <c r="F6714">
        <v>1953</v>
      </c>
      <c r="G6714" t="s">
        <v>23074</v>
      </c>
      <c r="H6714" t="s">
        <v>23072</v>
      </c>
      <c r="I6714" t="s">
        <v>23025</v>
      </c>
      <c r="J6714" t="s">
        <v>15803</v>
      </c>
      <c r="K6714" s="2" t="str">
        <f>HYPERLINK("http://collections.slsa.sa.gov.au/mpcimg/54750/B54597.htm")</f>
        <v>http://collections.slsa.sa.gov.au/mpcimg/54750/B54597.htm</v>
      </c>
    </row>
    <row r="6715" spans="1:11" x14ac:dyDescent="0.25">
      <c r="A6715" t="s">
        <v>23075</v>
      </c>
      <c r="B6715" s="1" t="str">
        <f>HYPERLINK("https://www.catalog.slsa.sa.gov.au/record=b2076652")</f>
        <v>https://www.catalog.slsa.sa.gov.au/record=b2076652</v>
      </c>
      <c r="C6715" s="1" t="str">
        <f>HYPERLINK("https://www.catalog.slsa.sa.gov.au/xrecord=b2076652")</f>
        <v>https://www.catalog.slsa.sa.gov.au/xrecord=b2076652</v>
      </c>
      <c r="D6715" t="s">
        <v>2939</v>
      </c>
      <c r="E6715" t="s">
        <v>23043</v>
      </c>
      <c r="F6715">
        <v>1953</v>
      </c>
      <c r="G6715" t="s">
        <v>23076</v>
      </c>
      <c r="H6715" t="s">
        <v>23077</v>
      </c>
      <c r="I6715" t="s">
        <v>23029</v>
      </c>
      <c r="J6715" t="s">
        <v>15803</v>
      </c>
      <c r="K6715" s="2" t="str">
        <f>HYPERLINK("http://collections.slsa.sa.gov.au/mpcimg/54750/B54598.htm")</f>
        <v>http://collections.slsa.sa.gov.au/mpcimg/54750/B54598.htm</v>
      </c>
    </row>
    <row r="6716" spans="1:11" x14ac:dyDescent="0.25">
      <c r="A6716" t="s">
        <v>23078</v>
      </c>
      <c r="B6716" s="1" t="str">
        <f>HYPERLINK("https://www.catalog.slsa.sa.gov.au/record=b2076653")</f>
        <v>https://www.catalog.slsa.sa.gov.au/record=b2076653</v>
      </c>
      <c r="C6716" s="1" t="str">
        <f>HYPERLINK("https://www.catalog.slsa.sa.gov.au/xrecord=b2076653")</f>
        <v>https://www.catalog.slsa.sa.gov.au/xrecord=b2076653</v>
      </c>
      <c r="D6716" t="s">
        <v>2939</v>
      </c>
      <c r="E6716" t="s">
        <v>23079</v>
      </c>
      <c r="F6716">
        <v>1953</v>
      </c>
      <c r="G6716" t="s">
        <v>23080</v>
      </c>
      <c r="H6716" t="s">
        <v>23081</v>
      </c>
      <c r="I6716" t="s">
        <v>22506</v>
      </c>
      <c r="J6716" t="s">
        <v>3486</v>
      </c>
      <c r="K6716" s="2" t="str">
        <f>HYPERLINK("http://collections.slsa.sa.gov.au/mpcimg/54750/B54599.htm")</f>
        <v>http://collections.slsa.sa.gov.au/mpcimg/54750/B54599.htm</v>
      </c>
    </row>
    <row r="6717" spans="1:11" x14ac:dyDescent="0.25">
      <c r="A6717" t="s">
        <v>23082</v>
      </c>
      <c r="B6717" s="1" t="str">
        <f>HYPERLINK("https://www.catalog.slsa.sa.gov.au/record=b2076654")</f>
        <v>https://www.catalog.slsa.sa.gov.au/record=b2076654</v>
      </c>
      <c r="C6717" s="1" t="str">
        <f>HYPERLINK("https://www.catalog.slsa.sa.gov.au/xrecord=b2076654")</f>
        <v>https://www.catalog.slsa.sa.gov.au/xrecord=b2076654</v>
      </c>
      <c r="D6717" t="s">
        <v>2939</v>
      </c>
      <c r="E6717" t="s">
        <v>23079</v>
      </c>
      <c r="F6717">
        <v>1953</v>
      </c>
      <c r="G6717" t="s">
        <v>23083</v>
      </c>
      <c r="H6717" t="s">
        <v>23084</v>
      </c>
      <c r="I6717" t="s">
        <v>22506</v>
      </c>
      <c r="J6717" t="s">
        <v>3486</v>
      </c>
      <c r="K6717" s="2" t="str">
        <f>HYPERLINK("http://collections.slsa.sa.gov.au/mpcimg/54750/B54600.htm")</f>
        <v>http://collections.slsa.sa.gov.au/mpcimg/54750/B54600.htm</v>
      </c>
    </row>
    <row r="6718" spans="1:11" x14ac:dyDescent="0.25">
      <c r="A6718" t="s">
        <v>23085</v>
      </c>
      <c r="B6718" s="1" t="str">
        <f>HYPERLINK("https://www.catalog.slsa.sa.gov.au/record=b2076655")</f>
        <v>https://www.catalog.slsa.sa.gov.au/record=b2076655</v>
      </c>
      <c r="C6718" s="1" t="str">
        <f>HYPERLINK("https://www.catalog.slsa.sa.gov.au/xrecord=b2076655")</f>
        <v>https://www.catalog.slsa.sa.gov.au/xrecord=b2076655</v>
      </c>
      <c r="D6718" t="s">
        <v>2939</v>
      </c>
      <c r="E6718" t="s">
        <v>23079</v>
      </c>
      <c r="F6718">
        <v>1953</v>
      </c>
      <c r="G6718" t="s">
        <v>23086</v>
      </c>
      <c r="H6718" t="s">
        <v>23087</v>
      </c>
      <c r="I6718" t="s">
        <v>22506</v>
      </c>
      <c r="J6718" t="s">
        <v>3486</v>
      </c>
      <c r="K6718" s="2" t="str">
        <f>HYPERLINK("http://collections.slsa.sa.gov.au/mpcimg/54750/B54601.htm")</f>
        <v>http://collections.slsa.sa.gov.au/mpcimg/54750/B54601.htm</v>
      </c>
    </row>
    <row r="6719" spans="1:11" x14ac:dyDescent="0.25">
      <c r="A6719" t="s">
        <v>23088</v>
      </c>
      <c r="B6719" s="1" t="str">
        <f>HYPERLINK("https://www.catalog.slsa.sa.gov.au/record=b2076656")</f>
        <v>https://www.catalog.slsa.sa.gov.au/record=b2076656</v>
      </c>
      <c r="C6719" s="1" t="str">
        <f>HYPERLINK("https://www.catalog.slsa.sa.gov.au/xrecord=b2076656")</f>
        <v>https://www.catalog.slsa.sa.gov.au/xrecord=b2076656</v>
      </c>
      <c r="D6719" t="s">
        <v>2939</v>
      </c>
      <c r="E6719" t="s">
        <v>23089</v>
      </c>
      <c r="F6719">
        <v>1953</v>
      </c>
      <c r="G6719" t="s">
        <v>23090</v>
      </c>
      <c r="H6719" t="s">
        <v>23091</v>
      </c>
      <c r="I6719" t="s">
        <v>22506</v>
      </c>
      <c r="J6719" t="s">
        <v>3486</v>
      </c>
      <c r="K6719" s="2" t="str">
        <f>HYPERLINK("http://collections.slsa.sa.gov.au/mpcimg/54750/B54602.htm")</f>
        <v>http://collections.slsa.sa.gov.au/mpcimg/54750/B54602.htm</v>
      </c>
    </row>
    <row r="6720" spans="1:11" x14ac:dyDescent="0.25">
      <c r="A6720" t="s">
        <v>23092</v>
      </c>
      <c r="B6720" s="1" t="str">
        <f>HYPERLINK("https://www.catalog.slsa.sa.gov.au/record=b2076657")</f>
        <v>https://www.catalog.slsa.sa.gov.au/record=b2076657</v>
      </c>
      <c r="C6720" s="1" t="str">
        <f>HYPERLINK("https://www.catalog.slsa.sa.gov.au/xrecord=b2076657")</f>
        <v>https://www.catalog.slsa.sa.gov.au/xrecord=b2076657</v>
      </c>
      <c r="D6720" t="s">
        <v>2939</v>
      </c>
      <c r="E6720" t="s">
        <v>23093</v>
      </c>
      <c r="F6720">
        <v>1953</v>
      </c>
      <c r="G6720" t="s">
        <v>23083</v>
      </c>
      <c r="H6720" t="s">
        <v>23094</v>
      </c>
      <c r="I6720" t="s">
        <v>23095</v>
      </c>
      <c r="J6720" t="s">
        <v>3486</v>
      </c>
      <c r="K6720" s="2" t="str">
        <f>HYPERLINK("http://collections.slsa.sa.gov.au/mpcimg/54750/B54603.htm")</f>
        <v>http://collections.slsa.sa.gov.au/mpcimg/54750/B54603.htm</v>
      </c>
    </row>
    <row r="6721" spans="1:11" x14ac:dyDescent="0.25">
      <c r="A6721" t="s">
        <v>23096</v>
      </c>
      <c r="B6721" s="1" t="str">
        <f>HYPERLINK("https://www.catalog.slsa.sa.gov.au/record=b2076658")</f>
        <v>https://www.catalog.slsa.sa.gov.au/record=b2076658</v>
      </c>
      <c r="C6721" s="1" t="str">
        <f>HYPERLINK("https://www.catalog.slsa.sa.gov.au/xrecord=b2076658")</f>
        <v>https://www.catalog.slsa.sa.gov.au/xrecord=b2076658</v>
      </c>
      <c r="D6721" t="s">
        <v>2939</v>
      </c>
      <c r="E6721" t="s">
        <v>23079</v>
      </c>
      <c r="F6721">
        <v>1953</v>
      </c>
      <c r="G6721" t="s">
        <v>23097</v>
      </c>
      <c r="H6721" t="s">
        <v>23098</v>
      </c>
      <c r="I6721" t="s">
        <v>22506</v>
      </c>
      <c r="J6721" t="s">
        <v>3486</v>
      </c>
      <c r="K6721" s="2" t="str">
        <f>HYPERLINK("http://collections.slsa.sa.gov.au/mpcimg/54750/B54604.htm")</f>
        <v>http://collections.slsa.sa.gov.au/mpcimg/54750/B54604.htm</v>
      </c>
    </row>
    <row r="6722" spans="1:11" x14ac:dyDescent="0.25">
      <c r="A6722" t="s">
        <v>23099</v>
      </c>
      <c r="B6722" s="1" t="str">
        <f>HYPERLINK("https://www.catalog.slsa.sa.gov.au/record=b2076659")</f>
        <v>https://www.catalog.slsa.sa.gov.au/record=b2076659</v>
      </c>
      <c r="C6722" s="1" t="str">
        <f>HYPERLINK("https://www.catalog.slsa.sa.gov.au/xrecord=b2076659")</f>
        <v>https://www.catalog.slsa.sa.gov.au/xrecord=b2076659</v>
      </c>
      <c r="D6722" t="s">
        <v>2939</v>
      </c>
      <c r="E6722" t="s">
        <v>23079</v>
      </c>
      <c r="F6722">
        <v>1953</v>
      </c>
      <c r="G6722" t="s">
        <v>23100</v>
      </c>
      <c r="H6722" t="s">
        <v>23101</v>
      </c>
      <c r="I6722" t="s">
        <v>22506</v>
      </c>
      <c r="J6722" t="s">
        <v>3486</v>
      </c>
      <c r="K6722" s="2" t="str">
        <f>HYPERLINK("http://collections.slsa.sa.gov.au/mpcimg/54750/B54605.htm")</f>
        <v>http://collections.slsa.sa.gov.au/mpcimg/54750/B54605.htm</v>
      </c>
    </row>
    <row r="6723" spans="1:11" x14ac:dyDescent="0.25">
      <c r="A6723" t="s">
        <v>23102</v>
      </c>
      <c r="B6723" s="1" t="str">
        <f>HYPERLINK("https://www.catalog.slsa.sa.gov.au/record=b2076660")</f>
        <v>https://www.catalog.slsa.sa.gov.au/record=b2076660</v>
      </c>
      <c r="C6723" s="1" t="str">
        <f>HYPERLINK("https://www.catalog.slsa.sa.gov.au/xrecord=b2076660")</f>
        <v>https://www.catalog.slsa.sa.gov.au/xrecord=b2076660</v>
      </c>
      <c r="D6723" t="s">
        <v>2939</v>
      </c>
      <c r="E6723" t="s">
        <v>23079</v>
      </c>
      <c r="F6723">
        <v>1953</v>
      </c>
      <c r="G6723" t="s">
        <v>23046</v>
      </c>
      <c r="H6723" t="s">
        <v>23103</v>
      </c>
      <c r="I6723" t="s">
        <v>23104</v>
      </c>
      <c r="J6723" t="s">
        <v>3486</v>
      </c>
      <c r="K6723" s="2" t="str">
        <f>HYPERLINK("http://collections.slsa.sa.gov.au/mpcimg/54750/B54606.htm")</f>
        <v>http://collections.slsa.sa.gov.au/mpcimg/54750/B54606.htm</v>
      </c>
    </row>
    <row r="6724" spans="1:11" x14ac:dyDescent="0.25">
      <c r="A6724" t="s">
        <v>23105</v>
      </c>
      <c r="B6724" s="1" t="str">
        <f>HYPERLINK("https://www.catalog.slsa.sa.gov.au/record=b2076661")</f>
        <v>https://www.catalog.slsa.sa.gov.au/record=b2076661</v>
      </c>
      <c r="C6724" s="1" t="str">
        <f>HYPERLINK("https://www.catalog.slsa.sa.gov.au/xrecord=b2076661")</f>
        <v>https://www.catalog.slsa.sa.gov.au/xrecord=b2076661</v>
      </c>
      <c r="D6724" t="s">
        <v>2939</v>
      </c>
      <c r="E6724" t="s">
        <v>23079</v>
      </c>
      <c r="F6724">
        <v>1953</v>
      </c>
      <c r="G6724" t="s">
        <v>23106</v>
      </c>
      <c r="H6724" t="s">
        <v>23107</v>
      </c>
      <c r="I6724" t="s">
        <v>23108</v>
      </c>
      <c r="J6724" t="s">
        <v>3486</v>
      </c>
      <c r="K6724" s="2" t="str">
        <f>HYPERLINK("http://collections.slsa.sa.gov.au/mpcimg/54750/B54607.htm")</f>
        <v>http://collections.slsa.sa.gov.au/mpcimg/54750/B54607.htm</v>
      </c>
    </row>
    <row r="6725" spans="1:11" x14ac:dyDescent="0.25">
      <c r="A6725" t="s">
        <v>23109</v>
      </c>
      <c r="B6725" s="1" t="str">
        <f>HYPERLINK("https://www.catalog.slsa.sa.gov.au/record=b2076662")</f>
        <v>https://www.catalog.slsa.sa.gov.au/record=b2076662</v>
      </c>
      <c r="C6725" s="1" t="str">
        <f>HYPERLINK("https://www.catalog.slsa.sa.gov.au/xrecord=b2076662")</f>
        <v>https://www.catalog.slsa.sa.gov.au/xrecord=b2076662</v>
      </c>
      <c r="D6725" t="s">
        <v>2939</v>
      </c>
      <c r="E6725" t="s">
        <v>23110</v>
      </c>
      <c r="F6725">
        <v>1953</v>
      </c>
      <c r="G6725" t="s">
        <v>23036</v>
      </c>
      <c r="H6725" t="s">
        <v>23111</v>
      </c>
      <c r="I6725" t="s">
        <v>23112</v>
      </c>
      <c r="J6725" t="s">
        <v>3486</v>
      </c>
      <c r="K6725" s="2" t="str">
        <f>HYPERLINK("http://collections.slsa.sa.gov.au/mpcimg/54750/B54608.htm")</f>
        <v>http://collections.slsa.sa.gov.au/mpcimg/54750/B54608.htm</v>
      </c>
    </row>
    <row r="6726" spans="1:11" x14ac:dyDescent="0.25">
      <c r="A6726" t="s">
        <v>23113</v>
      </c>
      <c r="B6726" s="1" t="str">
        <f>HYPERLINK("https://www.catalog.slsa.sa.gov.au/record=b2076663")</f>
        <v>https://www.catalog.slsa.sa.gov.au/record=b2076663</v>
      </c>
      <c r="C6726" s="1" t="str">
        <f>HYPERLINK("https://www.catalog.slsa.sa.gov.au/xrecord=b2076663")</f>
        <v>https://www.catalog.slsa.sa.gov.au/xrecord=b2076663</v>
      </c>
      <c r="D6726" t="s">
        <v>2939</v>
      </c>
      <c r="E6726" t="s">
        <v>23114</v>
      </c>
      <c r="F6726">
        <v>1953</v>
      </c>
      <c r="G6726" t="s">
        <v>23115</v>
      </c>
      <c r="H6726" t="s">
        <v>23116</v>
      </c>
      <c r="I6726" t="s">
        <v>23104</v>
      </c>
      <c r="J6726" t="s">
        <v>3486</v>
      </c>
      <c r="K6726" s="2" t="str">
        <f>HYPERLINK("http://collections.slsa.sa.gov.au/mpcimg/54750/B54609.htm")</f>
        <v>http://collections.slsa.sa.gov.au/mpcimg/54750/B54609.htm</v>
      </c>
    </row>
    <row r="6727" spans="1:11" x14ac:dyDescent="0.25">
      <c r="A6727" t="s">
        <v>23117</v>
      </c>
      <c r="B6727" s="1" t="str">
        <f>HYPERLINK("https://www.catalog.slsa.sa.gov.au/record=b2076664")</f>
        <v>https://www.catalog.slsa.sa.gov.au/record=b2076664</v>
      </c>
      <c r="C6727" s="1" t="str">
        <f>HYPERLINK("https://www.catalog.slsa.sa.gov.au/xrecord=b2076664")</f>
        <v>https://www.catalog.slsa.sa.gov.au/xrecord=b2076664</v>
      </c>
      <c r="D6727" t="s">
        <v>2939</v>
      </c>
      <c r="E6727" t="s">
        <v>23079</v>
      </c>
      <c r="F6727">
        <v>1953</v>
      </c>
      <c r="G6727" t="s">
        <v>23118</v>
      </c>
      <c r="H6727" t="s">
        <v>23119</v>
      </c>
      <c r="I6727" t="s">
        <v>22506</v>
      </c>
      <c r="J6727" t="s">
        <v>3486</v>
      </c>
      <c r="K6727" s="2" t="str">
        <f>HYPERLINK("http://collections.slsa.sa.gov.au/mpcimg/54750/B54610.htm")</f>
        <v>http://collections.slsa.sa.gov.au/mpcimg/54750/B54610.htm</v>
      </c>
    </row>
    <row r="6728" spans="1:11" x14ac:dyDescent="0.25">
      <c r="A6728" t="s">
        <v>23120</v>
      </c>
      <c r="B6728" s="1" t="str">
        <f>HYPERLINK("https://www.catalog.slsa.sa.gov.au/record=b2076665")</f>
        <v>https://www.catalog.slsa.sa.gov.au/record=b2076665</v>
      </c>
      <c r="C6728" s="1" t="str">
        <f>HYPERLINK("https://www.catalog.slsa.sa.gov.au/xrecord=b2076665")</f>
        <v>https://www.catalog.slsa.sa.gov.au/xrecord=b2076665</v>
      </c>
      <c r="D6728" t="s">
        <v>2939</v>
      </c>
      <c r="E6728" t="s">
        <v>23079</v>
      </c>
      <c r="F6728">
        <v>1953</v>
      </c>
      <c r="G6728" t="s">
        <v>23121</v>
      </c>
      <c r="H6728" t="s">
        <v>23119</v>
      </c>
      <c r="I6728" t="s">
        <v>22506</v>
      </c>
      <c r="J6728" t="s">
        <v>3486</v>
      </c>
      <c r="K6728" s="2" t="str">
        <f>HYPERLINK("http://collections.slsa.sa.gov.au/mpcimg/54750/B54611.htm")</f>
        <v>http://collections.slsa.sa.gov.au/mpcimg/54750/B54611.htm</v>
      </c>
    </row>
    <row r="6729" spans="1:11" x14ac:dyDescent="0.25">
      <c r="A6729" t="s">
        <v>23122</v>
      </c>
      <c r="B6729" s="1" t="str">
        <f>HYPERLINK("https://www.catalog.slsa.sa.gov.au/record=b2076666")</f>
        <v>https://www.catalog.slsa.sa.gov.au/record=b2076666</v>
      </c>
      <c r="C6729" s="1" t="str">
        <f>HYPERLINK("https://www.catalog.slsa.sa.gov.au/xrecord=b2076666")</f>
        <v>https://www.catalog.slsa.sa.gov.au/xrecord=b2076666</v>
      </c>
      <c r="D6729" t="s">
        <v>2939</v>
      </c>
      <c r="E6729" t="s">
        <v>23079</v>
      </c>
      <c r="F6729">
        <v>1953</v>
      </c>
      <c r="G6729" t="s">
        <v>23086</v>
      </c>
      <c r="H6729" t="s">
        <v>23123</v>
      </c>
      <c r="I6729" t="s">
        <v>22506</v>
      </c>
      <c r="J6729" t="s">
        <v>3486</v>
      </c>
      <c r="K6729" s="2" t="str">
        <f>HYPERLINK("http://collections.slsa.sa.gov.au/mpcimg/54750/B54612.htm")</f>
        <v>http://collections.slsa.sa.gov.au/mpcimg/54750/B54612.htm</v>
      </c>
    </row>
    <row r="6730" spans="1:11" x14ac:dyDescent="0.25">
      <c r="A6730" t="s">
        <v>23124</v>
      </c>
      <c r="B6730" s="1" t="str">
        <f>HYPERLINK("https://www.catalog.slsa.sa.gov.au/record=b2076667")</f>
        <v>https://www.catalog.slsa.sa.gov.au/record=b2076667</v>
      </c>
      <c r="C6730" s="1" t="str">
        <f>HYPERLINK("https://www.catalog.slsa.sa.gov.au/xrecord=b2076667")</f>
        <v>https://www.catalog.slsa.sa.gov.au/xrecord=b2076667</v>
      </c>
      <c r="D6730" t="s">
        <v>2939</v>
      </c>
      <c r="E6730" t="s">
        <v>23079</v>
      </c>
      <c r="F6730">
        <v>1953</v>
      </c>
      <c r="G6730" t="s">
        <v>23125</v>
      </c>
      <c r="H6730" t="s">
        <v>23126</v>
      </c>
      <c r="I6730" t="s">
        <v>22506</v>
      </c>
      <c r="J6730" t="s">
        <v>3486</v>
      </c>
      <c r="K6730" s="2" t="str">
        <f>HYPERLINK("http://collections.slsa.sa.gov.au/mpcimg/54750/B54613.htm")</f>
        <v>http://collections.slsa.sa.gov.au/mpcimg/54750/B54613.htm</v>
      </c>
    </row>
    <row r="6731" spans="1:11" x14ac:dyDescent="0.25">
      <c r="A6731" t="s">
        <v>23127</v>
      </c>
      <c r="B6731" s="1" t="str">
        <f>HYPERLINK("https://www.catalog.slsa.sa.gov.au/record=b2076668")</f>
        <v>https://www.catalog.slsa.sa.gov.au/record=b2076668</v>
      </c>
      <c r="C6731" s="1" t="str">
        <f>HYPERLINK("https://www.catalog.slsa.sa.gov.au/xrecord=b2076668")</f>
        <v>https://www.catalog.slsa.sa.gov.au/xrecord=b2076668</v>
      </c>
      <c r="D6731" t="s">
        <v>2939</v>
      </c>
      <c r="E6731" t="s">
        <v>23128</v>
      </c>
      <c r="F6731">
        <v>1953</v>
      </c>
      <c r="G6731" t="s">
        <v>23121</v>
      </c>
      <c r="H6731" t="s">
        <v>23129</v>
      </c>
      <c r="I6731" t="s">
        <v>22506</v>
      </c>
      <c r="J6731" t="s">
        <v>3486</v>
      </c>
      <c r="K6731" s="2" t="str">
        <f>HYPERLINK("http://collections.slsa.sa.gov.au/mpcimg/54750/B54614.htm")</f>
        <v>http://collections.slsa.sa.gov.au/mpcimg/54750/B54614.htm</v>
      </c>
    </row>
    <row r="6732" spans="1:11" x14ac:dyDescent="0.25">
      <c r="A6732" t="s">
        <v>23130</v>
      </c>
      <c r="B6732" s="1" t="str">
        <f>HYPERLINK("https://www.catalog.slsa.sa.gov.au/record=b2076669")</f>
        <v>https://www.catalog.slsa.sa.gov.au/record=b2076669</v>
      </c>
      <c r="C6732" s="1" t="str">
        <f>HYPERLINK("https://www.catalog.slsa.sa.gov.au/xrecord=b2076669")</f>
        <v>https://www.catalog.slsa.sa.gov.au/xrecord=b2076669</v>
      </c>
      <c r="D6732" t="s">
        <v>2939</v>
      </c>
      <c r="E6732" t="s">
        <v>23131</v>
      </c>
      <c r="F6732">
        <v>1953</v>
      </c>
      <c r="G6732" t="s">
        <v>23132</v>
      </c>
      <c r="H6732" t="s">
        <v>23133</v>
      </c>
      <c r="I6732" t="s">
        <v>22506</v>
      </c>
      <c r="J6732" t="s">
        <v>3486</v>
      </c>
      <c r="K6732" s="2" t="str">
        <f>HYPERLINK("http://collections.slsa.sa.gov.au/mpcimg/54750/B54615.htm")</f>
        <v>http://collections.slsa.sa.gov.au/mpcimg/54750/B54615.htm</v>
      </c>
    </row>
    <row r="6733" spans="1:11" x14ac:dyDescent="0.25">
      <c r="A6733" t="s">
        <v>23134</v>
      </c>
      <c r="B6733" s="1" t="str">
        <f>HYPERLINK("https://www.catalog.slsa.sa.gov.au/record=b2076670")</f>
        <v>https://www.catalog.slsa.sa.gov.au/record=b2076670</v>
      </c>
      <c r="C6733" s="1" t="str">
        <f>HYPERLINK("https://www.catalog.slsa.sa.gov.au/xrecord=b2076670")</f>
        <v>https://www.catalog.slsa.sa.gov.au/xrecord=b2076670</v>
      </c>
      <c r="D6733" t="s">
        <v>2939</v>
      </c>
      <c r="E6733" t="s">
        <v>23135</v>
      </c>
      <c r="F6733">
        <v>1953</v>
      </c>
      <c r="G6733" t="s">
        <v>23086</v>
      </c>
      <c r="H6733" t="s">
        <v>23136</v>
      </c>
      <c r="I6733" t="s">
        <v>22506</v>
      </c>
      <c r="J6733" t="s">
        <v>3486</v>
      </c>
      <c r="K6733" s="2" t="str">
        <f>HYPERLINK("http://collections.slsa.sa.gov.au/mpcimg/54750/B54616.htm")</f>
        <v>http://collections.slsa.sa.gov.au/mpcimg/54750/B54616.htm</v>
      </c>
    </row>
    <row r="6734" spans="1:11" x14ac:dyDescent="0.25">
      <c r="A6734" t="s">
        <v>23137</v>
      </c>
      <c r="B6734" s="1" t="str">
        <f>HYPERLINK("https://www.catalog.slsa.sa.gov.au/record=b2076671")</f>
        <v>https://www.catalog.slsa.sa.gov.au/record=b2076671</v>
      </c>
      <c r="C6734" s="1" t="str">
        <f>HYPERLINK("https://www.catalog.slsa.sa.gov.au/xrecord=b2076671")</f>
        <v>https://www.catalog.slsa.sa.gov.au/xrecord=b2076671</v>
      </c>
      <c r="D6734" t="s">
        <v>2939</v>
      </c>
      <c r="E6734" t="s">
        <v>23138</v>
      </c>
      <c r="F6734">
        <v>1953</v>
      </c>
      <c r="G6734" t="s">
        <v>23139</v>
      </c>
      <c r="H6734" t="s">
        <v>23126</v>
      </c>
      <c r="I6734" t="s">
        <v>22506</v>
      </c>
      <c r="J6734" t="s">
        <v>3486</v>
      </c>
      <c r="K6734" s="2" t="str">
        <f>HYPERLINK("http://collections.slsa.sa.gov.au/mpcimg/54750/B54617.htm")</f>
        <v>http://collections.slsa.sa.gov.au/mpcimg/54750/B54617.htm</v>
      </c>
    </row>
    <row r="6735" spans="1:11" x14ac:dyDescent="0.25">
      <c r="A6735" t="s">
        <v>23140</v>
      </c>
      <c r="B6735" s="1" t="str">
        <f>HYPERLINK("https://www.catalog.slsa.sa.gov.au/record=b2076672")</f>
        <v>https://www.catalog.slsa.sa.gov.au/record=b2076672</v>
      </c>
      <c r="C6735" s="1" t="str">
        <f>HYPERLINK("https://www.catalog.slsa.sa.gov.au/xrecord=b2076672")</f>
        <v>https://www.catalog.slsa.sa.gov.au/xrecord=b2076672</v>
      </c>
      <c r="D6735" t="s">
        <v>2939</v>
      </c>
      <c r="E6735" t="s">
        <v>23138</v>
      </c>
      <c r="F6735">
        <v>1953</v>
      </c>
      <c r="G6735" t="s">
        <v>23141</v>
      </c>
      <c r="H6735" t="s">
        <v>23142</v>
      </c>
      <c r="I6735" t="s">
        <v>22506</v>
      </c>
      <c r="J6735" t="s">
        <v>3486</v>
      </c>
      <c r="K6735" s="2" t="str">
        <f>HYPERLINK("http://collections.slsa.sa.gov.au/mpcimg/54750/B54618.htm")</f>
        <v>http://collections.slsa.sa.gov.au/mpcimg/54750/B54618.htm</v>
      </c>
    </row>
    <row r="6736" spans="1:11" x14ac:dyDescent="0.25">
      <c r="A6736" t="s">
        <v>23143</v>
      </c>
      <c r="B6736" s="1" t="str">
        <f>HYPERLINK("https://www.catalog.slsa.sa.gov.au/record=b2076673")</f>
        <v>https://www.catalog.slsa.sa.gov.au/record=b2076673</v>
      </c>
      <c r="C6736" s="1" t="str">
        <f>HYPERLINK("https://www.catalog.slsa.sa.gov.au/xrecord=b2076673")</f>
        <v>https://www.catalog.slsa.sa.gov.au/xrecord=b2076673</v>
      </c>
      <c r="D6736" t="s">
        <v>2939</v>
      </c>
      <c r="E6736" t="s">
        <v>23138</v>
      </c>
      <c r="F6736">
        <v>1953</v>
      </c>
      <c r="G6736" t="s">
        <v>23144</v>
      </c>
      <c r="H6736" t="s">
        <v>23142</v>
      </c>
      <c r="I6736" t="s">
        <v>22506</v>
      </c>
      <c r="J6736" t="s">
        <v>3486</v>
      </c>
      <c r="K6736" s="2" t="str">
        <f>HYPERLINK("http://collections.slsa.sa.gov.au/mpcimg/54750/B54619.htm")</f>
        <v>http://collections.slsa.sa.gov.au/mpcimg/54750/B54619.htm</v>
      </c>
    </row>
    <row r="6737" spans="1:11" x14ac:dyDescent="0.25">
      <c r="A6737" t="s">
        <v>23145</v>
      </c>
      <c r="B6737" s="1" t="str">
        <f>HYPERLINK("https://www.catalog.slsa.sa.gov.au/record=b2076674")</f>
        <v>https://www.catalog.slsa.sa.gov.au/record=b2076674</v>
      </c>
      <c r="C6737" s="1" t="str">
        <f>HYPERLINK("https://www.catalog.slsa.sa.gov.au/xrecord=b2076674")</f>
        <v>https://www.catalog.slsa.sa.gov.au/xrecord=b2076674</v>
      </c>
      <c r="D6737" t="s">
        <v>2939</v>
      </c>
      <c r="E6737" t="s">
        <v>23079</v>
      </c>
      <c r="F6737">
        <v>1953</v>
      </c>
      <c r="G6737" t="s">
        <v>23121</v>
      </c>
      <c r="H6737" t="s">
        <v>23146</v>
      </c>
      <c r="I6737" t="s">
        <v>22506</v>
      </c>
      <c r="J6737" t="s">
        <v>3486</v>
      </c>
      <c r="K6737" s="2" t="str">
        <f>HYPERLINK("http://collections.slsa.sa.gov.au/mpcimg/54750/B54620.htm")</f>
        <v>http://collections.slsa.sa.gov.au/mpcimg/54750/B54620.htm</v>
      </c>
    </row>
    <row r="6738" spans="1:11" x14ac:dyDescent="0.25">
      <c r="A6738" t="s">
        <v>23147</v>
      </c>
      <c r="B6738" s="1" t="str">
        <f>HYPERLINK("https://www.catalog.slsa.sa.gov.au/record=b2076675")</f>
        <v>https://www.catalog.slsa.sa.gov.au/record=b2076675</v>
      </c>
      <c r="C6738" s="1" t="str">
        <f>HYPERLINK("https://www.catalog.slsa.sa.gov.au/xrecord=b2076675")</f>
        <v>https://www.catalog.slsa.sa.gov.au/xrecord=b2076675</v>
      </c>
      <c r="D6738" t="s">
        <v>2939</v>
      </c>
      <c r="E6738" t="s">
        <v>23148</v>
      </c>
      <c r="F6738">
        <v>1953</v>
      </c>
      <c r="G6738" t="s">
        <v>23149</v>
      </c>
      <c r="H6738" t="s">
        <v>23150</v>
      </c>
      <c r="I6738" t="s">
        <v>22506</v>
      </c>
      <c r="J6738" t="s">
        <v>3486</v>
      </c>
      <c r="K6738" s="2" t="str">
        <f>HYPERLINK("http://collections.slsa.sa.gov.au/mpcimg/54750/B54621.htm")</f>
        <v>http://collections.slsa.sa.gov.au/mpcimg/54750/B54621.htm</v>
      </c>
    </row>
    <row r="6739" spans="1:11" x14ac:dyDescent="0.25">
      <c r="A6739" t="s">
        <v>23151</v>
      </c>
      <c r="B6739" s="1" t="str">
        <f>HYPERLINK("https://www.catalog.slsa.sa.gov.au/record=b2076676")</f>
        <v>https://www.catalog.slsa.sa.gov.au/record=b2076676</v>
      </c>
      <c r="C6739" s="1" t="str">
        <f>HYPERLINK("https://www.catalog.slsa.sa.gov.au/xrecord=b2076676")</f>
        <v>https://www.catalog.slsa.sa.gov.au/xrecord=b2076676</v>
      </c>
      <c r="D6739" t="s">
        <v>2939</v>
      </c>
      <c r="E6739" t="s">
        <v>23152</v>
      </c>
      <c r="F6739">
        <v>1953</v>
      </c>
      <c r="G6739" t="s">
        <v>23086</v>
      </c>
      <c r="H6739" t="s">
        <v>23153</v>
      </c>
      <c r="I6739" t="s">
        <v>22506</v>
      </c>
      <c r="J6739" t="s">
        <v>3486</v>
      </c>
      <c r="K6739" s="2" t="str">
        <f>HYPERLINK("http://collections.slsa.sa.gov.au/mpcimg/54750/B54622.htm")</f>
        <v>http://collections.slsa.sa.gov.au/mpcimg/54750/B54622.htm</v>
      </c>
    </row>
    <row r="6740" spans="1:11" x14ac:dyDescent="0.25">
      <c r="A6740" t="s">
        <v>23154</v>
      </c>
      <c r="B6740" s="1" t="str">
        <f>HYPERLINK("https://www.catalog.slsa.sa.gov.au/record=b2076677")</f>
        <v>https://www.catalog.slsa.sa.gov.au/record=b2076677</v>
      </c>
      <c r="C6740" s="1" t="str">
        <f>HYPERLINK("https://www.catalog.slsa.sa.gov.au/xrecord=b2076677")</f>
        <v>https://www.catalog.slsa.sa.gov.au/xrecord=b2076677</v>
      </c>
      <c r="D6740" t="s">
        <v>2939</v>
      </c>
      <c r="E6740" t="s">
        <v>23138</v>
      </c>
      <c r="F6740">
        <v>1953</v>
      </c>
      <c r="G6740" t="s">
        <v>23155</v>
      </c>
      <c r="H6740" t="s">
        <v>23156</v>
      </c>
      <c r="I6740" t="s">
        <v>22506</v>
      </c>
      <c r="J6740" t="s">
        <v>3486</v>
      </c>
      <c r="K6740" s="2" t="str">
        <f>HYPERLINK("http://collections.slsa.sa.gov.au/mpcimg/54750/B54623.htm")</f>
        <v>http://collections.slsa.sa.gov.au/mpcimg/54750/B54623.htm</v>
      </c>
    </row>
    <row r="6741" spans="1:11" x14ac:dyDescent="0.25">
      <c r="A6741" t="s">
        <v>23157</v>
      </c>
      <c r="B6741" s="1" t="str">
        <f>HYPERLINK("https://www.catalog.slsa.sa.gov.au/record=b2077835")</f>
        <v>https://www.catalog.slsa.sa.gov.au/record=b2077835</v>
      </c>
      <c r="C6741" s="1" t="str">
        <f>HYPERLINK("https://www.catalog.slsa.sa.gov.au/xrecord=b2077835")</f>
        <v>https://www.catalog.slsa.sa.gov.au/xrecord=b2077835</v>
      </c>
      <c r="E6741" t="s">
        <v>23158</v>
      </c>
      <c r="F6741">
        <v>1953</v>
      </c>
      <c r="G6741" t="s">
        <v>15269</v>
      </c>
      <c r="H6741" t="s">
        <v>23159</v>
      </c>
      <c r="J6741" t="s">
        <v>15278</v>
      </c>
      <c r="K6741" s="2" t="str">
        <f>HYPERLINK("http://collections.slsa.sa.gov.au/mpcimg/55500/B55417_109.htm")</f>
        <v>http://collections.slsa.sa.gov.au/mpcimg/55500/B55417_109.htm</v>
      </c>
    </row>
    <row r="6742" spans="1:11" x14ac:dyDescent="0.25">
      <c r="A6742" t="s">
        <v>23160</v>
      </c>
      <c r="B6742" s="1" t="str">
        <f>HYPERLINK("https://www.catalog.slsa.sa.gov.au/record=b2078018")</f>
        <v>https://www.catalog.slsa.sa.gov.au/record=b2078018</v>
      </c>
      <c r="C6742" s="1" t="str">
        <f>HYPERLINK("https://www.catalog.slsa.sa.gov.au/xrecord=b2078018")</f>
        <v>https://www.catalog.slsa.sa.gov.au/xrecord=b2078018</v>
      </c>
      <c r="D6742" t="s">
        <v>23161</v>
      </c>
      <c r="E6742" t="s">
        <v>15281</v>
      </c>
      <c r="F6742">
        <v>1953</v>
      </c>
      <c r="G6742" t="s">
        <v>23162</v>
      </c>
      <c r="H6742" t="s">
        <v>23163</v>
      </c>
      <c r="I6742" t="s">
        <v>15284</v>
      </c>
      <c r="J6742" t="s">
        <v>15023</v>
      </c>
      <c r="K6742" s="2" t="str">
        <f>HYPERLINK("http://collections.slsa.sa.gov.au/mpcimg/56000/B55941.htm")</f>
        <v>http://collections.slsa.sa.gov.au/mpcimg/56000/B55941.htm</v>
      </c>
    </row>
    <row r="6743" spans="1:11" x14ac:dyDescent="0.25">
      <c r="A6743" t="s">
        <v>23164</v>
      </c>
      <c r="B6743" s="1" t="str">
        <f>HYPERLINK("https://www.catalog.slsa.sa.gov.au/record=b2078770")</f>
        <v>https://www.catalog.slsa.sa.gov.au/record=b2078770</v>
      </c>
      <c r="C6743" s="1" t="str">
        <f>HYPERLINK("https://www.catalog.slsa.sa.gov.au/xrecord=b2078770")</f>
        <v>https://www.catalog.slsa.sa.gov.au/xrecord=b2078770</v>
      </c>
      <c r="E6743" t="s">
        <v>23158</v>
      </c>
      <c r="F6743">
        <v>1953</v>
      </c>
      <c r="G6743" t="s">
        <v>15269</v>
      </c>
      <c r="H6743" t="s">
        <v>23165</v>
      </c>
      <c r="I6743" t="s">
        <v>23166</v>
      </c>
      <c r="J6743" t="s">
        <v>15278</v>
      </c>
      <c r="K6743" s="2" t="str">
        <f>HYPERLINK("http://collections.slsa.sa.gov.au/mpcimg/55500/B55417_265.htm")</f>
        <v>http://collections.slsa.sa.gov.au/mpcimg/55500/B55417_265.htm</v>
      </c>
    </row>
    <row r="6744" spans="1:11" x14ac:dyDescent="0.25">
      <c r="A6744" t="s">
        <v>23167</v>
      </c>
      <c r="B6744" s="1" t="str">
        <f>HYPERLINK("https://www.catalog.slsa.sa.gov.au/record=b2079911")</f>
        <v>https://www.catalog.slsa.sa.gov.au/record=b2079911</v>
      </c>
      <c r="C6744" s="1" t="str">
        <f>HYPERLINK("https://www.catalog.slsa.sa.gov.au/xrecord=b2079911")</f>
        <v>https://www.catalog.slsa.sa.gov.au/xrecord=b2079911</v>
      </c>
      <c r="E6744" t="s">
        <v>23168</v>
      </c>
      <c r="F6744">
        <v>1953</v>
      </c>
      <c r="G6744" t="s">
        <v>15269</v>
      </c>
      <c r="H6744" t="s">
        <v>23169</v>
      </c>
      <c r="I6744" t="s">
        <v>23170</v>
      </c>
      <c r="J6744" t="s">
        <v>22186</v>
      </c>
      <c r="K6744" s="2" t="str">
        <f>HYPERLINK("http://collections.slsa.sa.gov.au/mpcimg/58000/B57844.htm")</f>
        <v>http://collections.slsa.sa.gov.au/mpcimg/58000/B57844.htm</v>
      </c>
    </row>
    <row r="6745" spans="1:11" x14ac:dyDescent="0.25">
      <c r="A6745" t="s">
        <v>23171</v>
      </c>
      <c r="B6745" s="1" t="str">
        <f>HYPERLINK("https://www.catalog.slsa.sa.gov.au/record=b2080259")</f>
        <v>https://www.catalog.slsa.sa.gov.au/record=b2080259</v>
      </c>
      <c r="C6745" s="1" t="str">
        <f>HYPERLINK("https://www.catalog.slsa.sa.gov.au/xrecord=b2080259")</f>
        <v>https://www.catalog.slsa.sa.gov.au/xrecord=b2080259</v>
      </c>
      <c r="E6745" t="s">
        <v>15309</v>
      </c>
      <c r="F6745">
        <v>1953</v>
      </c>
      <c r="G6745" t="s">
        <v>23172</v>
      </c>
      <c r="H6745" t="s">
        <v>23173</v>
      </c>
      <c r="I6745" t="s">
        <v>15312</v>
      </c>
      <c r="J6745" t="s">
        <v>14963</v>
      </c>
      <c r="K6745" s="2" t="str">
        <f>HYPERLINK("http://collections.slsa.sa.gov.au/mpcimg/58250/B58193.htm")</f>
        <v>http://collections.slsa.sa.gov.au/mpcimg/58250/B58193.htm</v>
      </c>
    </row>
    <row r="6746" spans="1:11" x14ac:dyDescent="0.25">
      <c r="A6746" t="s">
        <v>23174</v>
      </c>
      <c r="B6746" s="1" t="str">
        <f>HYPERLINK("https://www.catalog.slsa.sa.gov.au/record=b2081074")</f>
        <v>https://www.catalog.slsa.sa.gov.au/record=b2081074</v>
      </c>
      <c r="C6746" s="1" t="str">
        <f>HYPERLINK("https://www.catalog.slsa.sa.gov.au/xrecord=b2081074")</f>
        <v>https://www.catalog.slsa.sa.gov.au/xrecord=b2081074</v>
      </c>
      <c r="E6746" t="s">
        <v>23175</v>
      </c>
      <c r="F6746">
        <v>1953</v>
      </c>
      <c r="G6746" t="s">
        <v>15269</v>
      </c>
      <c r="H6746" t="s">
        <v>23176</v>
      </c>
      <c r="J6746" t="s">
        <v>23177</v>
      </c>
      <c r="K6746" s="2" t="str">
        <f>HYPERLINK("http://collections.slsa.sa.gov.au/mpcimg/59250/B59009.htm")</f>
        <v>http://collections.slsa.sa.gov.au/mpcimg/59250/B59009.htm</v>
      </c>
    </row>
    <row r="6747" spans="1:11" x14ac:dyDescent="0.25">
      <c r="A6747" t="s">
        <v>23178</v>
      </c>
      <c r="B6747" s="1" t="str">
        <f>HYPERLINK("https://www.catalog.slsa.sa.gov.au/record=b2081075")</f>
        <v>https://www.catalog.slsa.sa.gov.au/record=b2081075</v>
      </c>
      <c r="C6747" s="1" t="str">
        <f>HYPERLINK("https://www.catalog.slsa.sa.gov.au/xrecord=b2081075")</f>
        <v>https://www.catalog.slsa.sa.gov.au/xrecord=b2081075</v>
      </c>
      <c r="E6747" t="s">
        <v>23175</v>
      </c>
      <c r="F6747">
        <v>1953</v>
      </c>
      <c r="G6747" t="s">
        <v>15269</v>
      </c>
      <c r="H6747" t="s">
        <v>23176</v>
      </c>
      <c r="J6747" t="s">
        <v>23177</v>
      </c>
      <c r="K6747" s="2" t="str">
        <f>HYPERLINK("http://collections.slsa.sa.gov.au/mpcimg/59250/B59010.htm")</f>
        <v>http://collections.slsa.sa.gov.au/mpcimg/59250/B59010.htm</v>
      </c>
    </row>
    <row r="6748" spans="1:11" x14ac:dyDescent="0.25">
      <c r="A6748" t="s">
        <v>23179</v>
      </c>
      <c r="B6748" s="1" t="str">
        <f>HYPERLINK("https://www.catalog.slsa.sa.gov.au/record=b2090200")</f>
        <v>https://www.catalog.slsa.sa.gov.au/record=b2090200</v>
      </c>
      <c r="C6748" s="1" t="str">
        <f>HYPERLINK("https://www.catalog.slsa.sa.gov.au/xrecord=b2090200")</f>
        <v>https://www.catalog.slsa.sa.gov.au/xrecord=b2090200</v>
      </c>
      <c r="E6748" t="s">
        <v>23180</v>
      </c>
      <c r="F6748">
        <v>1953</v>
      </c>
      <c r="G6748" t="s">
        <v>23181</v>
      </c>
      <c r="H6748" t="s">
        <v>23182</v>
      </c>
      <c r="I6748" t="s">
        <v>15340</v>
      </c>
      <c r="J6748" t="s">
        <v>15341</v>
      </c>
      <c r="K6748" s="2" t="str">
        <f>HYPERLINK("http://collections.slsa.sa.gov.au/mpcimg/59000/B58892_36.htm")</f>
        <v>http://collections.slsa.sa.gov.au/mpcimg/59000/B58892_36.htm</v>
      </c>
    </row>
    <row r="6749" spans="1:11" x14ac:dyDescent="0.25">
      <c r="A6749" t="s">
        <v>23183</v>
      </c>
      <c r="B6749" s="1" t="str">
        <f>HYPERLINK("https://www.catalog.slsa.sa.gov.au/record=b2090211")</f>
        <v>https://www.catalog.slsa.sa.gov.au/record=b2090211</v>
      </c>
      <c r="C6749" s="1" t="str">
        <f>HYPERLINK("https://www.catalog.slsa.sa.gov.au/xrecord=b2090211")</f>
        <v>https://www.catalog.slsa.sa.gov.au/xrecord=b2090211</v>
      </c>
      <c r="E6749" t="s">
        <v>15337</v>
      </c>
      <c r="F6749">
        <v>1953</v>
      </c>
      <c r="G6749" t="s">
        <v>23184</v>
      </c>
      <c r="H6749" t="s">
        <v>23185</v>
      </c>
      <c r="I6749" t="s">
        <v>17710</v>
      </c>
      <c r="J6749" t="s">
        <v>15341</v>
      </c>
      <c r="K6749" s="2" t="str">
        <f>HYPERLINK("http://collections.slsa.sa.gov.au/mpcimg/59000/B58892_47.htm")</f>
        <v>http://collections.slsa.sa.gov.au/mpcimg/59000/B58892_47.htm</v>
      </c>
    </row>
    <row r="6750" spans="1:11" x14ac:dyDescent="0.25">
      <c r="A6750" t="s">
        <v>23186</v>
      </c>
      <c r="B6750" s="1" t="str">
        <f>HYPERLINK("https://www.catalog.slsa.sa.gov.au/record=b2090212")</f>
        <v>https://www.catalog.slsa.sa.gov.au/record=b2090212</v>
      </c>
      <c r="C6750" s="1" t="str">
        <f>HYPERLINK("https://www.catalog.slsa.sa.gov.au/xrecord=b2090212")</f>
        <v>https://www.catalog.slsa.sa.gov.au/xrecord=b2090212</v>
      </c>
      <c r="E6750" t="s">
        <v>15337</v>
      </c>
      <c r="F6750">
        <v>1953</v>
      </c>
      <c r="G6750" t="s">
        <v>23187</v>
      </c>
      <c r="H6750" t="s">
        <v>23188</v>
      </c>
      <c r="I6750" t="s">
        <v>15340</v>
      </c>
      <c r="J6750" t="s">
        <v>15341</v>
      </c>
      <c r="K6750" s="2" t="str">
        <f>HYPERLINK("http://collections.slsa.sa.gov.au/mpcimg/59000/B58892_48.htm")</f>
        <v>http://collections.slsa.sa.gov.au/mpcimg/59000/B58892_48.htm</v>
      </c>
    </row>
    <row r="6751" spans="1:11" x14ac:dyDescent="0.25">
      <c r="A6751" t="s">
        <v>23189</v>
      </c>
      <c r="B6751" s="1" t="str">
        <f>HYPERLINK("https://www.catalog.slsa.sa.gov.au/record=b2090247")</f>
        <v>https://www.catalog.slsa.sa.gov.au/record=b2090247</v>
      </c>
      <c r="C6751" s="1" t="str">
        <f>HYPERLINK("https://www.catalog.slsa.sa.gov.au/xrecord=b2090247")</f>
        <v>https://www.catalog.slsa.sa.gov.au/xrecord=b2090247</v>
      </c>
      <c r="E6751" t="s">
        <v>15353</v>
      </c>
      <c r="F6751">
        <v>1953</v>
      </c>
      <c r="G6751" t="s">
        <v>23190</v>
      </c>
      <c r="H6751" t="s">
        <v>23191</v>
      </c>
      <c r="I6751" t="s">
        <v>15356</v>
      </c>
      <c r="J6751" t="s">
        <v>15341</v>
      </c>
      <c r="K6751" s="2" t="str">
        <f>HYPERLINK("http://collections.slsa.sa.gov.au/mpcimg/59000/B58892_83.htm")</f>
        <v>http://collections.slsa.sa.gov.au/mpcimg/59000/B58892_83.htm</v>
      </c>
    </row>
    <row r="6752" spans="1:11" x14ac:dyDescent="0.25">
      <c r="A6752" t="s">
        <v>23192</v>
      </c>
      <c r="B6752" s="1" t="str">
        <f>HYPERLINK("https://www.catalog.slsa.sa.gov.au/record=b2090249")</f>
        <v>https://www.catalog.slsa.sa.gov.au/record=b2090249</v>
      </c>
      <c r="C6752" s="1" t="str">
        <f>HYPERLINK("https://www.catalog.slsa.sa.gov.au/xrecord=b2090249")</f>
        <v>https://www.catalog.slsa.sa.gov.au/xrecord=b2090249</v>
      </c>
      <c r="E6752" t="s">
        <v>15353</v>
      </c>
      <c r="F6752">
        <v>1953</v>
      </c>
      <c r="G6752" t="s">
        <v>20204</v>
      </c>
      <c r="H6752" t="s">
        <v>19523</v>
      </c>
      <c r="I6752" t="s">
        <v>15356</v>
      </c>
      <c r="J6752" t="s">
        <v>15341</v>
      </c>
      <c r="K6752" s="2" t="str">
        <f>HYPERLINK("http://collections.slsa.sa.gov.au/mpcimg/59000/B58892_85.htm")</f>
        <v>http://collections.slsa.sa.gov.au/mpcimg/59000/B58892_85.htm</v>
      </c>
    </row>
    <row r="6753" spans="1:11" x14ac:dyDescent="0.25">
      <c r="A6753" t="s">
        <v>23193</v>
      </c>
      <c r="B6753" s="1" t="str">
        <f>HYPERLINK("https://www.catalog.slsa.sa.gov.au/record=b2090278")</f>
        <v>https://www.catalog.slsa.sa.gov.au/record=b2090278</v>
      </c>
      <c r="C6753" s="1" t="str">
        <f>HYPERLINK("https://www.catalog.slsa.sa.gov.au/xrecord=b2090278")</f>
        <v>https://www.catalog.slsa.sa.gov.au/xrecord=b2090278</v>
      </c>
      <c r="E6753" t="s">
        <v>15365</v>
      </c>
      <c r="F6753">
        <v>1953</v>
      </c>
      <c r="G6753" t="s">
        <v>22315</v>
      </c>
      <c r="H6753" t="s">
        <v>21471</v>
      </c>
      <c r="I6753" t="s">
        <v>17710</v>
      </c>
      <c r="J6753" t="s">
        <v>15341</v>
      </c>
      <c r="K6753" s="2" t="str">
        <f>HYPERLINK("http://collections.slsa.sa.gov.au/mpcimg/59000/B58892_124.htm")</f>
        <v>http://collections.slsa.sa.gov.au/mpcimg/59000/B58892_124.htm</v>
      </c>
    </row>
    <row r="6754" spans="1:11" x14ac:dyDescent="0.25">
      <c r="A6754" t="s">
        <v>23194</v>
      </c>
      <c r="B6754" s="1" t="str">
        <f>HYPERLINK("https://www.catalog.slsa.sa.gov.au/record=b2090313")</f>
        <v>https://www.catalog.slsa.sa.gov.au/record=b2090313</v>
      </c>
      <c r="C6754" s="1" t="str">
        <f>HYPERLINK("https://www.catalog.slsa.sa.gov.au/xrecord=b2090313")</f>
        <v>https://www.catalog.slsa.sa.gov.au/xrecord=b2090313</v>
      </c>
      <c r="E6754" t="s">
        <v>19492</v>
      </c>
      <c r="F6754">
        <v>1953</v>
      </c>
      <c r="G6754" t="s">
        <v>23195</v>
      </c>
      <c r="H6754" t="s">
        <v>23196</v>
      </c>
      <c r="I6754" t="s">
        <v>17703</v>
      </c>
      <c r="J6754" t="s">
        <v>15341</v>
      </c>
      <c r="K6754" s="2" t="str">
        <f>HYPERLINK("http://collections.slsa.sa.gov.au/mpcimg/59000/B58892_149.htm")</f>
        <v>http://collections.slsa.sa.gov.au/mpcimg/59000/B58892_149.htm</v>
      </c>
    </row>
    <row r="6755" spans="1:11" x14ac:dyDescent="0.25">
      <c r="A6755" t="s">
        <v>23197</v>
      </c>
      <c r="B6755" s="1" t="str">
        <f>HYPERLINK("https://www.catalog.slsa.sa.gov.au/record=b2090334")</f>
        <v>https://www.catalog.slsa.sa.gov.au/record=b2090334</v>
      </c>
      <c r="C6755" s="1" t="str">
        <f>HYPERLINK("https://www.catalog.slsa.sa.gov.au/xrecord=b2090334")</f>
        <v>https://www.catalog.slsa.sa.gov.au/xrecord=b2090334</v>
      </c>
      <c r="E6755" t="s">
        <v>19516</v>
      </c>
      <c r="F6755">
        <v>1953</v>
      </c>
      <c r="G6755" t="s">
        <v>20485</v>
      </c>
      <c r="H6755" t="s">
        <v>23198</v>
      </c>
      <c r="I6755" t="s">
        <v>19560</v>
      </c>
      <c r="J6755" t="s">
        <v>15341</v>
      </c>
      <c r="K6755" s="2" t="str">
        <f>HYPERLINK("http://collections.slsa.sa.gov.au/mpcimg/59000/B58892_170.htm")</f>
        <v>http://collections.slsa.sa.gov.au/mpcimg/59000/B58892_170.htm</v>
      </c>
    </row>
    <row r="6756" spans="1:11" x14ac:dyDescent="0.25">
      <c r="A6756" t="s">
        <v>23199</v>
      </c>
      <c r="B6756" s="1" t="str">
        <f>HYPERLINK("https://www.catalog.slsa.sa.gov.au/record=b2090337")</f>
        <v>https://www.catalog.slsa.sa.gov.au/record=b2090337</v>
      </c>
      <c r="C6756" s="1" t="str">
        <f>HYPERLINK("https://www.catalog.slsa.sa.gov.au/xrecord=b2090337")</f>
        <v>https://www.catalog.slsa.sa.gov.au/xrecord=b2090337</v>
      </c>
      <c r="E6756" t="s">
        <v>19516</v>
      </c>
      <c r="F6756">
        <v>1953</v>
      </c>
      <c r="G6756" t="s">
        <v>22289</v>
      </c>
      <c r="H6756" t="s">
        <v>23200</v>
      </c>
      <c r="I6756" t="s">
        <v>19475</v>
      </c>
      <c r="J6756" t="s">
        <v>15341</v>
      </c>
      <c r="K6756" s="2" t="str">
        <f>HYPERLINK("http://collections.slsa.sa.gov.au/mpcimg/59000/B58892_173.htm")</f>
        <v>http://collections.slsa.sa.gov.au/mpcimg/59000/B58892_173.htm</v>
      </c>
    </row>
    <row r="6757" spans="1:11" x14ac:dyDescent="0.25">
      <c r="A6757" t="s">
        <v>23201</v>
      </c>
      <c r="B6757" s="1" t="str">
        <f>HYPERLINK("https://www.catalog.slsa.sa.gov.au/record=b2090339")</f>
        <v>https://www.catalog.slsa.sa.gov.au/record=b2090339</v>
      </c>
      <c r="C6757" s="1" t="str">
        <f>HYPERLINK("https://www.catalog.slsa.sa.gov.au/xrecord=b2090339")</f>
        <v>https://www.catalog.slsa.sa.gov.au/xrecord=b2090339</v>
      </c>
      <c r="E6757" t="s">
        <v>19516</v>
      </c>
      <c r="F6757">
        <v>1953</v>
      </c>
      <c r="G6757" t="s">
        <v>23202</v>
      </c>
      <c r="H6757" t="s">
        <v>23203</v>
      </c>
      <c r="I6757" t="s">
        <v>15345</v>
      </c>
      <c r="J6757" t="s">
        <v>15341</v>
      </c>
      <c r="K6757" s="2" t="str">
        <f>HYPERLINK("http://collections.slsa.sa.gov.au/mpcimg/59000/B58892_175.htm")</f>
        <v>http://collections.slsa.sa.gov.au/mpcimg/59000/B58892_175.htm</v>
      </c>
    </row>
    <row r="6758" spans="1:11" x14ac:dyDescent="0.25">
      <c r="A6758" t="s">
        <v>23204</v>
      </c>
      <c r="B6758" s="1" t="str">
        <f>HYPERLINK("https://www.catalog.slsa.sa.gov.au/record=b2090388")</f>
        <v>https://www.catalog.slsa.sa.gov.au/record=b2090388</v>
      </c>
      <c r="C6758" s="1" t="str">
        <f>HYPERLINK("https://www.catalog.slsa.sa.gov.au/xrecord=b2090388")</f>
        <v>https://www.catalog.slsa.sa.gov.au/xrecord=b2090388</v>
      </c>
      <c r="E6758" t="s">
        <v>15372</v>
      </c>
      <c r="F6758">
        <v>1953</v>
      </c>
      <c r="G6758" t="s">
        <v>19626</v>
      </c>
      <c r="H6758" t="s">
        <v>19523</v>
      </c>
      <c r="I6758" t="s">
        <v>15356</v>
      </c>
      <c r="J6758" t="s">
        <v>15341</v>
      </c>
      <c r="K6758" s="2" t="str">
        <f>HYPERLINK("http://collections.slsa.sa.gov.au/mpcimg/59000/B58892_224.htm")</f>
        <v>http://collections.slsa.sa.gov.au/mpcimg/59000/B58892_224.htm</v>
      </c>
    </row>
    <row r="6759" spans="1:11" x14ac:dyDescent="0.25">
      <c r="A6759" t="s">
        <v>23205</v>
      </c>
      <c r="B6759" s="1" t="str">
        <f>HYPERLINK("https://www.catalog.slsa.sa.gov.au/record=b2090389")</f>
        <v>https://www.catalog.slsa.sa.gov.au/record=b2090389</v>
      </c>
      <c r="C6759" s="1" t="str">
        <f>HYPERLINK("https://www.catalog.slsa.sa.gov.au/xrecord=b2090389")</f>
        <v>https://www.catalog.slsa.sa.gov.au/xrecord=b2090389</v>
      </c>
      <c r="E6759" t="s">
        <v>15372</v>
      </c>
      <c r="F6759">
        <v>1953</v>
      </c>
      <c r="G6759" t="s">
        <v>23206</v>
      </c>
      <c r="H6759" t="s">
        <v>23207</v>
      </c>
      <c r="I6759" t="s">
        <v>17710</v>
      </c>
      <c r="J6759" t="s">
        <v>15341</v>
      </c>
      <c r="K6759" s="2" t="str">
        <f>HYPERLINK("http://collections.slsa.sa.gov.au/mpcimg/59000/B58892_225.htm")</f>
        <v>http://collections.slsa.sa.gov.au/mpcimg/59000/B58892_225.htm</v>
      </c>
    </row>
    <row r="6760" spans="1:11" x14ac:dyDescent="0.25">
      <c r="A6760" t="s">
        <v>23208</v>
      </c>
      <c r="B6760" s="1" t="str">
        <f>HYPERLINK("https://www.catalog.slsa.sa.gov.au/record=b2090441")</f>
        <v>https://www.catalog.slsa.sa.gov.au/record=b2090441</v>
      </c>
      <c r="C6760" s="1" t="str">
        <f>HYPERLINK("https://www.catalog.slsa.sa.gov.au/xrecord=b2090441")</f>
        <v>https://www.catalog.slsa.sa.gov.au/xrecord=b2090441</v>
      </c>
      <c r="E6760" t="s">
        <v>19612</v>
      </c>
      <c r="F6760">
        <v>1953</v>
      </c>
      <c r="G6760" t="s">
        <v>20286</v>
      </c>
      <c r="H6760" t="s">
        <v>23209</v>
      </c>
      <c r="I6760" t="s">
        <v>15405</v>
      </c>
      <c r="J6760" t="s">
        <v>15341</v>
      </c>
      <c r="K6760" s="2" t="str">
        <f>HYPERLINK("http://collections.slsa.sa.gov.au/mpcimg/59000/B58892_277.htm")</f>
        <v>http://collections.slsa.sa.gov.au/mpcimg/59000/B58892_277.htm</v>
      </c>
    </row>
    <row r="6761" spans="1:11" x14ac:dyDescent="0.25">
      <c r="A6761" t="s">
        <v>23210</v>
      </c>
      <c r="B6761" s="1" t="str">
        <f>HYPERLINK("https://www.catalog.slsa.sa.gov.au/record=b2090447")</f>
        <v>https://www.catalog.slsa.sa.gov.au/record=b2090447</v>
      </c>
      <c r="C6761" s="1" t="str">
        <f>HYPERLINK("https://www.catalog.slsa.sa.gov.au/xrecord=b2090447")</f>
        <v>https://www.catalog.slsa.sa.gov.au/xrecord=b2090447</v>
      </c>
      <c r="E6761" t="s">
        <v>19612</v>
      </c>
      <c r="F6761">
        <v>1953</v>
      </c>
      <c r="G6761" t="s">
        <v>23211</v>
      </c>
      <c r="H6761" t="s">
        <v>19505</v>
      </c>
      <c r="I6761" t="s">
        <v>15340</v>
      </c>
      <c r="J6761" t="s">
        <v>15341</v>
      </c>
      <c r="K6761" s="2" t="str">
        <f>HYPERLINK("http://collections.slsa.sa.gov.au/mpcimg/59000/B58892_283.htm")</f>
        <v>http://collections.slsa.sa.gov.au/mpcimg/59000/B58892_283.htm</v>
      </c>
    </row>
    <row r="6762" spans="1:11" x14ac:dyDescent="0.25">
      <c r="A6762" t="s">
        <v>23212</v>
      </c>
      <c r="B6762" s="1" t="str">
        <f>HYPERLINK("https://www.catalog.slsa.sa.gov.au/record=b2090495")</f>
        <v>https://www.catalog.slsa.sa.gov.au/record=b2090495</v>
      </c>
      <c r="C6762" s="1" t="str">
        <f>HYPERLINK("https://www.catalog.slsa.sa.gov.au/xrecord=b2090495")</f>
        <v>https://www.catalog.slsa.sa.gov.au/xrecord=b2090495</v>
      </c>
      <c r="E6762" t="s">
        <v>19632</v>
      </c>
      <c r="F6762">
        <v>1953</v>
      </c>
      <c r="G6762" t="s">
        <v>23213</v>
      </c>
      <c r="H6762" t="s">
        <v>23214</v>
      </c>
      <c r="I6762" t="s">
        <v>19635</v>
      </c>
      <c r="J6762" t="s">
        <v>15341</v>
      </c>
      <c r="K6762" s="2" t="str">
        <f>HYPERLINK("http://collections.slsa.sa.gov.au/mpcimg/59000/B58892_331.htm")</f>
        <v>http://collections.slsa.sa.gov.au/mpcimg/59000/B58892_331.htm</v>
      </c>
    </row>
    <row r="6763" spans="1:11" x14ac:dyDescent="0.25">
      <c r="A6763" t="s">
        <v>23215</v>
      </c>
      <c r="B6763" s="1" t="str">
        <f>HYPERLINK("https://www.catalog.slsa.sa.gov.au/record=b2090518")</f>
        <v>https://www.catalog.slsa.sa.gov.au/record=b2090518</v>
      </c>
      <c r="C6763" s="1" t="str">
        <f>HYPERLINK("https://www.catalog.slsa.sa.gov.au/xrecord=b2090518")</f>
        <v>https://www.catalog.slsa.sa.gov.au/xrecord=b2090518</v>
      </c>
      <c r="E6763" t="s">
        <v>15394</v>
      </c>
      <c r="F6763">
        <v>1953</v>
      </c>
      <c r="G6763" t="s">
        <v>19403</v>
      </c>
      <c r="H6763" t="s">
        <v>23216</v>
      </c>
      <c r="I6763" t="s">
        <v>19635</v>
      </c>
      <c r="J6763" t="s">
        <v>15341</v>
      </c>
      <c r="K6763" s="2" t="str">
        <f>HYPERLINK("http://collections.slsa.sa.gov.au/mpcimg/59000/B58892_354.htm")</f>
        <v>http://collections.slsa.sa.gov.au/mpcimg/59000/B58892_354.htm</v>
      </c>
    </row>
    <row r="6764" spans="1:11" x14ac:dyDescent="0.25">
      <c r="A6764" t="s">
        <v>23217</v>
      </c>
      <c r="B6764" s="1" t="str">
        <f>HYPERLINK("https://www.catalog.slsa.sa.gov.au/record=b2090539")</f>
        <v>https://www.catalog.slsa.sa.gov.au/record=b2090539</v>
      </c>
      <c r="C6764" s="1" t="str">
        <f>HYPERLINK("https://www.catalog.slsa.sa.gov.au/xrecord=b2090539")</f>
        <v>https://www.catalog.slsa.sa.gov.au/xrecord=b2090539</v>
      </c>
      <c r="E6764" t="s">
        <v>15394</v>
      </c>
      <c r="F6764">
        <v>1953</v>
      </c>
      <c r="G6764" t="s">
        <v>19433</v>
      </c>
      <c r="H6764" t="s">
        <v>23218</v>
      </c>
      <c r="I6764" t="s">
        <v>17710</v>
      </c>
      <c r="J6764" t="s">
        <v>15341</v>
      </c>
      <c r="K6764" s="2" t="str">
        <f>HYPERLINK("http://collections.slsa.sa.gov.au/mpcimg/59000/B58892_375.htm")</f>
        <v>http://collections.slsa.sa.gov.au/mpcimg/59000/B58892_375.htm</v>
      </c>
    </row>
    <row r="6765" spans="1:11" x14ac:dyDescent="0.25">
      <c r="A6765" t="s">
        <v>23219</v>
      </c>
      <c r="B6765" s="1" t="str">
        <f>HYPERLINK("https://www.catalog.slsa.sa.gov.au/record=b2090540")</f>
        <v>https://www.catalog.slsa.sa.gov.au/record=b2090540</v>
      </c>
      <c r="C6765" s="1" t="str">
        <f>HYPERLINK("https://www.catalog.slsa.sa.gov.au/xrecord=b2090540")</f>
        <v>https://www.catalog.slsa.sa.gov.au/xrecord=b2090540</v>
      </c>
      <c r="E6765" t="s">
        <v>15394</v>
      </c>
      <c r="F6765">
        <v>1953</v>
      </c>
      <c r="G6765" t="s">
        <v>19619</v>
      </c>
      <c r="H6765" t="s">
        <v>23218</v>
      </c>
      <c r="I6765" t="s">
        <v>17710</v>
      </c>
      <c r="J6765" t="s">
        <v>15341</v>
      </c>
      <c r="K6765" s="2" t="str">
        <f>HYPERLINK("http://collections.slsa.sa.gov.au/mpcimg/59000/B58892_376.htm")</f>
        <v>http://collections.slsa.sa.gov.au/mpcimg/59000/B58892_376.htm</v>
      </c>
    </row>
    <row r="6766" spans="1:11" x14ac:dyDescent="0.25">
      <c r="A6766" t="s">
        <v>23220</v>
      </c>
      <c r="B6766" s="1" t="str">
        <f>HYPERLINK("https://www.catalog.slsa.sa.gov.au/record=b2090541")</f>
        <v>https://www.catalog.slsa.sa.gov.au/record=b2090541</v>
      </c>
      <c r="C6766" s="1" t="str">
        <f>HYPERLINK("https://www.catalog.slsa.sa.gov.au/xrecord=b2090541")</f>
        <v>https://www.catalog.slsa.sa.gov.au/xrecord=b2090541</v>
      </c>
      <c r="E6766" t="s">
        <v>15394</v>
      </c>
      <c r="F6766">
        <v>1953</v>
      </c>
      <c r="G6766" t="s">
        <v>23206</v>
      </c>
      <c r="H6766" t="s">
        <v>23218</v>
      </c>
      <c r="I6766" t="s">
        <v>17710</v>
      </c>
      <c r="J6766" t="s">
        <v>15341</v>
      </c>
      <c r="K6766" s="2" t="str">
        <f>HYPERLINK("http://collections.slsa.sa.gov.au/mpcimg/59000/B58892_377.htm")</f>
        <v>http://collections.slsa.sa.gov.au/mpcimg/59000/B58892_377.htm</v>
      </c>
    </row>
    <row r="6767" spans="1:11" x14ac:dyDescent="0.25">
      <c r="A6767" t="s">
        <v>23221</v>
      </c>
      <c r="B6767" s="1" t="str">
        <f>HYPERLINK("https://www.catalog.slsa.sa.gov.au/record=b2090554")</f>
        <v>https://www.catalog.slsa.sa.gov.au/record=b2090554</v>
      </c>
      <c r="C6767" s="1" t="str">
        <f>HYPERLINK("https://www.catalog.slsa.sa.gov.au/xrecord=b2090554")</f>
        <v>https://www.catalog.slsa.sa.gov.au/xrecord=b2090554</v>
      </c>
      <c r="E6767" t="s">
        <v>19666</v>
      </c>
      <c r="F6767">
        <v>1953</v>
      </c>
      <c r="G6767" t="s">
        <v>23222</v>
      </c>
      <c r="H6767" t="s">
        <v>23223</v>
      </c>
      <c r="I6767" t="s">
        <v>17710</v>
      </c>
      <c r="J6767" t="s">
        <v>15341</v>
      </c>
      <c r="K6767" s="2" t="str">
        <f>HYPERLINK("http://collections.slsa.sa.gov.au/mpcimg/59000/B58892_390.htm")</f>
        <v>http://collections.slsa.sa.gov.au/mpcimg/59000/B58892_390.htm</v>
      </c>
    </row>
    <row r="6768" spans="1:11" x14ac:dyDescent="0.25">
      <c r="A6768" t="s">
        <v>23224</v>
      </c>
      <c r="B6768" s="1" t="str">
        <f>HYPERLINK("https://www.catalog.slsa.sa.gov.au/record=b2090742")</f>
        <v>https://www.catalog.slsa.sa.gov.au/record=b2090742</v>
      </c>
      <c r="C6768" s="1" t="str">
        <f>HYPERLINK("https://www.catalog.slsa.sa.gov.au/xrecord=b2090742")</f>
        <v>https://www.catalog.slsa.sa.gov.au/xrecord=b2090742</v>
      </c>
      <c r="E6768" t="s">
        <v>15402</v>
      </c>
      <c r="F6768">
        <v>1953</v>
      </c>
      <c r="G6768" t="s">
        <v>23213</v>
      </c>
      <c r="H6768" t="s">
        <v>23225</v>
      </c>
      <c r="I6768" t="s">
        <v>15386</v>
      </c>
      <c r="J6768" t="s">
        <v>15341</v>
      </c>
      <c r="K6768" s="2" t="str">
        <f>HYPERLINK("http://collections.slsa.sa.gov.au/mpcimg/59000/B58892_529.htm")</f>
        <v>http://collections.slsa.sa.gov.au/mpcimg/59000/B58892_529.htm</v>
      </c>
    </row>
    <row r="6769" spans="1:11" x14ac:dyDescent="0.25">
      <c r="A6769" t="s">
        <v>23226</v>
      </c>
      <c r="B6769" s="1" t="str">
        <f>HYPERLINK("https://www.catalog.slsa.sa.gov.au/record=b2090743")</f>
        <v>https://www.catalog.slsa.sa.gov.au/record=b2090743</v>
      </c>
      <c r="C6769" s="1" t="str">
        <f>HYPERLINK("https://www.catalog.slsa.sa.gov.au/xrecord=b2090743")</f>
        <v>https://www.catalog.slsa.sa.gov.au/xrecord=b2090743</v>
      </c>
      <c r="E6769" t="s">
        <v>15402</v>
      </c>
      <c r="F6769">
        <v>1953</v>
      </c>
      <c r="G6769" t="s">
        <v>23227</v>
      </c>
      <c r="H6769" t="s">
        <v>23228</v>
      </c>
      <c r="I6769" t="s">
        <v>17710</v>
      </c>
      <c r="J6769" t="s">
        <v>15341</v>
      </c>
      <c r="K6769" s="2" t="str">
        <f>HYPERLINK("http://collections.slsa.sa.gov.au/mpcimg/59000/B58892_530.htm")</f>
        <v>http://collections.slsa.sa.gov.au/mpcimg/59000/B58892_530.htm</v>
      </c>
    </row>
    <row r="6770" spans="1:11" x14ac:dyDescent="0.25">
      <c r="A6770" t="s">
        <v>23229</v>
      </c>
      <c r="B6770" s="1" t="str">
        <f>HYPERLINK("https://www.catalog.slsa.sa.gov.au/record=b2090744")</f>
        <v>https://www.catalog.slsa.sa.gov.au/record=b2090744</v>
      </c>
      <c r="C6770" s="1" t="str">
        <f>HYPERLINK("https://www.catalog.slsa.sa.gov.au/xrecord=b2090744")</f>
        <v>https://www.catalog.slsa.sa.gov.au/xrecord=b2090744</v>
      </c>
      <c r="E6770" t="s">
        <v>15402</v>
      </c>
      <c r="F6770">
        <v>1953</v>
      </c>
      <c r="G6770" t="s">
        <v>23230</v>
      </c>
      <c r="H6770" t="s">
        <v>23231</v>
      </c>
      <c r="I6770" t="s">
        <v>17710</v>
      </c>
      <c r="J6770" t="s">
        <v>15341</v>
      </c>
      <c r="K6770" s="2" t="str">
        <f>HYPERLINK("http://collections.slsa.sa.gov.au/mpcimg/59000/B58892_531.htm")</f>
        <v>http://collections.slsa.sa.gov.au/mpcimg/59000/B58892_531.htm</v>
      </c>
    </row>
    <row r="6771" spans="1:11" x14ac:dyDescent="0.25">
      <c r="A6771" t="s">
        <v>23232</v>
      </c>
      <c r="B6771" s="1" t="str">
        <f>HYPERLINK("https://www.catalog.slsa.sa.gov.au/record=b2090745")</f>
        <v>https://www.catalog.slsa.sa.gov.au/record=b2090745</v>
      </c>
      <c r="C6771" s="1" t="str">
        <f>HYPERLINK("https://www.catalog.slsa.sa.gov.au/xrecord=b2090745")</f>
        <v>https://www.catalog.slsa.sa.gov.au/xrecord=b2090745</v>
      </c>
      <c r="E6771" t="s">
        <v>15402</v>
      </c>
      <c r="F6771">
        <v>1953</v>
      </c>
      <c r="G6771" t="s">
        <v>21560</v>
      </c>
      <c r="H6771" t="s">
        <v>23233</v>
      </c>
      <c r="I6771" t="s">
        <v>19408</v>
      </c>
      <c r="J6771" t="s">
        <v>15341</v>
      </c>
      <c r="K6771" s="2" t="str">
        <f>HYPERLINK("http://collections.slsa.sa.gov.au/mpcimg/59000/B58892_532.htm")</f>
        <v>http://collections.slsa.sa.gov.au/mpcimg/59000/B58892_532.htm</v>
      </c>
    </row>
    <row r="6772" spans="1:11" x14ac:dyDescent="0.25">
      <c r="A6772" t="s">
        <v>23234</v>
      </c>
      <c r="B6772" s="1" t="str">
        <f>HYPERLINK("https://www.catalog.slsa.sa.gov.au/record=b2093104")</f>
        <v>https://www.catalog.slsa.sa.gov.au/record=b2093104</v>
      </c>
      <c r="C6772" s="1" t="str">
        <f>HYPERLINK("https://www.catalog.slsa.sa.gov.au/xrecord=b2093104")</f>
        <v>https://www.catalog.slsa.sa.gov.au/xrecord=b2093104</v>
      </c>
      <c r="E6772" t="s">
        <v>23235</v>
      </c>
      <c r="F6772">
        <v>1953</v>
      </c>
      <c r="G6772" t="s">
        <v>15106</v>
      </c>
      <c r="H6772" t="s">
        <v>23236</v>
      </c>
      <c r="I6772" t="s">
        <v>23237</v>
      </c>
      <c r="J6772" t="s">
        <v>15449</v>
      </c>
      <c r="K6772" s="2" t="str">
        <f>HYPERLINK("http://collections.slsa.sa.gov.au/mpcimg/08000/B7798_130.htm")</f>
        <v>http://collections.slsa.sa.gov.au/mpcimg/08000/B7798_130.htm</v>
      </c>
    </row>
    <row r="6773" spans="1:11" x14ac:dyDescent="0.25">
      <c r="A6773" t="s">
        <v>23238</v>
      </c>
      <c r="B6773" s="1" t="str">
        <f>HYPERLINK("https://www.catalog.slsa.sa.gov.au/record=b2093123")</f>
        <v>https://www.catalog.slsa.sa.gov.au/record=b2093123</v>
      </c>
      <c r="C6773" s="1" t="str">
        <f>HYPERLINK("https://www.catalog.slsa.sa.gov.au/xrecord=b2093123")</f>
        <v>https://www.catalog.slsa.sa.gov.au/xrecord=b2093123</v>
      </c>
      <c r="D6773" t="s">
        <v>2939</v>
      </c>
      <c r="E6773" t="s">
        <v>23239</v>
      </c>
      <c r="F6773">
        <v>1953</v>
      </c>
      <c r="G6773" t="s">
        <v>23240</v>
      </c>
      <c r="H6773" t="s">
        <v>23241</v>
      </c>
      <c r="I6773" t="s">
        <v>15475</v>
      </c>
      <c r="J6773" t="s">
        <v>15449</v>
      </c>
      <c r="K6773" s="2" t="str">
        <f>HYPERLINK("http://collections.slsa.sa.gov.au/mpcimg/08000/B7798_149.htm")</f>
        <v>http://collections.slsa.sa.gov.au/mpcimg/08000/B7798_149.htm</v>
      </c>
    </row>
    <row r="6774" spans="1:11" x14ac:dyDescent="0.25">
      <c r="A6774" t="s">
        <v>23242</v>
      </c>
      <c r="B6774" s="1" t="str">
        <f>HYPERLINK("https://www.catalog.slsa.sa.gov.au/record=b2094721")</f>
        <v>https://www.catalog.slsa.sa.gov.au/record=b2094721</v>
      </c>
      <c r="C6774" s="1" t="str">
        <f>HYPERLINK("https://www.catalog.slsa.sa.gov.au/xrecord=b2094721")</f>
        <v>https://www.catalog.slsa.sa.gov.au/xrecord=b2094721</v>
      </c>
      <c r="E6774" t="s">
        <v>23243</v>
      </c>
      <c r="F6774">
        <v>1953</v>
      </c>
      <c r="G6774" t="s">
        <v>23244</v>
      </c>
      <c r="H6774" t="s">
        <v>23245</v>
      </c>
      <c r="I6774" t="s">
        <v>23246</v>
      </c>
      <c r="J6774" t="s">
        <v>15449</v>
      </c>
      <c r="K6774" s="2" t="str">
        <f>HYPERLINK("http://collections.slsa.sa.gov.au/mpcimg/08000/B7798_467.htm")</f>
        <v>http://collections.slsa.sa.gov.au/mpcimg/08000/B7798_467.htm</v>
      </c>
    </row>
    <row r="6775" spans="1:11" x14ac:dyDescent="0.25">
      <c r="A6775" t="s">
        <v>23247</v>
      </c>
      <c r="B6775" s="1" t="str">
        <f>HYPERLINK("https://www.catalog.slsa.sa.gov.au/record=b2095401")</f>
        <v>https://www.catalog.slsa.sa.gov.au/record=b2095401</v>
      </c>
      <c r="C6775" s="1" t="str">
        <f>HYPERLINK("https://www.catalog.slsa.sa.gov.au/xrecord=b2095401")</f>
        <v>https://www.catalog.slsa.sa.gov.au/xrecord=b2095401</v>
      </c>
      <c r="E6775" t="s">
        <v>23248</v>
      </c>
      <c r="F6775">
        <v>1953</v>
      </c>
      <c r="G6775" t="s">
        <v>23249</v>
      </c>
      <c r="H6775" t="s">
        <v>23250</v>
      </c>
      <c r="I6775" t="s">
        <v>23251</v>
      </c>
      <c r="J6775" t="s">
        <v>15449</v>
      </c>
      <c r="K6775" s="2" t="str">
        <f>HYPERLINK("http://collections.slsa.sa.gov.au/mpcimg/08000/B7798_559.htm")</f>
        <v>http://collections.slsa.sa.gov.au/mpcimg/08000/B7798_559.htm</v>
      </c>
    </row>
    <row r="6776" spans="1:11" x14ac:dyDescent="0.25">
      <c r="A6776" t="s">
        <v>23252</v>
      </c>
      <c r="B6776" s="1" t="str">
        <f>HYPERLINK("https://www.catalog.slsa.sa.gov.au/record=b2095402")</f>
        <v>https://www.catalog.slsa.sa.gov.au/record=b2095402</v>
      </c>
      <c r="C6776" s="1" t="str">
        <f>HYPERLINK("https://www.catalog.slsa.sa.gov.au/xrecord=b2095402")</f>
        <v>https://www.catalog.slsa.sa.gov.au/xrecord=b2095402</v>
      </c>
      <c r="E6776" t="s">
        <v>23253</v>
      </c>
      <c r="F6776">
        <v>1953</v>
      </c>
      <c r="G6776" t="s">
        <v>23254</v>
      </c>
      <c r="H6776" t="s">
        <v>23255</v>
      </c>
      <c r="I6776" t="s">
        <v>23251</v>
      </c>
      <c r="J6776" t="s">
        <v>15449</v>
      </c>
      <c r="K6776" s="2" t="str">
        <f>HYPERLINK("http://collections.slsa.sa.gov.au/mpcimg/08000/B7798_560.htm")</f>
        <v>http://collections.slsa.sa.gov.au/mpcimg/08000/B7798_560.htm</v>
      </c>
    </row>
    <row r="6777" spans="1:11" x14ac:dyDescent="0.25">
      <c r="A6777" t="s">
        <v>23256</v>
      </c>
      <c r="B6777" s="1" t="str">
        <f>HYPERLINK("https://www.catalog.slsa.sa.gov.au/record=b2095403")</f>
        <v>https://www.catalog.slsa.sa.gov.au/record=b2095403</v>
      </c>
      <c r="C6777" s="1" t="str">
        <f>HYPERLINK("https://www.catalog.slsa.sa.gov.au/xrecord=b2095403")</f>
        <v>https://www.catalog.slsa.sa.gov.au/xrecord=b2095403</v>
      </c>
      <c r="E6777" t="s">
        <v>23257</v>
      </c>
      <c r="F6777">
        <v>1953</v>
      </c>
      <c r="G6777" t="s">
        <v>19812</v>
      </c>
      <c r="H6777" t="s">
        <v>23258</v>
      </c>
      <c r="I6777" t="s">
        <v>23251</v>
      </c>
      <c r="J6777" t="s">
        <v>15449</v>
      </c>
      <c r="K6777" s="2" t="str">
        <f>HYPERLINK("http://collections.slsa.sa.gov.au/mpcimg/08000/B7798_561.htm")</f>
        <v>http://collections.slsa.sa.gov.au/mpcimg/08000/B7798_561.htm</v>
      </c>
    </row>
    <row r="6778" spans="1:11" x14ac:dyDescent="0.25">
      <c r="A6778" t="s">
        <v>23259</v>
      </c>
      <c r="B6778" s="1" t="str">
        <f>HYPERLINK("https://www.catalog.slsa.sa.gov.au/record=b2095416")</f>
        <v>https://www.catalog.slsa.sa.gov.au/record=b2095416</v>
      </c>
      <c r="C6778" s="1" t="str">
        <f>HYPERLINK("https://www.catalog.slsa.sa.gov.au/xrecord=b2095416")</f>
        <v>https://www.catalog.slsa.sa.gov.au/xrecord=b2095416</v>
      </c>
      <c r="E6778" t="s">
        <v>23260</v>
      </c>
      <c r="F6778">
        <v>1953</v>
      </c>
      <c r="G6778" t="s">
        <v>15106</v>
      </c>
      <c r="I6778" t="s">
        <v>23261</v>
      </c>
      <c r="J6778" t="s">
        <v>15449</v>
      </c>
      <c r="K6778" s="2" t="str">
        <f>HYPERLINK("http://collections.slsa.sa.gov.au/mpcimg/08000/B7798_567.htm")</f>
        <v>http://collections.slsa.sa.gov.au/mpcimg/08000/B7798_567.htm</v>
      </c>
    </row>
    <row r="6779" spans="1:11" x14ac:dyDescent="0.25">
      <c r="A6779" t="s">
        <v>23262</v>
      </c>
      <c r="B6779" s="1" t="str">
        <f>HYPERLINK("https://www.catalog.slsa.sa.gov.au/record=b2095455")</f>
        <v>https://www.catalog.slsa.sa.gov.au/record=b2095455</v>
      </c>
      <c r="C6779" s="1" t="str">
        <f>HYPERLINK("https://www.catalog.slsa.sa.gov.au/xrecord=b2095455")</f>
        <v>https://www.catalog.slsa.sa.gov.au/xrecord=b2095455</v>
      </c>
      <c r="E6779" t="s">
        <v>23263</v>
      </c>
      <c r="F6779">
        <v>1953</v>
      </c>
      <c r="G6779" t="s">
        <v>19800</v>
      </c>
      <c r="H6779" t="s">
        <v>23264</v>
      </c>
      <c r="I6779" t="s">
        <v>6579</v>
      </c>
      <c r="J6779" t="s">
        <v>15449</v>
      </c>
      <c r="K6779" s="2" t="str">
        <f>HYPERLINK("http://collections.slsa.sa.gov.au/mpcimg/08000/B7798_591.htm")</f>
        <v>http://collections.slsa.sa.gov.au/mpcimg/08000/B7798_591.htm</v>
      </c>
    </row>
    <row r="6780" spans="1:11" x14ac:dyDescent="0.25">
      <c r="A6780" t="s">
        <v>23265</v>
      </c>
      <c r="B6780" s="1" t="str">
        <f>HYPERLINK("https://www.catalog.slsa.sa.gov.au/record=b2096290")</f>
        <v>https://www.catalog.slsa.sa.gov.au/record=b2096290</v>
      </c>
      <c r="C6780" s="1" t="str">
        <f>HYPERLINK("https://www.catalog.slsa.sa.gov.au/xrecord=b2096290")</f>
        <v>https://www.catalog.slsa.sa.gov.au/xrecord=b2096290</v>
      </c>
      <c r="D6780" t="s">
        <v>2939</v>
      </c>
      <c r="E6780" t="s">
        <v>23266</v>
      </c>
      <c r="F6780">
        <v>1953</v>
      </c>
      <c r="G6780" t="s">
        <v>23267</v>
      </c>
      <c r="H6780" t="s">
        <v>23268</v>
      </c>
      <c r="I6780" t="s">
        <v>23269</v>
      </c>
      <c r="J6780" t="s">
        <v>15449</v>
      </c>
      <c r="K6780" s="2" t="str">
        <f>HYPERLINK("http://collections.slsa.sa.gov.au/mpcimg/08000/B7798_634.htm")</f>
        <v>http://collections.slsa.sa.gov.au/mpcimg/08000/B7798_634.htm</v>
      </c>
    </row>
    <row r="6781" spans="1:11" x14ac:dyDescent="0.25">
      <c r="A6781" t="s">
        <v>23270</v>
      </c>
      <c r="B6781" s="1" t="str">
        <f>HYPERLINK("https://www.catalog.slsa.sa.gov.au/record=b2096301")</f>
        <v>https://www.catalog.slsa.sa.gov.au/record=b2096301</v>
      </c>
      <c r="C6781" s="1" t="str">
        <f>HYPERLINK("https://www.catalog.slsa.sa.gov.au/xrecord=b2096301")</f>
        <v>https://www.catalog.slsa.sa.gov.au/xrecord=b2096301</v>
      </c>
      <c r="D6781" t="s">
        <v>2939</v>
      </c>
      <c r="E6781" t="s">
        <v>23271</v>
      </c>
      <c r="F6781">
        <v>1953</v>
      </c>
      <c r="G6781" t="s">
        <v>23272</v>
      </c>
      <c r="H6781" t="s">
        <v>23273</v>
      </c>
      <c r="I6781" t="s">
        <v>23274</v>
      </c>
      <c r="J6781" t="s">
        <v>15449</v>
      </c>
      <c r="K6781" s="2" t="str">
        <f>HYPERLINK("http://collections.slsa.sa.gov.au/mpcimg/08000/B7798_641.htm")</f>
        <v>http://collections.slsa.sa.gov.au/mpcimg/08000/B7798_641.htm</v>
      </c>
    </row>
    <row r="6782" spans="1:11" x14ac:dyDescent="0.25">
      <c r="A6782" t="s">
        <v>23275</v>
      </c>
      <c r="B6782" s="1" t="str">
        <f>HYPERLINK("https://www.catalog.slsa.sa.gov.au/record=b2096303")</f>
        <v>https://www.catalog.slsa.sa.gov.au/record=b2096303</v>
      </c>
      <c r="C6782" s="1" t="str">
        <f>HYPERLINK("https://www.catalog.slsa.sa.gov.au/xrecord=b2096303")</f>
        <v>https://www.catalog.slsa.sa.gov.au/xrecord=b2096303</v>
      </c>
      <c r="D6782" t="s">
        <v>2939</v>
      </c>
      <c r="E6782" t="s">
        <v>23276</v>
      </c>
      <c r="F6782">
        <v>1953</v>
      </c>
      <c r="G6782" t="s">
        <v>15021</v>
      </c>
      <c r="H6782" t="s">
        <v>23277</v>
      </c>
      <c r="I6782" t="s">
        <v>23278</v>
      </c>
      <c r="J6782" t="s">
        <v>15449</v>
      </c>
      <c r="K6782" s="2" t="str">
        <f>HYPERLINK("http://collections.slsa.sa.gov.au/mpcimg/08000/B7798_642.htm")</f>
        <v>http://collections.slsa.sa.gov.au/mpcimg/08000/B7798_642.htm</v>
      </c>
    </row>
    <row r="6783" spans="1:11" x14ac:dyDescent="0.25">
      <c r="A6783" t="s">
        <v>23279</v>
      </c>
      <c r="B6783" s="1" t="str">
        <f>HYPERLINK("https://www.catalog.slsa.sa.gov.au/record=b2096305")</f>
        <v>https://www.catalog.slsa.sa.gov.au/record=b2096305</v>
      </c>
      <c r="C6783" s="1" t="str">
        <f>HYPERLINK("https://www.catalog.slsa.sa.gov.au/xrecord=b2096305")</f>
        <v>https://www.catalog.slsa.sa.gov.au/xrecord=b2096305</v>
      </c>
      <c r="E6783" t="s">
        <v>23276</v>
      </c>
      <c r="F6783">
        <v>1953</v>
      </c>
      <c r="G6783" t="s">
        <v>23280</v>
      </c>
      <c r="H6783" t="s">
        <v>23281</v>
      </c>
      <c r="I6783" t="s">
        <v>23278</v>
      </c>
      <c r="J6783" t="s">
        <v>15449</v>
      </c>
      <c r="K6783" s="2" t="str">
        <f>HYPERLINK("http://collections.slsa.sa.gov.au/mpcimg/08000/B7798_643.htm")</f>
        <v>http://collections.slsa.sa.gov.au/mpcimg/08000/B7798_643.htm</v>
      </c>
    </row>
    <row r="6784" spans="1:11" x14ac:dyDescent="0.25">
      <c r="A6784" t="s">
        <v>23282</v>
      </c>
      <c r="B6784" s="1" t="str">
        <f>HYPERLINK("https://www.catalog.slsa.sa.gov.au/record=b2096306")</f>
        <v>https://www.catalog.slsa.sa.gov.au/record=b2096306</v>
      </c>
      <c r="C6784" s="1" t="str">
        <f>HYPERLINK("https://www.catalog.slsa.sa.gov.au/xrecord=b2096306")</f>
        <v>https://www.catalog.slsa.sa.gov.au/xrecord=b2096306</v>
      </c>
      <c r="E6784" t="s">
        <v>23276</v>
      </c>
      <c r="F6784">
        <v>1953</v>
      </c>
      <c r="G6784" t="s">
        <v>20841</v>
      </c>
      <c r="H6784" t="s">
        <v>23281</v>
      </c>
      <c r="I6784" t="s">
        <v>23278</v>
      </c>
      <c r="J6784" t="s">
        <v>15449</v>
      </c>
      <c r="K6784" s="2" t="str">
        <f>HYPERLINK("http://collections.slsa.sa.gov.au/mpcimg/08000/B7798_644.htm")</f>
        <v>http://collections.slsa.sa.gov.au/mpcimg/08000/B7798_644.htm</v>
      </c>
    </row>
    <row r="6785" spans="1:11" x14ac:dyDescent="0.25">
      <c r="A6785" t="s">
        <v>23283</v>
      </c>
      <c r="B6785" s="1" t="str">
        <f>HYPERLINK("https://www.catalog.slsa.sa.gov.au/record=b2105939")</f>
        <v>https://www.catalog.slsa.sa.gov.au/record=b2105939</v>
      </c>
      <c r="C6785" s="1" t="str">
        <f>HYPERLINK("https://www.catalog.slsa.sa.gov.au/xrecord=b2105939")</f>
        <v>https://www.catalog.slsa.sa.gov.au/xrecord=b2105939</v>
      </c>
      <c r="E6785" t="s">
        <v>23284</v>
      </c>
      <c r="F6785">
        <v>1953</v>
      </c>
      <c r="G6785" t="s">
        <v>23285</v>
      </c>
      <c r="H6785" t="s">
        <v>23286</v>
      </c>
      <c r="I6785" t="s">
        <v>19888</v>
      </c>
      <c r="J6785" t="s">
        <v>14768</v>
      </c>
      <c r="K6785" s="2" t="str">
        <f>HYPERLINK("http://collections.slsa.sa.gov.au/mpcimg/69250/B69087_15.htm")</f>
        <v>http://collections.slsa.sa.gov.au/mpcimg/69250/B69087_15.htm</v>
      </c>
    </row>
    <row r="6786" spans="1:11" x14ac:dyDescent="0.25">
      <c r="A6786" t="s">
        <v>23287</v>
      </c>
      <c r="B6786" s="1" t="str">
        <f>HYPERLINK("https://www.catalog.slsa.sa.gov.au/record=b2106114")</f>
        <v>https://www.catalog.slsa.sa.gov.au/record=b2106114</v>
      </c>
      <c r="C6786" s="1" t="str">
        <f>HYPERLINK("https://www.catalog.slsa.sa.gov.au/xrecord=b2106114")</f>
        <v>https://www.catalog.slsa.sa.gov.au/xrecord=b2106114</v>
      </c>
      <c r="E6786" t="s">
        <v>23288</v>
      </c>
      <c r="F6786">
        <v>1953</v>
      </c>
      <c r="G6786" t="s">
        <v>23289</v>
      </c>
      <c r="H6786" t="s">
        <v>23290</v>
      </c>
      <c r="I6786" t="s">
        <v>23291</v>
      </c>
      <c r="J6786" t="s">
        <v>14768</v>
      </c>
      <c r="K6786" s="2" t="str">
        <f>HYPERLINK("http://collections.slsa.sa.gov.au/mpcimg/69250/B69087_24.htm")</f>
        <v>http://collections.slsa.sa.gov.au/mpcimg/69250/B69087_24.htm</v>
      </c>
    </row>
    <row r="6787" spans="1:11" x14ac:dyDescent="0.25">
      <c r="A6787" t="s">
        <v>23292</v>
      </c>
      <c r="B6787" s="1" t="str">
        <f>HYPERLINK("https://www.catalog.slsa.sa.gov.au/record=b2106120")</f>
        <v>https://www.catalog.slsa.sa.gov.au/record=b2106120</v>
      </c>
      <c r="C6787" s="1" t="str">
        <f>HYPERLINK("https://www.catalog.slsa.sa.gov.au/xrecord=b2106120")</f>
        <v>https://www.catalog.slsa.sa.gov.au/xrecord=b2106120</v>
      </c>
      <c r="D6787" t="s">
        <v>23293</v>
      </c>
      <c r="E6787" t="s">
        <v>23288</v>
      </c>
      <c r="F6787">
        <v>1953</v>
      </c>
      <c r="G6787" t="s">
        <v>21872</v>
      </c>
      <c r="H6787" t="s">
        <v>23294</v>
      </c>
      <c r="I6787" t="s">
        <v>23291</v>
      </c>
      <c r="J6787" t="s">
        <v>14768</v>
      </c>
      <c r="K6787" s="2" t="str">
        <f>HYPERLINK("http://collections.slsa.sa.gov.au/mpcimg/69250/B69087_29.htm")</f>
        <v>http://collections.slsa.sa.gov.au/mpcimg/69250/B69087_29.htm</v>
      </c>
    </row>
    <row r="6788" spans="1:11" x14ac:dyDescent="0.25">
      <c r="A6788" t="s">
        <v>23295</v>
      </c>
      <c r="B6788" s="1" t="str">
        <f>HYPERLINK("https://www.catalog.slsa.sa.gov.au/record=b2108927")</f>
        <v>https://www.catalog.slsa.sa.gov.au/record=b2108927</v>
      </c>
      <c r="C6788" s="1" t="str">
        <f>HYPERLINK("https://www.catalog.slsa.sa.gov.au/xrecord=b2108927")</f>
        <v>https://www.catalog.slsa.sa.gov.au/xrecord=b2108927</v>
      </c>
      <c r="D6788" t="s">
        <v>23296</v>
      </c>
      <c r="E6788" t="s">
        <v>23297</v>
      </c>
      <c r="F6788">
        <v>1953</v>
      </c>
      <c r="G6788" t="s">
        <v>23298</v>
      </c>
      <c r="H6788" t="s">
        <v>23299</v>
      </c>
      <c r="I6788" t="s">
        <v>23300</v>
      </c>
      <c r="J6788" t="s">
        <v>14892</v>
      </c>
      <c r="K6788" s="2" t="str">
        <f>HYPERLINK("http://collections.slsa.sa.gov.au/mpcimg/69750/B69666.htm")</f>
        <v>http://collections.slsa.sa.gov.au/mpcimg/69750/B69666.htm</v>
      </c>
    </row>
    <row r="6789" spans="1:11" x14ac:dyDescent="0.25">
      <c r="A6789" t="s">
        <v>23301</v>
      </c>
      <c r="B6789" s="1" t="str">
        <f>HYPERLINK("https://www.catalog.slsa.sa.gov.au/record=b2108934")</f>
        <v>https://www.catalog.slsa.sa.gov.au/record=b2108934</v>
      </c>
      <c r="C6789" s="1" t="str">
        <f>HYPERLINK("https://www.catalog.slsa.sa.gov.au/xrecord=b2108934")</f>
        <v>https://www.catalog.slsa.sa.gov.au/xrecord=b2108934</v>
      </c>
      <c r="D6789" t="s">
        <v>23302</v>
      </c>
      <c r="E6789" t="s">
        <v>23303</v>
      </c>
      <c r="F6789">
        <v>1953</v>
      </c>
      <c r="G6789" t="s">
        <v>19918</v>
      </c>
      <c r="H6789" t="s">
        <v>23304</v>
      </c>
      <c r="I6789" t="s">
        <v>23305</v>
      </c>
      <c r="J6789" t="s">
        <v>5381</v>
      </c>
      <c r="K6789" s="2" t="str">
        <f>HYPERLINK("http://collections.slsa.sa.gov.au/mpcimg/69750/B69673.htm")</f>
        <v>http://collections.slsa.sa.gov.au/mpcimg/69750/B69673.htm</v>
      </c>
    </row>
    <row r="6790" spans="1:11" x14ac:dyDescent="0.25">
      <c r="A6790" t="s">
        <v>23306</v>
      </c>
      <c r="B6790" s="1" t="str">
        <f>HYPERLINK("https://www.catalog.slsa.sa.gov.au/record=b2108939")</f>
        <v>https://www.catalog.slsa.sa.gov.au/record=b2108939</v>
      </c>
      <c r="C6790" s="1" t="str">
        <f>HYPERLINK("https://www.catalog.slsa.sa.gov.au/xrecord=b2108939")</f>
        <v>https://www.catalog.slsa.sa.gov.au/xrecord=b2108939</v>
      </c>
      <c r="D6790" t="s">
        <v>23307</v>
      </c>
      <c r="E6790" t="s">
        <v>5392</v>
      </c>
      <c r="F6790">
        <v>1953</v>
      </c>
      <c r="G6790" t="s">
        <v>23308</v>
      </c>
      <c r="H6790" t="s">
        <v>23309</v>
      </c>
      <c r="I6790" t="s">
        <v>23310</v>
      </c>
      <c r="J6790" t="s">
        <v>5381</v>
      </c>
      <c r="K6790" s="2" t="str">
        <f>HYPERLINK("http://collections.slsa.sa.gov.au/mpcimg/69750/B69678.htm")</f>
        <v>http://collections.slsa.sa.gov.au/mpcimg/69750/B69678.htm</v>
      </c>
    </row>
    <row r="6791" spans="1:11" x14ac:dyDescent="0.25">
      <c r="A6791" t="s">
        <v>23311</v>
      </c>
      <c r="B6791" s="1" t="str">
        <f>HYPERLINK("https://www.catalog.slsa.sa.gov.au/record=b2108942")</f>
        <v>https://www.catalog.slsa.sa.gov.au/record=b2108942</v>
      </c>
      <c r="C6791" s="1" t="str">
        <f>HYPERLINK("https://www.catalog.slsa.sa.gov.au/xrecord=b2108942")</f>
        <v>https://www.catalog.slsa.sa.gov.au/xrecord=b2108942</v>
      </c>
      <c r="D6791" t="s">
        <v>23312</v>
      </c>
      <c r="E6791" t="s">
        <v>23313</v>
      </c>
      <c r="F6791">
        <v>1953</v>
      </c>
      <c r="G6791" t="s">
        <v>23314</v>
      </c>
      <c r="H6791" t="s">
        <v>23315</v>
      </c>
      <c r="I6791" t="s">
        <v>23316</v>
      </c>
      <c r="J6791" t="s">
        <v>16421</v>
      </c>
      <c r="K6791" s="2" t="str">
        <f>HYPERLINK("http://collections.slsa.sa.gov.au/mpcimg/69750/B69681.htm")</f>
        <v>http://collections.slsa.sa.gov.au/mpcimg/69750/B69681.htm</v>
      </c>
    </row>
    <row r="6792" spans="1:11" x14ac:dyDescent="0.25">
      <c r="A6792" t="s">
        <v>23317</v>
      </c>
      <c r="B6792" s="1" t="str">
        <f>HYPERLINK("https://www.catalog.slsa.sa.gov.au/record=b2108943")</f>
        <v>https://www.catalog.slsa.sa.gov.au/record=b2108943</v>
      </c>
      <c r="C6792" s="1" t="str">
        <f>HYPERLINK("https://www.catalog.slsa.sa.gov.au/xrecord=b2108943")</f>
        <v>https://www.catalog.slsa.sa.gov.au/xrecord=b2108943</v>
      </c>
      <c r="E6792" t="s">
        <v>23318</v>
      </c>
      <c r="F6792">
        <v>1953</v>
      </c>
      <c r="G6792" t="s">
        <v>23319</v>
      </c>
      <c r="H6792" t="s">
        <v>23320</v>
      </c>
      <c r="I6792" t="s">
        <v>23321</v>
      </c>
      <c r="J6792" t="s">
        <v>2510</v>
      </c>
      <c r="K6792" s="2" t="str">
        <f>HYPERLINK("http://collections.slsa.sa.gov.au/mpcimg/69750/B69682.htm")</f>
        <v>http://collections.slsa.sa.gov.au/mpcimg/69750/B69682.htm</v>
      </c>
    </row>
    <row r="6793" spans="1:11" x14ac:dyDescent="0.25">
      <c r="A6793" t="s">
        <v>23322</v>
      </c>
      <c r="B6793" s="1" t="str">
        <f>HYPERLINK("https://www.catalog.slsa.sa.gov.au/record=b2108956")</f>
        <v>https://www.catalog.slsa.sa.gov.au/record=b2108956</v>
      </c>
      <c r="C6793" s="1" t="str">
        <f>HYPERLINK("https://www.catalog.slsa.sa.gov.au/xrecord=b2108956")</f>
        <v>https://www.catalog.slsa.sa.gov.au/xrecord=b2108956</v>
      </c>
      <c r="D6793" t="s">
        <v>23323</v>
      </c>
      <c r="E6793" t="s">
        <v>23324</v>
      </c>
      <c r="F6793">
        <v>1953</v>
      </c>
      <c r="G6793" t="s">
        <v>23325</v>
      </c>
      <c r="H6793" t="s">
        <v>23326</v>
      </c>
      <c r="I6793" t="s">
        <v>23327</v>
      </c>
      <c r="J6793" t="s">
        <v>23328</v>
      </c>
      <c r="K6793" s="2" t="str">
        <f>HYPERLINK("http://collections.slsa.sa.gov.au/mpcimg/69750/B69695.htm")</f>
        <v>http://collections.slsa.sa.gov.au/mpcimg/69750/B69695.htm</v>
      </c>
    </row>
    <row r="6794" spans="1:11" x14ac:dyDescent="0.25">
      <c r="A6794" t="s">
        <v>23329</v>
      </c>
      <c r="B6794" s="1" t="str">
        <f>HYPERLINK("https://www.catalog.slsa.sa.gov.au/record=b2117859")</f>
        <v>https://www.catalog.slsa.sa.gov.au/record=b2117859</v>
      </c>
      <c r="C6794" s="1" t="str">
        <f>HYPERLINK("https://www.catalog.slsa.sa.gov.au/xrecord=b2117859")</f>
        <v>https://www.catalog.slsa.sa.gov.au/xrecord=b2117859</v>
      </c>
      <c r="E6794" t="s">
        <v>23330</v>
      </c>
      <c r="F6794">
        <v>1953</v>
      </c>
      <c r="G6794" t="s">
        <v>15554</v>
      </c>
      <c r="H6794" t="s">
        <v>23331</v>
      </c>
      <c r="J6794" t="s">
        <v>14768</v>
      </c>
      <c r="K6794" s="2" t="str">
        <f>HYPERLINK("http://collections.slsa.sa.gov.au/mpcimg/70500/B70351_11.htm")</f>
        <v>http://collections.slsa.sa.gov.au/mpcimg/70500/B70351_11.htm</v>
      </c>
    </row>
    <row r="6795" spans="1:11" x14ac:dyDescent="0.25">
      <c r="A6795" t="s">
        <v>23332</v>
      </c>
      <c r="B6795" s="1" t="str">
        <f>HYPERLINK("https://www.catalog.slsa.sa.gov.au/record=b2118075")</f>
        <v>https://www.catalog.slsa.sa.gov.au/record=b2118075</v>
      </c>
      <c r="C6795" s="1" t="str">
        <f>HYPERLINK("https://www.catalog.slsa.sa.gov.au/xrecord=b2118075")</f>
        <v>https://www.catalog.slsa.sa.gov.au/xrecord=b2118075</v>
      </c>
      <c r="D6795" t="s">
        <v>16478</v>
      </c>
      <c r="E6795" t="s">
        <v>23333</v>
      </c>
      <c r="F6795">
        <v>1953</v>
      </c>
      <c r="G6795" t="s">
        <v>23334</v>
      </c>
      <c r="H6795" t="s">
        <v>23335</v>
      </c>
      <c r="I6795" t="s">
        <v>23336</v>
      </c>
      <c r="J6795" t="s">
        <v>15023</v>
      </c>
      <c r="K6795" s="2" t="str">
        <f>HYPERLINK("http://collections.slsa.sa.gov.au/mpcimg/70500/B70383_1.htm")</f>
        <v>http://collections.slsa.sa.gov.au/mpcimg/70500/B70383_1.htm</v>
      </c>
    </row>
    <row r="6796" spans="1:11" x14ac:dyDescent="0.25">
      <c r="A6796" t="s">
        <v>23337</v>
      </c>
      <c r="B6796" s="1" t="str">
        <f>HYPERLINK("https://www.catalog.slsa.sa.gov.au/record=b2125846")</f>
        <v>https://www.catalog.slsa.sa.gov.au/record=b2125846</v>
      </c>
      <c r="C6796" s="1" t="str">
        <f>HYPERLINK("https://www.catalog.slsa.sa.gov.au/xrecord=b2125846")</f>
        <v>https://www.catalog.slsa.sa.gov.au/xrecord=b2125846</v>
      </c>
      <c r="E6796" t="s">
        <v>23338</v>
      </c>
      <c r="F6796">
        <v>1953</v>
      </c>
      <c r="G6796" t="s">
        <v>18624</v>
      </c>
      <c r="H6796" t="s">
        <v>23339</v>
      </c>
      <c r="J6796" t="s">
        <v>14768</v>
      </c>
      <c r="K6796" s="2" t="str">
        <f>HYPERLINK("http://collections.slsa.sa.gov.au/mpcimg/70750/B70698_36.htm")</f>
        <v>http://collections.slsa.sa.gov.au/mpcimg/70750/B70698_36.htm</v>
      </c>
    </row>
    <row r="6797" spans="1:11" x14ac:dyDescent="0.25">
      <c r="A6797" t="s">
        <v>23340</v>
      </c>
      <c r="B6797" s="1" t="str">
        <f>HYPERLINK("https://www.catalog.slsa.sa.gov.au/record=b2125847")</f>
        <v>https://www.catalog.slsa.sa.gov.au/record=b2125847</v>
      </c>
      <c r="C6797" s="1" t="str">
        <f>HYPERLINK("https://www.catalog.slsa.sa.gov.au/xrecord=b2125847")</f>
        <v>https://www.catalog.slsa.sa.gov.au/xrecord=b2125847</v>
      </c>
      <c r="E6797" t="s">
        <v>23341</v>
      </c>
      <c r="F6797">
        <v>1953</v>
      </c>
      <c r="G6797" t="s">
        <v>5408</v>
      </c>
      <c r="H6797" t="s">
        <v>23342</v>
      </c>
      <c r="I6797" t="s">
        <v>18621</v>
      </c>
      <c r="J6797" t="s">
        <v>14768</v>
      </c>
      <c r="K6797" s="2" t="str">
        <f>HYPERLINK("http://collections.slsa.sa.gov.au/mpcimg/70750/B70698_37.htm")</f>
        <v>http://collections.slsa.sa.gov.au/mpcimg/70750/B70698_37.htm</v>
      </c>
    </row>
    <row r="6798" spans="1:11" x14ac:dyDescent="0.25">
      <c r="A6798" t="s">
        <v>23343</v>
      </c>
      <c r="B6798" s="1" t="str">
        <f>HYPERLINK("https://www.catalog.slsa.sa.gov.au/record=b2126467")</f>
        <v>https://www.catalog.slsa.sa.gov.au/record=b2126467</v>
      </c>
      <c r="C6798" s="1" t="str">
        <f>HYPERLINK("https://www.catalog.slsa.sa.gov.au/xrecord=b2126467")</f>
        <v>https://www.catalog.slsa.sa.gov.au/xrecord=b2126467</v>
      </c>
      <c r="D6798" t="s">
        <v>19991</v>
      </c>
      <c r="E6798" t="s">
        <v>23344</v>
      </c>
      <c r="F6798">
        <v>1953</v>
      </c>
      <c r="G6798" t="s">
        <v>20000</v>
      </c>
      <c r="H6798" t="s">
        <v>23345</v>
      </c>
      <c r="J6798" t="s">
        <v>14768</v>
      </c>
      <c r="K6798" s="2" t="str">
        <f>HYPERLINK("http://collections.slsa.sa.gov.au/mpcimg/71000/B70782_105.htm")</f>
        <v>http://collections.slsa.sa.gov.au/mpcimg/71000/B70782_105.htm</v>
      </c>
    </row>
    <row r="6799" spans="1:11" x14ac:dyDescent="0.25">
      <c r="A6799" t="s">
        <v>23346</v>
      </c>
      <c r="B6799" s="1" t="str">
        <f>HYPERLINK("https://www.catalog.slsa.sa.gov.au/record=b2126468")</f>
        <v>https://www.catalog.slsa.sa.gov.au/record=b2126468</v>
      </c>
      <c r="C6799" s="1" t="str">
        <f>HYPERLINK("https://www.catalog.slsa.sa.gov.au/xrecord=b2126468")</f>
        <v>https://www.catalog.slsa.sa.gov.au/xrecord=b2126468</v>
      </c>
      <c r="D6799" t="s">
        <v>19991</v>
      </c>
      <c r="E6799" t="s">
        <v>23344</v>
      </c>
      <c r="F6799">
        <v>1953</v>
      </c>
      <c r="G6799" t="s">
        <v>20000</v>
      </c>
      <c r="H6799" t="s">
        <v>23347</v>
      </c>
      <c r="J6799" t="s">
        <v>14768</v>
      </c>
      <c r="K6799" s="2" t="str">
        <f>HYPERLINK("http://collections.slsa.sa.gov.au/mpcimg/71000/B70782_106.htm")</f>
        <v>http://collections.slsa.sa.gov.au/mpcimg/71000/B70782_106.htm</v>
      </c>
    </row>
    <row r="6800" spans="1:11" x14ac:dyDescent="0.25">
      <c r="A6800" t="s">
        <v>23348</v>
      </c>
      <c r="B6800" s="1" t="str">
        <f>HYPERLINK("https://www.catalog.slsa.sa.gov.au/record=b2126469")</f>
        <v>https://www.catalog.slsa.sa.gov.au/record=b2126469</v>
      </c>
      <c r="C6800" s="1" t="str">
        <f>HYPERLINK("https://www.catalog.slsa.sa.gov.au/xrecord=b2126469")</f>
        <v>https://www.catalog.slsa.sa.gov.au/xrecord=b2126469</v>
      </c>
      <c r="D6800" t="s">
        <v>19991</v>
      </c>
      <c r="E6800" t="s">
        <v>23344</v>
      </c>
      <c r="F6800">
        <v>1953</v>
      </c>
      <c r="G6800" t="s">
        <v>20000</v>
      </c>
      <c r="H6800" t="s">
        <v>23349</v>
      </c>
      <c r="J6800" t="s">
        <v>14768</v>
      </c>
      <c r="K6800" s="2" t="str">
        <f>HYPERLINK("http://collections.slsa.sa.gov.au/mpcimg/71000/B70782_107.htm")</f>
        <v>http://collections.slsa.sa.gov.au/mpcimg/71000/B70782_107.htm</v>
      </c>
    </row>
    <row r="6801" spans="1:11" x14ac:dyDescent="0.25">
      <c r="A6801" t="s">
        <v>23350</v>
      </c>
      <c r="B6801" s="1" t="str">
        <f>HYPERLINK("https://www.catalog.slsa.sa.gov.au/record=b2126470")</f>
        <v>https://www.catalog.slsa.sa.gov.au/record=b2126470</v>
      </c>
      <c r="C6801" s="1" t="str">
        <f>HYPERLINK("https://www.catalog.slsa.sa.gov.au/xrecord=b2126470")</f>
        <v>https://www.catalog.slsa.sa.gov.au/xrecord=b2126470</v>
      </c>
      <c r="D6801" t="s">
        <v>19991</v>
      </c>
      <c r="E6801" t="s">
        <v>23351</v>
      </c>
      <c r="F6801">
        <v>1953</v>
      </c>
      <c r="G6801" t="s">
        <v>20000</v>
      </c>
      <c r="H6801" t="s">
        <v>23352</v>
      </c>
      <c r="J6801" t="s">
        <v>14768</v>
      </c>
      <c r="K6801" s="2" t="str">
        <f>HYPERLINK("http://collections.slsa.sa.gov.au/mpcimg/71000/B70782_109.htm")</f>
        <v>http://collections.slsa.sa.gov.au/mpcimg/71000/B70782_109.htm</v>
      </c>
    </row>
    <row r="6802" spans="1:11" x14ac:dyDescent="0.25">
      <c r="A6802" t="s">
        <v>23353</v>
      </c>
      <c r="B6802" s="1" t="str">
        <f>HYPERLINK("https://www.catalog.slsa.sa.gov.au/record=b2126471")</f>
        <v>https://www.catalog.slsa.sa.gov.au/record=b2126471</v>
      </c>
      <c r="C6802" s="1" t="str">
        <f>HYPERLINK("https://www.catalog.slsa.sa.gov.au/xrecord=b2126471")</f>
        <v>https://www.catalog.slsa.sa.gov.au/xrecord=b2126471</v>
      </c>
      <c r="D6802" t="s">
        <v>19991</v>
      </c>
      <c r="E6802" t="s">
        <v>23354</v>
      </c>
      <c r="F6802">
        <v>1953</v>
      </c>
      <c r="G6802" t="s">
        <v>20000</v>
      </c>
      <c r="H6802" t="s">
        <v>23355</v>
      </c>
      <c r="J6802" t="s">
        <v>14768</v>
      </c>
      <c r="K6802" s="2" t="str">
        <f>HYPERLINK("http://collections.slsa.sa.gov.au/mpcimg/71000/B70782_110.htm")</f>
        <v>http://collections.slsa.sa.gov.au/mpcimg/71000/B70782_110.htm</v>
      </c>
    </row>
    <row r="6803" spans="1:11" x14ac:dyDescent="0.25">
      <c r="A6803" t="s">
        <v>23356</v>
      </c>
      <c r="B6803" s="1" t="str">
        <f>HYPERLINK("https://www.catalog.slsa.sa.gov.au/record=b2126473")</f>
        <v>https://www.catalog.slsa.sa.gov.au/record=b2126473</v>
      </c>
      <c r="C6803" s="1" t="str">
        <f>HYPERLINK("https://www.catalog.slsa.sa.gov.au/xrecord=b2126473")</f>
        <v>https://www.catalog.slsa.sa.gov.au/xrecord=b2126473</v>
      </c>
      <c r="D6803" t="s">
        <v>19991</v>
      </c>
      <c r="E6803" t="s">
        <v>23357</v>
      </c>
      <c r="F6803">
        <v>1953</v>
      </c>
      <c r="G6803" t="s">
        <v>20000</v>
      </c>
      <c r="H6803" t="s">
        <v>23358</v>
      </c>
      <c r="J6803" t="s">
        <v>14768</v>
      </c>
      <c r="K6803" s="2" t="str">
        <f>HYPERLINK("http://collections.slsa.sa.gov.au/mpcimg/71000/B70782_111.htm")</f>
        <v>http://collections.slsa.sa.gov.au/mpcimg/71000/B70782_111.htm</v>
      </c>
    </row>
    <row r="6804" spans="1:11" x14ac:dyDescent="0.25">
      <c r="A6804" t="s">
        <v>23359</v>
      </c>
      <c r="B6804" s="1" t="str">
        <f>HYPERLINK("https://www.catalog.slsa.sa.gov.au/record=b2126474")</f>
        <v>https://www.catalog.slsa.sa.gov.au/record=b2126474</v>
      </c>
      <c r="C6804" s="1" t="str">
        <f>HYPERLINK("https://www.catalog.slsa.sa.gov.au/xrecord=b2126474")</f>
        <v>https://www.catalog.slsa.sa.gov.au/xrecord=b2126474</v>
      </c>
      <c r="D6804" t="s">
        <v>19991</v>
      </c>
      <c r="E6804" t="s">
        <v>23357</v>
      </c>
      <c r="F6804">
        <v>1953</v>
      </c>
      <c r="G6804" t="s">
        <v>20000</v>
      </c>
      <c r="H6804" t="s">
        <v>23360</v>
      </c>
      <c r="J6804" t="s">
        <v>14768</v>
      </c>
      <c r="K6804" s="2" t="str">
        <f>HYPERLINK("http://collections.slsa.sa.gov.au/mpcimg/71000/B70782_112.htm")</f>
        <v>http://collections.slsa.sa.gov.au/mpcimg/71000/B70782_112.htm</v>
      </c>
    </row>
    <row r="6805" spans="1:11" x14ac:dyDescent="0.25">
      <c r="A6805" t="s">
        <v>23361</v>
      </c>
      <c r="B6805" s="1" t="str">
        <f>HYPERLINK("https://www.catalog.slsa.sa.gov.au/record=b2126475")</f>
        <v>https://www.catalog.slsa.sa.gov.au/record=b2126475</v>
      </c>
      <c r="C6805" s="1" t="str">
        <f>HYPERLINK("https://www.catalog.slsa.sa.gov.au/xrecord=b2126475")</f>
        <v>https://www.catalog.slsa.sa.gov.au/xrecord=b2126475</v>
      </c>
      <c r="D6805" t="s">
        <v>19991</v>
      </c>
      <c r="E6805" t="s">
        <v>23362</v>
      </c>
      <c r="F6805">
        <v>1953</v>
      </c>
      <c r="G6805" t="s">
        <v>20000</v>
      </c>
      <c r="H6805" t="s">
        <v>23363</v>
      </c>
      <c r="J6805" t="s">
        <v>14768</v>
      </c>
      <c r="K6805" s="2" t="str">
        <f>HYPERLINK("http://collections.slsa.sa.gov.au/mpcimg/71000/B70782_113.htm")</f>
        <v>http://collections.slsa.sa.gov.au/mpcimg/71000/B70782_113.htm</v>
      </c>
    </row>
    <row r="6806" spans="1:11" x14ac:dyDescent="0.25">
      <c r="A6806" t="s">
        <v>23364</v>
      </c>
      <c r="B6806" s="1" t="str">
        <f>HYPERLINK("https://www.catalog.slsa.sa.gov.au/record=b2126476")</f>
        <v>https://www.catalog.slsa.sa.gov.au/record=b2126476</v>
      </c>
      <c r="C6806" s="1" t="str">
        <f>HYPERLINK("https://www.catalog.slsa.sa.gov.au/xrecord=b2126476")</f>
        <v>https://www.catalog.slsa.sa.gov.au/xrecord=b2126476</v>
      </c>
      <c r="D6806" t="s">
        <v>19991</v>
      </c>
      <c r="E6806" t="s">
        <v>23362</v>
      </c>
      <c r="F6806">
        <v>1953</v>
      </c>
      <c r="G6806" t="s">
        <v>20000</v>
      </c>
      <c r="H6806" t="s">
        <v>23365</v>
      </c>
      <c r="J6806" t="s">
        <v>14768</v>
      </c>
      <c r="K6806" s="2" t="str">
        <f>HYPERLINK("http://collections.slsa.sa.gov.au/mpcimg/71000/B70782_114.htm")</f>
        <v>http://collections.slsa.sa.gov.au/mpcimg/71000/B70782_114.htm</v>
      </c>
    </row>
    <row r="6807" spans="1:11" x14ac:dyDescent="0.25">
      <c r="A6807" t="s">
        <v>23366</v>
      </c>
      <c r="B6807" s="1" t="str">
        <f>HYPERLINK("https://www.catalog.slsa.sa.gov.au/record=b2126477")</f>
        <v>https://www.catalog.slsa.sa.gov.au/record=b2126477</v>
      </c>
      <c r="C6807" s="1" t="str">
        <f>HYPERLINK("https://www.catalog.slsa.sa.gov.au/xrecord=b2126477")</f>
        <v>https://www.catalog.slsa.sa.gov.au/xrecord=b2126477</v>
      </c>
      <c r="D6807" t="s">
        <v>19991</v>
      </c>
      <c r="E6807" t="s">
        <v>23367</v>
      </c>
      <c r="F6807">
        <v>1953</v>
      </c>
      <c r="G6807" t="s">
        <v>20000</v>
      </c>
      <c r="H6807" t="s">
        <v>23368</v>
      </c>
      <c r="J6807" t="s">
        <v>14768</v>
      </c>
      <c r="K6807" s="2" t="str">
        <f>HYPERLINK("http://collections.slsa.sa.gov.au/mpcimg/71000/B70782_115.htm")</f>
        <v>http://collections.slsa.sa.gov.au/mpcimg/71000/B70782_115.htm</v>
      </c>
    </row>
    <row r="6808" spans="1:11" x14ac:dyDescent="0.25">
      <c r="A6808" t="s">
        <v>23369</v>
      </c>
      <c r="B6808" s="1" t="str">
        <f>HYPERLINK("https://www.catalog.slsa.sa.gov.au/record=b2126479")</f>
        <v>https://www.catalog.slsa.sa.gov.au/record=b2126479</v>
      </c>
      <c r="C6808" s="1" t="str">
        <f>HYPERLINK("https://www.catalog.slsa.sa.gov.au/xrecord=b2126479")</f>
        <v>https://www.catalog.slsa.sa.gov.au/xrecord=b2126479</v>
      </c>
      <c r="D6808" t="s">
        <v>19991</v>
      </c>
      <c r="E6808" t="s">
        <v>23367</v>
      </c>
      <c r="F6808">
        <v>1953</v>
      </c>
      <c r="G6808" t="s">
        <v>20000</v>
      </c>
      <c r="H6808" t="s">
        <v>23370</v>
      </c>
      <c r="J6808" t="s">
        <v>14768</v>
      </c>
      <c r="K6808" s="2" t="str">
        <f>HYPERLINK("http://collections.slsa.sa.gov.au/mpcimg/71000/B70782_116.htm")</f>
        <v>http://collections.slsa.sa.gov.au/mpcimg/71000/B70782_116.htm</v>
      </c>
    </row>
    <row r="6809" spans="1:11" x14ac:dyDescent="0.25">
      <c r="A6809" t="s">
        <v>23371</v>
      </c>
      <c r="B6809" s="1" t="str">
        <f>HYPERLINK("https://www.catalog.slsa.sa.gov.au/record=b2126481")</f>
        <v>https://www.catalog.slsa.sa.gov.au/record=b2126481</v>
      </c>
      <c r="C6809" s="1" t="str">
        <f>HYPERLINK("https://www.catalog.slsa.sa.gov.au/xrecord=b2126481")</f>
        <v>https://www.catalog.slsa.sa.gov.au/xrecord=b2126481</v>
      </c>
      <c r="D6809" t="s">
        <v>19991</v>
      </c>
      <c r="E6809" t="s">
        <v>23372</v>
      </c>
      <c r="F6809">
        <v>1953</v>
      </c>
      <c r="G6809" t="s">
        <v>20000</v>
      </c>
      <c r="H6809" t="s">
        <v>23373</v>
      </c>
      <c r="J6809" t="s">
        <v>14768</v>
      </c>
      <c r="K6809" s="2" t="str">
        <f>HYPERLINK("http://collections.slsa.sa.gov.au/mpcimg/71000/B70782_117.htm")</f>
        <v>http://collections.slsa.sa.gov.au/mpcimg/71000/B70782_117.htm</v>
      </c>
    </row>
    <row r="6810" spans="1:11" x14ac:dyDescent="0.25">
      <c r="A6810" t="s">
        <v>23374</v>
      </c>
      <c r="B6810" s="1" t="str">
        <f>HYPERLINK("https://www.catalog.slsa.sa.gov.au/record=b2842679")</f>
        <v>https://www.catalog.slsa.sa.gov.au/record=b2842679</v>
      </c>
      <c r="C6810" s="1" t="str">
        <f>HYPERLINK("https://www.catalog.slsa.sa.gov.au/xrecord=b2842679")</f>
        <v>https://www.catalog.slsa.sa.gov.au/xrecord=b2842679</v>
      </c>
      <c r="D6810" t="s">
        <v>17335</v>
      </c>
      <c r="E6810" t="s">
        <v>23375</v>
      </c>
      <c r="F6810">
        <v>1953</v>
      </c>
      <c r="G6810" t="s">
        <v>23376</v>
      </c>
      <c r="H6810" t="s">
        <v>23377</v>
      </c>
      <c r="I6810" t="s">
        <v>23378</v>
      </c>
      <c r="J6810" t="s">
        <v>2510</v>
      </c>
      <c r="K6810" s="2" t="str">
        <f>HYPERLINK("http://collections.slsa.sa.gov.au/mpcimg/72750/B72600.htm")</f>
        <v>http://collections.slsa.sa.gov.au/mpcimg/72750/B72600.htm</v>
      </c>
    </row>
    <row r="6811" spans="1:11" x14ac:dyDescent="0.25">
      <c r="A6811" t="s">
        <v>23379</v>
      </c>
      <c r="B6811" s="1" t="str">
        <f>HYPERLINK("https://www.catalog.slsa.sa.gov.au/record=b2921244")</f>
        <v>https://www.catalog.slsa.sa.gov.au/record=b2921244</v>
      </c>
      <c r="C6811" s="1" t="str">
        <f>HYPERLINK("https://www.catalog.slsa.sa.gov.au/xrecord=b2921244")</f>
        <v>https://www.catalog.slsa.sa.gov.au/xrecord=b2921244</v>
      </c>
      <c r="E6811" t="s">
        <v>23380</v>
      </c>
      <c r="F6811">
        <v>1953</v>
      </c>
      <c r="G6811" t="s">
        <v>23381</v>
      </c>
      <c r="H6811" t="s">
        <v>23382</v>
      </c>
      <c r="I6811" t="s">
        <v>23383</v>
      </c>
      <c r="J6811" t="s">
        <v>15614</v>
      </c>
      <c r="K6811" s="2" t="str">
        <f>HYPERLINK("http://collections.slsa.sa.gov.au/mpcimg/73250/B73160_1.htm")</f>
        <v>http://collections.slsa.sa.gov.au/mpcimg/73250/B73160_1.htm</v>
      </c>
    </row>
    <row r="6812" spans="1:11" x14ac:dyDescent="0.25">
      <c r="A6812" t="s">
        <v>23384</v>
      </c>
      <c r="B6812" s="1" t="str">
        <f>HYPERLINK("https://www.catalog.slsa.sa.gov.au/record=b2921248")</f>
        <v>https://www.catalog.slsa.sa.gov.au/record=b2921248</v>
      </c>
      <c r="C6812" s="1" t="str">
        <f>HYPERLINK("https://www.catalog.slsa.sa.gov.au/xrecord=b2921248")</f>
        <v>https://www.catalog.slsa.sa.gov.au/xrecord=b2921248</v>
      </c>
      <c r="E6812" t="s">
        <v>23385</v>
      </c>
      <c r="F6812">
        <v>1953</v>
      </c>
      <c r="G6812" t="s">
        <v>23386</v>
      </c>
      <c r="H6812" t="s">
        <v>23387</v>
      </c>
      <c r="I6812" t="s">
        <v>23383</v>
      </c>
      <c r="J6812" t="s">
        <v>15614</v>
      </c>
      <c r="K6812" s="2" t="str">
        <f>HYPERLINK("http://collections.slsa.sa.gov.au/mpcimg/73250/B73160_2.htm")</f>
        <v>http://collections.slsa.sa.gov.au/mpcimg/73250/B73160_2.htm</v>
      </c>
    </row>
    <row r="6813" spans="1:11" x14ac:dyDescent="0.25">
      <c r="A6813" t="s">
        <v>23388</v>
      </c>
      <c r="B6813" s="1" t="str">
        <f>HYPERLINK("https://www.catalog.slsa.sa.gov.au/record=b2921251")</f>
        <v>https://www.catalog.slsa.sa.gov.au/record=b2921251</v>
      </c>
      <c r="C6813" s="1" t="str">
        <f>HYPERLINK("https://www.catalog.slsa.sa.gov.au/xrecord=b2921251")</f>
        <v>https://www.catalog.slsa.sa.gov.au/xrecord=b2921251</v>
      </c>
      <c r="E6813" t="s">
        <v>23389</v>
      </c>
      <c r="F6813">
        <v>1953</v>
      </c>
      <c r="G6813" t="s">
        <v>23381</v>
      </c>
      <c r="H6813" t="s">
        <v>23390</v>
      </c>
      <c r="I6813" t="s">
        <v>23383</v>
      </c>
      <c r="J6813" t="s">
        <v>15614</v>
      </c>
      <c r="K6813" s="2" t="str">
        <f>HYPERLINK("http://collections.slsa.sa.gov.au/mpcimg/73250/B73160_3.htm")</f>
        <v>http://collections.slsa.sa.gov.au/mpcimg/73250/B73160_3.htm</v>
      </c>
    </row>
    <row r="6814" spans="1:11" x14ac:dyDescent="0.25">
      <c r="A6814" t="s">
        <v>23391</v>
      </c>
      <c r="B6814" s="1" t="str">
        <f>HYPERLINK("https://www.catalog.slsa.sa.gov.au/record=b2921255")</f>
        <v>https://www.catalog.slsa.sa.gov.au/record=b2921255</v>
      </c>
      <c r="C6814" s="1" t="str">
        <f>HYPERLINK("https://www.catalog.slsa.sa.gov.au/xrecord=b2921255")</f>
        <v>https://www.catalog.slsa.sa.gov.au/xrecord=b2921255</v>
      </c>
      <c r="E6814" t="s">
        <v>23392</v>
      </c>
      <c r="F6814">
        <v>1953</v>
      </c>
      <c r="G6814" t="s">
        <v>23393</v>
      </c>
      <c r="H6814" t="s">
        <v>23394</v>
      </c>
      <c r="I6814" t="s">
        <v>23383</v>
      </c>
      <c r="J6814" t="s">
        <v>15614</v>
      </c>
      <c r="K6814" s="2" t="str">
        <f>HYPERLINK("http://collections.slsa.sa.gov.au/mpcimg/73250/B73160_5.htm")</f>
        <v>http://collections.slsa.sa.gov.au/mpcimg/73250/B73160_5.htm</v>
      </c>
    </row>
    <row r="6815" spans="1:11" x14ac:dyDescent="0.25">
      <c r="A6815" t="s">
        <v>23395</v>
      </c>
      <c r="B6815" s="1" t="str">
        <f>HYPERLINK("https://www.catalog.slsa.sa.gov.au/record=b2921257")</f>
        <v>https://www.catalog.slsa.sa.gov.au/record=b2921257</v>
      </c>
      <c r="C6815" s="1" t="str">
        <f>HYPERLINK("https://www.catalog.slsa.sa.gov.au/xrecord=b2921257")</f>
        <v>https://www.catalog.slsa.sa.gov.au/xrecord=b2921257</v>
      </c>
      <c r="E6815" t="s">
        <v>23396</v>
      </c>
      <c r="F6815">
        <v>1953</v>
      </c>
      <c r="G6815" t="s">
        <v>23397</v>
      </c>
      <c r="H6815" t="s">
        <v>23398</v>
      </c>
      <c r="I6815" t="s">
        <v>23383</v>
      </c>
      <c r="J6815" t="s">
        <v>15614</v>
      </c>
      <c r="K6815" s="2" t="str">
        <f>HYPERLINK("http://collections.slsa.sa.gov.au/mpcimg/73250/B73160_6.htm")</f>
        <v>http://collections.slsa.sa.gov.au/mpcimg/73250/B73160_6.htm</v>
      </c>
    </row>
    <row r="6816" spans="1:11" x14ac:dyDescent="0.25">
      <c r="A6816" t="s">
        <v>23399</v>
      </c>
      <c r="B6816" s="1" t="str">
        <f>HYPERLINK("https://www.catalog.slsa.sa.gov.au/record=b2921532")</f>
        <v>https://www.catalog.slsa.sa.gov.au/record=b2921532</v>
      </c>
      <c r="C6816" s="1" t="str">
        <f>HYPERLINK("https://www.catalog.slsa.sa.gov.au/xrecord=b2921532")</f>
        <v>https://www.catalog.slsa.sa.gov.au/xrecord=b2921532</v>
      </c>
      <c r="E6816" t="s">
        <v>15610</v>
      </c>
      <c r="F6816">
        <v>1953</v>
      </c>
      <c r="G6816" t="s">
        <v>23400</v>
      </c>
      <c r="H6816" t="s">
        <v>23401</v>
      </c>
      <c r="I6816" t="s">
        <v>15613</v>
      </c>
      <c r="J6816" t="s">
        <v>15614</v>
      </c>
      <c r="K6816" s="2" t="str">
        <f>HYPERLINK("http://collections.slsa.sa.gov.au/mpcimg/73250/B73168.htm")</f>
        <v>http://collections.slsa.sa.gov.au/mpcimg/73250/B73168.htm</v>
      </c>
    </row>
    <row r="6817" spans="1:11" x14ac:dyDescent="0.25">
      <c r="A6817" t="s">
        <v>23402</v>
      </c>
      <c r="B6817" s="1" t="str">
        <f>HYPERLINK("https://www.catalog.slsa.sa.gov.au/record=b3142164")</f>
        <v>https://www.catalog.slsa.sa.gov.au/record=b3142164</v>
      </c>
      <c r="C6817" s="1" t="str">
        <f>HYPERLINK("https://www.catalog.slsa.sa.gov.au/xrecord=b3142164")</f>
        <v>https://www.catalog.slsa.sa.gov.au/xrecord=b3142164</v>
      </c>
      <c r="E6817" t="s">
        <v>22413</v>
      </c>
      <c r="F6817">
        <v>1953</v>
      </c>
      <c r="G6817" t="s">
        <v>23403</v>
      </c>
      <c r="H6817" t="s">
        <v>23404</v>
      </c>
      <c r="I6817" t="s">
        <v>22417</v>
      </c>
      <c r="J6817" t="s">
        <v>15023</v>
      </c>
      <c r="K6817" s="2" t="str">
        <f>HYPERLINK("http://collections.slsa.sa.gov.au/resource/B+76368")</f>
        <v>http://collections.slsa.sa.gov.au/resource/B+76368</v>
      </c>
    </row>
    <row r="6818" spans="1:11" x14ac:dyDescent="0.25">
      <c r="A6818" t="s">
        <v>23405</v>
      </c>
      <c r="B6818" s="1" t="str">
        <f>HYPERLINK("https://www.catalog.slsa.sa.gov.au/record=b2024315")</f>
        <v>https://www.catalog.slsa.sa.gov.au/record=b2024315</v>
      </c>
      <c r="C6818" s="1" t="str">
        <f>HYPERLINK("https://www.catalog.slsa.sa.gov.au/xrecord=b2024315")</f>
        <v>https://www.catalog.slsa.sa.gov.au/xrecord=b2024315</v>
      </c>
      <c r="E6818" t="s">
        <v>23406</v>
      </c>
      <c r="F6818" t="s">
        <v>5440</v>
      </c>
      <c r="G6818" t="s">
        <v>23407</v>
      </c>
      <c r="H6818" t="s">
        <v>23408</v>
      </c>
      <c r="J6818" t="s">
        <v>15919</v>
      </c>
      <c r="K6818" s="2" t="str">
        <f>HYPERLINK("http://collections.slsa.sa.gov.au/mpcimg/43750/B43536.htm")</f>
        <v>http://collections.slsa.sa.gov.au/mpcimg/43750/B43536.htm</v>
      </c>
    </row>
    <row r="6819" spans="1:11" x14ac:dyDescent="0.25">
      <c r="A6819" t="s">
        <v>23409</v>
      </c>
      <c r="B6819" s="1" t="str">
        <f>HYPERLINK("https://www.catalog.slsa.sa.gov.au/record=b2035940")</f>
        <v>https://www.catalog.slsa.sa.gov.au/record=b2035940</v>
      </c>
      <c r="C6819" s="1" t="str">
        <f>HYPERLINK("https://www.catalog.slsa.sa.gov.au/xrecord=b2035940")</f>
        <v>https://www.catalog.slsa.sa.gov.au/xrecord=b2035940</v>
      </c>
      <c r="E6819" t="s">
        <v>22654</v>
      </c>
      <c r="F6819" t="s">
        <v>5440</v>
      </c>
      <c r="G6819" t="s">
        <v>16680</v>
      </c>
      <c r="H6819" t="s">
        <v>23410</v>
      </c>
      <c r="I6819" t="s">
        <v>23411</v>
      </c>
      <c r="J6819" t="s">
        <v>2654</v>
      </c>
      <c r="K6819" s="2" t="str">
        <f>HYPERLINK("http://collections.slsa.sa.gov.au/mpcimg/34750/B34554.htm")</f>
        <v>http://collections.slsa.sa.gov.au/mpcimg/34750/B34554.htm</v>
      </c>
    </row>
    <row r="6820" spans="1:11" x14ac:dyDescent="0.25">
      <c r="A6820" t="s">
        <v>23412</v>
      </c>
      <c r="B6820" s="1" t="str">
        <f>HYPERLINK("https://www.catalog.slsa.sa.gov.au/record=b2038717")</f>
        <v>https://www.catalog.slsa.sa.gov.au/record=b2038717</v>
      </c>
      <c r="C6820" s="1" t="str">
        <f>HYPERLINK("https://www.catalog.slsa.sa.gov.au/xrecord=b2038717")</f>
        <v>https://www.catalog.slsa.sa.gov.au/xrecord=b2038717</v>
      </c>
      <c r="E6820" t="s">
        <v>23413</v>
      </c>
      <c r="F6820" t="s">
        <v>5440</v>
      </c>
      <c r="G6820" t="s">
        <v>16337</v>
      </c>
      <c r="H6820" t="s">
        <v>23414</v>
      </c>
      <c r="I6820" t="s">
        <v>23415</v>
      </c>
      <c r="J6820" t="s">
        <v>16340</v>
      </c>
      <c r="K6820" s="2" t="str">
        <f>HYPERLINK("http://collections.slsa.sa.gov.au/mpcimg/23750/B23642.htm")</f>
        <v>http://collections.slsa.sa.gov.au/mpcimg/23750/B23642.htm</v>
      </c>
    </row>
    <row r="6821" spans="1:11" x14ac:dyDescent="0.25">
      <c r="A6821" t="s">
        <v>23416</v>
      </c>
      <c r="B6821" s="1" t="str">
        <f>HYPERLINK("https://www.catalog.slsa.sa.gov.au/record=b2039086")</f>
        <v>https://www.catalog.slsa.sa.gov.au/record=b2039086</v>
      </c>
      <c r="C6821" s="1" t="str">
        <f>HYPERLINK("https://www.catalog.slsa.sa.gov.au/xrecord=b2039086")</f>
        <v>https://www.catalog.slsa.sa.gov.au/xrecord=b2039086</v>
      </c>
      <c r="E6821" t="s">
        <v>23417</v>
      </c>
      <c r="F6821" t="s">
        <v>5440</v>
      </c>
      <c r="G6821" t="s">
        <v>15147</v>
      </c>
      <c r="H6821" t="s">
        <v>23418</v>
      </c>
      <c r="I6821" t="s">
        <v>23419</v>
      </c>
      <c r="J6821" t="s">
        <v>23420</v>
      </c>
      <c r="K6821" s="2" t="str">
        <f>HYPERLINK("http://collections.slsa.sa.gov.au/mpcimg/37750/B37705.htm")</f>
        <v>http://collections.slsa.sa.gov.au/mpcimg/37750/B37705.htm</v>
      </c>
    </row>
    <row r="6822" spans="1:11" x14ac:dyDescent="0.25">
      <c r="A6822" t="s">
        <v>23421</v>
      </c>
      <c r="B6822" s="1" t="str">
        <f>HYPERLINK("https://www.catalog.slsa.sa.gov.au/record=b2040262")</f>
        <v>https://www.catalog.slsa.sa.gov.au/record=b2040262</v>
      </c>
      <c r="C6822" s="1" t="str">
        <f>HYPERLINK("https://www.catalog.slsa.sa.gov.au/xrecord=b2040262")</f>
        <v>https://www.catalog.slsa.sa.gov.au/xrecord=b2040262</v>
      </c>
      <c r="E6822" t="s">
        <v>16447</v>
      </c>
      <c r="F6822" t="s">
        <v>5440</v>
      </c>
      <c r="G6822" t="s">
        <v>23422</v>
      </c>
      <c r="H6822" t="s">
        <v>23423</v>
      </c>
      <c r="I6822" t="s">
        <v>23424</v>
      </c>
      <c r="J6822" t="s">
        <v>16451</v>
      </c>
      <c r="K6822" s="2" t="str">
        <f>HYPERLINK("http://collections.slsa.sa.gov.au/mpcimg/34750/B34574.htm")</f>
        <v>http://collections.slsa.sa.gov.au/mpcimg/34750/B34574.htm</v>
      </c>
    </row>
    <row r="6823" spans="1:11" x14ac:dyDescent="0.25">
      <c r="A6823" t="s">
        <v>23425</v>
      </c>
      <c r="B6823" s="1" t="str">
        <f>HYPERLINK("https://www.catalog.slsa.sa.gov.au/record=b2051897")</f>
        <v>https://www.catalog.slsa.sa.gov.au/record=b2051897</v>
      </c>
      <c r="C6823" s="1" t="str">
        <f>HYPERLINK("https://www.catalog.slsa.sa.gov.au/xrecord=b2051897")</f>
        <v>https://www.catalog.slsa.sa.gov.au/xrecord=b2051897</v>
      </c>
      <c r="D6823" t="s">
        <v>17350</v>
      </c>
      <c r="E6823" t="s">
        <v>23426</v>
      </c>
      <c r="F6823" t="s">
        <v>5440</v>
      </c>
      <c r="G6823" t="s">
        <v>23427</v>
      </c>
      <c r="H6823" t="s">
        <v>23428</v>
      </c>
      <c r="I6823" t="s">
        <v>20834</v>
      </c>
      <c r="J6823" t="s">
        <v>2510</v>
      </c>
      <c r="K6823" s="2" t="str">
        <f>HYPERLINK("http://collections.slsa.sa.gov.au/mpcimg/26250/B26176.htm")</f>
        <v>http://collections.slsa.sa.gov.au/mpcimg/26250/B26176.htm</v>
      </c>
    </row>
    <row r="6824" spans="1:11" x14ac:dyDescent="0.25">
      <c r="A6824" t="s">
        <v>23429</v>
      </c>
      <c r="B6824" s="1" t="str">
        <f>HYPERLINK("https://www.catalog.slsa.sa.gov.au/record=b2052736")</f>
        <v>https://www.catalog.slsa.sa.gov.au/record=b2052736</v>
      </c>
      <c r="C6824" s="1" t="str">
        <f>HYPERLINK("https://www.catalog.slsa.sa.gov.au/xrecord=b2052736")</f>
        <v>https://www.catalog.slsa.sa.gov.au/xrecord=b2052736</v>
      </c>
      <c r="E6824" t="s">
        <v>22654</v>
      </c>
      <c r="F6824" t="s">
        <v>5440</v>
      </c>
      <c r="G6824" t="s">
        <v>15147</v>
      </c>
      <c r="H6824" t="s">
        <v>23430</v>
      </c>
      <c r="I6824" t="s">
        <v>23431</v>
      </c>
      <c r="J6824" t="s">
        <v>2510</v>
      </c>
      <c r="K6824" s="2" t="str">
        <f>HYPERLINK("http://collections.slsa.sa.gov.au/mpcimg/37750/B37680.htm")</f>
        <v>http://collections.slsa.sa.gov.au/mpcimg/37750/B37680.htm</v>
      </c>
    </row>
    <row r="6825" spans="1:11" x14ac:dyDescent="0.25">
      <c r="A6825" t="s">
        <v>23432</v>
      </c>
      <c r="B6825" s="1" t="str">
        <f>HYPERLINK("https://www.catalog.slsa.sa.gov.au/record=b2052737")</f>
        <v>https://www.catalog.slsa.sa.gov.au/record=b2052737</v>
      </c>
      <c r="C6825" s="1" t="str">
        <f>HYPERLINK("https://www.catalog.slsa.sa.gov.au/xrecord=b2052737")</f>
        <v>https://www.catalog.slsa.sa.gov.au/xrecord=b2052737</v>
      </c>
      <c r="E6825" t="s">
        <v>22654</v>
      </c>
      <c r="F6825" t="s">
        <v>5440</v>
      </c>
      <c r="G6825" t="s">
        <v>15147</v>
      </c>
      <c r="H6825" t="s">
        <v>23433</v>
      </c>
      <c r="I6825" t="s">
        <v>23434</v>
      </c>
      <c r="J6825" t="s">
        <v>2510</v>
      </c>
      <c r="K6825" s="2" t="str">
        <f>HYPERLINK("http://collections.slsa.sa.gov.au/mpcimg/37750/B37681.htm")</f>
        <v>http://collections.slsa.sa.gov.au/mpcimg/37750/B37681.htm</v>
      </c>
    </row>
    <row r="6826" spans="1:11" x14ac:dyDescent="0.25">
      <c r="A6826" t="s">
        <v>23435</v>
      </c>
      <c r="B6826" s="1" t="str">
        <f>HYPERLINK("https://www.catalog.slsa.sa.gov.au/record=b2052747")</f>
        <v>https://www.catalog.slsa.sa.gov.au/record=b2052747</v>
      </c>
      <c r="C6826" s="1" t="str">
        <f>HYPERLINK("https://www.catalog.slsa.sa.gov.au/xrecord=b2052747")</f>
        <v>https://www.catalog.slsa.sa.gov.au/xrecord=b2052747</v>
      </c>
      <c r="E6826" t="s">
        <v>23436</v>
      </c>
      <c r="F6826" t="s">
        <v>5440</v>
      </c>
      <c r="G6826" t="s">
        <v>14809</v>
      </c>
      <c r="H6826" t="s">
        <v>23437</v>
      </c>
      <c r="I6826" t="s">
        <v>23438</v>
      </c>
      <c r="J6826" t="s">
        <v>2510</v>
      </c>
      <c r="K6826" s="2" t="str">
        <f>HYPERLINK("http://collections.slsa.sa.gov.au/mpcimg/37750/B37692.htm")</f>
        <v>http://collections.slsa.sa.gov.au/mpcimg/37750/B37692.htm</v>
      </c>
    </row>
    <row r="6827" spans="1:11" x14ac:dyDescent="0.25">
      <c r="A6827" t="s">
        <v>23439</v>
      </c>
      <c r="B6827" s="1" t="str">
        <f>HYPERLINK("https://www.catalog.slsa.sa.gov.au/record=b2058065")</f>
        <v>https://www.catalog.slsa.sa.gov.au/record=b2058065</v>
      </c>
      <c r="C6827" s="1" t="str">
        <f>HYPERLINK("https://www.catalog.slsa.sa.gov.au/xrecord=b2058065")</f>
        <v>https://www.catalog.slsa.sa.gov.au/xrecord=b2058065</v>
      </c>
      <c r="D6827" t="s">
        <v>16831</v>
      </c>
      <c r="E6827" t="s">
        <v>16771</v>
      </c>
      <c r="F6827" t="s">
        <v>5440</v>
      </c>
      <c r="G6827" t="s">
        <v>21182</v>
      </c>
      <c r="H6827" t="s">
        <v>23440</v>
      </c>
      <c r="J6827" t="s">
        <v>16803</v>
      </c>
      <c r="K6827" s="2" t="str">
        <f>HYPERLINK("http://collections.slsa.sa.gov.au/mpcimg/12750/B12557.htm")</f>
        <v>http://collections.slsa.sa.gov.au/mpcimg/12750/B12557.htm</v>
      </c>
    </row>
    <row r="6828" spans="1:11" x14ac:dyDescent="0.25">
      <c r="A6828" t="s">
        <v>23441</v>
      </c>
      <c r="B6828" s="1" t="str">
        <f>HYPERLINK("https://www.catalog.slsa.sa.gov.au/record=b2075067")</f>
        <v>https://www.catalog.slsa.sa.gov.au/record=b2075067</v>
      </c>
      <c r="C6828" s="1" t="str">
        <f>HYPERLINK("https://www.catalog.slsa.sa.gov.au/xrecord=b2075067")</f>
        <v>https://www.catalog.slsa.sa.gov.au/xrecord=b2075067</v>
      </c>
      <c r="E6828" t="s">
        <v>23442</v>
      </c>
      <c r="F6828" t="s">
        <v>5440</v>
      </c>
      <c r="G6828" t="s">
        <v>23443</v>
      </c>
      <c r="H6828" t="s">
        <v>23444</v>
      </c>
      <c r="I6828" t="s">
        <v>23445</v>
      </c>
      <c r="J6828" t="s">
        <v>14780</v>
      </c>
      <c r="K6828" s="2" t="str">
        <f>HYPERLINK("http://collections.slsa.sa.gov.au/mpcimg/62000/B61855.htm")</f>
        <v>http://collections.slsa.sa.gov.au/mpcimg/62000/B61855.htm</v>
      </c>
    </row>
    <row r="6829" spans="1:11" x14ac:dyDescent="0.25">
      <c r="A6829" t="s">
        <v>23446</v>
      </c>
      <c r="B6829" s="1" t="str">
        <f>HYPERLINK("https://www.catalog.slsa.sa.gov.au/record=b2079228")</f>
        <v>https://www.catalog.slsa.sa.gov.au/record=b2079228</v>
      </c>
      <c r="C6829" s="1" t="str">
        <f>HYPERLINK("https://www.catalog.slsa.sa.gov.au/xrecord=b2079228")</f>
        <v>https://www.catalog.slsa.sa.gov.au/xrecord=b2079228</v>
      </c>
      <c r="E6829" t="s">
        <v>23447</v>
      </c>
      <c r="F6829" t="s">
        <v>5440</v>
      </c>
      <c r="G6829" t="s">
        <v>15269</v>
      </c>
      <c r="H6829" t="s">
        <v>23448</v>
      </c>
      <c r="I6829" t="s">
        <v>23449</v>
      </c>
      <c r="J6829" t="s">
        <v>23016</v>
      </c>
      <c r="K6829" s="2" t="str">
        <f>HYPERLINK("http://collections.slsa.sa.gov.au/mpcimg/57250/B57159.htm")</f>
        <v>http://collections.slsa.sa.gov.au/mpcimg/57250/B57159.htm</v>
      </c>
    </row>
    <row r="6830" spans="1:11" x14ac:dyDescent="0.25">
      <c r="A6830" t="s">
        <v>23450</v>
      </c>
      <c r="B6830" s="1" t="str">
        <f>HYPERLINK("https://www.catalog.slsa.sa.gov.au/record=b2081073")</f>
        <v>https://www.catalog.slsa.sa.gov.au/record=b2081073</v>
      </c>
      <c r="C6830" s="1" t="str">
        <f>HYPERLINK("https://www.catalog.slsa.sa.gov.au/xrecord=b2081073")</f>
        <v>https://www.catalog.slsa.sa.gov.au/xrecord=b2081073</v>
      </c>
      <c r="E6830" t="s">
        <v>23451</v>
      </c>
      <c r="F6830" t="s">
        <v>5440</v>
      </c>
      <c r="G6830" t="s">
        <v>15269</v>
      </c>
      <c r="H6830" t="s">
        <v>23452</v>
      </c>
      <c r="I6830" t="s">
        <v>23453</v>
      </c>
      <c r="J6830" t="s">
        <v>23177</v>
      </c>
      <c r="K6830" s="2" t="str">
        <f>HYPERLINK("http://collections.slsa.sa.gov.au/mpcimg/59250/B59008.htm")</f>
        <v>http://collections.slsa.sa.gov.au/mpcimg/59250/B59008.htm</v>
      </c>
    </row>
    <row r="6831" spans="1:11" x14ac:dyDescent="0.25">
      <c r="A6831" t="s">
        <v>23454</v>
      </c>
      <c r="B6831" s="1" t="str">
        <f>HYPERLINK("https://www.catalog.slsa.sa.gov.au/record=b2081235")</f>
        <v>https://www.catalog.slsa.sa.gov.au/record=b2081235</v>
      </c>
      <c r="C6831" s="1" t="str">
        <f>HYPERLINK("https://www.catalog.slsa.sa.gov.au/xrecord=b2081235")</f>
        <v>https://www.catalog.slsa.sa.gov.au/xrecord=b2081235</v>
      </c>
      <c r="E6831" t="s">
        <v>23455</v>
      </c>
      <c r="F6831" t="s">
        <v>5440</v>
      </c>
      <c r="G6831" t="s">
        <v>23456</v>
      </c>
      <c r="H6831" t="s">
        <v>23457</v>
      </c>
      <c r="I6831" t="s">
        <v>23458</v>
      </c>
      <c r="J6831" t="s">
        <v>1809</v>
      </c>
      <c r="K6831" s="2" t="str">
        <f>HYPERLINK("http://collections.slsa.sa.gov.au/mpcimg/59250/B59171.htm")</f>
        <v>http://collections.slsa.sa.gov.au/mpcimg/59250/B59171.htm</v>
      </c>
    </row>
    <row r="6832" spans="1:11" x14ac:dyDescent="0.25">
      <c r="A6832" t="s">
        <v>23459</v>
      </c>
      <c r="B6832" s="1" t="str">
        <f>HYPERLINK("https://www.catalog.slsa.sa.gov.au/record=b2083165")</f>
        <v>https://www.catalog.slsa.sa.gov.au/record=b2083165</v>
      </c>
      <c r="C6832" s="1" t="str">
        <f>HYPERLINK("https://www.catalog.slsa.sa.gov.au/xrecord=b2083165")</f>
        <v>https://www.catalog.slsa.sa.gov.au/xrecord=b2083165</v>
      </c>
      <c r="E6832" t="s">
        <v>23455</v>
      </c>
      <c r="F6832" t="s">
        <v>5440</v>
      </c>
      <c r="G6832" t="s">
        <v>15269</v>
      </c>
      <c r="H6832" t="s">
        <v>23460</v>
      </c>
      <c r="I6832" t="s">
        <v>14668</v>
      </c>
      <c r="J6832" t="s">
        <v>1809</v>
      </c>
      <c r="K6832" s="2" t="str">
        <f>HYPERLINK("http://collections.slsa.sa.gov.au/mpcimg/61250/B61212.htm")</f>
        <v>http://collections.slsa.sa.gov.au/mpcimg/61250/B61212.htm</v>
      </c>
    </row>
    <row r="6833" spans="1:11" x14ac:dyDescent="0.25">
      <c r="A6833" t="s">
        <v>23461</v>
      </c>
      <c r="B6833" s="1" t="str">
        <f>HYPERLINK("https://www.catalog.slsa.sa.gov.au/record=b2086929")</f>
        <v>https://www.catalog.slsa.sa.gov.au/record=b2086929</v>
      </c>
      <c r="C6833" s="1" t="str">
        <f>HYPERLINK("https://www.catalog.slsa.sa.gov.au/xrecord=b2086929")</f>
        <v>https://www.catalog.slsa.sa.gov.au/xrecord=b2086929</v>
      </c>
      <c r="E6833" t="s">
        <v>23462</v>
      </c>
      <c r="F6833" t="s">
        <v>5440</v>
      </c>
      <c r="G6833" t="s">
        <v>23463</v>
      </c>
      <c r="H6833" t="s">
        <v>23464</v>
      </c>
      <c r="I6833" t="s">
        <v>23465</v>
      </c>
      <c r="J6833" t="s">
        <v>1809</v>
      </c>
      <c r="K6833" s="2" t="str">
        <f>HYPERLINK("http://collections.slsa.sa.gov.au/mpcimg/68500/B68358.htm")</f>
        <v>http://collections.slsa.sa.gov.au/mpcimg/68500/B68358.htm</v>
      </c>
    </row>
    <row r="6834" spans="1:11" x14ac:dyDescent="0.25">
      <c r="A6834" t="s">
        <v>23466</v>
      </c>
      <c r="B6834" s="1" t="str">
        <f>HYPERLINK("https://www.catalog.slsa.sa.gov.au/record=b2090208")</f>
        <v>https://www.catalog.slsa.sa.gov.au/record=b2090208</v>
      </c>
      <c r="C6834" s="1" t="str">
        <f>HYPERLINK("https://www.catalog.slsa.sa.gov.au/xrecord=b2090208")</f>
        <v>https://www.catalog.slsa.sa.gov.au/xrecord=b2090208</v>
      </c>
      <c r="E6834" t="s">
        <v>15337</v>
      </c>
      <c r="F6834" t="s">
        <v>5440</v>
      </c>
      <c r="G6834" t="s">
        <v>23467</v>
      </c>
      <c r="H6834" t="s">
        <v>23468</v>
      </c>
      <c r="I6834" t="s">
        <v>15340</v>
      </c>
      <c r="J6834" t="s">
        <v>15341</v>
      </c>
      <c r="K6834" s="2" t="str">
        <f>HYPERLINK("http://collections.slsa.sa.gov.au/mpcimg/59000/B58892_44.htm")</f>
        <v>http://collections.slsa.sa.gov.au/mpcimg/59000/B58892_44.htm</v>
      </c>
    </row>
    <row r="6835" spans="1:11" x14ac:dyDescent="0.25">
      <c r="A6835" t="s">
        <v>23469</v>
      </c>
      <c r="B6835" s="1" t="str">
        <f>HYPERLINK("https://www.catalog.slsa.sa.gov.au/record=b2090209")</f>
        <v>https://www.catalog.slsa.sa.gov.au/record=b2090209</v>
      </c>
      <c r="C6835" s="1" t="str">
        <f>HYPERLINK("https://www.catalog.slsa.sa.gov.au/xrecord=b2090209")</f>
        <v>https://www.catalog.slsa.sa.gov.au/xrecord=b2090209</v>
      </c>
      <c r="E6835" t="s">
        <v>15337</v>
      </c>
      <c r="F6835" t="s">
        <v>5440</v>
      </c>
      <c r="G6835" t="s">
        <v>21534</v>
      </c>
      <c r="H6835" t="s">
        <v>23470</v>
      </c>
      <c r="I6835" t="s">
        <v>15400</v>
      </c>
      <c r="J6835" t="s">
        <v>15341</v>
      </c>
      <c r="K6835" s="2" t="str">
        <f>HYPERLINK("http://collections.slsa.sa.gov.au/mpcimg/59000/B58892_45.htm")</f>
        <v>http://collections.slsa.sa.gov.au/mpcimg/59000/B58892_45.htm</v>
      </c>
    </row>
    <row r="6836" spans="1:11" x14ac:dyDescent="0.25">
      <c r="A6836" t="s">
        <v>23471</v>
      </c>
      <c r="B6836" s="1" t="str">
        <f>HYPERLINK("https://www.catalog.slsa.sa.gov.au/record=b2090210")</f>
        <v>https://www.catalog.slsa.sa.gov.au/record=b2090210</v>
      </c>
      <c r="C6836" s="1" t="str">
        <f>HYPERLINK("https://www.catalog.slsa.sa.gov.au/xrecord=b2090210")</f>
        <v>https://www.catalog.slsa.sa.gov.au/xrecord=b2090210</v>
      </c>
      <c r="E6836" t="s">
        <v>15337</v>
      </c>
      <c r="F6836" t="s">
        <v>5440</v>
      </c>
      <c r="G6836" t="s">
        <v>23472</v>
      </c>
      <c r="H6836" t="s">
        <v>23473</v>
      </c>
      <c r="I6836" t="s">
        <v>17703</v>
      </c>
      <c r="J6836" t="s">
        <v>15341</v>
      </c>
      <c r="K6836" s="2" t="str">
        <f>HYPERLINK("http://collections.slsa.sa.gov.au/mpcimg/59000/B58892_46.htm")</f>
        <v>http://collections.slsa.sa.gov.au/mpcimg/59000/B58892_46.htm</v>
      </c>
    </row>
    <row r="6837" spans="1:11" x14ac:dyDescent="0.25">
      <c r="A6837" t="s">
        <v>23474</v>
      </c>
      <c r="B6837" s="1" t="str">
        <f>HYPERLINK("https://www.catalog.slsa.sa.gov.au/record=b2090213")</f>
        <v>https://www.catalog.slsa.sa.gov.au/record=b2090213</v>
      </c>
      <c r="C6837" s="1" t="str">
        <f>HYPERLINK("https://www.catalog.slsa.sa.gov.au/xrecord=b2090213")</f>
        <v>https://www.catalog.slsa.sa.gov.au/xrecord=b2090213</v>
      </c>
      <c r="E6837" t="s">
        <v>15337</v>
      </c>
      <c r="F6837" t="s">
        <v>5440</v>
      </c>
      <c r="G6837" t="s">
        <v>23475</v>
      </c>
      <c r="H6837" t="s">
        <v>23476</v>
      </c>
      <c r="I6837" t="s">
        <v>15400</v>
      </c>
      <c r="J6837" t="s">
        <v>15341</v>
      </c>
      <c r="K6837" s="2" t="str">
        <f>HYPERLINK("http://collections.slsa.sa.gov.au/mpcimg/59000/B58892_49.htm")</f>
        <v>http://collections.slsa.sa.gov.au/mpcimg/59000/B58892_49.htm</v>
      </c>
    </row>
    <row r="6838" spans="1:11" x14ac:dyDescent="0.25">
      <c r="A6838" t="s">
        <v>23477</v>
      </c>
      <c r="B6838" s="1" t="str">
        <f>HYPERLINK("https://www.catalog.slsa.sa.gov.au/record=b2090214")</f>
        <v>https://www.catalog.slsa.sa.gov.au/record=b2090214</v>
      </c>
      <c r="C6838" s="1" t="str">
        <f>HYPERLINK("https://www.catalog.slsa.sa.gov.au/xrecord=b2090214")</f>
        <v>https://www.catalog.slsa.sa.gov.au/xrecord=b2090214</v>
      </c>
      <c r="E6838" t="s">
        <v>15337</v>
      </c>
      <c r="F6838" t="s">
        <v>5440</v>
      </c>
      <c r="G6838" t="s">
        <v>19708</v>
      </c>
      <c r="H6838" t="s">
        <v>23478</v>
      </c>
      <c r="I6838" t="s">
        <v>15400</v>
      </c>
      <c r="J6838" t="s">
        <v>15341</v>
      </c>
      <c r="K6838" s="2" t="str">
        <f>HYPERLINK("http://collections.slsa.sa.gov.au/mpcimg/59000/B58892_50.htm")</f>
        <v>http://collections.slsa.sa.gov.au/mpcimg/59000/B58892_50.htm</v>
      </c>
    </row>
    <row r="6839" spans="1:11" x14ac:dyDescent="0.25">
      <c r="A6839" t="s">
        <v>23479</v>
      </c>
      <c r="B6839" s="1" t="str">
        <f>HYPERLINK("https://www.catalog.slsa.sa.gov.au/record=b2090215")</f>
        <v>https://www.catalog.slsa.sa.gov.au/record=b2090215</v>
      </c>
      <c r="C6839" s="1" t="str">
        <f>HYPERLINK("https://www.catalog.slsa.sa.gov.au/xrecord=b2090215")</f>
        <v>https://www.catalog.slsa.sa.gov.au/xrecord=b2090215</v>
      </c>
      <c r="E6839" t="s">
        <v>15337</v>
      </c>
      <c r="F6839" t="s">
        <v>5440</v>
      </c>
      <c r="G6839" t="s">
        <v>23480</v>
      </c>
      <c r="H6839" t="s">
        <v>23481</v>
      </c>
      <c r="I6839" t="s">
        <v>15400</v>
      </c>
      <c r="J6839" t="s">
        <v>15341</v>
      </c>
      <c r="K6839" s="2" t="str">
        <f>HYPERLINK("http://collections.slsa.sa.gov.au/mpcimg/59000/B58892_51.htm")</f>
        <v>http://collections.slsa.sa.gov.au/mpcimg/59000/B58892_51.htm</v>
      </c>
    </row>
    <row r="6840" spans="1:11" x14ac:dyDescent="0.25">
      <c r="A6840" t="s">
        <v>23482</v>
      </c>
      <c r="B6840" s="1" t="str">
        <f>HYPERLINK("https://www.catalog.slsa.sa.gov.au/record=b2090216")</f>
        <v>https://www.catalog.slsa.sa.gov.au/record=b2090216</v>
      </c>
      <c r="C6840" s="1" t="str">
        <f>HYPERLINK("https://www.catalog.slsa.sa.gov.au/xrecord=b2090216")</f>
        <v>https://www.catalog.slsa.sa.gov.au/xrecord=b2090216</v>
      </c>
      <c r="E6840" t="s">
        <v>15337</v>
      </c>
      <c r="F6840" t="s">
        <v>5440</v>
      </c>
      <c r="G6840" t="s">
        <v>18132</v>
      </c>
      <c r="H6840" t="s">
        <v>23483</v>
      </c>
      <c r="I6840" t="s">
        <v>23484</v>
      </c>
      <c r="J6840" t="s">
        <v>15341</v>
      </c>
      <c r="K6840" s="2" t="str">
        <f>HYPERLINK("http://collections.slsa.sa.gov.au/mpcimg/59000/B58892_52.htm")</f>
        <v>http://collections.slsa.sa.gov.au/mpcimg/59000/B58892_52.htm</v>
      </c>
    </row>
    <row r="6841" spans="1:11" x14ac:dyDescent="0.25">
      <c r="A6841" t="s">
        <v>23485</v>
      </c>
      <c r="B6841" s="1" t="str">
        <f>HYPERLINK("https://www.catalog.slsa.sa.gov.au/record=b2090217")</f>
        <v>https://www.catalog.slsa.sa.gov.au/record=b2090217</v>
      </c>
      <c r="C6841" s="1" t="str">
        <f>HYPERLINK("https://www.catalog.slsa.sa.gov.au/xrecord=b2090217")</f>
        <v>https://www.catalog.slsa.sa.gov.au/xrecord=b2090217</v>
      </c>
      <c r="E6841" t="s">
        <v>15337</v>
      </c>
      <c r="F6841" t="s">
        <v>5440</v>
      </c>
      <c r="G6841" t="s">
        <v>23486</v>
      </c>
      <c r="H6841" t="s">
        <v>23487</v>
      </c>
      <c r="I6841" t="s">
        <v>15400</v>
      </c>
      <c r="J6841" t="s">
        <v>15341</v>
      </c>
      <c r="K6841" s="2" t="str">
        <f>HYPERLINK("http://collections.slsa.sa.gov.au/mpcimg/59000/B58892_53.htm")</f>
        <v>http://collections.slsa.sa.gov.au/mpcimg/59000/B58892_53.htm</v>
      </c>
    </row>
    <row r="6842" spans="1:11" x14ac:dyDescent="0.25">
      <c r="A6842" t="s">
        <v>23488</v>
      </c>
      <c r="B6842" s="1" t="str">
        <f>HYPERLINK("https://www.catalog.slsa.sa.gov.au/record=b2090218")</f>
        <v>https://www.catalog.slsa.sa.gov.au/record=b2090218</v>
      </c>
      <c r="C6842" s="1" t="str">
        <f>HYPERLINK("https://www.catalog.slsa.sa.gov.au/xrecord=b2090218")</f>
        <v>https://www.catalog.slsa.sa.gov.au/xrecord=b2090218</v>
      </c>
      <c r="E6842" t="s">
        <v>15337</v>
      </c>
      <c r="F6842" t="s">
        <v>5440</v>
      </c>
      <c r="G6842" t="s">
        <v>23489</v>
      </c>
      <c r="H6842" t="s">
        <v>23490</v>
      </c>
      <c r="I6842" t="s">
        <v>15400</v>
      </c>
      <c r="J6842" t="s">
        <v>15341</v>
      </c>
      <c r="K6842" s="2" t="str">
        <f>HYPERLINK("http://collections.slsa.sa.gov.au/mpcimg/59000/B58892_54.htm")</f>
        <v>http://collections.slsa.sa.gov.au/mpcimg/59000/B58892_54.htm</v>
      </c>
    </row>
    <row r="6843" spans="1:11" x14ac:dyDescent="0.25">
      <c r="A6843" t="s">
        <v>23491</v>
      </c>
      <c r="B6843" s="1" t="str">
        <f>HYPERLINK("https://www.catalog.slsa.sa.gov.au/record=b2090219")</f>
        <v>https://www.catalog.slsa.sa.gov.au/record=b2090219</v>
      </c>
      <c r="C6843" s="1" t="str">
        <f>HYPERLINK("https://www.catalog.slsa.sa.gov.au/xrecord=b2090219")</f>
        <v>https://www.catalog.slsa.sa.gov.au/xrecord=b2090219</v>
      </c>
      <c r="E6843" t="s">
        <v>15337</v>
      </c>
      <c r="F6843" t="s">
        <v>5440</v>
      </c>
      <c r="G6843" t="s">
        <v>23492</v>
      </c>
      <c r="H6843" t="s">
        <v>23493</v>
      </c>
      <c r="I6843" t="s">
        <v>15400</v>
      </c>
      <c r="J6843" t="s">
        <v>15341</v>
      </c>
      <c r="K6843" s="2" t="str">
        <f>HYPERLINK("http://collections.slsa.sa.gov.au/mpcimg/59000/B58892_55.htm")</f>
        <v>http://collections.slsa.sa.gov.au/mpcimg/59000/B58892_55.htm</v>
      </c>
    </row>
    <row r="6844" spans="1:11" x14ac:dyDescent="0.25">
      <c r="A6844" t="s">
        <v>23494</v>
      </c>
      <c r="B6844" s="1" t="str">
        <f>HYPERLINK("https://www.catalog.slsa.sa.gov.au/record=b2090220")</f>
        <v>https://www.catalog.slsa.sa.gov.au/record=b2090220</v>
      </c>
      <c r="C6844" s="1" t="str">
        <f>HYPERLINK("https://www.catalog.slsa.sa.gov.au/xrecord=b2090220")</f>
        <v>https://www.catalog.slsa.sa.gov.au/xrecord=b2090220</v>
      </c>
      <c r="E6844" t="s">
        <v>15337</v>
      </c>
      <c r="F6844" t="s">
        <v>5440</v>
      </c>
      <c r="G6844" t="s">
        <v>23495</v>
      </c>
      <c r="H6844" t="s">
        <v>19452</v>
      </c>
      <c r="I6844" t="s">
        <v>15400</v>
      </c>
      <c r="J6844" t="s">
        <v>15341</v>
      </c>
      <c r="K6844" s="2" t="str">
        <f>HYPERLINK("http://collections.slsa.sa.gov.au/mpcimg/59000/B58892_56.htm")</f>
        <v>http://collections.slsa.sa.gov.au/mpcimg/59000/B58892_56.htm</v>
      </c>
    </row>
    <row r="6845" spans="1:11" x14ac:dyDescent="0.25">
      <c r="A6845" t="s">
        <v>23496</v>
      </c>
      <c r="B6845" s="1" t="str">
        <f>HYPERLINK("https://www.catalog.slsa.sa.gov.au/record=b2090221")</f>
        <v>https://www.catalog.slsa.sa.gov.au/record=b2090221</v>
      </c>
      <c r="C6845" s="1" t="str">
        <f>HYPERLINK("https://www.catalog.slsa.sa.gov.au/xrecord=b2090221")</f>
        <v>https://www.catalog.slsa.sa.gov.au/xrecord=b2090221</v>
      </c>
      <c r="E6845" t="s">
        <v>15337</v>
      </c>
      <c r="F6845" t="s">
        <v>5440</v>
      </c>
      <c r="G6845" t="s">
        <v>23497</v>
      </c>
      <c r="H6845" t="s">
        <v>23498</v>
      </c>
      <c r="I6845" t="s">
        <v>15400</v>
      </c>
      <c r="J6845" t="s">
        <v>15341</v>
      </c>
      <c r="K6845" s="2" t="str">
        <f>HYPERLINK("http://collections.slsa.sa.gov.au/mpcimg/59000/B58892_57.htm")</f>
        <v>http://collections.slsa.sa.gov.au/mpcimg/59000/B58892_57.htm</v>
      </c>
    </row>
    <row r="6846" spans="1:11" x14ac:dyDescent="0.25">
      <c r="A6846" t="s">
        <v>23499</v>
      </c>
      <c r="B6846" s="1" t="str">
        <f>HYPERLINK("https://www.catalog.slsa.sa.gov.au/record=b2090222")</f>
        <v>https://www.catalog.slsa.sa.gov.au/record=b2090222</v>
      </c>
      <c r="C6846" s="1" t="str">
        <f>HYPERLINK("https://www.catalog.slsa.sa.gov.au/xrecord=b2090222")</f>
        <v>https://www.catalog.slsa.sa.gov.au/xrecord=b2090222</v>
      </c>
      <c r="E6846" t="s">
        <v>15337</v>
      </c>
      <c r="F6846" t="s">
        <v>5440</v>
      </c>
      <c r="G6846" t="s">
        <v>20460</v>
      </c>
      <c r="H6846" t="s">
        <v>23500</v>
      </c>
      <c r="I6846" t="s">
        <v>15400</v>
      </c>
      <c r="J6846" t="s">
        <v>15341</v>
      </c>
      <c r="K6846" s="2" t="str">
        <f>HYPERLINK("http://collections.slsa.sa.gov.au/mpcimg/59000/B58892_58.htm")</f>
        <v>http://collections.slsa.sa.gov.au/mpcimg/59000/B58892_58.htm</v>
      </c>
    </row>
    <row r="6847" spans="1:11" x14ac:dyDescent="0.25">
      <c r="A6847" t="s">
        <v>23501</v>
      </c>
      <c r="B6847" s="1" t="str">
        <f>HYPERLINK("https://www.catalog.slsa.sa.gov.au/record=b2090223")</f>
        <v>https://www.catalog.slsa.sa.gov.au/record=b2090223</v>
      </c>
      <c r="C6847" s="1" t="str">
        <f>HYPERLINK("https://www.catalog.slsa.sa.gov.au/xrecord=b2090223")</f>
        <v>https://www.catalog.slsa.sa.gov.au/xrecord=b2090223</v>
      </c>
      <c r="E6847" t="s">
        <v>15337</v>
      </c>
      <c r="F6847" t="s">
        <v>5440</v>
      </c>
      <c r="G6847" t="s">
        <v>23502</v>
      </c>
      <c r="H6847" t="s">
        <v>23503</v>
      </c>
      <c r="I6847" t="s">
        <v>19408</v>
      </c>
      <c r="J6847" t="s">
        <v>15341</v>
      </c>
      <c r="K6847" s="2" t="str">
        <f>HYPERLINK("http://collections.slsa.sa.gov.au/mpcimg/59000/B58892_59.htm")</f>
        <v>http://collections.slsa.sa.gov.au/mpcimg/59000/B58892_59.htm</v>
      </c>
    </row>
    <row r="6848" spans="1:11" x14ac:dyDescent="0.25">
      <c r="A6848" t="s">
        <v>23504</v>
      </c>
      <c r="B6848" s="1" t="str">
        <f>HYPERLINK("https://www.catalog.slsa.sa.gov.au/record=b2090333")</f>
        <v>https://www.catalog.slsa.sa.gov.au/record=b2090333</v>
      </c>
      <c r="C6848" s="1" t="str">
        <f>HYPERLINK("https://www.catalog.slsa.sa.gov.au/xrecord=b2090333")</f>
        <v>https://www.catalog.slsa.sa.gov.au/xrecord=b2090333</v>
      </c>
      <c r="E6848" t="s">
        <v>19516</v>
      </c>
      <c r="F6848" t="s">
        <v>5440</v>
      </c>
      <c r="G6848" t="s">
        <v>20253</v>
      </c>
      <c r="H6848" t="s">
        <v>23505</v>
      </c>
      <c r="I6848" t="s">
        <v>15340</v>
      </c>
      <c r="J6848" t="s">
        <v>15341</v>
      </c>
      <c r="K6848" s="2" t="str">
        <f>HYPERLINK("http://collections.slsa.sa.gov.au/mpcimg/59000/B58892_169.htm")</f>
        <v>http://collections.slsa.sa.gov.au/mpcimg/59000/B58892_169.htm</v>
      </c>
    </row>
    <row r="6849" spans="1:11" x14ac:dyDescent="0.25">
      <c r="A6849" t="s">
        <v>23506</v>
      </c>
      <c r="B6849" s="1" t="str">
        <f>HYPERLINK("https://www.catalog.slsa.sa.gov.au/record=b2090335")</f>
        <v>https://www.catalog.slsa.sa.gov.au/record=b2090335</v>
      </c>
      <c r="C6849" s="1" t="str">
        <f>HYPERLINK("https://www.catalog.slsa.sa.gov.au/xrecord=b2090335")</f>
        <v>https://www.catalog.slsa.sa.gov.au/xrecord=b2090335</v>
      </c>
      <c r="E6849" t="s">
        <v>19516</v>
      </c>
      <c r="F6849" t="s">
        <v>5440</v>
      </c>
      <c r="G6849" t="s">
        <v>22241</v>
      </c>
      <c r="H6849" t="s">
        <v>20199</v>
      </c>
      <c r="I6849" t="s">
        <v>15400</v>
      </c>
      <c r="J6849" t="s">
        <v>15341</v>
      </c>
      <c r="K6849" s="2" t="str">
        <f>HYPERLINK("http://collections.slsa.sa.gov.au/mpcimg/59000/B58892_171.htm")</f>
        <v>http://collections.slsa.sa.gov.au/mpcimg/59000/B58892_171.htm</v>
      </c>
    </row>
    <row r="6850" spans="1:11" x14ac:dyDescent="0.25">
      <c r="A6850" t="s">
        <v>23507</v>
      </c>
      <c r="B6850" s="1" t="str">
        <f>HYPERLINK("https://www.catalog.slsa.sa.gov.au/record=b2090336")</f>
        <v>https://www.catalog.slsa.sa.gov.au/record=b2090336</v>
      </c>
      <c r="C6850" s="1" t="str">
        <f>HYPERLINK("https://www.catalog.slsa.sa.gov.au/xrecord=b2090336")</f>
        <v>https://www.catalog.slsa.sa.gov.au/xrecord=b2090336</v>
      </c>
      <c r="E6850" t="s">
        <v>19516</v>
      </c>
      <c r="F6850" t="s">
        <v>5440</v>
      </c>
      <c r="G6850" t="s">
        <v>20371</v>
      </c>
      <c r="H6850" t="s">
        <v>23508</v>
      </c>
      <c r="I6850" t="s">
        <v>15400</v>
      </c>
      <c r="J6850" t="s">
        <v>15341</v>
      </c>
      <c r="K6850" s="2" t="str">
        <f>HYPERLINK("http://collections.slsa.sa.gov.au/mpcimg/59000/B58892_172.htm")</f>
        <v>http://collections.slsa.sa.gov.au/mpcimg/59000/B58892_172.htm</v>
      </c>
    </row>
    <row r="6851" spans="1:11" x14ac:dyDescent="0.25">
      <c r="A6851" t="s">
        <v>23509</v>
      </c>
      <c r="B6851" s="1" t="str">
        <f>HYPERLINK("https://www.catalog.slsa.sa.gov.au/record=b2090340")</f>
        <v>https://www.catalog.slsa.sa.gov.au/record=b2090340</v>
      </c>
      <c r="C6851" s="1" t="str">
        <f>HYPERLINK("https://www.catalog.slsa.sa.gov.au/xrecord=b2090340")</f>
        <v>https://www.catalog.slsa.sa.gov.au/xrecord=b2090340</v>
      </c>
      <c r="E6851" t="s">
        <v>19516</v>
      </c>
      <c r="F6851" t="s">
        <v>5440</v>
      </c>
      <c r="G6851" t="s">
        <v>23510</v>
      </c>
      <c r="H6851" t="s">
        <v>15399</v>
      </c>
      <c r="I6851" t="s">
        <v>15400</v>
      </c>
      <c r="J6851" t="s">
        <v>15341</v>
      </c>
      <c r="K6851" s="2" t="str">
        <f>HYPERLINK("http://collections.slsa.sa.gov.au/mpcimg/59000/B58892_176.htm")</f>
        <v>http://collections.slsa.sa.gov.au/mpcimg/59000/B58892_176.htm</v>
      </c>
    </row>
    <row r="6852" spans="1:11" x14ac:dyDescent="0.25">
      <c r="A6852" t="s">
        <v>23511</v>
      </c>
      <c r="B6852" s="1" t="str">
        <f>HYPERLINK("https://www.catalog.slsa.sa.gov.au/record=b2090341")</f>
        <v>https://www.catalog.slsa.sa.gov.au/record=b2090341</v>
      </c>
      <c r="C6852" s="1" t="str">
        <f>HYPERLINK("https://www.catalog.slsa.sa.gov.au/xrecord=b2090341")</f>
        <v>https://www.catalog.slsa.sa.gov.au/xrecord=b2090341</v>
      </c>
      <c r="E6852" t="s">
        <v>19516</v>
      </c>
      <c r="F6852" t="s">
        <v>5440</v>
      </c>
      <c r="G6852" t="s">
        <v>23512</v>
      </c>
      <c r="H6852" t="s">
        <v>23513</v>
      </c>
      <c r="I6852" t="s">
        <v>15400</v>
      </c>
      <c r="J6852" t="s">
        <v>15341</v>
      </c>
      <c r="K6852" s="2" t="str">
        <f>HYPERLINK("http://collections.slsa.sa.gov.au/mpcimg/59000/B58892_177.htm")</f>
        <v>http://collections.slsa.sa.gov.au/mpcimg/59000/B58892_177.htm</v>
      </c>
    </row>
    <row r="6853" spans="1:11" x14ac:dyDescent="0.25">
      <c r="A6853" t="s">
        <v>23514</v>
      </c>
      <c r="B6853" s="1" t="str">
        <f>HYPERLINK("https://www.catalog.slsa.sa.gov.au/record=b2090342")</f>
        <v>https://www.catalog.slsa.sa.gov.au/record=b2090342</v>
      </c>
      <c r="C6853" s="1" t="str">
        <f>HYPERLINK("https://www.catalog.slsa.sa.gov.au/xrecord=b2090342")</f>
        <v>https://www.catalog.slsa.sa.gov.au/xrecord=b2090342</v>
      </c>
      <c r="E6853" t="s">
        <v>19516</v>
      </c>
      <c r="F6853" t="s">
        <v>5440</v>
      </c>
      <c r="G6853" t="s">
        <v>23515</v>
      </c>
      <c r="H6853" t="s">
        <v>23516</v>
      </c>
      <c r="I6853" t="s">
        <v>19408</v>
      </c>
      <c r="J6853" t="s">
        <v>22259</v>
      </c>
      <c r="K6853" s="2" t="str">
        <f>HYPERLINK("http://collections.slsa.sa.gov.au/mpcimg/59000/B58892_178.htm")</f>
        <v>http://collections.slsa.sa.gov.au/mpcimg/59000/B58892_178.htm</v>
      </c>
    </row>
    <row r="6854" spans="1:11" x14ac:dyDescent="0.25">
      <c r="A6854" t="s">
        <v>23517</v>
      </c>
      <c r="B6854" s="1" t="str">
        <f>HYPERLINK("https://www.catalog.slsa.sa.gov.au/record=b2090343")</f>
        <v>https://www.catalog.slsa.sa.gov.au/record=b2090343</v>
      </c>
      <c r="C6854" s="1" t="str">
        <f>HYPERLINK("https://www.catalog.slsa.sa.gov.au/xrecord=b2090343")</f>
        <v>https://www.catalog.slsa.sa.gov.au/xrecord=b2090343</v>
      </c>
      <c r="E6854" t="s">
        <v>19516</v>
      </c>
      <c r="F6854" t="s">
        <v>5440</v>
      </c>
      <c r="G6854" t="s">
        <v>23518</v>
      </c>
      <c r="H6854" t="s">
        <v>23519</v>
      </c>
      <c r="I6854" t="s">
        <v>15400</v>
      </c>
      <c r="J6854" t="s">
        <v>15341</v>
      </c>
      <c r="K6854" s="2" t="str">
        <f>HYPERLINK("http://collections.slsa.sa.gov.au/mpcimg/59000/B58892_179.htm")</f>
        <v>http://collections.slsa.sa.gov.au/mpcimg/59000/B58892_179.htm</v>
      </c>
    </row>
    <row r="6855" spans="1:11" x14ac:dyDescent="0.25">
      <c r="A6855" t="s">
        <v>23520</v>
      </c>
      <c r="B6855" s="1" t="str">
        <f>HYPERLINK("https://www.catalog.slsa.sa.gov.au/record=b2090344")</f>
        <v>https://www.catalog.slsa.sa.gov.au/record=b2090344</v>
      </c>
      <c r="C6855" s="1" t="str">
        <f>HYPERLINK("https://www.catalog.slsa.sa.gov.au/xrecord=b2090344")</f>
        <v>https://www.catalog.slsa.sa.gov.au/xrecord=b2090344</v>
      </c>
      <c r="E6855" t="s">
        <v>19516</v>
      </c>
      <c r="F6855" t="s">
        <v>5440</v>
      </c>
      <c r="G6855" t="s">
        <v>23521</v>
      </c>
      <c r="H6855" t="s">
        <v>20228</v>
      </c>
      <c r="I6855" t="s">
        <v>15400</v>
      </c>
      <c r="J6855" t="s">
        <v>15341</v>
      </c>
      <c r="K6855" s="2" t="str">
        <f>HYPERLINK("http://collections.slsa.sa.gov.au/mpcimg/59000/B58892_180.htm")</f>
        <v>http://collections.slsa.sa.gov.au/mpcimg/59000/B58892_180.htm</v>
      </c>
    </row>
    <row r="6856" spans="1:11" x14ac:dyDescent="0.25">
      <c r="A6856" t="s">
        <v>23522</v>
      </c>
      <c r="B6856" s="1" t="str">
        <f>HYPERLINK("https://www.catalog.slsa.sa.gov.au/record=b2090390")</f>
        <v>https://www.catalog.slsa.sa.gov.au/record=b2090390</v>
      </c>
      <c r="C6856" s="1" t="str">
        <f>HYPERLINK("https://www.catalog.slsa.sa.gov.au/xrecord=b2090390")</f>
        <v>https://www.catalog.slsa.sa.gov.au/xrecord=b2090390</v>
      </c>
      <c r="E6856" t="s">
        <v>15372</v>
      </c>
      <c r="F6856" t="s">
        <v>5440</v>
      </c>
      <c r="G6856" t="s">
        <v>23523</v>
      </c>
      <c r="H6856" t="s">
        <v>23524</v>
      </c>
      <c r="I6856" t="s">
        <v>15345</v>
      </c>
      <c r="J6856" t="s">
        <v>23525</v>
      </c>
      <c r="K6856" s="2" t="str">
        <f>HYPERLINK("http://collections.slsa.sa.gov.au/mpcimg/59000/B58892_226.htm")</f>
        <v>http://collections.slsa.sa.gov.au/mpcimg/59000/B58892_226.htm</v>
      </c>
    </row>
    <row r="6857" spans="1:11" x14ac:dyDescent="0.25">
      <c r="A6857" t="s">
        <v>23526</v>
      </c>
      <c r="B6857" s="1" t="str">
        <f>HYPERLINK("https://www.catalog.slsa.sa.gov.au/record=b2090391")</f>
        <v>https://www.catalog.slsa.sa.gov.au/record=b2090391</v>
      </c>
      <c r="C6857" s="1" t="str">
        <f>HYPERLINK("https://www.catalog.slsa.sa.gov.au/xrecord=b2090391")</f>
        <v>https://www.catalog.slsa.sa.gov.au/xrecord=b2090391</v>
      </c>
      <c r="E6857" t="s">
        <v>15372</v>
      </c>
      <c r="F6857" t="s">
        <v>5440</v>
      </c>
      <c r="G6857" t="s">
        <v>23527</v>
      </c>
      <c r="H6857" t="s">
        <v>20228</v>
      </c>
      <c r="I6857" t="s">
        <v>15400</v>
      </c>
      <c r="J6857" t="s">
        <v>15341</v>
      </c>
      <c r="K6857" s="2" t="str">
        <f>HYPERLINK("http://collections.slsa.sa.gov.au/mpcimg/59000/B58892_227.htm")</f>
        <v>http://collections.slsa.sa.gov.au/mpcimg/59000/B58892_227.htm</v>
      </c>
    </row>
    <row r="6858" spans="1:11" x14ac:dyDescent="0.25">
      <c r="A6858" t="s">
        <v>23528</v>
      </c>
      <c r="B6858" s="1" t="str">
        <f>HYPERLINK("https://www.catalog.slsa.sa.gov.au/record=b2090392")</f>
        <v>https://www.catalog.slsa.sa.gov.au/record=b2090392</v>
      </c>
      <c r="C6858" s="1" t="str">
        <f>HYPERLINK("https://www.catalog.slsa.sa.gov.au/xrecord=b2090392")</f>
        <v>https://www.catalog.slsa.sa.gov.au/xrecord=b2090392</v>
      </c>
      <c r="E6858" t="s">
        <v>15372</v>
      </c>
      <c r="F6858" t="s">
        <v>5440</v>
      </c>
      <c r="G6858" t="s">
        <v>23529</v>
      </c>
      <c r="H6858" t="s">
        <v>23530</v>
      </c>
      <c r="I6858" t="s">
        <v>23531</v>
      </c>
      <c r="J6858" t="s">
        <v>15341</v>
      </c>
      <c r="K6858" s="2" t="str">
        <f>HYPERLINK("http://collections.slsa.sa.gov.au/mpcimg/59000/B58892_229.htm")</f>
        <v>http://collections.slsa.sa.gov.au/mpcimg/59000/B58892_229.htm</v>
      </c>
    </row>
    <row r="6859" spans="1:11" x14ac:dyDescent="0.25">
      <c r="A6859" t="s">
        <v>23532</v>
      </c>
      <c r="B6859" s="1" t="str">
        <f>HYPERLINK("https://www.catalog.slsa.sa.gov.au/record=b2090393")</f>
        <v>https://www.catalog.slsa.sa.gov.au/record=b2090393</v>
      </c>
      <c r="C6859" s="1" t="str">
        <f>HYPERLINK("https://www.catalog.slsa.sa.gov.au/xrecord=b2090393")</f>
        <v>https://www.catalog.slsa.sa.gov.au/xrecord=b2090393</v>
      </c>
      <c r="E6859" t="s">
        <v>15372</v>
      </c>
      <c r="F6859" t="s">
        <v>5440</v>
      </c>
      <c r="G6859" t="s">
        <v>23227</v>
      </c>
      <c r="H6859" t="s">
        <v>20228</v>
      </c>
      <c r="I6859" t="s">
        <v>15400</v>
      </c>
      <c r="J6859" t="s">
        <v>15341</v>
      </c>
      <c r="K6859" s="2" t="str">
        <f>HYPERLINK("http://collections.slsa.sa.gov.au/mpcimg/59000/B58892_228.htm")</f>
        <v>http://collections.slsa.sa.gov.au/mpcimg/59000/B58892_228.htm</v>
      </c>
    </row>
    <row r="6860" spans="1:11" x14ac:dyDescent="0.25">
      <c r="A6860" t="s">
        <v>23533</v>
      </c>
      <c r="B6860" s="1" t="str">
        <f>HYPERLINK("https://www.catalog.slsa.sa.gov.au/record=b2090394")</f>
        <v>https://www.catalog.slsa.sa.gov.au/record=b2090394</v>
      </c>
      <c r="C6860" s="1" t="str">
        <f>HYPERLINK("https://www.catalog.slsa.sa.gov.au/xrecord=b2090394")</f>
        <v>https://www.catalog.slsa.sa.gov.au/xrecord=b2090394</v>
      </c>
      <c r="E6860" t="s">
        <v>15372</v>
      </c>
      <c r="F6860" t="s">
        <v>5440</v>
      </c>
      <c r="G6860" t="s">
        <v>23534</v>
      </c>
      <c r="H6860" t="s">
        <v>15399</v>
      </c>
      <c r="I6860" t="s">
        <v>15400</v>
      </c>
      <c r="J6860" t="s">
        <v>15341</v>
      </c>
      <c r="K6860" s="2" t="str">
        <f>HYPERLINK("http://collections.slsa.sa.gov.au/mpcimg/59000/B58892_230.htm")</f>
        <v>http://collections.slsa.sa.gov.au/mpcimg/59000/B58892_230.htm</v>
      </c>
    </row>
    <row r="6861" spans="1:11" x14ac:dyDescent="0.25">
      <c r="A6861" t="s">
        <v>23535</v>
      </c>
      <c r="B6861" s="1" t="str">
        <f>HYPERLINK("https://www.catalog.slsa.sa.gov.au/record=b2090395")</f>
        <v>https://www.catalog.slsa.sa.gov.au/record=b2090395</v>
      </c>
      <c r="C6861" s="1" t="str">
        <f>HYPERLINK("https://www.catalog.slsa.sa.gov.au/xrecord=b2090395")</f>
        <v>https://www.catalog.slsa.sa.gov.au/xrecord=b2090395</v>
      </c>
      <c r="E6861" t="s">
        <v>15372</v>
      </c>
      <c r="F6861" t="s">
        <v>5440</v>
      </c>
      <c r="G6861" t="s">
        <v>23536</v>
      </c>
      <c r="H6861" t="s">
        <v>23537</v>
      </c>
      <c r="I6861" t="s">
        <v>15400</v>
      </c>
      <c r="J6861" t="s">
        <v>15341</v>
      </c>
      <c r="K6861" s="2" t="str">
        <f>HYPERLINK("http://collections.slsa.sa.gov.au/mpcimg/59000/B58892_231.htm")</f>
        <v>http://collections.slsa.sa.gov.au/mpcimg/59000/B58892_231.htm</v>
      </c>
    </row>
    <row r="6862" spans="1:11" x14ac:dyDescent="0.25">
      <c r="A6862" t="s">
        <v>23538</v>
      </c>
      <c r="B6862" s="1" t="str">
        <f>HYPERLINK("https://www.catalog.slsa.sa.gov.au/record=b2090396")</f>
        <v>https://www.catalog.slsa.sa.gov.au/record=b2090396</v>
      </c>
      <c r="C6862" s="1" t="str">
        <f>HYPERLINK("https://www.catalog.slsa.sa.gov.au/xrecord=b2090396")</f>
        <v>https://www.catalog.slsa.sa.gov.au/xrecord=b2090396</v>
      </c>
      <c r="E6862" t="s">
        <v>15372</v>
      </c>
      <c r="F6862" t="s">
        <v>5440</v>
      </c>
      <c r="G6862" t="s">
        <v>23539</v>
      </c>
      <c r="H6862" t="s">
        <v>23540</v>
      </c>
      <c r="I6862" t="s">
        <v>15400</v>
      </c>
      <c r="J6862" t="s">
        <v>15341</v>
      </c>
      <c r="K6862" s="2" t="str">
        <f>HYPERLINK("http://collections.slsa.sa.gov.au/mpcimg/59000/B58892_232.htm")</f>
        <v>http://collections.slsa.sa.gov.au/mpcimg/59000/B58892_232.htm</v>
      </c>
    </row>
    <row r="6863" spans="1:11" x14ac:dyDescent="0.25">
      <c r="A6863" t="s">
        <v>23541</v>
      </c>
      <c r="B6863" s="1" t="str">
        <f>HYPERLINK("https://www.catalog.slsa.sa.gov.au/record=b2090397")</f>
        <v>https://www.catalog.slsa.sa.gov.au/record=b2090397</v>
      </c>
      <c r="C6863" s="1" t="str">
        <f>HYPERLINK("https://www.catalog.slsa.sa.gov.au/xrecord=b2090397")</f>
        <v>https://www.catalog.slsa.sa.gov.au/xrecord=b2090397</v>
      </c>
      <c r="E6863" t="s">
        <v>15372</v>
      </c>
      <c r="F6863" t="s">
        <v>5440</v>
      </c>
      <c r="G6863" t="s">
        <v>23542</v>
      </c>
      <c r="H6863" t="s">
        <v>23543</v>
      </c>
      <c r="I6863" t="s">
        <v>15400</v>
      </c>
      <c r="J6863" t="s">
        <v>15341</v>
      </c>
      <c r="K6863" s="2" t="str">
        <f>HYPERLINK("http://collections.slsa.sa.gov.au/mpcimg/59000/B58892_233.htm")</f>
        <v>http://collections.slsa.sa.gov.au/mpcimg/59000/B58892_233.htm</v>
      </c>
    </row>
    <row r="6864" spans="1:11" x14ac:dyDescent="0.25">
      <c r="A6864" t="s">
        <v>23544</v>
      </c>
      <c r="B6864" s="1" t="str">
        <f>HYPERLINK("https://www.catalog.slsa.sa.gov.au/record=b2090398")</f>
        <v>https://www.catalog.slsa.sa.gov.au/record=b2090398</v>
      </c>
      <c r="C6864" s="1" t="str">
        <f>HYPERLINK("https://www.catalog.slsa.sa.gov.au/xrecord=b2090398")</f>
        <v>https://www.catalog.slsa.sa.gov.au/xrecord=b2090398</v>
      </c>
      <c r="E6864" t="s">
        <v>15372</v>
      </c>
      <c r="F6864" t="s">
        <v>5440</v>
      </c>
      <c r="G6864" t="s">
        <v>22222</v>
      </c>
      <c r="H6864" t="s">
        <v>23545</v>
      </c>
      <c r="I6864" t="s">
        <v>15400</v>
      </c>
      <c r="J6864" t="s">
        <v>15341</v>
      </c>
      <c r="K6864" s="2" t="str">
        <f>HYPERLINK("http://collections.slsa.sa.gov.au/mpcimg/59000/B58892_234.htm")</f>
        <v>http://collections.slsa.sa.gov.au/mpcimg/59000/B58892_234.htm</v>
      </c>
    </row>
    <row r="6865" spans="1:11" x14ac:dyDescent="0.25">
      <c r="A6865" t="s">
        <v>23546</v>
      </c>
      <c r="B6865" s="1" t="str">
        <f>HYPERLINK("https://www.catalog.slsa.sa.gov.au/record=b2090430")</f>
        <v>https://www.catalog.slsa.sa.gov.au/record=b2090430</v>
      </c>
      <c r="C6865" s="1" t="str">
        <f>HYPERLINK("https://www.catalog.slsa.sa.gov.au/xrecord=b2090430")</f>
        <v>https://www.catalog.slsa.sa.gov.au/xrecord=b2090430</v>
      </c>
      <c r="E6865" t="s">
        <v>19612</v>
      </c>
      <c r="F6865" t="s">
        <v>5440</v>
      </c>
      <c r="G6865" t="s">
        <v>23547</v>
      </c>
      <c r="H6865" t="s">
        <v>23548</v>
      </c>
      <c r="I6865" t="s">
        <v>15400</v>
      </c>
      <c r="J6865" t="s">
        <v>15341</v>
      </c>
      <c r="K6865" s="2" t="str">
        <f>HYPERLINK("http://collections.slsa.sa.gov.au/mpcimg/59000/B58892_266.htm")</f>
        <v>http://collections.slsa.sa.gov.au/mpcimg/59000/B58892_266.htm</v>
      </c>
    </row>
    <row r="6866" spans="1:11" x14ac:dyDescent="0.25">
      <c r="A6866" t="s">
        <v>23549</v>
      </c>
      <c r="B6866" s="1" t="str">
        <f>HYPERLINK("https://www.catalog.slsa.sa.gov.au/record=b2090448")</f>
        <v>https://www.catalog.slsa.sa.gov.au/record=b2090448</v>
      </c>
      <c r="C6866" s="1" t="str">
        <f>HYPERLINK("https://www.catalog.slsa.sa.gov.au/xrecord=b2090448")</f>
        <v>https://www.catalog.slsa.sa.gov.au/xrecord=b2090448</v>
      </c>
      <c r="E6866" t="s">
        <v>19612</v>
      </c>
      <c r="F6866" t="s">
        <v>5440</v>
      </c>
      <c r="G6866" t="s">
        <v>23550</v>
      </c>
      <c r="H6866" t="s">
        <v>23551</v>
      </c>
      <c r="I6866" t="s">
        <v>15400</v>
      </c>
      <c r="J6866" t="s">
        <v>15341</v>
      </c>
      <c r="K6866" s="2" t="str">
        <f>HYPERLINK("http://collections.slsa.sa.gov.au/mpcimg/59000/B58892_284.htm")</f>
        <v>http://collections.slsa.sa.gov.au/mpcimg/59000/B58892_284.htm</v>
      </c>
    </row>
    <row r="6867" spans="1:11" x14ac:dyDescent="0.25">
      <c r="A6867" t="s">
        <v>23552</v>
      </c>
      <c r="B6867" s="1" t="str">
        <f>HYPERLINK("https://www.catalog.slsa.sa.gov.au/record=b2090449")</f>
        <v>https://www.catalog.slsa.sa.gov.au/record=b2090449</v>
      </c>
      <c r="C6867" s="1" t="str">
        <f>HYPERLINK("https://www.catalog.slsa.sa.gov.au/xrecord=b2090449")</f>
        <v>https://www.catalog.slsa.sa.gov.au/xrecord=b2090449</v>
      </c>
      <c r="E6867" t="s">
        <v>19612</v>
      </c>
      <c r="F6867" t="s">
        <v>5440</v>
      </c>
      <c r="G6867" t="s">
        <v>19708</v>
      </c>
      <c r="H6867" t="s">
        <v>23553</v>
      </c>
      <c r="I6867" t="s">
        <v>23554</v>
      </c>
      <c r="J6867" t="s">
        <v>23555</v>
      </c>
      <c r="K6867" s="2" t="str">
        <f>HYPERLINK("http://collections.slsa.sa.gov.au/mpcimg/59000/B58892_285.htm")</f>
        <v>http://collections.slsa.sa.gov.au/mpcimg/59000/B58892_285.htm</v>
      </c>
    </row>
    <row r="6868" spans="1:11" x14ac:dyDescent="0.25">
      <c r="A6868" t="s">
        <v>23556</v>
      </c>
      <c r="B6868" s="1" t="str">
        <f>HYPERLINK("https://www.catalog.slsa.sa.gov.au/record=b2090450")</f>
        <v>https://www.catalog.slsa.sa.gov.au/record=b2090450</v>
      </c>
      <c r="C6868" s="1" t="str">
        <f>HYPERLINK("https://www.catalog.slsa.sa.gov.au/xrecord=b2090450")</f>
        <v>https://www.catalog.slsa.sa.gov.au/xrecord=b2090450</v>
      </c>
      <c r="E6868" t="s">
        <v>19612</v>
      </c>
      <c r="F6868" t="s">
        <v>5440</v>
      </c>
      <c r="G6868" t="s">
        <v>23557</v>
      </c>
      <c r="H6868" t="s">
        <v>20228</v>
      </c>
      <c r="I6868" t="s">
        <v>15400</v>
      </c>
      <c r="J6868" t="s">
        <v>15341</v>
      </c>
      <c r="K6868" s="2" t="str">
        <f>HYPERLINK("http://collections.slsa.sa.gov.au/mpcimg/59000/B58892_286.htm")</f>
        <v>http://collections.slsa.sa.gov.au/mpcimg/59000/B58892_286.htm</v>
      </c>
    </row>
    <row r="6869" spans="1:11" x14ac:dyDescent="0.25">
      <c r="A6869" t="s">
        <v>23558</v>
      </c>
      <c r="B6869" s="1" t="str">
        <f>HYPERLINK("https://www.catalog.slsa.sa.gov.au/record=b2090451")</f>
        <v>https://www.catalog.slsa.sa.gov.au/record=b2090451</v>
      </c>
      <c r="C6869" s="1" t="str">
        <f>HYPERLINK("https://www.catalog.slsa.sa.gov.au/xrecord=b2090451")</f>
        <v>https://www.catalog.slsa.sa.gov.au/xrecord=b2090451</v>
      </c>
      <c r="E6869" t="s">
        <v>19612</v>
      </c>
      <c r="F6869" t="s">
        <v>5440</v>
      </c>
      <c r="G6869" t="s">
        <v>23559</v>
      </c>
      <c r="H6869" t="s">
        <v>23560</v>
      </c>
      <c r="I6869" t="s">
        <v>15379</v>
      </c>
      <c r="J6869" t="s">
        <v>23561</v>
      </c>
      <c r="K6869" s="2" t="str">
        <f>HYPERLINK("http://collections.slsa.sa.gov.au/mpcimg/59000/B58892_287.htm")</f>
        <v>http://collections.slsa.sa.gov.au/mpcimg/59000/B58892_287.htm</v>
      </c>
    </row>
    <row r="6870" spans="1:11" x14ac:dyDescent="0.25">
      <c r="A6870" t="s">
        <v>23562</v>
      </c>
      <c r="B6870" s="1" t="str">
        <f>HYPERLINK("https://www.catalog.slsa.sa.gov.au/record=b2090452")</f>
        <v>https://www.catalog.slsa.sa.gov.au/record=b2090452</v>
      </c>
      <c r="C6870" s="1" t="str">
        <f>HYPERLINK("https://www.catalog.slsa.sa.gov.au/xrecord=b2090452")</f>
        <v>https://www.catalog.slsa.sa.gov.au/xrecord=b2090452</v>
      </c>
      <c r="E6870" t="s">
        <v>19612</v>
      </c>
      <c r="F6870" t="s">
        <v>5440</v>
      </c>
      <c r="G6870" t="s">
        <v>23563</v>
      </c>
      <c r="H6870" t="s">
        <v>20228</v>
      </c>
      <c r="I6870" t="s">
        <v>15400</v>
      </c>
      <c r="J6870" t="s">
        <v>15341</v>
      </c>
      <c r="K6870" s="2" t="str">
        <f>HYPERLINK("http://collections.slsa.sa.gov.au/mpcimg/59000/B58892_288.htm")</f>
        <v>http://collections.slsa.sa.gov.au/mpcimg/59000/B58892_288.htm</v>
      </c>
    </row>
    <row r="6871" spans="1:11" x14ac:dyDescent="0.25">
      <c r="A6871" t="s">
        <v>23564</v>
      </c>
      <c r="B6871" s="1" t="str">
        <f>HYPERLINK("https://www.catalog.slsa.sa.gov.au/record=b2090453")</f>
        <v>https://www.catalog.slsa.sa.gov.au/record=b2090453</v>
      </c>
      <c r="C6871" s="1" t="str">
        <f>HYPERLINK("https://www.catalog.slsa.sa.gov.au/xrecord=b2090453")</f>
        <v>https://www.catalog.slsa.sa.gov.au/xrecord=b2090453</v>
      </c>
      <c r="E6871" t="s">
        <v>19612</v>
      </c>
      <c r="F6871" t="s">
        <v>5440</v>
      </c>
      <c r="G6871" t="s">
        <v>23565</v>
      </c>
      <c r="H6871" t="s">
        <v>20228</v>
      </c>
      <c r="I6871" t="s">
        <v>15400</v>
      </c>
      <c r="J6871" t="s">
        <v>15341</v>
      </c>
      <c r="K6871" s="2" t="str">
        <f>HYPERLINK("http://collections.slsa.sa.gov.au/mpcimg/59000/B58892_289.htm")</f>
        <v>http://collections.slsa.sa.gov.au/mpcimg/59000/B58892_289.htm</v>
      </c>
    </row>
    <row r="6872" spans="1:11" x14ac:dyDescent="0.25">
      <c r="A6872" t="s">
        <v>23566</v>
      </c>
      <c r="B6872" s="1" t="str">
        <f>HYPERLINK("https://www.catalog.slsa.sa.gov.au/record=b2090454")</f>
        <v>https://www.catalog.slsa.sa.gov.au/record=b2090454</v>
      </c>
      <c r="C6872" s="1" t="str">
        <f>HYPERLINK("https://www.catalog.slsa.sa.gov.au/xrecord=b2090454")</f>
        <v>https://www.catalog.slsa.sa.gov.au/xrecord=b2090454</v>
      </c>
      <c r="E6872" t="s">
        <v>19612</v>
      </c>
      <c r="F6872" t="s">
        <v>5440</v>
      </c>
      <c r="G6872" t="s">
        <v>23567</v>
      </c>
      <c r="H6872" t="s">
        <v>23568</v>
      </c>
      <c r="I6872" t="s">
        <v>15400</v>
      </c>
      <c r="J6872" t="s">
        <v>15341</v>
      </c>
      <c r="K6872" s="2" t="str">
        <f>HYPERLINK("http://collections.slsa.sa.gov.au/mpcimg/59000/B58892_290.htm")</f>
        <v>http://collections.slsa.sa.gov.au/mpcimg/59000/B58892_290.htm</v>
      </c>
    </row>
    <row r="6873" spans="1:11" x14ac:dyDescent="0.25">
      <c r="A6873" t="s">
        <v>23569</v>
      </c>
      <c r="B6873" s="1" t="str">
        <f>HYPERLINK("https://www.catalog.slsa.sa.gov.au/record=b2090455")</f>
        <v>https://www.catalog.slsa.sa.gov.au/record=b2090455</v>
      </c>
      <c r="C6873" s="1" t="str">
        <f>HYPERLINK("https://www.catalog.slsa.sa.gov.au/xrecord=b2090455")</f>
        <v>https://www.catalog.slsa.sa.gov.au/xrecord=b2090455</v>
      </c>
      <c r="E6873" t="s">
        <v>19612</v>
      </c>
      <c r="F6873" t="s">
        <v>5440</v>
      </c>
      <c r="G6873" t="s">
        <v>23570</v>
      </c>
      <c r="H6873" t="s">
        <v>23571</v>
      </c>
      <c r="I6873" t="s">
        <v>15405</v>
      </c>
      <c r="J6873" t="s">
        <v>23572</v>
      </c>
      <c r="K6873" s="2" t="str">
        <f>HYPERLINK("http://collections.slsa.sa.gov.au/mpcimg/59000/B58892_291.htm")</f>
        <v>http://collections.slsa.sa.gov.au/mpcimg/59000/B58892_291.htm</v>
      </c>
    </row>
    <row r="6874" spans="1:11" x14ac:dyDescent="0.25">
      <c r="A6874" t="s">
        <v>23573</v>
      </c>
      <c r="B6874" s="1" t="str">
        <f>HYPERLINK("https://www.catalog.slsa.sa.gov.au/record=b2090456")</f>
        <v>https://www.catalog.slsa.sa.gov.au/record=b2090456</v>
      </c>
      <c r="C6874" s="1" t="str">
        <f>HYPERLINK("https://www.catalog.slsa.sa.gov.au/xrecord=b2090456")</f>
        <v>https://www.catalog.slsa.sa.gov.au/xrecord=b2090456</v>
      </c>
      <c r="E6874" t="s">
        <v>19612</v>
      </c>
      <c r="F6874" t="s">
        <v>5440</v>
      </c>
      <c r="G6874" t="s">
        <v>23574</v>
      </c>
      <c r="H6874" t="s">
        <v>20216</v>
      </c>
      <c r="I6874" t="s">
        <v>15400</v>
      </c>
      <c r="J6874" t="s">
        <v>15341</v>
      </c>
      <c r="K6874" s="2" t="str">
        <f>HYPERLINK("http://collections.slsa.sa.gov.au/mpcimg/59000/B58892_292.htm")</f>
        <v>http://collections.slsa.sa.gov.au/mpcimg/59000/B58892_292.htm</v>
      </c>
    </row>
    <row r="6875" spans="1:11" x14ac:dyDescent="0.25">
      <c r="A6875" t="s">
        <v>23575</v>
      </c>
      <c r="B6875" s="1" t="str">
        <f>HYPERLINK("https://www.catalog.slsa.sa.gov.au/record=b2090746")</f>
        <v>https://www.catalog.slsa.sa.gov.au/record=b2090746</v>
      </c>
      <c r="C6875" s="1" t="str">
        <f>HYPERLINK("https://www.catalog.slsa.sa.gov.au/xrecord=b2090746")</f>
        <v>https://www.catalog.slsa.sa.gov.au/xrecord=b2090746</v>
      </c>
      <c r="E6875" t="s">
        <v>15402</v>
      </c>
      <c r="F6875" t="s">
        <v>5440</v>
      </c>
      <c r="G6875" t="s">
        <v>20436</v>
      </c>
      <c r="H6875" t="s">
        <v>23576</v>
      </c>
      <c r="I6875" t="s">
        <v>15400</v>
      </c>
      <c r="J6875" t="s">
        <v>15341</v>
      </c>
      <c r="K6875" s="2" t="str">
        <f>HYPERLINK("http://collections.slsa.sa.gov.au/mpcimg/59000/B58892_533.htm")</f>
        <v>http://collections.slsa.sa.gov.au/mpcimg/59000/B58892_533.htm</v>
      </c>
    </row>
    <row r="6876" spans="1:11" x14ac:dyDescent="0.25">
      <c r="A6876" t="s">
        <v>23577</v>
      </c>
      <c r="B6876" s="1" t="str">
        <f>HYPERLINK("https://www.catalog.slsa.sa.gov.au/record=b2090747")</f>
        <v>https://www.catalog.slsa.sa.gov.au/record=b2090747</v>
      </c>
      <c r="C6876" s="1" t="str">
        <f>HYPERLINK("https://www.catalog.slsa.sa.gov.au/xrecord=b2090747")</f>
        <v>https://www.catalog.slsa.sa.gov.au/xrecord=b2090747</v>
      </c>
      <c r="E6876" t="s">
        <v>15402</v>
      </c>
      <c r="F6876" t="s">
        <v>5440</v>
      </c>
      <c r="G6876" t="s">
        <v>23578</v>
      </c>
      <c r="H6876" t="s">
        <v>23579</v>
      </c>
      <c r="I6876" t="s">
        <v>19408</v>
      </c>
      <c r="J6876" t="s">
        <v>15341</v>
      </c>
      <c r="K6876" s="2" t="str">
        <f>HYPERLINK("http://collections.slsa.sa.gov.au/mpcimg/59000/B58892_534.htm")</f>
        <v>http://collections.slsa.sa.gov.au/mpcimg/59000/B58892_534.htm</v>
      </c>
    </row>
    <row r="6877" spans="1:11" x14ac:dyDescent="0.25">
      <c r="A6877" t="s">
        <v>23580</v>
      </c>
      <c r="B6877" s="1" t="str">
        <f>HYPERLINK("https://www.catalog.slsa.sa.gov.au/record=b2090748")</f>
        <v>https://www.catalog.slsa.sa.gov.au/record=b2090748</v>
      </c>
      <c r="C6877" s="1" t="str">
        <f>HYPERLINK("https://www.catalog.slsa.sa.gov.au/xrecord=b2090748")</f>
        <v>https://www.catalog.slsa.sa.gov.au/xrecord=b2090748</v>
      </c>
      <c r="E6877" t="s">
        <v>15402</v>
      </c>
      <c r="F6877" t="s">
        <v>5440</v>
      </c>
      <c r="G6877" t="s">
        <v>23581</v>
      </c>
      <c r="H6877" t="s">
        <v>23582</v>
      </c>
      <c r="I6877" t="s">
        <v>19408</v>
      </c>
      <c r="J6877" t="s">
        <v>15341</v>
      </c>
      <c r="K6877" s="2" t="str">
        <f>HYPERLINK("http://collections.slsa.sa.gov.au/mpcimg/59000/B58892_535.htm")</f>
        <v>http://collections.slsa.sa.gov.au/mpcimg/59000/B58892_535.htm</v>
      </c>
    </row>
    <row r="6878" spans="1:11" x14ac:dyDescent="0.25">
      <c r="A6878" t="s">
        <v>23583</v>
      </c>
      <c r="B6878" s="1" t="str">
        <f>HYPERLINK("https://www.catalog.slsa.sa.gov.au/record=b2090749")</f>
        <v>https://www.catalog.slsa.sa.gov.au/record=b2090749</v>
      </c>
      <c r="C6878" s="1" t="str">
        <f>HYPERLINK("https://www.catalog.slsa.sa.gov.au/xrecord=b2090749")</f>
        <v>https://www.catalog.slsa.sa.gov.au/xrecord=b2090749</v>
      </c>
      <c r="E6878" t="s">
        <v>15402</v>
      </c>
      <c r="F6878" t="s">
        <v>5440</v>
      </c>
      <c r="G6878" t="s">
        <v>20339</v>
      </c>
      <c r="H6878" t="s">
        <v>23584</v>
      </c>
      <c r="I6878" t="s">
        <v>15400</v>
      </c>
      <c r="J6878" t="s">
        <v>15341</v>
      </c>
      <c r="K6878" s="2" t="str">
        <f>HYPERLINK("http://collections.slsa.sa.gov.au/mpcimg/59000/B58892_536.htm")</f>
        <v>http://collections.slsa.sa.gov.au/mpcimg/59000/B58892_536.htm</v>
      </c>
    </row>
    <row r="6879" spans="1:11" x14ac:dyDescent="0.25">
      <c r="A6879" t="s">
        <v>23585</v>
      </c>
      <c r="B6879" s="1" t="str">
        <f>HYPERLINK("https://www.catalog.slsa.sa.gov.au/record=b2090750")</f>
        <v>https://www.catalog.slsa.sa.gov.au/record=b2090750</v>
      </c>
      <c r="C6879" s="1" t="str">
        <f>HYPERLINK("https://www.catalog.slsa.sa.gov.au/xrecord=b2090750")</f>
        <v>https://www.catalog.slsa.sa.gov.au/xrecord=b2090750</v>
      </c>
      <c r="E6879" t="s">
        <v>15402</v>
      </c>
      <c r="F6879" t="s">
        <v>5440</v>
      </c>
      <c r="G6879" t="s">
        <v>20432</v>
      </c>
      <c r="H6879" t="s">
        <v>23582</v>
      </c>
      <c r="I6879" t="s">
        <v>19408</v>
      </c>
      <c r="J6879" t="s">
        <v>15341</v>
      </c>
      <c r="K6879" s="2" t="str">
        <f>HYPERLINK("http://collections.slsa.sa.gov.au/mpcimg/59000/B58892_537.htm")</f>
        <v>http://collections.slsa.sa.gov.au/mpcimg/59000/B58892_537.htm</v>
      </c>
    </row>
    <row r="6880" spans="1:11" x14ac:dyDescent="0.25">
      <c r="A6880" t="s">
        <v>23586</v>
      </c>
      <c r="B6880" s="1" t="str">
        <f>HYPERLINK("https://www.catalog.slsa.sa.gov.au/record=b2097702")</f>
        <v>https://www.catalog.slsa.sa.gov.au/record=b2097702</v>
      </c>
      <c r="C6880" s="1" t="str">
        <f>HYPERLINK("https://www.catalog.slsa.sa.gov.au/xrecord=b2097702")</f>
        <v>https://www.catalog.slsa.sa.gov.au/xrecord=b2097702</v>
      </c>
      <c r="E6880" t="s">
        <v>23587</v>
      </c>
      <c r="F6880" t="s">
        <v>5440</v>
      </c>
      <c r="G6880" t="s">
        <v>23588</v>
      </c>
      <c r="H6880" t="s">
        <v>23589</v>
      </c>
      <c r="I6880" t="s">
        <v>23590</v>
      </c>
      <c r="J6880" t="s">
        <v>14768</v>
      </c>
      <c r="K6880" s="2" t="str">
        <f>HYPERLINK("http://collections.slsa.sa.gov.au/mpcimg/50250/B50029_1.htm")</f>
        <v>http://collections.slsa.sa.gov.au/mpcimg/50250/B50029_1.htm</v>
      </c>
    </row>
    <row r="6881" spans="1:11" x14ac:dyDescent="0.25">
      <c r="A6881" t="s">
        <v>23591</v>
      </c>
      <c r="B6881" s="1" t="str">
        <f>HYPERLINK("https://www.catalog.slsa.sa.gov.au/record=b2097703")</f>
        <v>https://www.catalog.slsa.sa.gov.au/record=b2097703</v>
      </c>
      <c r="C6881" s="1" t="str">
        <f>HYPERLINK("https://www.catalog.slsa.sa.gov.au/xrecord=b2097703")</f>
        <v>https://www.catalog.slsa.sa.gov.au/xrecord=b2097703</v>
      </c>
      <c r="E6881" t="s">
        <v>23587</v>
      </c>
      <c r="F6881" t="s">
        <v>5440</v>
      </c>
      <c r="G6881" t="s">
        <v>23588</v>
      </c>
      <c r="H6881" t="s">
        <v>23592</v>
      </c>
      <c r="I6881" t="s">
        <v>23593</v>
      </c>
      <c r="J6881" t="s">
        <v>14768</v>
      </c>
      <c r="K6881" s="2" t="str">
        <f>HYPERLINK("http://collections.slsa.sa.gov.au/mpcimg/50250/B50029_2.htm")</f>
        <v>http://collections.slsa.sa.gov.au/mpcimg/50250/B50029_2.htm</v>
      </c>
    </row>
    <row r="6882" spans="1:11" x14ac:dyDescent="0.25">
      <c r="A6882" t="s">
        <v>23594</v>
      </c>
      <c r="B6882" s="1" t="str">
        <f>HYPERLINK("https://www.catalog.slsa.sa.gov.au/record=b2097704")</f>
        <v>https://www.catalog.slsa.sa.gov.au/record=b2097704</v>
      </c>
      <c r="C6882" s="1" t="str">
        <f>HYPERLINK("https://www.catalog.slsa.sa.gov.au/xrecord=b2097704")</f>
        <v>https://www.catalog.slsa.sa.gov.au/xrecord=b2097704</v>
      </c>
      <c r="E6882" t="s">
        <v>23587</v>
      </c>
      <c r="F6882" t="s">
        <v>5440</v>
      </c>
      <c r="G6882" t="s">
        <v>23588</v>
      </c>
      <c r="H6882" t="s">
        <v>23595</v>
      </c>
      <c r="I6882" t="s">
        <v>23593</v>
      </c>
      <c r="J6882" t="s">
        <v>14768</v>
      </c>
      <c r="K6882" s="2" t="str">
        <f>HYPERLINK("http://collections.slsa.sa.gov.au/mpcimg/50250/B50029_3.htm")</f>
        <v>http://collections.slsa.sa.gov.au/mpcimg/50250/B50029_3.htm</v>
      </c>
    </row>
    <row r="6883" spans="1:11" x14ac:dyDescent="0.25">
      <c r="A6883" t="s">
        <v>23596</v>
      </c>
      <c r="B6883" s="1" t="str">
        <f>HYPERLINK("https://www.catalog.slsa.sa.gov.au/record=b2097705")</f>
        <v>https://www.catalog.slsa.sa.gov.au/record=b2097705</v>
      </c>
      <c r="C6883" s="1" t="str">
        <f>HYPERLINK("https://www.catalog.slsa.sa.gov.au/xrecord=b2097705")</f>
        <v>https://www.catalog.slsa.sa.gov.au/xrecord=b2097705</v>
      </c>
      <c r="E6883" t="s">
        <v>23587</v>
      </c>
      <c r="F6883" t="s">
        <v>5440</v>
      </c>
      <c r="G6883" t="s">
        <v>23597</v>
      </c>
      <c r="H6883" t="s">
        <v>23598</v>
      </c>
      <c r="I6883" t="s">
        <v>23599</v>
      </c>
      <c r="J6883" t="s">
        <v>14768</v>
      </c>
      <c r="K6883" s="2" t="str">
        <f>HYPERLINK("http://collections.slsa.sa.gov.au/mpcimg/50250/B50029_4.htm")</f>
        <v>http://collections.slsa.sa.gov.au/mpcimg/50250/B50029_4.htm</v>
      </c>
    </row>
    <row r="6884" spans="1:11" x14ac:dyDescent="0.25">
      <c r="A6884" t="s">
        <v>23600</v>
      </c>
      <c r="B6884" s="1" t="str">
        <f>HYPERLINK("https://www.catalog.slsa.sa.gov.au/record=b2097706")</f>
        <v>https://www.catalog.slsa.sa.gov.au/record=b2097706</v>
      </c>
      <c r="C6884" s="1" t="str">
        <f>HYPERLINK("https://www.catalog.slsa.sa.gov.au/xrecord=b2097706")</f>
        <v>https://www.catalog.slsa.sa.gov.au/xrecord=b2097706</v>
      </c>
      <c r="E6884" t="s">
        <v>23587</v>
      </c>
      <c r="F6884" t="s">
        <v>5440</v>
      </c>
      <c r="G6884" t="s">
        <v>23588</v>
      </c>
      <c r="H6884" t="s">
        <v>23601</v>
      </c>
      <c r="I6884" t="s">
        <v>23602</v>
      </c>
      <c r="J6884" t="s">
        <v>14768</v>
      </c>
      <c r="K6884" s="2" t="str">
        <f>HYPERLINK("http://collections.slsa.sa.gov.au/mpcimg/50250/B50029_6.htm")</f>
        <v>http://collections.slsa.sa.gov.au/mpcimg/50250/B50029_6.htm</v>
      </c>
    </row>
    <row r="6885" spans="1:11" x14ac:dyDescent="0.25">
      <c r="A6885" t="s">
        <v>23603</v>
      </c>
      <c r="B6885" s="1" t="str">
        <f>HYPERLINK("https://www.catalog.slsa.sa.gov.au/record=b2097707")</f>
        <v>https://www.catalog.slsa.sa.gov.au/record=b2097707</v>
      </c>
      <c r="C6885" s="1" t="str">
        <f>HYPERLINK("https://www.catalog.slsa.sa.gov.au/xrecord=b2097707")</f>
        <v>https://www.catalog.slsa.sa.gov.au/xrecord=b2097707</v>
      </c>
      <c r="E6885" t="s">
        <v>23587</v>
      </c>
      <c r="F6885" t="s">
        <v>5440</v>
      </c>
      <c r="G6885" t="s">
        <v>23588</v>
      </c>
      <c r="H6885" t="s">
        <v>23604</v>
      </c>
      <c r="I6885" t="s">
        <v>23605</v>
      </c>
      <c r="J6885" t="s">
        <v>14768</v>
      </c>
      <c r="K6885" s="2" t="str">
        <f>HYPERLINK("http://collections.slsa.sa.gov.au/mpcimg/50250/B50029_5.htm")</f>
        <v>http://collections.slsa.sa.gov.au/mpcimg/50250/B50029_5.htm</v>
      </c>
    </row>
    <row r="6886" spans="1:11" x14ac:dyDescent="0.25">
      <c r="A6886" t="s">
        <v>23606</v>
      </c>
      <c r="B6886" s="1" t="str">
        <f>HYPERLINK("https://www.catalog.slsa.sa.gov.au/record=b2097767")</f>
        <v>https://www.catalog.slsa.sa.gov.au/record=b2097767</v>
      </c>
      <c r="C6886" s="1" t="str">
        <f>HYPERLINK("https://www.catalog.slsa.sa.gov.au/xrecord=b2097767")</f>
        <v>https://www.catalog.slsa.sa.gov.au/xrecord=b2097767</v>
      </c>
      <c r="E6886" t="s">
        <v>23587</v>
      </c>
      <c r="F6886" t="s">
        <v>5440</v>
      </c>
      <c r="G6886" t="s">
        <v>23588</v>
      </c>
      <c r="H6886" t="s">
        <v>23607</v>
      </c>
      <c r="I6886" t="s">
        <v>23608</v>
      </c>
      <c r="J6886" t="s">
        <v>14768</v>
      </c>
      <c r="K6886" s="2" t="str">
        <f>HYPERLINK("http://collections.slsa.sa.gov.au/mpcimg/50250/B50029_7.htm")</f>
        <v>http://collections.slsa.sa.gov.au/mpcimg/50250/B50029_7.htm</v>
      </c>
    </row>
    <row r="6887" spans="1:11" x14ac:dyDescent="0.25">
      <c r="A6887" t="s">
        <v>23609</v>
      </c>
      <c r="B6887" s="1" t="str">
        <f>HYPERLINK("https://www.catalog.slsa.sa.gov.au/record=b2097768")</f>
        <v>https://www.catalog.slsa.sa.gov.au/record=b2097768</v>
      </c>
      <c r="C6887" s="1" t="str">
        <f>HYPERLINK("https://www.catalog.slsa.sa.gov.au/xrecord=b2097768")</f>
        <v>https://www.catalog.slsa.sa.gov.au/xrecord=b2097768</v>
      </c>
      <c r="E6887" t="s">
        <v>23587</v>
      </c>
      <c r="F6887" t="s">
        <v>5440</v>
      </c>
      <c r="G6887" t="s">
        <v>23597</v>
      </c>
      <c r="H6887" t="s">
        <v>23610</v>
      </c>
      <c r="I6887" t="s">
        <v>23602</v>
      </c>
      <c r="J6887" t="s">
        <v>14768</v>
      </c>
      <c r="K6887" s="2" t="str">
        <f>HYPERLINK("http://collections.slsa.sa.gov.au/mpcimg/50250/B50029_8.htm")</f>
        <v>http://collections.slsa.sa.gov.au/mpcimg/50250/B50029_8.htm</v>
      </c>
    </row>
    <row r="6888" spans="1:11" x14ac:dyDescent="0.25">
      <c r="A6888" t="s">
        <v>23611</v>
      </c>
      <c r="B6888" s="1" t="str">
        <f>HYPERLINK("https://www.catalog.slsa.sa.gov.au/record=b2097769")</f>
        <v>https://www.catalog.slsa.sa.gov.au/record=b2097769</v>
      </c>
      <c r="C6888" s="1" t="str">
        <f>HYPERLINK("https://www.catalog.slsa.sa.gov.au/xrecord=b2097769")</f>
        <v>https://www.catalog.slsa.sa.gov.au/xrecord=b2097769</v>
      </c>
      <c r="E6888" t="s">
        <v>23587</v>
      </c>
      <c r="F6888" t="s">
        <v>5440</v>
      </c>
      <c r="G6888" t="s">
        <v>23597</v>
      </c>
      <c r="H6888" t="s">
        <v>23612</v>
      </c>
      <c r="I6888" t="s">
        <v>23613</v>
      </c>
      <c r="J6888" t="s">
        <v>14768</v>
      </c>
      <c r="K6888" s="2" t="str">
        <f>HYPERLINK("http://collections.slsa.sa.gov.au/mpcimg/50250/B50029_9.htm")</f>
        <v>http://collections.slsa.sa.gov.au/mpcimg/50250/B50029_9.htm</v>
      </c>
    </row>
    <row r="6889" spans="1:11" x14ac:dyDescent="0.25">
      <c r="A6889" t="s">
        <v>23614</v>
      </c>
      <c r="B6889" s="1" t="str">
        <f>HYPERLINK("https://www.catalog.slsa.sa.gov.au/record=b2097770")</f>
        <v>https://www.catalog.slsa.sa.gov.au/record=b2097770</v>
      </c>
      <c r="C6889" s="1" t="str">
        <f>HYPERLINK("https://www.catalog.slsa.sa.gov.au/xrecord=b2097770")</f>
        <v>https://www.catalog.slsa.sa.gov.au/xrecord=b2097770</v>
      </c>
      <c r="E6889" t="s">
        <v>23587</v>
      </c>
      <c r="F6889" t="s">
        <v>5440</v>
      </c>
      <c r="G6889" t="s">
        <v>23588</v>
      </c>
      <c r="H6889" t="s">
        <v>23615</v>
      </c>
      <c r="I6889" t="s">
        <v>23613</v>
      </c>
      <c r="J6889" t="s">
        <v>14768</v>
      </c>
      <c r="K6889" s="2" t="str">
        <f>HYPERLINK("http://collections.slsa.sa.gov.au/mpcimg/50250/B50029_10.htm")</f>
        <v>http://collections.slsa.sa.gov.au/mpcimg/50250/B50029_10.htm</v>
      </c>
    </row>
    <row r="6890" spans="1:11" x14ac:dyDescent="0.25">
      <c r="A6890" t="s">
        <v>23616</v>
      </c>
      <c r="B6890" s="1" t="str">
        <f>HYPERLINK("https://www.catalog.slsa.sa.gov.au/record=b2097771")</f>
        <v>https://www.catalog.slsa.sa.gov.au/record=b2097771</v>
      </c>
      <c r="C6890" s="1" t="str">
        <f>HYPERLINK("https://www.catalog.slsa.sa.gov.au/xrecord=b2097771")</f>
        <v>https://www.catalog.slsa.sa.gov.au/xrecord=b2097771</v>
      </c>
      <c r="E6890" t="s">
        <v>23587</v>
      </c>
      <c r="F6890" t="s">
        <v>5440</v>
      </c>
      <c r="G6890" t="s">
        <v>23597</v>
      </c>
      <c r="H6890" t="s">
        <v>23617</v>
      </c>
      <c r="I6890" t="s">
        <v>23613</v>
      </c>
      <c r="J6890" t="s">
        <v>14768</v>
      </c>
      <c r="K6890" s="2" t="str">
        <f>HYPERLINK("http://collections.slsa.sa.gov.au/mpcimg/50250/B50029_11.htm")</f>
        <v>http://collections.slsa.sa.gov.au/mpcimg/50250/B50029_11.htm</v>
      </c>
    </row>
    <row r="6891" spans="1:11" x14ac:dyDescent="0.25">
      <c r="A6891" t="s">
        <v>23618</v>
      </c>
      <c r="B6891" s="1" t="str">
        <f>HYPERLINK("https://www.catalog.slsa.sa.gov.au/record=b2097799")</f>
        <v>https://www.catalog.slsa.sa.gov.au/record=b2097799</v>
      </c>
      <c r="C6891" s="1" t="str">
        <f>HYPERLINK("https://www.catalog.slsa.sa.gov.au/xrecord=b2097799")</f>
        <v>https://www.catalog.slsa.sa.gov.au/xrecord=b2097799</v>
      </c>
      <c r="E6891" t="s">
        <v>23587</v>
      </c>
      <c r="F6891" t="s">
        <v>5440</v>
      </c>
      <c r="G6891" t="s">
        <v>23588</v>
      </c>
      <c r="H6891" t="s">
        <v>23619</v>
      </c>
      <c r="I6891" t="s">
        <v>23620</v>
      </c>
      <c r="J6891" t="s">
        <v>14768</v>
      </c>
      <c r="K6891" s="2" t="str">
        <f>HYPERLINK("http://collections.slsa.sa.gov.au/mpcimg/50250/B50029_12.htm")</f>
        <v>http://collections.slsa.sa.gov.au/mpcimg/50250/B50029_12.htm</v>
      </c>
    </row>
    <row r="6892" spans="1:11" x14ac:dyDescent="0.25">
      <c r="A6892" t="s">
        <v>23621</v>
      </c>
      <c r="B6892" s="1" t="str">
        <f>HYPERLINK("https://www.catalog.slsa.sa.gov.au/record=b2097800")</f>
        <v>https://www.catalog.slsa.sa.gov.au/record=b2097800</v>
      </c>
      <c r="C6892" s="1" t="str">
        <f>HYPERLINK("https://www.catalog.slsa.sa.gov.au/xrecord=b2097800")</f>
        <v>https://www.catalog.slsa.sa.gov.au/xrecord=b2097800</v>
      </c>
      <c r="E6892" t="s">
        <v>23587</v>
      </c>
      <c r="F6892" t="s">
        <v>5440</v>
      </c>
      <c r="G6892" t="s">
        <v>23622</v>
      </c>
      <c r="H6892" t="s">
        <v>23623</v>
      </c>
      <c r="I6892" t="s">
        <v>23624</v>
      </c>
      <c r="J6892" t="s">
        <v>14768</v>
      </c>
      <c r="K6892" s="2" t="str">
        <f>HYPERLINK("http://collections.slsa.sa.gov.au/mpcimg/50250/B50029_13.htm")</f>
        <v>http://collections.slsa.sa.gov.au/mpcimg/50250/B50029_13.htm</v>
      </c>
    </row>
    <row r="6893" spans="1:11" x14ac:dyDescent="0.25">
      <c r="A6893" t="s">
        <v>23625</v>
      </c>
      <c r="B6893" s="1" t="str">
        <f>HYPERLINK("https://www.catalog.slsa.sa.gov.au/record=b2097801")</f>
        <v>https://www.catalog.slsa.sa.gov.au/record=b2097801</v>
      </c>
      <c r="C6893" s="1" t="str">
        <f>HYPERLINK("https://www.catalog.slsa.sa.gov.au/xrecord=b2097801")</f>
        <v>https://www.catalog.slsa.sa.gov.au/xrecord=b2097801</v>
      </c>
      <c r="E6893" t="s">
        <v>23587</v>
      </c>
      <c r="F6893" t="s">
        <v>5440</v>
      </c>
      <c r="G6893" t="s">
        <v>23626</v>
      </c>
      <c r="H6893" t="s">
        <v>23627</v>
      </c>
      <c r="I6893" t="s">
        <v>23624</v>
      </c>
      <c r="J6893" t="s">
        <v>14768</v>
      </c>
      <c r="K6893" s="2" t="str">
        <f>HYPERLINK("http://collections.slsa.sa.gov.au/mpcimg/50250/B50029_14.htm")</f>
        <v>http://collections.slsa.sa.gov.au/mpcimg/50250/B50029_14.htm</v>
      </c>
    </row>
    <row r="6894" spans="1:11" x14ac:dyDescent="0.25">
      <c r="A6894" t="s">
        <v>23628</v>
      </c>
      <c r="B6894" s="1" t="str">
        <f>HYPERLINK("https://www.catalog.slsa.sa.gov.au/record=b2097802")</f>
        <v>https://www.catalog.slsa.sa.gov.au/record=b2097802</v>
      </c>
      <c r="C6894" s="1" t="str">
        <f>HYPERLINK("https://www.catalog.slsa.sa.gov.au/xrecord=b2097802")</f>
        <v>https://www.catalog.slsa.sa.gov.au/xrecord=b2097802</v>
      </c>
      <c r="E6894" t="s">
        <v>23587</v>
      </c>
      <c r="F6894" t="s">
        <v>5440</v>
      </c>
      <c r="G6894" t="s">
        <v>23629</v>
      </c>
      <c r="H6894" t="s">
        <v>23630</v>
      </c>
      <c r="I6894" t="s">
        <v>23631</v>
      </c>
      <c r="J6894" t="s">
        <v>14768</v>
      </c>
      <c r="K6894" s="2" t="str">
        <f>HYPERLINK("http://collections.slsa.sa.gov.au/mpcimg/50250/B50029_15.htm")</f>
        <v>http://collections.slsa.sa.gov.au/mpcimg/50250/B50029_15.htm</v>
      </c>
    </row>
    <row r="6895" spans="1:11" x14ac:dyDescent="0.25">
      <c r="A6895" t="s">
        <v>23632</v>
      </c>
      <c r="B6895" s="1" t="str">
        <f>HYPERLINK("https://www.catalog.slsa.sa.gov.au/record=b2097803")</f>
        <v>https://www.catalog.slsa.sa.gov.au/record=b2097803</v>
      </c>
      <c r="C6895" s="1" t="str">
        <f>HYPERLINK("https://www.catalog.slsa.sa.gov.au/xrecord=b2097803")</f>
        <v>https://www.catalog.slsa.sa.gov.au/xrecord=b2097803</v>
      </c>
      <c r="E6895" t="s">
        <v>23587</v>
      </c>
      <c r="F6895" t="s">
        <v>5440</v>
      </c>
      <c r="G6895" t="s">
        <v>23633</v>
      </c>
      <c r="H6895" t="s">
        <v>23634</v>
      </c>
      <c r="I6895" t="s">
        <v>23635</v>
      </c>
      <c r="J6895" t="s">
        <v>14768</v>
      </c>
      <c r="K6895" s="2" t="str">
        <f>HYPERLINK("http://collections.slsa.sa.gov.au/mpcimg/50250/B50029_16.htm")</f>
        <v>http://collections.slsa.sa.gov.au/mpcimg/50250/B50029_16.htm</v>
      </c>
    </row>
    <row r="6896" spans="1:11" x14ac:dyDescent="0.25">
      <c r="A6896" t="s">
        <v>23636</v>
      </c>
      <c r="B6896" s="1" t="str">
        <f>HYPERLINK("https://www.catalog.slsa.sa.gov.au/record=b2097804")</f>
        <v>https://www.catalog.slsa.sa.gov.au/record=b2097804</v>
      </c>
      <c r="C6896" s="1" t="str">
        <f>HYPERLINK("https://www.catalog.slsa.sa.gov.au/xrecord=b2097804")</f>
        <v>https://www.catalog.slsa.sa.gov.au/xrecord=b2097804</v>
      </c>
      <c r="E6896" t="s">
        <v>23587</v>
      </c>
      <c r="F6896" t="s">
        <v>5440</v>
      </c>
      <c r="G6896" t="s">
        <v>15464</v>
      </c>
      <c r="H6896" t="s">
        <v>23637</v>
      </c>
      <c r="I6896" t="s">
        <v>23638</v>
      </c>
      <c r="J6896" t="s">
        <v>14768</v>
      </c>
      <c r="K6896" s="2" t="str">
        <f>HYPERLINK("http://collections.slsa.sa.gov.au/mpcimg/50250/B50029_17.htm")</f>
        <v>http://collections.slsa.sa.gov.au/mpcimg/50250/B50029_17.htm</v>
      </c>
    </row>
    <row r="6897" spans="1:11" x14ac:dyDescent="0.25">
      <c r="A6897" t="s">
        <v>23639</v>
      </c>
      <c r="B6897" s="1" t="str">
        <f>HYPERLINK("https://www.catalog.slsa.sa.gov.au/record=b2097805")</f>
        <v>https://www.catalog.slsa.sa.gov.au/record=b2097805</v>
      </c>
      <c r="C6897" s="1" t="str">
        <f>HYPERLINK("https://www.catalog.slsa.sa.gov.au/xrecord=b2097805")</f>
        <v>https://www.catalog.slsa.sa.gov.au/xrecord=b2097805</v>
      </c>
      <c r="E6897" t="s">
        <v>23587</v>
      </c>
      <c r="F6897" t="s">
        <v>5440</v>
      </c>
      <c r="G6897" t="s">
        <v>23640</v>
      </c>
      <c r="H6897" t="s">
        <v>23641</v>
      </c>
      <c r="I6897" t="s">
        <v>23638</v>
      </c>
      <c r="J6897" t="s">
        <v>14768</v>
      </c>
      <c r="K6897" s="2" t="str">
        <f>HYPERLINK("http://collections.slsa.sa.gov.au/mpcimg/50250/B50029_18.htm")</f>
        <v>http://collections.slsa.sa.gov.au/mpcimg/50250/B50029_18.htm</v>
      </c>
    </row>
    <row r="6898" spans="1:11" x14ac:dyDescent="0.25">
      <c r="A6898" t="s">
        <v>23642</v>
      </c>
      <c r="B6898" s="1" t="str">
        <f>HYPERLINK("https://www.catalog.slsa.sa.gov.au/record=b2097806")</f>
        <v>https://www.catalog.slsa.sa.gov.au/record=b2097806</v>
      </c>
      <c r="C6898" s="1" t="str">
        <f>HYPERLINK("https://www.catalog.slsa.sa.gov.au/xrecord=b2097806")</f>
        <v>https://www.catalog.slsa.sa.gov.au/xrecord=b2097806</v>
      </c>
      <c r="E6898" t="s">
        <v>23587</v>
      </c>
      <c r="F6898" t="s">
        <v>5440</v>
      </c>
      <c r="G6898" t="s">
        <v>23588</v>
      </c>
      <c r="H6898" t="s">
        <v>23643</v>
      </c>
      <c r="I6898" t="s">
        <v>23644</v>
      </c>
      <c r="J6898" t="s">
        <v>14768</v>
      </c>
      <c r="K6898" s="2" t="str">
        <f>HYPERLINK("http://collections.slsa.sa.gov.au/mpcimg/50250/B50029_19.htm")</f>
        <v>http://collections.slsa.sa.gov.au/mpcimg/50250/B50029_19.htm</v>
      </c>
    </row>
    <row r="6899" spans="1:11" x14ac:dyDescent="0.25">
      <c r="A6899" t="s">
        <v>23645</v>
      </c>
      <c r="B6899" s="1" t="str">
        <f>HYPERLINK("https://www.catalog.slsa.sa.gov.au/record=b2097807")</f>
        <v>https://www.catalog.slsa.sa.gov.au/record=b2097807</v>
      </c>
      <c r="C6899" s="1" t="str">
        <f>HYPERLINK("https://www.catalog.slsa.sa.gov.au/xrecord=b2097807")</f>
        <v>https://www.catalog.slsa.sa.gov.au/xrecord=b2097807</v>
      </c>
      <c r="E6899" t="s">
        <v>23587</v>
      </c>
      <c r="F6899" t="s">
        <v>5440</v>
      </c>
      <c r="G6899" t="s">
        <v>23597</v>
      </c>
      <c r="H6899" t="s">
        <v>23646</v>
      </c>
      <c r="I6899" t="s">
        <v>23638</v>
      </c>
      <c r="J6899" t="s">
        <v>14768</v>
      </c>
      <c r="K6899" s="2" t="str">
        <f>HYPERLINK("http://collections.slsa.sa.gov.au/mpcimg/50250/B50029_20.htm")</f>
        <v>http://collections.slsa.sa.gov.au/mpcimg/50250/B50029_20.htm</v>
      </c>
    </row>
    <row r="6900" spans="1:11" x14ac:dyDescent="0.25">
      <c r="A6900" t="s">
        <v>23647</v>
      </c>
      <c r="B6900" s="1" t="str">
        <f>HYPERLINK("https://www.catalog.slsa.sa.gov.au/record=b2097808")</f>
        <v>https://www.catalog.slsa.sa.gov.au/record=b2097808</v>
      </c>
      <c r="C6900" s="1" t="str">
        <f>HYPERLINK("https://www.catalog.slsa.sa.gov.au/xrecord=b2097808")</f>
        <v>https://www.catalog.slsa.sa.gov.au/xrecord=b2097808</v>
      </c>
      <c r="E6900" t="s">
        <v>23587</v>
      </c>
      <c r="F6900" t="s">
        <v>5440</v>
      </c>
      <c r="G6900" t="s">
        <v>23588</v>
      </c>
      <c r="H6900" t="s">
        <v>23648</v>
      </c>
      <c r="I6900" t="s">
        <v>23644</v>
      </c>
      <c r="J6900" t="s">
        <v>14768</v>
      </c>
      <c r="K6900" s="2" t="str">
        <f>HYPERLINK("http://collections.slsa.sa.gov.au/mpcimg/50250/B50029_21.htm")</f>
        <v>http://collections.slsa.sa.gov.au/mpcimg/50250/B50029_21.htm</v>
      </c>
    </row>
    <row r="6901" spans="1:11" x14ac:dyDescent="0.25">
      <c r="A6901" t="s">
        <v>23649</v>
      </c>
      <c r="B6901" s="1" t="str">
        <f>HYPERLINK("https://www.catalog.slsa.sa.gov.au/record=b2097809")</f>
        <v>https://www.catalog.slsa.sa.gov.au/record=b2097809</v>
      </c>
      <c r="C6901" s="1" t="str">
        <f>HYPERLINK("https://www.catalog.slsa.sa.gov.au/xrecord=b2097809")</f>
        <v>https://www.catalog.slsa.sa.gov.au/xrecord=b2097809</v>
      </c>
      <c r="E6901" t="s">
        <v>23587</v>
      </c>
      <c r="F6901" t="s">
        <v>5440</v>
      </c>
      <c r="G6901" t="s">
        <v>23588</v>
      </c>
      <c r="H6901" t="s">
        <v>23650</v>
      </c>
      <c r="I6901" t="s">
        <v>23644</v>
      </c>
      <c r="J6901" t="s">
        <v>14768</v>
      </c>
      <c r="K6901" s="2" t="str">
        <f>HYPERLINK("http://collections.slsa.sa.gov.au/mpcimg/50250/B50029_22.htm")</f>
        <v>http://collections.slsa.sa.gov.au/mpcimg/50250/B50029_22.htm</v>
      </c>
    </row>
    <row r="6902" spans="1:11" x14ac:dyDescent="0.25">
      <c r="A6902" t="s">
        <v>23651</v>
      </c>
      <c r="B6902" s="1" t="str">
        <f>HYPERLINK("https://www.catalog.slsa.sa.gov.au/record=b2097810")</f>
        <v>https://www.catalog.slsa.sa.gov.au/record=b2097810</v>
      </c>
      <c r="C6902" s="1" t="str">
        <f>HYPERLINK("https://www.catalog.slsa.sa.gov.au/xrecord=b2097810")</f>
        <v>https://www.catalog.slsa.sa.gov.au/xrecord=b2097810</v>
      </c>
      <c r="E6902" t="s">
        <v>23587</v>
      </c>
      <c r="F6902" t="s">
        <v>5440</v>
      </c>
      <c r="G6902" t="s">
        <v>23588</v>
      </c>
      <c r="H6902" t="s">
        <v>23652</v>
      </c>
      <c r="I6902" t="s">
        <v>23644</v>
      </c>
      <c r="J6902" t="s">
        <v>14768</v>
      </c>
      <c r="K6902" s="2" t="str">
        <f>HYPERLINK("http://collections.slsa.sa.gov.au/mpcimg/50250/B50029_23.htm")</f>
        <v>http://collections.slsa.sa.gov.au/mpcimg/50250/B50029_23.htm</v>
      </c>
    </row>
    <row r="6903" spans="1:11" x14ac:dyDescent="0.25">
      <c r="A6903" t="s">
        <v>23653</v>
      </c>
      <c r="B6903" s="1" t="str">
        <f>HYPERLINK("https://www.catalog.slsa.sa.gov.au/record=b2097811")</f>
        <v>https://www.catalog.slsa.sa.gov.au/record=b2097811</v>
      </c>
      <c r="C6903" s="1" t="str">
        <f>HYPERLINK("https://www.catalog.slsa.sa.gov.au/xrecord=b2097811")</f>
        <v>https://www.catalog.slsa.sa.gov.au/xrecord=b2097811</v>
      </c>
      <c r="E6903" t="s">
        <v>23587</v>
      </c>
      <c r="F6903" t="s">
        <v>5440</v>
      </c>
      <c r="G6903" t="s">
        <v>23588</v>
      </c>
      <c r="H6903" t="s">
        <v>23654</v>
      </c>
      <c r="I6903" t="s">
        <v>23644</v>
      </c>
      <c r="J6903" t="s">
        <v>14768</v>
      </c>
      <c r="K6903" s="2" t="str">
        <f>HYPERLINK("http://collections.slsa.sa.gov.au/mpcimg/50250/B50029_24.htm")</f>
        <v>http://collections.slsa.sa.gov.au/mpcimg/50250/B50029_24.htm</v>
      </c>
    </row>
    <row r="6904" spans="1:11" x14ac:dyDescent="0.25">
      <c r="A6904" t="s">
        <v>23655</v>
      </c>
      <c r="B6904" s="1" t="str">
        <f>HYPERLINK("https://www.catalog.slsa.sa.gov.au/record=b2097812")</f>
        <v>https://www.catalog.slsa.sa.gov.au/record=b2097812</v>
      </c>
      <c r="C6904" s="1" t="str">
        <f>HYPERLINK("https://www.catalog.slsa.sa.gov.au/xrecord=b2097812")</f>
        <v>https://www.catalog.slsa.sa.gov.au/xrecord=b2097812</v>
      </c>
      <c r="E6904" t="s">
        <v>23587</v>
      </c>
      <c r="F6904" t="s">
        <v>5440</v>
      </c>
      <c r="G6904" t="s">
        <v>23588</v>
      </c>
      <c r="H6904" t="s">
        <v>23656</v>
      </c>
      <c r="I6904" t="s">
        <v>23657</v>
      </c>
      <c r="J6904" t="s">
        <v>14768</v>
      </c>
      <c r="K6904" s="2" t="str">
        <f>HYPERLINK("http://collections.slsa.sa.gov.au/mpcimg/50250/B50029_25.htm")</f>
        <v>http://collections.slsa.sa.gov.au/mpcimg/50250/B50029_25.htm</v>
      </c>
    </row>
    <row r="6905" spans="1:11" x14ac:dyDescent="0.25">
      <c r="A6905" t="s">
        <v>23658</v>
      </c>
      <c r="B6905" s="1" t="str">
        <f>HYPERLINK("https://www.catalog.slsa.sa.gov.au/record=b2097813")</f>
        <v>https://www.catalog.slsa.sa.gov.au/record=b2097813</v>
      </c>
      <c r="C6905" s="1" t="str">
        <f>HYPERLINK("https://www.catalog.slsa.sa.gov.au/xrecord=b2097813")</f>
        <v>https://www.catalog.slsa.sa.gov.au/xrecord=b2097813</v>
      </c>
      <c r="E6905" t="s">
        <v>23587</v>
      </c>
      <c r="F6905" t="s">
        <v>5440</v>
      </c>
      <c r="G6905" t="s">
        <v>23588</v>
      </c>
      <c r="H6905" t="s">
        <v>23659</v>
      </c>
      <c r="I6905" t="s">
        <v>23660</v>
      </c>
      <c r="J6905" t="s">
        <v>14768</v>
      </c>
      <c r="K6905" s="2" t="str">
        <f>HYPERLINK("http://collections.slsa.sa.gov.au/mpcimg/50250/B50029_26.htm")</f>
        <v>http://collections.slsa.sa.gov.au/mpcimg/50250/B50029_26.htm</v>
      </c>
    </row>
    <row r="6906" spans="1:11" x14ac:dyDescent="0.25">
      <c r="A6906" t="s">
        <v>23661</v>
      </c>
      <c r="B6906" s="1" t="str">
        <f>HYPERLINK("https://www.catalog.slsa.sa.gov.au/record=b2097814")</f>
        <v>https://www.catalog.slsa.sa.gov.au/record=b2097814</v>
      </c>
      <c r="C6906" s="1" t="str">
        <f>HYPERLINK("https://www.catalog.slsa.sa.gov.au/xrecord=b2097814")</f>
        <v>https://www.catalog.slsa.sa.gov.au/xrecord=b2097814</v>
      </c>
      <c r="E6906" t="s">
        <v>23587</v>
      </c>
      <c r="F6906" t="s">
        <v>5440</v>
      </c>
      <c r="G6906" t="s">
        <v>23597</v>
      </c>
      <c r="H6906" t="s">
        <v>23662</v>
      </c>
      <c r="I6906" t="s">
        <v>23663</v>
      </c>
      <c r="J6906" t="s">
        <v>14768</v>
      </c>
      <c r="K6906" s="2" t="str">
        <f>HYPERLINK("http://collections.slsa.sa.gov.au/mpcimg/50250/B50029_27.htm")</f>
        <v>http://collections.slsa.sa.gov.au/mpcimg/50250/B50029_27.htm</v>
      </c>
    </row>
    <row r="6907" spans="1:11" x14ac:dyDescent="0.25">
      <c r="A6907" t="s">
        <v>23664</v>
      </c>
      <c r="B6907" s="1" t="str">
        <f>HYPERLINK("https://www.catalog.slsa.sa.gov.au/record=b2097817")</f>
        <v>https://www.catalog.slsa.sa.gov.au/record=b2097817</v>
      </c>
      <c r="C6907" s="1" t="str">
        <f>HYPERLINK("https://www.catalog.slsa.sa.gov.au/xrecord=b2097817")</f>
        <v>https://www.catalog.slsa.sa.gov.au/xrecord=b2097817</v>
      </c>
      <c r="E6907" t="s">
        <v>23587</v>
      </c>
      <c r="F6907" t="s">
        <v>5440</v>
      </c>
      <c r="G6907" t="s">
        <v>23588</v>
      </c>
      <c r="H6907" t="s">
        <v>23665</v>
      </c>
      <c r="I6907" t="s">
        <v>23663</v>
      </c>
      <c r="J6907" t="s">
        <v>14768</v>
      </c>
      <c r="K6907" s="2" t="str">
        <f>HYPERLINK("http://collections.slsa.sa.gov.au/mpcimg/50250/B50029_28.htm")</f>
        <v>http://collections.slsa.sa.gov.au/mpcimg/50250/B50029_28.htm</v>
      </c>
    </row>
    <row r="6908" spans="1:11" x14ac:dyDescent="0.25">
      <c r="A6908" t="s">
        <v>23666</v>
      </c>
      <c r="B6908" s="1" t="str">
        <f>HYPERLINK("https://www.catalog.slsa.sa.gov.au/record=b2097818")</f>
        <v>https://www.catalog.slsa.sa.gov.au/record=b2097818</v>
      </c>
      <c r="C6908" s="1" t="str">
        <f>HYPERLINK("https://www.catalog.slsa.sa.gov.au/xrecord=b2097818")</f>
        <v>https://www.catalog.slsa.sa.gov.au/xrecord=b2097818</v>
      </c>
      <c r="E6908" t="s">
        <v>23587</v>
      </c>
      <c r="F6908" t="s">
        <v>5440</v>
      </c>
      <c r="G6908" t="s">
        <v>23588</v>
      </c>
      <c r="H6908" t="s">
        <v>23667</v>
      </c>
      <c r="I6908" t="s">
        <v>23663</v>
      </c>
      <c r="J6908" t="s">
        <v>14768</v>
      </c>
      <c r="K6908" s="2" t="str">
        <f>HYPERLINK("http://collections.slsa.sa.gov.au/mpcimg/50250/B50029_29.htm")</f>
        <v>http://collections.slsa.sa.gov.au/mpcimg/50250/B50029_29.htm</v>
      </c>
    </row>
    <row r="6909" spans="1:11" x14ac:dyDescent="0.25">
      <c r="A6909" t="s">
        <v>23668</v>
      </c>
      <c r="B6909" s="1" t="str">
        <f>HYPERLINK("https://www.catalog.slsa.sa.gov.au/record=b2097819")</f>
        <v>https://www.catalog.slsa.sa.gov.au/record=b2097819</v>
      </c>
      <c r="C6909" s="1" t="str">
        <f>HYPERLINK("https://www.catalog.slsa.sa.gov.au/xrecord=b2097819")</f>
        <v>https://www.catalog.slsa.sa.gov.au/xrecord=b2097819</v>
      </c>
      <c r="E6909" t="s">
        <v>23587</v>
      </c>
      <c r="F6909" t="s">
        <v>5440</v>
      </c>
      <c r="G6909" t="s">
        <v>23588</v>
      </c>
      <c r="H6909" t="s">
        <v>23669</v>
      </c>
      <c r="I6909" t="s">
        <v>23670</v>
      </c>
      <c r="J6909" t="s">
        <v>14768</v>
      </c>
      <c r="K6909" s="2" t="str">
        <f>HYPERLINK("http://collections.slsa.sa.gov.au/mpcimg/50250/B50029_30.htm")</f>
        <v>http://collections.slsa.sa.gov.au/mpcimg/50250/B50029_30.htm</v>
      </c>
    </row>
    <row r="6910" spans="1:11" x14ac:dyDescent="0.25">
      <c r="A6910" t="s">
        <v>23671</v>
      </c>
      <c r="B6910" s="1" t="str">
        <f>HYPERLINK("https://www.catalog.slsa.sa.gov.au/record=b2097824")</f>
        <v>https://www.catalog.slsa.sa.gov.au/record=b2097824</v>
      </c>
      <c r="C6910" s="1" t="str">
        <f>HYPERLINK("https://www.catalog.slsa.sa.gov.au/xrecord=b2097824")</f>
        <v>https://www.catalog.slsa.sa.gov.au/xrecord=b2097824</v>
      </c>
      <c r="E6910" t="s">
        <v>23587</v>
      </c>
      <c r="F6910" t="s">
        <v>5440</v>
      </c>
      <c r="G6910" t="s">
        <v>23588</v>
      </c>
      <c r="H6910" t="s">
        <v>23672</v>
      </c>
      <c r="I6910" t="s">
        <v>23660</v>
      </c>
      <c r="J6910" t="s">
        <v>14768</v>
      </c>
      <c r="K6910" s="2" t="str">
        <f>HYPERLINK("http://collections.slsa.sa.gov.au/mpcimg/50250/B50029_31.htm")</f>
        <v>http://collections.slsa.sa.gov.au/mpcimg/50250/B50029_31.htm</v>
      </c>
    </row>
    <row r="6911" spans="1:11" x14ac:dyDescent="0.25">
      <c r="A6911" t="s">
        <v>23673</v>
      </c>
      <c r="B6911" s="1" t="str">
        <f>HYPERLINK("https://www.catalog.slsa.sa.gov.au/record=b2097826")</f>
        <v>https://www.catalog.slsa.sa.gov.au/record=b2097826</v>
      </c>
      <c r="C6911" s="1" t="str">
        <f>HYPERLINK("https://www.catalog.slsa.sa.gov.au/xrecord=b2097826")</f>
        <v>https://www.catalog.slsa.sa.gov.au/xrecord=b2097826</v>
      </c>
      <c r="E6911" t="s">
        <v>23587</v>
      </c>
      <c r="F6911" t="s">
        <v>5440</v>
      </c>
      <c r="G6911" t="s">
        <v>23588</v>
      </c>
      <c r="H6911" t="s">
        <v>23674</v>
      </c>
      <c r="I6911" t="s">
        <v>23675</v>
      </c>
      <c r="J6911" t="s">
        <v>14768</v>
      </c>
      <c r="K6911" s="2" t="str">
        <f>HYPERLINK("http://collections.slsa.sa.gov.au/mpcimg/50250/B50029_32.htm")</f>
        <v>http://collections.slsa.sa.gov.au/mpcimg/50250/B50029_32.htm</v>
      </c>
    </row>
    <row r="6912" spans="1:11" x14ac:dyDescent="0.25">
      <c r="A6912" t="s">
        <v>23676</v>
      </c>
      <c r="B6912" s="1" t="str">
        <f>HYPERLINK("https://www.catalog.slsa.sa.gov.au/record=b2097829")</f>
        <v>https://www.catalog.slsa.sa.gov.au/record=b2097829</v>
      </c>
      <c r="C6912" s="1" t="str">
        <f>HYPERLINK("https://www.catalog.slsa.sa.gov.au/xrecord=b2097829")</f>
        <v>https://www.catalog.slsa.sa.gov.au/xrecord=b2097829</v>
      </c>
      <c r="E6912" t="s">
        <v>23587</v>
      </c>
      <c r="F6912" t="s">
        <v>5440</v>
      </c>
      <c r="G6912" t="s">
        <v>23588</v>
      </c>
      <c r="H6912" t="s">
        <v>23674</v>
      </c>
      <c r="I6912" t="s">
        <v>23675</v>
      </c>
      <c r="J6912" t="s">
        <v>14768</v>
      </c>
      <c r="K6912" s="2" t="str">
        <f>HYPERLINK("http://collections.slsa.sa.gov.au/mpcimg/50250/B50029_33.htm")</f>
        <v>http://collections.slsa.sa.gov.au/mpcimg/50250/B50029_33.htm</v>
      </c>
    </row>
    <row r="6913" spans="1:11" x14ac:dyDescent="0.25">
      <c r="A6913" t="s">
        <v>23677</v>
      </c>
      <c r="B6913" s="1" t="str">
        <f>HYPERLINK("https://www.catalog.slsa.sa.gov.au/record=b2097833")</f>
        <v>https://www.catalog.slsa.sa.gov.au/record=b2097833</v>
      </c>
      <c r="C6913" s="1" t="str">
        <f>HYPERLINK("https://www.catalog.slsa.sa.gov.au/xrecord=b2097833")</f>
        <v>https://www.catalog.slsa.sa.gov.au/xrecord=b2097833</v>
      </c>
      <c r="E6913" t="s">
        <v>23678</v>
      </c>
      <c r="F6913" t="s">
        <v>5440</v>
      </c>
      <c r="G6913" t="s">
        <v>23588</v>
      </c>
      <c r="H6913" t="s">
        <v>23679</v>
      </c>
      <c r="I6913" t="s">
        <v>23680</v>
      </c>
      <c r="J6913" t="s">
        <v>14768</v>
      </c>
      <c r="K6913" s="2" t="str">
        <f>HYPERLINK("http://collections.slsa.sa.gov.au/mpcimg/50250/B50029_34.htm")</f>
        <v>http://collections.slsa.sa.gov.au/mpcimg/50250/B50029_34.htm</v>
      </c>
    </row>
    <row r="6914" spans="1:11" x14ac:dyDescent="0.25">
      <c r="A6914" t="s">
        <v>23681</v>
      </c>
      <c r="B6914" s="1" t="str">
        <f>HYPERLINK("https://www.catalog.slsa.sa.gov.au/record=b2097836")</f>
        <v>https://www.catalog.slsa.sa.gov.au/record=b2097836</v>
      </c>
      <c r="C6914" s="1" t="str">
        <f>HYPERLINK("https://www.catalog.slsa.sa.gov.au/xrecord=b2097836")</f>
        <v>https://www.catalog.slsa.sa.gov.au/xrecord=b2097836</v>
      </c>
      <c r="E6914" t="s">
        <v>23678</v>
      </c>
      <c r="F6914" t="s">
        <v>5440</v>
      </c>
      <c r="G6914" t="s">
        <v>23588</v>
      </c>
      <c r="H6914" t="s">
        <v>23682</v>
      </c>
      <c r="I6914" t="s">
        <v>23683</v>
      </c>
      <c r="J6914" t="s">
        <v>14768</v>
      </c>
      <c r="K6914" s="2" t="str">
        <f>HYPERLINK("http://collections.slsa.sa.gov.au/mpcimg/50250/B50029_35.htm")</f>
        <v>http://collections.slsa.sa.gov.au/mpcimg/50250/B50029_35.htm</v>
      </c>
    </row>
    <row r="6915" spans="1:11" x14ac:dyDescent="0.25">
      <c r="A6915" t="s">
        <v>23684</v>
      </c>
      <c r="B6915" s="1" t="str">
        <f>HYPERLINK("https://www.catalog.slsa.sa.gov.au/record=b2097838")</f>
        <v>https://www.catalog.slsa.sa.gov.au/record=b2097838</v>
      </c>
      <c r="C6915" s="1" t="str">
        <f>HYPERLINK("https://www.catalog.slsa.sa.gov.au/xrecord=b2097838")</f>
        <v>https://www.catalog.slsa.sa.gov.au/xrecord=b2097838</v>
      </c>
      <c r="E6915" t="s">
        <v>23678</v>
      </c>
      <c r="F6915" t="s">
        <v>5440</v>
      </c>
      <c r="G6915" t="s">
        <v>23597</v>
      </c>
      <c r="H6915" t="s">
        <v>23685</v>
      </c>
      <c r="I6915" t="s">
        <v>23680</v>
      </c>
      <c r="J6915" t="s">
        <v>14768</v>
      </c>
      <c r="K6915" s="2" t="str">
        <f>HYPERLINK("http://collections.slsa.sa.gov.au/mpcimg/50250/B50029_36.htm")</f>
        <v>http://collections.slsa.sa.gov.au/mpcimg/50250/B50029_36.htm</v>
      </c>
    </row>
    <row r="6916" spans="1:11" x14ac:dyDescent="0.25">
      <c r="A6916" t="s">
        <v>23686</v>
      </c>
      <c r="B6916" s="1" t="str">
        <f>HYPERLINK("https://www.catalog.slsa.sa.gov.au/record=b2097840")</f>
        <v>https://www.catalog.slsa.sa.gov.au/record=b2097840</v>
      </c>
      <c r="C6916" s="1" t="str">
        <f>HYPERLINK("https://www.catalog.slsa.sa.gov.au/xrecord=b2097840")</f>
        <v>https://www.catalog.slsa.sa.gov.au/xrecord=b2097840</v>
      </c>
      <c r="E6916" t="s">
        <v>23678</v>
      </c>
      <c r="F6916" t="s">
        <v>5440</v>
      </c>
      <c r="G6916" t="s">
        <v>23588</v>
      </c>
      <c r="H6916" t="s">
        <v>23687</v>
      </c>
      <c r="I6916" t="s">
        <v>23688</v>
      </c>
      <c r="J6916" t="s">
        <v>14768</v>
      </c>
      <c r="K6916" s="2" t="str">
        <f>HYPERLINK("http://collections.slsa.sa.gov.au/mpcimg/50250/B50029_37.htm")</f>
        <v>http://collections.slsa.sa.gov.au/mpcimg/50250/B50029_37.htm</v>
      </c>
    </row>
    <row r="6917" spans="1:11" x14ac:dyDescent="0.25">
      <c r="A6917" t="s">
        <v>23689</v>
      </c>
      <c r="B6917" s="1" t="str">
        <f>HYPERLINK("https://www.catalog.slsa.sa.gov.au/record=b2097843")</f>
        <v>https://www.catalog.slsa.sa.gov.au/record=b2097843</v>
      </c>
      <c r="C6917" s="1" t="str">
        <f>HYPERLINK("https://www.catalog.slsa.sa.gov.au/xrecord=b2097843")</f>
        <v>https://www.catalog.slsa.sa.gov.au/xrecord=b2097843</v>
      </c>
      <c r="E6917" t="s">
        <v>23678</v>
      </c>
      <c r="F6917" t="s">
        <v>5440</v>
      </c>
      <c r="G6917" t="s">
        <v>23588</v>
      </c>
      <c r="H6917" t="s">
        <v>23690</v>
      </c>
      <c r="I6917" t="s">
        <v>23688</v>
      </c>
      <c r="J6917" t="s">
        <v>14768</v>
      </c>
      <c r="K6917" s="2" t="str">
        <f>HYPERLINK("http://collections.slsa.sa.gov.au/mpcimg/50250/B50029_38.htm")</f>
        <v>http://collections.slsa.sa.gov.au/mpcimg/50250/B50029_38.htm</v>
      </c>
    </row>
    <row r="6918" spans="1:11" x14ac:dyDescent="0.25">
      <c r="A6918" t="s">
        <v>23691</v>
      </c>
      <c r="B6918" s="1" t="str">
        <f>HYPERLINK("https://www.catalog.slsa.sa.gov.au/record=b2097848")</f>
        <v>https://www.catalog.slsa.sa.gov.au/record=b2097848</v>
      </c>
      <c r="C6918" s="1" t="str">
        <f>HYPERLINK("https://www.catalog.slsa.sa.gov.au/xrecord=b2097848")</f>
        <v>https://www.catalog.slsa.sa.gov.au/xrecord=b2097848</v>
      </c>
      <c r="E6918" t="s">
        <v>23692</v>
      </c>
      <c r="F6918" t="s">
        <v>5440</v>
      </c>
      <c r="G6918" t="s">
        <v>23588</v>
      </c>
      <c r="H6918" t="s">
        <v>23693</v>
      </c>
      <c r="I6918" t="s">
        <v>23694</v>
      </c>
      <c r="J6918" t="s">
        <v>14768</v>
      </c>
      <c r="K6918" s="2" t="str">
        <f>HYPERLINK("http://collections.slsa.sa.gov.au/mpcimg/50250/B50029_39.htm")</f>
        <v>http://collections.slsa.sa.gov.au/mpcimg/50250/B50029_39.htm</v>
      </c>
    </row>
    <row r="6919" spans="1:11" x14ac:dyDescent="0.25">
      <c r="A6919" t="s">
        <v>23695</v>
      </c>
      <c r="B6919" s="1" t="str">
        <f>HYPERLINK("https://www.catalog.slsa.sa.gov.au/record=b2097851")</f>
        <v>https://www.catalog.slsa.sa.gov.au/record=b2097851</v>
      </c>
      <c r="C6919" s="1" t="str">
        <f>HYPERLINK("https://www.catalog.slsa.sa.gov.au/xrecord=b2097851")</f>
        <v>https://www.catalog.slsa.sa.gov.au/xrecord=b2097851</v>
      </c>
      <c r="E6919" t="s">
        <v>23692</v>
      </c>
      <c r="F6919" t="s">
        <v>5440</v>
      </c>
      <c r="G6919" t="s">
        <v>23588</v>
      </c>
      <c r="H6919" t="s">
        <v>23696</v>
      </c>
      <c r="I6919" t="s">
        <v>23697</v>
      </c>
      <c r="J6919" t="s">
        <v>14768</v>
      </c>
      <c r="K6919" s="2" t="str">
        <f>HYPERLINK("http://collections.slsa.sa.gov.au/mpcimg/50250/B50029_40.htm")</f>
        <v>http://collections.slsa.sa.gov.au/mpcimg/50250/B50029_40.htm</v>
      </c>
    </row>
    <row r="6920" spans="1:11" x14ac:dyDescent="0.25">
      <c r="A6920" t="s">
        <v>23698</v>
      </c>
      <c r="B6920" s="1" t="str">
        <f>HYPERLINK("https://www.catalog.slsa.sa.gov.au/record=b2097854")</f>
        <v>https://www.catalog.slsa.sa.gov.au/record=b2097854</v>
      </c>
      <c r="C6920" s="1" t="str">
        <f>HYPERLINK("https://www.catalog.slsa.sa.gov.au/xrecord=b2097854")</f>
        <v>https://www.catalog.slsa.sa.gov.au/xrecord=b2097854</v>
      </c>
      <c r="E6920" t="s">
        <v>23692</v>
      </c>
      <c r="F6920" t="s">
        <v>5440</v>
      </c>
      <c r="G6920" t="s">
        <v>23588</v>
      </c>
      <c r="H6920" t="s">
        <v>23699</v>
      </c>
      <c r="I6920" t="s">
        <v>23697</v>
      </c>
      <c r="J6920" t="s">
        <v>14768</v>
      </c>
      <c r="K6920" s="2" t="str">
        <f>HYPERLINK("http://collections.slsa.sa.gov.au/mpcimg/50250/B50029_41.htm")</f>
        <v>http://collections.slsa.sa.gov.au/mpcimg/50250/B50029_41.htm</v>
      </c>
    </row>
    <row r="6921" spans="1:11" x14ac:dyDescent="0.25">
      <c r="A6921" t="s">
        <v>23700</v>
      </c>
      <c r="B6921" s="1" t="str">
        <f>HYPERLINK("https://www.catalog.slsa.sa.gov.au/record=b2097855")</f>
        <v>https://www.catalog.slsa.sa.gov.au/record=b2097855</v>
      </c>
      <c r="C6921" s="1" t="str">
        <f>HYPERLINK("https://www.catalog.slsa.sa.gov.au/xrecord=b2097855")</f>
        <v>https://www.catalog.slsa.sa.gov.au/xrecord=b2097855</v>
      </c>
      <c r="E6921" t="s">
        <v>23692</v>
      </c>
      <c r="F6921" t="s">
        <v>5440</v>
      </c>
      <c r="G6921" t="s">
        <v>23597</v>
      </c>
      <c r="H6921" t="s">
        <v>23701</v>
      </c>
      <c r="I6921" t="s">
        <v>23694</v>
      </c>
      <c r="J6921" t="s">
        <v>14768</v>
      </c>
      <c r="K6921" s="2" t="str">
        <f>HYPERLINK("http://collections.slsa.sa.gov.au/mpcimg/50250/B50029_42.htm")</f>
        <v>http://collections.slsa.sa.gov.au/mpcimg/50250/B50029_42.htm</v>
      </c>
    </row>
    <row r="6922" spans="1:11" x14ac:dyDescent="0.25">
      <c r="A6922" t="s">
        <v>23702</v>
      </c>
      <c r="B6922" s="1" t="str">
        <f>HYPERLINK("https://www.catalog.slsa.sa.gov.au/record=b2097856")</f>
        <v>https://www.catalog.slsa.sa.gov.au/record=b2097856</v>
      </c>
      <c r="C6922" s="1" t="str">
        <f>HYPERLINK("https://www.catalog.slsa.sa.gov.au/xrecord=b2097856")</f>
        <v>https://www.catalog.slsa.sa.gov.au/xrecord=b2097856</v>
      </c>
      <c r="E6922" t="s">
        <v>23692</v>
      </c>
      <c r="F6922" t="s">
        <v>5440</v>
      </c>
      <c r="G6922" t="s">
        <v>23588</v>
      </c>
      <c r="H6922" t="s">
        <v>23703</v>
      </c>
      <c r="I6922" t="s">
        <v>23697</v>
      </c>
      <c r="J6922" t="s">
        <v>14768</v>
      </c>
      <c r="K6922" s="2" t="str">
        <f>HYPERLINK("http://collections.slsa.sa.gov.au/mpcimg/50250/B50029_43.htm")</f>
        <v>http://collections.slsa.sa.gov.au/mpcimg/50250/B50029_43.htm</v>
      </c>
    </row>
    <row r="6923" spans="1:11" x14ac:dyDescent="0.25">
      <c r="A6923" t="s">
        <v>23704</v>
      </c>
      <c r="B6923" s="1" t="str">
        <f>HYPERLINK("https://www.catalog.slsa.sa.gov.au/record=b2097857")</f>
        <v>https://www.catalog.slsa.sa.gov.au/record=b2097857</v>
      </c>
      <c r="C6923" s="1" t="str">
        <f>HYPERLINK("https://www.catalog.slsa.sa.gov.au/xrecord=b2097857")</f>
        <v>https://www.catalog.slsa.sa.gov.au/xrecord=b2097857</v>
      </c>
      <c r="E6923" t="s">
        <v>23692</v>
      </c>
      <c r="F6923" t="s">
        <v>5440</v>
      </c>
      <c r="G6923" t="s">
        <v>23588</v>
      </c>
      <c r="H6923" t="s">
        <v>23705</v>
      </c>
      <c r="I6923" t="s">
        <v>23706</v>
      </c>
      <c r="J6923" t="s">
        <v>14768</v>
      </c>
      <c r="K6923" s="2" t="str">
        <f>HYPERLINK("http://collections.slsa.sa.gov.au/mpcimg/50250/B50029_44.htm")</f>
        <v>http://collections.slsa.sa.gov.au/mpcimg/50250/B50029_44.htm</v>
      </c>
    </row>
    <row r="6924" spans="1:11" x14ac:dyDescent="0.25">
      <c r="A6924" t="s">
        <v>23707</v>
      </c>
      <c r="B6924" s="1" t="str">
        <f>HYPERLINK("https://www.catalog.slsa.sa.gov.au/record=b2097858")</f>
        <v>https://www.catalog.slsa.sa.gov.au/record=b2097858</v>
      </c>
      <c r="C6924" s="1" t="str">
        <f>HYPERLINK("https://www.catalog.slsa.sa.gov.au/xrecord=b2097858")</f>
        <v>https://www.catalog.slsa.sa.gov.au/xrecord=b2097858</v>
      </c>
      <c r="E6924" t="s">
        <v>23692</v>
      </c>
      <c r="F6924" t="s">
        <v>5440</v>
      </c>
      <c r="G6924" t="s">
        <v>23588</v>
      </c>
      <c r="H6924" t="s">
        <v>23708</v>
      </c>
      <c r="I6924" t="s">
        <v>23706</v>
      </c>
      <c r="J6924" t="s">
        <v>14768</v>
      </c>
      <c r="K6924" s="2" t="str">
        <f>HYPERLINK("http://collections.slsa.sa.gov.au/mpcimg/50250/B50029_45.htm")</f>
        <v>http://collections.slsa.sa.gov.au/mpcimg/50250/B50029_45.htm</v>
      </c>
    </row>
    <row r="6925" spans="1:11" x14ac:dyDescent="0.25">
      <c r="A6925" t="s">
        <v>23709</v>
      </c>
      <c r="B6925" s="1" t="str">
        <f>HYPERLINK("https://www.catalog.slsa.sa.gov.au/record=b2097859")</f>
        <v>https://www.catalog.slsa.sa.gov.au/record=b2097859</v>
      </c>
      <c r="C6925" s="1" t="str">
        <f>HYPERLINK("https://www.catalog.slsa.sa.gov.au/xrecord=b2097859")</f>
        <v>https://www.catalog.slsa.sa.gov.au/xrecord=b2097859</v>
      </c>
      <c r="E6925" t="s">
        <v>23692</v>
      </c>
      <c r="F6925" t="s">
        <v>5440</v>
      </c>
      <c r="G6925" t="s">
        <v>23597</v>
      </c>
      <c r="H6925" t="s">
        <v>23710</v>
      </c>
      <c r="I6925" t="s">
        <v>23697</v>
      </c>
      <c r="J6925" t="s">
        <v>14768</v>
      </c>
      <c r="K6925" s="2" t="str">
        <f>HYPERLINK("http://collections.slsa.sa.gov.au/mpcimg/50250/B50029_46.htm")</f>
        <v>http://collections.slsa.sa.gov.au/mpcimg/50250/B50029_46.htm</v>
      </c>
    </row>
    <row r="6926" spans="1:11" x14ac:dyDescent="0.25">
      <c r="A6926" t="s">
        <v>23711</v>
      </c>
      <c r="B6926" s="1" t="str">
        <f>HYPERLINK("https://www.catalog.slsa.sa.gov.au/record=b2097860")</f>
        <v>https://www.catalog.slsa.sa.gov.au/record=b2097860</v>
      </c>
      <c r="C6926" s="1" t="str">
        <f>HYPERLINK("https://www.catalog.slsa.sa.gov.au/xrecord=b2097860")</f>
        <v>https://www.catalog.slsa.sa.gov.au/xrecord=b2097860</v>
      </c>
      <c r="E6926" t="s">
        <v>23692</v>
      </c>
      <c r="F6926" t="s">
        <v>5440</v>
      </c>
      <c r="G6926" t="s">
        <v>23588</v>
      </c>
      <c r="H6926" t="s">
        <v>23712</v>
      </c>
      <c r="I6926" t="s">
        <v>23697</v>
      </c>
      <c r="J6926" t="s">
        <v>14768</v>
      </c>
      <c r="K6926" s="2" t="str">
        <f>HYPERLINK("http://collections.slsa.sa.gov.au/mpcimg/50250/B50029_47.htm")</f>
        <v>http://collections.slsa.sa.gov.au/mpcimg/50250/B50029_47.htm</v>
      </c>
    </row>
    <row r="6927" spans="1:11" x14ac:dyDescent="0.25">
      <c r="A6927" t="s">
        <v>23713</v>
      </c>
      <c r="B6927" s="1" t="str">
        <f>HYPERLINK("https://www.catalog.slsa.sa.gov.au/record=b2097861")</f>
        <v>https://www.catalog.slsa.sa.gov.au/record=b2097861</v>
      </c>
      <c r="C6927" s="1" t="str">
        <f>HYPERLINK("https://www.catalog.slsa.sa.gov.au/xrecord=b2097861")</f>
        <v>https://www.catalog.slsa.sa.gov.au/xrecord=b2097861</v>
      </c>
      <c r="E6927" t="s">
        <v>23692</v>
      </c>
      <c r="F6927" t="s">
        <v>5440</v>
      </c>
      <c r="G6927" t="s">
        <v>23597</v>
      </c>
      <c r="H6927" t="s">
        <v>23714</v>
      </c>
      <c r="I6927" t="s">
        <v>23697</v>
      </c>
      <c r="J6927" t="s">
        <v>14768</v>
      </c>
      <c r="K6927" s="2" t="str">
        <f>HYPERLINK("http://collections.slsa.sa.gov.au/mpcimg/50250/B50029_48.htm")</f>
        <v>http://collections.slsa.sa.gov.au/mpcimg/50250/B50029_48.htm</v>
      </c>
    </row>
    <row r="6928" spans="1:11" x14ac:dyDescent="0.25">
      <c r="A6928" t="s">
        <v>23715</v>
      </c>
      <c r="B6928" s="1" t="str">
        <f>HYPERLINK("https://www.catalog.slsa.sa.gov.au/record=b2097862")</f>
        <v>https://www.catalog.slsa.sa.gov.au/record=b2097862</v>
      </c>
      <c r="C6928" s="1" t="str">
        <f>HYPERLINK("https://www.catalog.slsa.sa.gov.au/xrecord=b2097862")</f>
        <v>https://www.catalog.slsa.sa.gov.au/xrecord=b2097862</v>
      </c>
      <c r="E6928" t="s">
        <v>23692</v>
      </c>
      <c r="F6928" t="s">
        <v>5440</v>
      </c>
      <c r="G6928" t="s">
        <v>23588</v>
      </c>
      <c r="H6928" t="s">
        <v>23716</v>
      </c>
      <c r="I6928" t="s">
        <v>23717</v>
      </c>
      <c r="J6928" t="s">
        <v>14768</v>
      </c>
      <c r="K6928" s="2" t="str">
        <f>HYPERLINK("http://collections.slsa.sa.gov.au/mpcimg/50250/B50029_49.htm")</f>
        <v>http://collections.slsa.sa.gov.au/mpcimg/50250/B50029_49.htm</v>
      </c>
    </row>
    <row r="6929" spans="1:11" x14ac:dyDescent="0.25">
      <c r="A6929" t="s">
        <v>23718</v>
      </c>
      <c r="B6929" s="1" t="str">
        <f>HYPERLINK("https://www.catalog.slsa.sa.gov.au/record=b2097863")</f>
        <v>https://www.catalog.slsa.sa.gov.au/record=b2097863</v>
      </c>
      <c r="C6929" s="1" t="str">
        <f>HYPERLINK("https://www.catalog.slsa.sa.gov.au/xrecord=b2097863")</f>
        <v>https://www.catalog.slsa.sa.gov.au/xrecord=b2097863</v>
      </c>
      <c r="E6929" t="s">
        <v>23692</v>
      </c>
      <c r="F6929" t="s">
        <v>5440</v>
      </c>
      <c r="G6929" t="s">
        <v>23588</v>
      </c>
      <c r="H6929" t="s">
        <v>23719</v>
      </c>
      <c r="I6929" t="s">
        <v>23697</v>
      </c>
      <c r="J6929" t="s">
        <v>14768</v>
      </c>
      <c r="K6929" s="2" t="str">
        <f>HYPERLINK("http://collections.slsa.sa.gov.au/mpcimg/50250/B50029_50.htm")</f>
        <v>http://collections.slsa.sa.gov.au/mpcimg/50250/B50029_50.htm</v>
      </c>
    </row>
    <row r="6930" spans="1:11" x14ac:dyDescent="0.25">
      <c r="A6930" t="s">
        <v>23720</v>
      </c>
      <c r="B6930" s="1" t="str">
        <f>HYPERLINK("https://www.catalog.slsa.sa.gov.au/record=b2097864")</f>
        <v>https://www.catalog.slsa.sa.gov.au/record=b2097864</v>
      </c>
      <c r="C6930" s="1" t="str">
        <f>HYPERLINK("https://www.catalog.slsa.sa.gov.au/xrecord=b2097864")</f>
        <v>https://www.catalog.slsa.sa.gov.au/xrecord=b2097864</v>
      </c>
      <c r="E6930" t="s">
        <v>23692</v>
      </c>
      <c r="F6930" t="s">
        <v>5440</v>
      </c>
      <c r="G6930" t="s">
        <v>23588</v>
      </c>
      <c r="H6930" t="s">
        <v>23721</v>
      </c>
      <c r="I6930" t="s">
        <v>23697</v>
      </c>
      <c r="J6930" t="s">
        <v>14768</v>
      </c>
      <c r="K6930" s="2" t="str">
        <f>HYPERLINK("http://collections.slsa.sa.gov.au/mpcimg/50250/B50029_51.htm")</f>
        <v>http://collections.slsa.sa.gov.au/mpcimg/50250/B50029_51.htm</v>
      </c>
    </row>
    <row r="6931" spans="1:11" x14ac:dyDescent="0.25">
      <c r="A6931" t="s">
        <v>23722</v>
      </c>
      <c r="B6931" s="1" t="str">
        <f>HYPERLINK("https://www.catalog.slsa.sa.gov.au/record=b2097866")</f>
        <v>https://www.catalog.slsa.sa.gov.au/record=b2097866</v>
      </c>
      <c r="C6931" s="1" t="str">
        <f>HYPERLINK("https://www.catalog.slsa.sa.gov.au/xrecord=b2097866")</f>
        <v>https://www.catalog.slsa.sa.gov.au/xrecord=b2097866</v>
      </c>
      <c r="E6931" t="s">
        <v>23692</v>
      </c>
      <c r="F6931" t="s">
        <v>5440</v>
      </c>
      <c r="G6931" t="s">
        <v>23597</v>
      </c>
      <c r="H6931" t="s">
        <v>23723</v>
      </c>
      <c r="I6931" t="s">
        <v>23724</v>
      </c>
      <c r="J6931" t="s">
        <v>14768</v>
      </c>
      <c r="K6931" s="2" t="str">
        <f>HYPERLINK("http://collections.slsa.sa.gov.au/mpcimg/50250/B50029_52.htm")</f>
        <v>http://collections.slsa.sa.gov.au/mpcimg/50250/B50029_52.htm</v>
      </c>
    </row>
    <row r="6932" spans="1:11" x14ac:dyDescent="0.25">
      <c r="A6932" t="s">
        <v>23725</v>
      </c>
      <c r="B6932" s="1" t="str">
        <f>HYPERLINK("https://www.catalog.slsa.sa.gov.au/record=b2097867")</f>
        <v>https://www.catalog.slsa.sa.gov.au/record=b2097867</v>
      </c>
      <c r="C6932" s="1" t="str">
        <f>HYPERLINK("https://www.catalog.slsa.sa.gov.au/xrecord=b2097867")</f>
        <v>https://www.catalog.slsa.sa.gov.au/xrecord=b2097867</v>
      </c>
      <c r="E6932" t="s">
        <v>23692</v>
      </c>
      <c r="F6932" t="s">
        <v>5440</v>
      </c>
      <c r="G6932" t="s">
        <v>23588</v>
      </c>
      <c r="H6932" t="s">
        <v>23726</v>
      </c>
      <c r="I6932" t="s">
        <v>23724</v>
      </c>
      <c r="J6932" t="s">
        <v>14768</v>
      </c>
      <c r="K6932" s="2" t="str">
        <f>HYPERLINK("http://collections.slsa.sa.gov.au/mpcimg/50250/B50029_53.htm")</f>
        <v>http://collections.slsa.sa.gov.au/mpcimg/50250/B50029_53.htm</v>
      </c>
    </row>
    <row r="6933" spans="1:11" x14ac:dyDescent="0.25">
      <c r="A6933" t="s">
        <v>23727</v>
      </c>
      <c r="B6933" s="1" t="str">
        <f>HYPERLINK("https://www.catalog.slsa.sa.gov.au/record=b2097869")</f>
        <v>https://www.catalog.slsa.sa.gov.au/record=b2097869</v>
      </c>
      <c r="C6933" s="1" t="str">
        <f>HYPERLINK("https://www.catalog.slsa.sa.gov.au/xrecord=b2097869")</f>
        <v>https://www.catalog.slsa.sa.gov.au/xrecord=b2097869</v>
      </c>
      <c r="E6933" t="s">
        <v>23692</v>
      </c>
      <c r="F6933" t="s">
        <v>5440</v>
      </c>
      <c r="G6933" t="s">
        <v>23588</v>
      </c>
      <c r="H6933" t="s">
        <v>23728</v>
      </c>
      <c r="I6933" t="s">
        <v>23729</v>
      </c>
      <c r="J6933" t="s">
        <v>14768</v>
      </c>
      <c r="K6933" s="2" t="str">
        <f>HYPERLINK("http://collections.slsa.sa.gov.au/mpcimg/50250/B50029_54.htm")</f>
        <v>http://collections.slsa.sa.gov.au/mpcimg/50250/B50029_54.htm</v>
      </c>
    </row>
    <row r="6934" spans="1:11" x14ac:dyDescent="0.25">
      <c r="A6934" t="s">
        <v>23730</v>
      </c>
      <c r="B6934" s="1" t="str">
        <f>HYPERLINK("https://www.catalog.slsa.sa.gov.au/record=b2097872")</f>
        <v>https://www.catalog.slsa.sa.gov.au/record=b2097872</v>
      </c>
      <c r="C6934" s="1" t="str">
        <f>HYPERLINK("https://www.catalog.slsa.sa.gov.au/xrecord=b2097872")</f>
        <v>https://www.catalog.slsa.sa.gov.au/xrecord=b2097872</v>
      </c>
      <c r="E6934" t="s">
        <v>23692</v>
      </c>
      <c r="F6934" t="s">
        <v>5440</v>
      </c>
      <c r="G6934" t="s">
        <v>23588</v>
      </c>
      <c r="H6934" t="s">
        <v>23731</v>
      </c>
      <c r="I6934" t="s">
        <v>23729</v>
      </c>
      <c r="J6934" t="s">
        <v>14768</v>
      </c>
      <c r="K6934" s="2" t="str">
        <f>HYPERLINK("http://collections.slsa.sa.gov.au/mpcimg/50250/B50029_55.htm")</f>
        <v>http://collections.slsa.sa.gov.au/mpcimg/50250/B50029_55.htm</v>
      </c>
    </row>
    <row r="6935" spans="1:11" x14ac:dyDescent="0.25">
      <c r="A6935" t="s">
        <v>23732</v>
      </c>
      <c r="B6935" s="1" t="str">
        <f>HYPERLINK("https://www.catalog.slsa.sa.gov.au/record=b2097874")</f>
        <v>https://www.catalog.slsa.sa.gov.au/record=b2097874</v>
      </c>
      <c r="C6935" s="1" t="str">
        <f>HYPERLINK("https://www.catalog.slsa.sa.gov.au/xrecord=b2097874")</f>
        <v>https://www.catalog.slsa.sa.gov.au/xrecord=b2097874</v>
      </c>
      <c r="E6935" t="s">
        <v>23692</v>
      </c>
      <c r="F6935" t="s">
        <v>5440</v>
      </c>
      <c r="G6935" t="s">
        <v>23588</v>
      </c>
      <c r="H6935" t="s">
        <v>23733</v>
      </c>
      <c r="I6935" t="s">
        <v>23729</v>
      </c>
      <c r="J6935" t="s">
        <v>14768</v>
      </c>
      <c r="K6935" s="2" t="str">
        <f>HYPERLINK("http://collections.slsa.sa.gov.au/mpcimg/50250/B50029_56.htm")</f>
        <v>http://collections.slsa.sa.gov.au/mpcimg/50250/B50029_56.htm</v>
      </c>
    </row>
    <row r="6936" spans="1:11" x14ac:dyDescent="0.25">
      <c r="A6936" t="s">
        <v>23734</v>
      </c>
      <c r="B6936" s="1" t="str">
        <f>HYPERLINK("https://www.catalog.slsa.sa.gov.au/record=b2097875")</f>
        <v>https://www.catalog.slsa.sa.gov.au/record=b2097875</v>
      </c>
      <c r="C6936" s="1" t="str">
        <f>HYPERLINK("https://www.catalog.slsa.sa.gov.au/xrecord=b2097875")</f>
        <v>https://www.catalog.slsa.sa.gov.au/xrecord=b2097875</v>
      </c>
      <c r="E6936" t="s">
        <v>23692</v>
      </c>
      <c r="F6936" t="s">
        <v>5440</v>
      </c>
      <c r="G6936" t="s">
        <v>23597</v>
      </c>
      <c r="H6936" t="s">
        <v>23735</v>
      </c>
      <c r="I6936" t="s">
        <v>23736</v>
      </c>
      <c r="J6936" t="s">
        <v>14768</v>
      </c>
      <c r="K6936" s="2" t="str">
        <f>HYPERLINK("http://collections.slsa.sa.gov.au/mpcimg/50250/B50029_57.htm")</f>
        <v>http://collections.slsa.sa.gov.au/mpcimg/50250/B50029_57.htm</v>
      </c>
    </row>
    <row r="6937" spans="1:11" x14ac:dyDescent="0.25">
      <c r="A6937" t="s">
        <v>23737</v>
      </c>
      <c r="B6937" s="1" t="str">
        <f>HYPERLINK("https://www.catalog.slsa.sa.gov.au/record=b2097879")</f>
        <v>https://www.catalog.slsa.sa.gov.au/record=b2097879</v>
      </c>
      <c r="C6937" s="1" t="str">
        <f>HYPERLINK("https://www.catalog.slsa.sa.gov.au/xrecord=b2097879")</f>
        <v>https://www.catalog.slsa.sa.gov.au/xrecord=b2097879</v>
      </c>
      <c r="E6937" t="s">
        <v>23692</v>
      </c>
      <c r="F6937" t="s">
        <v>5440</v>
      </c>
      <c r="G6937" t="s">
        <v>23588</v>
      </c>
      <c r="H6937" t="s">
        <v>23738</v>
      </c>
      <c r="I6937" t="s">
        <v>23736</v>
      </c>
      <c r="J6937" t="s">
        <v>14768</v>
      </c>
      <c r="K6937" s="2" t="str">
        <f>HYPERLINK("http://collections.slsa.sa.gov.au/mpcimg/50250/B50029_58.htm")</f>
        <v>http://collections.slsa.sa.gov.au/mpcimg/50250/B50029_58.htm</v>
      </c>
    </row>
    <row r="6938" spans="1:11" x14ac:dyDescent="0.25">
      <c r="A6938" t="s">
        <v>23739</v>
      </c>
      <c r="B6938" s="1" t="str">
        <f>HYPERLINK("https://www.catalog.slsa.sa.gov.au/record=b2097881")</f>
        <v>https://www.catalog.slsa.sa.gov.au/record=b2097881</v>
      </c>
      <c r="C6938" s="1" t="str">
        <f>HYPERLINK("https://www.catalog.slsa.sa.gov.au/xrecord=b2097881")</f>
        <v>https://www.catalog.slsa.sa.gov.au/xrecord=b2097881</v>
      </c>
      <c r="E6938" t="s">
        <v>23692</v>
      </c>
      <c r="F6938" t="s">
        <v>5440</v>
      </c>
      <c r="G6938" t="s">
        <v>23588</v>
      </c>
      <c r="H6938" t="s">
        <v>23740</v>
      </c>
      <c r="I6938" t="s">
        <v>23741</v>
      </c>
      <c r="J6938" t="s">
        <v>14768</v>
      </c>
      <c r="K6938" s="2" t="str">
        <f>HYPERLINK("http://collections.slsa.sa.gov.au/mpcimg/50250/B50029_59.htm")</f>
        <v>http://collections.slsa.sa.gov.au/mpcimg/50250/B50029_59.htm</v>
      </c>
    </row>
    <row r="6939" spans="1:11" x14ac:dyDescent="0.25">
      <c r="A6939" t="s">
        <v>23742</v>
      </c>
      <c r="B6939" s="1" t="str">
        <f>HYPERLINK("https://www.catalog.slsa.sa.gov.au/record=b2097883")</f>
        <v>https://www.catalog.slsa.sa.gov.au/record=b2097883</v>
      </c>
      <c r="C6939" s="1" t="str">
        <f>HYPERLINK("https://www.catalog.slsa.sa.gov.au/xrecord=b2097883")</f>
        <v>https://www.catalog.slsa.sa.gov.au/xrecord=b2097883</v>
      </c>
      <c r="E6939" t="s">
        <v>23692</v>
      </c>
      <c r="F6939" t="s">
        <v>5440</v>
      </c>
      <c r="G6939" t="s">
        <v>23597</v>
      </c>
      <c r="H6939" t="s">
        <v>23743</v>
      </c>
      <c r="I6939" t="s">
        <v>23744</v>
      </c>
      <c r="J6939" t="s">
        <v>14768</v>
      </c>
      <c r="K6939" s="2" t="str">
        <f>HYPERLINK("http://collections.slsa.sa.gov.au/mpcimg/50250/B50029_60.htm")</f>
        <v>http://collections.slsa.sa.gov.au/mpcimg/50250/B50029_60.htm</v>
      </c>
    </row>
    <row r="6940" spans="1:11" x14ac:dyDescent="0.25">
      <c r="A6940" t="s">
        <v>23745</v>
      </c>
      <c r="B6940" s="1" t="str">
        <f>HYPERLINK("https://www.catalog.slsa.sa.gov.au/record=b2097890")</f>
        <v>https://www.catalog.slsa.sa.gov.au/record=b2097890</v>
      </c>
      <c r="C6940" s="1" t="str">
        <f>HYPERLINK("https://www.catalog.slsa.sa.gov.au/xrecord=b2097890")</f>
        <v>https://www.catalog.slsa.sa.gov.au/xrecord=b2097890</v>
      </c>
      <c r="E6940" t="s">
        <v>23746</v>
      </c>
      <c r="F6940" t="s">
        <v>5440</v>
      </c>
      <c r="G6940" t="s">
        <v>23588</v>
      </c>
      <c r="H6940" t="s">
        <v>23747</v>
      </c>
      <c r="I6940" t="s">
        <v>23748</v>
      </c>
      <c r="J6940" t="s">
        <v>14768</v>
      </c>
      <c r="K6940" s="2" t="str">
        <f>HYPERLINK("http://collections.slsa.sa.gov.au/mpcimg/50250/B50029_61.htm")</f>
        <v>http://collections.slsa.sa.gov.au/mpcimg/50250/B50029_61.htm</v>
      </c>
    </row>
    <row r="6941" spans="1:11" x14ac:dyDescent="0.25">
      <c r="A6941" t="s">
        <v>23749</v>
      </c>
      <c r="B6941" s="1" t="str">
        <f>HYPERLINK("https://www.catalog.slsa.sa.gov.au/record=b2097895")</f>
        <v>https://www.catalog.slsa.sa.gov.au/record=b2097895</v>
      </c>
      <c r="C6941" s="1" t="str">
        <f>HYPERLINK("https://www.catalog.slsa.sa.gov.au/xrecord=b2097895")</f>
        <v>https://www.catalog.slsa.sa.gov.au/xrecord=b2097895</v>
      </c>
      <c r="E6941" t="s">
        <v>23746</v>
      </c>
      <c r="F6941" t="s">
        <v>5440</v>
      </c>
      <c r="G6941" t="s">
        <v>23597</v>
      </c>
      <c r="H6941" t="s">
        <v>23750</v>
      </c>
      <c r="I6941" t="s">
        <v>23751</v>
      </c>
      <c r="J6941" t="s">
        <v>14768</v>
      </c>
      <c r="K6941" s="2" t="str">
        <f>HYPERLINK("http://collections.slsa.sa.gov.au/mpcimg/50250/B50029_62.htm")</f>
        <v>http://collections.slsa.sa.gov.au/mpcimg/50250/B50029_62.htm</v>
      </c>
    </row>
    <row r="6942" spans="1:11" x14ac:dyDescent="0.25">
      <c r="A6942" t="s">
        <v>23752</v>
      </c>
      <c r="B6942" s="1" t="str">
        <f>HYPERLINK("https://www.catalog.slsa.sa.gov.au/record=b2097900")</f>
        <v>https://www.catalog.slsa.sa.gov.au/record=b2097900</v>
      </c>
      <c r="C6942" s="1" t="str">
        <f>HYPERLINK("https://www.catalog.slsa.sa.gov.au/xrecord=b2097900")</f>
        <v>https://www.catalog.slsa.sa.gov.au/xrecord=b2097900</v>
      </c>
      <c r="E6942" t="s">
        <v>23746</v>
      </c>
      <c r="F6942" t="s">
        <v>5440</v>
      </c>
      <c r="G6942" t="s">
        <v>23588</v>
      </c>
      <c r="H6942" t="s">
        <v>23753</v>
      </c>
      <c r="I6942" t="s">
        <v>23754</v>
      </c>
      <c r="J6942" t="s">
        <v>14768</v>
      </c>
      <c r="K6942" s="2" t="str">
        <f>HYPERLINK("http://collections.slsa.sa.gov.au/mpcimg/50250/B50029_63.htm")</f>
        <v>http://collections.slsa.sa.gov.au/mpcimg/50250/B50029_63.htm</v>
      </c>
    </row>
    <row r="6943" spans="1:11" x14ac:dyDescent="0.25">
      <c r="A6943" t="s">
        <v>23755</v>
      </c>
      <c r="B6943" s="1" t="str">
        <f>HYPERLINK("https://www.catalog.slsa.sa.gov.au/record=b2097902")</f>
        <v>https://www.catalog.slsa.sa.gov.au/record=b2097902</v>
      </c>
      <c r="C6943" s="1" t="str">
        <f>HYPERLINK("https://www.catalog.slsa.sa.gov.au/xrecord=b2097902")</f>
        <v>https://www.catalog.slsa.sa.gov.au/xrecord=b2097902</v>
      </c>
      <c r="E6943" t="s">
        <v>23746</v>
      </c>
      <c r="F6943" t="s">
        <v>5440</v>
      </c>
      <c r="G6943" t="s">
        <v>23597</v>
      </c>
      <c r="H6943" t="s">
        <v>23756</v>
      </c>
      <c r="I6943" t="s">
        <v>23757</v>
      </c>
      <c r="J6943" t="s">
        <v>14768</v>
      </c>
      <c r="K6943" s="2" t="str">
        <f>HYPERLINK("http://collections.slsa.sa.gov.au/mpcimg/50250/B50029_64.htm")</f>
        <v>http://collections.slsa.sa.gov.au/mpcimg/50250/B50029_64.htm</v>
      </c>
    </row>
    <row r="6944" spans="1:11" x14ac:dyDescent="0.25">
      <c r="A6944" t="s">
        <v>23758</v>
      </c>
      <c r="B6944" s="1" t="str">
        <f>HYPERLINK("https://www.catalog.slsa.sa.gov.au/record=b2097905")</f>
        <v>https://www.catalog.slsa.sa.gov.au/record=b2097905</v>
      </c>
      <c r="C6944" s="1" t="str">
        <f>HYPERLINK("https://www.catalog.slsa.sa.gov.au/xrecord=b2097905")</f>
        <v>https://www.catalog.slsa.sa.gov.au/xrecord=b2097905</v>
      </c>
      <c r="E6944" t="s">
        <v>23746</v>
      </c>
      <c r="F6944" t="s">
        <v>5440</v>
      </c>
      <c r="G6944" t="s">
        <v>23588</v>
      </c>
      <c r="H6944" t="s">
        <v>23759</v>
      </c>
      <c r="I6944" t="s">
        <v>23760</v>
      </c>
      <c r="J6944" t="s">
        <v>14768</v>
      </c>
      <c r="K6944" s="2" t="str">
        <f>HYPERLINK("http://collections.slsa.sa.gov.au/mpcimg/50250/B50029_65.htm")</f>
        <v>http://collections.slsa.sa.gov.au/mpcimg/50250/B50029_65.htm</v>
      </c>
    </row>
    <row r="6945" spans="1:11" x14ac:dyDescent="0.25">
      <c r="A6945" t="s">
        <v>23761</v>
      </c>
      <c r="B6945" s="1" t="str">
        <f>HYPERLINK("https://www.catalog.slsa.sa.gov.au/record=b2097908")</f>
        <v>https://www.catalog.slsa.sa.gov.au/record=b2097908</v>
      </c>
      <c r="C6945" s="1" t="str">
        <f>HYPERLINK("https://www.catalog.slsa.sa.gov.au/xrecord=b2097908")</f>
        <v>https://www.catalog.slsa.sa.gov.au/xrecord=b2097908</v>
      </c>
      <c r="E6945" t="s">
        <v>23746</v>
      </c>
      <c r="F6945" t="s">
        <v>5440</v>
      </c>
      <c r="G6945" t="s">
        <v>23597</v>
      </c>
      <c r="H6945" t="s">
        <v>23762</v>
      </c>
      <c r="I6945" t="s">
        <v>23763</v>
      </c>
      <c r="J6945" t="s">
        <v>14768</v>
      </c>
      <c r="K6945" s="2" t="str">
        <f>HYPERLINK("http://collections.slsa.sa.gov.au/mpcimg/50250/B50029_66.htm")</f>
        <v>http://collections.slsa.sa.gov.au/mpcimg/50250/B50029_66.htm</v>
      </c>
    </row>
    <row r="6946" spans="1:11" x14ac:dyDescent="0.25">
      <c r="A6946" t="s">
        <v>23764</v>
      </c>
      <c r="B6946" s="1" t="str">
        <f>HYPERLINK("https://www.catalog.slsa.sa.gov.au/record=b2112663")</f>
        <v>https://www.catalog.slsa.sa.gov.au/record=b2112663</v>
      </c>
      <c r="C6946" s="1" t="str">
        <f>HYPERLINK("https://www.catalog.slsa.sa.gov.au/xrecord=b2112663")</f>
        <v>https://www.catalog.slsa.sa.gov.au/xrecord=b2112663</v>
      </c>
      <c r="E6946" t="s">
        <v>23765</v>
      </c>
      <c r="F6946" t="s">
        <v>5440</v>
      </c>
      <c r="G6946" t="s">
        <v>22361</v>
      </c>
      <c r="H6946" t="s">
        <v>23766</v>
      </c>
      <c r="I6946" t="s">
        <v>23767</v>
      </c>
      <c r="J6946" t="s">
        <v>23768</v>
      </c>
      <c r="K6946" s="2" t="str">
        <f>HYPERLINK("http://collections.slsa.sa.gov.au/mpcimg/13000/B12846.htm")</f>
        <v>http://collections.slsa.sa.gov.au/mpcimg/13000/B12846.htm</v>
      </c>
    </row>
    <row r="6947" spans="1:11" x14ac:dyDescent="0.25">
      <c r="A6947" t="s">
        <v>23769</v>
      </c>
      <c r="B6947" s="1" t="str">
        <f>HYPERLINK("https://www.catalog.slsa.sa.gov.au/record=b2921253")</f>
        <v>https://www.catalog.slsa.sa.gov.au/record=b2921253</v>
      </c>
      <c r="C6947" s="1" t="str">
        <f>HYPERLINK("https://www.catalog.slsa.sa.gov.au/xrecord=b2921253")</f>
        <v>https://www.catalog.slsa.sa.gov.au/xrecord=b2921253</v>
      </c>
      <c r="E6947" t="s">
        <v>23770</v>
      </c>
      <c r="F6947" t="s">
        <v>23771</v>
      </c>
      <c r="G6947" t="s">
        <v>23772</v>
      </c>
      <c r="H6947" t="s">
        <v>23773</v>
      </c>
      <c r="I6947" t="s">
        <v>23774</v>
      </c>
      <c r="J6947" t="s">
        <v>15614</v>
      </c>
      <c r="K6947" s="2" t="str">
        <f>HYPERLINK("http://collections.slsa.sa.gov.au/mpcimg/73250/B73160_4.htm")</f>
        <v>http://collections.slsa.sa.gov.au/mpcimg/73250/B73160_4.htm</v>
      </c>
    </row>
    <row r="6948" spans="1:11" x14ac:dyDescent="0.25">
      <c r="A6948" t="s">
        <v>23775</v>
      </c>
      <c r="B6948" s="1" t="str">
        <f>HYPERLINK("https://www.catalog.slsa.sa.gov.au/record=b3011575")</f>
        <v>https://www.catalog.slsa.sa.gov.au/record=b3011575</v>
      </c>
      <c r="C6948" s="1" t="str">
        <f>HYPERLINK("https://www.catalog.slsa.sa.gov.au/xrecord=b3011575")</f>
        <v>https://www.catalog.slsa.sa.gov.au/xrecord=b3011575</v>
      </c>
      <c r="E6948" t="s">
        <v>23776</v>
      </c>
      <c r="F6948" t="s">
        <v>23777</v>
      </c>
      <c r="G6948" t="s">
        <v>22374</v>
      </c>
      <c r="H6948" t="s">
        <v>23778</v>
      </c>
      <c r="I6948" t="s">
        <v>23779</v>
      </c>
      <c r="J6948" t="s">
        <v>15620</v>
      </c>
      <c r="K6948" s="2" t="str">
        <f>HYPERLINK("http://collections.slsa.sa.gov.au/resource/B+73985")</f>
        <v>http://collections.slsa.sa.gov.au/resource/B+73985</v>
      </c>
    </row>
    <row r="6949" spans="1:11" x14ac:dyDescent="0.25">
      <c r="A6949" t="s">
        <v>23780</v>
      </c>
      <c r="B6949" s="1" t="str">
        <f>HYPERLINK("https://www.catalog.slsa.sa.gov.au/record=b3010956")</f>
        <v>https://www.catalog.slsa.sa.gov.au/record=b3010956</v>
      </c>
      <c r="C6949" s="1" t="str">
        <f>HYPERLINK("https://www.catalog.slsa.sa.gov.au/xrecord=b3010956")</f>
        <v>https://www.catalog.slsa.sa.gov.au/xrecord=b3010956</v>
      </c>
      <c r="E6949" t="s">
        <v>23781</v>
      </c>
      <c r="F6949" t="s">
        <v>23782</v>
      </c>
      <c r="G6949" t="s">
        <v>22374</v>
      </c>
      <c r="H6949" t="s">
        <v>23783</v>
      </c>
      <c r="I6949" t="s">
        <v>23784</v>
      </c>
      <c r="J6949" t="s">
        <v>15620</v>
      </c>
      <c r="K6949" s="2" t="str">
        <f>HYPERLINK("http://collections.slsa.sa.gov.au/resource/B+73974")</f>
        <v>http://collections.slsa.sa.gov.au/resource/B+73974</v>
      </c>
    </row>
    <row r="6950" spans="1:11" x14ac:dyDescent="0.25">
      <c r="A6950" t="s">
        <v>23785</v>
      </c>
      <c r="B6950" s="1" t="str">
        <f>HYPERLINK("https://www.catalog.slsa.sa.gov.au/record=b3142166")</f>
        <v>https://www.catalog.slsa.sa.gov.au/record=b3142166</v>
      </c>
      <c r="C6950" s="1" t="str">
        <f>HYPERLINK("https://www.catalog.slsa.sa.gov.au/xrecord=b3142166")</f>
        <v>https://www.catalog.slsa.sa.gov.au/xrecord=b3142166</v>
      </c>
      <c r="D6950" t="s">
        <v>15650</v>
      </c>
      <c r="E6950" t="s">
        <v>23786</v>
      </c>
      <c r="F6950" t="s">
        <v>23787</v>
      </c>
      <c r="G6950" t="s">
        <v>23788</v>
      </c>
      <c r="H6950" t="s">
        <v>23789</v>
      </c>
      <c r="I6950" t="s">
        <v>22417</v>
      </c>
      <c r="J6950" t="s">
        <v>15023</v>
      </c>
      <c r="K6950" s="2" t="str">
        <f>HYPERLINK("http://collections.slsa.sa.gov.au/resource/B+76369")</f>
        <v>http://collections.slsa.sa.gov.au/resource/B+76369</v>
      </c>
    </row>
    <row r="6951" spans="1:11" x14ac:dyDescent="0.25">
      <c r="A6951" t="s">
        <v>23790</v>
      </c>
      <c r="B6951" s="1" t="str">
        <f>HYPERLINK("https://www.catalog.slsa.sa.gov.au/record=b3142176")</f>
        <v>https://www.catalog.slsa.sa.gov.au/record=b3142176</v>
      </c>
      <c r="C6951" s="1" t="str">
        <f>HYPERLINK("https://www.catalog.slsa.sa.gov.au/xrecord=b3142176")</f>
        <v>https://www.catalog.slsa.sa.gov.au/xrecord=b3142176</v>
      </c>
      <c r="E6951" t="s">
        <v>23791</v>
      </c>
      <c r="F6951" t="s">
        <v>23787</v>
      </c>
      <c r="G6951" t="s">
        <v>23792</v>
      </c>
      <c r="H6951" t="s">
        <v>23793</v>
      </c>
      <c r="I6951" t="s">
        <v>22417</v>
      </c>
      <c r="J6951" t="s">
        <v>15023</v>
      </c>
      <c r="K6951" s="2" t="str">
        <f>HYPERLINK("http://collections.slsa.sa.gov.au/resource/B+76370")</f>
        <v>http://collections.slsa.sa.gov.au/resource/B+76370</v>
      </c>
    </row>
    <row r="6952" spans="1:11" x14ac:dyDescent="0.25">
      <c r="A6952" t="s">
        <v>23794</v>
      </c>
      <c r="B6952" s="1" t="str">
        <f>HYPERLINK("https://www.catalog.slsa.sa.gov.au/record=b2921261")</f>
        <v>https://www.catalog.slsa.sa.gov.au/record=b2921261</v>
      </c>
      <c r="C6952" s="1" t="str">
        <f>HYPERLINK("https://www.catalog.slsa.sa.gov.au/xrecord=b2921261")</f>
        <v>https://www.catalog.slsa.sa.gov.au/xrecord=b2921261</v>
      </c>
      <c r="E6952" t="s">
        <v>23795</v>
      </c>
      <c r="F6952" t="s">
        <v>23796</v>
      </c>
      <c r="G6952" t="s">
        <v>23797</v>
      </c>
      <c r="H6952" t="s">
        <v>23798</v>
      </c>
      <c r="I6952" t="s">
        <v>23383</v>
      </c>
      <c r="J6952" t="s">
        <v>15614</v>
      </c>
      <c r="K6952" s="2" t="str">
        <f>HYPERLINK("http://collections.slsa.sa.gov.au/mpcimg/73250/B73160_7.htm")</f>
        <v>http://collections.slsa.sa.gov.au/mpcimg/73250/B73160_7.htm</v>
      </c>
    </row>
    <row r="6953" spans="1:11" x14ac:dyDescent="0.25">
      <c r="A6953" t="s">
        <v>23799</v>
      </c>
      <c r="B6953" s="1" t="str">
        <f>HYPERLINK("https://www.catalog.slsa.sa.gov.au/record=b2921266")</f>
        <v>https://www.catalog.slsa.sa.gov.au/record=b2921266</v>
      </c>
      <c r="C6953" s="1" t="str">
        <f>HYPERLINK("https://www.catalog.slsa.sa.gov.au/xrecord=b2921266")</f>
        <v>https://www.catalog.slsa.sa.gov.au/xrecord=b2921266</v>
      </c>
      <c r="E6953" t="s">
        <v>23800</v>
      </c>
      <c r="F6953" t="s">
        <v>23796</v>
      </c>
      <c r="G6953" t="s">
        <v>23801</v>
      </c>
      <c r="H6953" t="s">
        <v>23802</v>
      </c>
      <c r="I6953" t="s">
        <v>23383</v>
      </c>
      <c r="J6953" t="s">
        <v>15614</v>
      </c>
      <c r="K6953" s="2" t="str">
        <f>HYPERLINK("http://collections.slsa.sa.gov.au/mpcimg/73250/B73160_8.htm")</f>
        <v>http://collections.slsa.sa.gov.au/mpcimg/73250/B73160_8.htm</v>
      </c>
    </row>
    <row r="6954" spans="1:11" x14ac:dyDescent="0.25">
      <c r="A6954" t="s">
        <v>23803</v>
      </c>
      <c r="B6954" s="1" t="str">
        <f>HYPERLINK("https://www.catalog.slsa.sa.gov.au/record=b2921268")</f>
        <v>https://www.catalog.slsa.sa.gov.au/record=b2921268</v>
      </c>
      <c r="C6954" s="1" t="str">
        <f>HYPERLINK("https://www.catalog.slsa.sa.gov.au/xrecord=b2921268")</f>
        <v>https://www.catalog.slsa.sa.gov.au/xrecord=b2921268</v>
      </c>
      <c r="E6954" t="s">
        <v>23804</v>
      </c>
      <c r="F6954" t="s">
        <v>23796</v>
      </c>
      <c r="G6954" t="s">
        <v>23805</v>
      </c>
      <c r="H6954" t="s">
        <v>23806</v>
      </c>
      <c r="I6954" t="s">
        <v>23383</v>
      </c>
      <c r="J6954" t="s">
        <v>15614</v>
      </c>
      <c r="K6954" s="2" t="str">
        <f>HYPERLINK("http://collections.slsa.sa.gov.au/mpcimg/73250/B73160_9.htm")</f>
        <v>http://collections.slsa.sa.gov.au/mpcimg/73250/B73160_9.htm</v>
      </c>
    </row>
    <row r="6955" spans="1:11" x14ac:dyDescent="0.25">
      <c r="A6955" t="s">
        <v>23807</v>
      </c>
      <c r="B6955" s="1" t="str">
        <f>HYPERLINK("https://www.catalog.slsa.sa.gov.au/record=b2921272")</f>
        <v>https://www.catalog.slsa.sa.gov.au/record=b2921272</v>
      </c>
      <c r="C6955" s="1" t="str">
        <f>HYPERLINK("https://www.catalog.slsa.sa.gov.au/xrecord=b2921272")</f>
        <v>https://www.catalog.slsa.sa.gov.au/xrecord=b2921272</v>
      </c>
      <c r="E6955" t="s">
        <v>23808</v>
      </c>
      <c r="F6955" t="s">
        <v>23796</v>
      </c>
      <c r="G6955" t="s">
        <v>23809</v>
      </c>
      <c r="H6955" t="s">
        <v>23810</v>
      </c>
      <c r="I6955" t="s">
        <v>23383</v>
      </c>
      <c r="J6955" t="s">
        <v>15614</v>
      </c>
      <c r="K6955" s="2" t="str">
        <f>HYPERLINK("http://collections.slsa.sa.gov.au/mpcimg/73250/B73160_10.htm")</f>
        <v>http://collections.slsa.sa.gov.au/mpcimg/73250/B73160_10.htm</v>
      </c>
    </row>
    <row r="6956" spans="1:11" x14ac:dyDescent="0.25">
      <c r="A6956" t="s">
        <v>23811</v>
      </c>
      <c r="B6956" s="1" t="str">
        <f>HYPERLINK("https://www.catalog.slsa.sa.gov.au/record=b2020495")</f>
        <v>https://www.catalog.slsa.sa.gov.au/record=b2020495</v>
      </c>
      <c r="C6956" s="1" t="str">
        <f>HYPERLINK("https://www.catalog.slsa.sa.gov.au/xrecord=b2020495")</f>
        <v>https://www.catalog.slsa.sa.gov.au/xrecord=b2020495</v>
      </c>
      <c r="E6956" t="s">
        <v>23812</v>
      </c>
      <c r="F6956">
        <v>1954</v>
      </c>
      <c r="G6956" t="s">
        <v>15031</v>
      </c>
      <c r="H6956" t="s">
        <v>23813</v>
      </c>
      <c r="I6956" t="s">
        <v>23814</v>
      </c>
      <c r="J6956" t="s">
        <v>15803</v>
      </c>
      <c r="K6956" s="2" t="str">
        <f>HYPERLINK("http://collections.slsa.sa.gov.au/mpcimg/48750/B48667.htm")</f>
        <v>http://collections.slsa.sa.gov.au/mpcimg/48750/B48667.htm</v>
      </c>
    </row>
    <row r="6957" spans="1:11" x14ac:dyDescent="0.25">
      <c r="A6957" t="s">
        <v>23815</v>
      </c>
      <c r="B6957" s="1" t="str">
        <f>HYPERLINK("https://www.catalog.slsa.sa.gov.au/record=b2020515")</f>
        <v>https://www.catalog.slsa.sa.gov.au/record=b2020515</v>
      </c>
      <c r="C6957" s="1" t="str">
        <f>HYPERLINK("https://www.catalog.slsa.sa.gov.au/xrecord=b2020515")</f>
        <v>https://www.catalog.slsa.sa.gov.au/xrecord=b2020515</v>
      </c>
      <c r="E6957" t="s">
        <v>23816</v>
      </c>
      <c r="F6957">
        <v>1954</v>
      </c>
      <c r="G6957" t="s">
        <v>23817</v>
      </c>
      <c r="H6957" t="s">
        <v>23818</v>
      </c>
      <c r="I6957" t="s">
        <v>23819</v>
      </c>
      <c r="J6957" t="s">
        <v>23820</v>
      </c>
      <c r="K6957" s="2" t="str">
        <f>HYPERLINK("http://collections.slsa.sa.gov.au/mpcimg/50750/B50698.htm")</f>
        <v>http://collections.slsa.sa.gov.au/mpcimg/50750/B50698.htm</v>
      </c>
    </row>
    <row r="6958" spans="1:11" x14ac:dyDescent="0.25">
      <c r="A6958" t="s">
        <v>23821</v>
      </c>
      <c r="B6958" s="1" t="str">
        <f>HYPERLINK("https://www.catalog.slsa.sa.gov.au/record=b2024770")</f>
        <v>https://www.catalog.slsa.sa.gov.au/record=b2024770</v>
      </c>
      <c r="C6958" s="1" t="str">
        <f>HYPERLINK("https://www.catalog.slsa.sa.gov.au/xrecord=b2024770")</f>
        <v>https://www.catalog.slsa.sa.gov.au/xrecord=b2024770</v>
      </c>
      <c r="E6958" t="s">
        <v>23822</v>
      </c>
      <c r="F6958">
        <v>1954</v>
      </c>
      <c r="G6958" t="s">
        <v>23823</v>
      </c>
      <c r="H6958" t="s">
        <v>23824</v>
      </c>
      <c r="I6958" t="s">
        <v>23825</v>
      </c>
      <c r="J6958" t="s">
        <v>17441</v>
      </c>
      <c r="K6958" s="2" t="str">
        <f>HYPERLINK("http://collections.slsa.sa.gov.au/mpcimg/41000/B40919.htm")</f>
        <v>http://collections.slsa.sa.gov.au/mpcimg/41000/B40919.htm</v>
      </c>
    </row>
    <row r="6959" spans="1:11" x14ac:dyDescent="0.25">
      <c r="A6959" t="s">
        <v>23826</v>
      </c>
      <c r="B6959" s="1" t="str">
        <f>HYPERLINK("https://www.catalog.slsa.sa.gov.au/record=b2024771")</f>
        <v>https://www.catalog.slsa.sa.gov.au/record=b2024771</v>
      </c>
      <c r="C6959" s="1" t="str">
        <f>HYPERLINK("https://www.catalog.slsa.sa.gov.au/xrecord=b2024771")</f>
        <v>https://www.catalog.slsa.sa.gov.au/xrecord=b2024771</v>
      </c>
      <c r="E6959" t="s">
        <v>23827</v>
      </c>
      <c r="F6959">
        <v>1954</v>
      </c>
      <c r="G6959" t="s">
        <v>23828</v>
      </c>
      <c r="H6959" t="s">
        <v>23829</v>
      </c>
      <c r="I6959" t="s">
        <v>23830</v>
      </c>
      <c r="J6959" t="s">
        <v>23831</v>
      </c>
      <c r="K6959" s="2" t="str">
        <f>HYPERLINK("http://collections.slsa.sa.gov.au/mpcimg/41000/B40920.htm")</f>
        <v>http://collections.slsa.sa.gov.au/mpcimg/41000/B40920.htm</v>
      </c>
    </row>
    <row r="6960" spans="1:11" x14ac:dyDescent="0.25">
      <c r="A6960" t="s">
        <v>23832</v>
      </c>
      <c r="B6960" s="1" t="str">
        <f>HYPERLINK("https://www.catalog.slsa.sa.gov.au/record=b2029968")</f>
        <v>https://www.catalog.slsa.sa.gov.au/record=b2029968</v>
      </c>
      <c r="C6960" s="1" t="str">
        <f>HYPERLINK("https://www.catalog.slsa.sa.gov.au/xrecord=b2029968")</f>
        <v>https://www.catalog.slsa.sa.gov.au/xrecord=b2029968</v>
      </c>
      <c r="E6960" t="s">
        <v>14922</v>
      </c>
      <c r="F6960">
        <v>1954</v>
      </c>
      <c r="G6960" t="s">
        <v>22705</v>
      </c>
      <c r="H6960" t="s">
        <v>23833</v>
      </c>
      <c r="J6960" t="s">
        <v>14916</v>
      </c>
      <c r="K6960" s="2" t="str">
        <f>HYPERLINK("http://collections.slsa.sa.gov.au/mpcimg/41500/B41486.htm")</f>
        <v>http://collections.slsa.sa.gov.au/mpcimg/41500/B41486.htm</v>
      </c>
    </row>
    <row r="6961" spans="1:11" x14ac:dyDescent="0.25">
      <c r="A6961" t="s">
        <v>23834</v>
      </c>
      <c r="B6961" s="1" t="str">
        <f>HYPERLINK("https://www.catalog.slsa.sa.gov.au/record=b2030779")</f>
        <v>https://www.catalog.slsa.sa.gov.au/record=b2030779</v>
      </c>
      <c r="C6961" s="1" t="str">
        <f>HYPERLINK("https://www.catalog.slsa.sa.gov.au/xrecord=b2030779")</f>
        <v>https://www.catalog.slsa.sa.gov.au/xrecord=b2030779</v>
      </c>
      <c r="E6961" t="s">
        <v>23835</v>
      </c>
      <c r="F6961">
        <v>1954</v>
      </c>
      <c r="G6961" t="s">
        <v>23836</v>
      </c>
      <c r="H6961" t="s">
        <v>23837</v>
      </c>
      <c r="I6961" t="s">
        <v>23838</v>
      </c>
      <c r="J6961" t="s">
        <v>23839</v>
      </c>
      <c r="K6961" s="2" t="str">
        <f>HYPERLINK("http://collections.slsa.sa.gov.au/mpcimg/34750/B34572.htm")</f>
        <v>http://collections.slsa.sa.gov.au/mpcimg/34750/B34572.htm</v>
      </c>
    </row>
    <row r="6962" spans="1:11" x14ac:dyDescent="0.25">
      <c r="A6962" t="s">
        <v>23840</v>
      </c>
      <c r="B6962" s="1" t="str">
        <f>HYPERLINK("https://www.catalog.slsa.sa.gov.au/record=b2031510")</f>
        <v>https://www.catalog.slsa.sa.gov.au/record=b2031510</v>
      </c>
      <c r="C6962" s="1" t="str">
        <f>HYPERLINK("https://www.catalog.slsa.sa.gov.au/xrecord=b2031510")</f>
        <v>https://www.catalog.slsa.sa.gov.au/xrecord=b2031510</v>
      </c>
      <c r="E6962" t="s">
        <v>23841</v>
      </c>
      <c r="F6962">
        <v>1954</v>
      </c>
      <c r="G6962" t="s">
        <v>16131</v>
      </c>
      <c r="H6962" t="s">
        <v>23842</v>
      </c>
      <c r="I6962" t="s">
        <v>23843</v>
      </c>
      <c r="J6962" t="s">
        <v>2963</v>
      </c>
      <c r="K6962" s="2" t="str">
        <f>HYPERLINK("http://collections.slsa.sa.gov.au/mpcimg/20000/B19998.htm")</f>
        <v>http://collections.slsa.sa.gov.au/mpcimg/20000/B19998.htm</v>
      </c>
    </row>
    <row r="6963" spans="1:11" x14ac:dyDescent="0.25">
      <c r="A6963" t="s">
        <v>23844</v>
      </c>
      <c r="B6963" s="1" t="str">
        <f>HYPERLINK("https://www.catalog.slsa.sa.gov.au/record=b2031511")</f>
        <v>https://www.catalog.slsa.sa.gov.au/record=b2031511</v>
      </c>
      <c r="C6963" s="1" t="str">
        <f>HYPERLINK("https://www.catalog.slsa.sa.gov.au/xrecord=b2031511")</f>
        <v>https://www.catalog.slsa.sa.gov.au/xrecord=b2031511</v>
      </c>
      <c r="E6963" t="s">
        <v>23845</v>
      </c>
      <c r="F6963">
        <v>1954</v>
      </c>
      <c r="G6963" t="s">
        <v>16131</v>
      </c>
      <c r="H6963" t="s">
        <v>23846</v>
      </c>
      <c r="J6963" t="s">
        <v>2963</v>
      </c>
      <c r="K6963" s="2" t="str">
        <f>HYPERLINK("http://collections.slsa.sa.gov.au/mpcimg/20000/B19999.htm")</f>
        <v>http://collections.slsa.sa.gov.au/mpcimg/20000/B19999.htm</v>
      </c>
    </row>
    <row r="6964" spans="1:11" x14ac:dyDescent="0.25">
      <c r="A6964" t="s">
        <v>23847</v>
      </c>
      <c r="B6964" s="1" t="str">
        <f>HYPERLINK("https://www.catalog.slsa.sa.gov.au/record=b2031512")</f>
        <v>https://www.catalog.slsa.sa.gov.au/record=b2031512</v>
      </c>
      <c r="C6964" s="1" t="str">
        <f>HYPERLINK("https://www.catalog.slsa.sa.gov.au/xrecord=b2031512")</f>
        <v>https://www.catalog.slsa.sa.gov.au/xrecord=b2031512</v>
      </c>
      <c r="E6964" t="s">
        <v>23848</v>
      </c>
      <c r="F6964">
        <v>1954</v>
      </c>
      <c r="G6964" t="s">
        <v>16131</v>
      </c>
      <c r="H6964" t="s">
        <v>23849</v>
      </c>
      <c r="I6964" t="s">
        <v>23850</v>
      </c>
      <c r="J6964" t="s">
        <v>2963</v>
      </c>
      <c r="K6964" s="2" t="str">
        <f>HYPERLINK("http://collections.slsa.sa.gov.au/mpcimg/20000/B20000.htm")</f>
        <v>http://collections.slsa.sa.gov.au/mpcimg/20000/B20000.htm</v>
      </c>
    </row>
    <row r="6965" spans="1:11" x14ac:dyDescent="0.25">
      <c r="A6965" t="s">
        <v>23851</v>
      </c>
      <c r="B6965" s="1" t="str">
        <f>HYPERLINK("https://www.catalog.slsa.sa.gov.au/record=b2031513")</f>
        <v>https://www.catalog.slsa.sa.gov.au/record=b2031513</v>
      </c>
      <c r="C6965" s="1" t="str">
        <f>HYPERLINK("https://www.catalog.slsa.sa.gov.au/xrecord=b2031513")</f>
        <v>https://www.catalog.slsa.sa.gov.au/xrecord=b2031513</v>
      </c>
      <c r="E6965" t="s">
        <v>7722</v>
      </c>
      <c r="F6965">
        <v>1954</v>
      </c>
      <c r="G6965" t="s">
        <v>4731</v>
      </c>
      <c r="H6965" t="s">
        <v>23852</v>
      </c>
      <c r="I6965" t="s">
        <v>23853</v>
      </c>
      <c r="J6965" t="s">
        <v>2963</v>
      </c>
      <c r="K6965" s="2" t="str">
        <f>HYPERLINK("http://collections.slsa.sa.gov.au/mpcimg/20250/B20001.htm")</f>
        <v>http://collections.slsa.sa.gov.au/mpcimg/20250/B20001.htm</v>
      </c>
    </row>
    <row r="6966" spans="1:11" x14ac:dyDescent="0.25">
      <c r="A6966" t="s">
        <v>23854</v>
      </c>
      <c r="B6966" s="1" t="str">
        <f>HYPERLINK("https://www.catalog.slsa.sa.gov.au/record=b2031514")</f>
        <v>https://www.catalog.slsa.sa.gov.au/record=b2031514</v>
      </c>
      <c r="C6966" s="1" t="str">
        <f>HYPERLINK("https://www.catalog.slsa.sa.gov.au/xrecord=b2031514")</f>
        <v>https://www.catalog.slsa.sa.gov.au/xrecord=b2031514</v>
      </c>
      <c r="E6966" t="s">
        <v>23855</v>
      </c>
      <c r="F6966">
        <v>1954</v>
      </c>
      <c r="G6966" t="s">
        <v>4731</v>
      </c>
      <c r="H6966" t="s">
        <v>23856</v>
      </c>
      <c r="I6966" t="s">
        <v>23857</v>
      </c>
      <c r="J6966" t="s">
        <v>2963</v>
      </c>
      <c r="K6966" s="2" t="str">
        <f>HYPERLINK("http://collections.slsa.sa.gov.au/mpcimg/20250/B20002.htm")</f>
        <v>http://collections.slsa.sa.gov.au/mpcimg/20250/B20002.htm</v>
      </c>
    </row>
    <row r="6967" spans="1:11" x14ac:dyDescent="0.25">
      <c r="A6967" t="s">
        <v>23858</v>
      </c>
      <c r="B6967" s="1" t="str">
        <f>HYPERLINK("https://www.catalog.slsa.sa.gov.au/record=b2031515")</f>
        <v>https://www.catalog.slsa.sa.gov.au/record=b2031515</v>
      </c>
      <c r="C6967" s="1" t="str">
        <f>HYPERLINK("https://www.catalog.slsa.sa.gov.au/xrecord=b2031515")</f>
        <v>https://www.catalog.slsa.sa.gov.au/xrecord=b2031515</v>
      </c>
      <c r="E6967" t="s">
        <v>23859</v>
      </c>
      <c r="F6967">
        <v>1954</v>
      </c>
      <c r="G6967" t="s">
        <v>16674</v>
      </c>
      <c r="H6967" t="s">
        <v>23860</v>
      </c>
      <c r="J6967" t="s">
        <v>2963</v>
      </c>
      <c r="K6967" s="2" t="str">
        <f>HYPERLINK("http://collections.slsa.sa.gov.au/mpcimg/20250/B20003.htm")</f>
        <v>http://collections.slsa.sa.gov.au/mpcimg/20250/B20003.htm</v>
      </c>
    </row>
    <row r="6968" spans="1:11" x14ac:dyDescent="0.25">
      <c r="A6968" t="s">
        <v>23861</v>
      </c>
      <c r="B6968" s="1" t="str">
        <f>HYPERLINK("https://www.catalog.slsa.sa.gov.au/record=b2031516")</f>
        <v>https://www.catalog.slsa.sa.gov.au/record=b2031516</v>
      </c>
      <c r="C6968" s="1" t="str">
        <f>HYPERLINK("https://www.catalog.slsa.sa.gov.au/xrecord=b2031516")</f>
        <v>https://www.catalog.slsa.sa.gov.au/xrecord=b2031516</v>
      </c>
      <c r="E6968" t="s">
        <v>23862</v>
      </c>
      <c r="F6968">
        <v>1954</v>
      </c>
      <c r="G6968" t="s">
        <v>4731</v>
      </c>
      <c r="H6968" t="s">
        <v>23863</v>
      </c>
      <c r="J6968" t="s">
        <v>2963</v>
      </c>
      <c r="K6968" s="2" t="str">
        <f>HYPERLINK("http://collections.slsa.sa.gov.au/mpcimg/20250/B20004.htm")</f>
        <v>http://collections.slsa.sa.gov.au/mpcimg/20250/B20004.htm</v>
      </c>
    </row>
    <row r="6969" spans="1:11" x14ac:dyDescent="0.25">
      <c r="A6969" t="s">
        <v>23864</v>
      </c>
      <c r="B6969" s="1" t="str">
        <f>HYPERLINK("https://www.catalog.slsa.sa.gov.au/record=b2031517")</f>
        <v>https://www.catalog.slsa.sa.gov.au/record=b2031517</v>
      </c>
      <c r="C6969" s="1" t="str">
        <f>HYPERLINK("https://www.catalog.slsa.sa.gov.au/xrecord=b2031517")</f>
        <v>https://www.catalog.slsa.sa.gov.au/xrecord=b2031517</v>
      </c>
      <c r="E6969" t="s">
        <v>23862</v>
      </c>
      <c r="F6969">
        <v>1954</v>
      </c>
      <c r="G6969" t="s">
        <v>4731</v>
      </c>
      <c r="H6969" t="s">
        <v>23860</v>
      </c>
      <c r="I6969" t="s">
        <v>7588</v>
      </c>
      <c r="J6969" t="s">
        <v>2963</v>
      </c>
      <c r="K6969" s="2" t="str">
        <f>HYPERLINK("http://collections.slsa.sa.gov.au/mpcimg/20250/B20005.htm")</f>
        <v>http://collections.slsa.sa.gov.au/mpcimg/20250/B20005.htm</v>
      </c>
    </row>
    <row r="6970" spans="1:11" x14ac:dyDescent="0.25">
      <c r="A6970" t="s">
        <v>23865</v>
      </c>
      <c r="B6970" s="1" t="str">
        <f>HYPERLINK("https://www.catalog.slsa.sa.gov.au/record=b2031518")</f>
        <v>https://www.catalog.slsa.sa.gov.au/record=b2031518</v>
      </c>
      <c r="C6970" s="1" t="str">
        <f>HYPERLINK("https://www.catalog.slsa.sa.gov.au/xrecord=b2031518")</f>
        <v>https://www.catalog.slsa.sa.gov.au/xrecord=b2031518</v>
      </c>
      <c r="E6970" t="s">
        <v>23862</v>
      </c>
      <c r="F6970">
        <v>1954</v>
      </c>
      <c r="G6970" t="s">
        <v>4731</v>
      </c>
      <c r="H6970" t="s">
        <v>23866</v>
      </c>
      <c r="I6970" t="s">
        <v>23850</v>
      </c>
      <c r="J6970" t="s">
        <v>2963</v>
      </c>
      <c r="K6970" s="2" t="str">
        <f>HYPERLINK("http://collections.slsa.sa.gov.au/mpcimg/20250/B20006.htm")</f>
        <v>http://collections.slsa.sa.gov.au/mpcimg/20250/B20006.htm</v>
      </c>
    </row>
    <row r="6971" spans="1:11" x14ac:dyDescent="0.25">
      <c r="A6971" t="s">
        <v>23867</v>
      </c>
      <c r="B6971" s="1" t="str">
        <f>HYPERLINK("https://www.catalog.slsa.sa.gov.au/record=b2031582")</f>
        <v>https://www.catalog.slsa.sa.gov.au/record=b2031582</v>
      </c>
      <c r="C6971" s="1" t="str">
        <f>HYPERLINK("https://www.catalog.slsa.sa.gov.au/xrecord=b2031582")</f>
        <v>https://www.catalog.slsa.sa.gov.au/xrecord=b2031582</v>
      </c>
      <c r="E6971" t="s">
        <v>23868</v>
      </c>
      <c r="F6971">
        <v>1954</v>
      </c>
      <c r="G6971" t="s">
        <v>15192</v>
      </c>
      <c r="H6971" t="s">
        <v>23869</v>
      </c>
      <c r="I6971" t="s">
        <v>23870</v>
      </c>
      <c r="J6971" t="s">
        <v>2963</v>
      </c>
      <c r="K6971" s="2" t="str">
        <f>HYPERLINK("http://collections.slsa.sa.gov.au/mpcimg/22000/B21962.htm")</f>
        <v>http://collections.slsa.sa.gov.au/mpcimg/22000/B21962.htm</v>
      </c>
    </row>
    <row r="6972" spans="1:11" x14ac:dyDescent="0.25">
      <c r="A6972" t="s">
        <v>23871</v>
      </c>
      <c r="B6972" s="1" t="str">
        <f>HYPERLINK("https://www.catalog.slsa.sa.gov.au/record=b2031738")</f>
        <v>https://www.catalog.slsa.sa.gov.au/record=b2031738</v>
      </c>
      <c r="C6972" s="1" t="str">
        <f>HYPERLINK("https://www.catalog.slsa.sa.gov.au/xrecord=b2031738")</f>
        <v>https://www.catalog.slsa.sa.gov.au/xrecord=b2031738</v>
      </c>
      <c r="E6972" t="s">
        <v>23872</v>
      </c>
      <c r="F6972">
        <v>1954</v>
      </c>
      <c r="G6972" t="s">
        <v>14809</v>
      </c>
      <c r="H6972" t="s">
        <v>23873</v>
      </c>
      <c r="I6972" t="s">
        <v>5521</v>
      </c>
      <c r="J6972" t="s">
        <v>2963</v>
      </c>
      <c r="K6972" s="2" t="str">
        <f>HYPERLINK("http://collections.slsa.sa.gov.au/mpcimg/36500/B36261.htm")</f>
        <v>http://collections.slsa.sa.gov.au/mpcimg/36500/B36261.htm</v>
      </c>
    </row>
    <row r="6973" spans="1:11" x14ac:dyDescent="0.25">
      <c r="A6973" t="s">
        <v>23874</v>
      </c>
      <c r="B6973" s="1" t="str">
        <f>HYPERLINK("https://www.catalog.slsa.sa.gov.au/record=b2031739")</f>
        <v>https://www.catalog.slsa.sa.gov.au/record=b2031739</v>
      </c>
      <c r="C6973" s="1" t="str">
        <f>HYPERLINK("https://www.catalog.slsa.sa.gov.au/xrecord=b2031739")</f>
        <v>https://www.catalog.slsa.sa.gov.au/xrecord=b2031739</v>
      </c>
      <c r="E6973" t="s">
        <v>23875</v>
      </c>
      <c r="F6973">
        <v>1954</v>
      </c>
      <c r="G6973" t="s">
        <v>14809</v>
      </c>
      <c r="H6973" t="s">
        <v>23876</v>
      </c>
      <c r="I6973" t="s">
        <v>23877</v>
      </c>
      <c r="J6973" t="s">
        <v>2963</v>
      </c>
      <c r="K6973" s="2" t="str">
        <f>HYPERLINK("http://collections.slsa.sa.gov.au/mpcimg/36500/B36262.htm")</f>
        <v>http://collections.slsa.sa.gov.au/mpcimg/36500/B36262.htm</v>
      </c>
    </row>
    <row r="6974" spans="1:11" x14ac:dyDescent="0.25">
      <c r="A6974" t="s">
        <v>23878</v>
      </c>
      <c r="B6974" s="1" t="str">
        <f>HYPERLINK("https://www.catalog.slsa.sa.gov.au/record=b2031762")</f>
        <v>https://www.catalog.slsa.sa.gov.au/record=b2031762</v>
      </c>
      <c r="C6974" s="1" t="str">
        <f>HYPERLINK("https://www.catalog.slsa.sa.gov.au/xrecord=b2031762")</f>
        <v>https://www.catalog.slsa.sa.gov.au/xrecord=b2031762</v>
      </c>
      <c r="E6974" t="s">
        <v>23879</v>
      </c>
      <c r="F6974">
        <v>1954</v>
      </c>
      <c r="G6974" t="s">
        <v>14809</v>
      </c>
      <c r="H6974" t="s">
        <v>23880</v>
      </c>
      <c r="I6974" t="s">
        <v>23881</v>
      </c>
      <c r="J6974" t="s">
        <v>2963</v>
      </c>
      <c r="K6974" s="2" t="str">
        <f>HYPERLINK("http://collections.slsa.sa.gov.au/mpcimg/37000/B36984.htm")</f>
        <v>http://collections.slsa.sa.gov.au/mpcimg/37000/B36984.htm</v>
      </c>
    </row>
    <row r="6975" spans="1:11" x14ac:dyDescent="0.25">
      <c r="A6975" t="s">
        <v>23882</v>
      </c>
      <c r="B6975" s="1" t="str">
        <f>HYPERLINK("https://www.catalog.slsa.sa.gov.au/record=b2031787")</f>
        <v>https://www.catalog.slsa.sa.gov.au/record=b2031787</v>
      </c>
      <c r="C6975" s="1" t="str">
        <f>HYPERLINK("https://www.catalog.slsa.sa.gov.au/xrecord=b2031787")</f>
        <v>https://www.catalog.slsa.sa.gov.au/xrecord=b2031787</v>
      </c>
      <c r="E6975" t="s">
        <v>22560</v>
      </c>
      <c r="F6975">
        <v>1954</v>
      </c>
      <c r="G6975" t="s">
        <v>14809</v>
      </c>
      <c r="H6975" t="s">
        <v>23883</v>
      </c>
      <c r="J6975" t="s">
        <v>2963</v>
      </c>
      <c r="K6975" s="2" t="str">
        <f>HYPERLINK("http://collections.slsa.sa.gov.au/mpcimg/38250/B38071.htm")</f>
        <v>http://collections.slsa.sa.gov.au/mpcimg/38250/B38071.htm</v>
      </c>
    </row>
    <row r="6976" spans="1:11" x14ac:dyDescent="0.25">
      <c r="A6976" t="s">
        <v>23884</v>
      </c>
      <c r="B6976" s="1" t="str">
        <f>HYPERLINK("https://www.catalog.slsa.sa.gov.au/record=b2031793")</f>
        <v>https://www.catalog.slsa.sa.gov.au/record=b2031793</v>
      </c>
      <c r="C6976" s="1" t="str">
        <f>HYPERLINK("https://www.catalog.slsa.sa.gov.au/xrecord=b2031793")</f>
        <v>https://www.catalog.slsa.sa.gov.au/xrecord=b2031793</v>
      </c>
      <c r="E6976" t="s">
        <v>23885</v>
      </c>
      <c r="F6976">
        <v>1954</v>
      </c>
      <c r="G6976" t="s">
        <v>14809</v>
      </c>
      <c r="H6976" t="s">
        <v>23886</v>
      </c>
      <c r="I6976" t="s">
        <v>23887</v>
      </c>
      <c r="J6976" t="s">
        <v>2963</v>
      </c>
      <c r="K6976" s="2" t="str">
        <f>HYPERLINK("http://collections.slsa.sa.gov.au/mpcimg/38250/B38077.htm")</f>
        <v>http://collections.slsa.sa.gov.au/mpcimg/38250/B38077.htm</v>
      </c>
    </row>
    <row r="6977" spans="1:11" x14ac:dyDescent="0.25">
      <c r="A6977" t="s">
        <v>23888</v>
      </c>
      <c r="B6977" s="1" t="str">
        <f>HYPERLINK("https://www.catalog.slsa.sa.gov.au/record=b2031799")</f>
        <v>https://www.catalog.slsa.sa.gov.au/record=b2031799</v>
      </c>
      <c r="C6977" s="1" t="str">
        <f>HYPERLINK("https://www.catalog.slsa.sa.gov.au/xrecord=b2031799")</f>
        <v>https://www.catalog.slsa.sa.gov.au/xrecord=b2031799</v>
      </c>
      <c r="E6977" t="s">
        <v>23875</v>
      </c>
      <c r="F6977">
        <v>1954</v>
      </c>
      <c r="G6977" t="s">
        <v>14809</v>
      </c>
      <c r="H6977" t="s">
        <v>23889</v>
      </c>
      <c r="J6977" t="s">
        <v>2963</v>
      </c>
      <c r="K6977" s="2" t="str">
        <f>HYPERLINK("http://collections.slsa.sa.gov.au/mpcimg/38250/B38083.htm")</f>
        <v>http://collections.slsa.sa.gov.au/mpcimg/38250/B38083.htm</v>
      </c>
    </row>
    <row r="6978" spans="1:11" x14ac:dyDescent="0.25">
      <c r="A6978" t="s">
        <v>23890</v>
      </c>
      <c r="B6978" s="1" t="str">
        <f>HYPERLINK("https://www.catalog.slsa.sa.gov.au/record=b2032002")</f>
        <v>https://www.catalog.slsa.sa.gov.au/record=b2032002</v>
      </c>
      <c r="C6978" s="1" t="str">
        <f>HYPERLINK("https://www.catalog.slsa.sa.gov.au/xrecord=b2032002")</f>
        <v>https://www.catalog.slsa.sa.gov.au/xrecord=b2032002</v>
      </c>
      <c r="E6978" t="s">
        <v>23891</v>
      </c>
      <c r="F6978">
        <v>1954</v>
      </c>
      <c r="G6978" t="s">
        <v>14859</v>
      </c>
      <c r="H6978" t="s">
        <v>23892</v>
      </c>
      <c r="J6978" t="s">
        <v>2963</v>
      </c>
      <c r="K6978" s="2" t="str">
        <f>HYPERLINK("http://collections.slsa.sa.gov.au/mpcimg/40500/B40372.htm")</f>
        <v>http://collections.slsa.sa.gov.au/mpcimg/40500/B40372.htm</v>
      </c>
    </row>
    <row r="6979" spans="1:11" x14ac:dyDescent="0.25">
      <c r="A6979" t="s">
        <v>23893</v>
      </c>
      <c r="B6979" s="1" t="str">
        <f>HYPERLINK("https://www.catalog.slsa.sa.gov.au/record=b2036629")</f>
        <v>https://www.catalog.slsa.sa.gov.au/record=b2036629</v>
      </c>
      <c r="C6979" s="1" t="str">
        <f>HYPERLINK("https://www.catalog.slsa.sa.gov.au/xrecord=b2036629")</f>
        <v>https://www.catalog.slsa.sa.gov.au/xrecord=b2036629</v>
      </c>
      <c r="E6979" t="s">
        <v>11819</v>
      </c>
      <c r="F6979">
        <v>1954</v>
      </c>
      <c r="G6979" t="s">
        <v>14809</v>
      </c>
      <c r="H6979" t="s">
        <v>23894</v>
      </c>
      <c r="I6979" t="s">
        <v>23895</v>
      </c>
      <c r="J6979" t="s">
        <v>15023</v>
      </c>
      <c r="K6979" s="2" t="str">
        <f>HYPERLINK("http://collections.slsa.sa.gov.au/mpcimg/29250/B29139.htm")</f>
        <v>http://collections.slsa.sa.gov.au/mpcimg/29250/B29139.htm</v>
      </c>
    </row>
    <row r="6980" spans="1:11" x14ac:dyDescent="0.25">
      <c r="A6980" t="s">
        <v>23896</v>
      </c>
      <c r="B6980" s="1" t="str">
        <f>HYPERLINK("https://www.catalog.slsa.sa.gov.au/record=b2037138")</f>
        <v>https://www.catalog.slsa.sa.gov.au/record=b2037138</v>
      </c>
      <c r="C6980" s="1" t="str">
        <f>HYPERLINK("https://www.catalog.slsa.sa.gov.au/xrecord=b2037138")</f>
        <v>https://www.catalog.slsa.sa.gov.au/xrecord=b2037138</v>
      </c>
      <c r="E6980" t="s">
        <v>23897</v>
      </c>
      <c r="F6980">
        <v>1954</v>
      </c>
      <c r="G6980" t="s">
        <v>22663</v>
      </c>
      <c r="H6980" t="s">
        <v>23898</v>
      </c>
      <c r="I6980" t="s">
        <v>23899</v>
      </c>
      <c r="J6980" t="s">
        <v>4661</v>
      </c>
      <c r="K6980" s="2" t="str">
        <f>HYPERLINK("http://collections.slsa.sa.gov.au/mpcimg/24000/B23838.htm")</f>
        <v>http://collections.slsa.sa.gov.au/mpcimg/24000/B23838.htm</v>
      </c>
    </row>
    <row r="6981" spans="1:11" x14ac:dyDescent="0.25">
      <c r="A6981" t="s">
        <v>23900</v>
      </c>
      <c r="B6981" s="1" t="str">
        <f>HYPERLINK("https://www.catalog.slsa.sa.gov.au/record=b2040953")</f>
        <v>https://www.catalog.slsa.sa.gov.au/record=b2040953</v>
      </c>
      <c r="C6981" s="1" t="str">
        <f>HYPERLINK("https://www.catalog.slsa.sa.gov.au/xrecord=b2040953")</f>
        <v>https://www.catalog.slsa.sa.gov.au/xrecord=b2040953</v>
      </c>
      <c r="E6981" t="s">
        <v>23901</v>
      </c>
      <c r="F6981">
        <v>1954</v>
      </c>
      <c r="G6981" t="s">
        <v>14809</v>
      </c>
      <c r="H6981" t="s">
        <v>23902</v>
      </c>
      <c r="I6981" t="s">
        <v>23903</v>
      </c>
      <c r="J6981" t="s">
        <v>15097</v>
      </c>
      <c r="K6981" s="2" t="str">
        <f>HYPERLINK("http://collections.slsa.sa.gov.au/mpcimg/24500/B24301.htm")</f>
        <v>http://collections.slsa.sa.gov.au/mpcimg/24500/B24301.htm</v>
      </c>
    </row>
    <row r="6982" spans="1:11" x14ac:dyDescent="0.25">
      <c r="A6982" t="s">
        <v>23904</v>
      </c>
      <c r="B6982" s="1" t="str">
        <f>HYPERLINK("https://www.catalog.slsa.sa.gov.au/record=b2041405")</f>
        <v>https://www.catalog.slsa.sa.gov.au/record=b2041405</v>
      </c>
      <c r="C6982" s="1" t="str">
        <f>HYPERLINK("https://www.catalog.slsa.sa.gov.au/xrecord=b2041405")</f>
        <v>https://www.catalog.slsa.sa.gov.au/xrecord=b2041405</v>
      </c>
      <c r="E6982" t="s">
        <v>23905</v>
      </c>
      <c r="F6982">
        <v>1954</v>
      </c>
      <c r="G6982" t="s">
        <v>23906</v>
      </c>
      <c r="H6982" t="s">
        <v>23907</v>
      </c>
      <c r="J6982" t="s">
        <v>23908</v>
      </c>
      <c r="K6982" s="2" t="str">
        <f>HYPERLINK("http://collections.slsa.sa.gov.au/mpcimg/32250/B32080.htm")</f>
        <v>http://collections.slsa.sa.gov.au/mpcimg/32250/B32080.htm</v>
      </c>
    </row>
    <row r="6983" spans="1:11" x14ac:dyDescent="0.25">
      <c r="A6983" t="s">
        <v>23909</v>
      </c>
      <c r="B6983" s="1" t="str">
        <f>HYPERLINK("https://www.catalog.slsa.sa.gov.au/record=b2041914")</f>
        <v>https://www.catalog.slsa.sa.gov.au/record=b2041914</v>
      </c>
      <c r="C6983" s="1" t="str">
        <f>HYPERLINK("https://www.catalog.slsa.sa.gov.au/xrecord=b2041914")</f>
        <v>https://www.catalog.slsa.sa.gov.au/xrecord=b2041914</v>
      </c>
      <c r="E6983" t="s">
        <v>23910</v>
      </c>
      <c r="F6983">
        <v>1954</v>
      </c>
      <c r="G6983" t="s">
        <v>20990</v>
      </c>
      <c r="H6983" t="s">
        <v>23911</v>
      </c>
      <c r="J6983" t="s">
        <v>16579</v>
      </c>
      <c r="K6983" s="2" t="str">
        <f>HYPERLINK("http://collections.slsa.sa.gov.au/mpcimg/30500/B30402.htm")</f>
        <v>http://collections.slsa.sa.gov.au/mpcimg/30500/B30402.htm</v>
      </c>
    </row>
    <row r="6984" spans="1:11" x14ac:dyDescent="0.25">
      <c r="A6984" t="s">
        <v>23912</v>
      </c>
      <c r="B6984" s="1" t="str">
        <f>HYPERLINK("https://www.catalog.slsa.sa.gov.au/record=b2041915")</f>
        <v>https://www.catalog.slsa.sa.gov.au/record=b2041915</v>
      </c>
      <c r="C6984" s="1" t="str">
        <f>HYPERLINK("https://www.catalog.slsa.sa.gov.au/xrecord=b2041915")</f>
        <v>https://www.catalog.slsa.sa.gov.au/xrecord=b2041915</v>
      </c>
      <c r="E6984" t="s">
        <v>23910</v>
      </c>
      <c r="F6984">
        <v>1954</v>
      </c>
      <c r="G6984" t="s">
        <v>20990</v>
      </c>
      <c r="H6984" t="s">
        <v>23913</v>
      </c>
      <c r="J6984" t="s">
        <v>16579</v>
      </c>
      <c r="K6984" s="2" t="str">
        <f>HYPERLINK("http://collections.slsa.sa.gov.au/mpcimg/30500/B30403.htm")</f>
        <v>http://collections.slsa.sa.gov.au/mpcimg/30500/B30403.htm</v>
      </c>
    </row>
    <row r="6985" spans="1:11" x14ac:dyDescent="0.25">
      <c r="A6985" t="s">
        <v>23914</v>
      </c>
      <c r="B6985" s="1" t="str">
        <f>HYPERLINK("https://www.catalog.slsa.sa.gov.au/record=b2041916")</f>
        <v>https://www.catalog.slsa.sa.gov.au/record=b2041916</v>
      </c>
      <c r="C6985" s="1" t="str">
        <f>HYPERLINK("https://www.catalog.slsa.sa.gov.au/xrecord=b2041916")</f>
        <v>https://www.catalog.slsa.sa.gov.au/xrecord=b2041916</v>
      </c>
      <c r="E6985" t="s">
        <v>23910</v>
      </c>
      <c r="F6985">
        <v>1954</v>
      </c>
      <c r="G6985" t="s">
        <v>20990</v>
      </c>
      <c r="H6985" t="s">
        <v>23913</v>
      </c>
      <c r="J6985" t="s">
        <v>16579</v>
      </c>
      <c r="K6985" s="2" t="str">
        <f>HYPERLINK("http://collections.slsa.sa.gov.au/mpcimg/30500/B30404.htm")</f>
        <v>http://collections.slsa.sa.gov.au/mpcimg/30500/B30404.htm</v>
      </c>
    </row>
    <row r="6986" spans="1:11" x14ac:dyDescent="0.25">
      <c r="A6986" t="s">
        <v>23915</v>
      </c>
      <c r="B6986" s="1" t="str">
        <f>HYPERLINK("https://www.catalog.slsa.sa.gov.au/record=b2041917")</f>
        <v>https://www.catalog.slsa.sa.gov.au/record=b2041917</v>
      </c>
      <c r="C6986" s="1" t="str">
        <f>HYPERLINK("https://www.catalog.slsa.sa.gov.au/xrecord=b2041917")</f>
        <v>https://www.catalog.slsa.sa.gov.au/xrecord=b2041917</v>
      </c>
      <c r="E6986" t="s">
        <v>23910</v>
      </c>
      <c r="F6986">
        <v>1954</v>
      </c>
      <c r="G6986" t="s">
        <v>20990</v>
      </c>
      <c r="H6986" t="s">
        <v>23913</v>
      </c>
      <c r="J6986" t="s">
        <v>16579</v>
      </c>
      <c r="K6986" s="2" t="str">
        <f>HYPERLINK("http://collections.slsa.sa.gov.au/mpcimg/30500/B30405.htm")</f>
        <v>http://collections.slsa.sa.gov.au/mpcimg/30500/B30405.htm</v>
      </c>
    </row>
    <row r="6987" spans="1:11" x14ac:dyDescent="0.25">
      <c r="A6987" t="s">
        <v>23916</v>
      </c>
      <c r="B6987" s="1" t="str">
        <f>HYPERLINK("https://www.catalog.slsa.sa.gov.au/record=b2041918")</f>
        <v>https://www.catalog.slsa.sa.gov.au/record=b2041918</v>
      </c>
      <c r="C6987" s="1" t="str">
        <f>HYPERLINK("https://www.catalog.slsa.sa.gov.au/xrecord=b2041918")</f>
        <v>https://www.catalog.slsa.sa.gov.au/xrecord=b2041918</v>
      </c>
      <c r="E6987" t="s">
        <v>23910</v>
      </c>
      <c r="F6987">
        <v>1954</v>
      </c>
      <c r="G6987" t="s">
        <v>20990</v>
      </c>
      <c r="H6987" t="s">
        <v>23913</v>
      </c>
      <c r="J6987" t="s">
        <v>16579</v>
      </c>
      <c r="K6987" s="2" t="str">
        <f>HYPERLINK("http://collections.slsa.sa.gov.au/mpcimg/30500/B30406.htm")</f>
        <v>http://collections.slsa.sa.gov.au/mpcimg/30500/B30406.htm</v>
      </c>
    </row>
    <row r="6988" spans="1:11" x14ac:dyDescent="0.25">
      <c r="A6988" t="s">
        <v>23917</v>
      </c>
      <c r="B6988" s="1" t="str">
        <f>HYPERLINK("https://www.catalog.slsa.sa.gov.au/record=b2041919")</f>
        <v>https://www.catalog.slsa.sa.gov.au/record=b2041919</v>
      </c>
      <c r="C6988" s="1" t="str">
        <f>HYPERLINK("https://www.catalog.slsa.sa.gov.au/xrecord=b2041919")</f>
        <v>https://www.catalog.slsa.sa.gov.au/xrecord=b2041919</v>
      </c>
      <c r="E6988" t="s">
        <v>23910</v>
      </c>
      <c r="F6988">
        <v>1954</v>
      </c>
      <c r="G6988" t="s">
        <v>20990</v>
      </c>
      <c r="H6988" t="s">
        <v>23913</v>
      </c>
      <c r="J6988" t="s">
        <v>16579</v>
      </c>
      <c r="K6988" s="2" t="str">
        <f>HYPERLINK("http://collections.slsa.sa.gov.au/mpcimg/30500/B30407.htm")</f>
        <v>http://collections.slsa.sa.gov.au/mpcimg/30500/B30407.htm</v>
      </c>
    </row>
    <row r="6989" spans="1:11" x14ac:dyDescent="0.25">
      <c r="A6989" t="s">
        <v>23918</v>
      </c>
      <c r="B6989" s="1" t="str">
        <f>HYPERLINK("https://www.catalog.slsa.sa.gov.au/record=b2041920")</f>
        <v>https://www.catalog.slsa.sa.gov.au/record=b2041920</v>
      </c>
      <c r="C6989" s="1" t="str">
        <f>HYPERLINK("https://www.catalog.slsa.sa.gov.au/xrecord=b2041920")</f>
        <v>https://www.catalog.slsa.sa.gov.au/xrecord=b2041920</v>
      </c>
      <c r="E6989" t="s">
        <v>23910</v>
      </c>
      <c r="F6989">
        <v>1954</v>
      </c>
      <c r="G6989" t="s">
        <v>20990</v>
      </c>
      <c r="H6989" t="s">
        <v>23913</v>
      </c>
      <c r="J6989" t="s">
        <v>16579</v>
      </c>
      <c r="K6989" s="2" t="str">
        <f>HYPERLINK("http://collections.slsa.sa.gov.au/mpcimg/30500/B30408.htm")</f>
        <v>http://collections.slsa.sa.gov.au/mpcimg/30500/B30408.htm</v>
      </c>
    </row>
    <row r="6990" spans="1:11" x14ac:dyDescent="0.25">
      <c r="A6990" t="s">
        <v>23919</v>
      </c>
      <c r="B6990" s="1" t="str">
        <f>HYPERLINK("https://www.catalog.slsa.sa.gov.au/record=b2041928")</f>
        <v>https://www.catalog.slsa.sa.gov.au/record=b2041928</v>
      </c>
      <c r="C6990" s="1" t="str">
        <f>HYPERLINK("https://www.catalog.slsa.sa.gov.au/xrecord=b2041928")</f>
        <v>https://www.catalog.slsa.sa.gov.au/xrecord=b2041928</v>
      </c>
      <c r="E6990" t="s">
        <v>7360</v>
      </c>
      <c r="F6990">
        <v>1954</v>
      </c>
      <c r="G6990" t="s">
        <v>20990</v>
      </c>
      <c r="H6990" t="s">
        <v>23920</v>
      </c>
      <c r="J6990" t="s">
        <v>16579</v>
      </c>
      <c r="K6990" s="2" t="str">
        <f>HYPERLINK("http://collections.slsa.sa.gov.au/mpcimg/30500/B30416.htm")</f>
        <v>http://collections.slsa.sa.gov.au/mpcimg/30500/B30416.htm</v>
      </c>
    </row>
    <row r="6991" spans="1:11" x14ac:dyDescent="0.25">
      <c r="A6991" t="s">
        <v>23921</v>
      </c>
      <c r="B6991" s="1" t="str">
        <f>HYPERLINK("https://www.catalog.slsa.sa.gov.au/record=b2041929")</f>
        <v>https://www.catalog.slsa.sa.gov.au/record=b2041929</v>
      </c>
      <c r="C6991" s="1" t="str">
        <f>HYPERLINK("https://www.catalog.slsa.sa.gov.au/xrecord=b2041929")</f>
        <v>https://www.catalog.slsa.sa.gov.au/xrecord=b2041929</v>
      </c>
      <c r="E6991" t="s">
        <v>23922</v>
      </c>
      <c r="F6991">
        <v>1954</v>
      </c>
      <c r="G6991" t="s">
        <v>20990</v>
      </c>
      <c r="H6991" t="s">
        <v>23923</v>
      </c>
      <c r="J6991" t="s">
        <v>16579</v>
      </c>
      <c r="K6991" s="2" t="str">
        <f>HYPERLINK("http://collections.slsa.sa.gov.au/mpcimg/30500/B30417.htm")</f>
        <v>http://collections.slsa.sa.gov.au/mpcimg/30500/B30417.htm</v>
      </c>
    </row>
    <row r="6992" spans="1:11" x14ac:dyDescent="0.25">
      <c r="A6992" t="s">
        <v>23924</v>
      </c>
      <c r="B6992" s="1" t="str">
        <f>HYPERLINK("https://www.catalog.slsa.sa.gov.au/record=b2041931")</f>
        <v>https://www.catalog.slsa.sa.gov.au/record=b2041931</v>
      </c>
      <c r="C6992" s="1" t="str">
        <f>HYPERLINK("https://www.catalog.slsa.sa.gov.au/xrecord=b2041931")</f>
        <v>https://www.catalog.slsa.sa.gov.au/xrecord=b2041931</v>
      </c>
      <c r="E6992" t="s">
        <v>23925</v>
      </c>
      <c r="F6992">
        <v>1954</v>
      </c>
      <c r="G6992" t="s">
        <v>20990</v>
      </c>
      <c r="H6992" t="s">
        <v>23926</v>
      </c>
      <c r="I6992" t="s">
        <v>23927</v>
      </c>
      <c r="J6992" t="s">
        <v>16579</v>
      </c>
      <c r="K6992" s="2" t="str">
        <f>HYPERLINK("http://collections.slsa.sa.gov.au/mpcimg/30500/B30419.htm")</f>
        <v>http://collections.slsa.sa.gov.au/mpcimg/30500/B30419.htm</v>
      </c>
    </row>
    <row r="6993" spans="1:11" x14ac:dyDescent="0.25">
      <c r="A6993" t="s">
        <v>23928</v>
      </c>
      <c r="B6993" s="1" t="str">
        <f>HYPERLINK("https://www.catalog.slsa.sa.gov.au/record=b2041932")</f>
        <v>https://www.catalog.slsa.sa.gov.au/record=b2041932</v>
      </c>
      <c r="C6993" s="1" t="str">
        <f>HYPERLINK("https://www.catalog.slsa.sa.gov.au/xrecord=b2041932")</f>
        <v>https://www.catalog.slsa.sa.gov.au/xrecord=b2041932</v>
      </c>
      <c r="E6993" t="s">
        <v>23929</v>
      </c>
      <c r="F6993">
        <v>1954</v>
      </c>
      <c r="G6993" t="s">
        <v>20990</v>
      </c>
      <c r="H6993" t="s">
        <v>23930</v>
      </c>
      <c r="I6993" t="s">
        <v>23927</v>
      </c>
      <c r="J6993" t="s">
        <v>16579</v>
      </c>
      <c r="K6993" s="2" t="str">
        <f>HYPERLINK("http://collections.slsa.sa.gov.au/mpcimg/30500/B30420.htm")</f>
        <v>http://collections.slsa.sa.gov.au/mpcimg/30500/B30420.htm</v>
      </c>
    </row>
    <row r="6994" spans="1:11" x14ac:dyDescent="0.25">
      <c r="A6994" t="s">
        <v>23931</v>
      </c>
      <c r="B6994" s="1" t="str">
        <f>HYPERLINK("https://www.catalog.slsa.sa.gov.au/record=b2041933")</f>
        <v>https://www.catalog.slsa.sa.gov.au/record=b2041933</v>
      </c>
      <c r="C6994" s="1" t="str">
        <f>HYPERLINK("https://www.catalog.slsa.sa.gov.au/xrecord=b2041933")</f>
        <v>https://www.catalog.slsa.sa.gov.au/xrecord=b2041933</v>
      </c>
      <c r="E6994" t="s">
        <v>23925</v>
      </c>
      <c r="F6994">
        <v>1954</v>
      </c>
      <c r="G6994" t="s">
        <v>20990</v>
      </c>
      <c r="H6994" t="s">
        <v>23932</v>
      </c>
      <c r="I6994" t="s">
        <v>23933</v>
      </c>
      <c r="J6994" t="s">
        <v>16579</v>
      </c>
      <c r="K6994" s="2" t="str">
        <f>HYPERLINK("http://collections.slsa.sa.gov.au/mpcimg/30500/B30421.htm")</f>
        <v>http://collections.slsa.sa.gov.au/mpcimg/30500/B30421.htm</v>
      </c>
    </row>
    <row r="6995" spans="1:11" x14ac:dyDescent="0.25">
      <c r="A6995" t="s">
        <v>23934</v>
      </c>
      <c r="B6995" s="1" t="str">
        <f>HYPERLINK("https://www.catalog.slsa.sa.gov.au/record=b2041934")</f>
        <v>https://www.catalog.slsa.sa.gov.au/record=b2041934</v>
      </c>
      <c r="C6995" s="1" t="str">
        <f>HYPERLINK("https://www.catalog.slsa.sa.gov.au/xrecord=b2041934")</f>
        <v>https://www.catalog.slsa.sa.gov.au/xrecord=b2041934</v>
      </c>
      <c r="E6995" t="s">
        <v>23929</v>
      </c>
      <c r="F6995">
        <v>1954</v>
      </c>
      <c r="G6995" t="s">
        <v>16674</v>
      </c>
      <c r="H6995" t="s">
        <v>23932</v>
      </c>
      <c r="I6995" t="s">
        <v>23935</v>
      </c>
      <c r="J6995" t="s">
        <v>16579</v>
      </c>
      <c r="K6995" s="2" t="str">
        <f>HYPERLINK("http://collections.slsa.sa.gov.au/mpcimg/30500/B30422.htm")</f>
        <v>http://collections.slsa.sa.gov.au/mpcimg/30500/B30422.htm</v>
      </c>
    </row>
    <row r="6996" spans="1:11" x14ac:dyDescent="0.25">
      <c r="A6996" t="s">
        <v>23936</v>
      </c>
      <c r="B6996" s="1" t="str">
        <f>HYPERLINK("https://www.catalog.slsa.sa.gov.au/record=b2041935")</f>
        <v>https://www.catalog.slsa.sa.gov.au/record=b2041935</v>
      </c>
      <c r="C6996" s="1" t="str">
        <f>HYPERLINK("https://www.catalog.slsa.sa.gov.au/xrecord=b2041935")</f>
        <v>https://www.catalog.slsa.sa.gov.au/xrecord=b2041935</v>
      </c>
      <c r="E6996" t="s">
        <v>23929</v>
      </c>
      <c r="F6996">
        <v>1954</v>
      </c>
      <c r="G6996" t="s">
        <v>20990</v>
      </c>
      <c r="H6996" t="s">
        <v>23937</v>
      </c>
      <c r="I6996" t="s">
        <v>23933</v>
      </c>
      <c r="J6996" t="s">
        <v>16579</v>
      </c>
      <c r="K6996" s="2" t="str">
        <f>HYPERLINK("http://collections.slsa.sa.gov.au/mpcimg/30500/B30423.htm")</f>
        <v>http://collections.slsa.sa.gov.au/mpcimg/30500/B30423.htm</v>
      </c>
    </row>
    <row r="6997" spans="1:11" x14ac:dyDescent="0.25">
      <c r="A6997" t="s">
        <v>23938</v>
      </c>
      <c r="B6997" s="1" t="str">
        <f>HYPERLINK("https://www.catalog.slsa.sa.gov.au/record=b2042796")</f>
        <v>https://www.catalog.slsa.sa.gov.au/record=b2042796</v>
      </c>
      <c r="C6997" s="1" t="str">
        <f>HYPERLINK("https://www.catalog.slsa.sa.gov.au/xrecord=b2042796")</f>
        <v>https://www.catalog.slsa.sa.gov.au/xrecord=b2042796</v>
      </c>
      <c r="E6997" t="s">
        <v>23939</v>
      </c>
      <c r="F6997">
        <v>1954</v>
      </c>
      <c r="G6997" t="s">
        <v>15147</v>
      </c>
      <c r="H6997" t="s">
        <v>23940</v>
      </c>
      <c r="I6997" t="s">
        <v>23941</v>
      </c>
      <c r="J6997" t="s">
        <v>19035</v>
      </c>
      <c r="K6997" s="2" t="str">
        <f>HYPERLINK("http://collections.slsa.sa.gov.au/mpcimg/37250/B37155.htm")</f>
        <v>http://collections.slsa.sa.gov.au/mpcimg/37250/B37155.htm</v>
      </c>
    </row>
    <row r="6998" spans="1:11" x14ac:dyDescent="0.25">
      <c r="A6998" t="s">
        <v>23942</v>
      </c>
      <c r="B6998" s="1" t="str">
        <f>HYPERLINK("https://www.catalog.slsa.sa.gov.au/record=b2042797")</f>
        <v>https://www.catalog.slsa.sa.gov.au/record=b2042797</v>
      </c>
      <c r="C6998" s="1" t="str">
        <f>HYPERLINK("https://www.catalog.slsa.sa.gov.au/xrecord=b2042797")</f>
        <v>https://www.catalog.slsa.sa.gov.au/xrecord=b2042797</v>
      </c>
      <c r="E6998" t="s">
        <v>23939</v>
      </c>
      <c r="F6998">
        <v>1954</v>
      </c>
      <c r="G6998" t="s">
        <v>15147</v>
      </c>
      <c r="H6998" t="s">
        <v>23943</v>
      </c>
      <c r="I6998" t="s">
        <v>23944</v>
      </c>
      <c r="J6998" t="s">
        <v>19035</v>
      </c>
      <c r="K6998" s="2" t="str">
        <f>HYPERLINK("http://collections.slsa.sa.gov.au/mpcimg/37250/B37156.htm")</f>
        <v>http://collections.slsa.sa.gov.au/mpcimg/37250/B37156.htm</v>
      </c>
    </row>
    <row r="6999" spans="1:11" x14ac:dyDescent="0.25">
      <c r="A6999" t="s">
        <v>23945</v>
      </c>
      <c r="B6999" s="1" t="str">
        <f>HYPERLINK("https://www.catalog.slsa.sa.gov.au/record=b2045637")</f>
        <v>https://www.catalog.slsa.sa.gov.au/record=b2045637</v>
      </c>
      <c r="C6999" s="1" t="str">
        <f>HYPERLINK("https://www.catalog.slsa.sa.gov.au/xrecord=b2045637")</f>
        <v>https://www.catalog.slsa.sa.gov.au/xrecord=b2045637</v>
      </c>
      <c r="E6999" t="s">
        <v>23946</v>
      </c>
      <c r="F6999">
        <v>1954</v>
      </c>
      <c r="G6999" t="s">
        <v>23947</v>
      </c>
      <c r="H6999" t="s">
        <v>23948</v>
      </c>
      <c r="I6999" t="s">
        <v>23949</v>
      </c>
      <c r="J6999" t="s">
        <v>23950</v>
      </c>
      <c r="K6999" s="2" t="str">
        <f>HYPERLINK("http://collections.slsa.sa.gov.au/mpcimg/31000/B30938.htm")</f>
        <v>http://collections.slsa.sa.gov.au/mpcimg/31000/B30938.htm</v>
      </c>
    </row>
    <row r="7000" spans="1:11" x14ac:dyDescent="0.25">
      <c r="A7000" t="s">
        <v>23951</v>
      </c>
      <c r="B7000" s="1" t="str">
        <f>HYPERLINK("https://www.catalog.slsa.sa.gov.au/record=b2050782")</f>
        <v>https://www.catalog.slsa.sa.gov.au/record=b2050782</v>
      </c>
      <c r="C7000" s="1" t="str">
        <f>HYPERLINK("https://www.catalog.slsa.sa.gov.au/xrecord=b2050782")</f>
        <v>https://www.catalog.slsa.sa.gov.au/xrecord=b2050782</v>
      </c>
      <c r="D7000" t="s">
        <v>16831</v>
      </c>
      <c r="E7000" t="s">
        <v>17995</v>
      </c>
      <c r="F7000">
        <v>1954</v>
      </c>
      <c r="G7000" t="s">
        <v>20063</v>
      </c>
      <c r="H7000" t="s">
        <v>23952</v>
      </c>
      <c r="J7000" t="s">
        <v>2510</v>
      </c>
      <c r="K7000" s="2" t="str">
        <f>HYPERLINK("http://collections.slsa.sa.gov.au/mpcimg/13000/B12991.htm")</f>
        <v>http://collections.slsa.sa.gov.au/mpcimg/13000/B12991.htm</v>
      </c>
    </row>
    <row r="7001" spans="1:11" x14ac:dyDescent="0.25">
      <c r="A7001" t="s">
        <v>23953</v>
      </c>
      <c r="B7001" s="1" t="str">
        <f>HYPERLINK("https://www.catalog.slsa.sa.gov.au/record=b2051657")</f>
        <v>https://www.catalog.slsa.sa.gov.au/record=b2051657</v>
      </c>
      <c r="C7001" s="1" t="str">
        <f>HYPERLINK("https://www.catalog.slsa.sa.gov.au/xrecord=b2051657")</f>
        <v>https://www.catalog.slsa.sa.gov.au/xrecord=b2051657</v>
      </c>
      <c r="E7001" t="s">
        <v>23939</v>
      </c>
      <c r="F7001">
        <v>1954</v>
      </c>
      <c r="G7001" t="s">
        <v>16628</v>
      </c>
      <c r="H7001" t="s">
        <v>23954</v>
      </c>
      <c r="I7001" t="s">
        <v>23955</v>
      </c>
      <c r="J7001" t="s">
        <v>2510</v>
      </c>
      <c r="K7001" s="2" t="str">
        <f>HYPERLINK("http://collections.slsa.sa.gov.au/mpcimg/23500/B23331.htm")</f>
        <v>http://collections.slsa.sa.gov.au/mpcimg/23500/B23331.htm</v>
      </c>
    </row>
    <row r="7002" spans="1:11" x14ac:dyDescent="0.25">
      <c r="A7002" t="s">
        <v>23956</v>
      </c>
      <c r="B7002" s="1" t="str">
        <f>HYPERLINK("https://www.catalog.slsa.sa.gov.au/record=b2052504")</f>
        <v>https://www.catalog.slsa.sa.gov.au/record=b2052504</v>
      </c>
      <c r="C7002" s="1" t="str">
        <f>HYPERLINK("https://www.catalog.slsa.sa.gov.au/xrecord=b2052504")</f>
        <v>https://www.catalog.slsa.sa.gov.au/xrecord=b2052504</v>
      </c>
      <c r="E7002" t="s">
        <v>23957</v>
      </c>
      <c r="F7002">
        <v>1954</v>
      </c>
      <c r="G7002" t="s">
        <v>23958</v>
      </c>
      <c r="H7002" t="s">
        <v>23959</v>
      </c>
      <c r="I7002" t="s">
        <v>23960</v>
      </c>
      <c r="J7002" t="s">
        <v>2510</v>
      </c>
      <c r="K7002" s="2" t="str">
        <f>HYPERLINK("http://collections.slsa.sa.gov.au/mpcimg/36000/B35795.htm")</f>
        <v>http://collections.slsa.sa.gov.au/mpcimg/36000/B35795.htm</v>
      </c>
    </row>
    <row r="7003" spans="1:11" x14ac:dyDescent="0.25">
      <c r="A7003" t="s">
        <v>23961</v>
      </c>
      <c r="B7003" s="1" t="str">
        <f>HYPERLINK("https://www.catalog.slsa.sa.gov.au/record=b2052621")</f>
        <v>https://www.catalog.slsa.sa.gov.au/record=b2052621</v>
      </c>
      <c r="C7003" s="1" t="str">
        <f>HYPERLINK("https://www.catalog.slsa.sa.gov.au/xrecord=b2052621")</f>
        <v>https://www.catalog.slsa.sa.gov.au/xrecord=b2052621</v>
      </c>
      <c r="E7003" t="s">
        <v>23962</v>
      </c>
      <c r="F7003">
        <v>1954</v>
      </c>
      <c r="G7003" t="s">
        <v>15147</v>
      </c>
      <c r="H7003" t="s">
        <v>23963</v>
      </c>
      <c r="I7003" t="s">
        <v>23964</v>
      </c>
      <c r="J7003" t="s">
        <v>2510</v>
      </c>
      <c r="K7003" s="2" t="str">
        <f>HYPERLINK("http://collections.slsa.sa.gov.au/mpcimg/37250/B37015.htm")</f>
        <v>http://collections.slsa.sa.gov.au/mpcimg/37250/B37015.htm</v>
      </c>
    </row>
    <row r="7004" spans="1:11" x14ac:dyDescent="0.25">
      <c r="A7004" t="s">
        <v>23965</v>
      </c>
      <c r="B7004" s="1" t="str">
        <f>HYPERLINK("https://www.catalog.slsa.sa.gov.au/record=b2053327")</f>
        <v>https://www.catalog.slsa.sa.gov.au/record=b2053327</v>
      </c>
      <c r="C7004" s="1" t="str">
        <f>HYPERLINK("https://www.catalog.slsa.sa.gov.au/xrecord=b2053327")</f>
        <v>https://www.catalog.slsa.sa.gov.au/xrecord=b2053327</v>
      </c>
      <c r="E7004" t="s">
        <v>23966</v>
      </c>
      <c r="F7004">
        <v>1954</v>
      </c>
      <c r="G7004" t="s">
        <v>23967</v>
      </c>
      <c r="H7004" t="s">
        <v>23968</v>
      </c>
      <c r="I7004" t="s">
        <v>15218</v>
      </c>
      <c r="J7004" t="s">
        <v>2510</v>
      </c>
      <c r="K7004" s="2" t="str">
        <f>HYPERLINK("http://collections.slsa.sa.gov.au/mpcimg/45500/B45408.htm")</f>
        <v>http://collections.slsa.sa.gov.au/mpcimg/45500/B45408.htm</v>
      </c>
    </row>
    <row r="7005" spans="1:11" x14ac:dyDescent="0.25">
      <c r="A7005" t="s">
        <v>23969</v>
      </c>
      <c r="B7005" s="1" t="str">
        <f>HYPERLINK("https://www.catalog.slsa.sa.gov.au/record=b2054469")</f>
        <v>https://www.catalog.slsa.sa.gov.au/record=b2054469</v>
      </c>
      <c r="C7005" s="1" t="str">
        <f>HYPERLINK("https://www.catalog.slsa.sa.gov.au/xrecord=b2054469")</f>
        <v>https://www.catalog.slsa.sa.gov.au/xrecord=b2054469</v>
      </c>
      <c r="E7005" t="s">
        <v>23970</v>
      </c>
      <c r="F7005">
        <v>1954</v>
      </c>
      <c r="G7005" t="s">
        <v>15917</v>
      </c>
      <c r="H7005" t="s">
        <v>23971</v>
      </c>
      <c r="I7005" t="s">
        <v>23972</v>
      </c>
      <c r="J7005" t="s">
        <v>23973</v>
      </c>
      <c r="K7005" s="2" t="str">
        <f>HYPERLINK("http://collections.slsa.sa.gov.au/mpcimg/34750/B34568.htm")</f>
        <v>http://collections.slsa.sa.gov.au/mpcimg/34750/B34568.htm</v>
      </c>
    </row>
    <row r="7006" spans="1:11" x14ac:dyDescent="0.25">
      <c r="A7006" t="s">
        <v>23974</v>
      </c>
      <c r="B7006" s="1" t="str">
        <f>HYPERLINK("https://www.catalog.slsa.sa.gov.au/record=b2054470")</f>
        <v>https://www.catalog.slsa.sa.gov.au/record=b2054470</v>
      </c>
      <c r="C7006" s="1" t="str">
        <f>HYPERLINK("https://www.catalog.slsa.sa.gov.au/xrecord=b2054470")</f>
        <v>https://www.catalog.slsa.sa.gov.au/xrecord=b2054470</v>
      </c>
      <c r="E7006" t="s">
        <v>23970</v>
      </c>
      <c r="F7006">
        <v>1954</v>
      </c>
      <c r="G7006" t="s">
        <v>15917</v>
      </c>
      <c r="H7006" t="s">
        <v>23971</v>
      </c>
      <c r="I7006" t="s">
        <v>23972</v>
      </c>
      <c r="J7006" t="s">
        <v>23973</v>
      </c>
      <c r="K7006" s="2" t="str">
        <f>HYPERLINK("http://collections.slsa.sa.gov.au/mpcimg/34750/B34569.htm")</f>
        <v>http://collections.slsa.sa.gov.au/mpcimg/34750/B34569.htm</v>
      </c>
    </row>
    <row r="7007" spans="1:11" x14ac:dyDescent="0.25">
      <c r="A7007" t="s">
        <v>23975</v>
      </c>
      <c r="B7007" s="1" t="str">
        <f>HYPERLINK("https://www.catalog.slsa.sa.gov.au/record=b2054612")</f>
        <v>https://www.catalog.slsa.sa.gov.au/record=b2054612</v>
      </c>
      <c r="C7007" s="1" t="str">
        <f>HYPERLINK("https://www.catalog.slsa.sa.gov.au/xrecord=b2054612")</f>
        <v>https://www.catalog.slsa.sa.gov.au/xrecord=b2054612</v>
      </c>
      <c r="D7007" t="s">
        <v>16831</v>
      </c>
      <c r="E7007" t="s">
        <v>23976</v>
      </c>
      <c r="F7007">
        <v>1954</v>
      </c>
      <c r="G7007" t="s">
        <v>20063</v>
      </c>
      <c r="H7007" t="s">
        <v>23977</v>
      </c>
      <c r="J7007" t="s">
        <v>23978</v>
      </c>
      <c r="K7007" s="2" t="str">
        <f>HYPERLINK("http://collections.slsa.sa.gov.au/mpcimg/13250/B13011.htm")</f>
        <v>http://collections.slsa.sa.gov.au/mpcimg/13250/B13011.htm</v>
      </c>
    </row>
    <row r="7008" spans="1:11" x14ac:dyDescent="0.25">
      <c r="A7008" t="s">
        <v>23979</v>
      </c>
      <c r="B7008" s="1" t="str">
        <f>HYPERLINK("https://www.catalog.slsa.sa.gov.au/record=b2054913")</f>
        <v>https://www.catalog.slsa.sa.gov.au/record=b2054913</v>
      </c>
      <c r="C7008" s="1" t="str">
        <f>HYPERLINK("https://www.catalog.slsa.sa.gov.au/xrecord=b2054913")</f>
        <v>https://www.catalog.slsa.sa.gov.au/xrecord=b2054913</v>
      </c>
      <c r="D7008" t="s">
        <v>16831</v>
      </c>
      <c r="E7008" t="s">
        <v>22722</v>
      </c>
      <c r="F7008">
        <v>1954</v>
      </c>
      <c r="G7008" t="s">
        <v>20063</v>
      </c>
      <c r="H7008" t="s">
        <v>23980</v>
      </c>
      <c r="J7008" t="s">
        <v>22724</v>
      </c>
      <c r="K7008" s="2" t="str">
        <f>HYPERLINK("http://collections.slsa.sa.gov.au/mpcimg/13000/B12941.htm")</f>
        <v>http://collections.slsa.sa.gov.au/mpcimg/13000/B12941.htm</v>
      </c>
    </row>
    <row r="7009" spans="1:11" x14ac:dyDescent="0.25">
      <c r="A7009" t="s">
        <v>23981</v>
      </c>
      <c r="B7009" s="1" t="str">
        <f>HYPERLINK("https://www.catalog.slsa.sa.gov.au/record=b2054914")</f>
        <v>https://www.catalog.slsa.sa.gov.au/record=b2054914</v>
      </c>
      <c r="C7009" s="1" t="str">
        <f>HYPERLINK("https://www.catalog.slsa.sa.gov.au/xrecord=b2054914")</f>
        <v>https://www.catalog.slsa.sa.gov.au/xrecord=b2054914</v>
      </c>
      <c r="D7009" t="s">
        <v>16831</v>
      </c>
      <c r="E7009" t="s">
        <v>15201</v>
      </c>
      <c r="F7009">
        <v>1954</v>
      </c>
      <c r="G7009" t="s">
        <v>20063</v>
      </c>
      <c r="H7009" t="s">
        <v>23982</v>
      </c>
      <c r="J7009" t="s">
        <v>22724</v>
      </c>
      <c r="K7009" s="2" t="str">
        <f>HYPERLINK("http://collections.slsa.sa.gov.au/mpcimg/13250/B13005.htm")</f>
        <v>http://collections.slsa.sa.gov.au/mpcimg/13250/B13005.htm</v>
      </c>
    </row>
    <row r="7010" spans="1:11" x14ac:dyDescent="0.25">
      <c r="A7010" t="s">
        <v>23983</v>
      </c>
      <c r="B7010" s="1" t="str">
        <f>HYPERLINK("https://www.catalog.slsa.sa.gov.au/record=b2054941")</f>
        <v>https://www.catalog.slsa.sa.gov.au/record=b2054941</v>
      </c>
      <c r="C7010" s="1" t="str">
        <f>HYPERLINK("https://www.catalog.slsa.sa.gov.au/xrecord=b2054941")</f>
        <v>https://www.catalog.slsa.sa.gov.au/xrecord=b2054941</v>
      </c>
      <c r="D7010" t="s">
        <v>16831</v>
      </c>
      <c r="E7010" t="s">
        <v>22722</v>
      </c>
      <c r="F7010">
        <v>1954</v>
      </c>
      <c r="G7010" t="s">
        <v>20063</v>
      </c>
      <c r="H7010" t="s">
        <v>23984</v>
      </c>
      <c r="J7010" t="s">
        <v>18795</v>
      </c>
      <c r="K7010" s="2" t="str">
        <f>HYPERLINK("http://collections.slsa.sa.gov.au/mpcimg/13000/B12942.htm")</f>
        <v>http://collections.slsa.sa.gov.au/mpcimg/13000/B12942.htm</v>
      </c>
    </row>
    <row r="7011" spans="1:11" x14ac:dyDescent="0.25">
      <c r="A7011" t="s">
        <v>23985</v>
      </c>
      <c r="B7011" s="1" t="str">
        <f>HYPERLINK("https://www.catalog.slsa.sa.gov.au/record=b2055011")</f>
        <v>https://www.catalog.slsa.sa.gov.au/record=b2055011</v>
      </c>
      <c r="C7011" s="1" t="str">
        <f>HYPERLINK("https://www.catalog.slsa.sa.gov.au/xrecord=b2055011")</f>
        <v>https://www.catalog.slsa.sa.gov.au/xrecord=b2055011</v>
      </c>
      <c r="E7011" t="s">
        <v>17146</v>
      </c>
      <c r="F7011">
        <v>1954</v>
      </c>
      <c r="G7011" t="s">
        <v>20063</v>
      </c>
      <c r="H7011" t="s">
        <v>23986</v>
      </c>
      <c r="J7011" t="s">
        <v>23987</v>
      </c>
      <c r="K7011" s="2" t="str">
        <f>HYPERLINK("http://collections.slsa.sa.gov.au/mpcimg/13250/B13156.htm")</f>
        <v>http://collections.slsa.sa.gov.au/mpcimg/13250/B13156.htm</v>
      </c>
    </row>
    <row r="7012" spans="1:11" x14ac:dyDescent="0.25">
      <c r="A7012" t="s">
        <v>23988</v>
      </c>
      <c r="B7012" s="1" t="str">
        <f>HYPERLINK("https://www.catalog.slsa.sa.gov.au/record=b2055046")</f>
        <v>https://www.catalog.slsa.sa.gov.au/record=b2055046</v>
      </c>
      <c r="C7012" s="1" t="str">
        <f>HYPERLINK("https://www.catalog.slsa.sa.gov.au/xrecord=b2055046")</f>
        <v>https://www.catalog.slsa.sa.gov.au/xrecord=b2055046</v>
      </c>
      <c r="D7012" t="s">
        <v>16831</v>
      </c>
      <c r="E7012" t="s">
        <v>15201</v>
      </c>
      <c r="F7012">
        <v>1954</v>
      </c>
      <c r="G7012" t="s">
        <v>20063</v>
      </c>
      <c r="H7012" t="s">
        <v>23989</v>
      </c>
      <c r="J7012" t="s">
        <v>23990</v>
      </c>
      <c r="K7012" s="2" t="str">
        <f>HYPERLINK("http://collections.slsa.sa.gov.au/mpcimg/13250/B13010.htm")</f>
        <v>http://collections.slsa.sa.gov.au/mpcimg/13250/B13010.htm</v>
      </c>
    </row>
    <row r="7013" spans="1:11" x14ac:dyDescent="0.25">
      <c r="A7013" t="s">
        <v>23991</v>
      </c>
      <c r="B7013" s="1" t="str">
        <f>HYPERLINK("https://www.catalog.slsa.sa.gov.au/record=b2055185")</f>
        <v>https://www.catalog.slsa.sa.gov.au/record=b2055185</v>
      </c>
      <c r="C7013" s="1" t="str">
        <f>HYPERLINK("https://www.catalog.slsa.sa.gov.au/xrecord=b2055185")</f>
        <v>https://www.catalog.slsa.sa.gov.au/xrecord=b2055185</v>
      </c>
      <c r="D7013" t="s">
        <v>16831</v>
      </c>
      <c r="E7013" t="s">
        <v>22732</v>
      </c>
      <c r="F7013">
        <v>1954</v>
      </c>
      <c r="G7013" t="s">
        <v>20063</v>
      </c>
      <c r="H7013" t="s">
        <v>23992</v>
      </c>
      <c r="I7013" t="s">
        <v>23993</v>
      </c>
      <c r="J7013" t="s">
        <v>23994</v>
      </c>
      <c r="K7013" s="2" t="str">
        <f>HYPERLINK("http://collections.slsa.sa.gov.au/mpcimg/13250/B13084.htm")</f>
        <v>http://collections.slsa.sa.gov.au/mpcimg/13250/B13084.htm</v>
      </c>
    </row>
    <row r="7014" spans="1:11" x14ac:dyDescent="0.25">
      <c r="A7014" t="s">
        <v>23995</v>
      </c>
      <c r="B7014" s="1" t="str">
        <f>HYPERLINK("https://www.catalog.slsa.sa.gov.au/record=b2055186")</f>
        <v>https://www.catalog.slsa.sa.gov.au/record=b2055186</v>
      </c>
      <c r="C7014" s="1" t="str">
        <f>HYPERLINK("https://www.catalog.slsa.sa.gov.au/xrecord=b2055186")</f>
        <v>https://www.catalog.slsa.sa.gov.au/xrecord=b2055186</v>
      </c>
      <c r="D7014" t="s">
        <v>16831</v>
      </c>
      <c r="E7014" t="s">
        <v>23996</v>
      </c>
      <c r="F7014">
        <v>1954</v>
      </c>
      <c r="G7014" t="s">
        <v>20063</v>
      </c>
      <c r="H7014" t="s">
        <v>23997</v>
      </c>
      <c r="I7014" t="s">
        <v>23993</v>
      </c>
      <c r="J7014" t="s">
        <v>23994</v>
      </c>
      <c r="K7014" s="2" t="str">
        <f>HYPERLINK("http://collections.slsa.sa.gov.au/mpcimg/13250/B13085.htm")</f>
        <v>http://collections.slsa.sa.gov.au/mpcimg/13250/B13085.htm</v>
      </c>
    </row>
    <row r="7015" spans="1:11" x14ac:dyDescent="0.25">
      <c r="A7015" t="s">
        <v>23998</v>
      </c>
      <c r="B7015" s="1" t="str">
        <f>HYPERLINK("https://www.catalog.slsa.sa.gov.au/record=b2055736")</f>
        <v>https://www.catalog.slsa.sa.gov.au/record=b2055736</v>
      </c>
      <c r="C7015" s="1" t="str">
        <f>HYPERLINK("https://www.catalog.slsa.sa.gov.au/xrecord=b2055736")</f>
        <v>https://www.catalog.slsa.sa.gov.au/xrecord=b2055736</v>
      </c>
      <c r="D7015" t="s">
        <v>16831</v>
      </c>
      <c r="E7015" t="s">
        <v>20904</v>
      </c>
      <c r="F7015">
        <v>1954</v>
      </c>
      <c r="G7015" t="s">
        <v>20063</v>
      </c>
      <c r="H7015" t="s">
        <v>23999</v>
      </c>
      <c r="J7015" t="s">
        <v>22167</v>
      </c>
      <c r="K7015" s="2" t="str">
        <f>HYPERLINK("http://collections.slsa.sa.gov.au/mpcimg/13000/B12975.htm")</f>
        <v>http://collections.slsa.sa.gov.au/mpcimg/13000/B12975.htm</v>
      </c>
    </row>
    <row r="7016" spans="1:11" x14ac:dyDescent="0.25">
      <c r="A7016" t="s">
        <v>24000</v>
      </c>
      <c r="B7016" s="1" t="str">
        <f>HYPERLINK("https://www.catalog.slsa.sa.gov.au/record=b2055828")</f>
        <v>https://www.catalog.slsa.sa.gov.au/record=b2055828</v>
      </c>
      <c r="C7016" s="1" t="str">
        <f>HYPERLINK("https://www.catalog.slsa.sa.gov.au/xrecord=b2055828")</f>
        <v>https://www.catalog.slsa.sa.gov.au/xrecord=b2055828</v>
      </c>
      <c r="D7016" t="s">
        <v>16831</v>
      </c>
      <c r="E7016" t="s">
        <v>24001</v>
      </c>
      <c r="F7016">
        <v>1954</v>
      </c>
      <c r="G7016" t="s">
        <v>20063</v>
      </c>
      <c r="H7016" t="s">
        <v>24002</v>
      </c>
      <c r="I7016" t="s">
        <v>24003</v>
      </c>
      <c r="J7016" t="s">
        <v>24004</v>
      </c>
      <c r="K7016" s="2" t="str">
        <f>HYPERLINK("http://collections.slsa.sa.gov.au/mpcimg/13250/B13098.htm")</f>
        <v>http://collections.slsa.sa.gov.au/mpcimg/13250/B13098.htm</v>
      </c>
    </row>
    <row r="7017" spans="1:11" x14ac:dyDescent="0.25">
      <c r="A7017" t="s">
        <v>24005</v>
      </c>
      <c r="B7017" s="1" t="str">
        <f>HYPERLINK("https://www.catalog.slsa.sa.gov.au/record=b2055851")</f>
        <v>https://www.catalog.slsa.sa.gov.au/record=b2055851</v>
      </c>
      <c r="C7017" s="1" t="str">
        <f>HYPERLINK("https://www.catalog.slsa.sa.gov.au/xrecord=b2055851")</f>
        <v>https://www.catalog.slsa.sa.gov.au/xrecord=b2055851</v>
      </c>
      <c r="D7017" t="s">
        <v>16831</v>
      </c>
      <c r="E7017" t="s">
        <v>24006</v>
      </c>
      <c r="F7017">
        <v>1954</v>
      </c>
      <c r="G7017" t="s">
        <v>20063</v>
      </c>
      <c r="H7017" t="s">
        <v>24007</v>
      </c>
      <c r="J7017" t="s">
        <v>24008</v>
      </c>
      <c r="K7017" s="2" t="str">
        <f>HYPERLINK("http://collections.slsa.sa.gov.au/mpcimg/13250/B13012.htm")</f>
        <v>http://collections.slsa.sa.gov.au/mpcimg/13250/B13012.htm</v>
      </c>
    </row>
    <row r="7018" spans="1:11" x14ac:dyDescent="0.25">
      <c r="A7018" t="s">
        <v>24009</v>
      </c>
      <c r="B7018" s="1" t="str">
        <f>HYPERLINK("https://www.catalog.slsa.sa.gov.au/record=b2055875")</f>
        <v>https://www.catalog.slsa.sa.gov.au/record=b2055875</v>
      </c>
      <c r="C7018" s="1" t="str">
        <f>HYPERLINK("https://www.catalog.slsa.sa.gov.au/xrecord=b2055875")</f>
        <v>https://www.catalog.slsa.sa.gov.au/xrecord=b2055875</v>
      </c>
      <c r="D7018" t="s">
        <v>16831</v>
      </c>
      <c r="E7018" t="s">
        <v>20904</v>
      </c>
      <c r="F7018">
        <v>1954</v>
      </c>
      <c r="G7018" t="s">
        <v>20063</v>
      </c>
      <c r="H7018" t="s">
        <v>24010</v>
      </c>
      <c r="J7018" t="s">
        <v>24011</v>
      </c>
      <c r="K7018" s="2" t="str">
        <f>HYPERLINK("http://collections.slsa.sa.gov.au/mpcimg/13000/B12976.htm")</f>
        <v>http://collections.slsa.sa.gov.au/mpcimg/13000/B12976.htm</v>
      </c>
    </row>
    <row r="7019" spans="1:11" x14ac:dyDescent="0.25">
      <c r="A7019" t="s">
        <v>24012</v>
      </c>
      <c r="B7019" s="1" t="str">
        <f>HYPERLINK("https://www.catalog.slsa.sa.gov.au/record=b2055946")</f>
        <v>https://www.catalog.slsa.sa.gov.au/record=b2055946</v>
      </c>
      <c r="C7019" s="1" t="str">
        <f>HYPERLINK("https://www.catalog.slsa.sa.gov.au/xrecord=b2055946")</f>
        <v>https://www.catalog.slsa.sa.gov.au/xrecord=b2055946</v>
      </c>
      <c r="D7019" t="s">
        <v>16831</v>
      </c>
      <c r="E7019" t="s">
        <v>24001</v>
      </c>
      <c r="F7019">
        <v>1954</v>
      </c>
      <c r="G7019" t="s">
        <v>20063</v>
      </c>
      <c r="H7019" t="s">
        <v>24013</v>
      </c>
      <c r="J7019" t="s">
        <v>24014</v>
      </c>
      <c r="K7019" s="2" t="str">
        <f>HYPERLINK("http://collections.slsa.sa.gov.au/mpcimg/13250/B13064.htm")</f>
        <v>http://collections.slsa.sa.gov.au/mpcimg/13250/B13064.htm</v>
      </c>
    </row>
    <row r="7020" spans="1:11" x14ac:dyDescent="0.25">
      <c r="A7020" t="s">
        <v>24015</v>
      </c>
      <c r="B7020" s="1" t="str">
        <f>HYPERLINK("https://www.catalog.slsa.sa.gov.au/record=b2056028")</f>
        <v>https://www.catalog.slsa.sa.gov.au/record=b2056028</v>
      </c>
      <c r="C7020" s="1" t="str">
        <f>HYPERLINK("https://www.catalog.slsa.sa.gov.au/xrecord=b2056028")</f>
        <v>https://www.catalog.slsa.sa.gov.au/xrecord=b2056028</v>
      </c>
      <c r="D7020" t="s">
        <v>16831</v>
      </c>
      <c r="E7020" t="s">
        <v>24001</v>
      </c>
      <c r="F7020">
        <v>1954</v>
      </c>
      <c r="G7020" t="s">
        <v>20063</v>
      </c>
      <c r="H7020" t="s">
        <v>24016</v>
      </c>
      <c r="J7020" t="s">
        <v>24017</v>
      </c>
      <c r="K7020" s="2" t="str">
        <f>HYPERLINK("http://collections.slsa.sa.gov.au/mpcimg/13250/B13235.htm")</f>
        <v>http://collections.slsa.sa.gov.au/mpcimg/13250/B13235.htm</v>
      </c>
    </row>
    <row r="7021" spans="1:11" x14ac:dyDescent="0.25">
      <c r="A7021" t="s">
        <v>24018</v>
      </c>
      <c r="B7021" s="1" t="str">
        <f>HYPERLINK("https://www.catalog.slsa.sa.gov.au/record=b2056048")</f>
        <v>https://www.catalog.slsa.sa.gov.au/record=b2056048</v>
      </c>
      <c r="C7021" s="1" t="str">
        <f>HYPERLINK("https://www.catalog.slsa.sa.gov.au/xrecord=b2056048")</f>
        <v>https://www.catalog.slsa.sa.gov.au/xrecord=b2056048</v>
      </c>
      <c r="D7021" t="s">
        <v>16831</v>
      </c>
      <c r="E7021" t="s">
        <v>20904</v>
      </c>
      <c r="F7021">
        <v>1954</v>
      </c>
      <c r="G7021" t="s">
        <v>20063</v>
      </c>
      <c r="H7021" t="s">
        <v>24019</v>
      </c>
      <c r="J7021" t="s">
        <v>24020</v>
      </c>
      <c r="K7021" s="2" t="str">
        <f>HYPERLINK("http://collections.slsa.sa.gov.au/mpcimg/13000/B12974.htm")</f>
        <v>http://collections.slsa.sa.gov.au/mpcimg/13000/B12974.htm</v>
      </c>
    </row>
    <row r="7022" spans="1:11" x14ac:dyDescent="0.25">
      <c r="A7022" t="s">
        <v>24021</v>
      </c>
      <c r="B7022" s="1" t="str">
        <f>HYPERLINK("https://www.catalog.slsa.sa.gov.au/record=b2056049")</f>
        <v>https://www.catalog.slsa.sa.gov.au/record=b2056049</v>
      </c>
      <c r="C7022" s="1" t="str">
        <f>HYPERLINK("https://www.catalog.slsa.sa.gov.au/xrecord=b2056049")</f>
        <v>https://www.catalog.slsa.sa.gov.au/xrecord=b2056049</v>
      </c>
      <c r="D7022" t="s">
        <v>16831</v>
      </c>
      <c r="E7022" t="s">
        <v>20904</v>
      </c>
      <c r="F7022">
        <v>1954</v>
      </c>
      <c r="G7022" t="s">
        <v>20063</v>
      </c>
      <c r="H7022" t="s">
        <v>24022</v>
      </c>
      <c r="J7022" t="s">
        <v>24020</v>
      </c>
      <c r="K7022" s="2" t="str">
        <f>HYPERLINK("http://collections.slsa.sa.gov.au/mpcimg/13000/B12997.htm")</f>
        <v>http://collections.slsa.sa.gov.au/mpcimg/13000/B12997.htm</v>
      </c>
    </row>
    <row r="7023" spans="1:11" x14ac:dyDescent="0.25">
      <c r="A7023" t="s">
        <v>24023</v>
      </c>
      <c r="B7023" s="1" t="str">
        <f>HYPERLINK("https://www.catalog.slsa.sa.gov.au/record=b2056596")</f>
        <v>https://www.catalog.slsa.sa.gov.au/record=b2056596</v>
      </c>
      <c r="C7023" s="1" t="str">
        <f>HYPERLINK("https://www.catalog.slsa.sa.gov.au/xrecord=b2056596")</f>
        <v>https://www.catalog.slsa.sa.gov.au/xrecord=b2056596</v>
      </c>
      <c r="D7023" t="s">
        <v>16831</v>
      </c>
      <c r="E7023" t="s">
        <v>24024</v>
      </c>
      <c r="F7023">
        <v>1954</v>
      </c>
      <c r="G7023" t="s">
        <v>24025</v>
      </c>
      <c r="H7023" t="s">
        <v>24026</v>
      </c>
      <c r="J7023" t="s">
        <v>16780</v>
      </c>
      <c r="K7023" s="2" t="str">
        <f>HYPERLINK("http://collections.slsa.sa.gov.au/mpcimg/13500/B13363.htm")</f>
        <v>http://collections.slsa.sa.gov.au/mpcimg/13500/B13363.htm</v>
      </c>
    </row>
    <row r="7024" spans="1:11" x14ac:dyDescent="0.25">
      <c r="A7024" t="s">
        <v>24027</v>
      </c>
      <c r="B7024" s="1" t="str">
        <f>HYPERLINK("https://www.catalog.slsa.sa.gov.au/record=b2056778")</f>
        <v>https://www.catalog.slsa.sa.gov.au/record=b2056778</v>
      </c>
      <c r="C7024" s="1" t="str">
        <f>HYPERLINK("https://www.catalog.slsa.sa.gov.au/xrecord=b2056778")</f>
        <v>https://www.catalog.slsa.sa.gov.au/xrecord=b2056778</v>
      </c>
      <c r="D7024" t="s">
        <v>16831</v>
      </c>
      <c r="E7024" t="s">
        <v>20925</v>
      </c>
      <c r="F7024">
        <v>1954</v>
      </c>
      <c r="G7024" t="s">
        <v>20063</v>
      </c>
      <c r="H7024" t="s">
        <v>24028</v>
      </c>
      <c r="J7024" t="s">
        <v>22773</v>
      </c>
      <c r="K7024" s="2" t="str">
        <f>HYPERLINK("http://collections.slsa.sa.gov.au/mpcimg/13000/B12930.htm")</f>
        <v>http://collections.slsa.sa.gov.au/mpcimg/13000/B12930.htm</v>
      </c>
    </row>
    <row r="7025" spans="1:11" x14ac:dyDescent="0.25">
      <c r="A7025" t="s">
        <v>24029</v>
      </c>
      <c r="B7025" s="1" t="str">
        <f>HYPERLINK("https://www.catalog.slsa.sa.gov.au/record=b2056940")</f>
        <v>https://www.catalog.slsa.sa.gov.au/record=b2056940</v>
      </c>
      <c r="C7025" s="1" t="str">
        <f>HYPERLINK("https://www.catalog.slsa.sa.gov.au/xrecord=b2056940")</f>
        <v>https://www.catalog.slsa.sa.gov.au/xrecord=b2056940</v>
      </c>
      <c r="D7025" t="s">
        <v>16831</v>
      </c>
      <c r="E7025" t="s">
        <v>24024</v>
      </c>
      <c r="F7025">
        <v>1954</v>
      </c>
      <c r="G7025" t="s">
        <v>24025</v>
      </c>
      <c r="H7025" t="s">
        <v>24030</v>
      </c>
      <c r="J7025" t="s">
        <v>24031</v>
      </c>
      <c r="K7025" s="2" t="str">
        <f>HYPERLINK("http://collections.slsa.sa.gov.au/mpcimg/13500/B13364.htm")</f>
        <v>http://collections.slsa.sa.gov.au/mpcimg/13500/B13364.htm</v>
      </c>
    </row>
    <row r="7026" spans="1:11" x14ac:dyDescent="0.25">
      <c r="A7026" t="s">
        <v>24032</v>
      </c>
      <c r="B7026" s="1" t="str">
        <f>HYPERLINK("https://www.catalog.slsa.sa.gov.au/record=b2057064")</f>
        <v>https://www.catalog.slsa.sa.gov.au/record=b2057064</v>
      </c>
      <c r="C7026" s="1" t="str">
        <f>HYPERLINK("https://www.catalog.slsa.sa.gov.au/xrecord=b2057064")</f>
        <v>https://www.catalog.slsa.sa.gov.au/xrecord=b2057064</v>
      </c>
      <c r="D7026" t="s">
        <v>16831</v>
      </c>
      <c r="E7026" t="s">
        <v>24033</v>
      </c>
      <c r="F7026">
        <v>1954</v>
      </c>
      <c r="G7026" t="s">
        <v>24025</v>
      </c>
      <c r="H7026" t="s">
        <v>24034</v>
      </c>
      <c r="J7026" t="s">
        <v>24035</v>
      </c>
      <c r="K7026" s="2" t="str">
        <f>HYPERLINK("http://collections.slsa.sa.gov.au/mpcimg/13500/B13362.htm")</f>
        <v>http://collections.slsa.sa.gov.au/mpcimg/13500/B13362.htm</v>
      </c>
    </row>
    <row r="7027" spans="1:11" x14ac:dyDescent="0.25">
      <c r="A7027" t="s">
        <v>24036</v>
      </c>
      <c r="B7027" s="1" t="str">
        <f>HYPERLINK("https://www.catalog.slsa.sa.gov.au/record=b2057124")</f>
        <v>https://www.catalog.slsa.sa.gov.au/record=b2057124</v>
      </c>
      <c r="C7027" s="1" t="str">
        <f>HYPERLINK("https://www.catalog.slsa.sa.gov.au/xrecord=b2057124")</f>
        <v>https://www.catalog.slsa.sa.gov.au/xrecord=b2057124</v>
      </c>
      <c r="D7027" t="s">
        <v>16831</v>
      </c>
      <c r="E7027" t="s">
        <v>16771</v>
      </c>
      <c r="F7027">
        <v>1954</v>
      </c>
      <c r="G7027" t="s">
        <v>20063</v>
      </c>
      <c r="H7027" t="s">
        <v>24037</v>
      </c>
      <c r="J7027" t="s">
        <v>24038</v>
      </c>
      <c r="K7027" s="2" t="str">
        <f>HYPERLINK("http://collections.slsa.sa.gov.au/mpcimg/13000/B12973.htm")</f>
        <v>http://collections.slsa.sa.gov.au/mpcimg/13000/B12973.htm</v>
      </c>
    </row>
    <row r="7028" spans="1:11" x14ac:dyDescent="0.25">
      <c r="A7028" t="s">
        <v>24039</v>
      </c>
      <c r="B7028" s="1" t="str">
        <f>HYPERLINK("https://www.catalog.slsa.sa.gov.au/record=b2057125")</f>
        <v>https://www.catalog.slsa.sa.gov.au/record=b2057125</v>
      </c>
      <c r="C7028" s="1" t="str">
        <f>HYPERLINK("https://www.catalog.slsa.sa.gov.au/xrecord=b2057125")</f>
        <v>https://www.catalog.slsa.sa.gov.au/xrecord=b2057125</v>
      </c>
      <c r="D7028" t="s">
        <v>16831</v>
      </c>
      <c r="E7028" t="s">
        <v>16771</v>
      </c>
      <c r="F7028">
        <v>1954</v>
      </c>
      <c r="G7028" t="s">
        <v>20063</v>
      </c>
      <c r="H7028" t="s">
        <v>24040</v>
      </c>
      <c r="J7028" t="s">
        <v>24038</v>
      </c>
      <c r="K7028" s="2" t="str">
        <f>HYPERLINK("http://collections.slsa.sa.gov.au/mpcimg/13250/B13013.htm")</f>
        <v>http://collections.slsa.sa.gov.au/mpcimg/13250/B13013.htm</v>
      </c>
    </row>
    <row r="7029" spans="1:11" x14ac:dyDescent="0.25">
      <c r="A7029" t="s">
        <v>24041</v>
      </c>
      <c r="B7029" s="1" t="str">
        <f>HYPERLINK("https://www.catalog.slsa.sa.gov.au/record=b2057247")</f>
        <v>https://www.catalog.slsa.sa.gov.au/record=b2057247</v>
      </c>
      <c r="C7029" s="1" t="str">
        <f>HYPERLINK("https://www.catalog.slsa.sa.gov.au/xrecord=b2057247")</f>
        <v>https://www.catalog.slsa.sa.gov.au/xrecord=b2057247</v>
      </c>
      <c r="D7029" t="s">
        <v>16831</v>
      </c>
      <c r="E7029" t="s">
        <v>24042</v>
      </c>
      <c r="F7029">
        <v>1954</v>
      </c>
      <c r="G7029" t="s">
        <v>20063</v>
      </c>
      <c r="H7029" t="s">
        <v>24043</v>
      </c>
      <c r="J7029" t="s">
        <v>24044</v>
      </c>
      <c r="K7029" s="2" t="str">
        <f>HYPERLINK("http://collections.slsa.sa.gov.au/mpcimg/13250/B13113.htm")</f>
        <v>http://collections.slsa.sa.gov.au/mpcimg/13250/B13113.htm</v>
      </c>
    </row>
    <row r="7030" spans="1:11" x14ac:dyDescent="0.25">
      <c r="A7030" t="s">
        <v>24045</v>
      </c>
      <c r="B7030" s="1" t="str">
        <f>HYPERLINK("https://www.catalog.slsa.sa.gov.au/record=b2057248")</f>
        <v>https://www.catalog.slsa.sa.gov.au/record=b2057248</v>
      </c>
      <c r="C7030" s="1" t="str">
        <f>HYPERLINK("https://www.catalog.slsa.sa.gov.au/xrecord=b2057248")</f>
        <v>https://www.catalog.slsa.sa.gov.au/xrecord=b2057248</v>
      </c>
      <c r="D7030" t="s">
        <v>16831</v>
      </c>
      <c r="E7030" t="s">
        <v>24042</v>
      </c>
      <c r="F7030">
        <v>1954</v>
      </c>
      <c r="G7030" t="s">
        <v>20063</v>
      </c>
      <c r="H7030" t="s">
        <v>24046</v>
      </c>
      <c r="J7030" t="s">
        <v>24044</v>
      </c>
      <c r="K7030" s="2" t="str">
        <f>HYPERLINK("http://collections.slsa.sa.gov.au/mpcimg/13250/B13118.htm")</f>
        <v>http://collections.slsa.sa.gov.au/mpcimg/13250/B13118.htm</v>
      </c>
    </row>
    <row r="7031" spans="1:11" x14ac:dyDescent="0.25">
      <c r="A7031" t="s">
        <v>24047</v>
      </c>
      <c r="B7031" s="1" t="str">
        <f>HYPERLINK("https://www.catalog.slsa.sa.gov.au/record=b2057295")</f>
        <v>https://www.catalog.slsa.sa.gov.au/record=b2057295</v>
      </c>
      <c r="C7031" s="1" t="str">
        <f>HYPERLINK("https://www.catalog.slsa.sa.gov.au/xrecord=b2057295")</f>
        <v>https://www.catalog.slsa.sa.gov.au/xrecord=b2057295</v>
      </c>
      <c r="D7031" t="s">
        <v>16831</v>
      </c>
      <c r="E7031" t="s">
        <v>24048</v>
      </c>
      <c r="F7031">
        <v>1954</v>
      </c>
      <c r="G7031" t="s">
        <v>20063</v>
      </c>
      <c r="H7031" t="s">
        <v>24049</v>
      </c>
      <c r="J7031" t="s">
        <v>24050</v>
      </c>
      <c r="K7031" s="2" t="str">
        <f>HYPERLINK("http://collections.slsa.sa.gov.au/mpcimg/13000/B12981.htm")</f>
        <v>http://collections.slsa.sa.gov.au/mpcimg/13000/B12981.htm</v>
      </c>
    </row>
    <row r="7032" spans="1:11" x14ac:dyDescent="0.25">
      <c r="A7032" t="s">
        <v>24051</v>
      </c>
      <c r="B7032" s="1" t="str">
        <f>HYPERLINK("https://www.catalog.slsa.sa.gov.au/record=b2057296")</f>
        <v>https://www.catalog.slsa.sa.gov.au/record=b2057296</v>
      </c>
      <c r="C7032" s="1" t="str">
        <f>HYPERLINK("https://www.catalog.slsa.sa.gov.au/xrecord=b2057296")</f>
        <v>https://www.catalog.slsa.sa.gov.au/xrecord=b2057296</v>
      </c>
      <c r="D7032" t="s">
        <v>16831</v>
      </c>
      <c r="E7032" t="s">
        <v>24052</v>
      </c>
      <c r="F7032">
        <v>1954</v>
      </c>
      <c r="G7032" t="s">
        <v>20063</v>
      </c>
      <c r="H7032" t="s">
        <v>24053</v>
      </c>
      <c r="J7032" t="s">
        <v>24050</v>
      </c>
      <c r="K7032" s="2" t="str">
        <f>HYPERLINK("http://collections.slsa.sa.gov.au/mpcimg/13000/B12982.htm")</f>
        <v>http://collections.slsa.sa.gov.au/mpcimg/13000/B12982.htm</v>
      </c>
    </row>
    <row r="7033" spans="1:11" x14ac:dyDescent="0.25">
      <c r="A7033" t="s">
        <v>24054</v>
      </c>
      <c r="B7033" s="1" t="str">
        <f>HYPERLINK("https://www.catalog.slsa.sa.gov.au/record=b2057428")</f>
        <v>https://www.catalog.slsa.sa.gov.au/record=b2057428</v>
      </c>
      <c r="C7033" s="1" t="str">
        <f>HYPERLINK("https://www.catalog.slsa.sa.gov.au/xrecord=b2057428")</f>
        <v>https://www.catalog.slsa.sa.gov.au/xrecord=b2057428</v>
      </c>
      <c r="E7033" t="s">
        <v>16771</v>
      </c>
      <c r="F7033">
        <v>1954</v>
      </c>
      <c r="G7033" t="s">
        <v>24055</v>
      </c>
      <c r="H7033" t="s">
        <v>24056</v>
      </c>
      <c r="J7033" t="s">
        <v>16784</v>
      </c>
      <c r="K7033" s="2" t="str">
        <f>HYPERLINK("http://collections.slsa.sa.gov.au/mpcimg/45750/B45734.htm")</f>
        <v>http://collections.slsa.sa.gov.au/mpcimg/45750/B45734.htm</v>
      </c>
    </row>
    <row r="7034" spans="1:11" x14ac:dyDescent="0.25">
      <c r="A7034" t="s">
        <v>24057</v>
      </c>
      <c r="B7034" s="1" t="str">
        <f>HYPERLINK("https://www.catalog.slsa.sa.gov.au/record=b2057439")</f>
        <v>https://www.catalog.slsa.sa.gov.au/record=b2057439</v>
      </c>
      <c r="C7034" s="1" t="str">
        <f>HYPERLINK("https://www.catalog.slsa.sa.gov.au/xrecord=b2057439")</f>
        <v>https://www.catalog.slsa.sa.gov.au/xrecord=b2057439</v>
      </c>
      <c r="D7034" t="s">
        <v>16831</v>
      </c>
      <c r="E7034" t="s">
        <v>24058</v>
      </c>
      <c r="F7034">
        <v>1954</v>
      </c>
      <c r="G7034" t="s">
        <v>20063</v>
      </c>
      <c r="H7034" t="s">
        <v>24059</v>
      </c>
      <c r="J7034" t="s">
        <v>24060</v>
      </c>
      <c r="K7034" s="2" t="str">
        <f>HYPERLINK("http://collections.slsa.sa.gov.au/mpcimg/13250/B13194.htm")</f>
        <v>http://collections.slsa.sa.gov.au/mpcimg/13250/B13194.htm</v>
      </c>
    </row>
    <row r="7035" spans="1:11" x14ac:dyDescent="0.25">
      <c r="A7035" t="s">
        <v>24061</v>
      </c>
      <c r="B7035" s="1" t="str">
        <f>HYPERLINK("https://www.catalog.slsa.sa.gov.au/record=b2057453")</f>
        <v>https://www.catalog.slsa.sa.gov.au/record=b2057453</v>
      </c>
      <c r="C7035" s="1" t="str">
        <f>HYPERLINK("https://www.catalog.slsa.sa.gov.au/xrecord=b2057453")</f>
        <v>https://www.catalog.slsa.sa.gov.au/xrecord=b2057453</v>
      </c>
      <c r="D7035" t="s">
        <v>16831</v>
      </c>
      <c r="E7035" t="s">
        <v>16786</v>
      </c>
      <c r="F7035">
        <v>1954</v>
      </c>
      <c r="G7035" t="s">
        <v>20063</v>
      </c>
      <c r="H7035" t="s">
        <v>24062</v>
      </c>
      <c r="J7035" t="s">
        <v>24063</v>
      </c>
      <c r="K7035" s="2" t="str">
        <f>HYPERLINK("http://collections.slsa.sa.gov.au/mpcimg/13000/B12949.htm")</f>
        <v>http://collections.slsa.sa.gov.au/mpcimg/13000/B12949.htm</v>
      </c>
    </row>
    <row r="7036" spans="1:11" x14ac:dyDescent="0.25">
      <c r="A7036" t="s">
        <v>24064</v>
      </c>
      <c r="B7036" s="1" t="str">
        <f>HYPERLINK("https://www.catalog.slsa.sa.gov.au/record=b2057454")</f>
        <v>https://www.catalog.slsa.sa.gov.au/record=b2057454</v>
      </c>
      <c r="C7036" s="1" t="str">
        <f>HYPERLINK("https://www.catalog.slsa.sa.gov.au/xrecord=b2057454")</f>
        <v>https://www.catalog.slsa.sa.gov.au/xrecord=b2057454</v>
      </c>
      <c r="D7036" t="s">
        <v>16831</v>
      </c>
      <c r="E7036" t="s">
        <v>16786</v>
      </c>
      <c r="F7036">
        <v>1954</v>
      </c>
      <c r="G7036" t="s">
        <v>20063</v>
      </c>
      <c r="H7036" t="s">
        <v>24065</v>
      </c>
      <c r="J7036" t="s">
        <v>24063</v>
      </c>
      <c r="K7036" s="2" t="str">
        <f>HYPERLINK("http://collections.slsa.sa.gov.au/mpcimg/13000/B12950.htm")</f>
        <v>http://collections.slsa.sa.gov.au/mpcimg/13000/B12950.htm</v>
      </c>
    </row>
    <row r="7037" spans="1:11" x14ac:dyDescent="0.25">
      <c r="A7037" t="s">
        <v>24066</v>
      </c>
      <c r="B7037" s="1" t="str">
        <f>HYPERLINK("https://www.catalog.slsa.sa.gov.au/record=b2057459")</f>
        <v>https://www.catalog.slsa.sa.gov.au/record=b2057459</v>
      </c>
      <c r="C7037" s="1" t="str">
        <f>HYPERLINK("https://www.catalog.slsa.sa.gov.au/xrecord=b2057459")</f>
        <v>https://www.catalog.slsa.sa.gov.au/xrecord=b2057459</v>
      </c>
      <c r="D7037" t="s">
        <v>16831</v>
      </c>
      <c r="E7037" t="s">
        <v>16786</v>
      </c>
      <c r="F7037">
        <v>1954</v>
      </c>
      <c r="G7037" t="s">
        <v>20063</v>
      </c>
      <c r="H7037" t="s">
        <v>24067</v>
      </c>
      <c r="J7037" t="s">
        <v>24068</v>
      </c>
      <c r="K7037" s="2" t="str">
        <f>HYPERLINK("http://collections.slsa.sa.gov.au/mpcimg/13000/B12948.htm")</f>
        <v>http://collections.slsa.sa.gov.au/mpcimg/13000/B12948.htm</v>
      </c>
    </row>
    <row r="7038" spans="1:11" x14ac:dyDescent="0.25">
      <c r="A7038" t="s">
        <v>24069</v>
      </c>
      <c r="B7038" s="1" t="str">
        <f>HYPERLINK("https://www.catalog.slsa.sa.gov.au/record=b2057460")</f>
        <v>https://www.catalog.slsa.sa.gov.au/record=b2057460</v>
      </c>
      <c r="C7038" s="1" t="str">
        <f>HYPERLINK("https://www.catalog.slsa.sa.gov.au/xrecord=b2057460")</f>
        <v>https://www.catalog.slsa.sa.gov.au/xrecord=b2057460</v>
      </c>
      <c r="D7038" t="s">
        <v>16831</v>
      </c>
      <c r="E7038" t="s">
        <v>24070</v>
      </c>
      <c r="F7038">
        <v>1954</v>
      </c>
      <c r="G7038" t="s">
        <v>20063</v>
      </c>
      <c r="H7038" t="s">
        <v>24071</v>
      </c>
      <c r="J7038" t="s">
        <v>24068</v>
      </c>
      <c r="K7038" s="2" t="str">
        <f>HYPERLINK("http://collections.slsa.sa.gov.au/mpcimg/13250/B13026.htm")</f>
        <v>http://collections.slsa.sa.gov.au/mpcimg/13250/B13026.htm</v>
      </c>
    </row>
    <row r="7039" spans="1:11" x14ac:dyDescent="0.25">
      <c r="A7039" t="s">
        <v>24072</v>
      </c>
      <c r="B7039" s="1" t="str">
        <f>HYPERLINK("https://www.catalog.slsa.sa.gov.au/record=b2057461")</f>
        <v>https://www.catalog.slsa.sa.gov.au/record=b2057461</v>
      </c>
      <c r="C7039" s="1" t="str">
        <f>HYPERLINK("https://www.catalog.slsa.sa.gov.au/xrecord=b2057461")</f>
        <v>https://www.catalog.slsa.sa.gov.au/xrecord=b2057461</v>
      </c>
      <c r="D7039" t="s">
        <v>16831</v>
      </c>
      <c r="E7039" t="s">
        <v>24070</v>
      </c>
      <c r="F7039">
        <v>1954</v>
      </c>
      <c r="G7039" t="s">
        <v>20063</v>
      </c>
      <c r="H7039" t="s">
        <v>24073</v>
      </c>
      <c r="J7039" t="s">
        <v>24068</v>
      </c>
      <c r="K7039" s="2" t="str">
        <f>HYPERLINK("http://collections.slsa.sa.gov.au/mpcimg/13250/B13035.htm")</f>
        <v>http://collections.slsa.sa.gov.au/mpcimg/13250/B13035.htm</v>
      </c>
    </row>
    <row r="7040" spans="1:11" x14ac:dyDescent="0.25">
      <c r="A7040" t="s">
        <v>24074</v>
      </c>
      <c r="B7040" s="1" t="str">
        <f>HYPERLINK("https://www.catalog.slsa.sa.gov.au/record=b2057462")</f>
        <v>https://www.catalog.slsa.sa.gov.au/record=b2057462</v>
      </c>
      <c r="C7040" s="1" t="str">
        <f>HYPERLINK("https://www.catalog.slsa.sa.gov.au/xrecord=b2057462")</f>
        <v>https://www.catalog.slsa.sa.gov.au/xrecord=b2057462</v>
      </c>
      <c r="D7040" t="s">
        <v>16831</v>
      </c>
      <c r="E7040" t="s">
        <v>16786</v>
      </c>
      <c r="F7040">
        <v>1954</v>
      </c>
      <c r="G7040" t="s">
        <v>24025</v>
      </c>
      <c r="H7040" t="s">
        <v>24075</v>
      </c>
      <c r="J7040" t="s">
        <v>24068</v>
      </c>
      <c r="K7040" s="2" t="str">
        <f>HYPERLINK("http://collections.slsa.sa.gov.au/mpcimg/13500/B13365.htm")</f>
        <v>http://collections.slsa.sa.gov.au/mpcimg/13500/B13365.htm</v>
      </c>
    </row>
    <row r="7041" spans="1:11" x14ac:dyDescent="0.25">
      <c r="A7041" t="s">
        <v>24076</v>
      </c>
      <c r="B7041" s="1" t="str">
        <f>HYPERLINK("https://www.catalog.slsa.sa.gov.au/record=b2057463")</f>
        <v>https://www.catalog.slsa.sa.gov.au/record=b2057463</v>
      </c>
      <c r="C7041" s="1" t="str">
        <f>HYPERLINK("https://www.catalog.slsa.sa.gov.au/xrecord=b2057463")</f>
        <v>https://www.catalog.slsa.sa.gov.au/xrecord=b2057463</v>
      </c>
      <c r="D7041" t="s">
        <v>16831</v>
      </c>
      <c r="E7041" t="s">
        <v>16786</v>
      </c>
      <c r="F7041">
        <v>1954</v>
      </c>
      <c r="G7041" t="s">
        <v>24025</v>
      </c>
      <c r="H7041" t="s">
        <v>24077</v>
      </c>
      <c r="J7041" t="s">
        <v>24068</v>
      </c>
      <c r="K7041" s="2" t="str">
        <f>HYPERLINK("http://collections.slsa.sa.gov.au/mpcimg/13500/B13366.htm")</f>
        <v>http://collections.slsa.sa.gov.au/mpcimg/13500/B13366.htm</v>
      </c>
    </row>
    <row r="7042" spans="1:11" x14ac:dyDescent="0.25">
      <c r="A7042" t="s">
        <v>24078</v>
      </c>
      <c r="B7042" s="1" t="str">
        <f>HYPERLINK("https://www.catalog.slsa.sa.gov.au/record=b2057474")</f>
        <v>https://www.catalog.slsa.sa.gov.au/record=b2057474</v>
      </c>
      <c r="C7042" s="1" t="str">
        <f>HYPERLINK("https://www.catalog.slsa.sa.gov.au/xrecord=b2057474")</f>
        <v>https://www.catalog.slsa.sa.gov.au/xrecord=b2057474</v>
      </c>
      <c r="D7042" t="s">
        <v>16831</v>
      </c>
      <c r="E7042" t="s">
        <v>16786</v>
      </c>
      <c r="F7042">
        <v>1954</v>
      </c>
      <c r="G7042" t="s">
        <v>20063</v>
      </c>
      <c r="H7042" t="s">
        <v>24079</v>
      </c>
      <c r="J7042" t="s">
        <v>20950</v>
      </c>
      <c r="K7042" s="2" t="str">
        <f>HYPERLINK("http://collections.slsa.sa.gov.au/mpcimg/13000/B12912.htm")</f>
        <v>http://collections.slsa.sa.gov.au/mpcimg/13000/B12912.htm</v>
      </c>
    </row>
    <row r="7043" spans="1:11" x14ac:dyDescent="0.25">
      <c r="A7043" t="s">
        <v>24080</v>
      </c>
      <c r="B7043" s="1" t="str">
        <f>HYPERLINK("https://www.catalog.slsa.sa.gov.au/record=b2057488")</f>
        <v>https://www.catalog.slsa.sa.gov.au/record=b2057488</v>
      </c>
      <c r="C7043" s="1" t="str">
        <f>HYPERLINK("https://www.catalog.slsa.sa.gov.au/xrecord=b2057488")</f>
        <v>https://www.catalog.slsa.sa.gov.au/xrecord=b2057488</v>
      </c>
      <c r="D7043" t="s">
        <v>16831</v>
      </c>
      <c r="E7043" t="s">
        <v>24081</v>
      </c>
      <c r="F7043">
        <v>1954</v>
      </c>
      <c r="G7043" t="s">
        <v>20063</v>
      </c>
      <c r="H7043" t="s">
        <v>24082</v>
      </c>
      <c r="J7043" t="s">
        <v>20953</v>
      </c>
      <c r="K7043" s="2" t="str">
        <f>HYPERLINK("http://collections.slsa.sa.gov.au/mpcimg/13000/B12918.htm")</f>
        <v>http://collections.slsa.sa.gov.au/mpcimg/13000/B12918.htm</v>
      </c>
    </row>
    <row r="7044" spans="1:11" x14ac:dyDescent="0.25">
      <c r="A7044" t="s">
        <v>24083</v>
      </c>
      <c r="B7044" s="1" t="str">
        <f>HYPERLINK("https://www.catalog.slsa.sa.gov.au/record=b2057489")</f>
        <v>https://www.catalog.slsa.sa.gov.au/record=b2057489</v>
      </c>
      <c r="C7044" s="1" t="str">
        <f>HYPERLINK("https://www.catalog.slsa.sa.gov.au/xrecord=b2057489")</f>
        <v>https://www.catalog.slsa.sa.gov.au/xrecord=b2057489</v>
      </c>
      <c r="D7044" t="s">
        <v>16831</v>
      </c>
      <c r="E7044" t="s">
        <v>24081</v>
      </c>
      <c r="F7044">
        <v>1954</v>
      </c>
      <c r="G7044" t="s">
        <v>20063</v>
      </c>
      <c r="H7044" t="s">
        <v>24084</v>
      </c>
      <c r="J7044" t="s">
        <v>20953</v>
      </c>
      <c r="K7044" s="2" t="str">
        <f>HYPERLINK("http://collections.slsa.sa.gov.au/mpcimg/13250/B13058.htm")</f>
        <v>http://collections.slsa.sa.gov.au/mpcimg/13250/B13058.htm</v>
      </c>
    </row>
    <row r="7045" spans="1:11" x14ac:dyDescent="0.25">
      <c r="A7045" t="s">
        <v>24085</v>
      </c>
      <c r="B7045" s="1" t="str">
        <f>HYPERLINK("https://www.catalog.slsa.sa.gov.au/record=b2057505")</f>
        <v>https://www.catalog.slsa.sa.gov.au/record=b2057505</v>
      </c>
      <c r="C7045" s="1" t="str">
        <f>HYPERLINK("https://www.catalog.slsa.sa.gov.au/xrecord=b2057505")</f>
        <v>https://www.catalog.slsa.sa.gov.au/xrecord=b2057505</v>
      </c>
      <c r="D7045" t="s">
        <v>16831</v>
      </c>
      <c r="E7045" t="s">
        <v>24086</v>
      </c>
      <c r="F7045">
        <v>1954</v>
      </c>
      <c r="G7045" t="s">
        <v>20063</v>
      </c>
      <c r="H7045" t="s">
        <v>24087</v>
      </c>
      <c r="J7045" t="s">
        <v>24088</v>
      </c>
      <c r="K7045" s="2" t="str">
        <f>HYPERLINK("http://collections.slsa.sa.gov.au/mpcimg/13250/B13160.htm")</f>
        <v>http://collections.slsa.sa.gov.au/mpcimg/13250/B13160.htm</v>
      </c>
    </row>
    <row r="7046" spans="1:11" x14ac:dyDescent="0.25">
      <c r="A7046" t="s">
        <v>24089</v>
      </c>
      <c r="B7046" s="1" t="str">
        <f>HYPERLINK("https://www.catalog.slsa.sa.gov.au/record=b2057523")</f>
        <v>https://www.catalog.slsa.sa.gov.au/record=b2057523</v>
      </c>
      <c r="C7046" s="1" t="str">
        <f>HYPERLINK("https://www.catalog.slsa.sa.gov.au/xrecord=b2057523")</f>
        <v>https://www.catalog.slsa.sa.gov.au/xrecord=b2057523</v>
      </c>
      <c r="D7046" t="s">
        <v>16831</v>
      </c>
      <c r="E7046" t="s">
        <v>16786</v>
      </c>
      <c r="F7046">
        <v>1954</v>
      </c>
      <c r="G7046" t="s">
        <v>20063</v>
      </c>
      <c r="H7046" t="s">
        <v>24090</v>
      </c>
      <c r="J7046" t="s">
        <v>16789</v>
      </c>
      <c r="K7046" s="2" t="str">
        <f>HYPERLINK("http://collections.slsa.sa.gov.au/mpcimg/13000/B12946.htm")</f>
        <v>http://collections.slsa.sa.gov.au/mpcimg/13000/B12946.htm</v>
      </c>
    </row>
    <row r="7047" spans="1:11" x14ac:dyDescent="0.25">
      <c r="A7047" t="s">
        <v>24091</v>
      </c>
      <c r="B7047" s="1" t="str">
        <f>HYPERLINK("https://www.catalog.slsa.sa.gov.au/record=b2057524")</f>
        <v>https://www.catalog.slsa.sa.gov.au/record=b2057524</v>
      </c>
      <c r="C7047" s="1" t="str">
        <f>HYPERLINK("https://www.catalog.slsa.sa.gov.au/xrecord=b2057524")</f>
        <v>https://www.catalog.slsa.sa.gov.au/xrecord=b2057524</v>
      </c>
      <c r="D7047" t="s">
        <v>16831</v>
      </c>
      <c r="E7047" t="s">
        <v>16786</v>
      </c>
      <c r="F7047">
        <v>1954</v>
      </c>
      <c r="G7047" t="s">
        <v>20063</v>
      </c>
      <c r="H7047" t="s">
        <v>24092</v>
      </c>
      <c r="J7047" t="s">
        <v>16789</v>
      </c>
      <c r="K7047" s="2" t="str">
        <f>HYPERLINK("http://collections.slsa.sa.gov.au/mpcimg/13000/B12947.htm")</f>
        <v>http://collections.slsa.sa.gov.au/mpcimg/13000/B12947.htm</v>
      </c>
    </row>
    <row r="7048" spans="1:11" x14ac:dyDescent="0.25">
      <c r="A7048" t="s">
        <v>24093</v>
      </c>
      <c r="B7048" s="1" t="str">
        <f>HYPERLINK("https://www.catalog.slsa.sa.gov.au/record=b2057667")</f>
        <v>https://www.catalog.slsa.sa.gov.au/record=b2057667</v>
      </c>
      <c r="C7048" s="1" t="str">
        <f>HYPERLINK("https://www.catalog.slsa.sa.gov.au/xrecord=b2057667")</f>
        <v>https://www.catalog.slsa.sa.gov.au/xrecord=b2057667</v>
      </c>
      <c r="D7048" t="s">
        <v>16831</v>
      </c>
      <c r="E7048" t="s">
        <v>20912</v>
      </c>
      <c r="F7048">
        <v>1954</v>
      </c>
      <c r="G7048" t="s">
        <v>20063</v>
      </c>
      <c r="H7048" t="s">
        <v>24094</v>
      </c>
      <c r="I7048" t="s">
        <v>24095</v>
      </c>
      <c r="J7048" t="s">
        <v>24096</v>
      </c>
      <c r="K7048" s="2" t="str">
        <f>HYPERLINK("http://collections.slsa.sa.gov.au/mpcimg/13250/B13143.htm")</f>
        <v>http://collections.slsa.sa.gov.au/mpcimg/13250/B13143.htm</v>
      </c>
    </row>
    <row r="7049" spans="1:11" x14ac:dyDescent="0.25">
      <c r="A7049" t="s">
        <v>24097</v>
      </c>
      <c r="B7049" s="1" t="str">
        <f>HYPERLINK("https://www.catalog.slsa.sa.gov.au/record=b2057699")</f>
        <v>https://www.catalog.slsa.sa.gov.au/record=b2057699</v>
      </c>
      <c r="C7049" s="1" t="str">
        <f>HYPERLINK("https://www.catalog.slsa.sa.gov.au/xrecord=b2057699")</f>
        <v>https://www.catalog.slsa.sa.gov.au/xrecord=b2057699</v>
      </c>
      <c r="D7049" t="s">
        <v>16831</v>
      </c>
      <c r="E7049" t="s">
        <v>16791</v>
      </c>
      <c r="F7049">
        <v>1954</v>
      </c>
      <c r="G7049" t="s">
        <v>20063</v>
      </c>
      <c r="H7049" t="s">
        <v>24098</v>
      </c>
      <c r="J7049" t="s">
        <v>22800</v>
      </c>
      <c r="K7049" s="2" t="str">
        <f>HYPERLINK("http://collections.slsa.sa.gov.au/mpcimg/13250/B13014.htm")</f>
        <v>http://collections.slsa.sa.gov.au/mpcimg/13250/B13014.htm</v>
      </c>
    </row>
    <row r="7050" spans="1:11" x14ac:dyDescent="0.25">
      <c r="A7050" t="s">
        <v>24099</v>
      </c>
      <c r="B7050" s="1" t="str">
        <f>HYPERLINK("https://www.catalog.slsa.sa.gov.au/record=b2057883")</f>
        <v>https://www.catalog.slsa.sa.gov.au/record=b2057883</v>
      </c>
      <c r="C7050" s="1" t="str">
        <f>HYPERLINK("https://www.catalog.slsa.sa.gov.au/xrecord=b2057883")</f>
        <v>https://www.catalog.slsa.sa.gov.au/xrecord=b2057883</v>
      </c>
      <c r="D7050" t="s">
        <v>16831</v>
      </c>
      <c r="E7050" t="s">
        <v>15183</v>
      </c>
      <c r="F7050">
        <v>1954</v>
      </c>
      <c r="G7050" t="s">
        <v>20063</v>
      </c>
      <c r="H7050" t="s">
        <v>24100</v>
      </c>
      <c r="J7050" t="s">
        <v>15186</v>
      </c>
      <c r="K7050" s="2" t="str">
        <f>HYPERLINK("http://collections.slsa.sa.gov.au/mpcimg/13000/B12988.htm")</f>
        <v>http://collections.slsa.sa.gov.au/mpcimg/13000/B12988.htm</v>
      </c>
    </row>
    <row r="7051" spans="1:11" x14ac:dyDescent="0.25">
      <c r="A7051" t="s">
        <v>24101</v>
      </c>
      <c r="B7051" s="1" t="str">
        <f>HYPERLINK("https://www.catalog.slsa.sa.gov.au/record=b2057924")</f>
        <v>https://www.catalog.slsa.sa.gov.au/record=b2057924</v>
      </c>
      <c r="C7051" s="1" t="str">
        <f>HYPERLINK("https://www.catalog.slsa.sa.gov.au/xrecord=b2057924")</f>
        <v>https://www.catalog.slsa.sa.gov.au/xrecord=b2057924</v>
      </c>
      <c r="D7051" t="s">
        <v>16831</v>
      </c>
      <c r="E7051" t="s">
        <v>24102</v>
      </c>
      <c r="F7051">
        <v>1954</v>
      </c>
      <c r="G7051" t="s">
        <v>20063</v>
      </c>
      <c r="H7051" t="s">
        <v>24103</v>
      </c>
      <c r="J7051" t="s">
        <v>24104</v>
      </c>
      <c r="K7051" s="2" t="str">
        <f>HYPERLINK("http://collections.slsa.sa.gov.au/mpcimg/13250/B13094.htm")</f>
        <v>http://collections.slsa.sa.gov.au/mpcimg/13250/B13094.htm</v>
      </c>
    </row>
    <row r="7052" spans="1:11" x14ac:dyDescent="0.25">
      <c r="A7052" t="s">
        <v>24105</v>
      </c>
      <c r="B7052" s="1" t="str">
        <f>HYPERLINK("https://www.catalog.slsa.sa.gov.au/record=b2057935")</f>
        <v>https://www.catalog.slsa.sa.gov.au/record=b2057935</v>
      </c>
      <c r="C7052" s="1" t="str">
        <f>HYPERLINK("https://www.catalog.slsa.sa.gov.au/xrecord=b2057935")</f>
        <v>https://www.catalog.slsa.sa.gov.au/xrecord=b2057935</v>
      </c>
      <c r="D7052" t="s">
        <v>16831</v>
      </c>
      <c r="E7052" t="s">
        <v>24106</v>
      </c>
      <c r="F7052">
        <v>1954</v>
      </c>
      <c r="G7052" t="s">
        <v>20063</v>
      </c>
      <c r="H7052" t="s">
        <v>24107</v>
      </c>
      <c r="J7052" t="s">
        <v>24108</v>
      </c>
      <c r="K7052" s="2" t="str">
        <f>HYPERLINK("http://collections.slsa.sa.gov.au/mpcimg/13250/B13040.htm")</f>
        <v>http://collections.slsa.sa.gov.au/mpcimg/13250/B13040.htm</v>
      </c>
    </row>
    <row r="7053" spans="1:11" x14ac:dyDescent="0.25">
      <c r="A7053" t="s">
        <v>24109</v>
      </c>
      <c r="B7053" s="1" t="str">
        <f>HYPERLINK("https://www.catalog.slsa.sa.gov.au/record=b2057965")</f>
        <v>https://www.catalog.slsa.sa.gov.au/record=b2057965</v>
      </c>
      <c r="C7053" s="1" t="str">
        <f>HYPERLINK("https://www.catalog.slsa.sa.gov.au/xrecord=b2057965")</f>
        <v>https://www.catalog.slsa.sa.gov.au/xrecord=b2057965</v>
      </c>
      <c r="D7053" t="s">
        <v>16831</v>
      </c>
      <c r="E7053" t="s">
        <v>20933</v>
      </c>
      <c r="F7053">
        <v>1954</v>
      </c>
      <c r="G7053" t="s">
        <v>20063</v>
      </c>
      <c r="H7053" t="s">
        <v>24110</v>
      </c>
      <c r="J7053" t="s">
        <v>18650</v>
      </c>
      <c r="K7053" s="2" t="str">
        <f>HYPERLINK("http://collections.slsa.sa.gov.au/mpcimg/13250/B13036.htm")</f>
        <v>http://collections.slsa.sa.gov.au/mpcimg/13250/B13036.htm</v>
      </c>
    </row>
    <row r="7054" spans="1:11" x14ac:dyDescent="0.25">
      <c r="A7054" t="s">
        <v>24111</v>
      </c>
      <c r="B7054" s="1" t="str">
        <f>HYPERLINK("https://www.catalog.slsa.sa.gov.au/record=b2058027")</f>
        <v>https://www.catalog.slsa.sa.gov.au/record=b2058027</v>
      </c>
      <c r="C7054" s="1" t="str">
        <f>HYPERLINK("https://www.catalog.slsa.sa.gov.au/xrecord=b2058027")</f>
        <v>https://www.catalog.slsa.sa.gov.au/xrecord=b2058027</v>
      </c>
      <c r="D7054" t="s">
        <v>16831</v>
      </c>
      <c r="E7054" t="s">
        <v>24112</v>
      </c>
      <c r="F7054">
        <v>1954</v>
      </c>
      <c r="G7054" t="s">
        <v>20063</v>
      </c>
      <c r="H7054" t="s">
        <v>24113</v>
      </c>
      <c r="J7054" t="s">
        <v>16799</v>
      </c>
      <c r="K7054" s="2" t="str">
        <f>HYPERLINK("http://collections.slsa.sa.gov.au/mpcimg/13250/B13091.htm")</f>
        <v>http://collections.slsa.sa.gov.au/mpcimg/13250/B13091.htm</v>
      </c>
    </row>
    <row r="7055" spans="1:11" x14ac:dyDescent="0.25">
      <c r="A7055" t="s">
        <v>24114</v>
      </c>
      <c r="B7055" s="1" t="str">
        <f>HYPERLINK("https://www.catalog.slsa.sa.gov.au/record=b2058028")</f>
        <v>https://www.catalog.slsa.sa.gov.au/record=b2058028</v>
      </c>
      <c r="C7055" s="1" t="str">
        <f>HYPERLINK("https://www.catalog.slsa.sa.gov.au/xrecord=b2058028")</f>
        <v>https://www.catalog.slsa.sa.gov.au/xrecord=b2058028</v>
      </c>
      <c r="D7055" t="s">
        <v>16831</v>
      </c>
      <c r="E7055" t="s">
        <v>24115</v>
      </c>
      <c r="F7055">
        <v>1954</v>
      </c>
      <c r="G7055" t="s">
        <v>20063</v>
      </c>
      <c r="H7055" t="s">
        <v>24116</v>
      </c>
      <c r="J7055" t="s">
        <v>16799</v>
      </c>
      <c r="K7055" s="2" t="str">
        <f>HYPERLINK("http://collections.slsa.sa.gov.au/mpcimg/13250/B13092.htm")</f>
        <v>http://collections.slsa.sa.gov.au/mpcimg/13250/B13092.htm</v>
      </c>
    </row>
    <row r="7056" spans="1:11" x14ac:dyDescent="0.25">
      <c r="A7056" t="s">
        <v>24117</v>
      </c>
      <c r="B7056" s="1" t="str">
        <f>HYPERLINK("https://www.catalog.slsa.sa.gov.au/record=b2058142")</f>
        <v>https://www.catalog.slsa.sa.gov.au/record=b2058142</v>
      </c>
      <c r="C7056" s="1" t="str">
        <f>HYPERLINK("https://www.catalog.slsa.sa.gov.au/xrecord=b2058142")</f>
        <v>https://www.catalog.slsa.sa.gov.au/xrecord=b2058142</v>
      </c>
      <c r="D7056" t="s">
        <v>16831</v>
      </c>
      <c r="E7056" t="s">
        <v>16771</v>
      </c>
      <c r="F7056">
        <v>1954</v>
      </c>
      <c r="G7056" t="s">
        <v>20063</v>
      </c>
      <c r="H7056" t="s">
        <v>24118</v>
      </c>
      <c r="J7056" t="s">
        <v>16808</v>
      </c>
      <c r="K7056" s="2" t="str">
        <f>HYPERLINK("http://collections.slsa.sa.gov.au/mpcimg/13000/B12920.htm")</f>
        <v>http://collections.slsa.sa.gov.au/mpcimg/13000/B12920.htm</v>
      </c>
    </row>
    <row r="7057" spans="1:11" x14ac:dyDescent="0.25">
      <c r="A7057" t="s">
        <v>24119</v>
      </c>
      <c r="B7057" s="1" t="str">
        <f>HYPERLINK("https://www.catalog.slsa.sa.gov.au/record=b2058220")</f>
        <v>https://www.catalog.slsa.sa.gov.au/record=b2058220</v>
      </c>
      <c r="C7057" s="1" t="str">
        <f>HYPERLINK("https://www.catalog.slsa.sa.gov.au/xrecord=b2058220")</f>
        <v>https://www.catalog.slsa.sa.gov.au/xrecord=b2058220</v>
      </c>
      <c r="D7057" t="s">
        <v>16831</v>
      </c>
      <c r="E7057" t="s">
        <v>20970</v>
      </c>
      <c r="F7057">
        <v>1954</v>
      </c>
      <c r="G7057" t="s">
        <v>20063</v>
      </c>
      <c r="H7057" t="s">
        <v>24120</v>
      </c>
      <c r="J7057" t="s">
        <v>22815</v>
      </c>
      <c r="K7057" s="2" t="str">
        <f>HYPERLINK("http://collections.slsa.sa.gov.au/mpcimg/13000/B12980.htm")</f>
        <v>http://collections.slsa.sa.gov.au/mpcimg/13000/B12980.htm</v>
      </c>
    </row>
    <row r="7058" spans="1:11" x14ac:dyDescent="0.25">
      <c r="A7058" t="s">
        <v>24121</v>
      </c>
      <c r="B7058" s="1" t="str">
        <f>HYPERLINK("https://www.catalog.slsa.sa.gov.au/record=b2058233")</f>
        <v>https://www.catalog.slsa.sa.gov.au/record=b2058233</v>
      </c>
      <c r="C7058" s="1" t="str">
        <f>HYPERLINK("https://www.catalog.slsa.sa.gov.au/xrecord=b2058233")</f>
        <v>https://www.catalog.slsa.sa.gov.au/xrecord=b2058233</v>
      </c>
      <c r="D7058" t="s">
        <v>16831</v>
      </c>
      <c r="E7058" t="s">
        <v>20970</v>
      </c>
      <c r="F7058">
        <v>1954</v>
      </c>
      <c r="G7058" t="s">
        <v>20063</v>
      </c>
      <c r="H7058" t="s">
        <v>24122</v>
      </c>
      <c r="J7058" t="s">
        <v>24123</v>
      </c>
      <c r="K7058" s="2" t="str">
        <f>HYPERLINK("http://collections.slsa.sa.gov.au/mpcimg/13000/B12979.htm")</f>
        <v>http://collections.slsa.sa.gov.au/mpcimg/13000/B12979.htm</v>
      </c>
    </row>
    <row r="7059" spans="1:11" x14ac:dyDescent="0.25">
      <c r="A7059" t="s">
        <v>24124</v>
      </c>
      <c r="B7059" s="1" t="str">
        <f>HYPERLINK("https://www.catalog.slsa.sa.gov.au/record=b2058253")</f>
        <v>https://www.catalog.slsa.sa.gov.au/record=b2058253</v>
      </c>
      <c r="C7059" s="1" t="str">
        <f>HYPERLINK("https://www.catalog.slsa.sa.gov.au/xrecord=b2058253")</f>
        <v>https://www.catalog.slsa.sa.gov.au/xrecord=b2058253</v>
      </c>
      <c r="D7059" t="s">
        <v>16831</v>
      </c>
      <c r="E7059" t="s">
        <v>24070</v>
      </c>
      <c r="F7059">
        <v>1954</v>
      </c>
      <c r="G7059" t="s">
        <v>20063</v>
      </c>
      <c r="H7059" t="s">
        <v>24125</v>
      </c>
      <c r="J7059" t="s">
        <v>24126</v>
      </c>
      <c r="K7059" s="2" t="str">
        <f>HYPERLINK("http://collections.slsa.sa.gov.au/mpcimg/13250/B13023.htm")</f>
        <v>http://collections.slsa.sa.gov.au/mpcimg/13250/B13023.htm</v>
      </c>
    </row>
    <row r="7060" spans="1:11" x14ac:dyDescent="0.25">
      <c r="A7060" t="s">
        <v>24127</v>
      </c>
      <c r="B7060" s="1" t="str">
        <f>HYPERLINK("https://www.catalog.slsa.sa.gov.au/record=b2058255")</f>
        <v>https://www.catalog.slsa.sa.gov.au/record=b2058255</v>
      </c>
      <c r="C7060" s="1" t="str">
        <f>HYPERLINK("https://www.catalog.slsa.sa.gov.au/xrecord=b2058255")</f>
        <v>https://www.catalog.slsa.sa.gov.au/xrecord=b2058255</v>
      </c>
      <c r="D7060" t="s">
        <v>16831</v>
      </c>
      <c r="E7060" t="s">
        <v>24070</v>
      </c>
      <c r="F7060">
        <v>1954</v>
      </c>
      <c r="G7060" t="s">
        <v>20063</v>
      </c>
      <c r="H7060" t="s">
        <v>24128</v>
      </c>
      <c r="J7060" t="s">
        <v>24126</v>
      </c>
      <c r="K7060" s="2" t="str">
        <f>HYPERLINK("http://collections.slsa.sa.gov.au/mpcimg/13250/B13024.htm")</f>
        <v>http://collections.slsa.sa.gov.au/mpcimg/13250/B13024.htm</v>
      </c>
    </row>
    <row r="7061" spans="1:11" x14ac:dyDescent="0.25">
      <c r="A7061" t="s">
        <v>24129</v>
      </c>
      <c r="B7061" s="1" t="str">
        <f>HYPERLINK("https://www.catalog.slsa.sa.gov.au/record=b2058278")</f>
        <v>https://www.catalog.slsa.sa.gov.au/record=b2058278</v>
      </c>
      <c r="C7061" s="1" t="str">
        <f>HYPERLINK("https://www.catalog.slsa.sa.gov.au/xrecord=b2058278")</f>
        <v>https://www.catalog.slsa.sa.gov.au/xrecord=b2058278</v>
      </c>
      <c r="D7061" t="s">
        <v>16831</v>
      </c>
      <c r="E7061" t="s">
        <v>24130</v>
      </c>
      <c r="F7061">
        <v>1954</v>
      </c>
      <c r="G7061" t="s">
        <v>20063</v>
      </c>
      <c r="H7061" t="s">
        <v>24131</v>
      </c>
      <c r="J7061" t="s">
        <v>24132</v>
      </c>
      <c r="K7061" s="2" t="str">
        <f>HYPERLINK("http://collections.slsa.sa.gov.au/mpcimg/13000/B12916.htm")</f>
        <v>http://collections.slsa.sa.gov.au/mpcimg/13000/B12916.htm</v>
      </c>
    </row>
    <row r="7062" spans="1:11" x14ac:dyDescent="0.25">
      <c r="A7062" t="s">
        <v>24133</v>
      </c>
      <c r="B7062" s="1" t="str">
        <f>HYPERLINK("https://www.catalog.slsa.sa.gov.au/record=b2058297")</f>
        <v>https://www.catalog.slsa.sa.gov.au/record=b2058297</v>
      </c>
      <c r="C7062" s="1" t="str">
        <f>HYPERLINK("https://www.catalog.slsa.sa.gov.au/xrecord=b2058297")</f>
        <v>https://www.catalog.slsa.sa.gov.au/xrecord=b2058297</v>
      </c>
      <c r="D7062" t="s">
        <v>16831</v>
      </c>
      <c r="E7062" t="s">
        <v>20970</v>
      </c>
      <c r="F7062">
        <v>1954</v>
      </c>
      <c r="G7062" t="s">
        <v>20063</v>
      </c>
      <c r="H7062" t="s">
        <v>24134</v>
      </c>
      <c r="J7062" t="s">
        <v>20972</v>
      </c>
      <c r="K7062" s="2" t="str">
        <f>HYPERLINK("http://collections.slsa.sa.gov.au/mpcimg/13000/B12977.htm")</f>
        <v>http://collections.slsa.sa.gov.au/mpcimg/13000/B12977.htm</v>
      </c>
    </row>
    <row r="7063" spans="1:11" x14ac:dyDescent="0.25">
      <c r="A7063" t="s">
        <v>24135</v>
      </c>
      <c r="B7063" s="1" t="str">
        <f>HYPERLINK("https://www.catalog.slsa.sa.gov.au/record=b2058298")</f>
        <v>https://www.catalog.slsa.sa.gov.au/record=b2058298</v>
      </c>
      <c r="C7063" s="1" t="str">
        <f>HYPERLINK("https://www.catalog.slsa.sa.gov.au/xrecord=b2058298")</f>
        <v>https://www.catalog.slsa.sa.gov.au/xrecord=b2058298</v>
      </c>
      <c r="D7063" t="s">
        <v>16831</v>
      </c>
      <c r="E7063" t="s">
        <v>20970</v>
      </c>
      <c r="F7063">
        <v>1954</v>
      </c>
      <c r="G7063" t="s">
        <v>20063</v>
      </c>
      <c r="H7063" t="s">
        <v>24136</v>
      </c>
      <c r="J7063" t="s">
        <v>20972</v>
      </c>
      <c r="K7063" s="2" t="str">
        <f>HYPERLINK("http://collections.slsa.sa.gov.au/mpcimg/13250/B13049.htm")</f>
        <v>http://collections.slsa.sa.gov.au/mpcimg/13250/B13049.htm</v>
      </c>
    </row>
    <row r="7064" spans="1:11" x14ac:dyDescent="0.25">
      <c r="A7064" t="s">
        <v>24137</v>
      </c>
      <c r="B7064" s="1" t="str">
        <f>HYPERLINK("https://www.catalog.slsa.sa.gov.au/record=b2058310")</f>
        <v>https://www.catalog.slsa.sa.gov.au/record=b2058310</v>
      </c>
      <c r="C7064" s="1" t="str">
        <f>HYPERLINK("https://www.catalog.slsa.sa.gov.au/xrecord=b2058310")</f>
        <v>https://www.catalog.slsa.sa.gov.au/xrecord=b2058310</v>
      </c>
      <c r="D7064" t="s">
        <v>16831</v>
      </c>
      <c r="E7064" t="s">
        <v>24138</v>
      </c>
      <c r="F7064">
        <v>1954</v>
      </c>
      <c r="G7064" t="s">
        <v>20063</v>
      </c>
      <c r="H7064" t="s">
        <v>24139</v>
      </c>
      <c r="J7064" t="s">
        <v>20976</v>
      </c>
      <c r="K7064" s="2" t="str">
        <f>HYPERLINK("http://collections.slsa.sa.gov.au/mpcimg/13000/B12919.htm")</f>
        <v>http://collections.slsa.sa.gov.au/mpcimg/13000/B12919.htm</v>
      </c>
    </row>
    <row r="7065" spans="1:11" x14ac:dyDescent="0.25">
      <c r="A7065" t="s">
        <v>24140</v>
      </c>
      <c r="B7065" s="1" t="str">
        <f>HYPERLINK("https://www.catalog.slsa.sa.gov.au/record=b2058319")</f>
        <v>https://www.catalog.slsa.sa.gov.au/record=b2058319</v>
      </c>
      <c r="C7065" s="1" t="str">
        <f>HYPERLINK("https://www.catalog.slsa.sa.gov.au/xrecord=b2058319")</f>
        <v>https://www.catalog.slsa.sa.gov.au/xrecord=b2058319</v>
      </c>
      <c r="D7065" t="s">
        <v>16831</v>
      </c>
      <c r="E7065" t="s">
        <v>24141</v>
      </c>
      <c r="F7065">
        <v>1954</v>
      </c>
      <c r="G7065" t="s">
        <v>20063</v>
      </c>
      <c r="H7065" t="s">
        <v>24142</v>
      </c>
      <c r="J7065" t="s">
        <v>24143</v>
      </c>
      <c r="K7065" s="2" t="str">
        <f>HYPERLINK("http://collections.slsa.sa.gov.au/mpcimg/13000/B12943.htm")</f>
        <v>http://collections.slsa.sa.gov.au/mpcimg/13000/B12943.htm</v>
      </c>
    </row>
    <row r="7066" spans="1:11" x14ac:dyDescent="0.25">
      <c r="A7066" t="s">
        <v>24144</v>
      </c>
      <c r="B7066" s="1" t="str">
        <f>HYPERLINK("https://www.catalog.slsa.sa.gov.au/record=b2058365")</f>
        <v>https://www.catalog.slsa.sa.gov.au/record=b2058365</v>
      </c>
      <c r="C7066" s="1" t="str">
        <f>HYPERLINK("https://www.catalog.slsa.sa.gov.au/xrecord=b2058365")</f>
        <v>https://www.catalog.slsa.sa.gov.au/xrecord=b2058365</v>
      </c>
      <c r="D7066" t="s">
        <v>16831</v>
      </c>
      <c r="E7066" t="s">
        <v>20970</v>
      </c>
      <c r="F7066">
        <v>1954</v>
      </c>
      <c r="G7066" t="s">
        <v>20063</v>
      </c>
      <c r="H7066" t="s">
        <v>24145</v>
      </c>
      <c r="J7066" t="s">
        <v>20984</v>
      </c>
      <c r="K7066" s="2" t="str">
        <f>HYPERLINK("http://collections.slsa.sa.gov.au/mpcimg/13000/B12978.htm")</f>
        <v>http://collections.slsa.sa.gov.au/mpcimg/13000/B12978.htm</v>
      </c>
    </row>
    <row r="7067" spans="1:11" x14ac:dyDescent="0.25">
      <c r="A7067" t="s">
        <v>24146</v>
      </c>
      <c r="B7067" s="1" t="str">
        <f>HYPERLINK("https://www.catalog.slsa.sa.gov.au/record=b2058375")</f>
        <v>https://www.catalog.slsa.sa.gov.au/record=b2058375</v>
      </c>
      <c r="C7067" s="1" t="str">
        <f>HYPERLINK("https://www.catalog.slsa.sa.gov.au/xrecord=b2058375")</f>
        <v>https://www.catalog.slsa.sa.gov.au/xrecord=b2058375</v>
      </c>
      <c r="D7067" t="s">
        <v>16831</v>
      </c>
      <c r="E7067" t="s">
        <v>22149</v>
      </c>
      <c r="F7067">
        <v>1954</v>
      </c>
      <c r="G7067" t="s">
        <v>20063</v>
      </c>
      <c r="H7067" t="s">
        <v>24147</v>
      </c>
      <c r="J7067" t="s">
        <v>24148</v>
      </c>
      <c r="K7067" s="2" t="str">
        <f>HYPERLINK("http://collections.slsa.sa.gov.au/mpcimg/13000/B12909.htm")</f>
        <v>http://collections.slsa.sa.gov.au/mpcimg/13000/B12909.htm</v>
      </c>
    </row>
    <row r="7068" spans="1:11" x14ac:dyDescent="0.25">
      <c r="A7068" t="s">
        <v>24149</v>
      </c>
      <c r="B7068" s="1" t="str">
        <f>HYPERLINK("https://www.catalog.slsa.sa.gov.au/record=b2058376")</f>
        <v>https://www.catalog.slsa.sa.gov.au/record=b2058376</v>
      </c>
      <c r="C7068" s="1" t="str">
        <f>HYPERLINK("https://www.catalog.slsa.sa.gov.au/xrecord=b2058376")</f>
        <v>https://www.catalog.slsa.sa.gov.au/xrecord=b2058376</v>
      </c>
      <c r="D7068" t="s">
        <v>16831</v>
      </c>
      <c r="E7068" t="s">
        <v>24150</v>
      </c>
      <c r="F7068">
        <v>1954</v>
      </c>
      <c r="G7068" t="s">
        <v>20063</v>
      </c>
      <c r="H7068" t="s">
        <v>24151</v>
      </c>
      <c r="J7068" t="s">
        <v>24148</v>
      </c>
      <c r="K7068" s="2" t="str">
        <f>HYPERLINK("http://collections.slsa.sa.gov.au/mpcimg/13000/B12914.htm")</f>
        <v>http://collections.slsa.sa.gov.au/mpcimg/13000/B12914.htm</v>
      </c>
    </row>
    <row r="7069" spans="1:11" x14ac:dyDescent="0.25">
      <c r="A7069" t="s">
        <v>24152</v>
      </c>
      <c r="B7069" s="1" t="str">
        <f>HYPERLINK("https://www.catalog.slsa.sa.gov.au/record=b2058442")</f>
        <v>https://www.catalog.slsa.sa.gov.au/record=b2058442</v>
      </c>
      <c r="C7069" s="1" t="str">
        <f>HYPERLINK("https://www.catalog.slsa.sa.gov.au/xrecord=b2058442")</f>
        <v>https://www.catalog.slsa.sa.gov.au/xrecord=b2058442</v>
      </c>
      <c r="D7069" t="s">
        <v>16831</v>
      </c>
      <c r="E7069" t="s">
        <v>20970</v>
      </c>
      <c r="F7069">
        <v>1954</v>
      </c>
      <c r="G7069" t="s">
        <v>20063</v>
      </c>
      <c r="H7069" t="s">
        <v>24153</v>
      </c>
      <c r="J7069" t="s">
        <v>24154</v>
      </c>
      <c r="K7069" s="2" t="str">
        <f>HYPERLINK("http://collections.slsa.sa.gov.au/mpcimg/13000/B12983.htm")</f>
        <v>http://collections.slsa.sa.gov.au/mpcimg/13000/B12983.htm</v>
      </c>
    </row>
    <row r="7070" spans="1:11" x14ac:dyDescent="0.25">
      <c r="A7070" t="s">
        <v>24155</v>
      </c>
      <c r="B7070" s="1" t="str">
        <f>HYPERLINK("https://www.catalog.slsa.sa.gov.au/record=b2058443")</f>
        <v>https://www.catalog.slsa.sa.gov.au/record=b2058443</v>
      </c>
      <c r="C7070" s="1" t="str">
        <f>HYPERLINK("https://www.catalog.slsa.sa.gov.au/xrecord=b2058443")</f>
        <v>https://www.catalog.slsa.sa.gov.au/xrecord=b2058443</v>
      </c>
      <c r="D7070" t="s">
        <v>16831</v>
      </c>
      <c r="E7070" t="s">
        <v>24156</v>
      </c>
      <c r="F7070">
        <v>1954</v>
      </c>
      <c r="G7070" t="s">
        <v>20063</v>
      </c>
      <c r="H7070" t="s">
        <v>24157</v>
      </c>
      <c r="J7070" t="s">
        <v>24154</v>
      </c>
      <c r="K7070" s="2" t="str">
        <f>HYPERLINK("http://collections.slsa.sa.gov.au/mpcimg/13000/B12984.htm")</f>
        <v>http://collections.slsa.sa.gov.au/mpcimg/13000/B12984.htm</v>
      </c>
    </row>
    <row r="7071" spans="1:11" x14ac:dyDescent="0.25">
      <c r="A7071" t="s">
        <v>24158</v>
      </c>
      <c r="B7071" s="1" t="str">
        <f>HYPERLINK("https://www.catalog.slsa.sa.gov.au/record=b2058505")</f>
        <v>https://www.catalog.slsa.sa.gov.au/record=b2058505</v>
      </c>
      <c r="C7071" s="1" t="str">
        <f>HYPERLINK("https://www.catalog.slsa.sa.gov.au/xrecord=b2058505")</f>
        <v>https://www.catalog.slsa.sa.gov.au/xrecord=b2058505</v>
      </c>
      <c r="D7071" t="s">
        <v>16831</v>
      </c>
      <c r="E7071" t="s">
        <v>20970</v>
      </c>
      <c r="F7071">
        <v>1954</v>
      </c>
      <c r="G7071" t="s">
        <v>20063</v>
      </c>
      <c r="H7071" t="s">
        <v>24159</v>
      </c>
      <c r="J7071" t="s">
        <v>24160</v>
      </c>
      <c r="K7071" s="2" t="str">
        <f>HYPERLINK("http://collections.slsa.sa.gov.au/mpcimg/13000/B12913.htm")</f>
        <v>http://collections.slsa.sa.gov.au/mpcimg/13000/B12913.htm</v>
      </c>
    </row>
    <row r="7072" spans="1:11" x14ac:dyDescent="0.25">
      <c r="A7072" t="s">
        <v>24161</v>
      </c>
      <c r="B7072" s="1" t="str">
        <f>HYPERLINK("https://www.catalog.slsa.sa.gov.au/record=b2058807")</f>
        <v>https://www.catalog.slsa.sa.gov.au/record=b2058807</v>
      </c>
      <c r="C7072" s="1" t="str">
        <f>HYPERLINK("https://www.catalog.slsa.sa.gov.au/xrecord=b2058807")</f>
        <v>https://www.catalog.slsa.sa.gov.au/xrecord=b2058807</v>
      </c>
      <c r="D7072" t="s">
        <v>16831</v>
      </c>
      <c r="E7072" t="s">
        <v>21014</v>
      </c>
      <c r="F7072">
        <v>1954</v>
      </c>
      <c r="G7072" t="s">
        <v>20063</v>
      </c>
      <c r="H7072" t="s">
        <v>24162</v>
      </c>
      <c r="J7072" t="s">
        <v>24163</v>
      </c>
      <c r="K7072" s="2" t="str">
        <f>HYPERLINK("http://collections.slsa.sa.gov.au/mpcimg/13000/B12933.htm")</f>
        <v>http://collections.slsa.sa.gov.au/mpcimg/13000/B12933.htm</v>
      </c>
    </row>
    <row r="7073" spans="1:11" x14ac:dyDescent="0.25">
      <c r="A7073" t="s">
        <v>24164</v>
      </c>
      <c r="B7073" s="1" t="str">
        <f>HYPERLINK("https://www.catalog.slsa.sa.gov.au/record=b2058876")</f>
        <v>https://www.catalog.slsa.sa.gov.au/record=b2058876</v>
      </c>
      <c r="C7073" s="1" t="str">
        <f>HYPERLINK("https://www.catalog.slsa.sa.gov.au/xrecord=b2058876")</f>
        <v>https://www.catalog.slsa.sa.gov.au/xrecord=b2058876</v>
      </c>
      <c r="D7073" t="s">
        <v>16831</v>
      </c>
      <c r="E7073" t="s">
        <v>16796</v>
      </c>
      <c r="F7073">
        <v>1954</v>
      </c>
      <c r="G7073" t="s">
        <v>20063</v>
      </c>
      <c r="H7073" t="s">
        <v>24165</v>
      </c>
      <c r="J7073" t="s">
        <v>24166</v>
      </c>
      <c r="K7073" s="2" t="str">
        <f>HYPERLINK("http://collections.slsa.sa.gov.au/mpcimg/13250/B13027.htm")</f>
        <v>http://collections.slsa.sa.gov.au/mpcimg/13250/B13027.htm</v>
      </c>
    </row>
    <row r="7074" spans="1:11" x14ac:dyDescent="0.25">
      <c r="A7074" t="s">
        <v>24167</v>
      </c>
      <c r="B7074" s="1" t="str">
        <f>HYPERLINK("https://www.catalog.slsa.sa.gov.au/record=b2058883")</f>
        <v>https://www.catalog.slsa.sa.gov.au/record=b2058883</v>
      </c>
      <c r="C7074" s="1" t="str">
        <f>HYPERLINK("https://www.catalog.slsa.sa.gov.au/xrecord=b2058883")</f>
        <v>https://www.catalog.slsa.sa.gov.au/xrecord=b2058883</v>
      </c>
      <c r="D7074" t="s">
        <v>16831</v>
      </c>
      <c r="E7074" t="s">
        <v>24168</v>
      </c>
      <c r="F7074">
        <v>1954</v>
      </c>
      <c r="G7074" t="s">
        <v>20063</v>
      </c>
      <c r="H7074" t="s">
        <v>24169</v>
      </c>
      <c r="J7074" t="s">
        <v>24170</v>
      </c>
      <c r="K7074" s="2" t="str">
        <f>HYPERLINK("http://collections.slsa.sa.gov.au/mpcimg/13250/B13110.htm")</f>
        <v>http://collections.slsa.sa.gov.au/mpcimg/13250/B13110.htm</v>
      </c>
    </row>
    <row r="7075" spans="1:11" x14ac:dyDescent="0.25">
      <c r="A7075" t="s">
        <v>24171</v>
      </c>
      <c r="B7075" s="1" t="str">
        <f>HYPERLINK("https://www.catalog.slsa.sa.gov.au/record=b2058902")</f>
        <v>https://www.catalog.slsa.sa.gov.au/record=b2058902</v>
      </c>
      <c r="C7075" s="1" t="str">
        <f>HYPERLINK("https://www.catalog.slsa.sa.gov.au/xrecord=b2058902")</f>
        <v>https://www.catalog.slsa.sa.gov.au/xrecord=b2058902</v>
      </c>
      <c r="D7075" t="s">
        <v>16831</v>
      </c>
      <c r="E7075" t="s">
        <v>24172</v>
      </c>
      <c r="F7075">
        <v>1954</v>
      </c>
      <c r="G7075" t="s">
        <v>20063</v>
      </c>
      <c r="H7075" t="s">
        <v>24173</v>
      </c>
      <c r="J7075" t="s">
        <v>21006</v>
      </c>
      <c r="K7075" s="2" t="str">
        <f>HYPERLINK("http://collections.slsa.sa.gov.au/mpcimg/13250/B13096.htm")</f>
        <v>http://collections.slsa.sa.gov.au/mpcimg/13250/B13096.htm</v>
      </c>
    </row>
    <row r="7076" spans="1:11" x14ac:dyDescent="0.25">
      <c r="A7076" t="s">
        <v>24174</v>
      </c>
      <c r="B7076" s="1" t="str">
        <f>HYPERLINK("https://www.catalog.slsa.sa.gov.au/record=b2058903")</f>
        <v>https://www.catalog.slsa.sa.gov.au/record=b2058903</v>
      </c>
      <c r="C7076" s="1" t="str">
        <f>HYPERLINK("https://www.catalog.slsa.sa.gov.au/xrecord=b2058903")</f>
        <v>https://www.catalog.slsa.sa.gov.au/xrecord=b2058903</v>
      </c>
      <c r="D7076" t="s">
        <v>16831</v>
      </c>
      <c r="E7076" t="s">
        <v>24175</v>
      </c>
      <c r="F7076">
        <v>1954</v>
      </c>
      <c r="G7076" t="s">
        <v>20063</v>
      </c>
      <c r="H7076" t="s">
        <v>24176</v>
      </c>
      <c r="I7076" t="s">
        <v>24177</v>
      </c>
      <c r="J7076" t="s">
        <v>21006</v>
      </c>
      <c r="K7076" s="2" t="str">
        <f>HYPERLINK("http://collections.slsa.sa.gov.au/mpcimg/13250/B13097.htm")</f>
        <v>http://collections.slsa.sa.gov.au/mpcimg/13250/B13097.htm</v>
      </c>
    </row>
    <row r="7077" spans="1:11" x14ac:dyDescent="0.25">
      <c r="A7077" t="s">
        <v>24178</v>
      </c>
      <c r="B7077" s="1" t="str">
        <f>HYPERLINK("https://www.catalog.slsa.sa.gov.au/record=b2058942")</f>
        <v>https://www.catalog.slsa.sa.gov.au/record=b2058942</v>
      </c>
      <c r="C7077" s="1" t="str">
        <f>HYPERLINK("https://www.catalog.slsa.sa.gov.au/xrecord=b2058942")</f>
        <v>https://www.catalog.slsa.sa.gov.au/xrecord=b2058942</v>
      </c>
      <c r="D7077" t="s">
        <v>16831</v>
      </c>
      <c r="E7077" t="s">
        <v>15191</v>
      </c>
      <c r="F7077">
        <v>1954</v>
      </c>
      <c r="G7077" t="s">
        <v>20063</v>
      </c>
      <c r="H7077" t="s">
        <v>24179</v>
      </c>
      <c r="J7077" t="s">
        <v>22833</v>
      </c>
      <c r="K7077" s="2" t="str">
        <f>HYPERLINK("http://collections.slsa.sa.gov.au/mpcimg/13000/B12929.htm")</f>
        <v>http://collections.slsa.sa.gov.au/mpcimg/13000/B12929.htm</v>
      </c>
    </row>
    <row r="7078" spans="1:11" x14ac:dyDescent="0.25">
      <c r="A7078" t="s">
        <v>24180</v>
      </c>
      <c r="B7078" s="1" t="str">
        <f>HYPERLINK("https://www.catalog.slsa.sa.gov.au/record=b2058951")</f>
        <v>https://www.catalog.slsa.sa.gov.au/record=b2058951</v>
      </c>
      <c r="C7078" s="1" t="str">
        <f>HYPERLINK("https://www.catalog.slsa.sa.gov.au/xrecord=b2058951")</f>
        <v>https://www.catalog.slsa.sa.gov.au/xrecord=b2058951</v>
      </c>
      <c r="D7078" t="s">
        <v>16831</v>
      </c>
      <c r="E7078" t="s">
        <v>15191</v>
      </c>
      <c r="F7078">
        <v>1954</v>
      </c>
      <c r="G7078" t="s">
        <v>20063</v>
      </c>
      <c r="H7078" t="s">
        <v>24181</v>
      </c>
      <c r="J7078" t="s">
        <v>21012</v>
      </c>
      <c r="K7078" s="2" t="str">
        <f>HYPERLINK("http://collections.slsa.sa.gov.au/mpcimg/13250/B13037.htm")</f>
        <v>http://collections.slsa.sa.gov.au/mpcimg/13250/B13037.htm</v>
      </c>
    </row>
    <row r="7079" spans="1:11" x14ac:dyDescent="0.25">
      <c r="A7079" t="s">
        <v>24182</v>
      </c>
      <c r="B7079" s="1" t="str">
        <f>HYPERLINK("https://www.catalog.slsa.sa.gov.au/record=b2059020")</f>
        <v>https://www.catalog.slsa.sa.gov.au/record=b2059020</v>
      </c>
      <c r="C7079" s="1" t="str">
        <f>HYPERLINK("https://www.catalog.slsa.sa.gov.au/xrecord=b2059020")</f>
        <v>https://www.catalog.slsa.sa.gov.au/xrecord=b2059020</v>
      </c>
      <c r="D7079" t="s">
        <v>16831</v>
      </c>
      <c r="E7079" t="s">
        <v>23996</v>
      </c>
      <c r="F7079">
        <v>1954</v>
      </c>
      <c r="G7079" t="s">
        <v>20063</v>
      </c>
      <c r="H7079" t="s">
        <v>24183</v>
      </c>
      <c r="J7079" t="s">
        <v>24184</v>
      </c>
      <c r="K7079" s="2" t="str">
        <f>HYPERLINK("http://collections.slsa.sa.gov.au/mpcimg/13250/B13063.htm")</f>
        <v>http://collections.slsa.sa.gov.au/mpcimg/13250/B13063.htm</v>
      </c>
    </row>
    <row r="7080" spans="1:11" x14ac:dyDescent="0.25">
      <c r="A7080" t="s">
        <v>24185</v>
      </c>
      <c r="B7080" s="1" t="str">
        <f>HYPERLINK("https://www.catalog.slsa.sa.gov.au/record=b2059445")</f>
        <v>https://www.catalog.slsa.sa.gov.au/record=b2059445</v>
      </c>
      <c r="C7080" s="1" t="str">
        <f>HYPERLINK("https://www.catalog.slsa.sa.gov.au/xrecord=b2059445")</f>
        <v>https://www.catalog.slsa.sa.gov.au/xrecord=b2059445</v>
      </c>
      <c r="D7080" t="s">
        <v>16831</v>
      </c>
      <c r="E7080" t="s">
        <v>22149</v>
      </c>
      <c r="F7080">
        <v>1954</v>
      </c>
      <c r="G7080" t="s">
        <v>20063</v>
      </c>
      <c r="H7080" t="s">
        <v>24186</v>
      </c>
      <c r="J7080" t="s">
        <v>24187</v>
      </c>
      <c r="K7080" s="2" t="str">
        <f>HYPERLINK("http://collections.slsa.sa.gov.au/mpcimg/13000/B12910.htm")</f>
        <v>http://collections.slsa.sa.gov.au/mpcimg/13000/B12910.htm</v>
      </c>
    </row>
    <row r="7081" spans="1:11" x14ac:dyDescent="0.25">
      <c r="A7081" t="s">
        <v>24188</v>
      </c>
      <c r="B7081" s="1" t="str">
        <f>HYPERLINK("https://www.catalog.slsa.sa.gov.au/record=b2059446")</f>
        <v>https://www.catalog.slsa.sa.gov.au/record=b2059446</v>
      </c>
      <c r="C7081" s="1" t="str">
        <f>HYPERLINK("https://www.catalog.slsa.sa.gov.au/xrecord=b2059446")</f>
        <v>https://www.catalog.slsa.sa.gov.au/xrecord=b2059446</v>
      </c>
      <c r="D7081" t="s">
        <v>16831</v>
      </c>
      <c r="E7081" t="s">
        <v>22149</v>
      </c>
      <c r="F7081">
        <v>1954</v>
      </c>
      <c r="G7081" t="s">
        <v>20063</v>
      </c>
      <c r="H7081" t="s">
        <v>24189</v>
      </c>
      <c r="I7081" t="s">
        <v>24190</v>
      </c>
      <c r="J7081" t="s">
        <v>24187</v>
      </c>
      <c r="K7081" s="2" t="str">
        <f>HYPERLINK("http://collections.slsa.sa.gov.au/mpcimg/13000/B12911.htm")</f>
        <v>http://collections.slsa.sa.gov.au/mpcimg/13000/B12911.htm</v>
      </c>
    </row>
    <row r="7082" spans="1:11" x14ac:dyDescent="0.25">
      <c r="A7082" t="s">
        <v>24191</v>
      </c>
      <c r="B7082" s="1" t="str">
        <f>HYPERLINK("https://www.catalog.slsa.sa.gov.au/record=b2059479")</f>
        <v>https://www.catalog.slsa.sa.gov.au/record=b2059479</v>
      </c>
      <c r="C7082" s="1" t="str">
        <f>HYPERLINK("https://www.catalog.slsa.sa.gov.au/xrecord=b2059479")</f>
        <v>https://www.catalog.slsa.sa.gov.au/xrecord=b2059479</v>
      </c>
      <c r="D7082" t="s">
        <v>16831</v>
      </c>
      <c r="E7082" t="s">
        <v>20096</v>
      </c>
      <c r="F7082">
        <v>1954</v>
      </c>
      <c r="G7082" t="s">
        <v>20063</v>
      </c>
      <c r="H7082" t="s">
        <v>24192</v>
      </c>
      <c r="J7082" t="s">
        <v>24193</v>
      </c>
      <c r="K7082" s="2" t="str">
        <f>HYPERLINK("http://collections.slsa.sa.gov.au/mpcimg/13000/B12964.htm")</f>
        <v>http://collections.slsa.sa.gov.au/mpcimg/13000/B12964.htm</v>
      </c>
    </row>
    <row r="7083" spans="1:11" x14ac:dyDescent="0.25">
      <c r="A7083" t="s">
        <v>24194</v>
      </c>
      <c r="B7083" s="1" t="str">
        <f>HYPERLINK("https://www.catalog.slsa.sa.gov.au/record=b2059489")</f>
        <v>https://www.catalog.slsa.sa.gov.au/record=b2059489</v>
      </c>
      <c r="C7083" s="1" t="str">
        <f>HYPERLINK("https://www.catalog.slsa.sa.gov.au/xrecord=b2059489")</f>
        <v>https://www.catalog.slsa.sa.gov.au/xrecord=b2059489</v>
      </c>
      <c r="D7083" t="s">
        <v>16831</v>
      </c>
      <c r="E7083" t="s">
        <v>20096</v>
      </c>
      <c r="F7083">
        <v>1954</v>
      </c>
      <c r="G7083" t="s">
        <v>20063</v>
      </c>
      <c r="H7083" t="s">
        <v>24195</v>
      </c>
      <c r="J7083" t="s">
        <v>22844</v>
      </c>
      <c r="K7083" s="2" t="str">
        <f>HYPERLINK("http://collections.slsa.sa.gov.au/mpcimg/13000/B12966.htm")</f>
        <v>http://collections.slsa.sa.gov.au/mpcimg/13000/B12966.htm</v>
      </c>
    </row>
    <row r="7084" spans="1:11" x14ac:dyDescent="0.25">
      <c r="A7084" t="s">
        <v>24196</v>
      </c>
      <c r="B7084" s="1" t="str">
        <f>HYPERLINK("https://www.catalog.slsa.sa.gov.au/record=b2059496")</f>
        <v>https://www.catalog.slsa.sa.gov.au/record=b2059496</v>
      </c>
      <c r="C7084" s="1" t="str">
        <f>HYPERLINK("https://www.catalog.slsa.sa.gov.au/xrecord=b2059496")</f>
        <v>https://www.catalog.slsa.sa.gov.au/xrecord=b2059496</v>
      </c>
      <c r="D7084" t="s">
        <v>16831</v>
      </c>
      <c r="E7084" t="s">
        <v>20096</v>
      </c>
      <c r="F7084">
        <v>1954</v>
      </c>
      <c r="G7084" t="s">
        <v>20063</v>
      </c>
      <c r="H7084" t="s">
        <v>24197</v>
      </c>
      <c r="J7084" t="s">
        <v>24198</v>
      </c>
      <c r="K7084" s="2" t="str">
        <f>HYPERLINK("http://collections.slsa.sa.gov.au/mpcimg/13250/B13034.htm")</f>
        <v>http://collections.slsa.sa.gov.au/mpcimg/13250/B13034.htm</v>
      </c>
    </row>
    <row r="7085" spans="1:11" x14ac:dyDescent="0.25">
      <c r="A7085" t="s">
        <v>24199</v>
      </c>
      <c r="B7085" s="1" t="str">
        <f>HYPERLINK("https://www.catalog.slsa.sa.gov.au/record=b2059507")</f>
        <v>https://www.catalog.slsa.sa.gov.au/record=b2059507</v>
      </c>
      <c r="C7085" s="1" t="str">
        <f>HYPERLINK("https://www.catalog.slsa.sa.gov.au/xrecord=b2059507")</f>
        <v>https://www.catalog.slsa.sa.gov.au/xrecord=b2059507</v>
      </c>
      <c r="D7085" t="s">
        <v>16831</v>
      </c>
      <c r="E7085" t="s">
        <v>20096</v>
      </c>
      <c r="F7085">
        <v>1954</v>
      </c>
      <c r="G7085" t="s">
        <v>20063</v>
      </c>
      <c r="H7085" t="s">
        <v>24200</v>
      </c>
      <c r="J7085" t="s">
        <v>24201</v>
      </c>
      <c r="K7085" s="2" t="str">
        <f>HYPERLINK("http://collections.slsa.sa.gov.au/mpcimg/13250/B13105.htm")</f>
        <v>http://collections.slsa.sa.gov.au/mpcimg/13250/B13105.htm</v>
      </c>
    </row>
    <row r="7086" spans="1:11" x14ac:dyDescent="0.25">
      <c r="A7086" t="s">
        <v>24202</v>
      </c>
      <c r="B7086" s="1" t="str">
        <f>HYPERLINK("https://www.catalog.slsa.sa.gov.au/record=b2059508")</f>
        <v>https://www.catalog.slsa.sa.gov.au/record=b2059508</v>
      </c>
      <c r="C7086" s="1" t="str">
        <f>HYPERLINK("https://www.catalog.slsa.sa.gov.au/xrecord=b2059508")</f>
        <v>https://www.catalog.slsa.sa.gov.au/xrecord=b2059508</v>
      </c>
      <c r="D7086" t="s">
        <v>16831</v>
      </c>
      <c r="E7086" t="s">
        <v>24203</v>
      </c>
      <c r="F7086">
        <v>1954</v>
      </c>
      <c r="G7086" t="s">
        <v>20063</v>
      </c>
      <c r="H7086" t="s">
        <v>24204</v>
      </c>
      <c r="I7086" t="s">
        <v>24205</v>
      </c>
      <c r="J7086" t="s">
        <v>24206</v>
      </c>
      <c r="K7086" s="2" t="str">
        <f>HYPERLINK("http://collections.slsa.sa.gov.au/mpcimg/13250/B13106.htm")</f>
        <v>http://collections.slsa.sa.gov.au/mpcimg/13250/B13106.htm</v>
      </c>
    </row>
    <row r="7087" spans="1:11" x14ac:dyDescent="0.25">
      <c r="A7087" t="s">
        <v>24207</v>
      </c>
      <c r="B7087" s="1" t="str">
        <f>HYPERLINK("https://www.catalog.slsa.sa.gov.au/record=b2059518")</f>
        <v>https://www.catalog.slsa.sa.gov.au/record=b2059518</v>
      </c>
      <c r="C7087" s="1" t="str">
        <f>HYPERLINK("https://www.catalog.slsa.sa.gov.au/xrecord=b2059518")</f>
        <v>https://www.catalog.slsa.sa.gov.au/xrecord=b2059518</v>
      </c>
      <c r="D7087" t="s">
        <v>16831</v>
      </c>
      <c r="E7087" t="s">
        <v>24138</v>
      </c>
      <c r="F7087">
        <v>1954</v>
      </c>
      <c r="G7087" t="s">
        <v>5501</v>
      </c>
      <c r="H7087" t="s">
        <v>24208</v>
      </c>
      <c r="J7087" t="s">
        <v>22847</v>
      </c>
      <c r="K7087" s="2" t="str">
        <f>HYPERLINK("http://collections.slsa.sa.gov.au/mpcimg/13500/B13417.htm")</f>
        <v>http://collections.slsa.sa.gov.au/mpcimg/13500/B13417.htm</v>
      </c>
    </row>
    <row r="7088" spans="1:11" x14ac:dyDescent="0.25">
      <c r="A7088" t="s">
        <v>24209</v>
      </c>
      <c r="B7088" s="1" t="str">
        <f>HYPERLINK("https://www.catalog.slsa.sa.gov.au/record=b2059541")</f>
        <v>https://www.catalog.slsa.sa.gov.au/record=b2059541</v>
      </c>
      <c r="C7088" s="1" t="str">
        <f>HYPERLINK("https://www.catalog.slsa.sa.gov.au/xrecord=b2059541")</f>
        <v>https://www.catalog.slsa.sa.gov.au/xrecord=b2059541</v>
      </c>
      <c r="D7088" t="s">
        <v>16831</v>
      </c>
      <c r="E7088" t="s">
        <v>24130</v>
      </c>
      <c r="F7088">
        <v>1954</v>
      </c>
      <c r="G7088" t="s">
        <v>20063</v>
      </c>
      <c r="H7088" t="s">
        <v>24210</v>
      </c>
      <c r="J7088" t="s">
        <v>24211</v>
      </c>
      <c r="K7088" s="2" t="str">
        <f>HYPERLINK("http://collections.slsa.sa.gov.au/mpcimg/13000/B12917.htm")</f>
        <v>http://collections.slsa.sa.gov.au/mpcimg/13000/B12917.htm</v>
      </c>
    </row>
    <row r="7089" spans="1:11" x14ac:dyDescent="0.25">
      <c r="A7089" t="s">
        <v>24212</v>
      </c>
      <c r="B7089" s="1" t="str">
        <f>HYPERLINK("https://www.catalog.slsa.sa.gov.au/record=b2059568")</f>
        <v>https://www.catalog.slsa.sa.gov.au/record=b2059568</v>
      </c>
      <c r="C7089" s="1" t="str">
        <f>HYPERLINK("https://www.catalog.slsa.sa.gov.au/xrecord=b2059568")</f>
        <v>https://www.catalog.slsa.sa.gov.au/xrecord=b2059568</v>
      </c>
      <c r="D7089" t="s">
        <v>16831</v>
      </c>
      <c r="E7089" t="s">
        <v>20096</v>
      </c>
      <c r="F7089">
        <v>1954</v>
      </c>
      <c r="G7089" t="s">
        <v>20063</v>
      </c>
      <c r="H7089" t="s">
        <v>24213</v>
      </c>
      <c r="J7089" t="s">
        <v>24214</v>
      </c>
      <c r="K7089" s="2" t="str">
        <f>HYPERLINK("http://collections.slsa.sa.gov.au/mpcimg/13000/B12956.htm")</f>
        <v>http://collections.slsa.sa.gov.au/mpcimg/13000/B12956.htm</v>
      </c>
    </row>
    <row r="7090" spans="1:11" x14ac:dyDescent="0.25">
      <c r="A7090" t="s">
        <v>24215</v>
      </c>
      <c r="B7090" s="1" t="str">
        <f>HYPERLINK("https://www.catalog.slsa.sa.gov.au/record=b2059569")</f>
        <v>https://www.catalog.slsa.sa.gov.au/record=b2059569</v>
      </c>
      <c r="C7090" s="1" t="str">
        <f>HYPERLINK("https://www.catalog.slsa.sa.gov.au/xrecord=b2059569")</f>
        <v>https://www.catalog.slsa.sa.gov.au/xrecord=b2059569</v>
      </c>
      <c r="D7090" t="s">
        <v>16831</v>
      </c>
      <c r="E7090" t="s">
        <v>24216</v>
      </c>
      <c r="F7090">
        <v>1954</v>
      </c>
      <c r="G7090" t="s">
        <v>20063</v>
      </c>
      <c r="H7090" t="s">
        <v>24217</v>
      </c>
      <c r="J7090" t="s">
        <v>24214</v>
      </c>
      <c r="K7090" s="2" t="str">
        <f>HYPERLINK("http://collections.slsa.sa.gov.au/mpcimg/13000/B12957.htm")</f>
        <v>http://collections.slsa.sa.gov.au/mpcimg/13000/B12957.htm</v>
      </c>
    </row>
    <row r="7091" spans="1:11" x14ac:dyDescent="0.25">
      <c r="A7091" t="s">
        <v>24218</v>
      </c>
      <c r="B7091" s="1" t="str">
        <f>HYPERLINK("https://www.catalog.slsa.sa.gov.au/record=b2059570")</f>
        <v>https://www.catalog.slsa.sa.gov.au/record=b2059570</v>
      </c>
      <c r="C7091" s="1" t="str">
        <f>HYPERLINK("https://www.catalog.slsa.sa.gov.au/xrecord=b2059570")</f>
        <v>https://www.catalog.slsa.sa.gov.au/xrecord=b2059570</v>
      </c>
      <c r="D7091" t="s">
        <v>16831</v>
      </c>
      <c r="E7091" t="s">
        <v>20096</v>
      </c>
      <c r="F7091">
        <v>1954</v>
      </c>
      <c r="G7091" t="s">
        <v>20063</v>
      </c>
      <c r="H7091" t="s">
        <v>24219</v>
      </c>
      <c r="J7091" t="s">
        <v>24214</v>
      </c>
      <c r="K7091" s="2" t="str">
        <f>HYPERLINK("http://collections.slsa.sa.gov.au/mpcimg/13000/B12965.htm")</f>
        <v>http://collections.slsa.sa.gov.au/mpcimg/13000/B12965.htm</v>
      </c>
    </row>
    <row r="7092" spans="1:11" x14ac:dyDescent="0.25">
      <c r="A7092" t="s">
        <v>24220</v>
      </c>
      <c r="B7092" s="1" t="str">
        <f>HYPERLINK("https://www.catalog.slsa.sa.gov.au/record=b2059571")</f>
        <v>https://www.catalog.slsa.sa.gov.au/record=b2059571</v>
      </c>
      <c r="C7092" s="1" t="str">
        <f>HYPERLINK("https://www.catalog.slsa.sa.gov.au/xrecord=b2059571")</f>
        <v>https://www.catalog.slsa.sa.gov.au/xrecord=b2059571</v>
      </c>
      <c r="D7092" t="s">
        <v>16831</v>
      </c>
      <c r="E7092" t="s">
        <v>24203</v>
      </c>
      <c r="F7092">
        <v>1954</v>
      </c>
      <c r="G7092" t="s">
        <v>20063</v>
      </c>
      <c r="H7092" t="s">
        <v>24221</v>
      </c>
      <c r="J7092" t="s">
        <v>24214</v>
      </c>
      <c r="K7092" s="2" t="str">
        <f>HYPERLINK("http://collections.slsa.sa.gov.au/mpcimg/13250/B13053.htm")</f>
        <v>http://collections.slsa.sa.gov.au/mpcimg/13250/B13053.htm</v>
      </c>
    </row>
    <row r="7093" spans="1:11" x14ac:dyDescent="0.25">
      <c r="A7093" t="s">
        <v>24222</v>
      </c>
      <c r="B7093" s="1" t="str">
        <f>HYPERLINK("https://www.catalog.slsa.sa.gov.au/record=b2059580")</f>
        <v>https://www.catalog.slsa.sa.gov.au/record=b2059580</v>
      </c>
      <c r="C7093" s="1" t="str">
        <f>HYPERLINK("https://www.catalog.slsa.sa.gov.au/xrecord=b2059580")</f>
        <v>https://www.catalog.slsa.sa.gov.au/xrecord=b2059580</v>
      </c>
      <c r="D7093" t="s">
        <v>16831</v>
      </c>
      <c r="E7093" t="s">
        <v>24223</v>
      </c>
      <c r="F7093">
        <v>1954</v>
      </c>
      <c r="G7093" t="s">
        <v>20063</v>
      </c>
      <c r="H7093" t="s">
        <v>24224</v>
      </c>
      <c r="J7093" t="s">
        <v>24225</v>
      </c>
      <c r="K7093" s="2" t="str">
        <f>HYPERLINK("http://collections.slsa.sa.gov.au/mpcimg/13000/B12963.htm")</f>
        <v>http://collections.slsa.sa.gov.au/mpcimg/13000/B12963.htm</v>
      </c>
    </row>
    <row r="7094" spans="1:11" x14ac:dyDescent="0.25">
      <c r="A7094" t="s">
        <v>24226</v>
      </c>
      <c r="B7094" s="1" t="str">
        <f>HYPERLINK("https://www.catalog.slsa.sa.gov.au/record=b2059639")</f>
        <v>https://www.catalog.slsa.sa.gov.au/record=b2059639</v>
      </c>
      <c r="C7094" s="1" t="str">
        <f>HYPERLINK("https://www.catalog.slsa.sa.gov.au/xrecord=b2059639")</f>
        <v>https://www.catalog.slsa.sa.gov.au/xrecord=b2059639</v>
      </c>
      <c r="D7094" t="s">
        <v>16831</v>
      </c>
      <c r="E7094" t="s">
        <v>24227</v>
      </c>
      <c r="F7094">
        <v>1954</v>
      </c>
      <c r="G7094" t="s">
        <v>20063</v>
      </c>
      <c r="H7094" t="s">
        <v>24228</v>
      </c>
      <c r="J7094" t="s">
        <v>22854</v>
      </c>
      <c r="K7094" s="2" t="str">
        <f>HYPERLINK("http://collections.slsa.sa.gov.au/mpcimg/13250/B13030.htm")</f>
        <v>http://collections.slsa.sa.gov.au/mpcimg/13250/B13030.htm</v>
      </c>
    </row>
    <row r="7095" spans="1:11" x14ac:dyDescent="0.25">
      <c r="A7095" t="s">
        <v>24229</v>
      </c>
      <c r="B7095" s="1" t="str">
        <f>HYPERLINK("https://www.catalog.slsa.sa.gov.au/record=b2059640")</f>
        <v>https://www.catalog.slsa.sa.gov.au/record=b2059640</v>
      </c>
      <c r="C7095" s="1" t="str">
        <f>HYPERLINK("https://www.catalog.slsa.sa.gov.au/xrecord=b2059640")</f>
        <v>https://www.catalog.slsa.sa.gov.au/xrecord=b2059640</v>
      </c>
      <c r="D7095" t="s">
        <v>16831</v>
      </c>
      <c r="E7095" t="s">
        <v>24203</v>
      </c>
      <c r="F7095">
        <v>1954</v>
      </c>
      <c r="G7095" t="s">
        <v>20063</v>
      </c>
      <c r="H7095" t="s">
        <v>24230</v>
      </c>
      <c r="J7095" t="s">
        <v>22854</v>
      </c>
      <c r="K7095" s="2" t="str">
        <f>HYPERLINK("http://collections.slsa.sa.gov.au/mpcimg/13250/B13100.htm")</f>
        <v>http://collections.slsa.sa.gov.au/mpcimg/13250/B13100.htm</v>
      </c>
    </row>
    <row r="7096" spans="1:11" x14ac:dyDescent="0.25">
      <c r="A7096" t="s">
        <v>24231</v>
      </c>
      <c r="B7096" s="1" t="str">
        <f>HYPERLINK("https://www.catalog.slsa.sa.gov.au/record=b2059657")</f>
        <v>https://www.catalog.slsa.sa.gov.au/record=b2059657</v>
      </c>
      <c r="C7096" s="1" t="str">
        <f>HYPERLINK("https://www.catalog.slsa.sa.gov.au/xrecord=b2059657")</f>
        <v>https://www.catalog.slsa.sa.gov.au/xrecord=b2059657</v>
      </c>
      <c r="D7096" t="s">
        <v>16831</v>
      </c>
      <c r="E7096" t="s">
        <v>20096</v>
      </c>
      <c r="F7096">
        <v>1954</v>
      </c>
      <c r="G7096" t="s">
        <v>20063</v>
      </c>
      <c r="H7096" t="s">
        <v>24232</v>
      </c>
      <c r="J7096" t="s">
        <v>20098</v>
      </c>
      <c r="K7096" s="2" t="str">
        <f>HYPERLINK("http://collections.slsa.sa.gov.au/mpcimg/13000/B12959.htm")</f>
        <v>http://collections.slsa.sa.gov.au/mpcimg/13000/B12959.htm</v>
      </c>
    </row>
    <row r="7097" spans="1:11" x14ac:dyDescent="0.25">
      <c r="A7097" t="s">
        <v>24233</v>
      </c>
      <c r="B7097" s="1" t="str">
        <f>HYPERLINK("https://www.catalog.slsa.sa.gov.au/record=b2059658")</f>
        <v>https://www.catalog.slsa.sa.gov.au/record=b2059658</v>
      </c>
      <c r="C7097" s="1" t="str">
        <f>HYPERLINK("https://www.catalog.slsa.sa.gov.au/xrecord=b2059658")</f>
        <v>https://www.catalog.slsa.sa.gov.au/xrecord=b2059658</v>
      </c>
      <c r="D7097" t="s">
        <v>16831</v>
      </c>
      <c r="E7097" t="s">
        <v>20096</v>
      </c>
      <c r="F7097">
        <v>1954</v>
      </c>
      <c r="G7097" t="s">
        <v>20063</v>
      </c>
      <c r="H7097" t="s">
        <v>24234</v>
      </c>
      <c r="J7097" t="s">
        <v>20098</v>
      </c>
      <c r="K7097" s="2" t="str">
        <f>HYPERLINK("http://collections.slsa.sa.gov.au/mpcimg/13000/B12962.htm")</f>
        <v>http://collections.slsa.sa.gov.au/mpcimg/13000/B12962.htm</v>
      </c>
    </row>
    <row r="7098" spans="1:11" x14ac:dyDescent="0.25">
      <c r="A7098" t="s">
        <v>24235</v>
      </c>
      <c r="B7098" s="1" t="str">
        <f>HYPERLINK("https://www.catalog.slsa.sa.gov.au/record=b2059681")</f>
        <v>https://www.catalog.slsa.sa.gov.au/record=b2059681</v>
      </c>
      <c r="C7098" s="1" t="str">
        <f>HYPERLINK("https://www.catalog.slsa.sa.gov.au/xrecord=b2059681")</f>
        <v>https://www.catalog.slsa.sa.gov.au/xrecord=b2059681</v>
      </c>
      <c r="D7098" t="s">
        <v>16831</v>
      </c>
      <c r="E7098" t="s">
        <v>5365</v>
      </c>
      <c r="F7098">
        <v>1954</v>
      </c>
      <c r="G7098" t="s">
        <v>20063</v>
      </c>
      <c r="H7098" t="s">
        <v>24236</v>
      </c>
      <c r="J7098" t="s">
        <v>24237</v>
      </c>
      <c r="K7098" s="2" t="str">
        <f>HYPERLINK("http://collections.slsa.sa.gov.au/mpcimg/13000/B12922.htm")</f>
        <v>http://collections.slsa.sa.gov.au/mpcimg/13000/B12922.htm</v>
      </c>
    </row>
    <row r="7099" spans="1:11" x14ac:dyDescent="0.25">
      <c r="A7099" t="s">
        <v>24238</v>
      </c>
      <c r="B7099" s="1" t="str">
        <f>HYPERLINK("https://www.catalog.slsa.sa.gov.au/record=b2059682")</f>
        <v>https://www.catalog.slsa.sa.gov.au/record=b2059682</v>
      </c>
      <c r="C7099" s="1" t="str">
        <f>HYPERLINK("https://www.catalog.slsa.sa.gov.au/xrecord=b2059682")</f>
        <v>https://www.catalog.slsa.sa.gov.au/xrecord=b2059682</v>
      </c>
      <c r="D7099" t="s">
        <v>16831</v>
      </c>
      <c r="E7099" t="s">
        <v>5365</v>
      </c>
      <c r="F7099">
        <v>1954</v>
      </c>
      <c r="G7099" t="s">
        <v>20063</v>
      </c>
      <c r="H7099" t="s">
        <v>24239</v>
      </c>
      <c r="J7099" t="s">
        <v>24237</v>
      </c>
      <c r="K7099" s="2" t="str">
        <f>HYPERLINK("http://collections.slsa.sa.gov.au/mpcimg/13000/B12998.htm")</f>
        <v>http://collections.slsa.sa.gov.au/mpcimg/13000/B12998.htm</v>
      </c>
    </row>
    <row r="7100" spans="1:11" x14ac:dyDescent="0.25">
      <c r="A7100" t="s">
        <v>24240</v>
      </c>
      <c r="B7100" s="1" t="str">
        <f>HYPERLINK("https://www.catalog.slsa.sa.gov.au/record=b2059711")</f>
        <v>https://www.catalog.slsa.sa.gov.au/record=b2059711</v>
      </c>
      <c r="C7100" s="1" t="str">
        <f>HYPERLINK("https://www.catalog.slsa.sa.gov.au/xrecord=b2059711")</f>
        <v>https://www.catalog.slsa.sa.gov.au/xrecord=b2059711</v>
      </c>
      <c r="D7100" t="s">
        <v>16831</v>
      </c>
      <c r="E7100" t="s">
        <v>24241</v>
      </c>
      <c r="F7100">
        <v>1954</v>
      </c>
      <c r="G7100" t="s">
        <v>20063</v>
      </c>
      <c r="H7100" t="s">
        <v>24242</v>
      </c>
      <c r="J7100" t="s">
        <v>24243</v>
      </c>
      <c r="K7100" s="2" t="str">
        <f>HYPERLINK("http://collections.slsa.sa.gov.au/mpcimg/13250/B13029.htm")</f>
        <v>http://collections.slsa.sa.gov.au/mpcimg/13250/B13029.htm</v>
      </c>
    </row>
    <row r="7101" spans="1:11" x14ac:dyDescent="0.25">
      <c r="A7101" t="s">
        <v>24244</v>
      </c>
      <c r="B7101" s="1" t="str">
        <f>HYPERLINK("https://www.catalog.slsa.sa.gov.au/record=b2059747")</f>
        <v>https://www.catalog.slsa.sa.gov.au/record=b2059747</v>
      </c>
      <c r="C7101" s="1" t="str">
        <f>HYPERLINK("https://www.catalog.slsa.sa.gov.au/xrecord=b2059747")</f>
        <v>https://www.catalog.slsa.sa.gov.au/xrecord=b2059747</v>
      </c>
      <c r="E7101" t="s">
        <v>24245</v>
      </c>
      <c r="F7101">
        <v>1954</v>
      </c>
      <c r="G7101" t="s">
        <v>24246</v>
      </c>
      <c r="H7101" t="s">
        <v>24247</v>
      </c>
      <c r="I7101" t="s">
        <v>23955</v>
      </c>
      <c r="J7101" t="s">
        <v>21029</v>
      </c>
      <c r="K7101" s="2" t="str">
        <f>HYPERLINK("http://collections.slsa.sa.gov.au/mpcimg/43000/B42981.htm")</f>
        <v>http://collections.slsa.sa.gov.au/mpcimg/43000/B42981.htm</v>
      </c>
    </row>
    <row r="7102" spans="1:11" x14ac:dyDescent="0.25">
      <c r="A7102" t="s">
        <v>24248</v>
      </c>
      <c r="B7102" s="1" t="str">
        <f>HYPERLINK("https://www.catalog.slsa.sa.gov.au/record=b2059748")</f>
        <v>https://www.catalog.slsa.sa.gov.au/record=b2059748</v>
      </c>
      <c r="C7102" s="1" t="str">
        <f>HYPERLINK("https://www.catalog.slsa.sa.gov.au/xrecord=b2059748")</f>
        <v>https://www.catalog.slsa.sa.gov.au/xrecord=b2059748</v>
      </c>
      <c r="E7102" t="s">
        <v>24245</v>
      </c>
      <c r="F7102">
        <v>1954</v>
      </c>
      <c r="G7102" t="s">
        <v>24249</v>
      </c>
      <c r="H7102" t="s">
        <v>24250</v>
      </c>
      <c r="I7102" t="s">
        <v>23955</v>
      </c>
      <c r="J7102" t="s">
        <v>21029</v>
      </c>
      <c r="K7102" s="2" t="str">
        <f>HYPERLINK("http://collections.slsa.sa.gov.au/mpcimg/43000/B42982.htm")</f>
        <v>http://collections.slsa.sa.gov.au/mpcimg/43000/B42982.htm</v>
      </c>
    </row>
    <row r="7103" spans="1:11" x14ac:dyDescent="0.25">
      <c r="A7103" t="s">
        <v>24251</v>
      </c>
      <c r="B7103" s="1" t="str">
        <f>HYPERLINK("https://www.catalog.slsa.sa.gov.au/record=b2059749")</f>
        <v>https://www.catalog.slsa.sa.gov.au/record=b2059749</v>
      </c>
      <c r="C7103" s="1" t="str">
        <f>HYPERLINK("https://www.catalog.slsa.sa.gov.au/xrecord=b2059749")</f>
        <v>https://www.catalog.slsa.sa.gov.au/xrecord=b2059749</v>
      </c>
      <c r="E7103" t="s">
        <v>24245</v>
      </c>
      <c r="F7103">
        <v>1954</v>
      </c>
      <c r="G7103" t="s">
        <v>24252</v>
      </c>
      <c r="H7103" t="s">
        <v>24250</v>
      </c>
      <c r="I7103" t="s">
        <v>23955</v>
      </c>
      <c r="J7103" t="s">
        <v>21029</v>
      </c>
      <c r="K7103" s="2" t="str">
        <f>HYPERLINK("http://collections.slsa.sa.gov.au/mpcimg/43000/B42983.htm")</f>
        <v>http://collections.slsa.sa.gov.au/mpcimg/43000/B42983.htm</v>
      </c>
    </row>
    <row r="7104" spans="1:11" x14ac:dyDescent="0.25">
      <c r="A7104" t="s">
        <v>24253</v>
      </c>
      <c r="B7104" s="1" t="str">
        <f>HYPERLINK("https://www.catalog.slsa.sa.gov.au/record=b2059787")</f>
        <v>https://www.catalog.slsa.sa.gov.au/record=b2059787</v>
      </c>
      <c r="C7104" s="1" t="str">
        <f>HYPERLINK("https://www.catalog.slsa.sa.gov.au/xrecord=b2059787")</f>
        <v>https://www.catalog.slsa.sa.gov.au/xrecord=b2059787</v>
      </c>
      <c r="D7104" t="s">
        <v>16831</v>
      </c>
      <c r="E7104" t="s">
        <v>15191</v>
      </c>
      <c r="F7104">
        <v>1954</v>
      </c>
      <c r="G7104" t="s">
        <v>20063</v>
      </c>
      <c r="H7104" t="s">
        <v>24254</v>
      </c>
      <c r="J7104" t="s">
        <v>24255</v>
      </c>
      <c r="K7104" s="2" t="str">
        <f>HYPERLINK("http://collections.slsa.sa.gov.au/mpcimg/13000/B12921.htm")</f>
        <v>http://collections.slsa.sa.gov.au/mpcimg/13000/B12921.htm</v>
      </c>
    </row>
    <row r="7105" spans="1:11" x14ac:dyDescent="0.25">
      <c r="A7105" t="s">
        <v>24256</v>
      </c>
      <c r="B7105" s="1" t="str">
        <f>HYPERLINK("https://www.catalog.slsa.sa.gov.au/record=b2059801")</f>
        <v>https://www.catalog.slsa.sa.gov.au/record=b2059801</v>
      </c>
      <c r="C7105" s="1" t="str">
        <f>HYPERLINK("https://www.catalog.slsa.sa.gov.au/xrecord=b2059801")</f>
        <v>https://www.catalog.slsa.sa.gov.au/xrecord=b2059801</v>
      </c>
      <c r="D7105" t="s">
        <v>16831</v>
      </c>
      <c r="E7105" t="s">
        <v>21014</v>
      </c>
      <c r="F7105">
        <v>1954</v>
      </c>
      <c r="G7105" t="s">
        <v>20063</v>
      </c>
      <c r="H7105" t="s">
        <v>24257</v>
      </c>
      <c r="J7105" t="s">
        <v>22860</v>
      </c>
      <c r="K7105" s="2" t="str">
        <f>HYPERLINK("http://collections.slsa.sa.gov.au/mpcimg/13250/B13051.htm")</f>
        <v>http://collections.slsa.sa.gov.au/mpcimg/13250/B13051.htm</v>
      </c>
    </row>
    <row r="7106" spans="1:11" x14ac:dyDescent="0.25">
      <c r="A7106" t="s">
        <v>24258</v>
      </c>
      <c r="B7106" s="1" t="str">
        <f>HYPERLINK("https://www.catalog.slsa.sa.gov.au/record=b2059802")</f>
        <v>https://www.catalog.slsa.sa.gov.au/record=b2059802</v>
      </c>
      <c r="C7106" s="1" t="str">
        <f>HYPERLINK("https://www.catalog.slsa.sa.gov.au/xrecord=b2059802")</f>
        <v>https://www.catalog.slsa.sa.gov.au/xrecord=b2059802</v>
      </c>
      <c r="D7106" t="s">
        <v>16831</v>
      </c>
      <c r="E7106" t="s">
        <v>23996</v>
      </c>
      <c r="F7106">
        <v>1954</v>
      </c>
      <c r="G7106" t="s">
        <v>20063</v>
      </c>
      <c r="H7106" t="s">
        <v>24259</v>
      </c>
      <c r="J7106" t="s">
        <v>22860</v>
      </c>
      <c r="K7106" s="2" t="str">
        <f>HYPERLINK("http://collections.slsa.sa.gov.au/mpcimg/13250/B13052.htm")</f>
        <v>http://collections.slsa.sa.gov.au/mpcimg/13250/B13052.htm</v>
      </c>
    </row>
    <row r="7107" spans="1:11" x14ac:dyDescent="0.25">
      <c r="A7107" t="s">
        <v>24260</v>
      </c>
      <c r="B7107" s="1" t="str">
        <f>HYPERLINK("https://www.catalog.slsa.sa.gov.au/record=b2059817")</f>
        <v>https://www.catalog.slsa.sa.gov.au/record=b2059817</v>
      </c>
      <c r="C7107" s="1" t="str">
        <f>HYPERLINK("https://www.catalog.slsa.sa.gov.au/xrecord=b2059817")</f>
        <v>https://www.catalog.slsa.sa.gov.au/xrecord=b2059817</v>
      </c>
      <c r="D7107" t="s">
        <v>16831</v>
      </c>
      <c r="E7107" t="s">
        <v>15191</v>
      </c>
      <c r="F7107">
        <v>1954</v>
      </c>
      <c r="G7107" t="s">
        <v>20063</v>
      </c>
      <c r="H7107" t="s">
        <v>24261</v>
      </c>
      <c r="J7107" t="s">
        <v>21039</v>
      </c>
      <c r="K7107" s="2" t="str">
        <f>HYPERLINK("http://collections.slsa.sa.gov.au/mpcimg/13000/B12934.htm")</f>
        <v>http://collections.slsa.sa.gov.au/mpcimg/13000/B12934.htm</v>
      </c>
    </row>
    <row r="7108" spans="1:11" x14ac:dyDescent="0.25">
      <c r="A7108" t="s">
        <v>24262</v>
      </c>
      <c r="B7108" s="1" t="str">
        <f>HYPERLINK("https://www.catalog.slsa.sa.gov.au/record=b2059818")</f>
        <v>https://www.catalog.slsa.sa.gov.au/record=b2059818</v>
      </c>
      <c r="C7108" s="1" t="str">
        <f>HYPERLINK("https://www.catalog.slsa.sa.gov.au/xrecord=b2059818")</f>
        <v>https://www.catalog.slsa.sa.gov.au/xrecord=b2059818</v>
      </c>
      <c r="D7108" t="s">
        <v>16831</v>
      </c>
      <c r="E7108" t="s">
        <v>23996</v>
      </c>
      <c r="F7108">
        <v>1954</v>
      </c>
      <c r="G7108" t="s">
        <v>20063</v>
      </c>
      <c r="H7108" t="s">
        <v>24263</v>
      </c>
      <c r="J7108" t="s">
        <v>21039</v>
      </c>
      <c r="K7108" s="2" t="str">
        <f>HYPERLINK("http://collections.slsa.sa.gov.au/mpcimg/13250/B13175.htm")</f>
        <v>http://collections.slsa.sa.gov.au/mpcimg/13250/B13175.htm</v>
      </c>
    </row>
    <row r="7109" spans="1:11" x14ac:dyDescent="0.25">
      <c r="A7109" t="s">
        <v>24264</v>
      </c>
      <c r="B7109" s="1" t="str">
        <f>HYPERLINK("https://www.catalog.slsa.sa.gov.au/record=b2059819")</f>
        <v>https://www.catalog.slsa.sa.gov.au/record=b2059819</v>
      </c>
      <c r="C7109" s="1" t="str">
        <f>HYPERLINK("https://www.catalog.slsa.sa.gov.au/xrecord=b2059819")</f>
        <v>https://www.catalog.slsa.sa.gov.au/xrecord=b2059819</v>
      </c>
      <c r="D7109" t="s">
        <v>16831</v>
      </c>
      <c r="E7109" t="s">
        <v>24265</v>
      </c>
      <c r="F7109">
        <v>1954</v>
      </c>
      <c r="G7109" t="s">
        <v>20063</v>
      </c>
      <c r="H7109" t="s">
        <v>24266</v>
      </c>
      <c r="J7109" t="s">
        <v>21039</v>
      </c>
      <c r="K7109" s="2" t="str">
        <f>HYPERLINK("http://collections.slsa.sa.gov.au/mpcimg/13250/B13199.htm")</f>
        <v>http://collections.slsa.sa.gov.au/mpcimg/13250/B13199.htm</v>
      </c>
    </row>
    <row r="7110" spans="1:11" x14ac:dyDescent="0.25">
      <c r="A7110" t="s">
        <v>24267</v>
      </c>
      <c r="B7110" s="1" t="str">
        <f>HYPERLINK("https://www.catalog.slsa.sa.gov.au/record=b2059876")</f>
        <v>https://www.catalog.slsa.sa.gov.au/record=b2059876</v>
      </c>
      <c r="C7110" s="1" t="str">
        <f>HYPERLINK("https://www.catalog.slsa.sa.gov.au/xrecord=b2059876")</f>
        <v>https://www.catalog.slsa.sa.gov.au/xrecord=b2059876</v>
      </c>
      <c r="D7110" t="s">
        <v>16831</v>
      </c>
      <c r="E7110" t="s">
        <v>15191</v>
      </c>
      <c r="F7110">
        <v>1954</v>
      </c>
      <c r="G7110" t="s">
        <v>24025</v>
      </c>
      <c r="H7110" t="s">
        <v>24268</v>
      </c>
      <c r="J7110" t="s">
        <v>24269</v>
      </c>
      <c r="K7110" s="2" t="str">
        <f>HYPERLINK("http://collections.slsa.sa.gov.au/mpcimg/13500/B13368.htm")</f>
        <v>http://collections.slsa.sa.gov.au/mpcimg/13500/B13368.htm</v>
      </c>
    </row>
    <row r="7111" spans="1:11" x14ac:dyDescent="0.25">
      <c r="A7111" t="s">
        <v>24270</v>
      </c>
      <c r="B7111" s="1" t="str">
        <f>HYPERLINK("https://www.catalog.slsa.sa.gov.au/record=b2059901")</f>
        <v>https://www.catalog.slsa.sa.gov.au/record=b2059901</v>
      </c>
      <c r="C7111" s="1" t="str">
        <f>HYPERLINK("https://www.catalog.slsa.sa.gov.au/xrecord=b2059901")</f>
        <v>https://www.catalog.slsa.sa.gov.au/xrecord=b2059901</v>
      </c>
      <c r="D7111" t="s">
        <v>16831</v>
      </c>
      <c r="E7111" t="s">
        <v>15191</v>
      </c>
      <c r="F7111">
        <v>1954</v>
      </c>
      <c r="G7111" t="s">
        <v>20063</v>
      </c>
      <c r="H7111" t="s">
        <v>24271</v>
      </c>
      <c r="J7111" t="s">
        <v>24272</v>
      </c>
      <c r="K7111" s="2" t="str">
        <f>HYPERLINK("http://collections.slsa.sa.gov.au/mpcimg/13250/B13039.htm")</f>
        <v>http://collections.slsa.sa.gov.au/mpcimg/13250/B13039.htm</v>
      </c>
    </row>
    <row r="7112" spans="1:11" x14ac:dyDescent="0.25">
      <c r="A7112" t="s">
        <v>24273</v>
      </c>
      <c r="B7112" s="1" t="str">
        <f>HYPERLINK("https://www.catalog.slsa.sa.gov.au/record=b2060121")</f>
        <v>https://www.catalog.slsa.sa.gov.au/record=b2060121</v>
      </c>
      <c r="C7112" s="1" t="str">
        <f>HYPERLINK("https://www.catalog.slsa.sa.gov.au/xrecord=b2060121")</f>
        <v>https://www.catalog.slsa.sa.gov.au/xrecord=b2060121</v>
      </c>
      <c r="D7112" t="s">
        <v>16831</v>
      </c>
      <c r="E7112" t="s">
        <v>5365</v>
      </c>
      <c r="F7112">
        <v>1954</v>
      </c>
      <c r="G7112" t="s">
        <v>20063</v>
      </c>
      <c r="H7112" t="s">
        <v>24274</v>
      </c>
      <c r="J7112" t="s">
        <v>21063</v>
      </c>
      <c r="K7112" s="2" t="str">
        <f>HYPERLINK("http://collections.slsa.sa.gov.au/mpcimg/13000/B12987.htm")</f>
        <v>http://collections.slsa.sa.gov.au/mpcimg/13000/B12987.htm</v>
      </c>
    </row>
    <row r="7113" spans="1:11" x14ac:dyDescent="0.25">
      <c r="A7113" t="s">
        <v>24275</v>
      </c>
      <c r="B7113" s="1" t="str">
        <f>HYPERLINK("https://www.catalog.slsa.sa.gov.au/record=b2060198")</f>
        <v>https://www.catalog.slsa.sa.gov.au/record=b2060198</v>
      </c>
      <c r="C7113" s="1" t="str">
        <f>HYPERLINK("https://www.catalog.slsa.sa.gov.au/xrecord=b2060198")</f>
        <v>https://www.catalog.slsa.sa.gov.au/xrecord=b2060198</v>
      </c>
      <c r="D7113" t="s">
        <v>16831</v>
      </c>
      <c r="E7113" t="s">
        <v>24276</v>
      </c>
      <c r="F7113">
        <v>1954</v>
      </c>
      <c r="G7113" t="s">
        <v>20063</v>
      </c>
      <c r="H7113" t="s">
        <v>24277</v>
      </c>
      <c r="I7113" t="s">
        <v>24278</v>
      </c>
      <c r="J7113" t="s">
        <v>24279</v>
      </c>
      <c r="K7113" s="2" t="str">
        <f>HYPERLINK("http://collections.slsa.sa.gov.au/mpcimg/13250/B13076.htm")</f>
        <v>http://collections.slsa.sa.gov.au/mpcimg/13250/B13076.htm</v>
      </c>
    </row>
    <row r="7114" spans="1:11" x14ac:dyDescent="0.25">
      <c r="A7114" t="s">
        <v>24280</v>
      </c>
      <c r="B7114" s="1" t="str">
        <f>HYPERLINK("https://www.catalog.slsa.sa.gov.au/record=b2060215")</f>
        <v>https://www.catalog.slsa.sa.gov.au/record=b2060215</v>
      </c>
      <c r="C7114" s="1" t="str">
        <f>HYPERLINK("https://www.catalog.slsa.sa.gov.au/xrecord=b2060215")</f>
        <v>https://www.catalog.slsa.sa.gov.au/xrecord=b2060215</v>
      </c>
      <c r="D7114" t="s">
        <v>16831</v>
      </c>
      <c r="E7114" t="s">
        <v>24281</v>
      </c>
      <c r="F7114">
        <v>1954</v>
      </c>
      <c r="G7114" t="s">
        <v>20063</v>
      </c>
      <c r="H7114" t="s">
        <v>24282</v>
      </c>
      <c r="I7114" t="s">
        <v>24283</v>
      </c>
      <c r="J7114" t="s">
        <v>24284</v>
      </c>
      <c r="K7114" s="2" t="str">
        <f>HYPERLINK("http://collections.slsa.sa.gov.au/mpcimg/13250/B13074.htm")</f>
        <v>http://collections.slsa.sa.gov.au/mpcimg/13250/B13074.htm</v>
      </c>
    </row>
    <row r="7115" spans="1:11" x14ac:dyDescent="0.25">
      <c r="A7115" t="s">
        <v>24285</v>
      </c>
      <c r="B7115" s="1" t="str">
        <f>HYPERLINK("https://www.catalog.slsa.sa.gov.au/record=b2060253")</f>
        <v>https://www.catalog.slsa.sa.gov.au/record=b2060253</v>
      </c>
      <c r="C7115" s="1" t="str">
        <f>HYPERLINK("https://www.catalog.slsa.sa.gov.au/xrecord=b2060253")</f>
        <v>https://www.catalog.slsa.sa.gov.au/xrecord=b2060253</v>
      </c>
      <c r="D7115" t="s">
        <v>16831</v>
      </c>
      <c r="E7115" t="s">
        <v>24276</v>
      </c>
      <c r="F7115">
        <v>1954</v>
      </c>
      <c r="G7115" t="s">
        <v>20063</v>
      </c>
      <c r="H7115" t="s">
        <v>24286</v>
      </c>
      <c r="J7115" t="s">
        <v>24287</v>
      </c>
      <c r="K7115" s="2" t="str">
        <f>HYPERLINK("http://collections.slsa.sa.gov.au/mpcimg/13250/B13068.htm")</f>
        <v>http://collections.slsa.sa.gov.au/mpcimg/13250/B13068.htm</v>
      </c>
    </row>
    <row r="7116" spans="1:11" x14ac:dyDescent="0.25">
      <c r="A7116" t="s">
        <v>24288</v>
      </c>
      <c r="B7116" s="1" t="str">
        <f>HYPERLINK("https://www.catalog.slsa.sa.gov.au/record=b2060254")</f>
        <v>https://www.catalog.slsa.sa.gov.au/record=b2060254</v>
      </c>
      <c r="C7116" s="1" t="str">
        <f>HYPERLINK("https://www.catalog.slsa.sa.gov.au/xrecord=b2060254")</f>
        <v>https://www.catalog.slsa.sa.gov.au/xrecord=b2060254</v>
      </c>
      <c r="D7116" t="s">
        <v>16831</v>
      </c>
      <c r="E7116" t="s">
        <v>24289</v>
      </c>
      <c r="F7116">
        <v>1954</v>
      </c>
      <c r="G7116" t="s">
        <v>20063</v>
      </c>
      <c r="H7116" t="s">
        <v>24290</v>
      </c>
      <c r="I7116" t="s">
        <v>24177</v>
      </c>
      <c r="J7116" t="s">
        <v>24287</v>
      </c>
      <c r="K7116" s="2" t="str">
        <f>HYPERLINK("http://collections.slsa.sa.gov.au/mpcimg/13250/B13152.htm")</f>
        <v>http://collections.slsa.sa.gov.au/mpcimg/13250/B13152.htm</v>
      </c>
    </row>
    <row r="7117" spans="1:11" x14ac:dyDescent="0.25">
      <c r="A7117" t="s">
        <v>24291</v>
      </c>
      <c r="B7117" s="1" t="str">
        <f>HYPERLINK("https://www.catalog.slsa.sa.gov.au/record=b2060255")</f>
        <v>https://www.catalog.slsa.sa.gov.au/record=b2060255</v>
      </c>
      <c r="C7117" s="1" t="str">
        <f>HYPERLINK("https://www.catalog.slsa.sa.gov.au/xrecord=b2060255")</f>
        <v>https://www.catalog.slsa.sa.gov.au/xrecord=b2060255</v>
      </c>
      <c r="D7117" t="s">
        <v>16831</v>
      </c>
      <c r="E7117" t="s">
        <v>24289</v>
      </c>
      <c r="F7117">
        <v>1954</v>
      </c>
      <c r="G7117" t="s">
        <v>20063</v>
      </c>
      <c r="H7117" t="s">
        <v>24292</v>
      </c>
      <c r="I7117" t="s">
        <v>24177</v>
      </c>
      <c r="J7117" t="s">
        <v>24287</v>
      </c>
      <c r="K7117" s="2" t="str">
        <f>HYPERLINK("http://collections.slsa.sa.gov.au/mpcimg/13250/B13153.htm")</f>
        <v>http://collections.slsa.sa.gov.au/mpcimg/13250/B13153.htm</v>
      </c>
    </row>
    <row r="7118" spans="1:11" x14ac:dyDescent="0.25">
      <c r="A7118" t="s">
        <v>24293</v>
      </c>
      <c r="B7118" s="1" t="str">
        <f>HYPERLINK("https://www.catalog.slsa.sa.gov.au/record=b2060292")</f>
        <v>https://www.catalog.slsa.sa.gov.au/record=b2060292</v>
      </c>
      <c r="C7118" s="1" t="str">
        <f>HYPERLINK("https://www.catalog.slsa.sa.gov.au/xrecord=b2060292")</f>
        <v>https://www.catalog.slsa.sa.gov.au/xrecord=b2060292</v>
      </c>
      <c r="D7118" t="s">
        <v>16831</v>
      </c>
      <c r="E7118" t="s">
        <v>24276</v>
      </c>
      <c r="F7118">
        <v>1954</v>
      </c>
      <c r="G7118" t="s">
        <v>20063</v>
      </c>
      <c r="H7118" t="s">
        <v>24294</v>
      </c>
      <c r="J7118" t="s">
        <v>24295</v>
      </c>
      <c r="K7118" s="2" t="str">
        <f>HYPERLINK("http://collections.slsa.sa.gov.au/mpcimg/13250/B13069.htm")</f>
        <v>http://collections.slsa.sa.gov.au/mpcimg/13250/B13069.htm</v>
      </c>
    </row>
    <row r="7119" spans="1:11" x14ac:dyDescent="0.25">
      <c r="A7119" t="s">
        <v>24296</v>
      </c>
      <c r="B7119" s="1" t="str">
        <f>HYPERLINK("https://www.catalog.slsa.sa.gov.au/record=b2060317")</f>
        <v>https://www.catalog.slsa.sa.gov.au/record=b2060317</v>
      </c>
      <c r="C7119" s="1" t="str">
        <f>HYPERLINK("https://www.catalog.slsa.sa.gov.au/xrecord=b2060317")</f>
        <v>https://www.catalog.slsa.sa.gov.au/xrecord=b2060317</v>
      </c>
      <c r="D7119" t="s">
        <v>16831</v>
      </c>
      <c r="E7119" t="s">
        <v>21061</v>
      </c>
      <c r="F7119">
        <v>1954</v>
      </c>
      <c r="G7119" t="s">
        <v>20063</v>
      </c>
      <c r="H7119" t="s">
        <v>24297</v>
      </c>
      <c r="J7119" t="s">
        <v>24298</v>
      </c>
      <c r="K7119" s="2" t="str">
        <f>HYPERLINK("http://collections.slsa.sa.gov.au/mpcimg/13000/B12936.htm")</f>
        <v>http://collections.slsa.sa.gov.au/mpcimg/13000/B12936.htm</v>
      </c>
    </row>
    <row r="7120" spans="1:11" x14ac:dyDescent="0.25">
      <c r="A7120" t="s">
        <v>24299</v>
      </c>
      <c r="B7120" s="1" t="str">
        <f>HYPERLINK("https://www.catalog.slsa.sa.gov.au/record=b2060318")</f>
        <v>https://www.catalog.slsa.sa.gov.au/record=b2060318</v>
      </c>
      <c r="C7120" s="1" t="str">
        <f>HYPERLINK("https://www.catalog.slsa.sa.gov.au/xrecord=b2060318")</f>
        <v>https://www.catalog.slsa.sa.gov.au/xrecord=b2060318</v>
      </c>
      <c r="D7120" t="s">
        <v>16831</v>
      </c>
      <c r="E7120" t="s">
        <v>24300</v>
      </c>
      <c r="F7120">
        <v>1954</v>
      </c>
      <c r="G7120" t="s">
        <v>20063</v>
      </c>
      <c r="H7120" t="s">
        <v>24301</v>
      </c>
      <c r="J7120" t="s">
        <v>24302</v>
      </c>
      <c r="K7120" s="2" t="str">
        <f>HYPERLINK("http://collections.slsa.sa.gov.au/mpcimg/13000/B12954.htm")</f>
        <v>http://collections.slsa.sa.gov.au/mpcimg/13000/B12954.htm</v>
      </c>
    </row>
    <row r="7121" spans="1:11" x14ac:dyDescent="0.25">
      <c r="A7121" t="s">
        <v>24303</v>
      </c>
      <c r="B7121" s="1" t="str">
        <f>HYPERLINK("https://www.catalog.slsa.sa.gov.au/record=b2060319")</f>
        <v>https://www.catalog.slsa.sa.gov.au/record=b2060319</v>
      </c>
      <c r="C7121" s="1" t="str">
        <f>HYPERLINK("https://www.catalog.slsa.sa.gov.au/xrecord=b2060319")</f>
        <v>https://www.catalog.slsa.sa.gov.au/xrecord=b2060319</v>
      </c>
      <c r="D7121" t="s">
        <v>16831</v>
      </c>
      <c r="E7121" t="s">
        <v>24304</v>
      </c>
      <c r="F7121">
        <v>1954</v>
      </c>
      <c r="G7121" t="s">
        <v>20063</v>
      </c>
      <c r="H7121" t="s">
        <v>24305</v>
      </c>
      <c r="I7121" t="s">
        <v>21245</v>
      </c>
      <c r="J7121" t="s">
        <v>24298</v>
      </c>
      <c r="K7121" s="2" t="str">
        <f>HYPERLINK("http://collections.slsa.sa.gov.au/mpcimg/13250/B13154.htm")</f>
        <v>http://collections.slsa.sa.gov.au/mpcimg/13250/B13154.htm</v>
      </c>
    </row>
    <row r="7122" spans="1:11" x14ac:dyDescent="0.25">
      <c r="A7122" t="s">
        <v>24306</v>
      </c>
      <c r="B7122" s="1" t="str">
        <f>HYPERLINK("https://www.catalog.slsa.sa.gov.au/record=b2060432")</f>
        <v>https://www.catalog.slsa.sa.gov.au/record=b2060432</v>
      </c>
      <c r="C7122" s="1" t="str">
        <f>HYPERLINK("https://www.catalog.slsa.sa.gov.au/xrecord=b2060432")</f>
        <v>https://www.catalog.slsa.sa.gov.au/xrecord=b2060432</v>
      </c>
      <c r="D7122" t="s">
        <v>16831</v>
      </c>
      <c r="E7122" t="s">
        <v>24307</v>
      </c>
      <c r="F7122">
        <v>1954</v>
      </c>
      <c r="G7122" t="s">
        <v>20063</v>
      </c>
      <c r="H7122" t="s">
        <v>24308</v>
      </c>
      <c r="J7122" t="s">
        <v>24309</v>
      </c>
      <c r="K7122" s="2" t="str">
        <f>HYPERLINK("http://collections.slsa.sa.gov.au/mpcimg/13250/B13045.htm")</f>
        <v>http://collections.slsa.sa.gov.au/mpcimg/13250/B13045.htm</v>
      </c>
    </row>
    <row r="7123" spans="1:11" x14ac:dyDescent="0.25">
      <c r="A7123" t="s">
        <v>24310</v>
      </c>
      <c r="B7123" s="1" t="str">
        <f>HYPERLINK("https://www.catalog.slsa.sa.gov.au/record=b2060448")</f>
        <v>https://www.catalog.slsa.sa.gov.au/record=b2060448</v>
      </c>
      <c r="C7123" s="1" t="str">
        <f>HYPERLINK("https://www.catalog.slsa.sa.gov.au/xrecord=b2060448")</f>
        <v>https://www.catalog.slsa.sa.gov.au/xrecord=b2060448</v>
      </c>
      <c r="D7123" t="s">
        <v>16831</v>
      </c>
      <c r="E7123" t="s">
        <v>24311</v>
      </c>
      <c r="F7123">
        <v>1954</v>
      </c>
      <c r="G7123" t="s">
        <v>20063</v>
      </c>
      <c r="H7123" t="s">
        <v>24312</v>
      </c>
      <c r="J7123" t="s">
        <v>21078</v>
      </c>
      <c r="K7123" s="2" t="str">
        <f>HYPERLINK("http://collections.slsa.sa.gov.au/mpcimg/13000/B12989.htm")</f>
        <v>http://collections.slsa.sa.gov.au/mpcimg/13000/B12989.htm</v>
      </c>
    </row>
    <row r="7124" spans="1:11" x14ac:dyDescent="0.25">
      <c r="A7124" t="s">
        <v>24313</v>
      </c>
      <c r="B7124" s="1" t="str">
        <f>HYPERLINK("https://www.catalog.slsa.sa.gov.au/record=b2060528")</f>
        <v>https://www.catalog.slsa.sa.gov.au/record=b2060528</v>
      </c>
      <c r="C7124" s="1" t="str">
        <f>HYPERLINK("https://www.catalog.slsa.sa.gov.au/xrecord=b2060528")</f>
        <v>https://www.catalog.slsa.sa.gov.au/xrecord=b2060528</v>
      </c>
      <c r="D7124" t="s">
        <v>16831</v>
      </c>
      <c r="E7124" t="s">
        <v>5365</v>
      </c>
      <c r="F7124">
        <v>1954</v>
      </c>
      <c r="G7124" t="s">
        <v>20063</v>
      </c>
      <c r="H7124" t="s">
        <v>24314</v>
      </c>
      <c r="J7124" t="s">
        <v>22871</v>
      </c>
      <c r="K7124" s="2" t="str">
        <f>HYPERLINK("http://collections.slsa.sa.gov.au/mpcimg/13000/B12992.htm")</f>
        <v>http://collections.slsa.sa.gov.au/mpcimg/13000/B12992.htm</v>
      </c>
    </row>
    <row r="7125" spans="1:11" x14ac:dyDescent="0.25">
      <c r="A7125" t="s">
        <v>24315</v>
      </c>
      <c r="B7125" s="1" t="str">
        <f>HYPERLINK("https://www.catalog.slsa.sa.gov.au/record=b2060751")</f>
        <v>https://www.catalog.slsa.sa.gov.au/record=b2060751</v>
      </c>
      <c r="C7125" s="1" t="str">
        <f>HYPERLINK("https://www.catalog.slsa.sa.gov.au/xrecord=b2060751")</f>
        <v>https://www.catalog.slsa.sa.gov.au/xrecord=b2060751</v>
      </c>
      <c r="D7125" t="s">
        <v>16831</v>
      </c>
      <c r="E7125" t="s">
        <v>24316</v>
      </c>
      <c r="F7125">
        <v>1954</v>
      </c>
      <c r="G7125" t="s">
        <v>20063</v>
      </c>
      <c r="H7125" t="s">
        <v>24317</v>
      </c>
      <c r="J7125" t="s">
        <v>24318</v>
      </c>
      <c r="K7125" s="2" t="str">
        <f>HYPERLINK("http://collections.slsa.sa.gov.au/mpcimg/13250/B13061.htm")</f>
        <v>http://collections.slsa.sa.gov.au/mpcimg/13250/B13061.htm</v>
      </c>
    </row>
    <row r="7126" spans="1:11" x14ac:dyDescent="0.25">
      <c r="A7126" t="s">
        <v>24319</v>
      </c>
      <c r="B7126" s="1" t="str">
        <f>HYPERLINK("https://www.catalog.slsa.sa.gov.au/record=b2060778")</f>
        <v>https://www.catalog.slsa.sa.gov.au/record=b2060778</v>
      </c>
      <c r="C7126" s="1" t="str">
        <f>HYPERLINK("https://www.catalog.slsa.sa.gov.au/xrecord=b2060778")</f>
        <v>https://www.catalog.slsa.sa.gov.au/xrecord=b2060778</v>
      </c>
      <c r="D7126" t="s">
        <v>16831</v>
      </c>
      <c r="E7126" t="s">
        <v>24320</v>
      </c>
      <c r="F7126">
        <v>1954</v>
      </c>
      <c r="G7126" t="s">
        <v>20063</v>
      </c>
      <c r="H7126" t="s">
        <v>24321</v>
      </c>
      <c r="I7126" t="s">
        <v>24177</v>
      </c>
      <c r="J7126" t="s">
        <v>22875</v>
      </c>
      <c r="K7126" s="2" t="str">
        <f>HYPERLINK("http://collections.slsa.sa.gov.au/mpcimg/13250/B13066.htm")</f>
        <v>http://collections.slsa.sa.gov.au/mpcimg/13250/B13066.htm</v>
      </c>
    </row>
    <row r="7127" spans="1:11" x14ac:dyDescent="0.25">
      <c r="A7127" t="s">
        <v>24322</v>
      </c>
      <c r="B7127" s="1" t="str">
        <f>HYPERLINK("https://www.catalog.slsa.sa.gov.au/record=b2060779")</f>
        <v>https://www.catalog.slsa.sa.gov.au/record=b2060779</v>
      </c>
      <c r="C7127" s="1" t="str">
        <f>HYPERLINK("https://www.catalog.slsa.sa.gov.au/xrecord=b2060779")</f>
        <v>https://www.catalog.slsa.sa.gov.au/xrecord=b2060779</v>
      </c>
      <c r="D7127" t="s">
        <v>16831</v>
      </c>
      <c r="E7127" t="s">
        <v>24320</v>
      </c>
      <c r="F7127">
        <v>1954</v>
      </c>
      <c r="G7127" t="s">
        <v>20063</v>
      </c>
      <c r="H7127" t="s">
        <v>24323</v>
      </c>
      <c r="I7127" t="s">
        <v>24177</v>
      </c>
      <c r="J7127" t="s">
        <v>22875</v>
      </c>
      <c r="K7127" s="2" t="str">
        <f>HYPERLINK("http://collections.slsa.sa.gov.au/mpcimg/13250/B13067.htm")</f>
        <v>http://collections.slsa.sa.gov.au/mpcimg/13250/B13067.htm</v>
      </c>
    </row>
    <row r="7128" spans="1:11" x14ac:dyDescent="0.25">
      <c r="A7128" t="s">
        <v>24324</v>
      </c>
      <c r="B7128" s="1" t="str">
        <f>HYPERLINK("https://www.catalog.slsa.sa.gov.au/record=b2060780")</f>
        <v>https://www.catalog.slsa.sa.gov.au/record=b2060780</v>
      </c>
      <c r="C7128" s="1" t="str">
        <f>HYPERLINK("https://www.catalog.slsa.sa.gov.au/xrecord=b2060780")</f>
        <v>https://www.catalog.slsa.sa.gov.au/xrecord=b2060780</v>
      </c>
      <c r="D7128" t="s">
        <v>16831</v>
      </c>
      <c r="E7128" t="s">
        <v>24316</v>
      </c>
      <c r="F7128">
        <v>1954</v>
      </c>
      <c r="G7128" t="s">
        <v>20063</v>
      </c>
      <c r="H7128" t="s">
        <v>24325</v>
      </c>
      <c r="I7128" t="s">
        <v>24177</v>
      </c>
      <c r="J7128" t="s">
        <v>22875</v>
      </c>
      <c r="K7128" s="2" t="str">
        <f>HYPERLINK("http://collections.slsa.sa.gov.au/mpcimg/13250/B13198.htm")</f>
        <v>http://collections.slsa.sa.gov.au/mpcimg/13250/B13198.htm</v>
      </c>
    </row>
    <row r="7129" spans="1:11" x14ac:dyDescent="0.25">
      <c r="A7129" t="s">
        <v>24326</v>
      </c>
      <c r="B7129" s="1" t="str">
        <f>HYPERLINK("https://www.catalog.slsa.sa.gov.au/record=b2060786")</f>
        <v>https://www.catalog.slsa.sa.gov.au/record=b2060786</v>
      </c>
      <c r="C7129" s="1" t="str">
        <f>HYPERLINK("https://www.catalog.slsa.sa.gov.au/xrecord=b2060786")</f>
        <v>https://www.catalog.slsa.sa.gov.au/xrecord=b2060786</v>
      </c>
      <c r="D7129" t="s">
        <v>16831</v>
      </c>
      <c r="E7129" t="s">
        <v>20100</v>
      </c>
      <c r="F7129">
        <v>1954</v>
      </c>
      <c r="G7129" t="s">
        <v>20063</v>
      </c>
      <c r="H7129" t="s">
        <v>24327</v>
      </c>
      <c r="J7129" t="s">
        <v>24328</v>
      </c>
      <c r="K7129" s="2" t="str">
        <f>HYPERLINK("http://collections.slsa.sa.gov.au/mpcimg/13250/B13044.htm")</f>
        <v>http://collections.slsa.sa.gov.au/mpcimg/13250/B13044.htm</v>
      </c>
    </row>
    <row r="7130" spans="1:11" x14ac:dyDescent="0.25">
      <c r="A7130" t="s">
        <v>24329</v>
      </c>
      <c r="B7130" s="1" t="str">
        <f>HYPERLINK("https://www.catalog.slsa.sa.gov.au/record=b2060858")</f>
        <v>https://www.catalog.slsa.sa.gov.au/record=b2060858</v>
      </c>
      <c r="C7130" s="1" t="str">
        <f>HYPERLINK("https://www.catalog.slsa.sa.gov.au/xrecord=b2060858")</f>
        <v>https://www.catalog.slsa.sa.gov.au/xrecord=b2060858</v>
      </c>
      <c r="D7130" t="s">
        <v>16831</v>
      </c>
      <c r="E7130" t="s">
        <v>22880</v>
      </c>
      <c r="F7130">
        <v>1954</v>
      </c>
      <c r="G7130" t="s">
        <v>20063</v>
      </c>
      <c r="H7130" t="s">
        <v>24330</v>
      </c>
      <c r="J7130" t="s">
        <v>24331</v>
      </c>
      <c r="K7130" s="2" t="str">
        <f>HYPERLINK("http://collections.slsa.sa.gov.au/mpcimg/13250/B13031.htm")</f>
        <v>http://collections.slsa.sa.gov.au/mpcimg/13250/B13031.htm</v>
      </c>
    </row>
    <row r="7131" spans="1:11" x14ac:dyDescent="0.25">
      <c r="A7131" t="s">
        <v>24332</v>
      </c>
      <c r="B7131" s="1" t="str">
        <f>HYPERLINK("https://www.catalog.slsa.sa.gov.au/record=b2060859")</f>
        <v>https://www.catalog.slsa.sa.gov.au/record=b2060859</v>
      </c>
      <c r="C7131" s="1" t="str">
        <f>HYPERLINK("https://www.catalog.slsa.sa.gov.au/xrecord=b2060859")</f>
        <v>https://www.catalog.slsa.sa.gov.au/xrecord=b2060859</v>
      </c>
      <c r="D7131" t="s">
        <v>16831</v>
      </c>
      <c r="E7131" t="s">
        <v>22880</v>
      </c>
      <c r="F7131">
        <v>1954</v>
      </c>
      <c r="G7131" t="s">
        <v>20063</v>
      </c>
      <c r="H7131" t="s">
        <v>24333</v>
      </c>
      <c r="J7131" t="s">
        <v>24331</v>
      </c>
      <c r="K7131" s="2" t="str">
        <f>HYPERLINK("http://collections.slsa.sa.gov.au/mpcimg/13250/B13032.htm")</f>
        <v>http://collections.slsa.sa.gov.au/mpcimg/13250/B13032.htm</v>
      </c>
    </row>
    <row r="7132" spans="1:11" x14ac:dyDescent="0.25">
      <c r="A7132" t="s">
        <v>24334</v>
      </c>
      <c r="B7132" s="1" t="str">
        <f>HYPERLINK("https://www.catalog.slsa.sa.gov.au/record=b2060860")</f>
        <v>https://www.catalog.slsa.sa.gov.au/record=b2060860</v>
      </c>
      <c r="C7132" s="1" t="str">
        <f>HYPERLINK("https://www.catalog.slsa.sa.gov.au/xrecord=b2060860")</f>
        <v>https://www.catalog.slsa.sa.gov.au/xrecord=b2060860</v>
      </c>
      <c r="D7132" t="s">
        <v>16831</v>
      </c>
      <c r="E7132" t="s">
        <v>22880</v>
      </c>
      <c r="F7132">
        <v>1954</v>
      </c>
      <c r="G7132" t="s">
        <v>20063</v>
      </c>
      <c r="H7132" t="s">
        <v>24335</v>
      </c>
      <c r="J7132" t="s">
        <v>24331</v>
      </c>
      <c r="K7132" s="2" t="str">
        <f>HYPERLINK("http://collections.slsa.sa.gov.au/mpcimg/13250/B13033.htm")</f>
        <v>http://collections.slsa.sa.gov.au/mpcimg/13250/B13033.htm</v>
      </c>
    </row>
    <row r="7133" spans="1:11" x14ac:dyDescent="0.25">
      <c r="A7133" t="s">
        <v>24336</v>
      </c>
      <c r="B7133" s="1" t="str">
        <f>HYPERLINK("https://www.catalog.slsa.sa.gov.au/record=b2060869")</f>
        <v>https://www.catalog.slsa.sa.gov.au/record=b2060869</v>
      </c>
      <c r="C7133" s="1" t="str">
        <f>HYPERLINK("https://www.catalog.slsa.sa.gov.au/xrecord=b2060869")</f>
        <v>https://www.catalog.slsa.sa.gov.au/xrecord=b2060869</v>
      </c>
      <c r="D7133" t="s">
        <v>16831</v>
      </c>
      <c r="E7133" t="s">
        <v>21111</v>
      </c>
      <c r="F7133">
        <v>1954</v>
      </c>
      <c r="G7133" t="s">
        <v>20063</v>
      </c>
      <c r="H7133" t="s">
        <v>24337</v>
      </c>
      <c r="J7133" t="s">
        <v>21113</v>
      </c>
      <c r="K7133" s="2" t="str">
        <f>HYPERLINK("http://collections.slsa.sa.gov.au/mpcimg/13250/B13093.htm")</f>
        <v>http://collections.slsa.sa.gov.au/mpcimg/13250/B13093.htm</v>
      </c>
    </row>
    <row r="7134" spans="1:11" x14ac:dyDescent="0.25">
      <c r="A7134" t="s">
        <v>24338</v>
      </c>
      <c r="B7134" s="1" t="str">
        <f>HYPERLINK("https://www.catalog.slsa.sa.gov.au/record=b2060945")</f>
        <v>https://www.catalog.slsa.sa.gov.au/record=b2060945</v>
      </c>
      <c r="C7134" s="1" t="str">
        <f>HYPERLINK("https://www.catalog.slsa.sa.gov.au/xrecord=b2060945")</f>
        <v>https://www.catalog.slsa.sa.gov.au/xrecord=b2060945</v>
      </c>
      <c r="D7134" t="s">
        <v>16831</v>
      </c>
      <c r="E7134" t="s">
        <v>5365</v>
      </c>
      <c r="F7134">
        <v>1954</v>
      </c>
      <c r="G7134" t="s">
        <v>20063</v>
      </c>
      <c r="H7134" t="s">
        <v>24339</v>
      </c>
      <c r="J7134" t="s">
        <v>2573</v>
      </c>
      <c r="K7134" s="2" t="str">
        <f>HYPERLINK("http://collections.slsa.sa.gov.au/mpcimg/13000/B12986.htm")</f>
        <v>http://collections.slsa.sa.gov.au/mpcimg/13000/B12986.htm</v>
      </c>
    </row>
    <row r="7135" spans="1:11" x14ac:dyDescent="0.25">
      <c r="A7135" t="s">
        <v>24340</v>
      </c>
      <c r="B7135" s="1" t="str">
        <f>HYPERLINK("https://www.catalog.slsa.sa.gov.au/record=b2060987")</f>
        <v>https://www.catalog.slsa.sa.gov.au/record=b2060987</v>
      </c>
      <c r="C7135" s="1" t="str">
        <f>HYPERLINK("https://www.catalog.slsa.sa.gov.au/xrecord=b2060987")</f>
        <v>https://www.catalog.slsa.sa.gov.au/xrecord=b2060987</v>
      </c>
      <c r="D7135" t="s">
        <v>16831</v>
      </c>
      <c r="E7135" t="s">
        <v>21118</v>
      </c>
      <c r="F7135">
        <v>1954</v>
      </c>
      <c r="G7135" t="s">
        <v>20063</v>
      </c>
      <c r="H7135" t="s">
        <v>24341</v>
      </c>
      <c r="J7135" t="s">
        <v>24342</v>
      </c>
      <c r="K7135" s="2" t="str">
        <f>HYPERLINK("http://collections.slsa.sa.gov.au/mpcimg/13000/B12968.htm")</f>
        <v>http://collections.slsa.sa.gov.au/mpcimg/13000/B12968.htm</v>
      </c>
    </row>
    <row r="7136" spans="1:11" x14ac:dyDescent="0.25">
      <c r="A7136" t="s">
        <v>24343</v>
      </c>
      <c r="B7136" s="1" t="str">
        <f>HYPERLINK("https://www.catalog.slsa.sa.gov.au/record=b2060988")</f>
        <v>https://www.catalog.slsa.sa.gov.au/record=b2060988</v>
      </c>
      <c r="C7136" s="1" t="str">
        <f>HYPERLINK("https://www.catalog.slsa.sa.gov.au/xrecord=b2060988")</f>
        <v>https://www.catalog.slsa.sa.gov.au/xrecord=b2060988</v>
      </c>
      <c r="D7136" t="s">
        <v>16831</v>
      </c>
      <c r="E7136" t="s">
        <v>24307</v>
      </c>
      <c r="F7136">
        <v>1954</v>
      </c>
      <c r="G7136" t="s">
        <v>20063</v>
      </c>
      <c r="H7136" t="s">
        <v>24344</v>
      </c>
      <c r="J7136" t="s">
        <v>24342</v>
      </c>
      <c r="K7136" s="2" t="str">
        <f>HYPERLINK("http://collections.slsa.sa.gov.au/mpcimg/13250/B13046.htm")</f>
        <v>http://collections.slsa.sa.gov.au/mpcimg/13250/B13046.htm</v>
      </c>
    </row>
    <row r="7137" spans="1:11" x14ac:dyDescent="0.25">
      <c r="A7137" t="s">
        <v>24345</v>
      </c>
      <c r="B7137" s="1" t="str">
        <f>HYPERLINK("https://www.catalog.slsa.sa.gov.au/record=b2060989")</f>
        <v>https://www.catalog.slsa.sa.gov.au/record=b2060989</v>
      </c>
      <c r="C7137" s="1" t="str">
        <f>HYPERLINK("https://www.catalog.slsa.sa.gov.au/xrecord=b2060989")</f>
        <v>https://www.catalog.slsa.sa.gov.au/xrecord=b2060989</v>
      </c>
      <c r="D7137" t="s">
        <v>16831</v>
      </c>
      <c r="E7137" t="s">
        <v>24346</v>
      </c>
      <c r="F7137">
        <v>1954</v>
      </c>
      <c r="G7137" t="s">
        <v>20063</v>
      </c>
      <c r="H7137" t="s">
        <v>24347</v>
      </c>
      <c r="J7137" t="s">
        <v>24342</v>
      </c>
      <c r="K7137" s="2" t="str">
        <f>HYPERLINK("http://collections.slsa.sa.gov.au/mpcimg/13250/B13078.htm")</f>
        <v>http://collections.slsa.sa.gov.au/mpcimg/13250/B13078.htm</v>
      </c>
    </row>
    <row r="7138" spans="1:11" x14ac:dyDescent="0.25">
      <c r="A7138" t="s">
        <v>24348</v>
      </c>
      <c r="B7138" s="1" t="str">
        <f>HYPERLINK("https://www.catalog.slsa.sa.gov.au/record=b2060990")</f>
        <v>https://www.catalog.slsa.sa.gov.au/record=b2060990</v>
      </c>
      <c r="C7138" s="1" t="str">
        <f>HYPERLINK("https://www.catalog.slsa.sa.gov.au/xrecord=b2060990")</f>
        <v>https://www.catalog.slsa.sa.gov.au/xrecord=b2060990</v>
      </c>
      <c r="D7138" t="s">
        <v>16831</v>
      </c>
      <c r="E7138" t="s">
        <v>24346</v>
      </c>
      <c r="F7138">
        <v>1954</v>
      </c>
      <c r="G7138" t="s">
        <v>20063</v>
      </c>
      <c r="H7138" t="s">
        <v>24349</v>
      </c>
      <c r="I7138" t="s">
        <v>24350</v>
      </c>
      <c r="J7138" t="s">
        <v>24342</v>
      </c>
      <c r="K7138" s="2" t="str">
        <f>HYPERLINK("http://collections.slsa.sa.gov.au/mpcimg/13250/B13081.htm")</f>
        <v>http://collections.slsa.sa.gov.au/mpcimg/13250/B13081.htm</v>
      </c>
    </row>
    <row r="7139" spans="1:11" x14ac:dyDescent="0.25">
      <c r="A7139" t="s">
        <v>24351</v>
      </c>
      <c r="B7139" s="1" t="str">
        <f>HYPERLINK("https://www.catalog.slsa.sa.gov.au/record=b2061003")</f>
        <v>https://www.catalog.slsa.sa.gov.au/record=b2061003</v>
      </c>
      <c r="C7139" s="1" t="str">
        <f>HYPERLINK("https://www.catalog.slsa.sa.gov.au/xrecord=b2061003")</f>
        <v>https://www.catalog.slsa.sa.gov.au/xrecord=b2061003</v>
      </c>
      <c r="D7139" t="s">
        <v>16831</v>
      </c>
      <c r="E7139" t="s">
        <v>21125</v>
      </c>
      <c r="F7139">
        <v>1954</v>
      </c>
      <c r="G7139" t="s">
        <v>20063</v>
      </c>
      <c r="H7139" t="s">
        <v>24352</v>
      </c>
      <c r="J7139" t="s">
        <v>24353</v>
      </c>
      <c r="K7139" s="2" t="str">
        <f>HYPERLINK("http://collections.slsa.sa.gov.au/mpcimg/13250/B13065.htm")</f>
        <v>http://collections.slsa.sa.gov.au/mpcimg/13250/B13065.htm</v>
      </c>
    </row>
    <row r="7140" spans="1:11" x14ac:dyDescent="0.25">
      <c r="A7140" t="s">
        <v>24354</v>
      </c>
      <c r="B7140" s="1" t="str">
        <f>HYPERLINK("https://www.catalog.slsa.sa.gov.au/record=b2061025")</f>
        <v>https://www.catalog.slsa.sa.gov.au/record=b2061025</v>
      </c>
      <c r="C7140" s="1" t="str">
        <f>HYPERLINK("https://www.catalog.slsa.sa.gov.au/xrecord=b2061025")</f>
        <v>https://www.catalog.slsa.sa.gov.au/xrecord=b2061025</v>
      </c>
      <c r="D7140" t="s">
        <v>16831</v>
      </c>
      <c r="E7140" t="s">
        <v>24300</v>
      </c>
      <c r="F7140">
        <v>1954</v>
      </c>
      <c r="G7140" t="s">
        <v>20063</v>
      </c>
      <c r="H7140" t="s">
        <v>24355</v>
      </c>
      <c r="J7140" t="s">
        <v>24356</v>
      </c>
      <c r="K7140" s="2" t="str">
        <f>HYPERLINK("http://collections.slsa.sa.gov.au/mpcimg/13000/B12953.htm")</f>
        <v>http://collections.slsa.sa.gov.au/mpcimg/13000/B12953.htm</v>
      </c>
    </row>
    <row r="7141" spans="1:11" x14ac:dyDescent="0.25">
      <c r="A7141" t="s">
        <v>24357</v>
      </c>
      <c r="B7141" s="1" t="str">
        <f>HYPERLINK("https://www.catalog.slsa.sa.gov.au/record=b2061026")</f>
        <v>https://www.catalog.slsa.sa.gov.au/record=b2061026</v>
      </c>
      <c r="C7141" s="1" t="str">
        <f>HYPERLINK("https://www.catalog.slsa.sa.gov.au/xrecord=b2061026")</f>
        <v>https://www.catalog.slsa.sa.gov.au/xrecord=b2061026</v>
      </c>
      <c r="D7141" t="s">
        <v>16831</v>
      </c>
      <c r="E7141" t="s">
        <v>24300</v>
      </c>
      <c r="F7141">
        <v>1954</v>
      </c>
      <c r="G7141" t="s">
        <v>20063</v>
      </c>
      <c r="H7141" t="s">
        <v>24358</v>
      </c>
      <c r="J7141" t="s">
        <v>24356</v>
      </c>
      <c r="K7141" s="2" t="str">
        <f>HYPERLINK("http://collections.slsa.sa.gov.au/mpcimg/13000/B12955.htm")</f>
        <v>http://collections.slsa.sa.gov.au/mpcimg/13000/B12955.htm</v>
      </c>
    </row>
    <row r="7142" spans="1:11" x14ac:dyDescent="0.25">
      <c r="A7142" t="s">
        <v>24359</v>
      </c>
      <c r="B7142" s="1" t="str">
        <f>HYPERLINK("https://www.catalog.slsa.sa.gov.au/record=b2061027")</f>
        <v>https://www.catalog.slsa.sa.gov.au/record=b2061027</v>
      </c>
      <c r="C7142" s="1" t="str">
        <f>HYPERLINK("https://www.catalog.slsa.sa.gov.au/xrecord=b2061027")</f>
        <v>https://www.catalog.slsa.sa.gov.au/xrecord=b2061027</v>
      </c>
      <c r="D7142" t="s">
        <v>16831</v>
      </c>
      <c r="E7142" t="s">
        <v>24304</v>
      </c>
      <c r="F7142">
        <v>1954</v>
      </c>
      <c r="G7142" t="s">
        <v>20063</v>
      </c>
      <c r="H7142" t="s">
        <v>24360</v>
      </c>
      <c r="J7142" t="s">
        <v>24356</v>
      </c>
      <c r="K7142" s="2" t="str">
        <f>HYPERLINK("http://collections.slsa.sa.gov.au/mpcimg/13250/B13108.htm")</f>
        <v>http://collections.slsa.sa.gov.au/mpcimg/13250/B13108.htm</v>
      </c>
    </row>
    <row r="7143" spans="1:11" x14ac:dyDescent="0.25">
      <c r="A7143" t="s">
        <v>24361</v>
      </c>
      <c r="B7143" s="1" t="str">
        <f>HYPERLINK("https://www.catalog.slsa.sa.gov.au/record=b2061048")</f>
        <v>https://www.catalog.slsa.sa.gov.au/record=b2061048</v>
      </c>
      <c r="C7143" s="1" t="str">
        <f>HYPERLINK("https://www.catalog.slsa.sa.gov.au/xrecord=b2061048")</f>
        <v>https://www.catalog.slsa.sa.gov.au/xrecord=b2061048</v>
      </c>
      <c r="D7143" t="s">
        <v>16831</v>
      </c>
      <c r="E7143" t="s">
        <v>24362</v>
      </c>
      <c r="F7143">
        <v>1954</v>
      </c>
      <c r="G7143" t="s">
        <v>20063</v>
      </c>
      <c r="H7143" t="s">
        <v>24363</v>
      </c>
      <c r="J7143" t="s">
        <v>24364</v>
      </c>
      <c r="K7143" s="2" t="str">
        <f>HYPERLINK("http://collections.slsa.sa.gov.au/mpcimg/13000/B12969.htm")</f>
        <v>http://collections.slsa.sa.gov.au/mpcimg/13000/B12969.htm</v>
      </c>
    </row>
    <row r="7144" spans="1:11" x14ac:dyDescent="0.25">
      <c r="A7144" t="s">
        <v>24365</v>
      </c>
      <c r="B7144" s="1" t="str">
        <f>HYPERLINK("https://www.catalog.slsa.sa.gov.au/record=b2061049")</f>
        <v>https://www.catalog.slsa.sa.gov.au/record=b2061049</v>
      </c>
      <c r="C7144" s="1" t="str">
        <f>HYPERLINK("https://www.catalog.slsa.sa.gov.au/xrecord=b2061049")</f>
        <v>https://www.catalog.slsa.sa.gov.au/xrecord=b2061049</v>
      </c>
      <c r="D7144" t="s">
        <v>16831</v>
      </c>
      <c r="E7144" t="s">
        <v>24289</v>
      </c>
      <c r="F7144">
        <v>1954</v>
      </c>
      <c r="G7144" t="s">
        <v>20063</v>
      </c>
      <c r="H7144" t="s">
        <v>24366</v>
      </c>
      <c r="J7144" t="s">
        <v>24364</v>
      </c>
      <c r="K7144" s="2" t="str">
        <f>HYPERLINK("http://collections.slsa.sa.gov.au/mpcimg/13250/B13072.htm")</f>
        <v>http://collections.slsa.sa.gov.au/mpcimg/13250/B13072.htm</v>
      </c>
    </row>
    <row r="7145" spans="1:11" x14ac:dyDescent="0.25">
      <c r="A7145" t="s">
        <v>24367</v>
      </c>
      <c r="B7145" s="1" t="str">
        <f>HYPERLINK("https://www.catalog.slsa.sa.gov.au/record=b2061080")</f>
        <v>https://www.catalog.slsa.sa.gov.au/record=b2061080</v>
      </c>
      <c r="C7145" s="1" t="str">
        <f>HYPERLINK("https://www.catalog.slsa.sa.gov.au/xrecord=b2061080")</f>
        <v>https://www.catalog.slsa.sa.gov.au/xrecord=b2061080</v>
      </c>
      <c r="D7145" t="s">
        <v>16831</v>
      </c>
      <c r="E7145" t="s">
        <v>21118</v>
      </c>
      <c r="F7145">
        <v>1954</v>
      </c>
      <c r="G7145" t="s">
        <v>20063</v>
      </c>
      <c r="H7145" t="s">
        <v>24368</v>
      </c>
      <c r="J7145" t="s">
        <v>21123</v>
      </c>
      <c r="K7145" s="2" t="str">
        <f>HYPERLINK("http://collections.slsa.sa.gov.au/mpcimg/13000/B12970.htm")</f>
        <v>http://collections.slsa.sa.gov.au/mpcimg/13000/B12970.htm</v>
      </c>
    </row>
    <row r="7146" spans="1:11" x14ac:dyDescent="0.25">
      <c r="A7146" t="s">
        <v>24369</v>
      </c>
      <c r="B7146" s="1" t="str">
        <f>HYPERLINK("https://www.catalog.slsa.sa.gov.au/record=b2061093")</f>
        <v>https://www.catalog.slsa.sa.gov.au/record=b2061093</v>
      </c>
      <c r="C7146" s="1" t="str">
        <f>HYPERLINK("https://www.catalog.slsa.sa.gov.au/xrecord=b2061093")</f>
        <v>https://www.catalog.slsa.sa.gov.au/xrecord=b2061093</v>
      </c>
      <c r="D7146" t="s">
        <v>16831</v>
      </c>
      <c r="E7146" t="s">
        <v>21125</v>
      </c>
      <c r="F7146">
        <v>1954</v>
      </c>
      <c r="G7146" t="s">
        <v>20063</v>
      </c>
      <c r="H7146" t="s">
        <v>24370</v>
      </c>
      <c r="J7146" t="s">
        <v>24371</v>
      </c>
      <c r="K7146" s="2" t="str">
        <f>HYPERLINK("http://collections.slsa.sa.gov.au/mpcimg/13250/B13083.htm")</f>
        <v>http://collections.slsa.sa.gov.au/mpcimg/13250/B13083.htm</v>
      </c>
    </row>
    <row r="7147" spans="1:11" x14ac:dyDescent="0.25">
      <c r="A7147" t="s">
        <v>24372</v>
      </c>
      <c r="B7147" s="1" t="str">
        <f>HYPERLINK("https://www.catalog.slsa.sa.gov.au/record=b2061103")</f>
        <v>https://www.catalog.slsa.sa.gov.au/record=b2061103</v>
      </c>
      <c r="C7147" s="1" t="str">
        <f>HYPERLINK("https://www.catalog.slsa.sa.gov.au/xrecord=b2061103")</f>
        <v>https://www.catalog.slsa.sa.gov.au/xrecord=b2061103</v>
      </c>
      <c r="E7147" t="s">
        <v>21125</v>
      </c>
      <c r="F7147">
        <v>1954</v>
      </c>
      <c r="G7147" t="s">
        <v>20063</v>
      </c>
      <c r="H7147" t="s">
        <v>24373</v>
      </c>
      <c r="J7147" t="s">
        <v>24374</v>
      </c>
      <c r="K7147" s="2" t="str">
        <f>HYPERLINK("http://collections.slsa.sa.gov.au/mpcimg/13250/B13071.htm")</f>
        <v>http://collections.slsa.sa.gov.au/mpcimg/13250/B13071.htm</v>
      </c>
    </row>
    <row r="7148" spans="1:11" x14ac:dyDescent="0.25">
      <c r="A7148" t="s">
        <v>24375</v>
      </c>
      <c r="B7148" s="1" t="str">
        <f>HYPERLINK("https://www.catalog.slsa.sa.gov.au/record=b2061117")</f>
        <v>https://www.catalog.slsa.sa.gov.au/record=b2061117</v>
      </c>
      <c r="C7148" s="1" t="str">
        <f>HYPERLINK("https://www.catalog.slsa.sa.gov.au/xrecord=b2061117")</f>
        <v>https://www.catalog.slsa.sa.gov.au/xrecord=b2061117</v>
      </c>
      <c r="D7148" t="s">
        <v>16831</v>
      </c>
      <c r="E7148" t="s">
        <v>21125</v>
      </c>
      <c r="F7148">
        <v>1954</v>
      </c>
      <c r="G7148" t="s">
        <v>20063</v>
      </c>
      <c r="H7148" t="s">
        <v>24376</v>
      </c>
      <c r="J7148" t="s">
        <v>21135</v>
      </c>
      <c r="K7148" s="2" t="str">
        <f>HYPERLINK("http://collections.slsa.sa.gov.au/mpcimg/13250/B13082.htm")</f>
        <v>http://collections.slsa.sa.gov.au/mpcimg/13250/B13082.htm</v>
      </c>
    </row>
    <row r="7149" spans="1:11" x14ac:dyDescent="0.25">
      <c r="A7149" t="s">
        <v>24377</v>
      </c>
      <c r="B7149" s="1" t="str">
        <f>HYPERLINK("https://www.catalog.slsa.sa.gov.au/record=b2061179")</f>
        <v>https://www.catalog.slsa.sa.gov.au/record=b2061179</v>
      </c>
      <c r="C7149" s="1" t="str">
        <f>HYPERLINK("https://www.catalog.slsa.sa.gov.au/xrecord=b2061179")</f>
        <v>https://www.catalog.slsa.sa.gov.au/xrecord=b2061179</v>
      </c>
      <c r="D7149" t="s">
        <v>16831</v>
      </c>
      <c r="E7149" t="s">
        <v>21118</v>
      </c>
      <c r="F7149">
        <v>1954</v>
      </c>
      <c r="G7149" t="s">
        <v>20063</v>
      </c>
      <c r="H7149" t="s">
        <v>24378</v>
      </c>
      <c r="J7149" t="s">
        <v>22897</v>
      </c>
      <c r="K7149" s="2" t="str">
        <f>HYPERLINK("http://collections.slsa.sa.gov.au/mpcimg/13000/B12967.htm")</f>
        <v>http://collections.slsa.sa.gov.au/mpcimg/13000/B12967.htm</v>
      </c>
    </row>
    <row r="7150" spans="1:11" x14ac:dyDescent="0.25">
      <c r="A7150" t="s">
        <v>24379</v>
      </c>
      <c r="B7150" s="1" t="str">
        <f>HYPERLINK("https://www.catalog.slsa.sa.gov.au/record=b2061180")</f>
        <v>https://www.catalog.slsa.sa.gov.au/record=b2061180</v>
      </c>
      <c r="C7150" s="1" t="str">
        <f>HYPERLINK("https://www.catalog.slsa.sa.gov.au/xrecord=b2061180")</f>
        <v>https://www.catalog.slsa.sa.gov.au/xrecord=b2061180</v>
      </c>
      <c r="D7150" t="s">
        <v>16831</v>
      </c>
      <c r="E7150" t="s">
        <v>24380</v>
      </c>
      <c r="F7150">
        <v>1954</v>
      </c>
      <c r="G7150" t="s">
        <v>20063</v>
      </c>
      <c r="H7150" t="s">
        <v>24381</v>
      </c>
      <c r="J7150" t="s">
        <v>22897</v>
      </c>
      <c r="K7150" s="2" t="str">
        <f>HYPERLINK("http://collections.slsa.sa.gov.au/mpcimg/13250/B13073.htm")</f>
        <v>http://collections.slsa.sa.gov.au/mpcimg/13250/B13073.htm</v>
      </c>
    </row>
    <row r="7151" spans="1:11" x14ac:dyDescent="0.25">
      <c r="A7151" t="s">
        <v>24382</v>
      </c>
      <c r="B7151" s="1" t="str">
        <f>HYPERLINK("https://www.catalog.slsa.sa.gov.au/record=b2061181")</f>
        <v>https://www.catalog.slsa.sa.gov.au/record=b2061181</v>
      </c>
      <c r="C7151" s="1" t="str">
        <f>HYPERLINK("https://www.catalog.slsa.sa.gov.au/xrecord=b2061181")</f>
        <v>https://www.catalog.slsa.sa.gov.au/xrecord=b2061181</v>
      </c>
      <c r="D7151" t="s">
        <v>16831</v>
      </c>
      <c r="E7151" t="s">
        <v>24383</v>
      </c>
      <c r="F7151">
        <v>1954</v>
      </c>
      <c r="G7151" t="s">
        <v>20063</v>
      </c>
      <c r="H7151" t="s">
        <v>24384</v>
      </c>
      <c r="J7151" t="s">
        <v>22897</v>
      </c>
      <c r="K7151" s="2" t="str">
        <f>HYPERLINK("http://collections.slsa.sa.gov.au/mpcimg/13250/B13077.htm")</f>
        <v>http://collections.slsa.sa.gov.au/mpcimg/13250/B13077.htm</v>
      </c>
    </row>
    <row r="7152" spans="1:11" x14ac:dyDescent="0.25">
      <c r="A7152" t="s">
        <v>24385</v>
      </c>
      <c r="B7152" s="1" t="str">
        <f>HYPERLINK("https://www.catalog.slsa.sa.gov.au/record=b2061200")</f>
        <v>https://www.catalog.slsa.sa.gov.au/record=b2061200</v>
      </c>
      <c r="C7152" s="1" t="str">
        <f>HYPERLINK("https://www.catalog.slsa.sa.gov.au/xrecord=b2061200")</f>
        <v>https://www.catalog.slsa.sa.gov.au/xrecord=b2061200</v>
      </c>
      <c r="D7152" t="s">
        <v>16831</v>
      </c>
      <c r="E7152" t="s">
        <v>24386</v>
      </c>
      <c r="F7152">
        <v>1954</v>
      </c>
      <c r="G7152" t="s">
        <v>20063</v>
      </c>
      <c r="H7152" t="s">
        <v>24387</v>
      </c>
      <c r="J7152" t="s">
        <v>24388</v>
      </c>
      <c r="K7152" s="2" t="str">
        <f>HYPERLINK("http://collections.slsa.sa.gov.au/mpcimg/13250/B13099.htm")</f>
        <v>http://collections.slsa.sa.gov.au/mpcimg/13250/B13099.htm</v>
      </c>
    </row>
    <row r="7153" spans="1:11" x14ac:dyDescent="0.25">
      <c r="A7153" t="s">
        <v>24389</v>
      </c>
      <c r="B7153" s="1" t="str">
        <f>HYPERLINK("https://www.catalog.slsa.sa.gov.au/record=b2061241")</f>
        <v>https://www.catalog.slsa.sa.gov.au/record=b2061241</v>
      </c>
      <c r="C7153" s="1" t="str">
        <f>HYPERLINK("https://www.catalog.slsa.sa.gov.au/xrecord=b2061241")</f>
        <v>https://www.catalog.slsa.sa.gov.au/xrecord=b2061241</v>
      </c>
      <c r="D7153" t="s">
        <v>16831</v>
      </c>
      <c r="E7153" t="s">
        <v>21118</v>
      </c>
      <c r="F7153">
        <v>1954</v>
      </c>
      <c r="G7153" t="s">
        <v>14809</v>
      </c>
      <c r="H7153" t="s">
        <v>24390</v>
      </c>
      <c r="J7153" t="s">
        <v>24391</v>
      </c>
      <c r="K7153" s="2" t="str">
        <f>HYPERLINK("http://collections.slsa.sa.gov.au/mpcimg/13000/B12972.htm")</f>
        <v>http://collections.slsa.sa.gov.au/mpcimg/13000/B12972.htm</v>
      </c>
    </row>
    <row r="7154" spans="1:11" x14ac:dyDescent="0.25">
      <c r="A7154" t="s">
        <v>24392</v>
      </c>
      <c r="B7154" s="1" t="str">
        <f>HYPERLINK("https://www.catalog.slsa.sa.gov.au/record=b2061353")</f>
        <v>https://www.catalog.slsa.sa.gov.au/record=b2061353</v>
      </c>
      <c r="C7154" s="1" t="str">
        <f>HYPERLINK("https://www.catalog.slsa.sa.gov.au/xrecord=b2061353")</f>
        <v>https://www.catalog.slsa.sa.gov.au/xrecord=b2061353</v>
      </c>
      <c r="D7154" t="s">
        <v>16831</v>
      </c>
      <c r="E7154" t="s">
        <v>24393</v>
      </c>
      <c r="F7154">
        <v>1954</v>
      </c>
      <c r="G7154" t="s">
        <v>20063</v>
      </c>
      <c r="H7154" t="s">
        <v>24394</v>
      </c>
      <c r="I7154" t="s">
        <v>24177</v>
      </c>
      <c r="J7154" t="s">
        <v>21154</v>
      </c>
      <c r="K7154" s="2" t="str">
        <f>HYPERLINK("http://collections.slsa.sa.gov.au/mpcimg/13250/B13109.htm")</f>
        <v>http://collections.slsa.sa.gov.au/mpcimg/13250/B13109.htm</v>
      </c>
    </row>
    <row r="7155" spans="1:11" x14ac:dyDescent="0.25">
      <c r="A7155" t="s">
        <v>24395</v>
      </c>
      <c r="B7155" s="1" t="str">
        <f>HYPERLINK("https://www.catalog.slsa.sa.gov.au/record=b2061374")</f>
        <v>https://www.catalog.slsa.sa.gov.au/record=b2061374</v>
      </c>
      <c r="C7155" s="1" t="str">
        <f>HYPERLINK("https://www.catalog.slsa.sa.gov.au/xrecord=b2061374")</f>
        <v>https://www.catalog.slsa.sa.gov.au/xrecord=b2061374</v>
      </c>
      <c r="D7155" t="s">
        <v>16831</v>
      </c>
      <c r="E7155" t="s">
        <v>16827</v>
      </c>
      <c r="F7155">
        <v>1954</v>
      </c>
      <c r="G7155" t="s">
        <v>20063</v>
      </c>
      <c r="H7155" t="s">
        <v>24396</v>
      </c>
      <c r="J7155" t="s">
        <v>24397</v>
      </c>
      <c r="K7155" s="2" t="str">
        <f>HYPERLINK("http://collections.slsa.sa.gov.au/mpcimg/13000/B12935.htm")</f>
        <v>http://collections.slsa.sa.gov.au/mpcimg/13000/B12935.htm</v>
      </c>
    </row>
    <row r="7156" spans="1:11" x14ac:dyDescent="0.25">
      <c r="A7156" t="s">
        <v>24398</v>
      </c>
      <c r="B7156" s="1" t="str">
        <f>HYPERLINK("https://www.catalog.slsa.sa.gov.au/record=b2061396")</f>
        <v>https://www.catalog.slsa.sa.gov.au/record=b2061396</v>
      </c>
      <c r="C7156" s="1" t="str">
        <f>HYPERLINK("https://www.catalog.slsa.sa.gov.au/xrecord=b2061396")</f>
        <v>https://www.catalog.slsa.sa.gov.au/xrecord=b2061396</v>
      </c>
      <c r="D7156" t="s">
        <v>16831</v>
      </c>
      <c r="E7156" t="s">
        <v>21099</v>
      </c>
      <c r="F7156">
        <v>1954</v>
      </c>
      <c r="G7156" t="s">
        <v>20063</v>
      </c>
      <c r="H7156" t="s">
        <v>24399</v>
      </c>
      <c r="J7156" t="s">
        <v>21163</v>
      </c>
      <c r="K7156" s="2" t="str">
        <f>HYPERLINK("http://collections.slsa.sa.gov.au/mpcimg/13000/B12990.htm")</f>
        <v>http://collections.slsa.sa.gov.au/mpcimg/13000/B12990.htm</v>
      </c>
    </row>
    <row r="7157" spans="1:11" x14ac:dyDescent="0.25">
      <c r="A7157" t="s">
        <v>24400</v>
      </c>
      <c r="B7157" s="1" t="str">
        <f>HYPERLINK("https://www.catalog.slsa.sa.gov.au/record=b2061404")</f>
        <v>https://www.catalog.slsa.sa.gov.au/record=b2061404</v>
      </c>
      <c r="C7157" s="1" t="str">
        <f>HYPERLINK("https://www.catalog.slsa.sa.gov.au/xrecord=b2061404")</f>
        <v>https://www.catalog.slsa.sa.gov.au/xrecord=b2061404</v>
      </c>
      <c r="D7157" t="s">
        <v>16831</v>
      </c>
      <c r="E7157" t="s">
        <v>21099</v>
      </c>
      <c r="F7157">
        <v>1954</v>
      </c>
      <c r="G7157" t="s">
        <v>20063</v>
      </c>
      <c r="H7157" t="s">
        <v>24401</v>
      </c>
      <c r="J7157" t="s">
        <v>24402</v>
      </c>
      <c r="K7157" s="2" t="str">
        <f>HYPERLINK("http://collections.slsa.sa.gov.au/mpcimg/13000/B12985.htm")</f>
        <v>http://collections.slsa.sa.gov.au/mpcimg/13000/B12985.htm</v>
      </c>
    </row>
    <row r="7158" spans="1:11" x14ac:dyDescent="0.25">
      <c r="A7158" t="s">
        <v>24403</v>
      </c>
      <c r="B7158" s="1" t="str">
        <f>HYPERLINK("https://www.catalog.slsa.sa.gov.au/record=b2061417")</f>
        <v>https://www.catalog.slsa.sa.gov.au/record=b2061417</v>
      </c>
      <c r="C7158" s="1" t="str">
        <f>HYPERLINK("https://www.catalog.slsa.sa.gov.au/xrecord=b2061417")</f>
        <v>https://www.catalog.slsa.sa.gov.au/xrecord=b2061417</v>
      </c>
      <c r="D7158" t="s">
        <v>16831</v>
      </c>
      <c r="E7158" t="s">
        <v>24404</v>
      </c>
      <c r="F7158">
        <v>1954</v>
      </c>
      <c r="G7158" t="s">
        <v>22709</v>
      </c>
      <c r="H7158" t="s">
        <v>24405</v>
      </c>
      <c r="J7158" t="s">
        <v>21172</v>
      </c>
      <c r="K7158" s="2" t="str">
        <f>HYPERLINK("http://collections.slsa.sa.gov.au/mpcimg/13000/B12855.htm")</f>
        <v>http://collections.slsa.sa.gov.au/mpcimg/13000/B12855.htm</v>
      </c>
    </row>
    <row r="7159" spans="1:11" x14ac:dyDescent="0.25">
      <c r="A7159" t="s">
        <v>24406</v>
      </c>
      <c r="B7159" s="1" t="str">
        <f>HYPERLINK("https://www.catalog.slsa.sa.gov.au/record=b2061421")</f>
        <v>https://www.catalog.slsa.sa.gov.au/record=b2061421</v>
      </c>
      <c r="C7159" s="1" t="str">
        <f>HYPERLINK("https://www.catalog.slsa.sa.gov.au/xrecord=b2061421")</f>
        <v>https://www.catalog.slsa.sa.gov.au/xrecord=b2061421</v>
      </c>
      <c r="D7159" t="s">
        <v>16831</v>
      </c>
      <c r="E7159" t="s">
        <v>21099</v>
      </c>
      <c r="F7159">
        <v>1954</v>
      </c>
      <c r="G7159" t="s">
        <v>22709</v>
      </c>
      <c r="H7159" t="s">
        <v>24407</v>
      </c>
      <c r="J7159" t="s">
        <v>24408</v>
      </c>
      <c r="K7159" s="2" t="str">
        <f>HYPERLINK("http://collections.slsa.sa.gov.au/mpcimg/13000/B12853.htm")</f>
        <v>http://collections.slsa.sa.gov.au/mpcimg/13000/B12853.htm</v>
      </c>
    </row>
    <row r="7160" spans="1:11" x14ac:dyDescent="0.25">
      <c r="A7160" t="s">
        <v>24409</v>
      </c>
      <c r="B7160" s="1" t="str">
        <f>HYPERLINK("https://www.catalog.slsa.sa.gov.au/record=b2061496")</f>
        <v>https://www.catalog.slsa.sa.gov.au/record=b2061496</v>
      </c>
      <c r="C7160" s="1" t="str">
        <f>HYPERLINK("https://www.catalog.slsa.sa.gov.au/xrecord=b2061496")</f>
        <v>https://www.catalog.slsa.sa.gov.au/xrecord=b2061496</v>
      </c>
      <c r="D7160" t="s">
        <v>16831</v>
      </c>
      <c r="E7160" t="s">
        <v>21178</v>
      </c>
      <c r="F7160">
        <v>1954</v>
      </c>
      <c r="G7160" t="s">
        <v>22709</v>
      </c>
      <c r="H7160" t="s">
        <v>24410</v>
      </c>
      <c r="J7160" t="s">
        <v>21186</v>
      </c>
      <c r="K7160" s="2" t="str">
        <f>HYPERLINK("http://collections.slsa.sa.gov.au/mpcimg/13000/B12861.htm")</f>
        <v>http://collections.slsa.sa.gov.au/mpcimg/13000/B12861.htm</v>
      </c>
    </row>
    <row r="7161" spans="1:11" x14ac:dyDescent="0.25">
      <c r="A7161" t="s">
        <v>24411</v>
      </c>
      <c r="B7161" s="1" t="str">
        <f>HYPERLINK("https://www.catalog.slsa.sa.gov.au/record=b2061511")</f>
        <v>https://www.catalog.slsa.sa.gov.au/record=b2061511</v>
      </c>
      <c r="C7161" s="1" t="str">
        <f>HYPERLINK("https://www.catalog.slsa.sa.gov.au/xrecord=b2061511")</f>
        <v>https://www.catalog.slsa.sa.gov.au/xrecord=b2061511</v>
      </c>
      <c r="D7161" t="s">
        <v>16831</v>
      </c>
      <c r="E7161" t="s">
        <v>21232</v>
      </c>
      <c r="F7161">
        <v>1954</v>
      </c>
      <c r="G7161" t="s">
        <v>20063</v>
      </c>
      <c r="H7161" t="s">
        <v>24412</v>
      </c>
      <c r="J7161" t="s">
        <v>24413</v>
      </c>
      <c r="K7161" s="2" t="str">
        <f>HYPERLINK("http://collections.slsa.sa.gov.au/mpcimg/13000/B12908.htm")</f>
        <v>http://collections.slsa.sa.gov.au/mpcimg/13000/B12908.htm</v>
      </c>
    </row>
    <row r="7162" spans="1:11" x14ac:dyDescent="0.25">
      <c r="A7162" t="s">
        <v>24414</v>
      </c>
      <c r="B7162" s="1" t="str">
        <f>HYPERLINK("https://www.catalog.slsa.sa.gov.au/record=b2061525")</f>
        <v>https://www.catalog.slsa.sa.gov.au/record=b2061525</v>
      </c>
      <c r="C7162" s="1" t="str">
        <f>HYPERLINK("https://www.catalog.slsa.sa.gov.au/xrecord=b2061525")</f>
        <v>https://www.catalog.slsa.sa.gov.au/xrecord=b2061525</v>
      </c>
      <c r="D7162" t="s">
        <v>16831</v>
      </c>
      <c r="E7162" t="s">
        <v>24415</v>
      </c>
      <c r="F7162">
        <v>1954</v>
      </c>
      <c r="G7162" t="s">
        <v>20063</v>
      </c>
      <c r="H7162" t="s">
        <v>24416</v>
      </c>
      <c r="J7162" t="s">
        <v>24417</v>
      </c>
      <c r="K7162" s="2" t="str">
        <f>HYPERLINK("http://collections.slsa.sa.gov.au/mpcimg/13250/B13086.htm")</f>
        <v>http://collections.slsa.sa.gov.au/mpcimg/13250/B13086.htm</v>
      </c>
    </row>
    <row r="7163" spans="1:11" x14ac:dyDescent="0.25">
      <c r="A7163" t="s">
        <v>24418</v>
      </c>
      <c r="B7163" s="1" t="str">
        <f>HYPERLINK("https://www.catalog.slsa.sa.gov.au/record=b2061539")</f>
        <v>https://www.catalog.slsa.sa.gov.au/record=b2061539</v>
      </c>
      <c r="C7163" s="1" t="str">
        <f>HYPERLINK("https://www.catalog.slsa.sa.gov.au/xrecord=b2061539")</f>
        <v>https://www.catalog.slsa.sa.gov.au/xrecord=b2061539</v>
      </c>
      <c r="D7163" t="s">
        <v>16831</v>
      </c>
      <c r="E7163" t="s">
        <v>16827</v>
      </c>
      <c r="F7163">
        <v>1954</v>
      </c>
      <c r="G7163" t="s">
        <v>20063</v>
      </c>
      <c r="H7163" t="s">
        <v>24419</v>
      </c>
      <c r="J7163" t="s">
        <v>24420</v>
      </c>
      <c r="K7163" s="2" t="str">
        <f>HYPERLINK("http://collections.slsa.sa.gov.au/mpcimg/13000/B12937.htm")</f>
        <v>http://collections.slsa.sa.gov.au/mpcimg/13000/B12937.htm</v>
      </c>
    </row>
    <row r="7164" spans="1:11" x14ac:dyDescent="0.25">
      <c r="A7164" t="s">
        <v>24421</v>
      </c>
      <c r="B7164" s="1" t="str">
        <f>HYPERLINK("https://www.catalog.slsa.sa.gov.au/record=b2061556")</f>
        <v>https://www.catalog.slsa.sa.gov.au/record=b2061556</v>
      </c>
      <c r="C7164" s="1" t="str">
        <f>HYPERLINK("https://www.catalog.slsa.sa.gov.au/xrecord=b2061556")</f>
        <v>https://www.catalog.slsa.sa.gov.au/xrecord=b2061556</v>
      </c>
      <c r="D7164" t="s">
        <v>16831</v>
      </c>
      <c r="E7164" t="s">
        <v>24422</v>
      </c>
      <c r="F7164">
        <v>1954</v>
      </c>
      <c r="G7164" t="s">
        <v>20063</v>
      </c>
      <c r="H7164" t="s">
        <v>24423</v>
      </c>
      <c r="J7164" t="s">
        <v>24424</v>
      </c>
      <c r="K7164" s="2" t="str">
        <f>HYPERLINK("http://collections.slsa.sa.gov.au/mpcimg/13250/B13197.htm")</f>
        <v>http://collections.slsa.sa.gov.au/mpcimg/13250/B13197.htm</v>
      </c>
    </row>
    <row r="7165" spans="1:11" x14ac:dyDescent="0.25">
      <c r="A7165" t="s">
        <v>24425</v>
      </c>
      <c r="B7165" s="1" t="str">
        <f>HYPERLINK("https://www.catalog.slsa.sa.gov.au/record=b2061581")</f>
        <v>https://www.catalog.slsa.sa.gov.au/record=b2061581</v>
      </c>
      <c r="C7165" s="1" t="str">
        <f>HYPERLINK("https://www.catalog.slsa.sa.gov.au/xrecord=b2061581")</f>
        <v>https://www.catalog.slsa.sa.gov.au/xrecord=b2061581</v>
      </c>
      <c r="D7165" t="s">
        <v>16831</v>
      </c>
      <c r="E7165" t="s">
        <v>24426</v>
      </c>
      <c r="F7165">
        <v>1954</v>
      </c>
      <c r="G7165" t="s">
        <v>22709</v>
      </c>
      <c r="H7165" t="s">
        <v>24427</v>
      </c>
      <c r="J7165" t="s">
        <v>24428</v>
      </c>
      <c r="K7165" s="2" t="str">
        <f>HYPERLINK("http://collections.slsa.sa.gov.au/mpcimg/13000/B12857.htm")</f>
        <v>http://collections.slsa.sa.gov.au/mpcimg/13000/B12857.htm</v>
      </c>
    </row>
    <row r="7166" spans="1:11" x14ac:dyDescent="0.25">
      <c r="A7166" t="s">
        <v>24429</v>
      </c>
      <c r="B7166" s="1" t="str">
        <f>HYPERLINK("https://www.catalog.slsa.sa.gov.au/record=b2061598")</f>
        <v>https://www.catalog.slsa.sa.gov.au/record=b2061598</v>
      </c>
      <c r="C7166" s="1" t="str">
        <f>HYPERLINK("https://www.catalog.slsa.sa.gov.au/xrecord=b2061598")</f>
        <v>https://www.catalog.slsa.sa.gov.au/xrecord=b2061598</v>
      </c>
      <c r="D7166" t="s">
        <v>16831</v>
      </c>
      <c r="E7166" t="s">
        <v>24430</v>
      </c>
      <c r="F7166">
        <v>1954</v>
      </c>
      <c r="G7166" t="s">
        <v>22709</v>
      </c>
      <c r="H7166" t="s">
        <v>24431</v>
      </c>
      <c r="J7166" t="s">
        <v>21195</v>
      </c>
      <c r="K7166" s="2" t="str">
        <f>HYPERLINK("http://collections.slsa.sa.gov.au/mpcimg/13000/B12867.htm")</f>
        <v>http://collections.slsa.sa.gov.au/mpcimg/13000/B12867.htm</v>
      </c>
    </row>
    <row r="7167" spans="1:11" x14ac:dyDescent="0.25">
      <c r="A7167" t="s">
        <v>24432</v>
      </c>
      <c r="B7167" s="1" t="str">
        <f>HYPERLINK("https://www.catalog.slsa.sa.gov.au/record=b2061609")</f>
        <v>https://www.catalog.slsa.sa.gov.au/record=b2061609</v>
      </c>
      <c r="C7167" s="1" t="str">
        <f>HYPERLINK("https://www.catalog.slsa.sa.gov.au/xrecord=b2061609")</f>
        <v>https://www.catalog.slsa.sa.gov.au/xrecord=b2061609</v>
      </c>
      <c r="D7167" t="s">
        <v>16831</v>
      </c>
      <c r="E7167" t="s">
        <v>24433</v>
      </c>
      <c r="F7167">
        <v>1954</v>
      </c>
      <c r="G7167" t="s">
        <v>20063</v>
      </c>
      <c r="H7167" t="s">
        <v>24434</v>
      </c>
      <c r="J7167" t="s">
        <v>21200</v>
      </c>
      <c r="K7167" s="2" t="str">
        <f>HYPERLINK("http://collections.slsa.sa.gov.au/mpcimg/13000/B12960.htm")</f>
        <v>http://collections.slsa.sa.gov.au/mpcimg/13000/B12960.htm</v>
      </c>
    </row>
    <row r="7168" spans="1:11" x14ac:dyDescent="0.25">
      <c r="A7168" t="s">
        <v>24435</v>
      </c>
      <c r="B7168" s="1" t="str">
        <f>HYPERLINK("https://www.catalog.slsa.sa.gov.au/record=b2061610")</f>
        <v>https://www.catalog.slsa.sa.gov.au/record=b2061610</v>
      </c>
      <c r="C7168" s="1" t="str">
        <f>HYPERLINK("https://www.catalog.slsa.sa.gov.au/xrecord=b2061610")</f>
        <v>https://www.catalog.slsa.sa.gov.au/xrecord=b2061610</v>
      </c>
      <c r="D7168" t="s">
        <v>16831</v>
      </c>
      <c r="E7168" t="s">
        <v>24436</v>
      </c>
      <c r="F7168">
        <v>1954</v>
      </c>
      <c r="G7168" t="s">
        <v>20063</v>
      </c>
      <c r="H7168" t="s">
        <v>24437</v>
      </c>
      <c r="J7168" t="s">
        <v>21200</v>
      </c>
      <c r="K7168" s="2" t="str">
        <f>HYPERLINK("http://collections.slsa.sa.gov.au/mpcimg/13250/B13151.htm")</f>
        <v>http://collections.slsa.sa.gov.au/mpcimg/13250/B13151.htm</v>
      </c>
    </row>
    <row r="7169" spans="1:11" x14ac:dyDescent="0.25">
      <c r="A7169" t="s">
        <v>24438</v>
      </c>
      <c r="B7169" s="1" t="str">
        <f>HYPERLINK("https://www.catalog.slsa.sa.gov.au/record=b2061623")</f>
        <v>https://www.catalog.slsa.sa.gov.au/record=b2061623</v>
      </c>
      <c r="C7169" s="1" t="str">
        <f>HYPERLINK("https://www.catalog.slsa.sa.gov.au/xrecord=b2061623")</f>
        <v>https://www.catalog.slsa.sa.gov.au/xrecord=b2061623</v>
      </c>
      <c r="D7169" t="s">
        <v>16831</v>
      </c>
      <c r="E7169" t="s">
        <v>24439</v>
      </c>
      <c r="F7169">
        <v>1954</v>
      </c>
      <c r="G7169" t="s">
        <v>20063</v>
      </c>
      <c r="H7169" t="s">
        <v>24440</v>
      </c>
      <c r="J7169" t="s">
        <v>24441</v>
      </c>
      <c r="K7169" s="2" t="str">
        <f>HYPERLINK("http://collections.slsa.sa.gov.au/mpcimg/13000/B12961.htm")</f>
        <v>http://collections.slsa.sa.gov.au/mpcimg/13000/B12961.htm</v>
      </c>
    </row>
    <row r="7170" spans="1:11" x14ac:dyDescent="0.25">
      <c r="A7170" t="s">
        <v>24442</v>
      </c>
      <c r="B7170" s="1" t="str">
        <f>HYPERLINK("https://www.catalog.slsa.sa.gov.au/record=b2061624")</f>
        <v>https://www.catalog.slsa.sa.gov.au/record=b2061624</v>
      </c>
      <c r="C7170" s="1" t="str">
        <f>HYPERLINK("https://www.catalog.slsa.sa.gov.au/xrecord=b2061624")</f>
        <v>https://www.catalog.slsa.sa.gov.au/xrecord=b2061624</v>
      </c>
      <c r="D7170" t="s">
        <v>16831</v>
      </c>
      <c r="E7170" t="s">
        <v>24443</v>
      </c>
      <c r="F7170">
        <v>1954</v>
      </c>
      <c r="G7170" t="s">
        <v>20063</v>
      </c>
      <c r="H7170" t="s">
        <v>24444</v>
      </c>
      <c r="I7170" t="s">
        <v>24177</v>
      </c>
      <c r="J7170" t="s">
        <v>24441</v>
      </c>
      <c r="K7170" s="2" t="str">
        <f>HYPERLINK("http://collections.slsa.sa.gov.au/mpcimg/13250/B13159.htm")</f>
        <v>http://collections.slsa.sa.gov.au/mpcimg/13250/B13159.htm</v>
      </c>
    </row>
    <row r="7171" spans="1:11" x14ac:dyDescent="0.25">
      <c r="A7171" t="s">
        <v>24445</v>
      </c>
      <c r="B7171" s="1" t="str">
        <f>HYPERLINK("https://www.catalog.slsa.sa.gov.au/record=b2061636")</f>
        <v>https://www.catalog.slsa.sa.gov.au/record=b2061636</v>
      </c>
      <c r="C7171" s="1" t="str">
        <f>HYPERLINK("https://www.catalog.slsa.sa.gov.au/xrecord=b2061636")</f>
        <v>https://www.catalog.slsa.sa.gov.au/xrecord=b2061636</v>
      </c>
      <c r="D7171" t="s">
        <v>16831</v>
      </c>
      <c r="E7171" t="s">
        <v>24436</v>
      </c>
      <c r="F7171">
        <v>1954</v>
      </c>
      <c r="G7171" t="s">
        <v>20063</v>
      </c>
      <c r="H7171" t="s">
        <v>24446</v>
      </c>
      <c r="J7171" t="s">
        <v>24447</v>
      </c>
      <c r="K7171" s="2" t="str">
        <f>HYPERLINK("http://collections.slsa.sa.gov.au/mpcimg/13250/B13059.htm")</f>
        <v>http://collections.slsa.sa.gov.au/mpcimg/13250/B13059.htm</v>
      </c>
    </row>
    <row r="7172" spans="1:11" x14ac:dyDescent="0.25">
      <c r="A7172" t="s">
        <v>24448</v>
      </c>
      <c r="B7172" s="1" t="str">
        <f>HYPERLINK("https://www.catalog.slsa.sa.gov.au/record=b2061639")</f>
        <v>https://www.catalog.slsa.sa.gov.au/record=b2061639</v>
      </c>
      <c r="C7172" s="1" t="str">
        <f>HYPERLINK("https://www.catalog.slsa.sa.gov.au/xrecord=b2061639")</f>
        <v>https://www.catalog.slsa.sa.gov.au/xrecord=b2061639</v>
      </c>
      <c r="D7172" t="s">
        <v>16831</v>
      </c>
      <c r="E7172" t="s">
        <v>24436</v>
      </c>
      <c r="F7172">
        <v>1954</v>
      </c>
      <c r="G7172" t="s">
        <v>20063</v>
      </c>
      <c r="H7172" t="s">
        <v>24449</v>
      </c>
      <c r="J7172" t="s">
        <v>24447</v>
      </c>
      <c r="K7172" s="2" t="str">
        <f>HYPERLINK("http://collections.slsa.sa.gov.au/mpcimg/13250/B13060.htm")</f>
        <v>http://collections.slsa.sa.gov.au/mpcimg/13250/B13060.htm</v>
      </c>
    </row>
    <row r="7173" spans="1:11" x14ac:dyDescent="0.25">
      <c r="A7173" t="s">
        <v>24450</v>
      </c>
      <c r="B7173" s="1" t="str">
        <f>HYPERLINK("https://www.catalog.slsa.sa.gov.au/record=b2061656")</f>
        <v>https://www.catalog.slsa.sa.gov.au/record=b2061656</v>
      </c>
      <c r="C7173" s="1" t="str">
        <f>HYPERLINK("https://www.catalog.slsa.sa.gov.au/xrecord=b2061656")</f>
        <v>https://www.catalog.slsa.sa.gov.au/xrecord=b2061656</v>
      </c>
      <c r="D7173" t="s">
        <v>16831</v>
      </c>
      <c r="E7173" t="s">
        <v>24451</v>
      </c>
      <c r="F7173">
        <v>1954</v>
      </c>
      <c r="G7173" t="s">
        <v>20063</v>
      </c>
      <c r="H7173" t="s">
        <v>24452</v>
      </c>
      <c r="J7173" t="s">
        <v>24453</v>
      </c>
      <c r="K7173" s="2" t="str">
        <f>HYPERLINK("http://collections.slsa.sa.gov.au/mpcimg/13000/B12958.htm")</f>
        <v>http://collections.slsa.sa.gov.au/mpcimg/13000/B12958.htm</v>
      </c>
    </row>
    <row r="7174" spans="1:11" x14ac:dyDescent="0.25">
      <c r="A7174" t="s">
        <v>24454</v>
      </c>
      <c r="B7174" s="1" t="str">
        <f>HYPERLINK("https://www.catalog.slsa.sa.gov.au/record=b2061657")</f>
        <v>https://www.catalog.slsa.sa.gov.au/record=b2061657</v>
      </c>
      <c r="C7174" s="1" t="str">
        <f>HYPERLINK("https://www.catalog.slsa.sa.gov.au/xrecord=b2061657")</f>
        <v>https://www.catalog.slsa.sa.gov.au/xrecord=b2061657</v>
      </c>
      <c r="D7174" t="s">
        <v>16831</v>
      </c>
      <c r="E7174" t="s">
        <v>24455</v>
      </c>
      <c r="F7174">
        <v>1954</v>
      </c>
      <c r="G7174" t="s">
        <v>20063</v>
      </c>
      <c r="H7174" t="s">
        <v>24456</v>
      </c>
      <c r="J7174" t="s">
        <v>24453</v>
      </c>
      <c r="K7174" s="2" t="str">
        <f>HYPERLINK("http://collections.slsa.sa.gov.au/mpcimg/13250/B13041.htm")</f>
        <v>http://collections.slsa.sa.gov.au/mpcimg/13250/B13041.htm</v>
      </c>
    </row>
    <row r="7175" spans="1:11" x14ac:dyDescent="0.25">
      <c r="A7175" t="s">
        <v>24457</v>
      </c>
      <c r="B7175" s="1" t="str">
        <f>HYPERLINK("https://www.catalog.slsa.sa.gov.au/record=b2061659")</f>
        <v>https://www.catalog.slsa.sa.gov.au/record=b2061659</v>
      </c>
      <c r="C7175" s="1" t="str">
        <f>HYPERLINK("https://www.catalog.slsa.sa.gov.au/xrecord=b2061659")</f>
        <v>https://www.catalog.slsa.sa.gov.au/xrecord=b2061659</v>
      </c>
      <c r="D7175" t="s">
        <v>16831</v>
      </c>
      <c r="E7175" t="s">
        <v>24436</v>
      </c>
      <c r="F7175">
        <v>1954</v>
      </c>
      <c r="G7175" t="s">
        <v>20063</v>
      </c>
      <c r="H7175" t="s">
        <v>24458</v>
      </c>
      <c r="I7175" t="s">
        <v>24177</v>
      </c>
      <c r="J7175" t="s">
        <v>24453</v>
      </c>
      <c r="K7175" s="2" t="str">
        <f>HYPERLINK("http://collections.slsa.sa.gov.au/mpcimg/13250/B13196.htm")</f>
        <v>http://collections.slsa.sa.gov.au/mpcimg/13250/B13196.htm</v>
      </c>
    </row>
    <row r="7176" spans="1:11" x14ac:dyDescent="0.25">
      <c r="A7176" t="s">
        <v>24459</v>
      </c>
      <c r="B7176" s="1" t="str">
        <f>HYPERLINK("https://www.catalog.slsa.sa.gov.au/record=b2061684")</f>
        <v>https://www.catalog.slsa.sa.gov.au/record=b2061684</v>
      </c>
      <c r="C7176" s="1" t="str">
        <f>HYPERLINK("https://www.catalog.slsa.sa.gov.au/xrecord=b2061684")</f>
        <v>https://www.catalog.slsa.sa.gov.au/xrecord=b2061684</v>
      </c>
      <c r="D7176" t="s">
        <v>16831</v>
      </c>
      <c r="E7176" t="s">
        <v>24436</v>
      </c>
      <c r="F7176">
        <v>1954</v>
      </c>
      <c r="G7176" t="s">
        <v>20063</v>
      </c>
      <c r="H7176" t="s">
        <v>24460</v>
      </c>
      <c r="I7176" t="s">
        <v>24461</v>
      </c>
      <c r="J7176" t="s">
        <v>24462</v>
      </c>
      <c r="K7176" s="2" t="str">
        <f>HYPERLINK("http://collections.slsa.sa.gov.au/mpcimg/13250/B13079.htm")</f>
        <v>http://collections.slsa.sa.gov.au/mpcimg/13250/B13079.htm</v>
      </c>
    </row>
    <row r="7177" spans="1:11" x14ac:dyDescent="0.25">
      <c r="A7177" t="s">
        <v>24463</v>
      </c>
      <c r="B7177" s="1" t="str">
        <f>HYPERLINK("https://www.catalog.slsa.sa.gov.au/record=b2061694")</f>
        <v>https://www.catalog.slsa.sa.gov.au/record=b2061694</v>
      </c>
      <c r="C7177" s="1" t="str">
        <f>HYPERLINK("https://www.catalog.slsa.sa.gov.au/xrecord=b2061694")</f>
        <v>https://www.catalog.slsa.sa.gov.au/xrecord=b2061694</v>
      </c>
      <c r="D7177" t="s">
        <v>16831</v>
      </c>
      <c r="E7177" t="s">
        <v>24464</v>
      </c>
      <c r="F7177">
        <v>1954</v>
      </c>
      <c r="G7177" t="s">
        <v>20063</v>
      </c>
      <c r="H7177" t="s">
        <v>24465</v>
      </c>
      <c r="I7177" t="s">
        <v>24466</v>
      </c>
      <c r="J7177" t="s">
        <v>24467</v>
      </c>
      <c r="K7177" s="2" t="str">
        <f>HYPERLINK("http://collections.slsa.sa.gov.au/mpcimg/13250/B13009.htm")</f>
        <v>http://collections.slsa.sa.gov.au/mpcimg/13250/B13009.htm</v>
      </c>
    </row>
    <row r="7178" spans="1:11" x14ac:dyDescent="0.25">
      <c r="A7178" t="s">
        <v>24468</v>
      </c>
      <c r="B7178" s="1" t="str">
        <f>HYPERLINK("https://www.catalog.slsa.sa.gov.au/record=b2061724")</f>
        <v>https://www.catalog.slsa.sa.gov.au/record=b2061724</v>
      </c>
      <c r="C7178" s="1" t="str">
        <f>HYPERLINK("https://www.catalog.slsa.sa.gov.au/xrecord=b2061724")</f>
        <v>https://www.catalog.slsa.sa.gov.au/xrecord=b2061724</v>
      </c>
      <c r="D7178" t="s">
        <v>16831</v>
      </c>
      <c r="E7178" t="s">
        <v>24469</v>
      </c>
      <c r="F7178">
        <v>1954</v>
      </c>
      <c r="G7178" t="s">
        <v>20063</v>
      </c>
      <c r="H7178" t="s">
        <v>24470</v>
      </c>
      <c r="I7178" t="s">
        <v>24471</v>
      </c>
      <c r="J7178" t="s">
        <v>24472</v>
      </c>
      <c r="K7178" s="2" t="str">
        <f>HYPERLINK("http://collections.slsa.sa.gov.au/mpcimg/13250/B13103.htm")</f>
        <v>http://collections.slsa.sa.gov.au/mpcimg/13250/B13103.htm</v>
      </c>
    </row>
    <row r="7179" spans="1:11" x14ac:dyDescent="0.25">
      <c r="A7179" t="s">
        <v>24473</v>
      </c>
      <c r="B7179" s="1" t="str">
        <f>HYPERLINK("https://www.catalog.slsa.sa.gov.au/record=b2061745")</f>
        <v>https://www.catalog.slsa.sa.gov.au/record=b2061745</v>
      </c>
      <c r="C7179" s="1" t="str">
        <f>HYPERLINK("https://www.catalog.slsa.sa.gov.au/xrecord=b2061745")</f>
        <v>https://www.catalog.slsa.sa.gov.au/xrecord=b2061745</v>
      </c>
      <c r="D7179" t="s">
        <v>16831</v>
      </c>
      <c r="E7179" t="s">
        <v>24474</v>
      </c>
      <c r="F7179">
        <v>1954</v>
      </c>
      <c r="G7179" t="s">
        <v>20063</v>
      </c>
      <c r="H7179" t="s">
        <v>24475</v>
      </c>
      <c r="J7179" t="s">
        <v>24476</v>
      </c>
      <c r="K7179" s="2" t="str">
        <f>HYPERLINK("http://collections.slsa.sa.gov.au/mpcimg/13250/B13114.htm")</f>
        <v>http://collections.slsa.sa.gov.au/mpcimg/13250/B13114.htm</v>
      </c>
    </row>
    <row r="7180" spans="1:11" x14ac:dyDescent="0.25">
      <c r="A7180" t="s">
        <v>24477</v>
      </c>
      <c r="B7180" s="1" t="str">
        <f>HYPERLINK("https://www.catalog.slsa.sa.gov.au/record=b2061755")</f>
        <v>https://www.catalog.slsa.sa.gov.au/record=b2061755</v>
      </c>
      <c r="C7180" s="1" t="str">
        <f>HYPERLINK("https://www.catalog.slsa.sa.gov.au/xrecord=b2061755")</f>
        <v>https://www.catalog.slsa.sa.gov.au/xrecord=b2061755</v>
      </c>
      <c r="D7180" t="s">
        <v>16831</v>
      </c>
      <c r="E7180" t="s">
        <v>24478</v>
      </c>
      <c r="F7180">
        <v>1954</v>
      </c>
      <c r="G7180" t="s">
        <v>20063</v>
      </c>
      <c r="H7180" t="s">
        <v>24479</v>
      </c>
      <c r="J7180" t="s">
        <v>24480</v>
      </c>
      <c r="K7180" s="2" t="str">
        <f>HYPERLINK("http://collections.slsa.sa.gov.au/mpcimg/13250/B13075.htm")</f>
        <v>http://collections.slsa.sa.gov.au/mpcimg/13250/B13075.htm</v>
      </c>
    </row>
    <row r="7181" spans="1:11" x14ac:dyDescent="0.25">
      <c r="A7181" t="s">
        <v>24481</v>
      </c>
      <c r="B7181" s="1" t="str">
        <f>HYPERLINK("https://www.catalog.slsa.sa.gov.au/record=b2061760")</f>
        <v>https://www.catalog.slsa.sa.gov.au/record=b2061760</v>
      </c>
      <c r="C7181" s="1" t="str">
        <f>HYPERLINK("https://www.catalog.slsa.sa.gov.au/xrecord=b2061760")</f>
        <v>https://www.catalog.slsa.sa.gov.au/xrecord=b2061760</v>
      </c>
      <c r="D7181" t="s">
        <v>16831</v>
      </c>
      <c r="E7181" t="s">
        <v>24436</v>
      </c>
      <c r="F7181">
        <v>1954</v>
      </c>
      <c r="G7181" t="s">
        <v>20063</v>
      </c>
      <c r="H7181" t="s">
        <v>24482</v>
      </c>
      <c r="J7181" t="s">
        <v>24483</v>
      </c>
      <c r="K7181" s="2" t="str">
        <f>HYPERLINK("http://collections.slsa.sa.gov.au/mpcimg/13250/B13070.htm")</f>
        <v>http://collections.slsa.sa.gov.au/mpcimg/13250/B13070.htm</v>
      </c>
    </row>
    <row r="7182" spans="1:11" x14ac:dyDescent="0.25">
      <c r="A7182" t="s">
        <v>24484</v>
      </c>
      <c r="B7182" s="1" t="str">
        <f>HYPERLINK("https://www.catalog.slsa.sa.gov.au/record=b2061768")</f>
        <v>https://www.catalog.slsa.sa.gov.au/record=b2061768</v>
      </c>
      <c r="C7182" s="1" t="str">
        <f>HYPERLINK("https://www.catalog.slsa.sa.gov.au/xrecord=b2061768")</f>
        <v>https://www.catalog.slsa.sa.gov.au/xrecord=b2061768</v>
      </c>
      <c r="D7182" t="s">
        <v>16831</v>
      </c>
      <c r="E7182" t="s">
        <v>24485</v>
      </c>
      <c r="F7182">
        <v>1954</v>
      </c>
      <c r="G7182" t="s">
        <v>20063</v>
      </c>
      <c r="H7182" t="s">
        <v>24486</v>
      </c>
      <c r="J7182" t="s">
        <v>24487</v>
      </c>
      <c r="K7182" s="2" t="str">
        <f>HYPERLINK("http://collections.slsa.sa.gov.au/mpcimg/13250/B13025.htm")</f>
        <v>http://collections.slsa.sa.gov.au/mpcimg/13250/B13025.htm</v>
      </c>
    </row>
    <row r="7183" spans="1:11" x14ac:dyDescent="0.25">
      <c r="A7183" t="s">
        <v>24488</v>
      </c>
      <c r="B7183" s="1" t="str">
        <f>HYPERLINK("https://www.catalog.slsa.sa.gov.au/record=b2061797")</f>
        <v>https://www.catalog.slsa.sa.gov.au/record=b2061797</v>
      </c>
      <c r="C7183" s="1" t="str">
        <f>HYPERLINK("https://www.catalog.slsa.sa.gov.au/xrecord=b2061797")</f>
        <v>https://www.catalog.slsa.sa.gov.au/xrecord=b2061797</v>
      </c>
      <c r="D7183" t="s">
        <v>16831</v>
      </c>
      <c r="E7183" t="s">
        <v>24489</v>
      </c>
      <c r="F7183">
        <v>1954</v>
      </c>
      <c r="G7183" t="s">
        <v>20063</v>
      </c>
      <c r="H7183" t="s">
        <v>24490</v>
      </c>
      <c r="J7183" t="s">
        <v>24491</v>
      </c>
      <c r="K7183" s="2" t="str">
        <f>HYPERLINK("http://collections.slsa.sa.gov.au/mpcimg/13000/B12925.htm")</f>
        <v>http://collections.slsa.sa.gov.au/mpcimg/13000/B12925.htm</v>
      </c>
    </row>
    <row r="7184" spans="1:11" x14ac:dyDescent="0.25">
      <c r="A7184" t="s">
        <v>24492</v>
      </c>
      <c r="B7184" s="1" t="str">
        <f>HYPERLINK("https://www.catalog.slsa.sa.gov.au/record=b2061798")</f>
        <v>https://www.catalog.slsa.sa.gov.au/record=b2061798</v>
      </c>
      <c r="C7184" s="1" t="str">
        <f>HYPERLINK("https://www.catalog.slsa.sa.gov.au/xrecord=b2061798")</f>
        <v>https://www.catalog.slsa.sa.gov.au/xrecord=b2061798</v>
      </c>
      <c r="D7184" t="s">
        <v>16831</v>
      </c>
      <c r="E7184" t="s">
        <v>24451</v>
      </c>
      <c r="F7184">
        <v>1954</v>
      </c>
      <c r="G7184" t="s">
        <v>20063</v>
      </c>
      <c r="H7184" t="s">
        <v>24493</v>
      </c>
      <c r="J7184" t="s">
        <v>24491</v>
      </c>
      <c r="K7184" s="2" t="str">
        <f>HYPERLINK("http://collections.slsa.sa.gov.au/mpcimg/13000/B12952.htm")</f>
        <v>http://collections.slsa.sa.gov.au/mpcimg/13000/B12952.htm</v>
      </c>
    </row>
    <row r="7185" spans="1:11" x14ac:dyDescent="0.25">
      <c r="A7185" t="s">
        <v>24494</v>
      </c>
      <c r="B7185" s="1" t="str">
        <f>HYPERLINK("https://www.catalog.slsa.sa.gov.au/record=b2061871")</f>
        <v>https://www.catalog.slsa.sa.gov.au/record=b2061871</v>
      </c>
      <c r="C7185" s="1" t="str">
        <f>HYPERLINK("https://www.catalog.slsa.sa.gov.au/xrecord=b2061871")</f>
        <v>https://www.catalog.slsa.sa.gov.au/xrecord=b2061871</v>
      </c>
      <c r="D7185" t="s">
        <v>16831</v>
      </c>
      <c r="E7185" t="s">
        <v>24495</v>
      </c>
      <c r="F7185">
        <v>1954</v>
      </c>
      <c r="G7185" t="s">
        <v>20063</v>
      </c>
      <c r="H7185" t="s">
        <v>24496</v>
      </c>
      <c r="J7185" t="s">
        <v>24497</v>
      </c>
      <c r="K7185" s="2" t="str">
        <f>HYPERLINK("http://collections.slsa.sa.gov.au/mpcimg/13250/B13062.htm")</f>
        <v>http://collections.slsa.sa.gov.au/mpcimg/13250/B13062.htm</v>
      </c>
    </row>
    <row r="7186" spans="1:11" x14ac:dyDescent="0.25">
      <c r="A7186" t="s">
        <v>24498</v>
      </c>
      <c r="B7186" s="1" t="str">
        <f>HYPERLINK("https://www.catalog.slsa.sa.gov.au/record=b2061911")</f>
        <v>https://www.catalog.slsa.sa.gov.au/record=b2061911</v>
      </c>
      <c r="C7186" s="1" t="str">
        <f>HYPERLINK("https://www.catalog.slsa.sa.gov.au/xrecord=b2061911")</f>
        <v>https://www.catalog.slsa.sa.gov.au/xrecord=b2061911</v>
      </c>
      <c r="D7186" t="s">
        <v>16831</v>
      </c>
      <c r="E7186" t="s">
        <v>24499</v>
      </c>
      <c r="F7186">
        <v>1954</v>
      </c>
      <c r="G7186" t="s">
        <v>22709</v>
      </c>
      <c r="H7186" t="s">
        <v>24500</v>
      </c>
      <c r="J7186" t="s">
        <v>24501</v>
      </c>
      <c r="K7186" s="2" t="str">
        <f>HYPERLINK("http://collections.slsa.sa.gov.au/mpcimg/13000/B12860.htm")</f>
        <v>http://collections.slsa.sa.gov.au/mpcimg/13000/B12860.htm</v>
      </c>
    </row>
    <row r="7187" spans="1:11" x14ac:dyDescent="0.25">
      <c r="A7187" t="s">
        <v>24502</v>
      </c>
      <c r="B7187" s="1" t="str">
        <f>HYPERLINK("https://www.catalog.slsa.sa.gov.au/record=b2061986")</f>
        <v>https://www.catalog.slsa.sa.gov.au/record=b2061986</v>
      </c>
      <c r="C7187" s="1" t="str">
        <f>HYPERLINK("https://www.catalog.slsa.sa.gov.au/xrecord=b2061986")</f>
        <v>https://www.catalog.slsa.sa.gov.au/xrecord=b2061986</v>
      </c>
      <c r="E7187" t="s">
        <v>24168</v>
      </c>
      <c r="F7187">
        <v>1954</v>
      </c>
      <c r="G7187" t="s">
        <v>20063</v>
      </c>
      <c r="H7187" t="s">
        <v>24503</v>
      </c>
      <c r="J7187" t="s">
        <v>24504</v>
      </c>
      <c r="K7187" s="2" t="str">
        <f>HYPERLINK("http://collections.slsa.sa.gov.au/mpcimg/13250/B13157.htm")</f>
        <v>http://collections.slsa.sa.gov.au/mpcimg/13250/B13157.htm</v>
      </c>
    </row>
    <row r="7188" spans="1:11" x14ac:dyDescent="0.25">
      <c r="A7188" t="s">
        <v>24505</v>
      </c>
      <c r="B7188" s="1" t="str">
        <f>HYPERLINK("https://www.catalog.slsa.sa.gov.au/record=b2062058")</f>
        <v>https://www.catalog.slsa.sa.gov.au/record=b2062058</v>
      </c>
      <c r="C7188" s="1" t="str">
        <f>HYPERLINK("https://www.catalog.slsa.sa.gov.au/xrecord=b2062058")</f>
        <v>https://www.catalog.slsa.sa.gov.au/xrecord=b2062058</v>
      </c>
      <c r="D7188" t="s">
        <v>16831</v>
      </c>
      <c r="E7188" t="s">
        <v>22905</v>
      </c>
      <c r="F7188">
        <v>1954</v>
      </c>
      <c r="G7188" t="s">
        <v>22709</v>
      </c>
      <c r="H7188" t="s">
        <v>24506</v>
      </c>
      <c r="J7188" t="s">
        <v>24507</v>
      </c>
      <c r="K7188" s="2" t="str">
        <f>HYPERLINK("http://collections.slsa.sa.gov.au/mpcimg/13000/B12863.htm")</f>
        <v>http://collections.slsa.sa.gov.au/mpcimg/13000/B12863.htm</v>
      </c>
    </row>
    <row r="7189" spans="1:11" x14ac:dyDescent="0.25">
      <c r="A7189" t="s">
        <v>24508</v>
      </c>
      <c r="B7189" s="1" t="str">
        <f>HYPERLINK("https://www.catalog.slsa.sa.gov.au/record=b2062072")</f>
        <v>https://www.catalog.slsa.sa.gov.au/record=b2062072</v>
      </c>
      <c r="C7189" s="1" t="str">
        <f>HYPERLINK("https://www.catalog.slsa.sa.gov.au/xrecord=b2062072")</f>
        <v>https://www.catalog.slsa.sa.gov.au/xrecord=b2062072</v>
      </c>
      <c r="D7189" t="s">
        <v>16831</v>
      </c>
      <c r="E7189" t="s">
        <v>24509</v>
      </c>
      <c r="F7189">
        <v>1954</v>
      </c>
      <c r="G7189" t="s">
        <v>20063</v>
      </c>
      <c r="H7189" t="s">
        <v>24510</v>
      </c>
      <c r="I7189" t="s">
        <v>24177</v>
      </c>
      <c r="J7189" t="s">
        <v>24511</v>
      </c>
      <c r="K7189" s="2" t="str">
        <f>HYPERLINK("http://collections.slsa.sa.gov.au/mpcimg/13250/B13087.htm")</f>
        <v>http://collections.slsa.sa.gov.au/mpcimg/13250/B13087.htm</v>
      </c>
    </row>
    <row r="7190" spans="1:11" x14ac:dyDescent="0.25">
      <c r="A7190" t="s">
        <v>24512</v>
      </c>
      <c r="B7190" s="1" t="str">
        <f>HYPERLINK("https://www.catalog.slsa.sa.gov.au/record=b2062082")</f>
        <v>https://www.catalog.slsa.sa.gov.au/record=b2062082</v>
      </c>
      <c r="C7190" s="1" t="str">
        <f>HYPERLINK("https://www.catalog.slsa.sa.gov.au/xrecord=b2062082")</f>
        <v>https://www.catalog.slsa.sa.gov.au/xrecord=b2062082</v>
      </c>
      <c r="D7190" t="s">
        <v>16831</v>
      </c>
      <c r="E7190" t="s">
        <v>21212</v>
      </c>
      <c r="F7190">
        <v>1954</v>
      </c>
      <c r="G7190" t="s">
        <v>20063</v>
      </c>
      <c r="H7190" t="s">
        <v>24513</v>
      </c>
      <c r="J7190" t="s">
        <v>24514</v>
      </c>
      <c r="K7190" s="2" t="str">
        <f>HYPERLINK("http://collections.slsa.sa.gov.au/mpcimg/13250/B13054.htm")</f>
        <v>http://collections.slsa.sa.gov.au/mpcimg/13250/B13054.htm</v>
      </c>
    </row>
    <row r="7191" spans="1:11" x14ac:dyDescent="0.25">
      <c r="A7191" t="s">
        <v>24515</v>
      </c>
      <c r="B7191" s="1" t="str">
        <f>HYPERLINK("https://www.catalog.slsa.sa.gov.au/record=b2062091")</f>
        <v>https://www.catalog.slsa.sa.gov.au/record=b2062091</v>
      </c>
      <c r="C7191" s="1" t="str">
        <f>HYPERLINK("https://www.catalog.slsa.sa.gov.au/xrecord=b2062091")</f>
        <v>https://www.catalog.slsa.sa.gov.au/xrecord=b2062091</v>
      </c>
      <c r="D7191" t="s">
        <v>16831</v>
      </c>
      <c r="E7191" t="s">
        <v>21212</v>
      </c>
      <c r="F7191">
        <v>1954</v>
      </c>
      <c r="G7191" t="s">
        <v>22709</v>
      </c>
      <c r="H7191" t="s">
        <v>24516</v>
      </c>
      <c r="J7191" t="s">
        <v>24517</v>
      </c>
      <c r="K7191" s="2" t="str">
        <f>HYPERLINK("http://collections.slsa.sa.gov.au/mpcimg/13000/B12864.htm")</f>
        <v>http://collections.slsa.sa.gov.au/mpcimg/13000/B12864.htm</v>
      </c>
    </row>
    <row r="7192" spans="1:11" x14ac:dyDescent="0.25">
      <c r="A7192" t="s">
        <v>24518</v>
      </c>
      <c r="B7192" s="1" t="str">
        <f>HYPERLINK("https://www.catalog.slsa.sa.gov.au/record=b2062107")</f>
        <v>https://www.catalog.slsa.sa.gov.au/record=b2062107</v>
      </c>
      <c r="C7192" s="1" t="str">
        <f>HYPERLINK("https://www.catalog.slsa.sa.gov.au/xrecord=b2062107")</f>
        <v>https://www.catalog.slsa.sa.gov.au/xrecord=b2062107</v>
      </c>
      <c r="D7192" t="s">
        <v>16831</v>
      </c>
      <c r="E7192" t="s">
        <v>17109</v>
      </c>
      <c r="F7192">
        <v>1954</v>
      </c>
      <c r="G7192" t="s">
        <v>20063</v>
      </c>
      <c r="H7192" t="s">
        <v>24519</v>
      </c>
      <c r="J7192" t="s">
        <v>21221</v>
      </c>
      <c r="K7192" s="2" t="str">
        <f>HYPERLINK("http://collections.slsa.sa.gov.au/mpcimg/13250/B13128.htm")</f>
        <v>http://collections.slsa.sa.gov.au/mpcimg/13250/B13128.htm</v>
      </c>
    </row>
    <row r="7193" spans="1:11" x14ac:dyDescent="0.25">
      <c r="A7193" t="s">
        <v>24520</v>
      </c>
      <c r="B7193" s="1" t="str">
        <f>HYPERLINK("https://www.catalog.slsa.sa.gov.au/record=b2062119")</f>
        <v>https://www.catalog.slsa.sa.gov.au/record=b2062119</v>
      </c>
      <c r="C7193" s="1" t="str">
        <f>HYPERLINK("https://www.catalog.slsa.sa.gov.au/xrecord=b2062119")</f>
        <v>https://www.catalog.slsa.sa.gov.au/xrecord=b2062119</v>
      </c>
      <c r="D7193" t="s">
        <v>16831</v>
      </c>
      <c r="E7193" t="s">
        <v>24521</v>
      </c>
      <c r="F7193">
        <v>1954</v>
      </c>
      <c r="G7193" t="s">
        <v>20063</v>
      </c>
      <c r="H7193" t="s">
        <v>24522</v>
      </c>
      <c r="J7193" t="s">
        <v>21224</v>
      </c>
      <c r="K7193" s="2" t="str">
        <f>HYPERLINK("http://collections.slsa.sa.gov.au/mpcimg/13000/B12926.htm")</f>
        <v>http://collections.slsa.sa.gov.au/mpcimg/13000/B12926.htm</v>
      </c>
    </row>
    <row r="7194" spans="1:11" x14ac:dyDescent="0.25">
      <c r="A7194" t="s">
        <v>24523</v>
      </c>
      <c r="B7194" s="1" t="str">
        <f>HYPERLINK("https://www.catalog.slsa.sa.gov.au/record=b2062120")</f>
        <v>https://www.catalog.slsa.sa.gov.au/record=b2062120</v>
      </c>
      <c r="C7194" s="1" t="str">
        <f>HYPERLINK("https://www.catalog.slsa.sa.gov.au/xrecord=b2062120")</f>
        <v>https://www.catalog.slsa.sa.gov.au/xrecord=b2062120</v>
      </c>
      <c r="D7194" t="s">
        <v>16831</v>
      </c>
      <c r="E7194" t="s">
        <v>24521</v>
      </c>
      <c r="F7194">
        <v>1954</v>
      </c>
      <c r="G7194" t="s">
        <v>20063</v>
      </c>
      <c r="H7194" t="s">
        <v>24524</v>
      </c>
      <c r="J7194" t="s">
        <v>21224</v>
      </c>
      <c r="K7194" s="2" t="str">
        <f>HYPERLINK("http://collections.slsa.sa.gov.au/mpcimg/13000/B12927.htm")</f>
        <v>http://collections.slsa.sa.gov.au/mpcimg/13000/B12927.htm</v>
      </c>
    </row>
    <row r="7195" spans="1:11" x14ac:dyDescent="0.25">
      <c r="A7195" t="s">
        <v>24525</v>
      </c>
      <c r="B7195" s="1" t="str">
        <f>HYPERLINK("https://www.catalog.slsa.sa.gov.au/record=b2062121")</f>
        <v>https://www.catalog.slsa.sa.gov.au/record=b2062121</v>
      </c>
      <c r="C7195" s="1" t="str">
        <f>HYPERLINK("https://www.catalog.slsa.sa.gov.au/xrecord=b2062121")</f>
        <v>https://www.catalog.slsa.sa.gov.au/xrecord=b2062121</v>
      </c>
      <c r="D7195" t="s">
        <v>16831</v>
      </c>
      <c r="E7195" t="s">
        <v>17109</v>
      </c>
      <c r="F7195">
        <v>1954</v>
      </c>
      <c r="G7195" t="s">
        <v>20063</v>
      </c>
      <c r="H7195" t="s">
        <v>24526</v>
      </c>
      <c r="J7195" t="s">
        <v>21224</v>
      </c>
      <c r="K7195" s="2" t="str">
        <f>HYPERLINK("http://collections.slsa.sa.gov.au/mpcimg/13250/B13195.htm")</f>
        <v>http://collections.slsa.sa.gov.au/mpcimg/13250/B13195.htm</v>
      </c>
    </row>
    <row r="7196" spans="1:11" x14ac:dyDescent="0.25">
      <c r="A7196" t="s">
        <v>24527</v>
      </c>
      <c r="B7196" s="1" t="str">
        <f>HYPERLINK("https://www.catalog.slsa.sa.gov.au/record=b2062133")</f>
        <v>https://www.catalog.slsa.sa.gov.au/record=b2062133</v>
      </c>
      <c r="C7196" s="1" t="str">
        <f>HYPERLINK("https://www.catalog.slsa.sa.gov.au/xrecord=b2062133")</f>
        <v>https://www.catalog.slsa.sa.gov.au/xrecord=b2062133</v>
      </c>
      <c r="D7196" t="s">
        <v>16831</v>
      </c>
      <c r="E7196" t="s">
        <v>10268</v>
      </c>
      <c r="F7196">
        <v>1954</v>
      </c>
      <c r="G7196" t="s">
        <v>20063</v>
      </c>
      <c r="H7196" t="s">
        <v>24528</v>
      </c>
      <c r="J7196" t="s">
        <v>24529</v>
      </c>
      <c r="K7196" s="2" t="str">
        <f>HYPERLINK("http://collections.slsa.sa.gov.au/mpcimg/13000/B12939.htm")</f>
        <v>http://collections.slsa.sa.gov.au/mpcimg/13000/B12939.htm</v>
      </c>
    </row>
    <row r="7197" spans="1:11" x14ac:dyDescent="0.25">
      <c r="A7197" t="s">
        <v>24530</v>
      </c>
      <c r="B7197" s="1" t="str">
        <f>HYPERLINK("https://www.catalog.slsa.sa.gov.au/record=b2062149")</f>
        <v>https://www.catalog.slsa.sa.gov.au/record=b2062149</v>
      </c>
      <c r="C7197" s="1" t="str">
        <f>HYPERLINK("https://www.catalog.slsa.sa.gov.au/xrecord=b2062149")</f>
        <v>https://www.catalog.slsa.sa.gov.au/xrecord=b2062149</v>
      </c>
      <c r="D7197" t="s">
        <v>16831</v>
      </c>
      <c r="E7197" t="s">
        <v>10268</v>
      </c>
      <c r="F7197">
        <v>1954</v>
      </c>
      <c r="G7197" t="s">
        <v>20063</v>
      </c>
      <c r="H7197" t="s">
        <v>24531</v>
      </c>
      <c r="J7197" t="s">
        <v>24532</v>
      </c>
      <c r="K7197" s="2" t="str">
        <f>HYPERLINK("http://collections.slsa.sa.gov.au/mpcimg/13000/B12940.htm")</f>
        <v>http://collections.slsa.sa.gov.au/mpcimg/13000/B12940.htm</v>
      </c>
    </row>
    <row r="7198" spans="1:11" x14ac:dyDescent="0.25">
      <c r="A7198" t="s">
        <v>24533</v>
      </c>
      <c r="B7198" s="1" t="str">
        <f>HYPERLINK("https://www.catalog.slsa.sa.gov.au/record=b2062152")</f>
        <v>https://www.catalog.slsa.sa.gov.au/record=b2062152</v>
      </c>
      <c r="C7198" s="1" t="str">
        <f>HYPERLINK("https://www.catalog.slsa.sa.gov.au/xrecord=b2062152")</f>
        <v>https://www.catalog.slsa.sa.gov.au/xrecord=b2062152</v>
      </c>
      <c r="D7198" t="s">
        <v>16831</v>
      </c>
      <c r="E7198" t="s">
        <v>24534</v>
      </c>
      <c r="F7198">
        <v>1954</v>
      </c>
      <c r="G7198" t="s">
        <v>20063</v>
      </c>
      <c r="H7198" t="s">
        <v>24535</v>
      </c>
      <c r="I7198" t="s">
        <v>24461</v>
      </c>
      <c r="J7198" t="s">
        <v>24536</v>
      </c>
      <c r="K7198" s="2" t="str">
        <f>HYPERLINK("http://collections.slsa.sa.gov.au/mpcimg/13250/B13080.htm")</f>
        <v>http://collections.slsa.sa.gov.au/mpcimg/13250/B13080.htm</v>
      </c>
    </row>
    <row r="7199" spans="1:11" x14ac:dyDescent="0.25">
      <c r="A7199" t="s">
        <v>24537</v>
      </c>
      <c r="B7199" s="1" t="str">
        <f>HYPERLINK("https://www.catalog.slsa.sa.gov.au/record=b2062183")</f>
        <v>https://www.catalog.slsa.sa.gov.au/record=b2062183</v>
      </c>
      <c r="C7199" s="1" t="str">
        <f>HYPERLINK("https://www.catalog.slsa.sa.gov.au/xrecord=b2062183")</f>
        <v>https://www.catalog.slsa.sa.gov.au/xrecord=b2062183</v>
      </c>
      <c r="D7199" t="s">
        <v>16831</v>
      </c>
      <c r="E7199" t="s">
        <v>24534</v>
      </c>
      <c r="F7199">
        <v>1954</v>
      </c>
      <c r="G7199" t="s">
        <v>20063</v>
      </c>
      <c r="H7199" t="s">
        <v>24538</v>
      </c>
      <c r="I7199" t="s">
        <v>24177</v>
      </c>
      <c r="J7199" t="s">
        <v>24539</v>
      </c>
      <c r="K7199" s="2" t="str">
        <f>HYPERLINK("http://collections.slsa.sa.gov.au/mpcimg/13250/B13155.htm")</f>
        <v>http://collections.slsa.sa.gov.au/mpcimg/13250/B13155.htm</v>
      </c>
    </row>
    <row r="7200" spans="1:11" x14ac:dyDescent="0.25">
      <c r="A7200" t="s">
        <v>24540</v>
      </c>
      <c r="B7200" s="1" t="str">
        <f>HYPERLINK("https://www.catalog.slsa.sa.gov.au/record=b2062208")</f>
        <v>https://www.catalog.slsa.sa.gov.au/record=b2062208</v>
      </c>
      <c r="C7200" s="1" t="str">
        <f>HYPERLINK("https://www.catalog.slsa.sa.gov.au/xrecord=b2062208")</f>
        <v>https://www.catalog.slsa.sa.gov.au/xrecord=b2062208</v>
      </c>
      <c r="D7200" t="s">
        <v>16831</v>
      </c>
      <c r="E7200" t="s">
        <v>24469</v>
      </c>
      <c r="F7200">
        <v>1954</v>
      </c>
      <c r="G7200" t="s">
        <v>20063</v>
      </c>
      <c r="H7200" t="s">
        <v>24541</v>
      </c>
      <c r="J7200" t="s">
        <v>24542</v>
      </c>
      <c r="K7200" s="2" t="str">
        <f>HYPERLINK("http://collections.slsa.sa.gov.au/mpcimg/13250/B13057.htm")</f>
        <v>http://collections.slsa.sa.gov.au/mpcimg/13250/B13057.htm</v>
      </c>
    </row>
    <row r="7201" spans="1:11" x14ac:dyDescent="0.25">
      <c r="A7201" t="s">
        <v>24543</v>
      </c>
      <c r="B7201" s="1" t="str">
        <f>HYPERLINK("https://www.catalog.slsa.sa.gov.au/record=b2062209")</f>
        <v>https://www.catalog.slsa.sa.gov.au/record=b2062209</v>
      </c>
      <c r="C7201" s="1" t="str">
        <f>HYPERLINK("https://www.catalog.slsa.sa.gov.au/xrecord=b2062209")</f>
        <v>https://www.catalog.slsa.sa.gov.au/xrecord=b2062209</v>
      </c>
      <c r="D7201" t="s">
        <v>16831</v>
      </c>
      <c r="E7201" t="s">
        <v>24469</v>
      </c>
      <c r="F7201">
        <v>1954</v>
      </c>
      <c r="G7201" t="s">
        <v>20063</v>
      </c>
      <c r="H7201" t="s">
        <v>24544</v>
      </c>
      <c r="I7201" t="s">
        <v>24471</v>
      </c>
      <c r="J7201" t="s">
        <v>24542</v>
      </c>
      <c r="K7201" s="2" t="str">
        <f>HYPERLINK("http://collections.slsa.sa.gov.au/mpcimg/13250/B13141.htm")</f>
        <v>http://collections.slsa.sa.gov.au/mpcimg/13250/B13141.htm</v>
      </c>
    </row>
    <row r="7202" spans="1:11" x14ac:dyDescent="0.25">
      <c r="A7202" t="s">
        <v>24545</v>
      </c>
      <c r="B7202" s="1" t="str">
        <f>HYPERLINK("https://www.catalog.slsa.sa.gov.au/record=b2062292")</f>
        <v>https://www.catalog.slsa.sa.gov.au/record=b2062292</v>
      </c>
      <c r="C7202" s="1" t="str">
        <f>HYPERLINK("https://www.catalog.slsa.sa.gov.au/xrecord=b2062292")</f>
        <v>https://www.catalog.slsa.sa.gov.au/xrecord=b2062292</v>
      </c>
      <c r="D7202" t="s">
        <v>16831</v>
      </c>
      <c r="E7202" t="s">
        <v>24546</v>
      </c>
      <c r="F7202">
        <v>1954</v>
      </c>
      <c r="G7202" t="s">
        <v>20063</v>
      </c>
      <c r="H7202" t="s">
        <v>24547</v>
      </c>
      <c r="J7202" t="s">
        <v>24548</v>
      </c>
      <c r="K7202" s="2" t="str">
        <f>HYPERLINK("http://collections.slsa.sa.gov.au/mpcimg/13000/B12923.htm")</f>
        <v>http://collections.slsa.sa.gov.au/mpcimg/13000/B12923.htm</v>
      </c>
    </row>
    <row r="7203" spans="1:11" x14ac:dyDescent="0.25">
      <c r="A7203" t="s">
        <v>24549</v>
      </c>
      <c r="B7203" s="1" t="str">
        <f>HYPERLINK("https://www.catalog.slsa.sa.gov.au/record=b2062293")</f>
        <v>https://www.catalog.slsa.sa.gov.au/record=b2062293</v>
      </c>
      <c r="C7203" s="1" t="str">
        <f>HYPERLINK("https://www.catalog.slsa.sa.gov.au/xrecord=b2062293")</f>
        <v>https://www.catalog.slsa.sa.gov.au/xrecord=b2062293</v>
      </c>
      <c r="D7203" t="s">
        <v>16831</v>
      </c>
      <c r="E7203" t="s">
        <v>10268</v>
      </c>
      <c r="F7203">
        <v>1954</v>
      </c>
      <c r="G7203" t="s">
        <v>20063</v>
      </c>
      <c r="H7203" t="s">
        <v>24550</v>
      </c>
      <c r="J7203" t="s">
        <v>22941</v>
      </c>
      <c r="K7203" s="2" t="str">
        <f>HYPERLINK("http://collections.slsa.sa.gov.au/mpcimg/13000/B12924.htm")</f>
        <v>http://collections.slsa.sa.gov.au/mpcimg/13000/B12924.htm</v>
      </c>
    </row>
    <row r="7204" spans="1:11" x14ac:dyDescent="0.25">
      <c r="A7204" t="s">
        <v>24551</v>
      </c>
      <c r="B7204" s="1" t="str">
        <f>HYPERLINK("https://www.catalog.slsa.sa.gov.au/record=b2062320")</f>
        <v>https://www.catalog.slsa.sa.gov.au/record=b2062320</v>
      </c>
      <c r="C7204" s="1" t="str">
        <f>HYPERLINK("https://www.catalog.slsa.sa.gov.au/xrecord=b2062320")</f>
        <v>https://www.catalog.slsa.sa.gov.au/xrecord=b2062320</v>
      </c>
      <c r="D7204" t="s">
        <v>16831</v>
      </c>
      <c r="E7204" t="s">
        <v>10268</v>
      </c>
      <c r="F7204">
        <v>1954</v>
      </c>
      <c r="G7204" t="s">
        <v>20063</v>
      </c>
      <c r="H7204" t="s">
        <v>24552</v>
      </c>
      <c r="J7204" t="s">
        <v>21227</v>
      </c>
      <c r="K7204" s="2" t="str">
        <f>HYPERLINK("http://collections.slsa.sa.gov.au/mpcimg/13250/B13038.htm")</f>
        <v>http://collections.slsa.sa.gov.au/mpcimg/13250/B13038.htm</v>
      </c>
    </row>
    <row r="7205" spans="1:11" x14ac:dyDescent="0.25">
      <c r="A7205" t="s">
        <v>24553</v>
      </c>
      <c r="B7205" s="1" t="str">
        <f>HYPERLINK("https://www.catalog.slsa.sa.gov.au/record=b2062330")</f>
        <v>https://www.catalog.slsa.sa.gov.au/record=b2062330</v>
      </c>
      <c r="C7205" s="1" t="str">
        <f>HYPERLINK("https://www.catalog.slsa.sa.gov.au/xrecord=b2062330")</f>
        <v>https://www.catalog.slsa.sa.gov.au/xrecord=b2062330</v>
      </c>
      <c r="D7205" t="s">
        <v>16831</v>
      </c>
      <c r="E7205" t="s">
        <v>21212</v>
      </c>
      <c r="F7205">
        <v>1954</v>
      </c>
      <c r="G7205" t="s">
        <v>22709</v>
      </c>
      <c r="H7205" t="s">
        <v>24554</v>
      </c>
      <c r="J7205" t="s">
        <v>24555</v>
      </c>
      <c r="K7205" s="2" t="str">
        <f>HYPERLINK("http://collections.slsa.sa.gov.au/mpcimg/13000/B12865.htm")</f>
        <v>http://collections.slsa.sa.gov.au/mpcimg/13000/B12865.htm</v>
      </c>
    </row>
    <row r="7206" spans="1:11" x14ac:dyDescent="0.25">
      <c r="A7206" t="s">
        <v>24556</v>
      </c>
      <c r="B7206" s="1" t="str">
        <f>HYPERLINK("https://www.catalog.slsa.sa.gov.au/record=b2062351")</f>
        <v>https://www.catalog.slsa.sa.gov.au/record=b2062351</v>
      </c>
      <c r="C7206" s="1" t="str">
        <f>HYPERLINK("https://www.catalog.slsa.sa.gov.au/xrecord=b2062351")</f>
        <v>https://www.catalog.slsa.sa.gov.au/xrecord=b2062351</v>
      </c>
      <c r="D7206" t="s">
        <v>16831</v>
      </c>
      <c r="E7206" t="s">
        <v>21212</v>
      </c>
      <c r="F7206">
        <v>1954</v>
      </c>
      <c r="G7206" t="s">
        <v>20063</v>
      </c>
      <c r="H7206" t="s">
        <v>24557</v>
      </c>
      <c r="J7206" t="s">
        <v>24558</v>
      </c>
      <c r="K7206" s="2" t="str">
        <f>HYPERLINK("http://collections.slsa.sa.gov.au/mpcimg/13000/B12994.htm")</f>
        <v>http://collections.slsa.sa.gov.au/mpcimg/13000/B12994.htm</v>
      </c>
    </row>
    <row r="7207" spans="1:11" x14ac:dyDescent="0.25">
      <c r="A7207" t="s">
        <v>24559</v>
      </c>
      <c r="B7207" s="1" t="str">
        <f>HYPERLINK("https://www.catalog.slsa.sa.gov.au/record=b2062361")</f>
        <v>https://www.catalog.slsa.sa.gov.au/record=b2062361</v>
      </c>
      <c r="C7207" s="1" t="str">
        <f>HYPERLINK("https://www.catalog.slsa.sa.gov.au/xrecord=b2062361")</f>
        <v>https://www.catalog.slsa.sa.gov.au/xrecord=b2062361</v>
      </c>
      <c r="D7207" t="s">
        <v>16831</v>
      </c>
      <c r="E7207" t="s">
        <v>21216</v>
      </c>
      <c r="F7207">
        <v>1954</v>
      </c>
      <c r="G7207" t="s">
        <v>22709</v>
      </c>
      <c r="H7207" t="s">
        <v>24560</v>
      </c>
      <c r="J7207" t="s">
        <v>24561</v>
      </c>
      <c r="K7207" s="2" t="str">
        <f>HYPERLINK("http://collections.slsa.sa.gov.au/mpcimg/13000/B12862.htm")</f>
        <v>http://collections.slsa.sa.gov.au/mpcimg/13000/B12862.htm</v>
      </c>
    </row>
    <row r="7208" spans="1:11" x14ac:dyDescent="0.25">
      <c r="A7208" t="s">
        <v>24562</v>
      </c>
      <c r="B7208" s="1" t="str">
        <f>HYPERLINK("https://www.catalog.slsa.sa.gov.au/record=b2062362")</f>
        <v>https://www.catalog.slsa.sa.gov.au/record=b2062362</v>
      </c>
      <c r="C7208" s="1" t="str">
        <f>HYPERLINK("https://www.catalog.slsa.sa.gov.au/xrecord=b2062362")</f>
        <v>https://www.catalog.slsa.sa.gov.au/xrecord=b2062362</v>
      </c>
      <c r="D7208" t="s">
        <v>16831</v>
      </c>
      <c r="E7208" t="s">
        <v>21216</v>
      </c>
      <c r="F7208">
        <v>1954</v>
      </c>
      <c r="G7208" t="s">
        <v>20063</v>
      </c>
      <c r="H7208" t="s">
        <v>24563</v>
      </c>
      <c r="J7208" t="s">
        <v>24561</v>
      </c>
      <c r="K7208" s="2" t="str">
        <f>HYPERLINK("http://collections.slsa.sa.gov.au/mpcimg/13000/B12932.htm")</f>
        <v>http://collections.slsa.sa.gov.au/mpcimg/13000/B12932.htm</v>
      </c>
    </row>
    <row r="7209" spans="1:11" x14ac:dyDescent="0.25">
      <c r="A7209" t="s">
        <v>24564</v>
      </c>
      <c r="B7209" s="1" t="str">
        <f>HYPERLINK("https://www.catalog.slsa.sa.gov.au/record=b2062363")</f>
        <v>https://www.catalog.slsa.sa.gov.au/record=b2062363</v>
      </c>
      <c r="C7209" s="1" t="str">
        <f>HYPERLINK("https://www.catalog.slsa.sa.gov.au/xrecord=b2062363")</f>
        <v>https://www.catalog.slsa.sa.gov.au/xrecord=b2062363</v>
      </c>
      <c r="D7209" t="s">
        <v>16831</v>
      </c>
      <c r="E7209" t="s">
        <v>21212</v>
      </c>
      <c r="F7209">
        <v>1954</v>
      </c>
      <c r="G7209" t="s">
        <v>24025</v>
      </c>
      <c r="H7209" t="s">
        <v>24565</v>
      </c>
      <c r="J7209" t="s">
        <v>24561</v>
      </c>
      <c r="K7209" s="2" t="str">
        <f>HYPERLINK("http://collections.slsa.sa.gov.au/mpcimg/13500/B13367.htm")</f>
        <v>http://collections.slsa.sa.gov.au/mpcimg/13500/B13367.htm</v>
      </c>
    </row>
    <row r="7210" spans="1:11" x14ac:dyDescent="0.25">
      <c r="A7210" t="s">
        <v>24566</v>
      </c>
      <c r="B7210" s="1" t="str">
        <f>HYPERLINK("https://www.catalog.slsa.sa.gov.au/record=b2062420")</f>
        <v>https://www.catalog.slsa.sa.gov.au/record=b2062420</v>
      </c>
      <c r="C7210" s="1" t="str">
        <f>HYPERLINK("https://www.catalog.slsa.sa.gov.au/xrecord=b2062420")</f>
        <v>https://www.catalog.slsa.sa.gov.au/xrecord=b2062420</v>
      </c>
      <c r="D7210" t="s">
        <v>16831</v>
      </c>
      <c r="E7210" t="s">
        <v>24168</v>
      </c>
      <c r="F7210">
        <v>1954</v>
      </c>
      <c r="G7210" t="s">
        <v>20063</v>
      </c>
      <c r="H7210" t="s">
        <v>24567</v>
      </c>
      <c r="J7210" t="s">
        <v>24568</v>
      </c>
      <c r="K7210" s="2" t="str">
        <f>HYPERLINK("http://collections.slsa.sa.gov.au/mpcimg/13250/B13089.htm")</f>
        <v>http://collections.slsa.sa.gov.au/mpcimg/13250/B13089.htm</v>
      </c>
    </row>
    <row r="7211" spans="1:11" x14ac:dyDescent="0.25">
      <c r="A7211" t="s">
        <v>24569</v>
      </c>
      <c r="B7211" s="1" t="str">
        <f>HYPERLINK("https://www.catalog.slsa.sa.gov.au/record=b2062421")</f>
        <v>https://www.catalog.slsa.sa.gov.au/record=b2062421</v>
      </c>
      <c r="C7211" s="1" t="str">
        <f>HYPERLINK("https://www.catalog.slsa.sa.gov.au/xrecord=b2062421")</f>
        <v>https://www.catalog.slsa.sa.gov.au/xrecord=b2062421</v>
      </c>
      <c r="D7211" t="s">
        <v>16831</v>
      </c>
      <c r="E7211" t="s">
        <v>24168</v>
      </c>
      <c r="F7211">
        <v>1954</v>
      </c>
      <c r="G7211" t="s">
        <v>20063</v>
      </c>
      <c r="H7211" t="s">
        <v>24570</v>
      </c>
      <c r="I7211" t="s">
        <v>24205</v>
      </c>
      <c r="J7211" t="s">
        <v>24568</v>
      </c>
      <c r="K7211" s="2" t="str">
        <f>HYPERLINK("http://collections.slsa.sa.gov.au/mpcimg/13250/B13090.htm")</f>
        <v>http://collections.slsa.sa.gov.au/mpcimg/13250/B13090.htm</v>
      </c>
    </row>
    <row r="7212" spans="1:11" x14ac:dyDescent="0.25">
      <c r="A7212" t="s">
        <v>24571</v>
      </c>
      <c r="B7212" s="1" t="str">
        <f>HYPERLINK("https://www.catalog.slsa.sa.gov.au/record=b2062469")</f>
        <v>https://www.catalog.slsa.sa.gov.au/record=b2062469</v>
      </c>
      <c r="C7212" s="1" t="str">
        <f>HYPERLINK("https://www.catalog.slsa.sa.gov.au/xrecord=b2062469")</f>
        <v>https://www.catalog.slsa.sa.gov.au/xrecord=b2062469</v>
      </c>
      <c r="D7212" t="s">
        <v>16831</v>
      </c>
      <c r="E7212" t="s">
        <v>24572</v>
      </c>
      <c r="F7212">
        <v>1954</v>
      </c>
      <c r="G7212" t="s">
        <v>20063</v>
      </c>
      <c r="H7212" t="s">
        <v>24573</v>
      </c>
      <c r="J7212" t="s">
        <v>24574</v>
      </c>
      <c r="K7212" s="2" t="str">
        <f>HYPERLINK("http://collections.slsa.sa.gov.au/mpcimg/13000/B12915.htm")</f>
        <v>http://collections.slsa.sa.gov.au/mpcimg/13000/B12915.htm</v>
      </c>
    </row>
    <row r="7213" spans="1:11" x14ac:dyDescent="0.25">
      <c r="A7213" t="s">
        <v>24575</v>
      </c>
      <c r="B7213" s="1" t="str">
        <f>HYPERLINK("https://www.catalog.slsa.sa.gov.au/record=b2062470")</f>
        <v>https://www.catalog.slsa.sa.gov.au/record=b2062470</v>
      </c>
      <c r="C7213" s="1" t="str">
        <f>HYPERLINK("https://www.catalog.slsa.sa.gov.au/xrecord=b2062470")</f>
        <v>https://www.catalog.slsa.sa.gov.au/xrecord=b2062470</v>
      </c>
      <c r="D7213" t="s">
        <v>16831</v>
      </c>
      <c r="E7213" t="s">
        <v>24576</v>
      </c>
      <c r="F7213">
        <v>1954</v>
      </c>
      <c r="G7213" t="s">
        <v>20063</v>
      </c>
      <c r="H7213" t="s">
        <v>24577</v>
      </c>
      <c r="J7213" t="s">
        <v>24574</v>
      </c>
      <c r="K7213" s="2" t="str">
        <f>HYPERLINK("http://collections.slsa.sa.gov.au/mpcimg/13000/B12951.htm")</f>
        <v>http://collections.slsa.sa.gov.au/mpcimg/13000/B12951.htm</v>
      </c>
    </row>
    <row r="7214" spans="1:11" x14ac:dyDescent="0.25">
      <c r="A7214" t="s">
        <v>24578</v>
      </c>
      <c r="B7214" s="1" t="str">
        <f>HYPERLINK("https://www.catalog.slsa.sa.gov.au/record=b2062535")</f>
        <v>https://www.catalog.slsa.sa.gov.au/record=b2062535</v>
      </c>
      <c r="C7214" s="1" t="str">
        <f>HYPERLINK("https://www.catalog.slsa.sa.gov.au/xrecord=b2062535")</f>
        <v>https://www.catalog.slsa.sa.gov.au/xrecord=b2062535</v>
      </c>
      <c r="D7214" t="s">
        <v>16831</v>
      </c>
      <c r="E7214" t="s">
        <v>21236</v>
      </c>
      <c r="F7214">
        <v>1954</v>
      </c>
      <c r="G7214" t="s">
        <v>20063</v>
      </c>
      <c r="H7214" t="s">
        <v>24579</v>
      </c>
      <c r="J7214" t="s">
        <v>24580</v>
      </c>
      <c r="K7214" s="2" t="str">
        <f>HYPERLINK("http://collections.slsa.sa.gov.au/mpcimg/13250/B13042.htm")</f>
        <v>http://collections.slsa.sa.gov.au/mpcimg/13250/B13042.htm</v>
      </c>
    </row>
    <row r="7215" spans="1:11" x14ac:dyDescent="0.25">
      <c r="A7215" t="s">
        <v>24581</v>
      </c>
      <c r="B7215" s="1" t="str">
        <f>HYPERLINK("https://www.catalog.slsa.sa.gov.au/record=b2062548")</f>
        <v>https://www.catalog.slsa.sa.gov.au/record=b2062548</v>
      </c>
      <c r="C7215" s="1" t="str">
        <f>HYPERLINK("https://www.catalog.slsa.sa.gov.au/xrecord=b2062548")</f>
        <v>https://www.catalog.slsa.sa.gov.au/xrecord=b2062548</v>
      </c>
      <c r="D7215" t="s">
        <v>16831</v>
      </c>
      <c r="E7215" t="s">
        <v>24404</v>
      </c>
      <c r="F7215">
        <v>1954</v>
      </c>
      <c r="G7215" t="s">
        <v>22709</v>
      </c>
      <c r="H7215" t="s">
        <v>24582</v>
      </c>
      <c r="J7215" t="s">
        <v>24583</v>
      </c>
      <c r="K7215" s="2" t="str">
        <f>HYPERLINK("http://collections.slsa.sa.gov.au/mpcimg/13000/B12854.htm")</f>
        <v>http://collections.slsa.sa.gov.au/mpcimg/13000/B12854.htm</v>
      </c>
    </row>
    <row r="7216" spans="1:11" x14ac:dyDescent="0.25">
      <c r="A7216" t="s">
        <v>24584</v>
      </c>
      <c r="B7216" s="1" t="str">
        <f>HYPERLINK("https://www.catalog.slsa.sa.gov.au/record=b2062549")</f>
        <v>https://www.catalog.slsa.sa.gov.au/record=b2062549</v>
      </c>
      <c r="C7216" s="1" t="str">
        <f>HYPERLINK("https://www.catalog.slsa.sa.gov.au/xrecord=b2062549")</f>
        <v>https://www.catalog.slsa.sa.gov.au/xrecord=b2062549</v>
      </c>
      <c r="D7216" t="s">
        <v>16831</v>
      </c>
      <c r="E7216" t="s">
        <v>24585</v>
      </c>
      <c r="F7216">
        <v>1954</v>
      </c>
      <c r="G7216" t="s">
        <v>20063</v>
      </c>
      <c r="H7216" t="s">
        <v>24586</v>
      </c>
      <c r="J7216" t="s">
        <v>24583</v>
      </c>
      <c r="K7216" s="2" t="str">
        <f>HYPERLINK("http://collections.slsa.sa.gov.au/mpcimg/13250/B13120.htm")</f>
        <v>http://collections.slsa.sa.gov.au/mpcimg/13250/B13120.htm</v>
      </c>
    </row>
    <row r="7217" spans="1:11" x14ac:dyDescent="0.25">
      <c r="A7217" t="s">
        <v>24587</v>
      </c>
      <c r="B7217" s="1" t="str">
        <f>HYPERLINK("https://www.catalog.slsa.sa.gov.au/record=b2062564")</f>
        <v>https://www.catalog.slsa.sa.gov.au/record=b2062564</v>
      </c>
      <c r="C7217" s="1" t="str">
        <f>HYPERLINK("https://www.catalog.slsa.sa.gov.au/xrecord=b2062564")</f>
        <v>https://www.catalog.slsa.sa.gov.au/xrecord=b2062564</v>
      </c>
      <c r="D7217" t="s">
        <v>16831</v>
      </c>
      <c r="E7217" t="s">
        <v>21236</v>
      </c>
      <c r="F7217">
        <v>1954</v>
      </c>
      <c r="G7217" t="s">
        <v>22709</v>
      </c>
      <c r="H7217" t="s">
        <v>24588</v>
      </c>
      <c r="J7217" t="s">
        <v>21246</v>
      </c>
      <c r="K7217" s="2" t="str">
        <f>HYPERLINK("http://collections.slsa.sa.gov.au/mpcimg/13000/B12866.htm")</f>
        <v>http://collections.slsa.sa.gov.au/mpcimg/13000/B12866.htm</v>
      </c>
    </row>
    <row r="7218" spans="1:11" x14ac:dyDescent="0.25">
      <c r="A7218" t="s">
        <v>24589</v>
      </c>
      <c r="B7218" s="1" t="str">
        <f>HYPERLINK("https://www.catalog.slsa.sa.gov.au/record=b2062573")</f>
        <v>https://www.catalog.slsa.sa.gov.au/record=b2062573</v>
      </c>
      <c r="C7218" s="1" t="str">
        <f>HYPERLINK("https://www.catalog.slsa.sa.gov.au/xrecord=b2062573")</f>
        <v>https://www.catalog.slsa.sa.gov.au/xrecord=b2062573</v>
      </c>
      <c r="D7218" t="s">
        <v>16831</v>
      </c>
      <c r="E7218" t="s">
        <v>16827</v>
      </c>
      <c r="F7218">
        <v>1954</v>
      </c>
      <c r="G7218" t="s">
        <v>20063</v>
      </c>
      <c r="H7218" t="s">
        <v>24590</v>
      </c>
      <c r="J7218" t="s">
        <v>24591</v>
      </c>
      <c r="K7218" s="2" t="str">
        <f>HYPERLINK("http://collections.slsa.sa.gov.au/mpcimg/13000/B12905.htm")</f>
        <v>http://collections.slsa.sa.gov.au/mpcimg/13000/B12905.htm</v>
      </c>
    </row>
    <row r="7219" spans="1:11" x14ac:dyDescent="0.25">
      <c r="A7219" t="s">
        <v>24592</v>
      </c>
      <c r="B7219" s="1" t="str">
        <f>HYPERLINK("https://www.catalog.slsa.sa.gov.au/record=b2062594")</f>
        <v>https://www.catalog.slsa.sa.gov.au/record=b2062594</v>
      </c>
      <c r="C7219" s="1" t="str">
        <f>HYPERLINK("https://www.catalog.slsa.sa.gov.au/xrecord=b2062594")</f>
        <v>https://www.catalog.slsa.sa.gov.au/xrecord=b2062594</v>
      </c>
      <c r="D7219" t="s">
        <v>16831</v>
      </c>
      <c r="E7219" t="s">
        <v>24585</v>
      </c>
      <c r="F7219">
        <v>1954</v>
      </c>
      <c r="G7219" t="s">
        <v>20063</v>
      </c>
      <c r="H7219" t="s">
        <v>24593</v>
      </c>
      <c r="J7219" t="s">
        <v>24594</v>
      </c>
      <c r="K7219" s="2" t="str">
        <f>HYPERLINK("http://collections.slsa.sa.gov.au/mpcimg/13250/B13150.htm")</f>
        <v>http://collections.slsa.sa.gov.au/mpcimg/13250/B13150.htm</v>
      </c>
    </row>
    <row r="7220" spans="1:11" x14ac:dyDescent="0.25">
      <c r="A7220" t="s">
        <v>24595</v>
      </c>
      <c r="B7220" s="1" t="str">
        <f>HYPERLINK("https://www.catalog.slsa.sa.gov.au/record=b2062599")</f>
        <v>https://www.catalog.slsa.sa.gov.au/record=b2062599</v>
      </c>
      <c r="C7220" s="1" t="str">
        <f>HYPERLINK("https://www.catalog.slsa.sa.gov.au/xrecord=b2062599")</f>
        <v>https://www.catalog.slsa.sa.gov.au/xrecord=b2062599</v>
      </c>
      <c r="D7220" t="s">
        <v>16831</v>
      </c>
      <c r="E7220" t="s">
        <v>24585</v>
      </c>
      <c r="F7220">
        <v>1954</v>
      </c>
      <c r="G7220" t="s">
        <v>20063</v>
      </c>
      <c r="H7220" t="s">
        <v>24596</v>
      </c>
      <c r="I7220" t="s">
        <v>24350</v>
      </c>
      <c r="J7220" t="s">
        <v>24597</v>
      </c>
      <c r="K7220" s="2" t="str">
        <f>HYPERLINK("http://collections.slsa.sa.gov.au/mpcimg/13250/B13088.htm")</f>
        <v>http://collections.slsa.sa.gov.au/mpcimg/13250/B13088.htm</v>
      </c>
    </row>
    <row r="7221" spans="1:11" x14ac:dyDescent="0.25">
      <c r="A7221" t="s">
        <v>24598</v>
      </c>
      <c r="B7221" s="1" t="str">
        <f>HYPERLINK("https://www.catalog.slsa.sa.gov.au/record=b2062620")</f>
        <v>https://www.catalog.slsa.sa.gov.au/record=b2062620</v>
      </c>
      <c r="C7221" s="1" t="str">
        <f>HYPERLINK("https://www.catalog.slsa.sa.gov.au/xrecord=b2062620")</f>
        <v>https://www.catalog.slsa.sa.gov.au/xrecord=b2062620</v>
      </c>
      <c r="D7221" t="s">
        <v>16831</v>
      </c>
      <c r="E7221" t="s">
        <v>21250</v>
      </c>
      <c r="F7221">
        <v>1954</v>
      </c>
      <c r="G7221" t="s">
        <v>20063</v>
      </c>
      <c r="H7221" t="s">
        <v>24599</v>
      </c>
      <c r="J7221" t="s">
        <v>16834</v>
      </c>
      <c r="K7221" s="2" t="str">
        <f>HYPERLINK("http://collections.slsa.sa.gov.au/mpcimg/13000/B12993.htm")</f>
        <v>http://collections.slsa.sa.gov.au/mpcimg/13000/B12993.htm</v>
      </c>
    </row>
    <row r="7222" spans="1:11" x14ac:dyDescent="0.25">
      <c r="A7222" t="s">
        <v>24600</v>
      </c>
      <c r="B7222" s="1" t="str">
        <f>HYPERLINK("https://www.catalog.slsa.sa.gov.au/record=b2062621")</f>
        <v>https://www.catalog.slsa.sa.gov.au/record=b2062621</v>
      </c>
      <c r="C7222" s="1" t="str">
        <f>HYPERLINK("https://www.catalog.slsa.sa.gov.au/xrecord=b2062621")</f>
        <v>https://www.catalog.slsa.sa.gov.au/xrecord=b2062621</v>
      </c>
      <c r="D7222" t="s">
        <v>16831</v>
      </c>
      <c r="E7222" t="s">
        <v>24601</v>
      </c>
      <c r="F7222">
        <v>1954</v>
      </c>
      <c r="G7222" t="s">
        <v>20063</v>
      </c>
      <c r="H7222" t="s">
        <v>24602</v>
      </c>
      <c r="J7222" t="s">
        <v>16834</v>
      </c>
      <c r="K7222" s="2" t="str">
        <f>HYPERLINK("http://collections.slsa.sa.gov.au/mpcimg/13250/B13028.htm")</f>
        <v>http://collections.slsa.sa.gov.au/mpcimg/13250/B13028.htm</v>
      </c>
    </row>
    <row r="7223" spans="1:11" x14ac:dyDescent="0.25">
      <c r="A7223" t="s">
        <v>24603</v>
      </c>
      <c r="B7223" s="1" t="str">
        <f>HYPERLINK("https://www.catalog.slsa.sa.gov.au/record=b2062642")</f>
        <v>https://www.catalog.slsa.sa.gov.au/record=b2062642</v>
      </c>
      <c r="C7223" s="1" t="str">
        <f>HYPERLINK("https://www.catalog.slsa.sa.gov.au/xrecord=b2062642")</f>
        <v>https://www.catalog.slsa.sa.gov.au/xrecord=b2062642</v>
      </c>
      <c r="D7223" t="s">
        <v>16831</v>
      </c>
      <c r="E7223" t="s">
        <v>24604</v>
      </c>
      <c r="F7223">
        <v>1954</v>
      </c>
      <c r="G7223" t="s">
        <v>20063</v>
      </c>
      <c r="H7223" t="s">
        <v>24605</v>
      </c>
      <c r="J7223" t="s">
        <v>24606</v>
      </c>
      <c r="K7223" s="2" t="str">
        <f>HYPERLINK("http://collections.slsa.sa.gov.au/mpcimg/13250/B13112.htm")</f>
        <v>http://collections.slsa.sa.gov.au/mpcimg/13250/B13112.htm</v>
      </c>
    </row>
    <row r="7224" spans="1:11" x14ac:dyDescent="0.25">
      <c r="A7224" t="s">
        <v>24607</v>
      </c>
      <c r="B7224" s="1" t="str">
        <f>HYPERLINK("https://www.catalog.slsa.sa.gov.au/record=b2062659")</f>
        <v>https://www.catalog.slsa.sa.gov.au/record=b2062659</v>
      </c>
      <c r="C7224" s="1" t="str">
        <f>HYPERLINK("https://www.catalog.slsa.sa.gov.au/xrecord=b2062659")</f>
        <v>https://www.catalog.slsa.sa.gov.au/xrecord=b2062659</v>
      </c>
      <c r="D7224" t="s">
        <v>16831</v>
      </c>
      <c r="E7224" t="s">
        <v>21250</v>
      </c>
      <c r="F7224">
        <v>1954</v>
      </c>
      <c r="G7224" t="s">
        <v>20063</v>
      </c>
      <c r="H7224" t="s">
        <v>24608</v>
      </c>
      <c r="J7224" t="s">
        <v>24609</v>
      </c>
      <c r="K7224" s="2" t="str">
        <f>HYPERLINK("http://collections.slsa.sa.gov.au/mpcimg/13250/B13047.htm")</f>
        <v>http://collections.slsa.sa.gov.au/mpcimg/13250/B13047.htm</v>
      </c>
    </row>
    <row r="7225" spans="1:11" x14ac:dyDescent="0.25">
      <c r="A7225" t="s">
        <v>24610</v>
      </c>
      <c r="B7225" s="1" t="str">
        <f>HYPERLINK("https://www.catalog.slsa.sa.gov.au/record=b2062660")</f>
        <v>https://www.catalog.slsa.sa.gov.au/record=b2062660</v>
      </c>
      <c r="C7225" s="1" t="str">
        <f>HYPERLINK("https://www.catalog.slsa.sa.gov.au/xrecord=b2062660")</f>
        <v>https://www.catalog.slsa.sa.gov.au/xrecord=b2062660</v>
      </c>
      <c r="D7225" t="s">
        <v>16831</v>
      </c>
      <c r="E7225" t="s">
        <v>21250</v>
      </c>
      <c r="F7225">
        <v>1954</v>
      </c>
      <c r="G7225" t="s">
        <v>20063</v>
      </c>
      <c r="H7225" t="s">
        <v>24611</v>
      </c>
      <c r="J7225" t="s">
        <v>24609</v>
      </c>
      <c r="K7225" s="2" t="str">
        <f>HYPERLINK("http://collections.slsa.sa.gov.au/mpcimg/13250/B13048.htm")</f>
        <v>http://collections.slsa.sa.gov.au/mpcimg/13250/B13048.htm</v>
      </c>
    </row>
    <row r="7226" spans="1:11" x14ac:dyDescent="0.25">
      <c r="A7226" t="s">
        <v>24612</v>
      </c>
      <c r="B7226" s="1" t="str">
        <f>HYPERLINK("https://www.catalog.slsa.sa.gov.au/record=b2062661")</f>
        <v>https://www.catalog.slsa.sa.gov.au/record=b2062661</v>
      </c>
      <c r="C7226" s="1" t="str">
        <f>HYPERLINK("https://www.catalog.slsa.sa.gov.au/xrecord=b2062661")</f>
        <v>https://www.catalog.slsa.sa.gov.au/xrecord=b2062661</v>
      </c>
      <c r="D7226" t="s">
        <v>16831</v>
      </c>
      <c r="E7226" t="s">
        <v>21250</v>
      </c>
      <c r="F7226">
        <v>1954</v>
      </c>
      <c r="G7226" t="s">
        <v>20063</v>
      </c>
      <c r="H7226" t="s">
        <v>24613</v>
      </c>
      <c r="J7226" t="s">
        <v>24609</v>
      </c>
      <c r="K7226" s="2" t="str">
        <f>HYPERLINK("http://collections.slsa.sa.gov.au/mpcimg/13250/B13050.htm")</f>
        <v>http://collections.slsa.sa.gov.au/mpcimg/13250/B13050.htm</v>
      </c>
    </row>
    <row r="7227" spans="1:11" x14ac:dyDescent="0.25">
      <c r="A7227" t="s">
        <v>24614</v>
      </c>
      <c r="B7227" s="1" t="str">
        <f>HYPERLINK("https://www.catalog.slsa.sa.gov.au/record=b2062724")</f>
        <v>https://www.catalog.slsa.sa.gov.au/record=b2062724</v>
      </c>
      <c r="C7227" s="1" t="str">
        <f>HYPERLINK("https://www.catalog.slsa.sa.gov.au/xrecord=b2062724")</f>
        <v>https://www.catalog.slsa.sa.gov.au/xrecord=b2062724</v>
      </c>
      <c r="D7227" t="s">
        <v>16831</v>
      </c>
      <c r="E7227" t="s">
        <v>24469</v>
      </c>
      <c r="F7227">
        <v>1954</v>
      </c>
      <c r="G7227" t="s">
        <v>20063</v>
      </c>
      <c r="H7227" t="s">
        <v>24615</v>
      </c>
      <c r="I7227" t="s">
        <v>21245</v>
      </c>
      <c r="J7227" t="s">
        <v>24616</v>
      </c>
      <c r="K7227" s="2" t="str">
        <f>HYPERLINK("http://collections.slsa.sa.gov.au/mpcimg/13250/B13104.htm")</f>
        <v>http://collections.slsa.sa.gov.au/mpcimg/13250/B13104.htm</v>
      </c>
    </row>
    <row r="7228" spans="1:11" x14ac:dyDescent="0.25">
      <c r="A7228" t="s">
        <v>24617</v>
      </c>
      <c r="B7228" s="1" t="str">
        <f>HYPERLINK("https://www.catalog.slsa.sa.gov.au/record=b2062733")</f>
        <v>https://www.catalog.slsa.sa.gov.au/record=b2062733</v>
      </c>
      <c r="C7228" s="1" t="str">
        <f>HYPERLINK("https://www.catalog.slsa.sa.gov.au/xrecord=b2062733")</f>
        <v>https://www.catalog.slsa.sa.gov.au/xrecord=b2062733</v>
      </c>
      <c r="D7228" t="s">
        <v>16831</v>
      </c>
      <c r="E7228" t="s">
        <v>20974</v>
      </c>
      <c r="F7228">
        <v>1954</v>
      </c>
      <c r="G7228" t="s">
        <v>20063</v>
      </c>
      <c r="H7228" t="s">
        <v>24618</v>
      </c>
      <c r="J7228" t="s">
        <v>24619</v>
      </c>
      <c r="K7228" s="2" t="str">
        <f>HYPERLINK("http://collections.slsa.sa.gov.au/mpcimg/13000/B12931.htm")</f>
        <v>http://collections.slsa.sa.gov.au/mpcimg/13000/B12931.htm</v>
      </c>
    </row>
    <row r="7229" spans="1:11" x14ac:dyDescent="0.25">
      <c r="A7229" t="s">
        <v>24620</v>
      </c>
      <c r="B7229" s="1" t="str">
        <f>HYPERLINK("https://www.catalog.slsa.sa.gov.au/record=b2062765")</f>
        <v>https://www.catalog.slsa.sa.gov.au/record=b2062765</v>
      </c>
      <c r="C7229" s="1" t="str">
        <f>HYPERLINK("https://www.catalog.slsa.sa.gov.au/xrecord=b2062765")</f>
        <v>https://www.catalog.slsa.sa.gov.au/xrecord=b2062765</v>
      </c>
      <c r="D7229" t="s">
        <v>16831</v>
      </c>
      <c r="E7229" t="s">
        <v>24300</v>
      </c>
      <c r="F7229">
        <v>1954</v>
      </c>
      <c r="G7229" t="s">
        <v>20063</v>
      </c>
      <c r="H7229" t="s">
        <v>24621</v>
      </c>
      <c r="J7229" t="s">
        <v>24622</v>
      </c>
      <c r="K7229" s="2" t="str">
        <f>HYPERLINK("http://collections.slsa.sa.gov.au/mpcimg/13000/B12944.htm")</f>
        <v>http://collections.slsa.sa.gov.au/mpcimg/13000/B12944.htm</v>
      </c>
    </row>
    <row r="7230" spans="1:11" x14ac:dyDescent="0.25">
      <c r="A7230" t="s">
        <v>24623</v>
      </c>
      <c r="B7230" s="1" t="str">
        <f>HYPERLINK("https://www.catalog.slsa.sa.gov.au/record=b2062787")</f>
        <v>https://www.catalog.slsa.sa.gov.au/record=b2062787</v>
      </c>
      <c r="C7230" s="1" t="str">
        <f>HYPERLINK("https://www.catalog.slsa.sa.gov.au/xrecord=b2062787")</f>
        <v>https://www.catalog.slsa.sa.gov.au/xrecord=b2062787</v>
      </c>
      <c r="D7230" t="s">
        <v>16831</v>
      </c>
      <c r="E7230" t="s">
        <v>21267</v>
      </c>
      <c r="F7230">
        <v>1954</v>
      </c>
      <c r="G7230" t="s">
        <v>20063</v>
      </c>
      <c r="H7230" t="s">
        <v>24624</v>
      </c>
      <c r="J7230" t="s">
        <v>24625</v>
      </c>
      <c r="K7230" s="2" t="str">
        <f>HYPERLINK("http://collections.slsa.sa.gov.au/mpcimg/13250/B13056.htm")</f>
        <v>http://collections.slsa.sa.gov.au/mpcimg/13250/B13056.htm</v>
      </c>
    </row>
    <row r="7231" spans="1:11" x14ac:dyDescent="0.25">
      <c r="A7231" t="s">
        <v>24626</v>
      </c>
      <c r="B7231" s="1" t="str">
        <f>HYPERLINK("https://www.catalog.slsa.sa.gov.au/record=b2062801")</f>
        <v>https://www.catalog.slsa.sa.gov.au/record=b2062801</v>
      </c>
      <c r="C7231" s="1" t="str">
        <f>HYPERLINK("https://www.catalog.slsa.sa.gov.au/xrecord=b2062801")</f>
        <v>https://www.catalog.slsa.sa.gov.au/xrecord=b2062801</v>
      </c>
      <c r="D7231" t="s">
        <v>16831</v>
      </c>
      <c r="E7231" t="s">
        <v>21250</v>
      </c>
      <c r="F7231">
        <v>1954</v>
      </c>
      <c r="G7231" t="s">
        <v>20063</v>
      </c>
      <c r="H7231" t="s">
        <v>24627</v>
      </c>
      <c r="J7231" t="s">
        <v>22956</v>
      </c>
      <c r="K7231" s="2" t="str">
        <f>HYPERLINK("http://collections.slsa.sa.gov.au/mpcimg/13250/B13055.htm")</f>
        <v>http://collections.slsa.sa.gov.au/mpcimg/13250/B13055.htm</v>
      </c>
    </row>
    <row r="7232" spans="1:11" x14ac:dyDescent="0.25">
      <c r="A7232" t="s">
        <v>24628</v>
      </c>
      <c r="B7232" s="1" t="str">
        <f>HYPERLINK("https://www.catalog.slsa.sa.gov.au/record=b2062802")</f>
        <v>https://www.catalog.slsa.sa.gov.au/record=b2062802</v>
      </c>
      <c r="C7232" s="1" t="str">
        <f>HYPERLINK("https://www.catalog.slsa.sa.gov.au/xrecord=b2062802")</f>
        <v>https://www.catalog.slsa.sa.gov.au/xrecord=b2062802</v>
      </c>
      <c r="D7232" t="s">
        <v>16831</v>
      </c>
      <c r="E7232" t="s">
        <v>21267</v>
      </c>
      <c r="F7232">
        <v>1954</v>
      </c>
      <c r="G7232" t="s">
        <v>20063</v>
      </c>
      <c r="H7232" t="s">
        <v>24629</v>
      </c>
      <c r="J7232" t="s">
        <v>22956</v>
      </c>
      <c r="K7232" s="2" t="str">
        <f>HYPERLINK("http://collections.slsa.sa.gov.au/mpcimg/13250/B13101.htm")</f>
        <v>http://collections.slsa.sa.gov.au/mpcimg/13250/B13101.htm</v>
      </c>
    </row>
    <row r="7233" spans="1:11" x14ac:dyDescent="0.25">
      <c r="A7233" t="s">
        <v>24630</v>
      </c>
      <c r="B7233" s="1" t="str">
        <f>HYPERLINK("https://www.catalog.slsa.sa.gov.au/record=b2062821")</f>
        <v>https://www.catalog.slsa.sa.gov.au/record=b2062821</v>
      </c>
      <c r="C7233" s="1" t="str">
        <f>HYPERLINK("https://www.catalog.slsa.sa.gov.au/xrecord=b2062821")</f>
        <v>https://www.catalog.slsa.sa.gov.au/xrecord=b2062821</v>
      </c>
      <c r="D7233" t="s">
        <v>16831</v>
      </c>
      <c r="E7233" t="s">
        <v>21250</v>
      </c>
      <c r="F7233">
        <v>1954</v>
      </c>
      <c r="G7233" t="s">
        <v>20063</v>
      </c>
      <c r="H7233" t="s">
        <v>24631</v>
      </c>
      <c r="J7233" t="s">
        <v>21262</v>
      </c>
      <c r="K7233" s="2" t="str">
        <f>HYPERLINK("http://collections.slsa.sa.gov.au/mpcimg/13000/B12971.htm")</f>
        <v>http://collections.slsa.sa.gov.au/mpcimg/13000/B12971.htm</v>
      </c>
    </row>
    <row r="7234" spans="1:11" x14ac:dyDescent="0.25">
      <c r="A7234" t="s">
        <v>24632</v>
      </c>
      <c r="B7234" s="1" t="str">
        <f>HYPERLINK("https://www.catalog.slsa.sa.gov.au/record=b2062847")</f>
        <v>https://www.catalog.slsa.sa.gov.au/record=b2062847</v>
      </c>
      <c r="C7234" s="1" t="str">
        <f>HYPERLINK("https://www.catalog.slsa.sa.gov.au/xrecord=b2062847")</f>
        <v>https://www.catalog.slsa.sa.gov.au/xrecord=b2062847</v>
      </c>
      <c r="D7234" t="s">
        <v>16831</v>
      </c>
      <c r="E7234" t="s">
        <v>17109</v>
      </c>
      <c r="F7234">
        <v>1954</v>
      </c>
      <c r="G7234" t="s">
        <v>20063</v>
      </c>
      <c r="H7234" t="s">
        <v>24633</v>
      </c>
      <c r="I7234" t="s">
        <v>24471</v>
      </c>
      <c r="J7234" t="s">
        <v>21272</v>
      </c>
      <c r="K7234" s="2" t="str">
        <f>HYPERLINK("http://collections.slsa.sa.gov.au/mpcimg/13250/B13158.htm")</f>
        <v>http://collections.slsa.sa.gov.au/mpcimg/13250/B13158.htm</v>
      </c>
    </row>
    <row r="7235" spans="1:11" x14ac:dyDescent="0.25">
      <c r="A7235" t="s">
        <v>24634</v>
      </c>
      <c r="B7235" s="1" t="str">
        <f>HYPERLINK("https://www.catalog.slsa.sa.gov.au/record=b2062855")</f>
        <v>https://www.catalog.slsa.sa.gov.au/record=b2062855</v>
      </c>
      <c r="C7235" s="1" t="str">
        <f>HYPERLINK("https://www.catalog.slsa.sa.gov.au/xrecord=b2062855")</f>
        <v>https://www.catalog.slsa.sa.gov.au/xrecord=b2062855</v>
      </c>
      <c r="D7235" t="s">
        <v>16831</v>
      </c>
      <c r="E7235" t="s">
        <v>17109</v>
      </c>
      <c r="F7235">
        <v>1954</v>
      </c>
      <c r="G7235" t="s">
        <v>20063</v>
      </c>
      <c r="H7235" t="s">
        <v>24635</v>
      </c>
      <c r="I7235" t="s">
        <v>24636</v>
      </c>
      <c r="J7235" t="s">
        <v>21275</v>
      </c>
      <c r="K7235" s="2" t="str">
        <f>HYPERLINK("http://collections.slsa.sa.gov.au/mpcimg/13250/B13095.htm")</f>
        <v>http://collections.slsa.sa.gov.au/mpcimg/13250/B13095.htm</v>
      </c>
    </row>
    <row r="7236" spans="1:11" x14ac:dyDescent="0.25">
      <c r="A7236" t="s">
        <v>24637</v>
      </c>
      <c r="B7236" s="1" t="str">
        <f>HYPERLINK("https://www.catalog.slsa.sa.gov.au/record=b2062927")</f>
        <v>https://www.catalog.slsa.sa.gov.au/record=b2062927</v>
      </c>
      <c r="C7236" s="1" t="str">
        <f>HYPERLINK("https://www.catalog.slsa.sa.gov.au/xrecord=b2062927")</f>
        <v>https://www.catalog.slsa.sa.gov.au/xrecord=b2062927</v>
      </c>
      <c r="D7236" t="s">
        <v>16831</v>
      </c>
      <c r="E7236" t="s">
        <v>24638</v>
      </c>
      <c r="F7236">
        <v>1954</v>
      </c>
      <c r="G7236" t="s">
        <v>20063</v>
      </c>
      <c r="H7236" t="s">
        <v>24639</v>
      </c>
      <c r="J7236" t="s">
        <v>21291</v>
      </c>
      <c r="K7236" s="2" t="str">
        <f>HYPERLINK("http://collections.slsa.sa.gov.au/mpcimg/13250/B13111.htm")</f>
        <v>http://collections.slsa.sa.gov.au/mpcimg/13250/B13111.htm</v>
      </c>
    </row>
    <row r="7237" spans="1:11" x14ac:dyDescent="0.25">
      <c r="A7237" t="s">
        <v>24640</v>
      </c>
      <c r="B7237" s="1" t="str">
        <f>HYPERLINK("https://www.catalog.slsa.sa.gov.au/record=b2062941")</f>
        <v>https://www.catalog.slsa.sa.gov.au/record=b2062941</v>
      </c>
      <c r="C7237" s="1" t="str">
        <f>HYPERLINK("https://www.catalog.slsa.sa.gov.au/xrecord=b2062941")</f>
        <v>https://www.catalog.slsa.sa.gov.au/xrecord=b2062941</v>
      </c>
      <c r="D7237" t="s">
        <v>16831</v>
      </c>
      <c r="E7237" t="s">
        <v>21236</v>
      </c>
      <c r="F7237">
        <v>1954</v>
      </c>
      <c r="G7237" t="s">
        <v>20063</v>
      </c>
      <c r="H7237" t="s">
        <v>24641</v>
      </c>
      <c r="J7237" t="s">
        <v>24642</v>
      </c>
      <c r="K7237" s="2" t="str">
        <f>HYPERLINK("http://collections.slsa.sa.gov.au/mpcimg/13000/B12938.htm")</f>
        <v>http://collections.slsa.sa.gov.au/mpcimg/13000/B12938.htm</v>
      </c>
    </row>
    <row r="7238" spans="1:11" x14ac:dyDescent="0.25">
      <c r="A7238" t="s">
        <v>24643</v>
      </c>
      <c r="B7238" s="1" t="str">
        <f>HYPERLINK("https://www.catalog.slsa.sa.gov.au/record=b2062942")</f>
        <v>https://www.catalog.slsa.sa.gov.au/record=b2062942</v>
      </c>
      <c r="C7238" s="1" t="str">
        <f>HYPERLINK("https://www.catalog.slsa.sa.gov.au/xrecord=b2062942")</f>
        <v>https://www.catalog.slsa.sa.gov.au/xrecord=b2062942</v>
      </c>
      <c r="D7238" t="s">
        <v>16831</v>
      </c>
      <c r="E7238" t="s">
        <v>24644</v>
      </c>
      <c r="F7238">
        <v>1954</v>
      </c>
      <c r="G7238" t="s">
        <v>20063</v>
      </c>
      <c r="H7238" t="s">
        <v>24645</v>
      </c>
      <c r="J7238" t="s">
        <v>24642</v>
      </c>
      <c r="K7238" s="2" t="str">
        <f>HYPERLINK("http://collections.slsa.sa.gov.au/mpcimg/13000/B12945.htm")</f>
        <v>http://collections.slsa.sa.gov.au/mpcimg/13000/B12945.htm</v>
      </c>
    </row>
    <row r="7239" spans="1:11" x14ac:dyDescent="0.25">
      <c r="A7239" t="s">
        <v>24646</v>
      </c>
      <c r="B7239" s="1" t="str">
        <f>HYPERLINK("https://www.catalog.slsa.sa.gov.au/record=b2063017")</f>
        <v>https://www.catalog.slsa.sa.gov.au/record=b2063017</v>
      </c>
      <c r="C7239" s="1" t="str">
        <f>HYPERLINK("https://www.catalog.slsa.sa.gov.au/xrecord=b2063017")</f>
        <v>https://www.catalog.slsa.sa.gov.au/xrecord=b2063017</v>
      </c>
      <c r="D7239" t="s">
        <v>16831</v>
      </c>
      <c r="E7239" t="s">
        <v>21304</v>
      </c>
      <c r="F7239">
        <v>1954</v>
      </c>
      <c r="G7239" t="s">
        <v>20063</v>
      </c>
      <c r="H7239" t="s">
        <v>24647</v>
      </c>
      <c r="J7239" t="s">
        <v>24648</v>
      </c>
      <c r="K7239" s="2" t="str">
        <f>HYPERLINK("http://collections.slsa.sa.gov.au/mpcimg/13000/B12907.htm")</f>
        <v>http://collections.slsa.sa.gov.au/mpcimg/13000/B12907.htm</v>
      </c>
    </row>
    <row r="7240" spans="1:11" x14ac:dyDescent="0.25">
      <c r="A7240" t="s">
        <v>24649</v>
      </c>
      <c r="B7240" s="1" t="str">
        <f>HYPERLINK("https://www.catalog.slsa.sa.gov.au/record=b2063063")</f>
        <v>https://www.catalog.slsa.sa.gov.au/record=b2063063</v>
      </c>
      <c r="C7240" s="1" t="str">
        <f>HYPERLINK("https://www.catalog.slsa.sa.gov.au/xrecord=b2063063")</f>
        <v>https://www.catalog.slsa.sa.gov.au/xrecord=b2063063</v>
      </c>
      <c r="D7240" t="s">
        <v>16831</v>
      </c>
      <c r="E7240" t="s">
        <v>21283</v>
      </c>
      <c r="F7240">
        <v>1954</v>
      </c>
      <c r="G7240" t="s">
        <v>20063</v>
      </c>
      <c r="H7240" t="s">
        <v>24650</v>
      </c>
      <c r="J7240" t="s">
        <v>21311</v>
      </c>
      <c r="K7240" s="2" t="str">
        <f>HYPERLINK("http://collections.slsa.sa.gov.au/mpcimg/13000/B12906.htm")</f>
        <v>http://collections.slsa.sa.gov.au/mpcimg/13000/B12906.htm</v>
      </c>
    </row>
    <row r="7241" spans="1:11" x14ac:dyDescent="0.25">
      <c r="A7241" t="s">
        <v>24651</v>
      </c>
      <c r="B7241" s="1" t="str">
        <f>HYPERLINK("https://www.catalog.slsa.sa.gov.au/record=b2063075")</f>
        <v>https://www.catalog.slsa.sa.gov.au/record=b2063075</v>
      </c>
      <c r="C7241" s="1" t="str">
        <f>HYPERLINK("https://www.catalog.slsa.sa.gov.au/xrecord=b2063075")</f>
        <v>https://www.catalog.slsa.sa.gov.au/xrecord=b2063075</v>
      </c>
      <c r="D7241" t="s">
        <v>16831</v>
      </c>
      <c r="E7241" t="s">
        <v>24652</v>
      </c>
      <c r="F7241">
        <v>1954</v>
      </c>
      <c r="G7241" t="s">
        <v>20063</v>
      </c>
      <c r="H7241" t="s">
        <v>24653</v>
      </c>
      <c r="I7241" t="s">
        <v>24654</v>
      </c>
      <c r="J7241" t="s">
        <v>24655</v>
      </c>
      <c r="K7241" s="2" t="str">
        <f>HYPERLINK("http://collections.slsa.sa.gov.au/mpcimg/13250/B13116.htm")</f>
        <v>http://collections.slsa.sa.gov.au/mpcimg/13250/B13116.htm</v>
      </c>
    </row>
    <row r="7242" spans="1:11" x14ac:dyDescent="0.25">
      <c r="A7242" t="s">
        <v>24656</v>
      </c>
      <c r="B7242" s="1" t="str">
        <f>HYPERLINK("https://www.catalog.slsa.sa.gov.au/record=b2063076")</f>
        <v>https://www.catalog.slsa.sa.gov.au/record=b2063076</v>
      </c>
      <c r="C7242" s="1" t="str">
        <f>HYPERLINK("https://www.catalog.slsa.sa.gov.au/xrecord=b2063076")</f>
        <v>https://www.catalog.slsa.sa.gov.au/xrecord=b2063076</v>
      </c>
      <c r="D7242" t="s">
        <v>16831</v>
      </c>
      <c r="E7242" t="s">
        <v>24652</v>
      </c>
      <c r="F7242">
        <v>1954</v>
      </c>
      <c r="G7242" t="s">
        <v>20063</v>
      </c>
      <c r="H7242" t="s">
        <v>24657</v>
      </c>
      <c r="I7242" t="s">
        <v>24654</v>
      </c>
      <c r="J7242" t="s">
        <v>24655</v>
      </c>
      <c r="K7242" s="2" t="str">
        <f>HYPERLINK("http://collections.slsa.sa.gov.au/mpcimg/13250/B13117.htm")</f>
        <v>http://collections.slsa.sa.gov.au/mpcimg/13250/B13117.htm</v>
      </c>
    </row>
    <row r="7243" spans="1:11" x14ac:dyDescent="0.25">
      <c r="A7243" t="s">
        <v>24658</v>
      </c>
      <c r="B7243" s="1" t="str">
        <f>HYPERLINK("https://www.catalog.slsa.sa.gov.au/record=b2063081")</f>
        <v>https://www.catalog.slsa.sa.gov.au/record=b2063081</v>
      </c>
      <c r="C7243" s="1" t="str">
        <f>HYPERLINK("https://www.catalog.slsa.sa.gov.au/xrecord=b2063081")</f>
        <v>https://www.catalog.slsa.sa.gov.au/xrecord=b2063081</v>
      </c>
      <c r="D7243" t="s">
        <v>16831</v>
      </c>
      <c r="E7243" t="s">
        <v>24659</v>
      </c>
      <c r="F7243">
        <v>1954</v>
      </c>
      <c r="G7243" t="s">
        <v>20063</v>
      </c>
      <c r="H7243" t="s">
        <v>24660</v>
      </c>
      <c r="I7243" t="s">
        <v>24654</v>
      </c>
      <c r="J7243" t="s">
        <v>24661</v>
      </c>
      <c r="K7243" s="2" t="str">
        <f>HYPERLINK("http://collections.slsa.sa.gov.au/mpcimg/13250/B13115.htm")</f>
        <v>http://collections.slsa.sa.gov.au/mpcimg/13250/B13115.htm</v>
      </c>
    </row>
    <row r="7244" spans="1:11" x14ac:dyDescent="0.25">
      <c r="A7244" t="s">
        <v>24662</v>
      </c>
      <c r="B7244" s="1" t="str">
        <f>HYPERLINK("https://www.catalog.slsa.sa.gov.au/record=b2063105")</f>
        <v>https://www.catalog.slsa.sa.gov.au/record=b2063105</v>
      </c>
      <c r="C7244" s="1" t="str">
        <f>HYPERLINK("https://www.catalog.slsa.sa.gov.au/xrecord=b2063105")</f>
        <v>https://www.catalog.slsa.sa.gov.au/xrecord=b2063105</v>
      </c>
      <c r="D7244" t="s">
        <v>16831</v>
      </c>
      <c r="E7244" t="s">
        <v>16771</v>
      </c>
      <c r="F7244">
        <v>1954</v>
      </c>
      <c r="G7244" t="s">
        <v>20063</v>
      </c>
      <c r="H7244" t="s">
        <v>24663</v>
      </c>
      <c r="J7244" t="s">
        <v>21314</v>
      </c>
      <c r="K7244" s="2" t="str">
        <f>HYPERLINK("http://collections.slsa.sa.gov.au/mpcimg/13000/B12928.htm")</f>
        <v>http://collections.slsa.sa.gov.au/mpcimg/13000/B12928.htm</v>
      </c>
    </row>
    <row r="7245" spans="1:11" x14ac:dyDescent="0.25">
      <c r="A7245" t="s">
        <v>24664</v>
      </c>
      <c r="B7245" s="1" t="str">
        <f>HYPERLINK("https://www.catalog.slsa.sa.gov.au/record=b2063165")</f>
        <v>https://www.catalog.slsa.sa.gov.au/record=b2063165</v>
      </c>
      <c r="C7245" s="1" t="str">
        <f>HYPERLINK("https://www.catalog.slsa.sa.gov.au/xrecord=b2063165")</f>
        <v>https://www.catalog.slsa.sa.gov.au/xrecord=b2063165</v>
      </c>
      <c r="D7245" t="s">
        <v>16831</v>
      </c>
      <c r="E7245" t="s">
        <v>24652</v>
      </c>
      <c r="F7245">
        <v>1954</v>
      </c>
      <c r="G7245" t="s">
        <v>20063</v>
      </c>
      <c r="H7245" t="s">
        <v>24665</v>
      </c>
      <c r="J7245" t="s">
        <v>21326</v>
      </c>
      <c r="K7245" s="2" t="str">
        <f>HYPERLINK("http://collections.slsa.sa.gov.au/mpcimg/13250/B13119.htm")</f>
        <v>http://collections.slsa.sa.gov.au/mpcimg/13250/B13119.htm</v>
      </c>
    </row>
    <row r="7246" spans="1:11" x14ac:dyDescent="0.25">
      <c r="A7246" t="s">
        <v>24666</v>
      </c>
      <c r="B7246" s="1" t="str">
        <f>HYPERLINK("https://www.catalog.slsa.sa.gov.au/record=b2063428")</f>
        <v>https://www.catalog.slsa.sa.gov.au/record=b2063428</v>
      </c>
      <c r="C7246" s="1" t="str">
        <f>HYPERLINK("https://www.catalog.slsa.sa.gov.au/xrecord=b2063428")</f>
        <v>https://www.catalog.slsa.sa.gov.au/xrecord=b2063428</v>
      </c>
      <c r="D7246" t="s">
        <v>16831</v>
      </c>
      <c r="E7246" t="s">
        <v>24667</v>
      </c>
      <c r="F7246">
        <v>1954</v>
      </c>
      <c r="G7246" t="s">
        <v>20063</v>
      </c>
      <c r="H7246" t="s">
        <v>24668</v>
      </c>
      <c r="J7246" t="s">
        <v>24669</v>
      </c>
      <c r="K7246" s="2" t="str">
        <f>HYPERLINK("http://collections.slsa.sa.gov.au/mpcimg/13250/B13192.htm")</f>
        <v>http://collections.slsa.sa.gov.au/mpcimg/13250/B13192.htm</v>
      </c>
    </row>
    <row r="7247" spans="1:11" x14ac:dyDescent="0.25">
      <c r="A7247" t="s">
        <v>24670</v>
      </c>
      <c r="B7247" s="1" t="str">
        <f>HYPERLINK("https://www.catalog.slsa.sa.gov.au/record=b2063429")</f>
        <v>https://www.catalog.slsa.sa.gov.au/record=b2063429</v>
      </c>
      <c r="C7247" s="1" t="str">
        <f>HYPERLINK("https://www.catalog.slsa.sa.gov.au/xrecord=b2063429")</f>
        <v>https://www.catalog.slsa.sa.gov.au/xrecord=b2063429</v>
      </c>
      <c r="D7247" t="s">
        <v>16831</v>
      </c>
      <c r="E7247" t="s">
        <v>24667</v>
      </c>
      <c r="F7247">
        <v>1954</v>
      </c>
      <c r="G7247" t="s">
        <v>20063</v>
      </c>
      <c r="H7247" t="s">
        <v>24671</v>
      </c>
      <c r="J7247" t="s">
        <v>24669</v>
      </c>
      <c r="K7247" s="2" t="str">
        <f>HYPERLINK("http://collections.slsa.sa.gov.au/mpcimg/13250/B13193.htm")</f>
        <v>http://collections.slsa.sa.gov.au/mpcimg/13250/B13193.htm</v>
      </c>
    </row>
    <row r="7248" spans="1:11" x14ac:dyDescent="0.25">
      <c r="A7248" t="s">
        <v>24672</v>
      </c>
      <c r="B7248" s="1" t="str">
        <f>HYPERLINK("https://www.catalog.slsa.sa.gov.au/record=b2063474")</f>
        <v>https://www.catalog.slsa.sa.gov.au/record=b2063474</v>
      </c>
      <c r="C7248" s="1" t="str">
        <f>HYPERLINK("https://www.catalog.slsa.sa.gov.au/xrecord=b2063474")</f>
        <v>https://www.catalog.slsa.sa.gov.au/xrecord=b2063474</v>
      </c>
      <c r="D7248" t="s">
        <v>16831</v>
      </c>
      <c r="E7248" t="s">
        <v>24673</v>
      </c>
      <c r="F7248">
        <v>1954</v>
      </c>
      <c r="G7248" t="s">
        <v>20063</v>
      </c>
      <c r="H7248" t="s">
        <v>24674</v>
      </c>
      <c r="I7248" t="s">
        <v>24675</v>
      </c>
      <c r="J7248" t="s">
        <v>24676</v>
      </c>
      <c r="K7248" s="2" t="str">
        <f>HYPERLINK("http://collections.slsa.sa.gov.au/mpcimg/13250/B13139.htm")</f>
        <v>http://collections.slsa.sa.gov.au/mpcimg/13250/B13139.htm</v>
      </c>
    </row>
    <row r="7249" spans="1:11" x14ac:dyDescent="0.25">
      <c r="A7249" t="s">
        <v>24677</v>
      </c>
      <c r="B7249" s="1" t="str">
        <f>HYPERLINK("https://www.catalog.slsa.sa.gov.au/record=b2063475")</f>
        <v>https://www.catalog.slsa.sa.gov.au/record=b2063475</v>
      </c>
      <c r="C7249" s="1" t="str">
        <f>HYPERLINK("https://www.catalog.slsa.sa.gov.au/xrecord=b2063475")</f>
        <v>https://www.catalog.slsa.sa.gov.au/xrecord=b2063475</v>
      </c>
      <c r="D7249" t="s">
        <v>16831</v>
      </c>
      <c r="E7249" t="s">
        <v>24678</v>
      </c>
      <c r="F7249">
        <v>1954</v>
      </c>
      <c r="G7249" t="s">
        <v>20063</v>
      </c>
      <c r="H7249" t="s">
        <v>24679</v>
      </c>
      <c r="I7249" t="s">
        <v>24675</v>
      </c>
      <c r="J7249" t="s">
        <v>24676</v>
      </c>
      <c r="K7249" s="2" t="str">
        <f>HYPERLINK("http://collections.slsa.sa.gov.au/mpcimg/13250/B13140.htm")</f>
        <v>http://collections.slsa.sa.gov.au/mpcimg/13250/B13140.htm</v>
      </c>
    </row>
    <row r="7250" spans="1:11" x14ac:dyDescent="0.25">
      <c r="A7250" t="s">
        <v>24680</v>
      </c>
      <c r="B7250" s="1" t="str">
        <f>HYPERLINK("https://www.catalog.slsa.sa.gov.au/record=b2063552")</f>
        <v>https://www.catalog.slsa.sa.gov.au/record=b2063552</v>
      </c>
      <c r="C7250" s="1" t="str">
        <f>HYPERLINK("https://www.catalog.slsa.sa.gov.au/xrecord=b2063552")</f>
        <v>https://www.catalog.slsa.sa.gov.au/xrecord=b2063552</v>
      </c>
      <c r="D7250" t="s">
        <v>16831</v>
      </c>
      <c r="E7250" t="s">
        <v>24678</v>
      </c>
      <c r="F7250">
        <v>1954</v>
      </c>
      <c r="G7250" t="s">
        <v>20063</v>
      </c>
      <c r="H7250" t="s">
        <v>24681</v>
      </c>
      <c r="J7250" t="s">
        <v>24682</v>
      </c>
      <c r="K7250" s="2" t="str">
        <f>HYPERLINK("http://collections.slsa.sa.gov.au/mpcimg/13250/B13127.htm")</f>
        <v>http://collections.slsa.sa.gov.au/mpcimg/13250/B13127.htm</v>
      </c>
    </row>
    <row r="7251" spans="1:11" x14ac:dyDescent="0.25">
      <c r="A7251" t="s">
        <v>24683</v>
      </c>
      <c r="B7251" s="1" t="str">
        <f>HYPERLINK("https://www.catalog.slsa.sa.gov.au/record=b2063625")</f>
        <v>https://www.catalog.slsa.sa.gov.au/record=b2063625</v>
      </c>
      <c r="C7251" s="1" t="str">
        <f>HYPERLINK("https://www.catalog.slsa.sa.gov.au/xrecord=b2063625")</f>
        <v>https://www.catalog.slsa.sa.gov.au/xrecord=b2063625</v>
      </c>
      <c r="D7251" t="s">
        <v>16831</v>
      </c>
      <c r="E7251" t="s">
        <v>24684</v>
      </c>
      <c r="F7251">
        <v>1954</v>
      </c>
      <c r="G7251" t="s">
        <v>20063</v>
      </c>
      <c r="H7251" t="s">
        <v>24685</v>
      </c>
      <c r="I7251" t="s">
        <v>24686</v>
      </c>
      <c r="J7251" t="s">
        <v>24687</v>
      </c>
      <c r="K7251" s="2" t="str">
        <f>HYPERLINK("http://collections.slsa.sa.gov.au/mpcimg/13250/B13126.htm")</f>
        <v>http://collections.slsa.sa.gov.au/mpcimg/13250/B13126.htm</v>
      </c>
    </row>
    <row r="7252" spans="1:11" x14ac:dyDescent="0.25">
      <c r="A7252" t="s">
        <v>24688</v>
      </c>
      <c r="B7252" s="1" t="str">
        <f>HYPERLINK("https://www.catalog.slsa.sa.gov.au/record=b2063657")</f>
        <v>https://www.catalog.slsa.sa.gov.au/record=b2063657</v>
      </c>
      <c r="C7252" s="1" t="str">
        <f>HYPERLINK("https://www.catalog.slsa.sa.gov.au/xrecord=b2063657")</f>
        <v>https://www.catalog.slsa.sa.gov.au/xrecord=b2063657</v>
      </c>
      <c r="D7252" t="s">
        <v>16831</v>
      </c>
      <c r="E7252" t="s">
        <v>22978</v>
      </c>
      <c r="F7252">
        <v>1954</v>
      </c>
      <c r="G7252" t="s">
        <v>20063</v>
      </c>
      <c r="H7252" t="s">
        <v>24689</v>
      </c>
      <c r="J7252" t="s">
        <v>24690</v>
      </c>
      <c r="K7252" s="2" t="str">
        <f>HYPERLINK("http://collections.slsa.sa.gov.au/mpcimg/13250/B13043.htm")</f>
        <v>http://collections.slsa.sa.gov.au/mpcimg/13250/B13043.htm</v>
      </c>
    </row>
    <row r="7253" spans="1:11" x14ac:dyDescent="0.25">
      <c r="A7253" t="s">
        <v>24691</v>
      </c>
      <c r="B7253" s="1" t="str">
        <f>HYPERLINK("https://www.catalog.slsa.sa.gov.au/record=b2063738")</f>
        <v>https://www.catalog.slsa.sa.gov.au/record=b2063738</v>
      </c>
      <c r="C7253" s="1" t="str">
        <f>HYPERLINK("https://www.catalog.slsa.sa.gov.au/xrecord=b2063738")</f>
        <v>https://www.catalog.slsa.sa.gov.au/xrecord=b2063738</v>
      </c>
      <c r="D7253" t="s">
        <v>16831</v>
      </c>
      <c r="E7253" t="s">
        <v>24692</v>
      </c>
      <c r="F7253">
        <v>1954</v>
      </c>
      <c r="G7253" t="s">
        <v>20063</v>
      </c>
      <c r="H7253" t="s">
        <v>24693</v>
      </c>
      <c r="I7253" t="s">
        <v>24694</v>
      </c>
      <c r="J7253" t="s">
        <v>24695</v>
      </c>
      <c r="K7253" s="2" t="str">
        <f>HYPERLINK("http://collections.slsa.sa.gov.au/mpcimg/13250/B13205.htm")</f>
        <v>http://collections.slsa.sa.gov.au/mpcimg/13250/B13205.htm</v>
      </c>
    </row>
    <row r="7254" spans="1:11" x14ac:dyDescent="0.25">
      <c r="A7254" t="s">
        <v>24696</v>
      </c>
      <c r="B7254" s="1" t="str">
        <f>HYPERLINK("https://www.catalog.slsa.sa.gov.au/record=b2063891")</f>
        <v>https://www.catalog.slsa.sa.gov.au/record=b2063891</v>
      </c>
      <c r="C7254" s="1" t="str">
        <f>HYPERLINK("https://www.catalog.slsa.sa.gov.au/xrecord=b2063891")</f>
        <v>https://www.catalog.slsa.sa.gov.au/xrecord=b2063891</v>
      </c>
      <c r="D7254" t="s">
        <v>16831</v>
      </c>
      <c r="E7254" t="s">
        <v>24697</v>
      </c>
      <c r="F7254">
        <v>1954</v>
      </c>
      <c r="G7254" t="s">
        <v>20063</v>
      </c>
      <c r="H7254" t="s">
        <v>24698</v>
      </c>
      <c r="I7254" t="s">
        <v>24699</v>
      </c>
      <c r="J7254" t="s">
        <v>24700</v>
      </c>
      <c r="K7254" s="2" t="str">
        <f>HYPERLINK("http://collections.slsa.sa.gov.au/mpcimg/13250/B13122.htm")</f>
        <v>http://collections.slsa.sa.gov.au/mpcimg/13250/B13122.htm</v>
      </c>
    </row>
    <row r="7255" spans="1:11" x14ac:dyDescent="0.25">
      <c r="A7255" t="s">
        <v>24701</v>
      </c>
      <c r="B7255" s="1" t="str">
        <f>HYPERLINK("https://www.catalog.slsa.sa.gov.au/record=b2063969")</f>
        <v>https://www.catalog.slsa.sa.gov.au/record=b2063969</v>
      </c>
      <c r="C7255" s="1" t="str">
        <f>HYPERLINK("https://www.catalog.slsa.sa.gov.au/xrecord=b2063969")</f>
        <v>https://www.catalog.slsa.sa.gov.au/xrecord=b2063969</v>
      </c>
      <c r="D7255" t="s">
        <v>16831</v>
      </c>
      <c r="E7255" t="s">
        <v>24702</v>
      </c>
      <c r="F7255">
        <v>1954</v>
      </c>
      <c r="G7255" t="s">
        <v>20063</v>
      </c>
      <c r="H7255" t="s">
        <v>24703</v>
      </c>
      <c r="I7255" t="s">
        <v>24704</v>
      </c>
      <c r="J7255" t="s">
        <v>24705</v>
      </c>
      <c r="K7255" s="2" t="str">
        <f>HYPERLINK("http://collections.slsa.sa.gov.au/mpcimg/13250/B13123.htm")</f>
        <v>http://collections.slsa.sa.gov.au/mpcimg/13250/B13123.htm</v>
      </c>
    </row>
    <row r="7256" spans="1:11" x14ac:dyDescent="0.25">
      <c r="A7256" t="s">
        <v>24706</v>
      </c>
      <c r="B7256" s="1" t="str">
        <f>HYPERLINK("https://www.catalog.slsa.sa.gov.au/record=b2063976")</f>
        <v>https://www.catalog.slsa.sa.gov.au/record=b2063976</v>
      </c>
      <c r="C7256" s="1" t="str">
        <f>HYPERLINK("https://www.catalog.slsa.sa.gov.au/xrecord=b2063976")</f>
        <v>https://www.catalog.slsa.sa.gov.au/xrecord=b2063976</v>
      </c>
      <c r="D7256" t="s">
        <v>16831</v>
      </c>
      <c r="E7256" t="s">
        <v>24684</v>
      </c>
      <c r="F7256">
        <v>1954</v>
      </c>
      <c r="G7256" t="s">
        <v>20063</v>
      </c>
      <c r="H7256" t="s">
        <v>24707</v>
      </c>
      <c r="J7256" t="s">
        <v>24708</v>
      </c>
      <c r="K7256" s="2" t="str">
        <f>HYPERLINK("http://collections.slsa.sa.gov.au/mpcimg/13250/B13125.htm")</f>
        <v>http://collections.slsa.sa.gov.au/mpcimg/13250/B13125.htm</v>
      </c>
    </row>
    <row r="7257" spans="1:11" x14ac:dyDescent="0.25">
      <c r="A7257" t="s">
        <v>24709</v>
      </c>
      <c r="B7257" s="1" t="str">
        <f>HYPERLINK("https://www.catalog.slsa.sa.gov.au/record=b2064023")</f>
        <v>https://www.catalog.slsa.sa.gov.au/record=b2064023</v>
      </c>
      <c r="C7257" s="1" t="str">
        <f>HYPERLINK("https://www.catalog.slsa.sa.gov.au/xrecord=b2064023")</f>
        <v>https://www.catalog.slsa.sa.gov.au/xrecord=b2064023</v>
      </c>
      <c r="D7257" t="s">
        <v>16831</v>
      </c>
      <c r="E7257" t="s">
        <v>24697</v>
      </c>
      <c r="F7257">
        <v>1954</v>
      </c>
      <c r="G7257" t="s">
        <v>20063</v>
      </c>
      <c r="H7257" t="s">
        <v>24710</v>
      </c>
      <c r="I7257" t="s">
        <v>24699</v>
      </c>
      <c r="J7257" t="s">
        <v>24711</v>
      </c>
      <c r="K7257" s="2" t="str">
        <f>HYPERLINK("http://collections.slsa.sa.gov.au/mpcimg/13250/B13121.htm")</f>
        <v>http://collections.slsa.sa.gov.au/mpcimg/13250/B13121.htm</v>
      </c>
    </row>
    <row r="7258" spans="1:11" x14ac:dyDescent="0.25">
      <c r="A7258" t="s">
        <v>24712</v>
      </c>
      <c r="B7258" s="1" t="str">
        <f>HYPERLINK("https://www.catalog.slsa.sa.gov.au/record=b2064166")</f>
        <v>https://www.catalog.slsa.sa.gov.au/record=b2064166</v>
      </c>
      <c r="C7258" s="1" t="str">
        <f>HYPERLINK("https://www.catalog.slsa.sa.gov.au/xrecord=b2064166")</f>
        <v>https://www.catalog.slsa.sa.gov.au/xrecord=b2064166</v>
      </c>
      <c r="D7258" t="s">
        <v>16831</v>
      </c>
      <c r="E7258" t="s">
        <v>24713</v>
      </c>
      <c r="F7258">
        <v>1954</v>
      </c>
      <c r="G7258" t="s">
        <v>20063</v>
      </c>
      <c r="H7258" t="s">
        <v>24714</v>
      </c>
      <c r="I7258" t="s">
        <v>24715</v>
      </c>
      <c r="J7258" t="s">
        <v>24716</v>
      </c>
      <c r="K7258" s="2" t="str">
        <f>HYPERLINK("http://collections.slsa.sa.gov.au/mpcimg/13250/B13124.htm")</f>
        <v>http://collections.slsa.sa.gov.au/mpcimg/13250/B13124.htm</v>
      </c>
    </row>
    <row r="7259" spans="1:11" x14ac:dyDescent="0.25">
      <c r="A7259" t="s">
        <v>24717</v>
      </c>
      <c r="B7259" s="1" t="str">
        <f>HYPERLINK("https://www.catalog.slsa.sa.gov.au/record=b2064457")</f>
        <v>https://www.catalog.slsa.sa.gov.au/record=b2064457</v>
      </c>
      <c r="C7259" s="1" t="str">
        <f>HYPERLINK("https://www.catalog.slsa.sa.gov.au/xrecord=b2064457")</f>
        <v>https://www.catalog.slsa.sa.gov.au/xrecord=b2064457</v>
      </c>
      <c r="D7259" t="s">
        <v>16831</v>
      </c>
      <c r="E7259" t="s">
        <v>24718</v>
      </c>
      <c r="F7259">
        <v>1954</v>
      </c>
      <c r="G7259" t="s">
        <v>20063</v>
      </c>
      <c r="H7259" t="s">
        <v>24719</v>
      </c>
      <c r="I7259" t="s">
        <v>24720</v>
      </c>
      <c r="J7259" t="s">
        <v>24721</v>
      </c>
      <c r="K7259" s="2" t="str">
        <f>HYPERLINK("http://collections.slsa.sa.gov.au/mpcimg/13250/B13187.htm")</f>
        <v>http://collections.slsa.sa.gov.au/mpcimg/13250/B13187.htm</v>
      </c>
    </row>
    <row r="7260" spans="1:11" x14ac:dyDescent="0.25">
      <c r="A7260" t="s">
        <v>24722</v>
      </c>
      <c r="B7260" s="1" t="str">
        <f>HYPERLINK("https://www.catalog.slsa.sa.gov.au/record=b2064488")</f>
        <v>https://www.catalog.slsa.sa.gov.au/record=b2064488</v>
      </c>
      <c r="C7260" s="1" t="str">
        <f>HYPERLINK("https://www.catalog.slsa.sa.gov.au/xrecord=b2064488")</f>
        <v>https://www.catalog.slsa.sa.gov.au/xrecord=b2064488</v>
      </c>
      <c r="D7260" t="s">
        <v>16831</v>
      </c>
      <c r="E7260" t="s">
        <v>24723</v>
      </c>
      <c r="F7260">
        <v>1954</v>
      </c>
      <c r="G7260" t="s">
        <v>20063</v>
      </c>
      <c r="H7260" t="s">
        <v>24724</v>
      </c>
      <c r="J7260" t="s">
        <v>24725</v>
      </c>
      <c r="K7260" s="2" t="str">
        <f>HYPERLINK("http://collections.slsa.sa.gov.au/mpcimg/13250/B13135.htm")</f>
        <v>http://collections.slsa.sa.gov.au/mpcimg/13250/B13135.htm</v>
      </c>
    </row>
    <row r="7261" spans="1:11" x14ac:dyDescent="0.25">
      <c r="A7261" t="s">
        <v>24726</v>
      </c>
      <c r="B7261" s="1" t="str">
        <f>HYPERLINK("https://www.catalog.slsa.sa.gov.au/record=b2064492")</f>
        <v>https://www.catalog.slsa.sa.gov.au/record=b2064492</v>
      </c>
      <c r="C7261" s="1" t="str">
        <f>HYPERLINK("https://www.catalog.slsa.sa.gov.au/xrecord=b2064492")</f>
        <v>https://www.catalog.slsa.sa.gov.au/xrecord=b2064492</v>
      </c>
      <c r="D7261" t="s">
        <v>16831</v>
      </c>
      <c r="E7261" t="s">
        <v>24727</v>
      </c>
      <c r="F7261">
        <v>1954</v>
      </c>
      <c r="G7261" t="s">
        <v>20063</v>
      </c>
      <c r="H7261" t="s">
        <v>24728</v>
      </c>
      <c r="J7261" t="s">
        <v>24729</v>
      </c>
      <c r="K7261" s="2" t="str">
        <f>HYPERLINK("http://collections.slsa.sa.gov.au/mpcimg/13250/B13132.htm")</f>
        <v>http://collections.slsa.sa.gov.au/mpcimg/13250/B13132.htm</v>
      </c>
    </row>
    <row r="7262" spans="1:11" x14ac:dyDescent="0.25">
      <c r="A7262" t="s">
        <v>24730</v>
      </c>
      <c r="B7262" s="1" t="str">
        <f>HYPERLINK("https://www.catalog.slsa.sa.gov.au/record=b2064493")</f>
        <v>https://www.catalog.slsa.sa.gov.au/record=b2064493</v>
      </c>
      <c r="C7262" s="1" t="str">
        <f>HYPERLINK("https://www.catalog.slsa.sa.gov.au/xrecord=b2064493")</f>
        <v>https://www.catalog.slsa.sa.gov.au/xrecord=b2064493</v>
      </c>
      <c r="D7262" t="s">
        <v>16831</v>
      </c>
      <c r="E7262" t="s">
        <v>24723</v>
      </c>
      <c r="F7262">
        <v>1954</v>
      </c>
      <c r="G7262" t="s">
        <v>20063</v>
      </c>
      <c r="H7262" t="s">
        <v>24731</v>
      </c>
      <c r="I7262" t="s">
        <v>24732</v>
      </c>
      <c r="J7262" t="s">
        <v>24729</v>
      </c>
      <c r="K7262" s="2" t="str">
        <f>HYPERLINK("http://collections.slsa.sa.gov.au/mpcimg/13250/B13133.htm")</f>
        <v>http://collections.slsa.sa.gov.au/mpcimg/13250/B13133.htm</v>
      </c>
    </row>
    <row r="7263" spans="1:11" x14ac:dyDescent="0.25">
      <c r="A7263" t="s">
        <v>24733</v>
      </c>
      <c r="B7263" s="1" t="str">
        <f>HYPERLINK("https://www.catalog.slsa.sa.gov.au/record=b2064519")</f>
        <v>https://www.catalog.slsa.sa.gov.au/record=b2064519</v>
      </c>
      <c r="C7263" s="1" t="str">
        <f>HYPERLINK("https://www.catalog.slsa.sa.gov.au/xrecord=b2064519")</f>
        <v>https://www.catalog.slsa.sa.gov.au/xrecord=b2064519</v>
      </c>
      <c r="D7263" t="s">
        <v>16831</v>
      </c>
      <c r="E7263" t="s">
        <v>24723</v>
      </c>
      <c r="F7263">
        <v>1954</v>
      </c>
      <c r="G7263" t="s">
        <v>20063</v>
      </c>
      <c r="H7263" t="s">
        <v>24734</v>
      </c>
      <c r="J7263" t="s">
        <v>24735</v>
      </c>
      <c r="K7263" s="2" t="str">
        <f>HYPERLINK("http://collections.slsa.sa.gov.au/mpcimg/13250/B13131.htm")</f>
        <v>http://collections.slsa.sa.gov.au/mpcimg/13250/B13131.htm</v>
      </c>
    </row>
    <row r="7264" spans="1:11" x14ac:dyDescent="0.25">
      <c r="A7264" t="s">
        <v>24736</v>
      </c>
      <c r="B7264" s="1" t="str">
        <f>HYPERLINK("https://www.catalog.slsa.sa.gov.au/record=b2064520")</f>
        <v>https://www.catalog.slsa.sa.gov.au/record=b2064520</v>
      </c>
      <c r="C7264" s="1" t="str">
        <f>HYPERLINK("https://www.catalog.slsa.sa.gov.au/xrecord=b2064520")</f>
        <v>https://www.catalog.slsa.sa.gov.au/xrecord=b2064520</v>
      </c>
      <c r="D7264" t="s">
        <v>16831</v>
      </c>
      <c r="E7264" t="s">
        <v>24723</v>
      </c>
      <c r="F7264">
        <v>1954</v>
      </c>
      <c r="G7264" t="s">
        <v>20063</v>
      </c>
      <c r="H7264" t="s">
        <v>24737</v>
      </c>
      <c r="J7264" t="s">
        <v>24735</v>
      </c>
      <c r="K7264" s="2" t="str">
        <f>HYPERLINK("http://collections.slsa.sa.gov.au/mpcimg/13250/B13134.htm")</f>
        <v>http://collections.slsa.sa.gov.au/mpcimg/13250/B13134.htm</v>
      </c>
    </row>
    <row r="7265" spans="1:11" x14ac:dyDescent="0.25">
      <c r="A7265" t="s">
        <v>24738</v>
      </c>
      <c r="B7265" s="1" t="str">
        <f>HYPERLINK("https://www.catalog.slsa.sa.gov.au/record=b2064599")</f>
        <v>https://www.catalog.slsa.sa.gov.au/record=b2064599</v>
      </c>
      <c r="C7265" s="1" t="str">
        <f>HYPERLINK("https://www.catalog.slsa.sa.gov.au/xrecord=b2064599")</f>
        <v>https://www.catalog.slsa.sa.gov.au/xrecord=b2064599</v>
      </c>
      <c r="D7265" t="s">
        <v>16831</v>
      </c>
      <c r="E7265" t="s">
        <v>24739</v>
      </c>
      <c r="F7265">
        <v>1954</v>
      </c>
      <c r="G7265" t="s">
        <v>20063</v>
      </c>
      <c r="H7265" t="s">
        <v>24740</v>
      </c>
      <c r="J7265" t="s">
        <v>24741</v>
      </c>
      <c r="K7265" s="2" t="str">
        <f>HYPERLINK("http://collections.slsa.sa.gov.au/mpcimg/13250/B13201.htm")</f>
        <v>http://collections.slsa.sa.gov.au/mpcimg/13250/B13201.htm</v>
      </c>
    </row>
    <row r="7266" spans="1:11" x14ac:dyDescent="0.25">
      <c r="A7266" t="s">
        <v>24742</v>
      </c>
      <c r="B7266" s="1" t="str">
        <f>HYPERLINK("https://www.catalog.slsa.sa.gov.au/record=b2066487")</f>
        <v>https://www.catalog.slsa.sa.gov.au/record=b2066487</v>
      </c>
      <c r="C7266" s="1" t="str">
        <f>HYPERLINK("https://www.catalog.slsa.sa.gov.au/xrecord=b2066487")</f>
        <v>https://www.catalog.slsa.sa.gov.au/xrecord=b2066487</v>
      </c>
      <c r="D7266" t="s">
        <v>16831</v>
      </c>
      <c r="E7266" t="s">
        <v>24081</v>
      </c>
      <c r="F7266">
        <v>1954</v>
      </c>
      <c r="G7266" t="s">
        <v>20063</v>
      </c>
      <c r="H7266" t="s">
        <v>24743</v>
      </c>
      <c r="J7266" t="s">
        <v>24744</v>
      </c>
      <c r="K7266" s="2" t="str">
        <f>HYPERLINK("http://collections.slsa.sa.gov.au/mpcimg/13250/B13006.htm")</f>
        <v>http://collections.slsa.sa.gov.au/mpcimg/13250/B13006.htm</v>
      </c>
    </row>
    <row r="7267" spans="1:11" x14ac:dyDescent="0.25">
      <c r="A7267" t="s">
        <v>24745</v>
      </c>
      <c r="B7267" s="1" t="str">
        <f>HYPERLINK("https://www.catalog.slsa.sa.gov.au/record=b2066488")</f>
        <v>https://www.catalog.slsa.sa.gov.au/record=b2066488</v>
      </c>
      <c r="C7267" s="1" t="str">
        <f>HYPERLINK("https://www.catalog.slsa.sa.gov.au/xrecord=b2066488")</f>
        <v>https://www.catalog.slsa.sa.gov.au/xrecord=b2066488</v>
      </c>
      <c r="D7267" t="s">
        <v>16831</v>
      </c>
      <c r="E7267" t="s">
        <v>24081</v>
      </c>
      <c r="F7267">
        <v>1954</v>
      </c>
      <c r="G7267" t="s">
        <v>20063</v>
      </c>
      <c r="H7267" t="s">
        <v>24746</v>
      </c>
      <c r="J7267" t="s">
        <v>24744</v>
      </c>
      <c r="K7267" s="2" t="str">
        <f>HYPERLINK("http://collections.slsa.sa.gov.au/mpcimg/13250/B13007.htm")</f>
        <v>http://collections.slsa.sa.gov.au/mpcimg/13250/B13007.htm</v>
      </c>
    </row>
    <row r="7268" spans="1:11" x14ac:dyDescent="0.25">
      <c r="A7268" t="s">
        <v>24747</v>
      </c>
      <c r="B7268" s="1" t="str">
        <f>HYPERLINK("https://www.catalog.slsa.sa.gov.au/record=b2066489")</f>
        <v>https://www.catalog.slsa.sa.gov.au/record=b2066489</v>
      </c>
      <c r="C7268" s="1" t="str">
        <f>HYPERLINK("https://www.catalog.slsa.sa.gov.au/xrecord=b2066489")</f>
        <v>https://www.catalog.slsa.sa.gov.au/xrecord=b2066489</v>
      </c>
      <c r="D7268" t="s">
        <v>16831</v>
      </c>
      <c r="E7268" t="s">
        <v>24081</v>
      </c>
      <c r="F7268">
        <v>1954</v>
      </c>
      <c r="G7268" t="s">
        <v>20063</v>
      </c>
      <c r="H7268" t="s">
        <v>24748</v>
      </c>
      <c r="J7268" t="s">
        <v>24744</v>
      </c>
      <c r="K7268" s="2" t="str">
        <f>HYPERLINK("http://collections.slsa.sa.gov.au/mpcimg/13250/B13008.htm")</f>
        <v>http://collections.slsa.sa.gov.au/mpcimg/13250/B13008.htm</v>
      </c>
    </row>
    <row r="7269" spans="1:11" x14ac:dyDescent="0.25">
      <c r="A7269" t="s">
        <v>24749</v>
      </c>
      <c r="B7269" s="1" t="str">
        <f>HYPERLINK("https://www.catalog.slsa.sa.gov.au/record=b2066569")</f>
        <v>https://www.catalog.slsa.sa.gov.au/record=b2066569</v>
      </c>
      <c r="C7269" s="1" t="str">
        <f>HYPERLINK("https://www.catalog.slsa.sa.gov.au/xrecord=b2066569")</f>
        <v>https://www.catalog.slsa.sa.gov.au/xrecord=b2066569</v>
      </c>
      <c r="D7269" t="s">
        <v>16831</v>
      </c>
      <c r="E7269" t="s">
        <v>15636</v>
      </c>
      <c r="F7269">
        <v>1954</v>
      </c>
      <c r="G7269" t="s">
        <v>20063</v>
      </c>
      <c r="H7269" t="s">
        <v>24750</v>
      </c>
      <c r="J7269" t="s">
        <v>24751</v>
      </c>
      <c r="K7269" s="2" t="str">
        <f>HYPERLINK("http://collections.slsa.sa.gov.au/mpcimg/13000/B12999.htm")</f>
        <v>http://collections.slsa.sa.gov.au/mpcimg/13000/B12999.htm</v>
      </c>
    </row>
    <row r="7270" spans="1:11" x14ac:dyDescent="0.25">
      <c r="A7270" t="s">
        <v>24752</v>
      </c>
      <c r="B7270" s="1" t="str">
        <f>HYPERLINK("https://www.catalog.slsa.sa.gov.au/record=b2066570")</f>
        <v>https://www.catalog.slsa.sa.gov.au/record=b2066570</v>
      </c>
      <c r="C7270" s="1" t="str">
        <f>HYPERLINK("https://www.catalog.slsa.sa.gov.au/xrecord=b2066570")</f>
        <v>https://www.catalog.slsa.sa.gov.au/xrecord=b2066570</v>
      </c>
      <c r="D7270" t="s">
        <v>16831</v>
      </c>
      <c r="E7270" t="s">
        <v>15636</v>
      </c>
      <c r="F7270">
        <v>1954</v>
      </c>
      <c r="G7270" t="s">
        <v>20063</v>
      </c>
      <c r="H7270" t="s">
        <v>24753</v>
      </c>
      <c r="J7270" t="s">
        <v>24751</v>
      </c>
      <c r="K7270" s="2" t="str">
        <f>HYPERLINK("http://collections.slsa.sa.gov.au/mpcimg/13000/B13000.htm")</f>
        <v>http://collections.slsa.sa.gov.au/mpcimg/13000/B13000.htm</v>
      </c>
    </row>
    <row r="7271" spans="1:11" x14ac:dyDescent="0.25">
      <c r="A7271" t="s">
        <v>24754</v>
      </c>
      <c r="B7271" s="1" t="str">
        <f>HYPERLINK("https://www.catalog.slsa.sa.gov.au/record=b2066571")</f>
        <v>https://www.catalog.slsa.sa.gov.au/record=b2066571</v>
      </c>
      <c r="C7271" s="1" t="str">
        <f>HYPERLINK("https://www.catalog.slsa.sa.gov.au/xrecord=b2066571")</f>
        <v>https://www.catalog.slsa.sa.gov.au/xrecord=b2066571</v>
      </c>
      <c r="D7271" t="s">
        <v>16831</v>
      </c>
      <c r="E7271" t="s">
        <v>15636</v>
      </c>
      <c r="F7271">
        <v>1954</v>
      </c>
      <c r="G7271" t="s">
        <v>20063</v>
      </c>
      <c r="H7271" t="s">
        <v>24755</v>
      </c>
      <c r="J7271" t="s">
        <v>24751</v>
      </c>
      <c r="K7271" s="2" t="str">
        <f>HYPERLINK("http://collections.slsa.sa.gov.au/mpcimg/13250/B13001.htm")</f>
        <v>http://collections.slsa.sa.gov.au/mpcimg/13250/B13001.htm</v>
      </c>
    </row>
    <row r="7272" spans="1:11" x14ac:dyDescent="0.25">
      <c r="A7272" t="s">
        <v>24756</v>
      </c>
      <c r="B7272" s="1" t="str">
        <f>HYPERLINK("https://www.catalog.slsa.sa.gov.au/record=b2066572")</f>
        <v>https://www.catalog.slsa.sa.gov.au/record=b2066572</v>
      </c>
      <c r="C7272" s="1" t="str">
        <f>HYPERLINK("https://www.catalog.slsa.sa.gov.au/xrecord=b2066572")</f>
        <v>https://www.catalog.slsa.sa.gov.au/xrecord=b2066572</v>
      </c>
      <c r="D7272" t="s">
        <v>16831</v>
      </c>
      <c r="E7272" t="s">
        <v>15636</v>
      </c>
      <c r="F7272">
        <v>1954</v>
      </c>
      <c r="G7272" t="s">
        <v>20063</v>
      </c>
      <c r="H7272" t="s">
        <v>24757</v>
      </c>
      <c r="J7272" t="s">
        <v>24751</v>
      </c>
      <c r="K7272" s="2" t="str">
        <f>HYPERLINK("http://collections.slsa.sa.gov.au/mpcimg/13250/B13002.htm")</f>
        <v>http://collections.slsa.sa.gov.au/mpcimg/13250/B13002.htm</v>
      </c>
    </row>
    <row r="7273" spans="1:11" x14ac:dyDescent="0.25">
      <c r="A7273" t="s">
        <v>24758</v>
      </c>
      <c r="B7273" s="1" t="str">
        <f>HYPERLINK("https://www.catalog.slsa.sa.gov.au/record=b2066573")</f>
        <v>https://www.catalog.slsa.sa.gov.au/record=b2066573</v>
      </c>
      <c r="C7273" s="1" t="str">
        <f>HYPERLINK("https://www.catalog.slsa.sa.gov.au/xrecord=b2066573")</f>
        <v>https://www.catalog.slsa.sa.gov.au/xrecord=b2066573</v>
      </c>
      <c r="D7273" t="s">
        <v>16831</v>
      </c>
      <c r="E7273" t="s">
        <v>15636</v>
      </c>
      <c r="F7273">
        <v>1954</v>
      </c>
      <c r="G7273" t="s">
        <v>20063</v>
      </c>
      <c r="H7273" t="s">
        <v>24759</v>
      </c>
      <c r="J7273" t="s">
        <v>24751</v>
      </c>
      <c r="K7273" s="2" t="str">
        <f>HYPERLINK("http://collections.slsa.sa.gov.au/mpcimg/13250/B13003.htm")</f>
        <v>http://collections.slsa.sa.gov.au/mpcimg/13250/B13003.htm</v>
      </c>
    </row>
    <row r="7274" spans="1:11" x14ac:dyDescent="0.25">
      <c r="A7274" t="s">
        <v>24760</v>
      </c>
      <c r="B7274" s="1" t="str">
        <f>HYPERLINK("https://www.catalog.slsa.sa.gov.au/record=b2066574")</f>
        <v>https://www.catalog.slsa.sa.gov.au/record=b2066574</v>
      </c>
      <c r="C7274" s="1" t="str">
        <f>HYPERLINK("https://www.catalog.slsa.sa.gov.au/xrecord=b2066574")</f>
        <v>https://www.catalog.slsa.sa.gov.au/xrecord=b2066574</v>
      </c>
      <c r="D7274" t="s">
        <v>16831</v>
      </c>
      <c r="E7274" t="s">
        <v>15636</v>
      </c>
      <c r="F7274">
        <v>1954</v>
      </c>
      <c r="G7274" t="s">
        <v>20063</v>
      </c>
      <c r="H7274" t="s">
        <v>24759</v>
      </c>
      <c r="J7274" t="s">
        <v>24751</v>
      </c>
      <c r="K7274" s="2" t="str">
        <f>HYPERLINK("http://collections.slsa.sa.gov.au/mpcimg/13250/B13004.htm")</f>
        <v>http://collections.slsa.sa.gov.au/mpcimg/13250/B13004.htm</v>
      </c>
    </row>
    <row r="7275" spans="1:11" x14ac:dyDescent="0.25">
      <c r="A7275" t="s">
        <v>24761</v>
      </c>
      <c r="B7275" s="1" t="str">
        <f>HYPERLINK("https://www.catalog.slsa.sa.gov.au/record=b2072541")</f>
        <v>https://www.catalog.slsa.sa.gov.au/record=b2072541</v>
      </c>
      <c r="C7275" s="1" t="str">
        <f>HYPERLINK("https://www.catalog.slsa.sa.gov.au/xrecord=b2072541")</f>
        <v>https://www.catalog.slsa.sa.gov.au/xrecord=b2072541</v>
      </c>
      <c r="E7275" t="s">
        <v>15215</v>
      </c>
      <c r="F7275">
        <v>1954</v>
      </c>
      <c r="G7275" t="s">
        <v>15216</v>
      </c>
      <c r="H7275" t="s">
        <v>24762</v>
      </c>
      <c r="I7275" t="s">
        <v>15218</v>
      </c>
      <c r="J7275" t="s">
        <v>15219</v>
      </c>
      <c r="K7275" s="2" t="str">
        <f>HYPERLINK("http://collections.slsa.sa.gov.au/mpcimg/46750/B46528_36.htm")</f>
        <v>http://collections.slsa.sa.gov.au/mpcimg/46750/B46528_36.htm</v>
      </c>
    </row>
    <row r="7276" spans="1:11" x14ac:dyDescent="0.25">
      <c r="A7276" t="s">
        <v>24763</v>
      </c>
      <c r="B7276" s="1" t="str">
        <f>HYPERLINK("https://www.catalog.slsa.sa.gov.au/record=b2073423")</f>
        <v>https://www.catalog.slsa.sa.gov.au/record=b2073423</v>
      </c>
      <c r="C7276" s="1" t="str">
        <f>HYPERLINK("https://www.catalog.slsa.sa.gov.au/xrecord=b2073423")</f>
        <v>https://www.catalog.slsa.sa.gov.au/xrecord=b2073423</v>
      </c>
      <c r="D7276" t="s">
        <v>2939</v>
      </c>
      <c r="E7276" t="s">
        <v>24764</v>
      </c>
      <c r="F7276">
        <v>1954</v>
      </c>
      <c r="G7276" t="s">
        <v>24765</v>
      </c>
      <c r="H7276" t="s">
        <v>24766</v>
      </c>
      <c r="I7276" t="s">
        <v>24767</v>
      </c>
      <c r="J7276" t="s">
        <v>1809</v>
      </c>
      <c r="K7276" s="2" t="str">
        <f>HYPERLINK("http://collections.slsa.sa.gov.au/mpcimg/63000/B62971.htm")</f>
        <v>http://collections.slsa.sa.gov.au/mpcimg/63000/B62971.htm</v>
      </c>
    </row>
    <row r="7277" spans="1:11" x14ac:dyDescent="0.25">
      <c r="A7277" t="s">
        <v>24768</v>
      </c>
      <c r="B7277" s="1" t="str">
        <f>HYPERLINK("https://www.catalog.slsa.sa.gov.au/record=b2076041")</f>
        <v>https://www.catalog.slsa.sa.gov.au/record=b2076041</v>
      </c>
      <c r="C7277" s="1" t="str">
        <f>HYPERLINK("https://www.catalog.slsa.sa.gov.au/xrecord=b2076041")</f>
        <v>https://www.catalog.slsa.sa.gov.au/xrecord=b2076041</v>
      </c>
      <c r="E7277" t="s">
        <v>24769</v>
      </c>
      <c r="F7277">
        <v>1954</v>
      </c>
      <c r="G7277" t="s">
        <v>24770</v>
      </c>
      <c r="H7277" t="s">
        <v>24771</v>
      </c>
      <c r="I7277" t="s">
        <v>24772</v>
      </c>
      <c r="J7277" t="s">
        <v>9214</v>
      </c>
      <c r="K7277" s="2" t="str">
        <f>HYPERLINK("http://collections.slsa.sa.gov.au/mpcimg/54000/B53984.htm")</f>
        <v>http://collections.slsa.sa.gov.au/mpcimg/54000/B53984.htm</v>
      </c>
    </row>
    <row r="7278" spans="1:11" x14ac:dyDescent="0.25">
      <c r="A7278" t="s">
        <v>24773</v>
      </c>
      <c r="B7278" s="1" t="str">
        <f>HYPERLINK("https://www.catalog.slsa.sa.gov.au/record=b2076624")</f>
        <v>https://www.catalog.slsa.sa.gov.au/record=b2076624</v>
      </c>
      <c r="C7278" s="1" t="str">
        <f>HYPERLINK("https://www.catalog.slsa.sa.gov.au/xrecord=b2076624")</f>
        <v>https://www.catalog.slsa.sa.gov.au/xrecord=b2076624</v>
      </c>
      <c r="E7278" t="s">
        <v>24774</v>
      </c>
      <c r="F7278">
        <v>1954</v>
      </c>
      <c r="G7278" t="s">
        <v>15052</v>
      </c>
      <c r="H7278" t="s">
        <v>24775</v>
      </c>
      <c r="I7278" t="s">
        <v>24776</v>
      </c>
      <c r="J7278" t="s">
        <v>18381</v>
      </c>
      <c r="K7278" s="2" t="str">
        <f>HYPERLINK("http://collections.slsa.sa.gov.au/mpcimg/54750/B54570.htm")</f>
        <v>http://collections.slsa.sa.gov.au/mpcimg/54750/B54570.htm</v>
      </c>
    </row>
    <row r="7279" spans="1:11" x14ac:dyDescent="0.25">
      <c r="A7279" t="s">
        <v>24777</v>
      </c>
      <c r="B7279" s="1" t="str">
        <f>HYPERLINK("https://www.catalog.slsa.sa.gov.au/record=b2077085")</f>
        <v>https://www.catalog.slsa.sa.gov.au/record=b2077085</v>
      </c>
      <c r="C7279" s="1" t="str">
        <f>HYPERLINK("https://www.catalog.slsa.sa.gov.au/xrecord=b2077085")</f>
        <v>https://www.catalog.slsa.sa.gov.au/xrecord=b2077085</v>
      </c>
      <c r="D7279" t="s">
        <v>2939</v>
      </c>
      <c r="E7279" t="s">
        <v>24778</v>
      </c>
      <c r="F7279">
        <v>1954</v>
      </c>
      <c r="G7279" t="s">
        <v>15269</v>
      </c>
      <c r="H7279" t="s">
        <v>24779</v>
      </c>
      <c r="I7279" t="s">
        <v>24780</v>
      </c>
      <c r="J7279" t="s">
        <v>2510</v>
      </c>
      <c r="K7279" s="2" t="str">
        <f>HYPERLINK("http://collections.slsa.sa.gov.au/mpcimg/55250/B55031.htm")</f>
        <v>http://collections.slsa.sa.gov.au/mpcimg/55250/B55031.htm</v>
      </c>
    </row>
    <row r="7280" spans="1:11" x14ac:dyDescent="0.25">
      <c r="A7280" t="s">
        <v>24781</v>
      </c>
      <c r="B7280" s="1" t="str">
        <f>HYPERLINK("https://www.catalog.slsa.sa.gov.au/record=b2077989")</f>
        <v>https://www.catalog.slsa.sa.gov.au/record=b2077989</v>
      </c>
      <c r="C7280" s="1" t="str">
        <f>HYPERLINK("https://www.catalog.slsa.sa.gov.au/xrecord=b2077989")</f>
        <v>https://www.catalog.slsa.sa.gov.au/xrecord=b2077989</v>
      </c>
      <c r="E7280" t="s">
        <v>24782</v>
      </c>
      <c r="F7280">
        <v>1954</v>
      </c>
      <c r="G7280" t="s">
        <v>15269</v>
      </c>
      <c r="H7280" t="s">
        <v>24783</v>
      </c>
      <c r="I7280" t="s">
        <v>24784</v>
      </c>
      <c r="J7280" t="s">
        <v>15278</v>
      </c>
      <c r="K7280" s="2" t="str">
        <f>HYPERLINK("http://collections.slsa.sa.gov.au/mpcimg/55500/B55417_158.htm")</f>
        <v>http://collections.slsa.sa.gov.au/mpcimg/55500/B55417_158.htm</v>
      </c>
    </row>
    <row r="7281" spans="1:11" x14ac:dyDescent="0.25">
      <c r="A7281" t="s">
        <v>24785</v>
      </c>
      <c r="B7281" s="1" t="str">
        <f>HYPERLINK("https://www.catalog.slsa.sa.gov.au/record=b2078861")</f>
        <v>https://www.catalog.slsa.sa.gov.au/record=b2078861</v>
      </c>
      <c r="C7281" s="1" t="str">
        <f>HYPERLINK("https://www.catalog.slsa.sa.gov.au/xrecord=b2078861")</f>
        <v>https://www.catalog.slsa.sa.gov.au/xrecord=b2078861</v>
      </c>
      <c r="E7281" t="s">
        <v>24786</v>
      </c>
      <c r="F7281">
        <v>1954</v>
      </c>
      <c r="G7281" t="s">
        <v>17356</v>
      </c>
      <c r="H7281" t="s">
        <v>24787</v>
      </c>
      <c r="I7281" t="s">
        <v>24788</v>
      </c>
      <c r="J7281" t="s">
        <v>2510</v>
      </c>
      <c r="K7281" s="2" t="str">
        <f>HYPERLINK("http://collections.slsa.sa.gov.au/mpcimg/57000/B56792.htm")</f>
        <v>http://collections.slsa.sa.gov.au/mpcimg/57000/B56792.htm</v>
      </c>
    </row>
    <row r="7282" spans="1:11" x14ac:dyDescent="0.25">
      <c r="A7282" t="s">
        <v>24789</v>
      </c>
      <c r="B7282" s="1" t="str">
        <f>HYPERLINK("https://www.catalog.slsa.sa.gov.au/record=b2078862")</f>
        <v>https://www.catalog.slsa.sa.gov.au/record=b2078862</v>
      </c>
      <c r="C7282" s="1" t="str">
        <f>HYPERLINK("https://www.catalog.slsa.sa.gov.au/xrecord=b2078862")</f>
        <v>https://www.catalog.slsa.sa.gov.au/xrecord=b2078862</v>
      </c>
      <c r="E7282" t="s">
        <v>24790</v>
      </c>
      <c r="F7282">
        <v>1954</v>
      </c>
      <c r="G7282" t="s">
        <v>17356</v>
      </c>
      <c r="H7282" t="s">
        <v>24791</v>
      </c>
      <c r="I7282" t="s">
        <v>24792</v>
      </c>
      <c r="J7282" t="s">
        <v>15664</v>
      </c>
      <c r="K7282" s="2" t="str">
        <f>HYPERLINK("http://collections.slsa.sa.gov.au/mpcimg/57000/B56793.htm")</f>
        <v>http://collections.slsa.sa.gov.au/mpcimg/57000/B56793.htm</v>
      </c>
    </row>
    <row r="7283" spans="1:11" x14ac:dyDescent="0.25">
      <c r="A7283" t="s">
        <v>24793</v>
      </c>
      <c r="B7283" s="1" t="str">
        <f>HYPERLINK("https://www.catalog.slsa.sa.gov.au/record=b2078863")</f>
        <v>https://www.catalog.slsa.sa.gov.au/record=b2078863</v>
      </c>
      <c r="C7283" s="1" t="str">
        <f>HYPERLINK("https://www.catalog.slsa.sa.gov.au/xrecord=b2078863")</f>
        <v>https://www.catalog.slsa.sa.gov.au/xrecord=b2078863</v>
      </c>
      <c r="E7283" t="s">
        <v>24794</v>
      </c>
      <c r="F7283">
        <v>1954</v>
      </c>
      <c r="G7283" t="s">
        <v>17356</v>
      </c>
      <c r="H7283" t="s">
        <v>24795</v>
      </c>
      <c r="I7283" t="s">
        <v>24792</v>
      </c>
      <c r="J7283" t="s">
        <v>15664</v>
      </c>
      <c r="K7283" s="2" t="str">
        <f>HYPERLINK("http://collections.slsa.sa.gov.au/mpcimg/57000/B56794.htm")</f>
        <v>http://collections.slsa.sa.gov.au/mpcimg/57000/B56794.htm</v>
      </c>
    </row>
    <row r="7284" spans="1:11" x14ac:dyDescent="0.25">
      <c r="A7284" t="s">
        <v>24796</v>
      </c>
      <c r="B7284" s="1" t="str">
        <f>HYPERLINK("https://www.catalog.slsa.sa.gov.au/record=b2078864")</f>
        <v>https://www.catalog.slsa.sa.gov.au/record=b2078864</v>
      </c>
      <c r="C7284" s="1" t="str">
        <f>HYPERLINK("https://www.catalog.slsa.sa.gov.au/xrecord=b2078864")</f>
        <v>https://www.catalog.slsa.sa.gov.au/xrecord=b2078864</v>
      </c>
      <c r="E7284" t="s">
        <v>24797</v>
      </c>
      <c r="F7284">
        <v>1954</v>
      </c>
      <c r="G7284" t="s">
        <v>17356</v>
      </c>
      <c r="H7284" t="s">
        <v>24798</v>
      </c>
      <c r="I7284" t="s">
        <v>24799</v>
      </c>
      <c r="J7284" t="s">
        <v>15664</v>
      </c>
      <c r="K7284" s="2" t="str">
        <f>HYPERLINK("http://collections.slsa.sa.gov.au/mpcimg/57000/B56795.htm")</f>
        <v>http://collections.slsa.sa.gov.au/mpcimg/57000/B56795.htm</v>
      </c>
    </row>
    <row r="7285" spans="1:11" x14ac:dyDescent="0.25">
      <c r="A7285" t="s">
        <v>24800</v>
      </c>
      <c r="B7285" s="1" t="str">
        <f>HYPERLINK("https://www.catalog.slsa.sa.gov.au/record=b2078865")</f>
        <v>https://www.catalog.slsa.sa.gov.au/record=b2078865</v>
      </c>
      <c r="C7285" s="1" t="str">
        <f>HYPERLINK("https://www.catalog.slsa.sa.gov.au/xrecord=b2078865")</f>
        <v>https://www.catalog.slsa.sa.gov.au/xrecord=b2078865</v>
      </c>
      <c r="E7285" t="s">
        <v>24801</v>
      </c>
      <c r="F7285">
        <v>1954</v>
      </c>
      <c r="G7285" t="s">
        <v>17356</v>
      </c>
      <c r="H7285" t="s">
        <v>24802</v>
      </c>
      <c r="I7285" t="s">
        <v>24799</v>
      </c>
      <c r="J7285" t="s">
        <v>2510</v>
      </c>
      <c r="K7285" s="2" t="str">
        <f>HYPERLINK("http://collections.slsa.sa.gov.au/mpcimg/57000/B56796.htm")</f>
        <v>http://collections.slsa.sa.gov.au/mpcimg/57000/B56796.htm</v>
      </c>
    </row>
    <row r="7286" spans="1:11" x14ac:dyDescent="0.25">
      <c r="A7286" t="s">
        <v>24803</v>
      </c>
      <c r="B7286" s="1" t="str">
        <f>HYPERLINK("https://www.catalog.slsa.sa.gov.au/record=b2078866")</f>
        <v>https://www.catalog.slsa.sa.gov.au/record=b2078866</v>
      </c>
      <c r="C7286" s="1" t="str">
        <f>HYPERLINK("https://www.catalog.slsa.sa.gov.au/xrecord=b2078866")</f>
        <v>https://www.catalog.slsa.sa.gov.au/xrecord=b2078866</v>
      </c>
      <c r="E7286" t="s">
        <v>24804</v>
      </c>
      <c r="F7286">
        <v>1954</v>
      </c>
      <c r="G7286" t="s">
        <v>17356</v>
      </c>
      <c r="H7286" t="s">
        <v>24805</v>
      </c>
      <c r="I7286" t="s">
        <v>24788</v>
      </c>
      <c r="J7286" t="s">
        <v>2510</v>
      </c>
      <c r="K7286" s="2" t="str">
        <f>HYPERLINK("http://collections.slsa.sa.gov.au/mpcimg/57000/B56797.htm")</f>
        <v>http://collections.slsa.sa.gov.au/mpcimg/57000/B56797.htm</v>
      </c>
    </row>
    <row r="7287" spans="1:11" x14ac:dyDescent="0.25">
      <c r="A7287" t="s">
        <v>24806</v>
      </c>
      <c r="B7287" s="1" t="str">
        <f>HYPERLINK("https://www.catalog.slsa.sa.gov.au/record=b2078867")</f>
        <v>https://www.catalog.slsa.sa.gov.au/record=b2078867</v>
      </c>
      <c r="C7287" s="1" t="str">
        <f>HYPERLINK("https://www.catalog.slsa.sa.gov.au/xrecord=b2078867")</f>
        <v>https://www.catalog.slsa.sa.gov.au/xrecord=b2078867</v>
      </c>
      <c r="E7287" t="s">
        <v>24807</v>
      </c>
      <c r="F7287">
        <v>1954</v>
      </c>
      <c r="G7287" t="s">
        <v>17356</v>
      </c>
      <c r="H7287" t="s">
        <v>24808</v>
      </c>
      <c r="I7287" t="s">
        <v>24809</v>
      </c>
      <c r="J7287" t="s">
        <v>2510</v>
      </c>
      <c r="K7287" s="2" t="str">
        <f>HYPERLINK("http://collections.slsa.sa.gov.au/mpcimg/57000/B56798.htm")</f>
        <v>http://collections.slsa.sa.gov.au/mpcimg/57000/B56798.htm</v>
      </c>
    </row>
    <row r="7288" spans="1:11" x14ac:dyDescent="0.25">
      <c r="A7288" t="s">
        <v>24810</v>
      </c>
      <c r="B7288" s="1" t="str">
        <f>HYPERLINK("https://www.catalog.slsa.sa.gov.au/record=b2078868")</f>
        <v>https://www.catalog.slsa.sa.gov.au/record=b2078868</v>
      </c>
      <c r="C7288" s="1" t="str">
        <f>HYPERLINK("https://www.catalog.slsa.sa.gov.au/xrecord=b2078868")</f>
        <v>https://www.catalog.slsa.sa.gov.au/xrecord=b2078868</v>
      </c>
      <c r="E7288" t="s">
        <v>24811</v>
      </c>
      <c r="F7288">
        <v>1954</v>
      </c>
      <c r="G7288" t="s">
        <v>17356</v>
      </c>
      <c r="H7288" t="s">
        <v>24812</v>
      </c>
      <c r="I7288" t="s">
        <v>24813</v>
      </c>
      <c r="J7288" t="s">
        <v>2510</v>
      </c>
      <c r="K7288" s="2" t="str">
        <f>HYPERLINK("http://collections.slsa.sa.gov.au/mpcimg/57000/B56799.htm")</f>
        <v>http://collections.slsa.sa.gov.au/mpcimg/57000/B56799.htm</v>
      </c>
    </row>
    <row r="7289" spans="1:11" x14ac:dyDescent="0.25">
      <c r="A7289" t="s">
        <v>24814</v>
      </c>
      <c r="B7289" s="1" t="str">
        <f>HYPERLINK("https://www.catalog.slsa.sa.gov.au/record=b2078869")</f>
        <v>https://www.catalog.slsa.sa.gov.au/record=b2078869</v>
      </c>
      <c r="C7289" s="1" t="str">
        <f>HYPERLINK("https://www.catalog.slsa.sa.gov.au/xrecord=b2078869")</f>
        <v>https://www.catalog.slsa.sa.gov.au/xrecord=b2078869</v>
      </c>
      <c r="E7289" t="s">
        <v>24815</v>
      </c>
      <c r="F7289">
        <v>1954</v>
      </c>
      <c r="G7289" t="s">
        <v>17356</v>
      </c>
      <c r="H7289" t="s">
        <v>24816</v>
      </c>
      <c r="I7289" t="s">
        <v>24813</v>
      </c>
      <c r="J7289" t="s">
        <v>2510</v>
      </c>
      <c r="K7289" s="2" t="str">
        <f>HYPERLINK("http://collections.slsa.sa.gov.au/mpcimg/57000/B56800.htm")</f>
        <v>http://collections.slsa.sa.gov.au/mpcimg/57000/B56800.htm</v>
      </c>
    </row>
    <row r="7290" spans="1:11" x14ac:dyDescent="0.25">
      <c r="A7290" t="s">
        <v>24817</v>
      </c>
      <c r="B7290" s="1" t="str">
        <f>HYPERLINK("https://www.catalog.slsa.sa.gov.au/record=b2079558")</f>
        <v>https://www.catalog.slsa.sa.gov.au/record=b2079558</v>
      </c>
      <c r="C7290" s="1" t="str">
        <f>HYPERLINK("https://www.catalog.slsa.sa.gov.au/xrecord=b2079558")</f>
        <v>https://www.catalog.slsa.sa.gov.au/xrecord=b2079558</v>
      </c>
      <c r="E7290" t="s">
        <v>24818</v>
      </c>
      <c r="F7290">
        <v>1954</v>
      </c>
      <c r="G7290" t="s">
        <v>24819</v>
      </c>
      <c r="H7290" t="s">
        <v>24820</v>
      </c>
      <c r="I7290" t="s">
        <v>24788</v>
      </c>
      <c r="J7290" t="s">
        <v>24821</v>
      </c>
      <c r="K7290" s="2" t="str">
        <f>HYPERLINK("http://collections.slsa.sa.gov.au/mpcimg/57500/B57490.htm")</f>
        <v>http://collections.slsa.sa.gov.au/mpcimg/57500/B57490.htm</v>
      </c>
    </row>
    <row r="7291" spans="1:11" x14ac:dyDescent="0.25">
      <c r="A7291" t="s">
        <v>24822</v>
      </c>
      <c r="B7291" s="1" t="str">
        <f>HYPERLINK("https://www.catalog.slsa.sa.gov.au/record=b2080388")</f>
        <v>https://www.catalog.slsa.sa.gov.au/record=b2080388</v>
      </c>
      <c r="C7291" s="1" t="str">
        <f>HYPERLINK("https://www.catalog.slsa.sa.gov.au/xrecord=b2080388")</f>
        <v>https://www.catalog.slsa.sa.gov.au/xrecord=b2080388</v>
      </c>
      <c r="D7291" t="s">
        <v>24823</v>
      </c>
      <c r="E7291" t="s">
        <v>24824</v>
      </c>
      <c r="F7291">
        <v>1954</v>
      </c>
      <c r="G7291" t="s">
        <v>24825</v>
      </c>
      <c r="H7291" t="s">
        <v>24826</v>
      </c>
      <c r="I7291" t="s">
        <v>24827</v>
      </c>
      <c r="J7291" t="s">
        <v>2510</v>
      </c>
      <c r="K7291" s="2" t="str">
        <f>HYPERLINK("http://collections.slsa.sa.gov.au/mpcimg/58500/B58322.htm")</f>
        <v>http://collections.slsa.sa.gov.au/mpcimg/58500/B58322.htm</v>
      </c>
    </row>
    <row r="7292" spans="1:11" x14ac:dyDescent="0.25">
      <c r="A7292" t="s">
        <v>24828</v>
      </c>
      <c r="B7292" s="1" t="str">
        <f>HYPERLINK("https://www.catalog.slsa.sa.gov.au/record=b2080538")</f>
        <v>https://www.catalog.slsa.sa.gov.au/record=b2080538</v>
      </c>
      <c r="C7292" s="1" t="str">
        <f>HYPERLINK("https://www.catalog.slsa.sa.gov.au/xrecord=b2080538")</f>
        <v>https://www.catalog.slsa.sa.gov.au/xrecord=b2080538</v>
      </c>
      <c r="E7292" t="s">
        <v>24829</v>
      </c>
      <c r="F7292">
        <v>1954</v>
      </c>
      <c r="G7292" t="s">
        <v>15269</v>
      </c>
      <c r="H7292" t="s">
        <v>24830</v>
      </c>
      <c r="I7292" t="s">
        <v>24831</v>
      </c>
      <c r="J7292" t="s">
        <v>2510</v>
      </c>
      <c r="K7292" s="2" t="str">
        <f>HYPERLINK("http://collections.slsa.sa.gov.au/mpcimg/58500/B58472.htm")</f>
        <v>http://collections.slsa.sa.gov.au/mpcimg/58500/B58472.htm</v>
      </c>
    </row>
    <row r="7293" spans="1:11" x14ac:dyDescent="0.25">
      <c r="A7293" t="s">
        <v>24832</v>
      </c>
      <c r="B7293" s="1" t="str">
        <f>HYPERLINK("https://www.catalog.slsa.sa.gov.au/record=b2081252")</f>
        <v>https://www.catalog.slsa.sa.gov.au/record=b2081252</v>
      </c>
      <c r="C7293" s="1" t="str">
        <f>HYPERLINK("https://www.catalog.slsa.sa.gov.au/xrecord=b2081252")</f>
        <v>https://www.catalog.slsa.sa.gov.au/xrecord=b2081252</v>
      </c>
      <c r="E7293" t="s">
        <v>24833</v>
      </c>
      <c r="F7293">
        <v>1954</v>
      </c>
      <c r="G7293" t="s">
        <v>15269</v>
      </c>
      <c r="H7293" t="s">
        <v>24834</v>
      </c>
      <c r="I7293" t="s">
        <v>24835</v>
      </c>
      <c r="J7293" t="s">
        <v>4661</v>
      </c>
      <c r="K7293" s="2" t="str">
        <f>HYPERLINK("http://collections.slsa.sa.gov.au/mpcimg/59250/B59188.htm")</f>
        <v>http://collections.slsa.sa.gov.au/mpcimg/59250/B59188.htm</v>
      </c>
    </row>
    <row r="7294" spans="1:11" x14ac:dyDescent="0.25">
      <c r="A7294" t="s">
        <v>24836</v>
      </c>
      <c r="B7294" s="1" t="str">
        <f>HYPERLINK("https://www.catalog.slsa.sa.gov.au/record=b2081260")</f>
        <v>https://www.catalog.slsa.sa.gov.au/record=b2081260</v>
      </c>
      <c r="C7294" s="1" t="str">
        <f>HYPERLINK("https://www.catalog.slsa.sa.gov.au/xrecord=b2081260")</f>
        <v>https://www.catalog.slsa.sa.gov.au/xrecord=b2081260</v>
      </c>
      <c r="E7294" t="s">
        <v>24837</v>
      </c>
      <c r="F7294">
        <v>1954</v>
      </c>
      <c r="G7294" t="s">
        <v>24838</v>
      </c>
      <c r="H7294" t="s">
        <v>24839</v>
      </c>
      <c r="I7294" t="s">
        <v>24788</v>
      </c>
      <c r="J7294" t="s">
        <v>2510</v>
      </c>
      <c r="K7294" s="2" t="str">
        <f>HYPERLINK("http://collections.slsa.sa.gov.au/mpcimg/59250/B59196.htm")</f>
        <v>http://collections.slsa.sa.gov.au/mpcimg/59250/B59196.htm</v>
      </c>
    </row>
    <row r="7295" spans="1:11" x14ac:dyDescent="0.25">
      <c r="A7295" t="s">
        <v>24840</v>
      </c>
      <c r="B7295" s="1" t="str">
        <f>HYPERLINK("https://www.catalog.slsa.sa.gov.au/record=b2082488")</f>
        <v>https://www.catalog.slsa.sa.gov.au/record=b2082488</v>
      </c>
      <c r="C7295" s="1" t="str">
        <f>HYPERLINK("https://www.catalog.slsa.sa.gov.au/xrecord=b2082488")</f>
        <v>https://www.catalog.slsa.sa.gov.au/xrecord=b2082488</v>
      </c>
      <c r="E7295" t="s">
        <v>24841</v>
      </c>
      <c r="F7295">
        <v>1954</v>
      </c>
      <c r="G7295" t="s">
        <v>24842</v>
      </c>
      <c r="H7295" t="s">
        <v>24843</v>
      </c>
      <c r="I7295" t="s">
        <v>24844</v>
      </c>
      <c r="J7295" t="s">
        <v>1809</v>
      </c>
      <c r="K7295" s="2" t="str">
        <f>HYPERLINK("http://collections.slsa.sa.gov.au/mpcimg/60500/B60428.htm")</f>
        <v>http://collections.slsa.sa.gov.au/mpcimg/60500/B60428.htm</v>
      </c>
    </row>
    <row r="7296" spans="1:11" x14ac:dyDescent="0.25">
      <c r="A7296" t="s">
        <v>24845</v>
      </c>
      <c r="B7296" s="1" t="str">
        <f>HYPERLINK("https://www.catalog.slsa.sa.gov.au/record=b2082491")</f>
        <v>https://www.catalog.slsa.sa.gov.au/record=b2082491</v>
      </c>
      <c r="C7296" s="1" t="str">
        <f>HYPERLINK("https://www.catalog.slsa.sa.gov.au/xrecord=b2082491")</f>
        <v>https://www.catalog.slsa.sa.gov.au/xrecord=b2082491</v>
      </c>
      <c r="E7296" t="s">
        <v>24846</v>
      </c>
      <c r="F7296">
        <v>1954</v>
      </c>
      <c r="G7296" t="s">
        <v>24847</v>
      </c>
      <c r="H7296" t="s">
        <v>24848</v>
      </c>
      <c r="I7296" t="s">
        <v>24849</v>
      </c>
      <c r="J7296" t="s">
        <v>22167</v>
      </c>
      <c r="K7296" s="2" t="str">
        <f>HYPERLINK("http://collections.slsa.sa.gov.au/mpcimg/60500/B60431.htm")</f>
        <v>http://collections.slsa.sa.gov.au/mpcimg/60500/B60431.htm</v>
      </c>
    </row>
    <row r="7297" spans="1:11" x14ac:dyDescent="0.25">
      <c r="A7297" t="s">
        <v>24850</v>
      </c>
      <c r="B7297" s="1" t="str">
        <f>HYPERLINK("https://www.catalog.slsa.sa.gov.au/record=b2082492")</f>
        <v>https://www.catalog.slsa.sa.gov.au/record=b2082492</v>
      </c>
      <c r="C7297" s="1" t="str">
        <f>HYPERLINK("https://www.catalog.slsa.sa.gov.au/xrecord=b2082492")</f>
        <v>https://www.catalog.slsa.sa.gov.au/xrecord=b2082492</v>
      </c>
      <c r="E7297" t="s">
        <v>24851</v>
      </c>
      <c r="F7297">
        <v>1954</v>
      </c>
      <c r="G7297" t="s">
        <v>24847</v>
      </c>
      <c r="H7297" t="s">
        <v>24852</v>
      </c>
      <c r="I7297" t="s">
        <v>24853</v>
      </c>
      <c r="J7297" t="s">
        <v>17586</v>
      </c>
      <c r="K7297" s="2" t="str">
        <f>HYPERLINK("http://collections.slsa.sa.gov.au/mpcimg/60500/B60432.htm")</f>
        <v>http://collections.slsa.sa.gov.au/mpcimg/60500/B60432.htm</v>
      </c>
    </row>
    <row r="7298" spans="1:11" x14ac:dyDescent="0.25">
      <c r="A7298" t="s">
        <v>24854</v>
      </c>
      <c r="B7298" s="1" t="str">
        <f>HYPERLINK("https://www.catalog.slsa.sa.gov.au/record=b2082546")</f>
        <v>https://www.catalog.slsa.sa.gov.au/record=b2082546</v>
      </c>
      <c r="C7298" s="1" t="str">
        <f>HYPERLINK("https://www.catalog.slsa.sa.gov.au/xrecord=b2082546")</f>
        <v>https://www.catalog.slsa.sa.gov.au/xrecord=b2082546</v>
      </c>
      <c r="E7298" t="s">
        <v>24855</v>
      </c>
      <c r="F7298">
        <v>1954</v>
      </c>
      <c r="G7298" t="s">
        <v>24847</v>
      </c>
      <c r="H7298" t="s">
        <v>24856</v>
      </c>
      <c r="I7298" t="s">
        <v>24857</v>
      </c>
      <c r="J7298" t="s">
        <v>24858</v>
      </c>
      <c r="K7298" s="2" t="str">
        <f>HYPERLINK("http://collections.slsa.sa.gov.au/mpcimg/60500/B60486.htm")</f>
        <v>http://collections.slsa.sa.gov.au/mpcimg/60500/B60486.htm</v>
      </c>
    </row>
    <row r="7299" spans="1:11" x14ac:dyDescent="0.25">
      <c r="A7299" t="s">
        <v>24859</v>
      </c>
      <c r="B7299" s="1" t="str">
        <f>HYPERLINK("https://www.catalog.slsa.sa.gov.au/record=b2082547")</f>
        <v>https://www.catalog.slsa.sa.gov.au/record=b2082547</v>
      </c>
      <c r="C7299" s="1" t="str">
        <f>HYPERLINK("https://www.catalog.slsa.sa.gov.au/xrecord=b2082547")</f>
        <v>https://www.catalog.slsa.sa.gov.au/xrecord=b2082547</v>
      </c>
      <c r="E7299" t="s">
        <v>24860</v>
      </c>
      <c r="F7299">
        <v>1954</v>
      </c>
      <c r="G7299" t="s">
        <v>24847</v>
      </c>
      <c r="H7299" t="s">
        <v>24861</v>
      </c>
      <c r="I7299" t="s">
        <v>24857</v>
      </c>
      <c r="J7299" t="s">
        <v>24862</v>
      </c>
      <c r="K7299" s="2" t="str">
        <f>HYPERLINK("http://collections.slsa.sa.gov.au/mpcimg/60500/B60487.htm")</f>
        <v>http://collections.slsa.sa.gov.au/mpcimg/60500/B60487.htm</v>
      </c>
    </row>
    <row r="7300" spans="1:11" x14ac:dyDescent="0.25">
      <c r="A7300" t="s">
        <v>24863</v>
      </c>
      <c r="B7300" s="1" t="str">
        <f>HYPERLINK("https://www.catalog.slsa.sa.gov.au/record=b2082548")</f>
        <v>https://www.catalog.slsa.sa.gov.au/record=b2082548</v>
      </c>
      <c r="C7300" s="1" t="str">
        <f>HYPERLINK("https://www.catalog.slsa.sa.gov.au/xrecord=b2082548")</f>
        <v>https://www.catalog.slsa.sa.gov.au/xrecord=b2082548</v>
      </c>
      <c r="E7300" t="s">
        <v>24864</v>
      </c>
      <c r="F7300">
        <v>1954</v>
      </c>
      <c r="G7300" t="s">
        <v>24847</v>
      </c>
      <c r="H7300" t="s">
        <v>24865</v>
      </c>
      <c r="I7300" t="s">
        <v>24866</v>
      </c>
      <c r="J7300" t="s">
        <v>24867</v>
      </c>
      <c r="K7300" s="2" t="str">
        <f>HYPERLINK("http://collections.slsa.sa.gov.au/mpcimg/60500/B60488.htm")</f>
        <v>http://collections.slsa.sa.gov.au/mpcimg/60500/B60488.htm</v>
      </c>
    </row>
    <row r="7301" spans="1:11" x14ac:dyDescent="0.25">
      <c r="A7301" t="s">
        <v>24868</v>
      </c>
      <c r="B7301" s="1" t="str">
        <f>HYPERLINK("https://www.catalog.slsa.sa.gov.au/record=b2082549")</f>
        <v>https://www.catalog.slsa.sa.gov.au/record=b2082549</v>
      </c>
      <c r="C7301" s="1" t="str">
        <f>HYPERLINK("https://www.catalog.slsa.sa.gov.au/xrecord=b2082549")</f>
        <v>https://www.catalog.slsa.sa.gov.au/xrecord=b2082549</v>
      </c>
      <c r="E7301" t="s">
        <v>24869</v>
      </c>
      <c r="F7301">
        <v>1954</v>
      </c>
      <c r="G7301" t="s">
        <v>24847</v>
      </c>
      <c r="H7301" t="s">
        <v>24870</v>
      </c>
      <c r="I7301" t="s">
        <v>24857</v>
      </c>
      <c r="J7301" t="s">
        <v>2573</v>
      </c>
      <c r="K7301" s="2" t="str">
        <f>HYPERLINK("http://collections.slsa.sa.gov.au/mpcimg/60500/B60489.htm")</f>
        <v>http://collections.slsa.sa.gov.au/mpcimg/60500/B60489.htm</v>
      </c>
    </row>
    <row r="7302" spans="1:11" x14ac:dyDescent="0.25">
      <c r="A7302" t="s">
        <v>24871</v>
      </c>
      <c r="B7302" s="1" t="str">
        <f>HYPERLINK("https://www.catalog.slsa.sa.gov.au/record=b2082550")</f>
        <v>https://www.catalog.slsa.sa.gov.au/record=b2082550</v>
      </c>
      <c r="C7302" s="1" t="str">
        <f>HYPERLINK("https://www.catalog.slsa.sa.gov.au/xrecord=b2082550")</f>
        <v>https://www.catalog.slsa.sa.gov.au/xrecord=b2082550</v>
      </c>
      <c r="E7302" t="s">
        <v>24869</v>
      </c>
      <c r="F7302">
        <v>1954</v>
      </c>
      <c r="G7302" t="s">
        <v>24847</v>
      </c>
      <c r="H7302" t="s">
        <v>24872</v>
      </c>
      <c r="I7302" t="s">
        <v>24857</v>
      </c>
      <c r="J7302" t="s">
        <v>17586</v>
      </c>
      <c r="K7302" s="2" t="str">
        <f>HYPERLINK("http://collections.slsa.sa.gov.au/mpcimg/60500/B60490.htm")</f>
        <v>http://collections.slsa.sa.gov.au/mpcimg/60500/B60490.htm</v>
      </c>
    </row>
    <row r="7303" spans="1:11" x14ac:dyDescent="0.25">
      <c r="A7303" t="s">
        <v>24873</v>
      </c>
      <c r="B7303" s="1" t="str">
        <f>HYPERLINK("https://www.catalog.slsa.sa.gov.au/record=b2082551")</f>
        <v>https://www.catalog.slsa.sa.gov.au/record=b2082551</v>
      </c>
      <c r="C7303" s="1" t="str">
        <f>HYPERLINK("https://www.catalog.slsa.sa.gov.au/xrecord=b2082551")</f>
        <v>https://www.catalog.slsa.sa.gov.au/xrecord=b2082551</v>
      </c>
      <c r="E7303" t="s">
        <v>24869</v>
      </c>
      <c r="F7303">
        <v>1954</v>
      </c>
      <c r="G7303" t="s">
        <v>24847</v>
      </c>
      <c r="H7303" t="s">
        <v>24874</v>
      </c>
      <c r="I7303" t="s">
        <v>24875</v>
      </c>
      <c r="J7303" t="s">
        <v>17586</v>
      </c>
      <c r="K7303" s="2" t="str">
        <f>HYPERLINK("http://collections.slsa.sa.gov.au/mpcimg/60500/B60491.htm")</f>
        <v>http://collections.slsa.sa.gov.au/mpcimg/60500/B60491.htm</v>
      </c>
    </row>
    <row r="7304" spans="1:11" x14ac:dyDescent="0.25">
      <c r="A7304" t="s">
        <v>24876</v>
      </c>
      <c r="B7304" s="1" t="str">
        <f>HYPERLINK("https://www.catalog.slsa.sa.gov.au/record=b2083131")</f>
        <v>https://www.catalog.slsa.sa.gov.au/record=b2083131</v>
      </c>
      <c r="C7304" s="1" t="str">
        <f>HYPERLINK("https://www.catalog.slsa.sa.gov.au/xrecord=b2083131")</f>
        <v>https://www.catalog.slsa.sa.gov.au/xrecord=b2083131</v>
      </c>
      <c r="E7304" t="s">
        <v>24877</v>
      </c>
      <c r="F7304">
        <v>1954</v>
      </c>
      <c r="G7304" t="s">
        <v>15269</v>
      </c>
      <c r="H7304" t="s">
        <v>24878</v>
      </c>
      <c r="I7304" t="s">
        <v>24879</v>
      </c>
      <c r="J7304" t="s">
        <v>16116</v>
      </c>
      <c r="K7304" s="2" t="str">
        <f>HYPERLINK("http://collections.slsa.sa.gov.au/mpcimg/61250/B61178.htm")</f>
        <v>http://collections.slsa.sa.gov.au/mpcimg/61250/B61178.htm</v>
      </c>
    </row>
    <row r="7305" spans="1:11" x14ac:dyDescent="0.25">
      <c r="A7305" t="s">
        <v>24880</v>
      </c>
      <c r="B7305" s="1" t="str">
        <f>HYPERLINK("https://www.catalog.slsa.sa.gov.au/record=b2083132")</f>
        <v>https://www.catalog.slsa.sa.gov.au/record=b2083132</v>
      </c>
      <c r="C7305" s="1" t="str">
        <f>HYPERLINK("https://www.catalog.slsa.sa.gov.au/xrecord=b2083132")</f>
        <v>https://www.catalog.slsa.sa.gov.au/xrecord=b2083132</v>
      </c>
      <c r="E7305" t="s">
        <v>24881</v>
      </c>
      <c r="F7305">
        <v>1954</v>
      </c>
      <c r="G7305" t="s">
        <v>15269</v>
      </c>
      <c r="H7305" t="s">
        <v>24882</v>
      </c>
      <c r="I7305" t="s">
        <v>24883</v>
      </c>
      <c r="J7305" t="s">
        <v>24884</v>
      </c>
      <c r="K7305" s="2" t="str">
        <f>HYPERLINK("http://collections.slsa.sa.gov.au/mpcimg/61250/B61179.htm")</f>
        <v>http://collections.slsa.sa.gov.au/mpcimg/61250/B61179.htm</v>
      </c>
    </row>
    <row r="7306" spans="1:11" x14ac:dyDescent="0.25">
      <c r="A7306" t="s">
        <v>24885</v>
      </c>
      <c r="B7306" s="1" t="str">
        <f>HYPERLINK("https://www.catalog.slsa.sa.gov.au/record=b2083275")</f>
        <v>https://www.catalog.slsa.sa.gov.au/record=b2083275</v>
      </c>
      <c r="C7306" s="1" t="str">
        <f>HYPERLINK("https://www.catalog.slsa.sa.gov.au/xrecord=b2083275")</f>
        <v>https://www.catalog.slsa.sa.gov.au/xrecord=b2083275</v>
      </c>
      <c r="E7306" t="s">
        <v>24886</v>
      </c>
      <c r="F7306">
        <v>1954</v>
      </c>
      <c r="G7306" t="s">
        <v>24887</v>
      </c>
      <c r="H7306" t="s">
        <v>24888</v>
      </c>
      <c r="I7306" t="s">
        <v>24889</v>
      </c>
      <c r="J7306" t="s">
        <v>2510</v>
      </c>
      <c r="K7306" s="2" t="str">
        <f>HYPERLINK("http://collections.slsa.sa.gov.au/mpcimg/61500/B61322.htm")</f>
        <v>http://collections.slsa.sa.gov.au/mpcimg/61500/B61322.htm</v>
      </c>
    </row>
    <row r="7307" spans="1:11" x14ac:dyDescent="0.25">
      <c r="A7307" t="s">
        <v>24890</v>
      </c>
      <c r="B7307" s="1" t="str">
        <f>HYPERLINK("https://www.catalog.slsa.sa.gov.au/record=b2083276")</f>
        <v>https://www.catalog.slsa.sa.gov.au/record=b2083276</v>
      </c>
      <c r="C7307" s="1" t="str">
        <f>HYPERLINK("https://www.catalog.slsa.sa.gov.au/xrecord=b2083276")</f>
        <v>https://www.catalog.slsa.sa.gov.au/xrecord=b2083276</v>
      </c>
      <c r="E7307" t="s">
        <v>24891</v>
      </c>
      <c r="F7307">
        <v>1954</v>
      </c>
      <c r="G7307" t="s">
        <v>24892</v>
      </c>
      <c r="H7307" t="s">
        <v>24893</v>
      </c>
      <c r="I7307" t="s">
        <v>24889</v>
      </c>
      <c r="J7307" t="s">
        <v>2510</v>
      </c>
      <c r="K7307" s="2" t="str">
        <f>HYPERLINK("http://collections.slsa.sa.gov.au/mpcimg/61500/B61323.htm")</f>
        <v>http://collections.slsa.sa.gov.au/mpcimg/61500/B61323.htm</v>
      </c>
    </row>
    <row r="7308" spans="1:11" x14ac:dyDescent="0.25">
      <c r="A7308" t="s">
        <v>24894</v>
      </c>
      <c r="B7308" s="1" t="str">
        <f>HYPERLINK("https://www.catalog.slsa.sa.gov.au/record=b2083277")</f>
        <v>https://www.catalog.slsa.sa.gov.au/record=b2083277</v>
      </c>
      <c r="C7308" s="1" t="str">
        <f>HYPERLINK("https://www.catalog.slsa.sa.gov.au/xrecord=b2083277")</f>
        <v>https://www.catalog.slsa.sa.gov.au/xrecord=b2083277</v>
      </c>
      <c r="E7308" t="s">
        <v>24895</v>
      </c>
      <c r="F7308">
        <v>1954</v>
      </c>
      <c r="G7308" t="s">
        <v>24896</v>
      </c>
      <c r="H7308" t="s">
        <v>24897</v>
      </c>
      <c r="I7308" t="s">
        <v>24788</v>
      </c>
      <c r="J7308" t="s">
        <v>2510</v>
      </c>
      <c r="K7308" s="2" t="str">
        <f>HYPERLINK("http://collections.slsa.sa.gov.au/mpcimg/61500/B61324.htm")</f>
        <v>http://collections.slsa.sa.gov.au/mpcimg/61500/B61324.htm</v>
      </c>
    </row>
    <row r="7309" spans="1:11" x14ac:dyDescent="0.25">
      <c r="A7309" t="s">
        <v>24898</v>
      </c>
      <c r="B7309" s="1" t="str">
        <f>HYPERLINK("https://www.catalog.slsa.sa.gov.au/record=b2083278")</f>
        <v>https://www.catalog.slsa.sa.gov.au/record=b2083278</v>
      </c>
      <c r="C7309" s="1" t="str">
        <f>HYPERLINK("https://www.catalog.slsa.sa.gov.au/xrecord=b2083278")</f>
        <v>https://www.catalog.slsa.sa.gov.au/xrecord=b2083278</v>
      </c>
      <c r="E7309" t="s">
        <v>24891</v>
      </c>
      <c r="F7309">
        <v>1954</v>
      </c>
      <c r="G7309" t="s">
        <v>19395</v>
      </c>
      <c r="H7309" t="s">
        <v>24899</v>
      </c>
      <c r="I7309" t="s">
        <v>24889</v>
      </c>
      <c r="J7309" t="s">
        <v>2510</v>
      </c>
      <c r="K7309" s="2" t="str">
        <f>HYPERLINK("http://collections.slsa.sa.gov.au/mpcimg/61500/B61325.htm")</f>
        <v>http://collections.slsa.sa.gov.au/mpcimg/61500/B61325.htm</v>
      </c>
    </row>
    <row r="7310" spans="1:11" x14ac:dyDescent="0.25">
      <c r="A7310" t="s">
        <v>24900</v>
      </c>
      <c r="B7310" s="1" t="str">
        <f>HYPERLINK("https://www.catalog.slsa.sa.gov.au/record=b2083279")</f>
        <v>https://www.catalog.slsa.sa.gov.au/record=b2083279</v>
      </c>
      <c r="C7310" s="1" t="str">
        <f>HYPERLINK("https://www.catalog.slsa.sa.gov.au/xrecord=b2083279")</f>
        <v>https://www.catalog.slsa.sa.gov.au/xrecord=b2083279</v>
      </c>
      <c r="E7310" t="s">
        <v>24891</v>
      </c>
      <c r="F7310">
        <v>1954</v>
      </c>
      <c r="G7310" t="s">
        <v>24901</v>
      </c>
      <c r="H7310" t="s">
        <v>24902</v>
      </c>
      <c r="I7310" t="s">
        <v>24889</v>
      </c>
      <c r="J7310" t="s">
        <v>2510</v>
      </c>
      <c r="K7310" s="2" t="str">
        <f>HYPERLINK("http://collections.slsa.sa.gov.au/mpcimg/61500/B61326.htm")</f>
        <v>http://collections.slsa.sa.gov.au/mpcimg/61500/B61326.htm</v>
      </c>
    </row>
    <row r="7311" spans="1:11" x14ac:dyDescent="0.25">
      <c r="A7311" t="s">
        <v>24903</v>
      </c>
      <c r="B7311" s="1" t="str">
        <f>HYPERLINK("https://www.catalog.slsa.sa.gov.au/record=b2083280")</f>
        <v>https://www.catalog.slsa.sa.gov.au/record=b2083280</v>
      </c>
      <c r="C7311" s="1" t="str">
        <f>HYPERLINK("https://www.catalog.slsa.sa.gov.au/xrecord=b2083280")</f>
        <v>https://www.catalog.slsa.sa.gov.au/xrecord=b2083280</v>
      </c>
      <c r="E7311" t="s">
        <v>24891</v>
      </c>
      <c r="F7311">
        <v>1954</v>
      </c>
      <c r="G7311" t="s">
        <v>24887</v>
      </c>
      <c r="H7311" t="s">
        <v>24904</v>
      </c>
      <c r="I7311" t="s">
        <v>24889</v>
      </c>
      <c r="J7311" t="s">
        <v>2510</v>
      </c>
      <c r="K7311" s="2" t="str">
        <f>HYPERLINK("http://collections.slsa.sa.gov.au/mpcimg/61500/B61327.htm")</f>
        <v>http://collections.slsa.sa.gov.au/mpcimg/61500/B61327.htm</v>
      </c>
    </row>
    <row r="7312" spans="1:11" x14ac:dyDescent="0.25">
      <c r="A7312" t="s">
        <v>24905</v>
      </c>
      <c r="B7312" s="1" t="str">
        <f>HYPERLINK("https://www.catalog.slsa.sa.gov.au/record=b2083281")</f>
        <v>https://www.catalog.slsa.sa.gov.au/record=b2083281</v>
      </c>
      <c r="C7312" s="1" t="str">
        <f>HYPERLINK("https://www.catalog.slsa.sa.gov.au/xrecord=b2083281")</f>
        <v>https://www.catalog.slsa.sa.gov.au/xrecord=b2083281</v>
      </c>
      <c r="E7312" t="s">
        <v>24891</v>
      </c>
      <c r="F7312">
        <v>1954</v>
      </c>
      <c r="G7312" t="s">
        <v>24906</v>
      </c>
      <c r="H7312" t="s">
        <v>24907</v>
      </c>
      <c r="I7312" t="s">
        <v>24889</v>
      </c>
      <c r="J7312" t="s">
        <v>2510</v>
      </c>
      <c r="K7312" s="2" t="str">
        <f>HYPERLINK("http://collections.slsa.sa.gov.au/mpcimg/61500/B61328.htm")</f>
        <v>http://collections.slsa.sa.gov.au/mpcimg/61500/B61328.htm</v>
      </c>
    </row>
    <row r="7313" spans="1:11" x14ac:dyDescent="0.25">
      <c r="A7313" t="s">
        <v>24908</v>
      </c>
      <c r="B7313" s="1" t="str">
        <f>HYPERLINK("https://www.catalog.slsa.sa.gov.au/record=b2083282")</f>
        <v>https://www.catalog.slsa.sa.gov.au/record=b2083282</v>
      </c>
      <c r="C7313" s="1" t="str">
        <f>HYPERLINK("https://www.catalog.slsa.sa.gov.au/xrecord=b2083282")</f>
        <v>https://www.catalog.slsa.sa.gov.au/xrecord=b2083282</v>
      </c>
      <c r="E7313" t="s">
        <v>24891</v>
      </c>
      <c r="F7313">
        <v>1954</v>
      </c>
      <c r="G7313" t="s">
        <v>19395</v>
      </c>
      <c r="H7313" t="s">
        <v>24909</v>
      </c>
      <c r="I7313" t="s">
        <v>24889</v>
      </c>
      <c r="J7313" t="s">
        <v>2510</v>
      </c>
      <c r="K7313" s="2" t="str">
        <f>HYPERLINK("http://collections.slsa.sa.gov.au/mpcimg/61500/B61329.htm")</f>
        <v>http://collections.slsa.sa.gov.au/mpcimg/61500/B61329.htm</v>
      </c>
    </row>
    <row r="7314" spans="1:11" x14ac:dyDescent="0.25">
      <c r="A7314" t="s">
        <v>24910</v>
      </c>
      <c r="B7314" s="1" t="str">
        <f>HYPERLINK("https://www.catalog.slsa.sa.gov.au/record=b2083283")</f>
        <v>https://www.catalog.slsa.sa.gov.au/record=b2083283</v>
      </c>
      <c r="C7314" s="1" t="str">
        <f>HYPERLINK("https://www.catalog.slsa.sa.gov.au/xrecord=b2083283")</f>
        <v>https://www.catalog.slsa.sa.gov.au/xrecord=b2083283</v>
      </c>
      <c r="E7314" t="s">
        <v>24891</v>
      </c>
      <c r="F7314">
        <v>1954</v>
      </c>
      <c r="G7314" t="s">
        <v>24911</v>
      </c>
      <c r="H7314" t="s">
        <v>24912</v>
      </c>
      <c r="I7314" t="s">
        <v>24889</v>
      </c>
      <c r="J7314" t="s">
        <v>2510</v>
      </c>
      <c r="K7314" s="2" t="str">
        <f>HYPERLINK("http://collections.slsa.sa.gov.au/mpcimg/61500/B61330.htm")</f>
        <v>http://collections.slsa.sa.gov.au/mpcimg/61500/B61330.htm</v>
      </c>
    </row>
    <row r="7315" spans="1:11" x14ac:dyDescent="0.25">
      <c r="A7315" t="s">
        <v>24913</v>
      </c>
      <c r="B7315" s="1" t="str">
        <f>HYPERLINK("https://www.catalog.slsa.sa.gov.au/record=b2083284")</f>
        <v>https://www.catalog.slsa.sa.gov.au/record=b2083284</v>
      </c>
      <c r="C7315" s="1" t="str">
        <f>HYPERLINK("https://www.catalog.slsa.sa.gov.au/xrecord=b2083284")</f>
        <v>https://www.catalog.slsa.sa.gov.au/xrecord=b2083284</v>
      </c>
      <c r="E7315" t="s">
        <v>24891</v>
      </c>
      <c r="F7315">
        <v>1954</v>
      </c>
      <c r="G7315" t="s">
        <v>24911</v>
      </c>
      <c r="H7315" t="s">
        <v>24912</v>
      </c>
      <c r="I7315" t="s">
        <v>24889</v>
      </c>
      <c r="J7315" t="s">
        <v>2510</v>
      </c>
      <c r="K7315" s="2" t="str">
        <f>HYPERLINK("http://collections.slsa.sa.gov.au/mpcimg/61500/B61331.htm")</f>
        <v>http://collections.slsa.sa.gov.au/mpcimg/61500/B61331.htm</v>
      </c>
    </row>
    <row r="7316" spans="1:11" x14ac:dyDescent="0.25">
      <c r="A7316" t="s">
        <v>24914</v>
      </c>
      <c r="B7316" s="1" t="str">
        <f>HYPERLINK("https://www.catalog.slsa.sa.gov.au/record=b2090338")</f>
        <v>https://www.catalog.slsa.sa.gov.au/record=b2090338</v>
      </c>
      <c r="C7316" s="1" t="str">
        <f>HYPERLINK("https://www.catalog.slsa.sa.gov.au/xrecord=b2090338")</f>
        <v>https://www.catalog.slsa.sa.gov.au/xrecord=b2090338</v>
      </c>
      <c r="E7316" t="s">
        <v>19516</v>
      </c>
      <c r="F7316">
        <v>1954</v>
      </c>
      <c r="G7316" t="s">
        <v>21486</v>
      </c>
      <c r="H7316" t="s">
        <v>24915</v>
      </c>
      <c r="I7316" t="s">
        <v>24916</v>
      </c>
      <c r="J7316" t="s">
        <v>15341</v>
      </c>
      <c r="K7316" s="2" t="str">
        <f>HYPERLINK("http://collections.slsa.sa.gov.au/mpcimg/59000/B58892_174.htm")</f>
        <v>http://collections.slsa.sa.gov.au/mpcimg/59000/B58892_174.htm</v>
      </c>
    </row>
    <row r="7317" spans="1:11" x14ac:dyDescent="0.25">
      <c r="A7317" t="s">
        <v>24917</v>
      </c>
      <c r="B7317" s="1" t="str">
        <f>HYPERLINK("https://www.catalog.slsa.sa.gov.au/record=b2090411")</f>
        <v>https://www.catalog.slsa.sa.gov.au/record=b2090411</v>
      </c>
      <c r="C7317" s="1" t="str">
        <f>HYPERLINK("https://www.catalog.slsa.sa.gov.au/xrecord=b2090411")</f>
        <v>https://www.catalog.slsa.sa.gov.au/xrecord=b2090411</v>
      </c>
      <c r="E7317" t="s">
        <v>21547</v>
      </c>
      <c r="F7317">
        <v>1954</v>
      </c>
      <c r="G7317" t="s">
        <v>23187</v>
      </c>
      <c r="H7317" t="s">
        <v>24918</v>
      </c>
      <c r="I7317" t="s">
        <v>15345</v>
      </c>
      <c r="J7317" t="s">
        <v>15341</v>
      </c>
      <c r="K7317" s="2" t="str">
        <f>HYPERLINK("http://collections.slsa.sa.gov.au/mpcimg/59000/B58892_247.htm")</f>
        <v>http://collections.slsa.sa.gov.au/mpcimg/59000/B58892_247.htm</v>
      </c>
    </row>
    <row r="7318" spans="1:11" x14ac:dyDescent="0.25">
      <c r="A7318" t="s">
        <v>24919</v>
      </c>
      <c r="B7318" s="1" t="str">
        <f>HYPERLINK("https://www.catalog.slsa.sa.gov.au/record=b2090496")</f>
        <v>https://www.catalog.slsa.sa.gov.au/record=b2090496</v>
      </c>
      <c r="C7318" s="1" t="str">
        <f>HYPERLINK("https://www.catalog.slsa.sa.gov.au/xrecord=b2090496")</f>
        <v>https://www.catalog.slsa.sa.gov.au/xrecord=b2090496</v>
      </c>
      <c r="E7318" t="s">
        <v>19632</v>
      </c>
      <c r="F7318">
        <v>1954</v>
      </c>
      <c r="G7318" t="s">
        <v>20198</v>
      </c>
      <c r="H7318" t="s">
        <v>24920</v>
      </c>
      <c r="I7318" t="s">
        <v>19635</v>
      </c>
      <c r="J7318" t="s">
        <v>15341</v>
      </c>
      <c r="K7318" s="2" t="str">
        <f>HYPERLINK("http://collections.slsa.sa.gov.au/mpcimg/59000/B58892_332.htm")</f>
        <v>http://collections.slsa.sa.gov.au/mpcimg/59000/B58892_332.htm</v>
      </c>
    </row>
    <row r="7319" spans="1:11" x14ac:dyDescent="0.25">
      <c r="A7319" t="s">
        <v>24921</v>
      </c>
      <c r="B7319" s="1" t="str">
        <f>HYPERLINK("https://www.catalog.slsa.sa.gov.au/record=b2090542")</f>
        <v>https://www.catalog.slsa.sa.gov.au/record=b2090542</v>
      </c>
      <c r="C7319" s="1" t="str">
        <f>HYPERLINK("https://www.catalog.slsa.sa.gov.au/xrecord=b2090542")</f>
        <v>https://www.catalog.slsa.sa.gov.au/xrecord=b2090542</v>
      </c>
      <c r="E7319" t="s">
        <v>15394</v>
      </c>
      <c r="F7319">
        <v>1954</v>
      </c>
      <c r="G7319" t="s">
        <v>24922</v>
      </c>
      <c r="H7319" t="s">
        <v>24923</v>
      </c>
      <c r="I7319" t="s">
        <v>19475</v>
      </c>
      <c r="J7319" t="s">
        <v>15341</v>
      </c>
      <c r="K7319" s="2" t="str">
        <f>HYPERLINK("http://collections.slsa.sa.gov.au/mpcimg/59000/B58892_378.htm")</f>
        <v>http://collections.slsa.sa.gov.au/mpcimg/59000/B58892_378.htm</v>
      </c>
    </row>
    <row r="7320" spans="1:11" x14ac:dyDescent="0.25">
      <c r="A7320" t="s">
        <v>24924</v>
      </c>
      <c r="B7320" s="1" t="str">
        <f>HYPERLINK("https://www.catalog.slsa.sa.gov.au/record=b2090556")</f>
        <v>https://www.catalog.slsa.sa.gov.au/record=b2090556</v>
      </c>
      <c r="C7320" s="1" t="str">
        <f>HYPERLINK("https://www.catalog.slsa.sa.gov.au/xrecord=b2090556")</f>
        <v>https://www.catalog.slsa.sa.gov.au/xrecord=b2090556</v>
      </c>
      <c r="E7320" t="s">
        <v>19666</v>
      </c>
      <c r="F7320">
        <v>1954</v>
      </c>
      <c r="G7320" t="s">
        <v>24925</v>
      </c>
      <c r="H7320" t="s">
        <v>24926</v>
      </c>
      <c r="I7320" t="s">
        <v>19475</v>
      </c>
      <c r="J7320" t="s">
        <v>15341</v>
      </c>
      <c r="K7320" s="2" t="str">
        <f>HYPERLINK("http://collections.slsa.sa.gov.au/mpcimg/59000/B58892_392.htm")</f>
        <v>http://collections.slsa.sa.gov.au/mpcimg/59000/B58892_392.htm</v>
      </c>
    </row>
    <row r="7321" spans="1:11" x14ac:dyDescent="0.25">
      <c r="A7321" t="s">
        <v>24927</v>
      </c>
      <c r="B7321" s="1" t="str">
        <f>HYPERLINK("https://www.catalog.slsa.sa.gov.au/record=b2090568")</f>
        <v>https://www.catalog.slsa.sa.gov.au/record=b2090568</v>
      </c>
      <c r="C7321" s="1" t="str">
        <f>HYPERLINK("https://www.catalog.slsa.sa.gov.au/xrecord=b2090568")</f>
        <v>https://www.catalog.slsa.sa.gov.au/xrecord=b2090568</v>
      </c>
      <c r="E7321" t="s">
        <v>19666</v>
      </c>
      <c r="F7321">
        <v>1954</v>
      </c>
      <c r="G7321" t="s">
        <v>23534</v>
      </c>
      <c r="H7321" t="s">
        <v>24928</v>
      </c>
      <c r="I7321" t="s">
        <v>24929</v>
      </c>
      <c r="J7321" t="s">
        <v>15341</v>
      </c>
      <c r="K7321" s="2" t="str">
        <f>HYPERLINK("http://collections.slsa.sa.gov.au/mpcimg/59000/B58892_406.htm")</f>
        <v>http://collections.slsa.sa.gov.au/mpcimg/59000/B58892_406.htm</v>
      </c>
    </row>
    <row r="7322" spans="1:11" x14ac:dyDescent="0.25">
      <c r="A7322" t="s">
        <v>24930</v>
      </c>
      <c r="B7322" s="1" t="str">
        <f>HYPERLINK("https://www.catalog.slsa.sa.gov.au/record=b2090569")</f>
        <v>https://www.catalog.slsa.sa.gov.au/record=b2090569</v>
      </c>
      <c r="C7322" s="1" t="str">
        <f>HYPERLINK("https://www.catalog.slsa.sa.gov.au/xrecord=b2090569")</f>
        <v>https://www.catalog.slsa.sa.gov.au/xrecord=b2090569</v>
      </c>
      <c r="E7322" t="s">
        <v>19666</v>
      </c>
      <c r="F7322">
        <v>1954</v>
      </c>
      <c r="G7322" t="s">
        <v>24931</v>
      </c>
      <c r="H7322" t="s">
        <v>24932</v>
      </c>
      <c r="I7322" t="s">
        <v>15400</v>
      </c>
      <c r="J7322" t="s">
        <v>15341</v>
      </c>
      <c r="K7322" s="2" t="str">
        <f>HYPERLINK("http://collections.slsa.sa.gov.au/mpcimg/59000/B58892_407.htm")</f>
        <v>http://collections.slsa.sa.gov.au/mpcimg/59000/B58892_407.htm</v>
      </c>
    </row>
    <row r="7323" spans="1:11" x14ac:dyDescent="0.25">
      <c r="A7323" t="s">
        <v>24933</v>
      </c>
      <c r="B7323" s="1" t="str">
        <f>HYPERLINK("https://www.catalog.slsa.sa.gov.au/record=b2090570")</f>
        <v>https://www.catalog.slsa.sa.gov.au/record=b2090570</v>
      </c>
      <c r="C7323" s="1" t="str">
        <f>HYPERLINK("https://www.catalog.slsa.sa.gov.au/xrecord=b2090570")</f>
        <v>https://www.catalog.slsa.sa.gov.au/xrecord=b2090570</v>
      </c>
      <c r="E7323" t="s">
        <v>19666</v>
      </c>
      <c r="F7323">
        <v>1954</v>
      </c>
      <c r="G7323" t="s">
        <v>20359</v>
      </c>
      <c r="H7323" t="s">
        <v>24934</v>
      </c>
      <c r="I7323" t="s">
        <v>15400</v>
      </c>
      <c r="J7323" t="s">
        <v>15341</v>
      </c>
      <c r="K7323" s="2" t="str">
        <f>HYPERLINK("http://collections.slsa.sa.gov.au/mpcimg/59000/B58892_408.htm")</f>
        <v>http://collections.slsa.sa.gov.au/mpcimg/59000/B58892_408.htm</v>
      </c>
    </row>
    <row r="7324" spans="1:11" x14ac:dyDescent="0.25">
      <c r="A7324" t="s">
        <v>24935</v>
      </c>
      <c r="B7324" s="1" t="str">
        <f>HYPERLINK("https://www.catalog.slsa.sa.gov.au/record=b2090571")</f>
        <v>https://www.catalog.slsa.sa.gov.au/record=b2090571</v>
      </c>
      <c r="C7324" s="1" t="str">
        <f>HYPERLINK("https://www.catalog.slsa.sa.gov.au/xrecord=b2090571")</f>
        <v>https://www.catalog.slsa.sa.gov.au/xrecord=b2090571</v>
      </c>
      <c r="E7324" t="s">
        <v>19666</v>
      </c>
      <c r="F7324">
        <v>1954</v>
      </c>
      <c r="G7324" t="s">
        <v>24936</v>
      </c>
      <c r="H7324" t="s">
        <v>24937</v>
      </c>
      <c r="I7324" t="s">
        <v>15400</v>
      </c>
      <c r="J7324" t="s">
        <v>15341</v>
      </c>
      <c r="K7324" s="2" t="str">
        <f>HYPERLINK("http://collections.slsa.sa.gov.au/mpcimg/59000/B58892_409.htm")</f>
        <v>http://collections.slsa.sa.gov.au/mpcimg/59000/B58892_409.htm</v>
      </c>
    </row>
    <row r="7325" spans="1:11" x14ac:dyDescent="0.25">
      <c r="A7325" t="s">
        <v>24938</v>
      </c>
      <c r="B7325" s="1" t="str">
        <f>HYPERLINK("https://www.catalog.slsa.sa.gov.au/record=b2090572")</f>
        <v>https://www.catalog.slsa.sa.gov.au/record=b2090572</v>
      </c>
      <c r="C7325" s="1" t="str">
        <f>HYPERLINK("https://www.catalog.slsa.sa.gov.au/xrecord=b2090572")</f>
        <v>https://www.catalog.slsa.sa.gov.au/xrecord=b2090572</v>
      </c>
      <c r="E7325" t="s">
        <v>19666</v>
      </c>
      <c r="F7325">
        <v>1954</v>
      </c>
      <c r="G7325" t="s">
        <v>20436</v>
      </c>
      <c r="H7325" t="s">
        <v>24939</v>
      </c>
      <c r="I7325" t="s">
        <v>15400</v>
      </c>
      <c r="J7325" t="s">
        <v>15341</v>
      </c>
      <c r="K7325" s="2" t="str">
        <f>HYPERLINK("http://collections.slsa.sa.gov.au/mpcimg/59000/B58892_410.htm")</f>
        <v>http://collections.slsa.sa.gov.au/mpcimg/59000/B58892_410.htm</v>
      </c>
    </row>
    <row r="7326" spans="1:11" x14ac:dyDescent="0.25">
      <c r="A7326" t="s">
        <v>24940</v>
      </c>
      <c r="B7326" s="1" t="str">
        <f>HYPERLINK("https://www.catalog.slsa.sa.gov.au/record=b2090573")</f>
        <v>https://www.catalog.slsa.sa.gov.au/record=b2090573</v>
      </c>
      <c r="C7326" s="1" t="str">
        <f>HYPERLINK("https://www.catalog.slsa.sa.gov.au/xrecord=b2090573")</f>
        <v>https://www.catalog.slsa.sa.gov.au/xrecord=b2090573</v>
      </c>
      <c r="E7326" t="s">
        <v>19666</v>
      </c>
      <c r="F7326">
        <v>1954</v>
      </c>
      <c r="G7326" t="s">
        <v>21621</v>
      </c>
      <c r="H7326" t="s">
        <v>24941</v>
      </c>
      <c r="I7326" t="s">
        <v>15400</v>
      </c>
      <c r="J7326" t="s">
        <v>15341</v>
      </c>
      <c r="K7326" s="2" t="str">
        <f>HYPERLINK("http://collections.slsa.sa.gov.au/mpcimg/59000/B58892_411.htm")</f>
        <v>http://collections.slsa.sa.gov.au/mpcimg/59000/B58892_411.htm</v>
      </c>
    </row>
    <row r="7327" spans="1:11" x14ac:dyDescent="0.25">
      <c r="A7327" t="s">
        <v>24942</v>
      </c>
      <c r="B7327" s="1" t="str">
        <f>HYPERLINK("https://www.catalog.slsa.sa.gov.au/record=b2090575")</f>
        <v>https://www.catalog.slsa.sa.gov.au/record=b2090575</v>
      </c>
      <c r="C7327" s="1" t="str">
        <f>HYPERLINK("https://www.catalog.slsa.sa.gov.au/xrecord=b2090575")</f>
        <v>https://www.catalog.slsa.sa.gov.au/xrecord=b2090575</v>
      </c>
      <c r="E7327" t="s">
        <v>24943</v>
      </c>
      <c r="F7327">
        <v>1954</v>
      </c>
      <c r="G7327" t="s">
        <v>24944</v>
      </c>
      <c r="H7327" t="s">
        <v>24945</v>
      </c>
      <c r="J7327" t="s">
        <v>15341</v>
      </c>
      <c r="K7327" s="2" t="str">
        <f>HYPERLINK("http://collections.slsa.sa.gov.au/mpcimg/59000/B58892_412.htm")</f>
        <v>http://collections.slsa.sa.gov.au/mpcimg/59000/B58892_412.htm</v>
      </c>
    </row>
    <row r="7328" spans="1:11" x14ac:dyDescent="0.25">
      <c r="A7328" t="s">
        <v>24946</v>
      </c>
      <c r="B7328" s="1" t="str">
        <f>HYPERLINK("https://www.catalog.slsa.sa.gov.au/record=b2090576")</f>
        <v>https://www.catalog.slsa.sa.gov.au/record=b2090576</v>
      </c>
      <c r="C7328" s="1" t="str">
        <f>HYPERLINK("https://www.catalog.slsa.sa.gov.au/xrecord=b2090576")</f>
        <v>https://www.catalog.slsa.sa.gov.au/xrecord=b2090576</v>
      </c>
      <c r="E7328" t="s">
        <v>24943</v>
      </c>
      <c r="F7328">
        <v>1954</v>
      </c>
      <c r="G7328" t="s">
        <v>24944</v>
      </c>
      <c r="H7328" t="s">
        <v>24947</v>
      </c>
      <c r="J7328" t="s">
        <v>15341</v>
      </c>
      <c r="K7328" s="2" t="str">
        <f>HYPERLINK("http://collections.slsa.sa.gov.au/mpcimg/59000/B58892_413.htm")</f>
        <v>http://collections.slsa.sa.gov.au/mpcimg/59000/B58892_413.htm</v>
      </c>
    </row>
    <row r="7329" spans="1:11" x14ac:dyDescent="0.25">
      <c r="A7329" t="s">
        <v>24948</v>
      </c>
      <c r="B7329" s="1" t="str">
        <f>HYPERLINK("https://www.catalog.slsa.sa.gov.au/record=b2101402")</f>
        <v>https://www.catalog.slsa.sa.gov.au/record=b2101402</v>
      </c>
      <c r="C7329" s="1" t="str">
        <f>HYPERLINK("https://www.catalog.slsa.sa.gov.au/xrecord=b2101402")</f>
        <v>https://www.catalog.slsa.sa.gov.au/xrecord=b2101402</v>
      </c>
      <c r="D7329" t="s">
        <v>24949</v>
      </c>
      <c r="E7329" t="s">
        <v>24950</v>
      </c>
      <c r="F7329">
        <v>1954</v>
      </c>
      <c r="G7329" t="s">
        <v>21856</v>
      </c>
      <c r="H7329" t="s">
        <v>24951</v>
      </c>
      <c r="I7329" t="s">
        <v>24952</v>
      </c>
      <c r="J7329" t="s">
        <v>14768</v>
      </c>
      <c r="K7329" s="2" t="str">
        <f>HYPERLINK("http://collections.slsa.sa.gov.au/mpcimg/57250/B57200_222.htm")</f>
        <v>http://collections.slsa.sa.gov.au/mpcimg/57250/B57200_222.htm</v>
      </c>
    </row>
    <row r="7330" spans="1:11" x14ac:dyDescent="0.25">
      <c r="A7330" t="s">
        <v>24953</v>
      </c>
      <c r="B7330" s="1" t="str">
        <f>HYPERLINK("https://www.catalog.slsa.sa.gov.au/record=b2105916")</f>
        <v>https://www.catalog.slsa.sa.gov.au/record=b2105916</v>
      </c>
      <c r="C7330" s="1" t="str">
        <f>HYPERLINK("https://www.catalog.slsa.sa.gov.au/xrecord=b2105916")</f>
        <v>https://www.catalog.slsa.sa.gov.au/xrecord=b2105916</v>
      </c>
      <c r="E7330" t="s">
        <v>24954</v>
      </c>
      <c r="F7330">
        <v>1954</v>
      </c>
      <c r="G7330" t="s">
        <v>24955</v>
      </c>
      <c r="H7330" t="s">
        <v>24956</v>
      </c>
      <c r="I7330" t="s">
        <v>19888</v>
      </c>
      <c r="J7330" t="s">
        <v>14768</v>
      </c>
      <c r="K7330" s="2" t="str">
        <f>HYPERLINK("http://collections.slsa.sa.gov.au/mpcimg/69250/B69087_8.htm")</f>
        <v>http://collections.slsa.sa.gov.au/mpcimg/69250/B69087_8.htm</v>
      </c>
    </row>
    <row r="7331" spans="1:11" x14ac:dyDescent="0.25">
      <c r="A7331" t="s">
        <v>24957</v>
      </c>
      <c r="B7331" s="1" t="str">
        <f>HYPERLINK("https://www.catalog.slsa.sa.gov.au/record=b2105927")</f>
        <v>https://www.catalog.slsa.sa.gov.au/record=b2105927</v>
      </c>
      <c r="C7331" s="1" t="str">
        <f>HYPERLINK("https://www.catalog.slsa.sa.gov.au/xrecord=b2105927")</f>
        <v>https://www.catalog.slsa.sa.gov.au/xrecord=b2105927</v>
      </c>
      <c r="D7331" t="s">
        <v>24958</v>
      </c>
      <c r="E7331" t="s">
        <v>24959</v>
      </c>
      <c r="F7331">
        <v>1954</v>
      </c>
      <c r="G7331" t="s">
        <v>24960</v>
      </c>
      <c r="H7331" t="s">
        <v>24961</v>
      </c>
      <c r="I7331" t="s">
        <v>24962</v>
      </c>
      <c r="J7331" t="s">
        <v>14768</v>
      </c>
      <c r="K7331" s="2" t="str">
        <f>HYPERLINK("http://collections.slsa.sa.gov.au/mpcimg/69250/B69087_10.htm")</f>
        <v>http://collections.slsa.sa.gov.au/mpcimg/69250/B69087_10.htm</v>
      </c>
    </row>
    <row r="7332" spans="1:11" x14ac:dyDescent="0.25">
      <c r="A7332" t="s">
        <v>24963</v>
      </c>
      <c r="B7332" s="1" t="str">
        <f>HYPERLINK("https://www.catalog.slsa.sa.gov.au/record=b2106115")</f>
        <v>https://www.catalog.slsa.sa.gov.au/record=b2106115</v>
      </c>
      <c r="C7332" s="1" t="str">
        <f>HYPERLINK("https://www.catalog.slsa.sa.gov.au/xrecord=b2106115")</f>
        <v>https://www.catalog.slsa.sa.gov.au/xrecord=b2106115</v>
      </c>
      <c r="D7332" t="s">
        <v>24958</v>
      </c>
      <c r="E7332" t="s">
        <v>24959</v>
      </c>
      <c r="F7332">
        <v>1954</v>
      </c>
      <c r="G7332" t="s">
        <v>24964</v>
      </c>
      <c r="H7332" t="s">
        <v>24965</v>
      </c>
      <c r="I7332" t="s">
        <v>19888</v>
      </c>
      <c r="J7332" t="s">
        <v>14768</v>
      </c>
      <c r="K7332" s="2" t="str">
        <f>HYPERLINK("http://collections.slsa.sa.gov.au/mpcimg/69250/B69087_25.htm")</f>
        <v>http://collections.slsa.sa.gov.au/mpcimg/69250/B69087_25.htm</v>
      </c>
    </row>
    <row r="7333" spans="1:11" x14ac:dyDescent="0.25">
      <c r="A7333" t="s">
        <v>24966</v>
      </c>
      <c r="B7333" s="1" t="str">
        <f>HYPERLINK("https://www.catalog.slsa.sa.gov.au/record=b2108928")</f>
        <v>https://www.catalog.slsa.sa.gov.au/record=b2108928</v>
      </c>
      <c r="C7333" s="1" t="str">
        <f>HYPERLINK("https://www.catalog.slsa.sa.gov.au/xrecord=b2108928")</f>
        <v>https://www.catalog.slsa.sa.gov.au/xrecord=b2108928</v>
      </c>
      <c r="D7333" t="s">
        <v>24967</v>
      </c>
      <c r="E7333" t="s">
        <v>24968</v>
      </c>
      <c r="F7333">
        <v>1954</v>
      </c>
      <c r="G7333" t="s">
        <v>19863</v>
      </c>
      <c r="H7333" t="s">
        <v>24969</v>
      </c>
      <c r="I7333" t="s">
        <v>24970</v>
      </c>
      <c r="J7333" t="s">
        <v>15134</v>
      </c>
      <c r="K7333" s="2" t="str">
        <f>HYPERLINK("http://collections.slsa.sa.gov.au/mpcimg/69750/B69667.htm")</f>
        <v>http://collections.slsa.sa.gov.au/mpcimg/69750/B69667.htm</v>
      </c>
    </row>
    <row r="7334" spans="1:11" x14ac:dyDescent="0.25">
      <c r="A7334" t="s">
        <v>24971</v>
      </c>
      <c r="B7334" s="1" t="str">
        <f>HYPERLINK("https://www.catalog.slsa.sa.gov.au/record=b2108955")</f>
        <v>https://www.catalog.slsa.sa.gov.au/record=b2108955</v>
      </c>
      <c r="C7334" s="1" t="str">
        <f>HYPERLINK("https://www.catalog.slsa.sa.gov.au/xrecord=b2108955")</f>
        <v>https://www.catalog.slsa.sa.gov.au/xrecord=b2108955</v>
      </c>
      <c r="D7334" t="s">
        <v>24972</v>
      </c>
      <c r="E7334" t="s">
        <v>24973</v>
      </c>
      <c r="F7334">
        <v>1954</v>
      </c>
      <c r="G7334" t="s">
        <v>24974</v>
      </c>
      <c r="H7334" t="s">
        <v>24975</v>
      </c>
      <c r="I7334" t="s">
        <v>24976</v>
      </c>
      <c r="J7334" t="s">
        <v>2510</v>
      </c>
      <c r="K7334" s="2" t="str">
        <f>HYPERLINK("http://collections.slsa.sa.gov.au/mpcimg/69750/B69694.htm")</f>
        <v>http://collections.slsa.sa.gov.au/mpcimg/69750/B69694.htm</v>
      </c>
    </row>
    <row r="7335" spans="1:11" x14ac:dyDescent="0.25">
      <c r="A7335" t="s">
        <v>24977</v>
      </c>
      <c r="B7335" s="1" t="str">
        <f>HYPERLINK("https://www.catalog.slsa.sa.gov.au/record=b2117858")</f>
        <v>https://www.catalog.slsa.sa.gov.au/record=b2117858</v>
      </c>
      <c r="C7335" s="1" t="str">
        <f>HYPERLINK("https://www.catalog.slsa.sa.gov.au/xrecord=b2117858")</f>
        <v>https://www.catalog.slsa.sa.gov.au/xrecord=b2117858</v>
      </c>
      <c r="E7335" t="s">
        <v>24978</v>
      </c>
      <c r="F7335">
        <v>1954</v>
      </c>
      <c r="G7335" t="s">
        <v>24979</v>
      </c>
      <c r="H7335" t="s">
        <v>24980</v>
      </c>
      <c r="I7335" t="s">
        <v>24981</v>
      </c>
      <c r="J7335" t="s">
        <v>14768</v>
      </c>
      <c r="K7335" s="2" t="str">
        <f>HYPERLINK("http://collections.slsa.sa.gov.au/mpcimg/70500/B70351_13.htm")</f>
        <v>http://collections.slsa.sa.gov.au/mpcimg/70500/B70351_13.htm</v>
      </c>
    </row>
    <row r="7336" spans="1:11" x14ac:dyDescent="0.25">
      <c r="A7336" t="s">
        <v>24982</v>
      </c>
      <c r="B7336" s="1" t="str">
        <f>HYPERLINK("https://www.catalog.slsa.sa.gov.au/record=b2117866")</f>
        <v>https://www.catalog.slsa.sa.gov.au/record=b2117866</v>
      </c>
      <c r="C7336" s="1" t="str">
        <f>HYPERLINK("https://www.catalog.slsa.sa.gov.au/xrecord=b2117866")</f>
        <v>https://www.catalog.slsa.sa.gov.au/xrecord=b2117866</v>
      </c>
      <c r="E7336" t="s">
        <v>24983</v>
      </c>
      <c r="F7336">
        <v>1954</v>
      </c>
      <c r="G7336" t="s">
        <v>15554</v>
      </c>
      <c r="H7336" t="s">
        <v>24984</v>
      </c>
      <c r="I7336" t="s">
        <v>24985</v>
      </c>
      <c r="J7336" t="s">
        <v>14768</v>
      </c>
      <c r="K7336" s="2" t="str">
        <f>HYPERLINK("http://collections.slsa.sa.gov.au/mpcimg/70500/B70351_12.htm")</f>
        <v>http://collections.slsa.sa.gov.au/mpcimg/70500/B70351_12.htm</v>
      </c>
    </row>
    <row r="7337" spans="1:11" x14ac:dyDescent="0.25">
      <c r="A7337" t="s">
        <v>24986</v>
      </c>
      <c r="B7337" s="1" t="str">
        <f>HYPERLINK("https://www.catalog.slsa.sa.gov.au/record=b2125843")</f>
        <v>https://www.catalog.slsa.sa.gov.au/record=b2125843</v>
      </c>
      <c r="C7337" s="1" t="str">
        <f>HYPERLINK("https://www.catalog.slsa.sa.gov.au/xrecord=b2125843")</f>
        <v>https://www.catalog.slsa.sa.gov.au/xrecord=b2125843</v>
      </c>
      <c r="E7337" t="s">
        <v>24987</v>
      </c>
      <c r="F7337">
        <v>1954</v>
      </c>
      <c r="G7337" t="s">
        <v>18624</v>
      </c>
      <c r="H7337" t="s">
        <v>24988</v>
      </c>
      <c r="I7337" t="s">
        <v>24989</v>
      </c>
      <c r="J7337" t="s">
        <v>14768</v>
      </c>
      <c r="K7337" s="2" t="str">
        <f>HYPERLINK("http://collections.slsa.sa.gov.au/mpcimg/70750/B70698_33.htm")</f>
        <v>http://collections.slsa.sa.gov.au/mpcimg/70750/B70698_33.htm</v>
      </c>
    </row>
    <row r="7338" spans="1:11" x14ac:dyDescent="0.25">
      <c r="A7338" t="s">
        <v>24990</v>
      </c>
      <c r="B7338" s="1" t="str">
        <f>HYPERLINK("https://www.catalog.slsa.sa.gov.au/record=b2125844")</f>
        <v>https://www.catalog.slsa.sa.gov.au/record=b2125844</v>
      </c>
      <c r="C7338" s="1" t="str">
        <f>HYPERLINK("https://www.catalog.slsa.sa.gov.au/xrecord=b2125844")</f>
        <v>https://www.catalog.slsa.sa.gov.au/xrecord=b2125844</v>
      </c>
      <c r="E7338" t="s">
        <v>24987</v>
      </c>
      <c r="F7338">
        <v>1954</v>
      </c>
      <c r="G7338" t="s">
        <v>18624</v>
      </c>
      <c r="H7338" t="s">
        <v>24991</v>
      </c>
      <c r="I7338" t="s">
        <v>24989</v>
      </c>
      <c r="J7338" t="s">
        <v>14768</v>
      </c>
      <c r="K7338" s="2" t="str">
        <f>HYPERLINK("http://collections.slsa.sa.gov.au/mpcimg/70750/B70698_34.htm")</f>
        <v>http://collections.slsa.sa.gov.au/mpcimg/70750/B70698_34.htm</v>
      </c>
    </row>
    <row r="7339" spans="1:11" x14ac:dyDescent="0.25">
      <c r="A7339" t="s">
        <v>24992</v>
      </c>
      <c r="B7339" s="1" t="str">
        <f>HYPERLINK("https://www.catalog.slsa.sa.gov.au/record=b2125845")</f>
        <v>https://www.catalog.slsa.sa.gov.au/record=b2125845</v>
      </c>
      <c r="C7339" s="1" t="str">
        <f>HYPERLINK("https://www.catalog.slsa.sa.gov.au/xrecord=b2125845")</f>
        <v>https://www.catalog.slsa.sa.gov.au/xrecord=b2125845</v>
      </c>
      <c r="E7339" t="s">
        <v>24993</v>
      </c>
      <c r="F7339">
        <v>1954</v>
      </c>
      <c r="G7339" t="s">
        <v>18624</v>
      </c>
      <c r="H7339" t="s">
        <v>24994</v>
      </c>
      <c r="I7339" t="s">
        <v>24989</v>
      </c>
      <c r="J7339" t="s">
        <v>14768</v>
      </c>
      <c r="K7339" s="2" t="str">
        <f>HYPERLINK("http://collections.slsa.sa.gov.au/mpcimg/70750/B70698_35.htm")</f>
        <v>http://collections.slsa.sa.gov.au/mpcimg/70750/B70698_35.htm</v>
      </c>
    </row>
    <row r="7340" spans="1:11" x14ac:dyDescent="0.25">
      <c r="A7340" t="s">
        <v>24995</v>
      </c>
      <c r="B7340" s="1" t="str">
        <f>HYPERLINK("https://www.catalog.slsa.sa.gov.au/record=b2311699")</f>
        <v>https://www.catalog.slsa.sa.gov.au/record=b2311699</v>
      </c>
      <c r="C7340" s="1" t="str">
        <f>HYPERLINK("https://www.catalog.slsa.sa.gov.au/xrecord=b2311699")</f>
        <v>https://www.catalog.slsa.sa.gov.au/xrecord=b2311699</v>
      </c>
      <c r="E7340" t="s">
        <v>24996</v>
      </c>
      <c r="F7340">
        <v>1954</v>
      </c>
      <c r="G7340" t="s">
        <v>24997</v>
      </c>
      <c r="H7340" t="s">
        <v>24998</v>
      </c>
      <c r="I7340" t="s">
        <v>24999</v>
      </c>
      <c r="J7340" t="s">
        <v>15023</v>
      </c>
      <c r="K7340" s="2" t="str">
        <f>HYPERLINK("http://collections.slsa.sa.gov.au/mpcimg/71500/B71418.htm")</f>
        <v>http://collections.slsa.sa.gov.au/mpcimg/71500/B71418.htm</v>
      </c>
    </row>
    <row r="7341" spans="1:11" x14ac:dyDescent="0.25">
      <c r="A7341" t="s">
        <v>25000</v>
      </c>
      <c r="B7341" s="1" t="str">
        <f>HYPERLINK("https://www.catalog.slsa.sa.gov.au/record=b2311707")</f>
        <v>https://www.catalog.slsa.sa.gov.au/record=b2311707</v>
      </c>
      <c r="C7341" s="1" t="str">
        <f>HYPERLINK("https://www.catalog.slsa.sa.gov.au/xrecord=b2311707")</f>
        <v>https://www.catalog.slsa.sa.gov.au/xrecord=b2311707</v>
      </c>
      <c r="E7341" t="s">
        <v>24996</v>
      </c>
      <c r="F7341">
        <v>1954</v>
      </c>
      <c r="G7341" t="s">
        <v>25001</v>
      </c>
      <c r="H7341" t="s">
        <v>25002</v>
      </c>
      <c r="I7341" t="s">
        <v>24999</v>
      </c>
      <c r="J7341" t="s">
        <v>15023</v>
      </c>
      <c r="K7341" s="2" t="str">
        <f>HYPERLINK("http://collections.slsa.sa.gov.au/mpcimg/71500/B71419.htm")</f>
        <v>http://collections.slsa.sa.gov.au/mpcimg/71500/B71419.htm</v>
      </c>
    </row>
    <row r="7342" spans="1:11" x14ac:dyDescent="0.25">
      <c r="A7342" t="s">
        <v>25003</v>
      </c>
      <c r="B7342" s="1" t="str">
        <f>HYPERLINK("https://www.catalog.slsa.sa.gov.au/record=b2311711")</f>
        <v>https://www.catalog.slsa.sa.gov.au/record=b2311711</v>
      </c>
      <c r="C7342" s="1" t="str">
        <f>HYPERLINK("https://www.catalog.slsa.sa.gov.au/xrecord=b2311711")</f>
        <v>https://www.catalog.slsa.sa.gov.au/xrecord=b2311711</v>
      </c>
      <c r="E7342" t="s">
        <v>25004</v>
      </c>
      <c r="F7342">
        <v>1954</v>
      </c>
      <c r="G7342" t="s">
        <v>25005</v>
      </c>
      <c r="H7342" t="s">
        <v>25006</v>
      </c>
      <c r="I7342" t="s">
        <v>25007</v>
      </c>
      <c r="J7342" t="s">
        <v>15023</v>
      </c>
      <c r="K7342" s="2" t="str">
        <f>HYPERLINK("http://collections.slsa.sa.gov.au/mpcimg/71500/B71420.htm")</f>
        <v>http://collections.slsa.sa.gov.au/mpcimg/71500/B71420.htm</v>
      </c>
    </row>
    <row r="7343" spans="1:11" x14ac:dyDescent="0.25">
      <c r="A7343" t="s">
        <v>25008</v>
      </c>
      <c r="B7343" s="1" t="str">
        <f>HYPERLINK("https://www.catalog.slsa.sa.gov.au/record=b2311714")</f>
        <v>https://www.catalog.slsa.sa.gov.au/record=b2311714</v>
      </c>
      <c r="C7343" s="1" t="str">
        <f>HYPERLINK("https://www.catalog.slsa.sa.gov.au/xrecord=b2311714")</f>
        <v>https://www.catalog.slsa.sa.gov.au/xrecord=b2311714</v>
      </c>
      <c r="E7343" t="s">
        <v>25004</v>
      </c>
      <c r="F7343">
        <v>1954</v>
      </c>
      <c r="G7343" t="s">
        <v>25001</v>
      </c>
      <c r="H7343" t="s">
        <v>25009</v>
      </c>
      <c r="I7343" t="s">
        <v>25007</v>
      </c>
      <c r="J7343" t="s">
        <v>15023</v>
      </c>
      <c r="K7343" s="2" t="str">
        <f>HYPERLINK("http://collections.slsa.sa.gov.au/mpcimg/71500/B71421.htm")</f>
        <v>http://collections.slsa.sa.gov.au/mpcimg/71500/B71421.htm</v>
      </c>
    </row>
    <row r="7344" spans="1:11" x14ac:dyDescent="0.25">
      <c r="A7344" t="s">
        <v>25010</v>
      </c>
      <c r="B7344" s="1" t="str">
        <f>HYPERLINK("https://www.catalog.slsa.sa.gov.au/record=b2311717")</f>
        <v>https://www.catalog.slsa.sa.gov.au/record=b2311717</v>
      </c>
      <c r="C7344" s="1" t="str">
        <f>HYPERLINK("https://www.catalog.slsa.sa.gov.au/xrecord=b2311717")</f>
        <v>https://www.catalog.slsa.sa.gov.au/xrecord=b2311717</v>
      </c>
      <c r="E7344" t="s">
        <v>25011</v>
      </c>
      <c r="F7344">
        <v>1954</v>
      </c>
      <c r="G7344" t="s">
        <v>25001</v>
      </c>
      <c r="H7344" t="s">
        <v>25012</v>
      </c>
      <c r="I7344" t="s">
        <v>25013</v>
      </c>
      <c r="J7344" t="s">
        <v>15023</v>
      </c>
      <c r="K7344" s="2" t="str">
        <f>HYPERLINK("http://collections.slsa.sa.gov.au/mpcimg/71500/B71422.htm")</f>
        <v>http://collections.slsa.sa.gov.au/mpcimg/71500/B71422.htm</v>
      </c>
    </row>
    <row r="7345" spans="1:11" x14ac:dyDescent="0.25">
      <c r="A7345" t="s">
        <v>25014</v>
      </c>
      <c r="B7345" s="1" t="str">
        <f>HYPERLINK("https://www.catalog.slsa.sa.gov.au/record=b2509470")</f>
        <v>https://www.catalog.slsa.sa.gov.au/record=b2509470</v>
      </c>
      <c r="C7345" s="1" t="str">
        <f>HYPERLINK("https://www.catalog.slsa.sa.gov.au/xrecord=b2509470")</f>
        <v>https://www.catalog.slsa.sa.gov.au/xrecord=b2509470</v>
      </c>
      <c r="D7345" t="s">
        <v>25015</v>
      </c>
      <c r="E7345" t="s">
        <v>25016</v>
      </c>
      <c r="F7345">
        <v>1954</v>
      </c>
      <c r="G7345" t="s">
        <v>25017</v>
      </c>
      <c r="H7345" t="s">
        <v>25018</v>
      </c>
      <c r="J7345" t="s">
        <v>2510</v>
      </c>
      <c r="K7345" s="2" t="str">
        <f>HYPERLINK("http://collections.slsa.sa.gov.au/mpcimg/61000/B60993.htm")</f>
        <v>http://collections.slsa.sa.gov.au/mpcimg/61000/B60993.htm</v>
      </c>
    </row>
    <row r="7346" spans="1:11" x14ac:dyDescent="0.25">
      <c r="A7346" t="s">
        <v>25019</v>
      </c>
      <c r="B7346" s="1" t="str">
        <f>HYPERLINK("https://www.catalog.slsa.sa.gov.au/record=b2713969")</f>
        <v>https://www.catalog.slsa.sa.gov.au/record=b2713969</v>
      </c>
      <c r="C7346" s="1" t="str">
        <f>HYPERLINK("https://www.catalog.slsa.sa.gov.au/xrecord=b2713969")</f>
        <v>https://www.catalog.slsa.sa.gov.au/xrecord=b2713969</v>
      </c>
      <c r="E7346" t="s">
        <v>25020</v>
      </c>
      <c r="F7346">
        <v>1954</v>
      </c>
      <c r="G7346" t="s">
        <v>25021</v>
      </c>
      <c r="H7346" t="s">
        <v>25022</v>
      </c>
      <c r="I7346" t="s">
        <v>25023</v>
      </c>
      <c r="J7346" t="s">
        <v>2510</v>
      </c>
      <c r="K7346" s="2" t="str">
        <f>HYPERLINK("http://collections.slsa.sa.gov.au/mpcimg/72250/B72232.htm")</f>
        <v>http://collections.slsa.sa.gov.au/mpcimg/72250/B72232.htm</v>
      </c>
    </row>
    <row r="7347" spans="1:11" x14ac:dyDescent="0.25">
      <c r="A7347" t="s">
        <v>25024</v>
      </c>
      <c r="B7347" s="1" t="str">
        <f>HYPERLINK("https://www.catalog.slsa.sa.gov.au/record=b2713974")</f>
        <v>https://www.catalog.slsa.sa.gov.au/record=b2713974</v>
      </c>
      <c r="C7347" s="1" t="str">
        <f>HYPERLINK("https://www.catalog.slsa.sa.gov.au/xrecord=b2713974")</f>
        <v>https://www.catalog.slsa.sa.gov.au/xrecord=b2713974</v>
      </c>
      <c r="D7347" t="s">
        <v>25025</v>
      </c>
      <c r="E7347" t="s">
        <v>25026</v>
      </c>
      <c r="F7347">
        <v>1954</v>
      </c>
      <c r="G7347" t="s">
        <v>25027</v>
      </c>
      <c r="H7347" t="s">
        <v>25028</v>
      </c>
      <c r="I7347" t="s">
        <v>25029</v>
      </c>
      <c r="J7347" t="s">
        <v>2510</v>
      </c>
      <c r="K7347" s="2" t="str">
        <f>HYPERLINK("http://collections.slsa.sa.gov.au/mpcimg/72250/B72231.htm")</f>
        <v>http://collections.slsa.sa.gov.au/mpcimg/72250/B72231.htm</v>
      </c>
    </row>
    <row r="7348" spans="1:11" x14ac:dyDescent="0.25">
      <c r="A7348" t="s">
        <v>25030</v>
      </c>
      <c r="B7348" s="1" t="str">
        <f>HYPERLINK("https://www.catalog.slsa.sa.gov.au/record=b3142178")</f>
        <v>https://www.catalog.slsa.sa.gov.au/record=b3142178</v>
      </c>
      <c r="C7348" s="1" t="str">
        <f>HYPERLINK("https://www.catalog.slsa.sa.gov.au/xrecord=b3142178")</f>
        <v>https://www.catalog.slsa.sa.gov.au/xrecord=b3142178</v>
      </c>
      <c r="E7348" t="s">
        <v>25031</v>
      </c>
      <c r="F7348">
        <v>1954</v>
      </c>
      <c r="G7348" t="s">
        <v>25032</v>
      </c>
      <c r="H7348" t="s">
        <v>25033</v>
      </c>
      <c r="I7348" t="s">
        <v>25034</v>
      </c>
      <c r="J7348" t="s">
        <v>25035</v>
      </c>
      <c r="K7348" s="2" t="str">
        <f>HYPERLINK("http://collections.slsa.sa.gov.au/resource/B+76371")</f>
        <v>http://collections.slsa.sa.gov.au/resource/B+76371</v>
      </c>
    </row>
    <row r="7349" spans="1:11" x14ac:dyDescent="0.25">
      <c r="A7349" t="s">
        <v>25036</v>
      </c>
      <c r="B7349" s="1" t="str">
        <f>HYPERLINK("https://www.catalog.slsa.sa.gov.au/record=b3142180")</f>
        <v>https://www.catalog.slsa.sa.gov.au/record=b3142180</v>
      </c>
      <c r="C7349" s="1" t="str">
        <f>HYPERLINK("https://www.catalog.slsa.sa.gov.au/xrecord=b3142180")</f>
        <v>https://www.catalog.slsa.sa.gov.au/xrecord=b3142180</v>
      </c>
      <c r="D7349" t="s">
        <v>22568</v>
      </c>
      <c r="E7349" t="s">
        <v>25037</v>
      </c>
      <c r="F7349">
        <v>1954</v>
      </c>
      <c r="G7349" t="s">
        <v>25038</v>
      </c>
      <c r="H7349" t="s">
        <v>25039</v>
      </c>
      <c r="I7349" t="s">
        <v>25040</v>
      </c>
      <c r="J7349" t="s">
        <v>16173</v>
      </c>
      <c r="K7349" s="2" t="str">
        <f>HYPERLINK("http://collections.slsa.sa.gov.au/resource/B+76372")</f>
        <v>http://collections.slsa.sa.gov.au/resource/B+76372</v>
      </c>
    </row>
    <row r="7350" spans="1:11" x14ac:dyDescent="0.25">
      <c r="A7350" t="s">
        <v>25041</v>
      </c>
      <c r="B7350" s="1" t="str">
        <f>HYPERLINK("https://www.catalog.slsa.sa.gov.au/record=b2039300")</f>
        <v>https://www.catalog.slsa.sa.gov.au/record=b2039300</v>
      </c>
      <c r="C7350" s="1" t="str">
        <f>HYPERLINK("https://www.catalog.slsa.sa.gov.au/xrecord=b2039300")</f>
        <v>https://www.catalog.slsa.sa.gov.au/xrecord=b2039300</v>
      </c>
      <c r="E7350" t="s">
        <v>25042</v>
      </c>
      <c r="F7350" t="s">
        <v>5936</v>
      </c>
      <c r="G7350" t="s">
        <v>25043</v>
      </c>
      <c r="H7350" t="s">
        <v>25044</v>
      </c>
      <c r="I7350" t="s">
        <v>25045</v>
      </c>
      <c r="K7350" s="2" t="str">
        <f>HYPERLINK("http://collections.slsa.sa.gov.au/mpcimg/49500/B49356.htm")</f>
        <v>http://collections.slsa.sa.gov.au/mpcimg/49500/B49356.htm</v>
      </c>
    </row>
    <row r="7351" spans="1:11" x14ac:dyDescent="0.25">
      <c r="A7351" t="s">
        <v>25046</v>
      </c>
      <c r="B7351" s="1" t="str">
        <f>HYPERLINK("https://www.catalog.slsa.sa.gov.au/record=b2029065")</f>
        <v>https://www.catalog.slsa.sa.gov.au/record=b2029065</v>
      </c>
      <c r="C7351" s="1" t="str">
        <f>HYPERLINK("https://www.catalog.slsa.sa.gov.au/xrecord=b2029065")</f>
        <v>https://www.catalog.slsa.sa.gov.au/xrecord=b2029065</v>
      </c>
      <c r="E7351" t="s">
        <v>20047</v>
      </c>
      <c r="F7351" t="s">
        <v>5936</v>
      </c>
      <c r="G7351" t="s">
        <v>20052</v>
      </c>
      <c r="H7351" t="s">
        <v>25047</v>
      </c>
      <c r="I7351" t="s">
        <v>20049</v>
      </c>
      <c r="J7351" t="s">
        <v>25048</v>
      </c>
      <c r="K7351" s="2" t="str">
        <f>HYPERLINK("http://collections.slsa.sa.gov.au/mpcimg/50250/B50118.htm")</f>
        <v>http://collections.slsa.sa.gov.au/mpcimg/50250/B50118.htm</v>
      </c>
    </row>
    <row r="7352" spans="1:11" x14ac:dyDescent="0.25">
      <c r="A7352" t="s">
        <v>25049</v>
      </c>
      <c r="B7352" s="1" t="str">
        <f>HYPERLINK("https://www.catalog.slsa.sa.gov.au/record=b2037619")</f>
        <v>https://www.catalog.slsa.sa.gov.au/record=b2037619</v>
      </c>
      <c r="C7352" s="1" t="str">
        <f>HYPERLINK("https://www.catalog.slsa.sa.gov.au/xrecord=b2037619")</f>
        <v>https://www.catalog.slsa.sa.gov.au/xrecord=b2037619</v>
      </c>
      <c r="E7352" t="s">
        <v>25050</v>
      </c>
      <c r="F7352" t="s">
        <v>5936</v>
      </c>
      <c r="G7352" t="s">
        <v>25051</v>
      </c>
      <c r="H7352" t="s">
        <v>25052</v>
      </c>
      <c r="I7352" t="s">
        <v>25053</v>
      </c>
      <c r="J7352" t="s">
        <v>9214</v>
      </c>
      <c r="K7352" s="2" t="str">
        <f>HYPERLINK("http://collections.slsa.sa.gov.au/mpcimg/46250/B46055.htm")</f>
        <v>http://collections.slsa.sa.gov.au/mpcimg/46250/B46055.htm</v>
      </c>
    </row>
    <row r="7353" spans="1:11" x14ac:dyDescent="0.25">
      <c r="A7353" t="s">
        <v>25054</v>
      </c>
      <c r="B7353" s="1" t="str">
        <f>HYPERLINK("https://www.catalog.slsa.sa.gov.au/record=b2038549")</f>
        <v>https://www.catalog.slsa.sa.gov.au/record=b2038549</v>
      </c>
      <c r="C7353" s="1" t="str">
        <f>HYPERLINK("https://www.catalog.slsa.sa.gov.au/xrecord=b2038549")</f>
        <v>https://www.catalog.slsa.sa.gov.au/xrecord=b2038549</v>
      </c>
      <c r="D7353" t="s">
        <v>25055</v>
      </c>
      <c r="E7353" t="s">
        <v>25056</v>
      </c>
      <c r="F7353" t="s">
        <v>5936</v>
      </c>
      <c r="G7353" t="s">
        <v>25057</v>
      </c>
      <c r="H7353" t="s">
        <v>25058</v>
      </c>
      <c r="I7353" t="s">
        <v>25059</v>
      </c>
      <c r="J7353" t="s">
        <v>1809</v>
      </c>
      <c r="K7353" s="2" t="str">
        <f>HYPERLINK("http://collections.slsa.sa.gov.au/mpcimg/71000/B70786.htm")</f>
        <v>http://collections.slsa.sa.gov.au/mpcimg/71000/B70786.htm</v>
      </c>
    </row>
    <row r="7354" spans="1:11" x14ac:dyDescent="0.25">
      <c r="A7354" t="s">
        <v>25060</v>
      </c>
      <c r="B7354" s="1" t="str">
        <f>HYPERLINK("https://www.catalog.slsa.sa.gov.au/record=b2038556")</f>
        <v>https://www.catalog.slsa.sa.gov.au/record=b2038556</v>
      </c>
      <c r="C7354" s="1" t="str">
        <f>HYPERLINK("https://www.catalog.slsa.sa.gov.au/xrecord=b2038556")</f>
        <v>https://www.catalog.slsa.sa.gov.au/xrecord=b2038556</v>
      </c>
      <c r="E7354" t="s">
        <v>25056</v>
      </c>
      <c r="F7354" t="s">
        <v>5936</v>
      </c>
      <c r="G7354" t="s">
        <v>25061</v>
      </c>
      <c r="H7354" t="s">
        <v>25062</v>
      </c>
      <c r="I7354" t="s">
        <v>25059</v>
      </c>
      <c r="J7354" t="s">
        <v>1809</v>
      </c>
      <c r="K7354" s="2" t="str">
        <f>HYPERLINK("http://collections.slsa.sa.gov.au/mpcimg/71000/B70786A.htm")</f>
        <v>http://collections.slsa.sa.gov.au/mpcimg/71000/B70786A.htm</v>
      </c>
    </row>
    <row r="7355" spans="1:11" x14ac:dyDescent="0.25">
      <c r="A7355" t="s">
        <v>25063</v>
      </c>
      <c r="B7355" s="1" t="str">
        <f>HYPERLINK("https://www.catalog.slsa.sa.gov.au/record=b2039180")</f>
        <v>https://www.catalog.slsa.sa.gov.au/record=b2039180</v>
      </c>
      <c r="C7355" s="1" t="str">
        <f>HYPERLINK("https://www.catalog.slsa.sa.gov.au/xrecord=b2039180")</f>
        <v>https://www.catalog.slsa.sa.gov.au/xrecord=b2039180</v>
      </c>
      <c r="E7355" t="s">
        <v>25064</v>
      </c>
      <c r="F7355" t="s">
        <v>5936</v>
      </c>
      <c r="G7355" t="s">
        <v>16305</v>
      </c>
      <c r="H7355" t="s">
        <v>25065</v>
      </c>
      <c r="J7355" t="s">
        <v>16370</v>
      </c>
      <c r="K7355" s="2" t="str">
        <f>HYPERLINK("http://collections.slsa.sa.gov.au/mpcimg/44250/B44008.htm")</f>
        <v>http://collections.slsa.sa.gov.au/mpcimg/44250/B44008.htm</v>
      </c>
    </row>
    <row r="7356" spans="1:11" x14ac:dyDescent="0.25">
      <c r="A7356" t="s">
        <v>25066</v>
      </c>
      <c r="B7356" s="1" t="str">
        <f>HYPERLINK("https://www.catalog.slsa.sa.gov.au/record=b2039181")</f>
        <v>https://www.catalog.slsa.sa.gov.au/record=b2039181</v>
      </c>
      <c r="C7356" s="1" t="str">
        <f>HYPERLINK("https://www.catalog.slsa.sa.gov.au/xrecord=b2039181")</f>
        <v>https://www.catalog.slsa.sa.gov.au/xrecord=b2039181</v>
      </c>
      <c r="E7356" t="s">
        <v>25064</v>
      </c>
      <c r="F7356" t="s">
        <v>5936</v>
      </c>
      <c r="G7356" t="s">
        <v>16305</v>
      </c>
      <c r="H7356" t="s">
        <v>25065</v>
      </c>
      <c r="J7356" t="s">
        <v>16370</v>
      </c>
      <c r="K7356" s="2" t="str">
        <f>HYPERLINK("http://collections.slsa.sa.gov.au/mpcimg/44250/B44009.htm")</f>
        <v>http://collections.slsa.sa.gov.au/mpcimg/44250/B44009.htm</v>
      </c>
    </row>
    <row r="7357" spans="1:11" x14ac:dyDescent="0.25">
      <c r="A7357" t="s">
        <v>25067</v>
      </c>
      <c r="B7357" s="1" t="str">
        <f>HYPERLINK("https://www.catalog.slsa.sa.gov.au/record=b2039182")</f>
        <v>https://www.catalog.slsa.sa.gov.au/record=b2039182</v>
      </c>
      <c r="C7357" s="1" t="str">
        <f>HYPERLINK("https://www.catalog.slsa.sa.gov.au/xrecord=b2039182")</f>
        <v>https://www.catalog.slsa.sa.gov.au/xrecord=b2039182</v>
      </c>
      <c r="E7357" t="s">
        <v>25064</v>
      </c>
      <c r="F7357" t="s">
        <v>5936</v>
      </c>
      <c r="G7357" t="s">
        <v>16305</v>
      </c>
      <c r="H7357" t="s">
        <v>25065</v>
      </c>
      <c r="J7357" t="s">
        <v>16370</v>
      </c>
      <c r="K7357" s="2" t="str">
        <f>HYPERLINK("http://collections.slsa.sa.gov.au/mpcimg/44250/B44010.htm")</f>
        <v>http://collections.slsa.sa.gov.au/mpcimg/44250/B44010.htm</v>
      </c>
    </row>
    <row r="7358" spans="1:11" x14ac:dyDescent="0.25">
      <c r="A7358" t="s">
        <v>25068</v>
      </c>
      <c r="B7358" s="1" t="str">
        <f>HYPERLINK("https://www.catalog.slsa.sa.gov.au/record=b2039183")</f>
        <v>https://www.catalog.slsa.sa.gov.au/record=b2039183</v>
      </c>
      <c r="C7358" s="1" t="str">
        <f>HYPERLINK("https://www.catalog.slsa.sa.gov.au/xrecord=b2039183")</f>
        <v>https://www.catalog.slsa.sa.gov.au/xrecord=b2039183</v>
      </c>
      <c r="E7358" t="s">
        <v>25064</v>
      </c>
      <c r="F7358" t="s">
        <v>5936</v>
      </c>
      <c r="G7358" t="s">
        <v>25069</v>
      </c>
      <c r="H7358" t="s">
        <v>25070</v>
      </c>
      <c r="J7358" t="s">
        <v>16370</v>
      </c>
      <c r="K7358" s="2" t="str">
        <f>HYPERLINK("http://collections.slsa.sa.gov.au/mpcimg/44250/B44011.htm")</f>
        <v>http://collections.slsa.sa.gov.au/mpcimg/44250/B44011.htm</v>
      </c>
    </row>
    <row r="7359" spans="1:11" x14ac:dyDescent="0.25">
      <c r="A7359" t="s">
        <v>25071</v>
      </c>
      <c r="B7359" s="1" t="str">
        <f>HYPERLINK("https://www.catalog.slsa.sa.gov.au/record=b2039184")</f>
        <v>https://www.catalog.slsa.sa.gov.au/record=b2039184</v>
      </c>
      <c r="C7359" s="1" t="str">
        <f>HYPERLINK("https://www.catalog.slsa.sa.gov.au/xrecord=b2039184")</f>
        <v>https://www.catalog.slsa.sa.gov.au/xrecord=b2039184</v>
      </c>
      <c r="E7359" t="s">
        <v>25064</v>
      </c>
      <c r="F7359" t="s">
        <v>5936</v>
      </c>
      <c r="G7359" t="s">
        <v>16305</v>
      </c>
      <c r="H7359" t="s">
        <v>25065</v>
      </c>
      <c r="J7359" t="s">
        <v>16370</v>
      </c>
      <c r="K7359" s="2" t="str">
        <f>HYPERLINK("http://collections.slsa.sa.gov.au/mpcimg/44250/B44012.htm")</f>
        <v>http://collections.slsa.sa.gov.au/mpcimg/44250/B44012.htm</v>
      </c>
    </row>
    <row r="7360" spans="1:11" x14ac:dyDescent="0.25">
      <c r="A7360" t="s">
        <v>25072</v>
      </c>
      <c r="B7360" s="1" t="str">
        <f>HYPERLINK("https://www.catalog.slsa.sa.gov.au/record=b2046491")</f>
        <v>https://www.catalog.slsa.sa.gov.au/record=b2046491</v>
      </c>
      <c r="C7360" s="1" t="str">
        <f>HYPERLINK("https://www.catalog.slsa.sa.gov.au/xrecord=b2046491")</f>
        <v>https://www.catalog.slsa.sa.gov.au/xrecord=b2046491</v>
      </c>
      <c r="D7360" t="s">
        <v>16540</v>
      </c>
      <c r="E7360" t="s">
        <v>25073</v>
      </c>
      <c r="F7360" t="s">
        <v>5936</v>
      </c>
      <c r="G7360" t="s">
        <v>25074</v>
      </c>
      <c r="H7360" t="s">
        <v>25075</v>
      </c>
      <c r="I7360" t="s">
        <v>25076</v>
      </c>
      <c r="J7360" t="s">
        <v>16662</v>
      </c>
      <c r="K7360" s="2" t="str">
        <f>HYPERLINK("http://collections.slsa.sa.gov.au/mpcimg/53500/B53299.htm")</f>
        <v>http://collections.slsa.sa.gov.au/mpcimg/53500/B53299.htm</v>
      </c>
    </row>
    <row r="7361" spans="1:11" x14ac:dyDescent="0.25">
      <c r="A7361" t="s">
        <v>25077</v>
      </c>
      <c r="B7361" s="1" t="str">
        <f>HYPERLINK("https://www.catalog.slsa.sa.gov.au/record=b2048001")</f>
        <v>https://www.catalog.slsa.sa.gov.au/record=b2048001</v>
      </c>
      <c r="C7361" s="1" t="str">
        <f>HYPERLINK("https://www.catalog.slsa.sa.gov.au/xrecord=b2048001")</f>
        <v>https://www.catalog.slsa.sa.gov.au/xrecord=b2048001</v>
      </c>
      <c r="E7361" t="s">
        <v>25078</v>
      </c>
      <c r="F7361" t="s">
        <v>5936</v>
      </c>
      <c r="G7361" t="s">
        <v>25079</v>
      </c>
      <c r="H7361" t="s">
        <v>25080</v>
      </c>
      <c r="I7361" t="s">
        <v>25081</v>
      </c>
      <c r="J7361" t="s">
        <v>1809</v>
      </c>
      <c r="K7361" s="2" t="str">
        <f>HYPERLINK("http://collections.slsa.sa.gov.au/mpcimg/27500/B27286.htm")</f>
        <v>http://collections.slsa.sa.gov.au/mpcimg/27500/B27286.htm</v>
      </c>
    </row>
    <row r="7362" spans="1:11" x14ac:dyDescent="0.25">
      <c r="A7362" t="s">
        <v>25082</v>
      </c>
      <c r="B7362" s="1" t="str">
        <f>HYPERLINK("https://www.catalog.slsa.sa.gov.au/record=b2052278")</f>
        <v>https://www.catalog.slsa.sa.gov.au/record=b2052278</v>
      </c>
      <c r="C7362" s="1" t="str">
        <f>HYPERLINK("https://www.catalog.slsa.sa.gov.au/xrecord=b2052278")</f>
        <v>https://www.catalog.slsa.sa.gov.au/xrecord=b2052278</v>
      </c>
      <c r="E7362" t="s">
        <v>25083</v>
      </c>
      <c r="F7362" t="s">
        <v>5936</v>
      </c>
      <c r="G7362" t="s">
        <v>14804</v>
      </c>
      <c r="H7362" t="s">
        <v>25084</v>
      </c>
      <c r="I7362" t="s">
        <v>25085</v>
      </c>
      <c r="J7362" t="s">
        <v>2510</v>
      </c>
      <c r="K7362" s="2" t="str">
        <f>HYPERLINK("http://collections.slsa.sa.gov.au/mpcimg/33750/B33628.htm")</f>
        <v>http://collections.slsa.sa.gov.au/mpcimg/33750/B33628.htm</v>
      </c>
    </row>
    <row r="7363" spans="1:11" x14ac:dyDescent="0.25">
      <c r="A7363" t="s">
        <v>25086</v>
      </c>
      <c r="B7363" s="1" t="str">
        <f>HYPERLINK("https://www.catalog.slsa.sa.gov.au/record=b2053381")</f>
        <v>https://www.catalog.slsa.sa.gov.au/record=b2053381</v>
      </c>
      <c r="C7363" s="1" t="str">
        <f>HYPERLINK("https://www.catalog.slsa.sa.gov.au/xrecord=b2053381")</f>
        <v>https://www.catalog.slsa.sa.gov.au/xrecord=b2053381</v>
      </c>
      <c r="E7363" t="s">
        <v>25087</v>
      </c>
      <c r="F7363" t="s">
        <v>5936</v>
      </c>
      <c r="G7363" t="s">
        <v>25088</v>
      </c>
      <c r="H7363" t="s">
        <v>25089</v>
      </c>
      <c r="I7363" t="s">
        <v>25090</v>
      </c>
      <c r="J7363" t="s">
        <v>2510</v>
      </c>
      <c r="K7363" s="2" t="str">
        <f>HYPERLINK("http://collections.slsa.sa.gov.au/mpcimg/46000/B45942.htm")</f>
        <v>http://collections.slsa.sa.gov.au/mpcimg/46000/B45942.htm</v>
      </c>
    </row>
    <row r="7364" spans="1:11" x14ac:dyDescent="0.25">
      <c r="A7364" t="s">
        <v>25091</v>
      </c>
      <c r="B7364" s="1" t="str">
        <f>HYPERLINK("https://www.catalog.slsa.sa.gov.au/record=b2059572")</f>
        <v>https://www.catalog.slsa.sa.gov.au/record=b2059572</v>
      </c>
      <c r="C7364" s="1" t="str">
        <f>HYPERLINK("https://www.catalog.slsa.sa.gov.au/xrecord=b2059572")</f>
        <v>https://www.catalog.slsa.sa.gov.au/xrecord=b2059572</v>
      </c>
      <c r="D7364" t="s">
        <v>25092</v>
      </c>
      <c r="E7364" t="s">
        <v>24203</v>
      </c>
      <c r="F7364" t="s">
        <v>5936</v>
      </c>
      <c r="G7364" t="s">
        <v>20063</v>
      </c>
      <c r="H7364" t="s">
        <v>25093</v>
      </c>
      <c r="J7364" t="s">
        <v>24214</v>
      </c>
      <c r="K7364" s="2" t="str">
        <f>HYPERLINK("http://collections.slsa.sa.gov.au/mpcimg/13250/B13130.htm")</f>
        <v>http://collections.slsa.sa.gov.au/mpcimg/13250/B13130.htm</v>
      </c>
    </row>
    <row r="7365" spans="1:11" x14ac:dyDescent="0.25">
      <c r="A7365" t="s">
        <v>25094</v>
      </c>
      <c r="B7365" s="1" t="str">
        <f>HYPERLINK("https://www.catalog.slsa.sa.gov.au/record=b2072717")</f>
        <v>https://www.catalog.slsa.sa.gov.au/record=b2072717</v>
      </c>
      <c r="C7365" s="1" t="str">
        <f>HYPERLINK("https://www.catalog.slsa.sa.gov.au/xrecord=b2072717")</f>
        <v>https://www.catalog.slsa.sa.gov.au/xrecord=b2072717</v>
      </c>
      <c r="D7365" t="s">
        <v>16941</v>
      </c>
      <c r="E7365" t="s">
        <v>25095</v>
      </c>
      <c r="F7365" t="s">
        <v>5936</v>
      </c>
      <c r="G7365" t="s">
        <v>17038</v>
      </c>
      <c r="H7365" t="s">
        <v>25096</v>
      </c>
      <c r="I7365" t="s">
        <v>25097</v>
      </c>
      <c r="J7365" t="s">
        <v>15219</v>
      </c>
      <c r="K7365" s="2" t="str">
        <f>HYPERLINK("http://collections.slsa.sa.gov.au/mpcimg/46750/B46528_212.htm")</f>
        <v>http://collections.slsa.sa.gov.au/mpcimg/46750/B46528_212.htm</v>
      </c>
    </row>
    <row r="7366" spans="1:11" x14ac:dyDescent="0.25">
      <c r="A7366" t="s">
        <v>25098</v>
      </c>
      <c r="B7366" s="1" t="str">
        <f>HYPERLINK("https://www.catalog.slsa.sa.gov.au/record=b2072718")</f>
        <v>https://www.catalog.slsa.sa.gov.au/record=b2072718</v>
      </c>
      <c r="C7366" s="1" t="str">
        <f>HYPERLINK("https://www.catalog.slsa.sa.gov.au/xrecord=b2072718")</f>
        <v>https://www.catalog.slsa.sa.gov.au/xrecord=b2072718</v>
      </c>
      <c r="D7366" t="s">
        <v>16941</v>
      </c>
      <c r="E7366" t="s">
        <v>25095</v>
      </c>
      <c r="F7366" t="s">
        <v>5936</v>
      </c>
      <c r="G7366" t="s">
        <v>17038</v>
      </c>
      <c r="H7366" t="s">
        <v>25096</v>
      </c>
      <c r="I7366" t="s">
        <v>25097</v>
      </c>
      <c r="J7366" t="s">
        <v>15219</v>
      </c>
      <c r="K7366" s="2" t="str">
        <f>HYPERLINK("http://collections.slsa.sa.gov.au/mpcimg/46750/B46528_213.htm")</f>
        <v>http://collections.slsa.sa.gov.au/mpcimg/46750/B46528_213.htm</v>
      </c>
    </row>
    <row r="7367" spans="1:11" x14ac:dyDescent="0.25">
      <c r="A7367" t="s">
        <v>25099</v>
      </c>
      <c r="B7367" s="1" t="str">
        <f>HYPERLINK("https://www.catalog.slsa.sa.gov.au/record=b2072719")</f>
        <v>https://www.catalog.slsa.sa.gov.au/record=b2072719</v>
      </c>
      <c r="C7367" s="1" t="str">
        <f>HYPERLINK("https://www.catalog.slsa.sa.gov.au/xrecord=b2072719")</f>
        <v>https://www.catalog.slsa.sa.gov.au/xrecord=b2072719</v>
      </c>
      <c r="D7367" t="s">
        <v>16941</v>
      </c>
      <c r="E7367" t="s">
        <v>25095</v>
      </c>
      <c r="F7367" t="s">
        <v>5936</v>
      </c>
      <c r="G7367" t="s">
        <v>17038</v>
      </c>
      <c r="H7367" t="s">
        <v>25100</v>
      </c>
      <c r="I7367" t="s">
        <v>25097</v>
      </c>
      <c r="J7367" t="s">
        <v>15219</v>
      </c>
      <c r="K7367" s="2" t="str">
        <f>HYPERLINK("http://collections.slsa.sa.gov.au/mpcimg/46750/B46528_214.htm")</f>
        <v>http://collections.slsa.sa.gov.au/mpcimg/46750/B46528_214.htm</v>
      </c>
    </row>
    <row r="7368" spans="1:11" x14ac:dyDescent="0.25">
      <c r="A7368" t="s">
        <v>25101</v>
      </c>
      <c r="B7368" s="1" t="str">
        <f>HYPERLINK("https://www.catalog.slsa.sa.gov.au/record=b2076614")</f>
        <v>https://www.catalog.slsa.sa.gov.au/record=b2076614</v>
      </c>
      <c r="C7368" s="1" t="str">
        <f>HYPERLINK("https://www.catalog.slsa.sa.gov.au/xrecord=b2076614")</f>
        <v>https://www.catalog.slsa.sa.gov.au/xrecord=b2076614</v>
      </c>
      <c r="E7368" t="s">
        <v>25102</v>
      </c>
      <c r="F7368" t="s">
        <v>5936</v>
      </c>
      <c r="G7368" t="s">
        <v>25103</v>
      </c>
      <c r="H7368" t="s">
        <v>25104</v>
      </c>
      <c r="I7368" t="s">
        <v>25105</v>
      </c>
      <c r="J7368" t="s">
        <v>2510</v>
      </c>
      <c r="K7368" s="2" t="str">
        <f>HYPERLINK("http://collections.slsa.sa.gov.au/mpcimg/54750/B54559.htm")</f>
        <v>http://collections.slsa.sa.gov.au/mpcimg/54750/B54559.htm</v>
      </c>
    </row>
    <row r="7369" spans="1:11" x14ac:dyDescent="0.25">
      <c r="A7369" t="s">
        <v>25106</v>
      </c>
      <c r="B7369" s="1" t="str">
        <f>HYPERLINK("https://www.catalog.slsa.sa.gov.au/record=b2077197")</f>
        <v>https://www.catalog.slsa.sa.gov.au/record=b2077197</v>
      </c>
      <c r="C7369" s="1" t="str">
        <f>HYPERLINK("https://www.catalog.slsa.sa.gov.au/xrecord=b2077197")</f>
        <v>https://www.catalog.slsa.sa.gov.au/xrecord=b2077197</v>
      </c>
      <c r="E7369" t="s">
        <v>25107</v>
      </c>
      <c r="F7369" t="s">
        <v>5936</v>
      </c>
      <c r="G7369" t="s">
        <v>25108</v>
      </c>
      <c r="H7369" t="s">
        <v>25109</v>
      </c>
      <c r="I7369" t="s">
        <v>25110</v>
      </c>
      <c r="J7369" t="s">
        <v>18318</v>
      </c>
      <c r="K7369" s="2" t="str">
        <f>HYPERLINK("http://collections.slsa.sa.gov.au/mpcimg/55250/B55144.htm")</f>
        <v>http://collections.slsa.sa.gov.au/mpcimg/55250/B55144.htm</v>
      </c>
    </row>
    <row r="7370" spans="1:11" x14ac:dyDescent="0.25">
      <c r="A7370" t="s">
        <v>25111</v>
      </c>
      <c r="B7370" s="1" t="str">
        <f>HYPERLINK("https://www.catalog.slsa.sa.gov.au/record=b2079211")</f>
        <v>https://www.catalog.slsa.sa.gov.au/record=b2079211</v>
      </c>
      <c r="C7370" s="1" t="str">
        <f>HYPERLINK("https://www.catalog.slsa.sa.gov.au/xrecord=b2079211")</f>
        <v>https://www.catalog.slsa.sa.gov.au/xrecord=b2079211</v>
      </c>
      <c r="E7370" t="s">
        <v>25112</v>
      </c>
      <c r="F7370" t="s">
        <v>5936</v>
      </c>
      <c r="G7370" t="s">
        <v>15269</v>
      </c>
      <c r="H7370" t="s">
        <v>25113</v>
      </c>
      <c r="I7370" t="s">
        <v>25114</v>
      </c>
      <c r="J7370" t="s">
        <v>25115</v>
      </c>
      <c r="K7370" s="2" t="str">
        <f>HYPERLINK("http://collections.slsa.sa.gov.au/mpcimg/57250/B57142.htm")</f>
        <v>http://collections.slsa.sa.gov.au/mpcimg/57250/B57142.htm</v>
      </c>
    </row>
    <row r="7371" spans="1:11" x14ac:dyDescent="0.25">
      <c r="A7371" t="s">
        <v>25116</v>
      </c>
      <c r="B7371" s="1" t="str">
        <f>HYPERLINK("https://www.catalog.slsa.sa.gov.au/record=b2080258")</f>
        <v>https://www.catalog.slsa.sa.gov.au/record=b2080258</v>
      </c>
      <c r="C7371" s="1" t="str">
        <f>HYPERLINK("https://www.catalog.slsa.sa.gov.au/xrecord=b2080258")</f>
        <v>https://www.catalog.slsa.sa.gov.au/xrecord=b2080258</v>
      </c>
      <c r="E7371" t="s">
        <v>15309</v>
      </c>
      <c r="F7371" t="s">
        <v>5936</v>
      </c>
      <c r="G7371" t="s">
        <v>25117</v>
      </c>
      <c r="H7371" t="s">
        <v>25118</v>
      </c>
      <c r="I7371" t="s">
        <v>15312</v>
      </c>
      <c r="J7371" t="s">
        <v>14963</v>
      </c>
      <c r="K7371" s="2" t="str">
        <f>HYPERLINK("http://collections.slsa.sa.gov.au/mpcimg/58250/B58192.htm")</f>
        <v>http://collections.slsa.sa.gov.au/mpcimg/58250/B58192.htm</v>
      </c>
    </row>
    <row r="7372" spans="1:11" x14ac:dyDescent="0.25">
      <c r="A7372" t="s">
        <v>25119</v>
      </c>
      <c r="B7372" s="1" t="str">
        <f>HYPERLINK("https://www.catalog.slsa.sa.gov.au/record=b2080887")</f>
        <v>https://www.catalog.slsa.sa.gov.au/record=b2080887</v>
      </c>
      <c r="C7372" s="1" t="str">
        <f>HYPERLINK("https://www.catalog.slsa.sa.gov.au/xrecord=b2080887")</f>
        <v>https://www.catalog.slsa.sa.gov.au/xrecord=b2080887</v>
      </c>
      <c r="E7372" t="s">
        <v>25120</v>
      </c>
      <c r="F7372" t="s">
        <v>5936</v>
      </c>
      <c r="G7372" t="s">
        <v>25121</v>
      </c>
      <c r="H7372" t="s">
        <v>25122</v>
      </c>
      <c r="I7372" t="s">
        <v>25123</v>
      </c>
      <c r="J7372" t="s">
        <v>21405</v>
      </c>
      <c r="K7372" s="2" t="str">
        <f>HYPERLINK("http://collections.slsa.sa.gov.au/mpcimg/59000/B58821.htm")</f>
        <v>http://collections.slsa.sa.gov.au/mpcimg/59000/B58821.htm</v>
      </c>
    </row>
    <row r="7373" spans="1:11" x14ac:dyDescent="0.25">
      <c r="A7373" t="s">
        <v>25124</v>
      </c>
      <c r="B7373" s="1" t="str">
        <f>HYPERLINK("https://www.catalog.slsa.sa.gov.au/record=b2081199")</f>
        <v>https://www.catalog.slsa.sa.gov.au/record=b2081199</v>
      </c>
      <c r="C7373" s="1" t="str">
        <f>HYPERLINK("https://www.catalog.slsa.sa.gov.au/xrecord=b2081199")</f>
        <v>https://www.catalog.slsa.sa.gov.au/xrecord=b2081199</v>
      </c>
      <c r="E7373" t="s">
        <v>25125</v>
      </c>
      <c r="F7373" t="s">
        <v>5936</v>
      </c>
      <c r="G7373" t="s">
        <v>15269</v>
      </c>
      <c r="H7373" t="s">
        <v>25126</v>
      </c>
      <c r="I7373" t="s">
        <v>25127</v>
      </c>
      <c r="J7373" t="s">
        <v>25128</v>
      </c>
      <c r="K7373" s="2" t="str">
        <f>HYPERLINK("http://collections.slsa.sa.gov.au/mpcimg/59250/B59135.htm")</f>
        <v>http://collections.slsa.sa.gov.au/mpcimg/59250/B59135.htm</v>
      </c>
    </row>
    <row r="7374" spans="1:11" x14ac:dyDescent="0.25">
      <c r="A7374" t="s">
        <v>25129</v>
      </c>
      <c r="B7374" s="1" t="str">
        <f>HYPERLINK("https://www.catalog.slsa.sa.gov.au/record=b2082545")</f>
        <v>https://www.catalog.slsa.sa.gov.au/record=b2082545</v>
      </c>
      <c r="C7374" s="1" t="str">
        <f>HYPERLINK("https://www.catalog.slsa.sa.gov.au/xrecord=b2082545")</f>
        <v>https://www.catalog.slsa.sa.gov.au/xrecord=b2082545</v>
      </c>
      <c r="E7374" t="s">
        <v>25130</v>
      </c>
      <c r="F7374" t="s">
        <v>5936</v>
      </c>
      <c r="G7374" t="s">
        <v>24847</v>
      </c>
      <c r="H7374" t="s">
        <v>25131</v>
      </c>
      <c r="I7374" t="s">
        <v>25132</v>
      </c>
      <c r="J7374" t="s">
        <v>25133</v>
      </c>
      <c r="K7374" s="2" t="str">
        <f>HYPERLINK("http://collections.slsa.sa.gov.au/mpcimg/60500/B60485.htm")</f>
        <v>http://collections.slsa.sa.gov.au/mpcimg/60500/B60485.htm</v>
      </c>
    </row>
    <row r="7375" spans="1:11" x14ac:dyDescent="0.25">
      <c r="A7375" t="s">
        <v>25134</v>
      </c>
      <c r="B7375" s="1" t="str">
        <f>HYPERLINK("https://www.catalog.slsa.sa.gov.au/record=b2083093")</f>
        <v>https://www.catalog.slsa.sa.gov.au/record=b2083093</v>
      </c>
      <c r="C7375" s="1" t="str">
        <f>HYPERLINK("https://www.catalog.slsa.sa.gov.au/xrecord=b2083093")</f>
        <v>https://www.catalog.slsa.sa.gov.au/xrecord=b2083093</v>
      </c>
      <c r="E7375" t="s">
        <v>25135</v>
      </c>
      <c r="F7375" t="s">
        <v>5936</v>
      </c>
      <c r="G7375" t="s">
        <v>25136</v>
      </c>
      <c r="H7375" t="s">
        <v>25137</v>
      </c>
      <c r="I7375" t="s">
        <v>25138</v>
      </c>
      <c r="J7375" t="s">
        <v>2963</v>
      </c>
      <c r="K7375" s="2" t="str">
        <f>HYPERLINK("http://collections.slsa.sa.gov.au/mpcimg/61250/B61140.htm")</f>
        <v>http://collections.slsa.sa.gov.au/mpcimg/61250/B61140.htm</v>
      </c>
    </row>
    <row r="7376" spans="1:11" x14ac:dyDescent="0.25">
      <c r="A7376" t="s">
        <v>25139</v>
      </c>
      <c r="B7376" s="1" t="str">
        <f>HYPERLINK("https://www.catalog.slsa.sa.gov.au/record=b2090412")</f>
        <v>https://www.catalog.slsa.sa.gov.au/record=b2090412</v>
      </c>
      <c r="C7376" s="1" t="str">
        <f>HYPERLINK("https://www.catalog.slsa.sa.gov.au/xrecord=b2090412")</f>
        <v>https://www.catalog.slsa.sa.gov.au/xrecord=b2090412</v>
      </c>
      <c r="E7376" t="s">
        <v>21547</v>
      </c>
      <c r="F7376" t="s">
        <v>5936</v>
      </c>
      <c r="G7376" t="s">
        <v>15391</v>
      </c>
      <c r="H7376" t="s">
        <v>20228</v>
      </c>
      <c r="I7376" t="s">
        <v>15400</v>
      </c>
      <c r="J7376" t="s">
        <v>15341</v>
      </c>
      <c r="K7376" s="2" t="str">
        <f>HYPERLINK("http://collections.slsa.sa.gov.au/mpcimg/59000/B58892_248.htm")</f>
        <v>http://collections.slsa.sa.gov.au/mpcimg/59000/B58892_248.htm</v>
      </c>
    </row>
    <row r="7377" spans="1:11" x14ac:dyDescent="0.25">
      <c r="A7377" t="s">
        <v>25140</v>
      </c>
      <c r="B7377" s="1" t="str">
        <f>HYPERLINK("https://www.catalog.slsa.sa.gov.au/record=b2090543")</f>
        <v>https://www.catalog.slsa.sa.gov.au/record=b2090543</v>
      </c>
      <c r="C7377" s="1" t="str">
        <f>HYPERLINK("https://www.catalog.slsa.sa.gov.au/xrecord=b2090543")</f>
        <v>https://www.catalog.slsa.sa.gov.au/xrecord=b2090543</v>
      </c>
      <c r="E7377" t="s">
        <v>15394</v>
      </c>
      <c r="F7377" t="s">
        <v>5936</v>
      </c>
      <c r="G7377" t="s">
        <v>20182</v>
      </c>
      <c r="H7377" t="s">
        <v>15399</v>
      </c>
      <c r="I7377" t="s">
        <v>15400</v>
      </c>
      <c r="J7377" t="s">
        <v>15341</v>
      </c>
      <c r="K7377" s="2" t="str">
        <f>HYPERLINK("http://collections.slsa.sa.gov.au/mpcimg/59000/B58892_379.htm")</f>
        <v>http://collections.slsa.sa.gov.au/mpcimg/59000/B58892_379.htm</v>
      </c>
    </row>
    <row r="7378" spans="1:11" x14ac:dyDescent="0.25">
      <c r="A7378" t="s">
        <v>25141</v>
      </c>
      <c r="B7378" s="1" t="str">
        <f>HYPERLINK("https://www.catalog.slsa.sa.gov.au/record=b2090544")</f>
        <v>https://www.catalog.slsa.sa.gov.au/record=b2090544</v>
      </c>
      <c r="C7378" s="1" t="str">
        <f>HYPERLINK("https://www.catalog.slsa.sa.gov.au/xrecord=b2090544")</f>
        <v>https://www.catalog.slsa.sa.gov.au/xrecord=b2090544</v>
      </c>
      <c r="E7378" t="s">
        <v>15394</v>
      </c>
      <c r="F7378" t="s">
        <v>5936</v>
      </c>
      <c r="G7378" t="s">
        <v>25142</v>
      </c>
      <c r="H7378" t="s">
        <v>15399</v>
      </c>
      <c r="I7378" t="s">
        <v>15400</v>
      </c>
      <c r="J7378" t="s">
        <v>15341</v>
      </c>
      <c r="K7378" s="2" t="str">
        <f>HYPERLINK("http://collections.slsa.sa.gov.au/mpcimg/59000/B58892_380.htm")</f>
        <v>http://collections.slsa.sa.gov.au/mpcimg/59000/B58892_380.htm</v>
      </c>
    </row>
    <row r="7379" spans="1:11" x14ac:dyDescent="0.25">
      <c r="A7379" t="s">
        <v>25143</v>
      </c>
      <c r="B7379" s="1" t="str">
        <f>HYPERLINK("https://www.catalog.slsa.sa.gov.au/record=b2090551")</f>
        <v>https://www.catalog.slsa.sa.gov.au/record=b2090551</v>
      </c>
      <c r="C7379" s="1" t="str">
        <f>HYPERLINK("https://www.catalog.slsa.sa.gov.au/xrecord=b2090551")</f>
        <v>https://www.catalog.slsa.sa.gov.au/xrecord=b2090551</v>
      </c>
      <c r="E7379" t="s">
        <v>19666</v>
      </c>
      <c r="F7379" t="s">
        <v>5936</v>
      </c>
      <c r="G7379" t="s">
        <v>21542</v>
      </c>
      <c r="H7379" t="s">
        <v>25144</v>
      </c>
      <c r="I7379" t="s">
        <v>15400</v>
      </c>
      <c r="J7379" t="s">
        <v>15341</v>
      </c>
      <c r="K7379" s="2" t="str">
        <f>HYPERLINK("http://collections.slsa.sa.gov.au/mpcimg/59000/B58892_387.htm")</f>
        <v>http://collections.slsa.sa.gov.au/mpcimg/59000/B58892_387.htm</v>
      </c>
    </row>
    <row r="7380" spans="1:11" x14ac:dyDescent="0.25">
      <c r="A7380" t="s">
        <v>25145</v>
      </c>
      <c r="B7380" s="1" t="str">
        <f>HYPERLINK("https://www.catalog.slsa.sa.gov.au/record=b2090553")</f>
        <v>https://www.catalog.slsa.sa.gov.au/record=b2090553</v>
      </c>
      <c r="C7380" s="1" t="str">
        <f>HYPERLINK("https://www.catalog.slsa.sa.gov.au/xrecord=b2090553")</f>
        <v>https://www.catalog.slsa.sa.gov.au/xrecord=b2090553</v>
      </c>
      <c r="E7380" t="s">
        <v>19666</v>
      </c>
      <c r="F7380" t="s">
        <v>5936</v>
      </c>
      <c r="G7380" t="s">
        <v>25146</v>
      </c>
      <c r="H7380" t="s">
        <v>25147</v>
      </c>
      <c r="I7380" t="s">
        <v>15400</v>
      </c>
      <c r="J7380" t="s">
        <v>15341</v>
      </c>
      <c r="K7380" s="2" t="str">
        <f>HYPERLINK("http://collections.slsa.sa.gov.au/mpcimg/59000/B58892_389.htm")</f>
        <v>http://collections.slsa.sa.gov.au/mpcimg/59000/B58892_389.htm</v>
      </c>
    </row>
    <row r="7381" spans="1:11" x14ac:dyDescent="0.25">
      <c r="A7381" t="s">
        <v>25148</v>
      </c>
      <c r="B7381" s="1" t="str">
        <f>HYPERLINK("https://www.catalog.slsa.sa.gov.au/record=b2090555")</f>
        <v>https://www.catalog.slsa.sa.gov.au/record=b2090555</v>
      </c>
      <c r="C7381" s="1" t="str">
        <f>HYPERLINK("https://www.catalog.slsa.sa.gov.au/xrecord=b2090555")</f>
        <v>https://www.catalog.slsa.sa.gov.au/xrecord=b2090555</v>
      </c>
      <c r="E7381" t="s">
        <v>19666</v>
      </c>
      <c r="F7381" t="s">
        <v>5936</v>
      </c>
      <c r="G7381" t="s">
        <v>25149</v>
      </c>
      <c r="H7381" t="s">
        <v>25150</v>
      </c>
      <c r="I7381" t="s">
        <v>15400</v>
      </c>
      <c r="J7381" t="s">
        <v>15341</v>
      </c>
      <c r="K7381" s="2" t="str">
        <f>HYPERLINK("http://collections.slsa.sa.gov.au/mpcimg/59000/B58892_391.htm")</f>
        <v>http://collections.slsa.sa.gov.au/mpcimg/59000/B58892_391.htm</v>
      </c>
    </row>
    <row r="7382" spans="1:11" x14ac:dyDescent="0.25">
      <c r="A7382" t="s">
        <v>25151</v>
      </c>
      <c r="B7382" s="1" t="str">
        <f>HYPERLINK("https://www.catalog.slsa.sa.gov.au/record=b2090562")</f>
        <v>https://www.catalog.slsa.sa.gov.au/record=b2090562</v>
      </c>
      <c r="C7382" s="1" t="str">
        <f>HYPERLINK("https://www.catalog.slsa.sa.gov.au/xrecord=b2090562")</f>
        <v>https://www.catalog.slsa.sa.gov.au/xrecord=b2090562</v>
      </c>
      <c r="E7382" t="s">
        <v>19666</v>
      </c>
      <c r="F7382" t="s">
        <v>5936</v>
      </c>
      <c r="G7382" t="s">
        <v>19460</v>
      </c>
      <c r="H7382" t="s">
        <v>25152</v>
      </c>
      <c r="I7382" t="s">
        <v>19669</v>
      </c>
      <c r="J7382" t="s">
        <v>15341</v>
      </c>
      <c r="K7382" s="2" t="str">
        <f>HYPERLINK("http://collections.slsa.sa.gov.au/mpcimg/59000/B58892_400.htm")</f>
        <v>http://collections.slsa.sa.gov.au/mpcimg/59000/B58892_400.htm</v>
      </c>
    </row>
    <row r="7383" spans="1:11" x14ac:dyDescent="0.25">
      <c r="A7383" t="s">
        <v>25153</v>
      </c>
      <c r="B7383" s="1" t="str">
        <f>HYPERLINK("https://www.catalog.slsa.sa.gov.au/record=b2090563")</f>
        <v>https://www.catalog.slsa.sa.gov.au/record=b2090563</v>
      </c>
      <c r="C7383" s="1" t="str">
        <f>HYPERLINK("https://www.catalog.slsa.sa.gov.au/xrecord=b2090563")</f>
        <v>https://www.catalog.slsa.sa.gov.au/xrecord=b2090563</v>
      </c>
      <c r="E7383" t="s">
        <v>19666</v>
      </c>
      <c r="F7383" t="s">
        <v>5936</v>
      </c>
      <c r="G7383" t="s">
        <v>19463</v>
      </c>
      <c r="H7383" t="s">
        <v>25154</v>
      </c>
      <c r="I7383" t="s">
        <v>19669</v>
      </c>
      <c r="J7383" t="s">
        <v>15341</v>
      </c>
      <c r="K7383" s="2" t="str">
        <f>HYPERLINK("http://collections.slsa.sa.gov.au/mpcimg/59000/B58892_401.htm")</f>
        <v>http://collections.slsa.sa.gov.au/mpcimg/59000/B58892_401.htm</v>
      </c>
    </row>
    <row r="7384" spans="1:11" x14ac:dyDescent="0.25">
      <c r="A7384" t="s">
        <v>25155</v>
      </c>
      <c r="B7384" s="1" t="str">
        <f>HYPERLINK("https://www.catalog.slsa.sa.gov.au/record=b2090564")</f>
        <v>https://www.catalog.slsa.sa.gov.au/record=b2090564</v>
      </c>
      <c r="C7384" s="1" t="str">
        <f>HYPERLINK("https://www.catalog.slsa.sa.gov.au/xrecord=b2090564")</f>
        <v>https://www.catalog.slsa.sa.gov.au/xrecord=b2090564</v>
      </c>
      <c r="E7384" t="s">
        <v>19666</v>
      </c>
      <c r="F7384" t="s">
        <v>5936</v>
      </c>
      <c r="G7384" t="s">
        <v>25156</v>
      </c>
      <c r="H7384" t="s">
        <v>25157</v>
      </c>
      <c r="I7384" t="s">
        <v>19475</v>
      </c>
      <c r="J7384" t="s">
        <v>15341</v>
      </c>
      <c r="K7384" s="2" t="str">
        <f>HYPERLINK("http://collections.slsa.sa.gov.au/mpcimg/59000/B58892_402.htm")</f>
        <v>http://collections.slsa.sa.gov.au/mpcimg/59000/B58892_402.htm</v>
      </c>
    </row>
    <row r="7385" spans="1:11" x14ac:dyDescent="0.25">
      <c r="A7385" t="s">
        <v>25158</v>
      </c>
      <c r="B7385" s="1" t="str">
        <f>HYPERLINK("https://www.catalog.slsa.sa.gov.au/record=b2090565")</f>
        <v>https://www.catalog.slsa.sa.gov.au/record=b2090565</v>
      </c>
      <c r="C7385" s="1" t="str">
        <f>HYPERLINK("https://www.catalog.slsa.sa.gov.au/xrecord=b2090565")</f>
        <v>https://www.catalog.slsa.sa.gov.au/xrecord=b2090565</v>
      </c>
      <c r="E7385" t="s">
        <v>19666</v>
      </c>
      <c r="F7385" t="s">
        <v>5936</v>
      </c>
      <c r="G7385" t="s">
        <v>25159</v>
      </c>
      <c r="H7385" t="s">
        <v>25157</v>
      </c>
      <c r="I7385" t="s">
        <v>19475</v>
      </c>
      <c r="J7385" t="s">
        <v>15341</v>
      </c>
      <c r="K7385" s="2" t="str">
        <f>HYPERLINK("http://collections.slsa.sa.gov.au/mpcimg/59000/B58892_403.htm")</f>
        <v>http://collections.slsa.sa.gov.au/mpcimg/59000/B58892_403.htm</v>
      </c>
    </row>
    <row r="7386" spans="1:11" x14ac:dyDescent="0.25">
      <c r="A7386" t="s">
        <v>25160</v>
      </c>
      <c r="B7386" s="1" t="str">
        <f>HYPERLINK("https://www.catalog.slsa.sa.gov.au/record=b2090566")</f>
        <v>https://www.catalog.slsa.sa.gov.au/record=b2090566</v>
      </c>
      <c r="C7386" s="1" t="str">
        <f>HYPERLINK("https://www.catalog.slsa.sa.gov.au/xrecord=b2090566")</f>
        <v>https://www.catalog.slsa.sa.gov.au/xrecord=b2090566</v>
      </c>
      <c r="E7386" t="s">
        <v>19666</v>
      </c>
      <c r="F7386" t="s">
        <v>5936</v>
      </c>
      <c r="G7386" t="s">
        <v>25161</v>
      </c>
      <c r="H7386" t="s">
        <v>25162</v>
      </c>
      <c r="I7386" t="s">
        <v>19475</v>
      </c>
      <c r="J7386" t="s">
        <v>15341</v>
      </c>
      <c r="K7386" s="2" t="str">
        <f>HYPERLINK("http://collections.slsa.sa.gov.au/mpcimg/59000/B58892_404.htm")</f>
        <v>http://collections.slsa.sa.gov.au/mpcimg/59000/B58892_404.htm</v>
      </c>
    </row>
    <row r="7387" spans="1:11" x14ac:dyDescent="0.25">
      <c r="A7387" t="s">
        <v>25163</v>
      </c>
      <c r="B7387" s="1" t="str">
        <f>HYPERLINK("https://www.catalog.slsa.sa.gov.au/record=b2090574")</f>
        <v>https://www.catalog.slsa.sa.gov.au/record=b2090574</v>
      </c>
      <c r="C7387" s="1" t="str">
        <f>HYPERLINK("https://www.catalog.slsa.sa.gov.au/xrecord=b2090574")</f>
        <v>https://www.catalog.slsa.sa.gov.au/xrecord=b2090574</v>
      </c>
      <c r="E7387" t="s">
        <v>19666</v>
      </c>
      <c r="F7387" t="s">
        <v>5936</v>
      </c>
      <c r="G7387" t="s">
        <v>25164</v>
      </c>
      <c r="H7387" t="s">
        <v>25165</v>
      </c>
      <c r="I7387" t="s">
        <v>15400</v>
      </c>
      <c r="J7387" t="s">
        <v>15341</v>
      </c>
      <c r="K7387" s="2" t="str">
        <f>HYPERLINK("http://collections.slsa.sa.gov.au/mpcimg/59000/B58892_414.htm")</f>
        <v>http://collections.slsa.sa.gov.au/mpcimg/59000/B58892_414.htm</v>
      </c>
    </row>
    <row r="7388" spans="1:11" x14ac:dyDescent="0.25">
      <c r="A7388" t="s">
        <v>25166</v>
      </c>
      <c r="B7388" s="1" t="str">
        <f>HYPERLINK("https://www.catalog.slsa.sa.gov.au/record=b2090577")</f>
        <v>https://www.catalog.slsa.sa.gov.au/record=b2090577</v>
      </c>
      <c r="C7388" s="1" t="str">
        <f>HYPERLINK("https://www.catalog.slsa.sa.gov.au/xrecord=b2090577")</f>
        <v>https://www.catalog.slsa.sa.gov.au/xrecord=b2090577</v>
      </c>
      <c r="E7388" t="s">
        <v>19679</v>
      </c>
      <c r="F7388" t="s">
        <v>5936</v>
      </c>
      <c r="G7388" t="s">
        <v>20367</v>
      </c>
      <c r="H7388" t="s">
        <v>25167</v>
      </c>
      <c r="I7388" t="s">
        <v>15400</v>
      </c>
      <c r="J7388" t="s">
        <v>15341</v>
      </c>
      <c r="K7388" s="2" t="str">
        <f>HYPERLINK("http://collections.slsa.sa.gov.au/mpcimg/59000/B58892_415.htm")</f>
        <v>http://collections.slsa.sa.gov.au/mpcimg/59000/B58892_415.htm</v>
      </c>
    </row>
    <row r="7389" spans="1:11" x14ac:dyDescent="0.25">
      <c r="A7389" t="s">
        <v>25168</v>
      </c>
      <c r="B7389" s="1" t="str">
        <f>HYPERLINK("https://www.catalog.slsa.sa.gov.au/record=b2090578")</f>
        <v>https://www.catalog.slsa.sa.gov.au/record=b2090578</v>
      </c>
      <c r="C7389" s="1" t="str">
        <f>HYPERLINK("https://www.catalog.slsa.sa.gov.au/xrecord=b2090578")</f>
        <v>https://www.catalog.slsa.sa.gov.au/xrecord=b2090578</v>
      </c>
      <c r="E7389" t="s">
        <v>19679</v>
      </c>
      <c r="F7389" t="s">
        <v>5936</v>
      </c>
      <c r="G7389" t="s">
        <v>25169</v>
      </c>
      <c r="H7389" t="s">
        <v>25170</v>
      </c>
      <c r="I7389" t="s">
        <v>15400</v>
      </c>
      <c r="J7389" t="s">
        <v>15341</v>
      </c>
      <c r="K7389" s="2" t="str">
        <f>HYPERLINK("http://collections.slsa.sa.gov.au/mpcimg/59000/B58892_416.htm")</f>
        <v>http://collections.slsa.sa.gov.au/mpcimg/59000/B58892_416.htm</v>
      </c>
    </row>
    <row r="7390" spans="1:11" x14ac:dyDescent="0.25">
      <c r="A7390" t="s">
        <v>25171</v>
      </c>
      <c r="B7390" s="1" t="str">
        <f>HYPERLINK("https://www.catalog.slsa.sa.gov.au/record=b2090579")</f>
        <v>https://www.catalog.slsa.sa.gov.au/record=b2090579</v>
      </c>
      <c r="C7390" s="1" t="str">
        <f>HYPERLINK("https://www.catalog.slsa.sa.gov.au/xrecord=b2090579")</f>
        <v>https://www.catalog.slsa.sa.gov.au/xrecord=b2090579</v>
      </c>
      <c r="E7390" t="s">
        <v>19679</v>
      </c>
      <c r="F7390" t="s">
        <v>5936</v>
      </c>
      <c r="G7390" t="s">
        <v>25172</v>
      </c>
      <c r="H7390" t="s">
        <v>25173</v>
      </c>
      <c r="I7390" t="s">
        <v>15400</v>
      </c>
      <c r="J7390" t="s">
        <v>15341</v>
      </c>
      <c r="K7390" s="2" t="str">
        <f>HYPERLINK("http://collections.slsa.sa.gov.au/mpcimg/59000/B58892_417.htm")</f>
        <v>http://collections.slsa.sa.gov.au/mpcimg/59000/B58892_417.htm</v>
      </c>
    </row>
    <row r="7391" spans="1:11" x14ac:dyDescent="0.25">
      <c r="A7391" t="s">
        <v>25174</v>
      </c>
      <c r="B7391" s="1" t="str">
        <f>HYPERLINK("https://www.catalog.slsa.sa.gov.au/record=b2090580")</f>
        <v>https://www.catalog.slsa.sa.gov.au/record=b2090580</v>
      </c>
      <c r="C7391" s="1" t="str">
        <f>HYPERLINK("https://www.catalog.slsa.sa.gov.au/xrecord=b2090580")</f>
        <v>https://www.catalog.slsa.sa.gov.au/xrecord=b2090580</v>
      </c>
      <c r="E7391" t="s">
        <v>19679</v>
      </c>
      <c r="F7391" t="s">
        <v>5936</v>
      </c>
      <c r="G7391" t="s">
        <v>25175</v>
      </c>
      <c r="H7391" t="s">
        <v>25176</v>
      </c>
      <c r="I7391" t="s">
        <v>15400</v>
      </c>
      <c r="J7391" t="s">
        <v>15341</v>
      </c>
      <c r="K7391" s="2" t="str">
        <f>HYPERLINK("http://collections.slsa.sa.gov.au/mpcimg/59000/B58892_418.htm")</f>
        <v>http://collections.slsa.sa.gov.au/mpcimg/59000/B58892_418.htm</v>
      </c>
    </row>
    <row r="7392" spans="1:11" x14ac:dyDescent="0.25">
      <c r="A7392" t="s">
        <v>25177</v>
      </c>
      <c r="B7392" s="1" t="str">
        <f>HYPERLINK("https://www.catalog.slsa.sa.gov.au/record=b2090581")</f>
        <v>https://www.catalog.slsa.sa.gov.au/record=b2090581</v>
      </c>
      <c r="C7392" s="1" t="str">
        <f>HYPERLINK("https://www.catalog.slsa.sa.gov.au/xrecord=b2090581")</f>
        <v>https://www.catalog.slsa.sa.gov.au/xrecord=b2090581</v>
      </c>
      <c r="E7392" t="s">
        <v>19679</v>
      </c>
      <c r="F7392" t="s">
        <v>5936</v>
      </c>
      <c r="G7392" t="s">
        <v>25178</v>
      </c>
      <c r="H7392" t="s">
        <v>25179</v>
      </c>
      <c r="I7392" t="s">
        <v>15400</v>
      </c>
      <c r="J7392" t="s">
        <v>15341</v>
      </c>
      <c r="K7392" s="2" t="str">
        <f>HYPERLINK("http://collections.slsa.sa.gov.au/mpcimg/59000/B58892_419.htm")</f>
        <v>http://collections.slsa.sa.gov.au/mpcimg/59000/B58892_419.htm</v>
      </c>
    </row>
    <row r="7393" spans="1:11" x14ac:dyDescent="0.25">
      <c r="A7393" t="s">
        <v>25180</v>
      </c>
      <c r="B7393" s="1" t="str">
        <f>HYPERLINK("https://www.catalog.slsa.sa.gov.au/record=b2090582")</f>
        <v>https://www.catalog.slsa.sa.gov.au/record=b2090582</v>
      </c>
      <c r="C7393" s="1" t="str">
        <f>HYPERLINK("https://www.catalog.slsa.sa.gov.au/xrecord=b2090582")</f>
        <v>https://www.catalog.slsa.sa.gov.au/xrecord=b2090582</v>
      </c>
      <c r="E7393" t="s">
        <v>19679</v>
      </c>
      <c r="F7393" t="s">
        <v>5936</v>
      </c>
      <c r="G7393" t="s">
        <v>25181</v>
      </c>
      <c r="H7393" t="s">
        <v>25182</v>
      </c>
      <c r="I7393" t="s">
        <v>15400</v>
      </c>
      <c r="J7393" t="s">
        <v>15341</v>
      </c>
      <c r="K7393" s="2" t="str">
        <f>HYPERLINK("http://collections.slsa.sa.gov.au/mpcimg/59000/B58892_420.htm")</f>
        <v>http://collections.slsa.sa.gov.au/mpcimg/59000/B58892_420.htm</v>
      </c>
    </row>
    <row r="7394" spans="1:11" x14ac:dyDescent="0.25">
      <c r="A7394" t="s">
        <v>25183</v>
      </c>
      <c r="B7394" s="1" t="str">
        <f>HYPERLINK("https://www.catalog.slsa.sa.gov.au/record=b2090583")</f>
        <v>https://www.catalog.slsa.sa.gov.au/record=b2090583</v>
      </c>
      <c r="C7394" s="1" t="str">
        <f>HYPERLINK("https://www.catalog.slsa.sa.gov.au/xrecord=b2090583")</f>
        <v>https://www.catalog.slsa.sa.gov.au/xrecord=b2090583</v>
      </c>
      <c r="E7394" t="s">
        <v>19679</v>
      </c>
      <c r="F7394" t="s">
        <v>5936</v>
      </c>
      <c r="G7394" t="s">
        <v>20313</v>
      </c>
      <c r="H7394" t="s">
        <v>25184</v>
      </c>
      <c r="I7394" t="s">
        <v>15400</v>
      </c>
      <c r="J7394" t="s">
        <v>15341</v>
      </c>
      <c r="K7394" s="2" t="str">
        <f>HYPERLINK("http://collections.slsa.sa.gov.au/mpcimg/59000/B58892_421.htm")</f>
        <v>http://collections.slsa.sa.gov.au/mpcimg/59000/B58892_421.htm</v>
      </c>
    </row>
    <row r="7395" spans="1:11" x14ac:dyDescent="0.25">
      <c r="A7395" t="s">
        <v>25185</v>
      </c>
      <c r="B7395" s="1" t="str">
        <f>HYPERLINK("https://www.catalog.slsa.sa.gov.au/record=b2090584")</f>
        <v>https://www.catalog.slsa.sa.gov.au/record=b2090584</v>
      </c>
      <c r="C7395" s="1" t="str">
        <f>HYPERLINK("https://www.catalog.slsa.sa.gov.au/xrecord=b2090584")</f>
        <v>https://www.catalog.slsa.sa.gov.au/xrecord=b2090584</v>
      </c>
      <c r="E7395" t="s">
        <v>19679</v>
      </c>
      <c r="F7395" t="s">
        <v>5936</v>
      </c>
      <c r="G7395" t="s">
        <v>25186</v>
      </c>
      <c r="H7395" t="s">
        <v>25187</v>
      </c>
      <c r="I7395" t="s">
        <v>15400</v>
      </c>
      <c r="J7395" t="s">
        <v>15341</v>
      </c>
      <c r="K7395" s="2" t="str">
        <f>HYPERLINK("http://collections.slsa.sa.gov.au/mpcimg/59000/B58892_422.htm")</f>
        <v>http://collections.slsa.sa.gov.au/mpcimg/59000/B58892_422.htm</v>
      </c>
    </row>
    <row r="7396" spans="1:11" x14ac:dyDescent="0.25">
      <c r="A7396" t="s">
        <v>25188</v>
      </c>
      <c r="B7396" s="1" t="str">
        <f>HYPERLINK("https://www.catalog.slsa.sa.gov.au/record=b2090585")</f>
        <v>https://www.catalog.slsa.sa.gov.au/record=b2090585</v>
      </c>
      <c r="C7396" s="1" t="str">
        <f>HYPERLINK("https://www.catalog.slsa.sa.gov.au/xrecord=b2090585")</f>
        <v>https://www.catalog.slsa.sa.gov.au/xrecord=b2090585</v>
      </c>
      <c r="E7396" t="s">
        <v>19679</v>
      </c>
      <c r="F7396" t="s">
        <v>5936</v>
      </c>
      <c r="G7396" t="s">
        <v>25189</v>
      </c>
      <c r="H7396" t="s">
        <v>25190</v>
      </c>
      <c r="I7396" t="s">
        <v>15400</v>
      </c>
      <c r="J7396" t="s">
        <v>15341</v>
      </c>
      <c r="K7396" s="2" t="str">
        <f>HYPERLINK("http://collections.slsa.sa.gov.au/mpcimg/59000/B58892_423.htm")</f>
        <v>http://collections.slsa.sa.gov.au/mpcimg/59000/B58892_423.htm</v>
      </c>
    </row>
    <row r="7397" spans="1:11" x14ac:dyDescent="0.25">
      <c r="A7397" t="s">
        <v>25191</v>
      </c>
      <c r="B7397" s="1" t="str">
        <f>HYPERLINK("https://www.catalog.slsa.sa.gov.au/record=b2090586")</f>
        <v>https://www.catalog.slsa.sa.gov.au/record=b2090586</v>
      </c>
      <c r="C7397" s="1" t="str">
        <f>HYPERLINK("https://www.catalog.slsa.sa.gov.au/xrecord=b2090586")</f>
        <v>https://www.catalog.slsa.sa.gov.au/xrecord=b2090586</v>
      </c>
      <c r="E7397" t="s">
        <v>19679</v>
      </c>
      <c r="F7397" t="s">
        <v>5936</v>
      </c>
      <c r="G7397" t="s">
        <v>25192</v>
      </c>
      <c r="H7397" t="s">
        <v>25193</v>
      </c>
      <c r="I7397" t="s">
        <v>15400</v>
      </c>
      <c r="J7397" t="s">
        <v>15341</v>
      </c>
      <c r="K7397" s="2" t="str">
        <f>HYPERLINK("http://collections.slsa.sa.gov.au/mpcimg/59000/B58892_424.htm")</f>
        <v>http://collections.slsa.sa.gov.au/mpcimg/59000/B58892_424.htm</v>
      </c>
    </row>
    <row r="7398" spans="1:11" x14ac:dyDescent="0.25">
      <c r="A7398" t="s">
        <v>25194</v>
      </c>
      <c r="B7398" s="1" t="str">
        <f>HYPERLINK("https://www.catalog.slsa.sa.gov.au/record=b2090587")</f>
        <v>https://www.catalog.slsa.sa.gov.au/record=b2090587</v>
      </c>
      <c r="C7398" s="1" t="str">
        <f>HYPERLINK("https://www.catalog.slsa.sa.gov.au/xrecord=b2090587")</f>
        <v>https://www.catalog.slsa.sa.gov.au/xrecord=b2090587</v>
      </c>
      <c r="E7398" t="s">
        <v>19679</v>
      </c>
      <c r="F7398" t="s">
        <v>5936</v>
      </c>
      <c r="G7398" t="s">
        <v>25195</v>
      </c>
      <c r="H7398" t="s">
        <v>25196</v>
      </c>
      <c r="I7398" t="s">
        <v>15400</v>
      </c>
      <c r="J7398" t="s">
        <v>15341</v>
      </c>
      <c r="K7398" s="2" t="str">
        <f>HYPERLINK("http://collections.slsa.sa.gov.au/mpcimg/59000/B58892_425.htm")</f>
        <v>http://collections.slsa.sa.gov.au/mpcimg/59000/B58892_425.htm</v>
      </c>
    </row>
    <row r="7399" spans="1:11" x14ac:dyDescent="0.25">
      <c r="A7399" t="s">
        <v>25197</v>
      </c>
      <c r="B7399" s="1" t="str">
        <f>HYPERLINK("https://www.catalog.slsa.sa.gov.au/record=b2090588")</f>
        <v>https://www.catalog.slsa.sa.gov.au/record=b2090588</v>
      </c>
      <c r="C7399" s="1" t="str">
        <f>HYPERLINK("https://www.catalog.slsa.sa.gov.au/xrecord=b2090588")</f>
        <v>https://www.catalog.slsa.sa.gov.au/xrecord=b2090588</v>
      </c>
      <c r="E7399" t="s">
        <v>19679</v>
      </c>
      <c r="F7399" t="s">
        <v>5936</v>
      </c>
      <c r="G7399" t="s">
        <v>25198</v>
      </c>
      <c r="H7399" t="s">
        <v>25199</v>
      </c>
      <c r="I7399" t="s">
        <v>15400</v>
      </c>
      <c r="J7399" t="s">
        <v>15341</v>
      </c>
      <c r="K7399" s="2" t="str">
        <f>HYPERLINK("http://collections.slsa.sa.gov.au/mpcimg/59000/B58892_426.htm")</f>
        <v>http://collections.slsa.sa.gov.au/mpcimg/59000/B58892_426.htm</v>
      </c>
    </row>
    <row r="7400" spans="1:11" x14ac:dyDescent="0.25">
      <c r="A7400" t="s">
        <v>25200</v>
      </c>
      <c r="B7400" s="1" t="str">
        <f>HYPERLINK("https://www.catalog.slsa.sa.gov.au/record=b2090589")</f>
        <v>https://www.catalog.slsa.sa.gov.au/record=b2090589</v>
      </c>
      <c r="C7400" s="1" t="str">
        <f>HYPERLINK("https://www.catalog.slsa.sa.gov.au/xrecord=b2090589")</f>
        <v>https://www.catalog.slsa.sa.gov.au/xrecord=b2090589</v>
      </c>
      <c r="E7400" t="s">
        <v>19679</v>
      </c>
      <c r="F7400" t="s">
        <v>5936</v>
      </c>
      <c r="G7400" t="s">
        <v>21621</v>
      </c>
      <c r="H7400" t="s">
        <v>25201</v>
      </c>
      <c r="I7400" t="s">
        <v>15400</v>
      </c>
      <c r="J7400" t="s">
        <v>15341</v>
      </c>
      <c r="K7400" s="2" t="str">
        <f>HYPERLINK("http://collections.slsa.sa.gov.au/mpcimg/59000/B58892_427.htm")</f>
        <v>http://collections.slsa.sa.gov.au/mpcimg/59000/B58892_427.htm</v>
      </c>
    </row>
    <row r="7401" spans="1:11" x14ac:dyDescent="0.25">
      <c r="A7401" t="s">
        <v>25202</v>
      </c>
      <c r="B7401" s="1" t="str">
        <f>HYPERLINK("https://www.catalog.slsa.sa.gov.au/record=b2090590")</f>
        <v>https://www.catalog.slsa.sa.gov.au/record=b2090590</v>
      </c>
      <c r="C7401" s="1" t="str">
        <f>HYPERLINK("https://www.catalog.slsa.sa.gov.au/xrecord=b2090590")</f>
        <v>https://www.catalog.slsa.sa.gov.au/xrecord=b2090590</v>
      </c>
      <c r="E7401" t="s">
        <v>19679</v>
      </c>
      <c r="F7401" t="s">
        <v>5936</v>
      </c>
      <c r="G7401" t="s">
        <v>19626</v>
      </c>
      <c r="H7401" t="s">
        <v>25203</v>
      </c>
      <c r="I7401" t="s">
        <v>15400</v>
      </c>
      <c r="J7401" t="s">
        <v>15341</v>
      </c>
      <c r="K7401" s="2" t="str">
        <f>HYPERLINK("http://collections.slsa.sa.gov.au/mpcimg/59000/B58892_428.htm")</f>
        <v>http://collections.slsa.sa.gov.au/mpcimg/59000/B58892_428.htm</v>
      </c>
    </row>
    <row r="7402" spans="1:11" x14ac:dyDescent="0.25">
      <c r="A7402" t="s">
        <v>25204</v>
      </c>
      <c r="B7402" s="1" t="str">
        <f>HYPERLINK("https://www.catalog.slsa.sa.gov.au/record=b2090591")</f>
        <v>https://www.catalog.slsa.sa.gov.au/record=b2090591</v>
      </c>
      <c r="C7402" s="1" t="str">
        <f>HYPERLINK("https://www.catalog.slsa.sa.gov.au/xrecord=b2090591")</f>
        <v>https://www.catalog.slsa.sa.gov.au/xrecord=b2090591</v>
      </c>
      <c r="E7402" t="s">
        <v>19679</v>
      </c>
      <c r="F7402" t="s">
        <v>5936</v>
      </c>
      <c r="G7402" t="s">
        <v>25205</v>
      </c>
      <c r="H7402" t="s">
        <v>25206</v>
      </c>
      <c r="I7402" t="s">
        <v>15400</v>
      </c>
      <c r="J7402" t="s">
        <v>15341</v>
      </c>
      <c r="K7402" s="2" t="str">
        <f>HYPERLINK("http://collections.slsa.sa.gov.au/mpcimg/59000/B58892_429.htm")</f>
        <v>http://collections.slsa.sa.gov.au/mpcimg/59000/B58892_429.htm</v>
      </c>
    </row>
    <row r="7403" spans="1:11" x14ac:dyDescent="0.25">
      <c r="A7403" t="s">
        <v>25207</v>
      </c>
      <c r="B7403" s="1" t="str">
        <f>HYPERLINK("https://www.catalog.slsa.sa.gov.au/record=b2090592")</f>
        <v>https://www.catalog.slsa.sa.gov.au/record=b2090592</v>
      </c>
      <c r="C7403" s="1" t="str">
        <f>HYPERLINK("https://www.catalog.slsa.sa.gov.au/xrecord=b2090592")</f>
        <v>https://www.catalog.slsa.sa.gov.au/xrecord=b2090592</v>
      </c>
      <c r="E7403" t="s">
        <v>19679</v>
      </c>
      <c r="F7403" t="s">
        <v>5936</v>
      </c>
      <c r="G7403" t="s">
        <v>25208</v>
      </c>
      <c r="H7403" t="s">
        <v>25209</v>
      </c>
      <c r="I7403" t="s">
        <v>15400</v>
      </c>
      <c r="J7403" t="s">
        <v>15341</v>
      </c>
      <c r="K7403" s="2" t="str">
        <f>HYPERLINK("http://collections.slsa.sa.gov.au/mpcimg/59000/B58892_430.htm")</f>
        <v>http://collections.slsa.sa.gov.au/mpcimg/59000/B58892_430.htm</v>
      </c>
    </row>
    <row r="7404" spans="1:11" x14ac:dyDescent="0.25">
      <c r="A7404" t="s">
        <v>25210</v>
      </c>
      <c r="B7404" s="1" t="str">
        <f>HYPERLINK("https://www.catalog.slsa.sa.gov.au/record=b2105783")</f>
        <v>https://www.catalog.slsa.sa.gov.au/record=b2105783</v>
      </c>
      <c r="C7404" s="1" t="str">
        <f>HYPERLINK("https://www.catalog.slsa.sa.gov.au/xrecord=b2105783")</f>
        <v>https://www.catalog.slsa.sa.gov.au/xrecord=b2105783</v>
      </c>
      <c r="E7404" t="s">
        <v>25211</v>
      </c>
      <c r="F7404" t="s">
        <v>5936</v>
      </c>
      <c r="G7404" t="s">
        <v>25212</v>
      </c>
      <c r="H7404" t="s">
        <v>25213</v>
      </c>
      <c r="I7404" t="s">
        <v>25214</v>
      </c>
      <c r="J7404" t="s">
        <v>15320</v>
      </c>
      <c r="K7404" s="2" t="str">
        <f>HYPERLINK("http://collections.slsa.sa.gov.au/mpcimg/69250/B69065.htm")</f>
        <v>http://collections.slsa.sa.gov.au/mpcimg/69250/B69065.htm</v>
      </c>
    </row>
    <row r="7405" spans="1:11" x14ac:dyDescent="0.25">
      <c r="A7405" t="s">
        <v>25215</v>
      </c>
      <c r="B7405" s="1" t="str">
        <f>HYPERLINK("https://www.catalog.slsa.sa.gov.au/record=b2106655")</f>
        <v>https://www.catalog.slsa.sa.gov.au/record=b2106655</v>
      </c>
      <c r="C7405" s="1" t="str">
        <f>HYPERLINK("https://www.catalog.slsa.sa.gov.au/xrecord=b2106655")</f>
        <v>https://www.catalog.slsa.sa.gov.au/xrecord=b2106655</v>
      </c>
      <c r="D7405" t="s">
        <v>24958</v>
      </c>
      <c r="E7405" t="s">
        <v>25216</v>
      </c>
      <c r="F7405" t="s">
        <v>5936</v>
      </c>
      <c r="G7405" t="s">
        <v>25217</v>
      </c>
      <c r="H7405" t="s">
        <v>25218</v>
      </c>
      <c r="I7405" t="s">
        <v>25219</v>
      </c>
      <c r="J7405" t="s">
        <v>14768</v>
      </c>
      <c r="K7405" s="2" t="str">
        <f>HYPERLINK("http://collections.slsa.sa.gov.au/mpcimg/69250/B69087_69.htm")</f>
        <v>http://collections.slsa.sa.gov.au/mpcimg/69250/B69087_69.htm</v>
      </c>
    </row>
    <row r="7406" spans="1:11" x14ac:dyDescent="0.25">
      <c r="A7406" t="s">
        <v>25220</v>
      </c>
      <c r="B7406" s="1" t="str">
        <f>HYPERLINK("https://www.catalog.slsa.sa.gov.au/record=b2108951")</f>
        <v>https://www.catalog.slsa.sa.gov.au/record=b2108951</v>
      </c>
      <c r="C7406" s="1" t="str">
        <f>HYPERLINK("https://www.catalog.slsa.sa.gov.au/xrecord=b2108951")</f>
        <v>https://www.catalog.slsa.sa.gov.au/xrecord=b2108951</v>
      </c>
      <c r="E7406" t="s">
        <v>25221</v>
      </c>
      <c r="F7406" t="s">
        <v>5936</v>
      </c>
      <c r="G7406" t="s">
        <v>25222</v>
      </c>
      <c r="H7406" t="s">
        <v>25223</v>
      </c>
      <c r="I7406" t="s">
        <v>25224</v>
      </c>
      <c r="J7406" t="s">
        <v>2510</v>
      </c>
      <c r="K7406" s="2" t="str">
        <f>HYPERLINK("http://collections.slsa.sa.gov.au/mpcimg/69750/B69690.htm")</f>
        <v>http://collections.slsa.sa.gov.au/mpcimg/69750/B69690.htm</v>
      </c>
    </row>
    <row r="7407" spans="1:11" x14ac:dyDescent="0.25">
      <c r="A7407" t="s">
        <v>25225</v>
      </c>
      <c r="B7407" s="1" t="str">
        <f>HYPERLINK("https://www.catalog.slsa.sa.gov.au/record=b2112660")</f>
        <v>https://www.catalog.slsa.sa.gov.au/record=b2112660</v>
      </c>
      <c r="C7407" s="1" t="str">
        <f>HYPERLINK("https://www.catalog.slsa.sa.gov.au/xrecord=b2112660")</f>
        <v>https://www.catalog.slsa.sa.gov.au/xrecord=b2112660</v>
      </c>
      <c r="E7407" t="s">
        <v>25226</v>
      </c>
      <c r="F7407" t="s">
        <v>5936</v>
      </c>
      <c r="G7407" t="s">
        <v>25227</v>
      </c>
      <c r="H7407" t="s">
        <v>25228</v>
      </c>
      <c r="I7407" t="s">
        <v>22363</v>
      </c>
      <c r="J7407" t="s">
        <v>25229</v>
      </c>
      <c r="K7407" s="2" t="str">
        <f>HYPERLINK("http://collections.slsa.sa.gov.au/mpcimg/13250/B13107.htm")</f>
        <v>http://collections.slsa.sa.gov.au/mpcimg/13250/B13107.htm</v>
      </c>
    </row>
    <row r="7408" spans="1:11" x14ac:dyDescent="0.25">
      <c r="A7408" t="s">
        <v>25230</v>
      </c>
      <c r="B7408" s="1" t="str">
        <f>HYPERLINK("https://www.catalog.slsa.sa.gov.au/record=b2121380")</f>
        <v>https://www.catalog.slsa.sa.gov.au/record=b2121380</v>
      </c>
      <c r="C7408" s="1" t="str">
        <f>HYPERLINK("https://www.catalog.slsa.sa.gov.au/xrecord=b2121380")</f>
        <v>https://www.catalog.slsa.sa.gov.au/xrecord=b2121380</v>
      </c>
      <c r="E7408" t="s">
        <v>25231</v>
      </c>
      <c r="F7408" t="s">
        <v>5936</v>
      </c>
      <c r="G7408" t="s">
        <v>25232</v>
      </c>
      <c r="H7408" t="s">
        <v>25233</v>
      </c>
      <c r="I7408" t="s">
        <v>25234</v>
      </c>
      <c r="J7408" t="s">
        <v>20521</v>
      </c>
      <c r="K7408" s="2" t="str">
        <f>HYPERLINK("http://collections.slsa.sa.gov.au/mpcimg/70500/B70378_31.htm")</f>
        <v>http://collections.slsa.sa.gov.au/mpcimg/70500/B70378_31.htm</v>
      </c>
    </row>
    <row r="7409" spans="1:11" x14ac:dyDescent="0.25">
      <c r="A7409" t="s">
        <v>25235</v>
      </c>
      <c r="B7409" s="1" t="str">
        <f>HYPERLINK("https://www.catalog.slsa.sa.gov.au/record=b2128564")</f>
        <v>https://www.catalog.slsa.sa.gov.au/record=b2128564</v>
      </c>
      <c r="C7409" s="1" t="str">
        <f>HYPERLINK("https://www.catalog.slsa.sa.gov.au/xrecord=b2128564")</f>
        <v>https://www.catalog.slsa.sa.gov.au/xrecord=b2128564</v>
      </c>
      <c r="E7409" t="s">
        <v>25236</v>
      </c>
      <c r="F7409" t="s">
        <v>5936</v>
      </c>
      <c r="G7409" t="s">
        <v>25237</v>
      </c>
      <c r="H7409" t="s">
        <v>25238</v>
      </c>
      <c r="I7409" t="s">
        <v>25239</v>
      </c>
      <c r="J7409" t="s">
        <v>25240</v>
      </c>
      <c r="K7409" s="2" t="str">
        <f>HYPERLINK("http://collections.slsa.sa.gov.au/mpcimg/71000/B70882_33.htm")</f>
        <v>http://collections.slsa.sa.gov.au/mpcimg/71000/B70882_33.htm</v>
      </c>
    </row>
    <row r="7410" spans="1:11" x14ac:dyDescent="0.25">
      <c r="A7410" t="s">
        <v>25241</v>
      </c>
      <c r="B7410" s="1" t="str">
        <f>HYPERLINK("https://www.catalog.slsa.sa.gov.au/record=b2128565")</f>
        <v>https://www.catalog.slsa.sa.gov.au/record=b2128565</v>
      </c>
      <c r="C7410" s="1" t="str">
        <f>HYPERLINK("https://www.catalog.slsa.sa.gov.au/xrecord=b2128565")</f>
        <v>https://www.catalog.slsa.sa.gov.au/xrecord=b2128565</v>
      </c>
      <c r="E7410" t="s">
        <v>25242</v>
      </c>
      <c r="F7410" t="s">
        <v>5936</v>
      </c>
      <c r="G7410" t="s">
        <v>25243</v>
      </c>
      <c r="H7410" t="s">
        <v>25244</v>
      </c>
      <c r="J7410" t="s">
        <v>25240</v>
      </c>
      <c r="K7410" s="2" t="str">
        <f>HYPERLINK("http://collections.slsa.sa.gov.au/mpcimg/71000/B70882_34.htm")</f>
        <v>http://collections.slsa.sa.gov.au/mpcimg/71000/B70882_34.htm</v>
      </c>
    </row>
    <row r="7411" spans="1:11" x14ac:dyDescent="0.25">
      <c r="A7411" t="s">
        <v>25245</v>
      </c>
      <c r="B7411" s="1" t="str">
        <f>HYPERLINK("https://www.catalog.slsa.sa.gov.au/record=b2758744")</f>
        <v>https://www.catalog.slsa.sa.gov.au/record=b2758744</v>
      </c>
      <c r="C7411" s="1" t="str">
        <f>HYPERLINK("https://www.catalog.slsa.sa.gov.au/xrecord=b2758744")</f>
        <v>https://www.catalog.slsa.sa.gov.au/xrecord=b2758744</v>
      </c>
      <c r="E7411" t="s">
        <v>25246</v>
      </c>
      <c r="F7411" t="s">
        <v>5936</v>
      </c>
      <c r="G7411" t="s">
        <v>25247</v>
      </c>
      <c r="H7411" t="s">
        <v>25248</v>
      </c>
      <c r="I7411" t="s">
        <v>25249</v>
      </c>
      <c r="J7411" t="s">
        <v>4661</v>
      </c>
      <c r="K7411" s="2" t="str">
        <f>HYPERLINK("http://collections.slsa.sa.gov.au/mpcimg/72500/B72285.htm")</f>
        <v>http://collections.slsa.sa.gov.au/mpcimg/72500/B72285.htm</v>
      </c>
    </row>
    <row r="7412" spans="1:11" x14ac:dyDescent="0.25">
      <c r="A7412" t="s">
        <v>25250</v>
      </c>
      <c r="B7412" s="1" t="str">
        <f>HYPERLINK("https://www.catalog.slsa.sa.gov.au/record=b3010799")</f>
        <v>https://www.catalog.slsa.sa.gov.au/record=b3010799</v>
      </c>
      <c r="C7412" s="1" t="str">
        <f>HYPERLINK("https://www.catalog.slsa.sa.gov.au/xrecord=b3010799")</f>
        <v>https://www.catalog.slsa.sa.gov.au/xrecord=b3010799</v>
      </c>
      <c r="E7412" t="s">
        <v>25251</v>
      </c>
      <c r="F7412" t="s">
        <v>5936</v>
      </c>
      <c r="G7412" t="s">
        <v>22374</v>
      </c>
      <c r="H7412" t="s">
        <v>25252</v>
      </c>
      <c r="I7412" t="s">
        <v>25253</v>
      </c>
      <c r="J7412" t="s">
        <v>15620</v>
      </c>
      <c r="K7412" s="2" t="str">
        <f>HYPERLINK("http://collections.slsa.sa.gov.au/resource/B+73965")</f>
        <v>http://collections.slsa.sa.gov.au/resource/B+73965</v>
      </c>
    </row>
    <row r="7413" spans="1:11" x14ac:dyDescent="0.25">
      <c r="A7413" t="s">
        <v>25254</v>
      </c>
      <c r="B7413" s="1" t="str">
        <f>HYPERLINK("https://www.catalog.slsa.sa.gov.au/record=b3010818")</f>
        <v>https://www.catalog.slsa.sa.gov.au/record=b3010818</v>
      </c>
      <c r="C7413" s="1" t="str">
        <f>HYPERLINK("https://www.catalog.slsa.sa.gov.au/xrecord=b3010818")</f>
        <v>https://www.catalog.slsa.sa.gov.au/xrecord=b3010818</v>
      </c>
      <c r="E7413" t="s">
        <v>25255</v>
      </c>
      <c r="F7413" t="s">
        <v>5936</v>
      </c>
      <c r="G7413" t="s">
        <v>22374</v>
      </c>
      <c r="H7413" t="s">
        <v>25256</v>
      </c>
      <c r="I7413" t="s">
        <v>25253</v>
      </c>
      <c r="J7413" t="s">
        <v>15620</v>
      </c>
      <c r="K7413" s="2" t="str">
        <f>HYPERLINK("http://collections.slsa.sa.gov.au/resource/B+73966")</f>
        <v>http://collections.slsa.sa.gov.au/resource/B+73966</v>
      </c>
    </row>
    <row r="7414" spans="1:11" x14ac:dyDescent="0.25">
      <c r="A7414" t="s">
        <v>25257</v>
      </c>
      <c r="B7414" s="1" t="str">
        <f>HYPERLINK("https://www.catalog.slsa.sa.gov.au/record=b2035939")</f>
        <v>https://www.catalog.slsa.sa.gov.au/record=b2035939</v>
      </c>
      <c r="C7414" s="1" t="str">
        <f>HYPERLINK("https://www.catalog.slsa.sa.gov.au/xrecord=b2035939")</f>
        <v>https://www.catalog.slsa.sa.gov.au/xrecord=b2035939</v>
      </c>
      <c r="D7414" t="s">
        <v>16831</v>
      </c>
      <c r="E7414" t="s">
        <v>25258</v>
      </c>
      <c r="F7414">
        <v>1955</v>
      </c>
      <c r="G7414" t="s">
        <v>20063</v>
      </c>
      <c r="H7414" t="s">
        <v>25259</v>
      </c>
      <c r="I7414" t="s">
        <v>25260</v>
      </c>
      <c r="J7414" t="s">
        <v>2654</v>
      </c>
      <c r="K7414" s="2" t="str">
        <f>HYPERLINK("http://collections.slsa.sa.gov.au/mpcimg/13250/B13162.htm")</f>
        <v>http://collections.slsa.sa.gov.au/mpcimg/13250/B13162.htm</v>
      </c>
    </row>
    <row r="7415" spans="1:11" x14ac:dyDescent="0.25">
      <c r="A7415" t="s">
        <v>25261</v>
      </c>
      <c r="B7415" s="1" t="str">
        <f>HYPERLINK("https://www.catalog.slsa.sa.gov.au/record=b2054490")</f>
        <v>https://www.catalog.slsa.sa.gov.au/record=b2054490</v>
      </c>
      <c r="C7415" s="1" t="str">
        <f>HYPERLINK("https://www.catalog.slsa.sa.gov.au/xrecord=b2054490")</f>
        <v>https://www.catalog.slsa.sa.gov.au/xrecord=b2054490</v>
      </c>
      <c r="D7415" t="s">
        <v>16831</v>
      </c>
      <c r="E7415" t="s">
        <v>15201</v>
      </c>
      <c r="F7415">
        <v>1955</v>
      </c>
      <c r="G7415" t="s">
        <v>19</v>
      </c>
      <c r="H7415" t="s">
        <v>25262</v>
      </c>
      <c r="J7415" t="s">
        <v>22714</v>
      </c>
      <c r="K7415" s="2" t="str">
        <f>HYPERLINK("http://collections.slsa.sa.gov.au/mpcimg/13500/B13481.htm")</f>
        <v>http://collections.slsa.sa.gov.au/mpcimg/13500/B13481.htm</v>
      </c>
    </row>
    <row r="7416" spans="1:11" x14ac:dyDescent="0.25">
      <c r="A7416" t="s">
        <v>25263</v>
      </c>
      <c r="B7416" s="1" t="str">
        <f>HYPERLINK("https://www.catalog.slsa.sa.gov.au/record=b2054508")</f>
        <v>https://www.catalog.slsa.sa.gov.au/record=b2054508</v>
      </c>
      <c r="C7416" s="1" t="str">
        <f>HYPERLINK("https://www.catalog.slsa.sa.gov.au/xrecord=b2054508")</f>
        <v>https://www.catalog.slsa.sa.gov.au/xrecord=b2054508</v>
      </c>
      <c r="D7416" t="s">
        <v>16831</v>
      </c>
      <c r="E7416" t="s">
        <v>25264</v>
      </c>
      <c r="F7416">
        <v>1955</v>
      </c>
      <c r="G7416" t="s">
        <v>20063</v>
      </c>
      <c r="H7416" t="s">
        <v>25265</v>
      </c>
      <c r="J7416" t="s">
        <v>25229</v>
      </c>
      <c r="K7416" s="2" t="str">
        <f>HYPERLINK("http://collections.slsa.sa.gov.au/mpcimg/13250/B13190.htm")</f>
        <v>http://collections.slsa.sa.gov.au/mpcimg/13250/B13190.htm</v>
      </c>
    </row>
    <row r="7417" spans="1:11" x14ac:dyDescent="0.25">
      <c r="A7417" t="s">
        <v>25266</v>
      </c>
      <c r="B7417" s="1" t="str">
        <f>HYPERLINK("https://www.catalog.slsa.sa.gov.au/record=b2054846")</f>
        <v>https://www.catalog.slsa.sa.gov.au/record=b2054846</v>
      </c>
      <c r="C7417" s="1" t="str">
        <f>HYPERLINK("https://www.catalog.slsa.sa.gov.au/xrecord=b2054846")</f>
        <v>https://www.catalog.slsa.sa.gov.au/xrecord=b2054846</v>
      </c>
      <c r="D7417" t="s">
        <v>16831</v>
      </c>
      <c r="E7417" t="s">
        <v>17146</v>
      </c>
      <c r="F7417">
        <v>1955</v>
      </c>
      <c r="G7417" t="s">
        <v>20063</v>
      </c>
      <c r="H7417" t="s">
        <v>25267</v>
      </c>
      <c r="J7417" t="s">
        <v>23768</v>
      </c>
      <c r="K7417" s="2" t="str">
        <f>HYPERLINK("http://collections.slsa.sa.gov.au/mpcimg/13250/B13144.htm")</f>
        <v>http://collections.slsa.sa.gov.au/mpcimg/13250/B13144.htm</v>
      </c>
    </row>
    <row r="7418" spans="1:11" x14ac:dyDescent="0.25">
      <c r="A7418" t="s">
        <v>25268</v>
      </c>
      <c r="B7418" s="1" t="str">
        <f>HYPERLINK("https://www.catalog.slsa.sa.gov.au/record=b2054847")</f>
        <v>https://www.catalog.slsa.sa.gov.au/record=b2054847</v>
      </c>
      <c r="C7418" s="1" t="str">
        <f>HYPERLINK("https://www.catalog.slsa.sa.gov.au/xrecord=b2054847")</f>
        <v>https://www.catalog.slsa.sa.gov.au/xrecord=b2054847</v>
      </c>
      <c r="D7418" t="s">
        <v>16831</v>
      </c>
      <c r="E7418" t="s">
        <v>17146</v>
      </c>
      <c r="F7418">
        <v>1955</v>
      </c>
      <c r="G7418" t="s">
        <v>20063</v>
      </c>
      <c r="H7418" t="s">
        <v>25269</v>
      </c>
      <c r="J7418" t="s">
        <v>23768</v>
      </c>
      <c r="K7418" s="2" t="str">
        <f>HYPERLINK("http://collections.slsa.sa.gov.au/mpcimg/13250/B13145.htm")</f>
        <v>http://collections.slsa.sa.gov.au/mpcimg/13250/B13145.htm</v>
      </c>
    </row>
    <row r="7419" spans="1:11" x14ac:dyDescent="0.25">
      <c r="A7419" t="s">
        <v>25270</v>
      </c>
      <c r="B7419" s="1" t="str">
        <f>HYPERLINK("https://www.catalog.slsa.sa.gov.au/record=b2054987")</f>
        <v>https://www.catalog.slsa.sa.gov.au/record=b2054987</v>
      </c>
      <c r="C7419" s="1" t="str">
        <f>HYPERLINK("https://www.catalog.slsa.sa.gov.au/xrecord=b2054987")</f>
        <v>https://www.catalog.slsa.sa.gov.au/xrecord=b2054987</v>
      </c>
      <c r="D7419" t="s">
        <v>16831</v>
      </c>
      <c r="E7419" t="s">
        <v>15201</v>
      </c>
      <c r="F7419">
        <v>1955</v>
      </c>
      <c r="G7419" t="s">
        <v>5070</v>
      </c>
      <c r="H7419" t="s">
        <v>25271</v>
      </c>
      <c r="J7419" t="s">
        <v>22730</v>
      </c>
      <c r="K7419" s="2" t="str">
        <f>HYPERLINK("http://collections.slsa.sa.gov.au/mpcimg/13750/B13561.htm")</f>
        <v>http://collections.slsa.sa.gov.au/mpcimg/13750/B13561.htm</v>
      </c>
    </row>
    <row r="7420" spans="1:11" x14ac:dyDescent="0.25">
      <c r="A7420" t="s">
        <v>25272</v>
      </c>
      <c r="B7420" s="1" t="str">
        <f>HYPERLINK("https://www.catalog.slsa.sa.gov.au/record=b2055012")</f>
        <v>https://www.catalog.slsa.sa.gov.au/record=b2055012</v>
      </c>
      <c r="C7420" s="1" t="str">
        <f>HYPERLINK("https://www.catalog.slsa.sa.gov.au/xrecord=b2055012")</f>
        <v>https://www.catalog.slsa.sa.gov.au/xrecord=b2055012</v>
      </c>
      <c r="D7420" t="s">
        <v>16831</v>
      </c>
      <c r="E7420" t="s">
        <v>15201</v>
      </c>
      <c r="F7420">
        <v>1955</v>
      </c>
      <c r="G7420" t="s">
        <v>22709</v>
      </c>
      <c r="H7420" t="s">
        <v>25273</v>
      </c>
      <c r="J7420" t="s">
        <v>23987</v>
      </c>
      <c r="K7420" s="2" t="str">
        <f>HYPERLINK("http://collections.slsa.sa.gov.au/mpcimg/13500/B13384.htm")</f>
        <v>http://collections.slsa.sa.gov.au/mpcimg/13500/B13384.htm</v>
      </c>
    </row>
    <row r="7421" spans="1:11" x14ac:dyDescent="0.25">
      <c r="A7421" t="s">
        <v>25274</v>
      </c>
      <c r="B7421" s="1" t="str">
        <f>HYPERLINK("https://www.catalog.slsa.sa.gov.au/record=b2055013")</f>
        <v>https://www.catalog.slsa.sa.gov.au/record=b2055013</v>
      </c>
      <c r="C7421" s="1" t="str">
        <f>HYPERLINK("https://www.catalog.slsa.sa.gov.au/xrecord=b2055013")</f>
        <v>https://www.catalog.slsa.sa.gov.au/xrecord=b2055013</v>
      </c>
      <c r="D7421" t="s">
        <v>16831</v>
      </c>
      <c r="E7421" t="s">
        <v>25275</v>
      </c>
      <c r="F7421">
        <v>1955</v>
      </c>
      <c r="G7421" t="s">
        <v>5070</v>
      </c>
      <c r="H7421" t="s">
        <v>25276</v>
      </c>
      <c r="J7421" t="s">
        <v>23987</v>
      </c>
      <c r="K7421" s="2" t="str">
        <f>HYPERLINK("http://collections.slsa.sa.gov.au/mpcimg/13750/B13562.htm")</f>
        <v>http://collections.slsa.sa.gov.au/mpcimg/13750/B13562.htm</v>
      </c>
    </row>
    <row r="7422" spans="1:11" x14ac:dyDescent="0.25">
      <c r="A7422" t="s">
        <v>25277</v>
      </c>
      <c r="B7422" s="1" t="str">
        <f>HYPERLINK("https://www.catalog.slsa.sa.gov.au/record=b2055125")</f>
        <v>https://www.catalog.slsa.sa.gov.au/record=b2055125</v>
      </c>
      <c r="C7422" s="1" t="str">
        <f>HYPERLINK("https://www.catalog.slsa.sa.gov.au/xrecord=b2055125")</f>
        <v>https://www.catalog.slsa.sa.gov.au/xrecord=b2055125</v>
      </c>
      <c r="D7422" t="s">
        <v>16831</v>
      </c>
      <c r="E7422" t="s">
        <v>25278</v>
      </c>
      <c r="F7422">
        <v>1955</v>
      </c>
      <c r="G7422" t="s">
        <v>19</v>
      </c>
      <c r="H7422" t="s">
        <v>25279</v>
      </c>
      <c r="J7422" t="s">
        <v>25280</v>
      </c>
      <c r="K7422" s="2" t="str">
        <f>HYPERLINK("http://collections.slsa.sa.gov.au/mpcimg/13500/B13468.htm")</f>
        <v>http://collections.slsa.sa.gov.au/mpcimg/13500/B13468.htm</v>
      </c>
    </row>
    <row r="7423" spans="1:11" x14ac:dyDescent="0.25">
      <c r="A7423" t="s">
        <v>25281</v>
      </c>
      <c r="B7423" s="1" t="str">
        <f>HYPERLINK("https://www.catalog.slsa.sa.gov.au/record=b2055548")</f>
        <v>https://www.catalog.slsa.sa.gov.au/record=b2055548</v>
      </c>
      <c r="C7423" s="1" t="str">
        <f>HYPERLINK("https://www.catalog.slsa.sa.gov.au/xrecord=b2055548")</f>
        <v>https://www.catalog.slsa.sa.gov.au/xrecord=b2055548</v>
      </c>
      <c r="D7423" t="s">
        <v>16831</v>
      </c>
      <c r="E7423" t="s">
        <v>16777</v>
      </c>
      <c r="F7423">
        <v>1955</v>
      </c>
      <c r="G7423" t="s">
        <v>24025</v>
      </c>
      <c r="H7423" t="s">
        <v>25282</v>
      </c>
      <c r="J7423" t="s">
        <v>17577</v>
      </c>
      <c r="K7423" s="2" t="str">
        <f>HYPERLINK("http://collections.slsa.sa.gov.au/mpcimg/13500/B13377.htm")</f>
        <v>http://collections.slsa.sa.gov.au/mpcimg/13500/B13377.htm</v>
      </c>
    </row>
    <row r="7424" spans="1:11" x14ac:dyDescent="0.25">
      <c r="A7424" t="s">
        <v>25283</v>
      </c>
      <c r="B7424" s="1" t="str">
        <f>HYPERLINK("https://www.catalog.slsa.sa.gov.au/record=b2055638")</f>
        <v>https://www.catalog.slsa.sa.gov.au/record=b2055638</v>
      </c>
      <c r="C7424" s="1" t="str">
        <f>HYPERLINK("https://www.catalog.slsa.sa.gov.au/xrecord=b2055638")</f>
        <v>https://www.catalog.slsa.sa.gov.au/xrecord=b2055638</v>
      </c>
      <c r="D7424" t="s">
        <v>16831</v>
      </c>
      <c r="E7424" t="s">
        <v>24001</v>
      </c>
      <c r="F7424">
        <v>1955</v>
      </c>
      <c r="G7424" t="s">
        <v>20063</v>
      </c>
      <c r="H7424" t="s">
        <v>25284</v>
      </c>
      <c r="I7424" t="s">
        <v>25285</v>
      </c>
      <c r="J7424" t="s">
        <v>16769</v>
      </c>
      <c r="K7424" s="2" t="str">
        <f>HYPERLINK("http://collections.slsa.sa.gov.au/mpcimg/13250/B13211.htm")</f>
        <v>http://collections.slsa.sa.gov.au/mpcimg/13250/B13211.htm</v>
      </c>
    </row>
    <row r="7425" spans="1:11" x14ac:dyDescent="0.25">
      <c r="A7425" t="s">
        <v>25286</v>
      </c>
      <c r="B7425" s="1" t="str">
        <f>HYPERLINK("https://www.catalog.slsa.sa.gov.au/record=b2055639")</f>
        <v>https://www.catalog.slsa.sa.gov.au/record=b2055639</v>
      </c>
      <c r="C7425" s="1" t="str">
        <f>HYPERLINK("https://www.catalog.slsa.sa.gov.au/xrecord=b2055639")</f>
        <v>https://www.catalog.slsa.sa.gov.au/xrecord=b2055639</v>
      </c>
      <c r="D7425" t="s">
        <v>16831</v>
      </c>
      <c r="E7425" t="s">
        <v>25287</v>
      </c>
      <c r="F7425">
        <v>1955</v>
      </c>
      <c r="G7425" t="s">
        <v>20063</v>
      </c>
      <c r="H7425" t="s">
        <v>25288</v>
      </c>
      <c r="I7425" t="s">
        <v>25289</v>
      </c>
      <c r="J7425" t="s">
        <v>16769</v>
      </c>
      <c r="K7425" s="2" t="str">
        <f>HYPERLINK("http://collections.slsa.sa.gov.au/mpcimg/13250/B13212.htm")</f>
        <v>http://collections.slsa.sa.gov.au/mpcimg/13250/B13212.htm</v>
      </c>
    </row>
    <row r="7426" spans="1:11" x14ac:dyDescent="0.25">
      <c r="A7426" t="s">
        <v>25290</v>
      </c>
      <c r="B7426" s="1" t="str">
        <f>HYPERLINK("https://www.catalog.slsa.sa.gov.au/record=b2055695")</f>
        <v>https://www.catalog.slsa.sa.gov.au/record=b2055695</v>
      </c>
      <c r="C7426" s="1" t="str">
        <f>HYPERLINK("https://www.catalog.slsa.sa.gov.au/xrecord=b2055695")</f>
        <v>https://www.catalog.slsa.sa.gov.au/xrecord=b2055695</v>
      </c>
      <c r="D7426" t="s">
        <v>16831</v>
      </c>
      <c r="E7426" t="s">
        <v>20904</v>
      </c>
      <c r="F7426">
        <v>1955</v>
      </c>
      <c r="G7426" t="s">
        <v>20063</v>
      </c>
      <c r="H7426" t="s">
        <v>25291</v>
      </c>
      <c r="J7426" t="s">
        <v>25292</v>
      </c>
      <c r="K7426" s="2" t="str">
        <f>HYPERLINK("http://collections.slsa.sa.gov.au/mpcimg/13250/B13215.htm")</f>
        <v>http://collections.slsa.sa.gov.au/mpcimg/13250/B13215.htm</v>
      </c>
    </row>
    <row r="7427" spans="1:11" x14ac:dyDescent="0.25">
      <c r="A7427" t="s">
        <v>25293</v>
      </c>
      <c r="B7427" s="1" t="str">
        <f>HYPERLINK("https://www.catalog.slsa.sa.gov.au/record=b2055829")</f>
        <v>https://www.catalog.slsa.sa.gov.au/record=b2055829</v>
      </c>
      <c r="C7427" s="1" t="str">
        <f>HYPERLINK("https://www.catalog.slsa.sa.gov.au/xrecord=b2055829")</f>
        <v>https://www.catalog.slsa.sa.gov.au/xrecord=b2055829</v>
      </c>
      <c r="D7427" t="s">
        <v>16831</v>
      </c>
      <c r="E7427" t="s">
        <v>20904</v>
      </c>
      <c r="F7427">
        <v>1955</v>
      </c>
      <c r="G7427" t="s">
        <v>5070</v>
      </c>
      <c r="H7427" t="s">
        <v>25294</v>
      </c>
      <c r="J7427" t="s">
        <v>24004</v>
      </c>
      <c r="K7427" s="2" t="str">
        <f>HYPERLINK("http://collections.slsa.sa.gov.au/mpcimg/13750/B13573.htm")</f>
        <v>http://collections.slsa.sa.gov.au/mpcimg/13750/B13573.htm</v>
      </c>
    </row>
    <row r="7428" spans="1:11" x14ac:dyDescent="0.25">
      <c r="A7428" t="s">
        <v>25295</v>
      </c>
      <c r="B7428" s="1" t="str">
        <f>HYPERLINK("https://www.catalog.slsa.sa.gov.au/record=b2055899")</f>
        <v>https://www.catalog.slsa.sa.gov.au/record=b2055899</v>
      </c>
      <c r="C7428" s="1" t="str">
        <f>HYPERLINK("https://www.catalog.slsa.sa.gov.au/xrecord=b2055899")</f>
        <v>https://www.catalog.slsa.sa.gov.au/xrecord=b2055899</v>
      </c>
      <c r="D7428" t="s">
        <v>16831</v>
      </c>
      <c r="E7428" t="s">
        <v>24469</v>
      </c>
      <c r="F7428">
        <v>1955</v>
      </c>
      <c r="G7428" t="s">
        <v>20063</v>
      </c>
      <c r="H7428" t="s">
        <v>25296</v>
      </c>
      <c r="J7428" t="s">
        <v>22749</v>
      </c>
      <c r="K7428" s="2" t="str">
        <f>HYPERLINK("http://collections.slsa.sa.gov.au/mpcimg/13250/B13231.htm")</f>
        <v>http://collections.slsa.sa.gov.au/mpcimg/13250/B13231.htm</v>
      </c>
    </row>
    <row r="7429" spans="1:11" x14ac:dyDescent="0.25">
      <c r="A7429" t="s">
        <v>25297</v>
      </c>
      <c r="B7429" s="1" t="str">
        <f>HYPERLINK("https://www.catalog.slsa.sa.gov.au/record=b2056050")</f>
        <v>https://www.catalog.slsa.sa.gov.au/record=b2056050</v>
      </c>
      <c r="C7429" s="1" t="str">
        <f>HYPERLINK("https://www.catalog.slsa.sa.gov.au/xrecord=b2056050")</f>
        <v>https://www.catalog.slsa.sa.gov.au/xrecord=b2056050</v>
      </c>
      <c r="D7429" t="s">
        <v>16831</v>
      </c>
      <c r="E7429" t="s">
        <v>24001</v>
      </c>
      <c r="F7429">
        <v>1955</v>
      </c>
      <c r="G7429" t="s">
        <v>20063</v>
      </c>
      <c r="H7429" t="s">
        <v>25298</v>
      </c>
      <c r="J7429" t="s">
        <v>24020</v>
      </c>
      <c r="K7429" s="2" t="str">
        <f>HYPERLINK("http://collections.slsa.sa.gov.au/mpcimg/13250/B13163.htm")</f>
        <v>http://collections.slsa.sa.gov.au/mpcimg/13250/B13163.htm</v>
      </c>
    </row>
    <row r="7430" spans="1:11" x14ac:dyDescent="0.25">
      <c r="A7430" t="s">
        <v>25299</v>
      </c>
      <c r="B7430" s="1" t="str">
        <f>HYPERLINK("https://www.catalog.slsa.sa.gov.au/record=b2056089")</f>
        <v>https://www.catalog.slsa.sa.gov.au/record=b2056089</v>
      </c>
      <c r="C7430" s="1" t="str">
        <f>HYPERLINK("https://www.catalog.slsa.sa.gov.au/xrecord=b2056089")</f>
        <v>https://www.catalog.slsa.sa.gov.au/xrecord=b2056089</v>
      </c>
      <c r="D7430" t="s">
        <v>16831</v>
      </c>
      <c r="E7430" t="s">
        <v>25300</v>
      </c>
      <c r="F7430">
        <v>1955</v>
      </c>
      <c r="G7430" t="s">
        <v>20063</v>
      </c>
      <c r="H7430" t="s">
        <v>25301</v>
      </c>
      <c r="J7430" t="s">
        <v>25302</v>
      </c>
      <c r="K7430" s="2" t="str">
        <f>HYPERLINK("http://collections.slsa.sa.gov.au/mpcimg/13250/B13216.htm")</f>
        <v>http://collections.slsa.sa.gov.au/mpcimg/13250/B13216.htm</v>
      </c>
    </row>
    <row r="7431" spans="1:11" x14ac:dyDescent="0.25">
      <c r="A7431" t="s">
        <v>25303</v>
      </c>
      <c r="B7431" s="1" t="str">
        <f>HYPERLINK("https://www.catalog.slsa.sa.gov.au/record=b2056090")</f>
        <v>https://www.catalog.slsa.sa.gov.au/record=b2056090</v>
      </c>
      <c r="C7431" s="1" t="str">
        <f>HYPERLINK("https://www.catalog.slsa.sa.gov.au/xrecord=b2056090")</f>
        <v>https://www.catalog.slsa.sa.gov.au/xrecord=b2056090</v>
      </c>
      <c r="D7431" t="s">
        <v>16831</v>
      </c>
      <c r="E7431" t="s">
        <v>20904</v>
      </c>
      <c r="F7431">
        <v>1955</v>
      </c>
      <c r="G7431" t="s">
        <v>19</v>
      </c>
      <c r="H7431" t="s">
        <v>25304</v>
      </c>
      <c r="J7431" t="s">
        <v>25302</v>
      </c>
      <c r="K7431" s="2" t="str">
        <f>HYPERLINK("http://collections.slsa.sa.gov.au/mpcimg/13500/B13461.htm")</f>
        <v>http://collections.slsa.sa.gov.au/mpcimg/13500/B13461.htm</v>
      </c>
    </row>
    <row r="7432" spans="1:11" x14ac:dyDescent="0.25">
      <c r="A7432" t="s">
        <v>25305</v>
      </c>
      <c r="B7432" s="1" t="str">
        <f>HYPERLINK("https://www.catalog.slsa.sa.gov.au/record=b2056374")</f>
        <v>https://www.catalog.slsa.sa.gov.au/record=b2056374</v>
      </c>
      <c r="C7432" s="1" t="str">
        <f>HYPERLINK("https://www.catalog.slsa.sa.gov.au/xrecord=b2056374")</f>
        <v>https://www.catalog.slsa.sa.gov.au/xrecord=b2056374</v>
      </c>
      <c r="D7432" t="s">
        <v>16831</v>
      </c>
      <c r="E7432" t="s">
        <v>16777</v>
      </c>
      <c r="F7432">
        <v>1955</v>
      </c>
      <c r="G7432" t="s">
        <v>19</v>
      </c>
      <c r="H7432" t="s">
        <v>25306</v>
      </c>
      <c r="J7432" t="s">
        <v>17615</v>
      </c>
      <c r="K7432" s="2" t="str">
        <f>HYPERLINK("http://collections.slsa.sa.gov.au/mpcimg/13500/B13488.htm")</f>
        <v>http://collections.slsa.sa.gov.au/mpcimg/13500/B13488.htm</v>
      </c>
    </row>
    <row r="7433" spans="1:11" x14ac:dyDescent="0.25">
      <c r="A7433" t="s">
        <v>25307</v>
      </c>
      <c r="B7433" s="1" t="str">
        <f>HYPERLINK("https://www.catalog.slsa.sa.gov.au/record=b2056861")</f>
        <v>https://www.catalog.slsa.sa.gov.au/record=b2056861</v>
      </c>
      <c r="C7433" s="1" t="str">
        <f>HYPERLINK("https://www.catalog.slsa.sa.gov.au/xrecord=b2056861")</f>
        <v>https://www.catalog.slsa.sa.gov.au/xrecord=b2056861</v>
      </c>
      <c r="D7433" t="s">
        <v>16831</v>
      </c>
      <c r="E7433" t="s">
        <v>25308</v>
      </c>
      <c r="F7433">
        <v>1955</v>
      </c>
      <c r="G7433" t="s">
        <v>20063</v>
      </c>
      <c r="H7433" t="s">
        <v>25309</v>
      </c>
      <c r="J7433" t="s">
        <v>25310</v>
      </c>
      <c r="K7433" s="2" t="str">
        <f>HYPERLINK("http://collections.slsa.sa.gov.au/mpcimg/13250/B13170.htm")</f>
        <v>http://collections.slsa.sa.gov.au/mpcimg/13250/B13170.htm</v>
      </c>
    </row>
    <row r="7434" spans="1:11" x14ac:dyDescent="0.25">
      <c r="A7434" t="s">
        <v>25311</v>
      </c>
      <c r="B7434" s="1" t="str">
        <f>HYPERLINK("https://www.catalog.slsa.sa.gov.au/record=b2056941")</f>
        <v>https://www.catalog.slsa.sa.gov.au/record=b2056941</v>
      </c>
      <c r="C7434" s="1" t="str">
        <f>HYPERLINK("https://www.catalog.slsa.sa.gov.au/xrecord=b2056941")</f>
        <v>https://www.catalog.slsa.sa.gov.au/xrecord=b2056941</v>
      </c>
      <c r="D7434" t="s">
        <v>16831</v>
      </c>
      <c r="E7434" t="s">
        <v>25312</v>
      </c>
      <c r="F7434">
        <v>1955</v>
      </c>
      <c r="G7434" t="s">
        <v>24025</v>
      </c>
      <c r="H7434" t="s">
        <v>25313</v>
      </c>
      <c r="J7434" t="s">
        <v>24031</v>
      </c>
      <c r="K7434" s="2" t="str">
        <f>HYPERLINK("http://collections.slsa.sa.gov.au/mpcimg/13500/B13369.htm")</f>
        <v>http://collections.slsa.sa.gov.au/mpcimg/13500/B13369.htm</v>
      </c>
    </row>
    <row r="7435" spans="1:11" x14ac:dyDescent="0.25">
      <c r="A7435" t="s">
        <v>25314</v>
      </c>
      <c r="B7435" s="1" t="str">
        <f>HYPERLINK("https://www.catalog.slsa.sa.gov.au/record=b2056942")</f>
        <v>https://www.catalog.slsa.sa.gov.au/record=b2056942</v>
      </c>
      <c r="C7435" s="1" t="str">
        <f>HYPERLINK("https://www.catalog.slsa.sa.gov.au/xrecord=b2056942")</f>
        <v>https://www.catalog.slsa.sa.gov.au/xrecord=b2056942</v>
      </c>
      <c r="D7435" t="s">
        <v>16831</v>
      </c>
      <c r="E7435" t="s">
        <v>25312</v>
      </c>
      <c r="F7435">
        <v>1955</v>
      </c>
      <c r="G7435" t="s">
        <v>24025</v>
      </c>
      <c r="H7435" t="s">
        <v>25315</v>
      </c>
      <c r="J7435" t="s">
        <v>24031</v>
      </c>
      <c r="K7435" s="2" t="str">
        <f>HYPERLINK("http://collections.slsa.sa.gov.au/mpcimg/13500/B13370.htm")</f>
        <v>http://collections.slsa.sa.gov.au/mpcimg/13500/B13370.htm</v>
      </c>
    </row>
    <row r="7436" spans="1:11" x14ac:dyDescent="0.25">
      <c r="A7436" t="s">
        <v>25316</v>
      </c>
      <c r="B7436" s="1" t="str">
        <f>HYPERLINK("https://www.catalog.slsa.sa.gov.au/record=b2056943")</f>
        <v>https://www.catalog.slsa.sa.gov.au/record=b2056943</v>
      </c>
      <c r="C7436" s="1" t="str">
        <f>HYPERLINK("https://www.catalog.slsa.sa.gov.au/xrecord=b2056943")</f>
        <v>https://www.catalog.slsa.sa.gov.au/xrecord=b2056943</v>
      </c>
      <c r="D7436" t="s">
        <v>16831</v>
      </c>
      <c r="E7436" t="s">
        <v>25312</v>
      </c>
      <c r="F7436">
        <v>1955</v>
      </c>
      <c r="G7436" t="s">
        <v>24025</v>
      </c>
      <c r="H7436" t="s">
        <v>25317</v>
      </c>
      <c r="J7436" t="s">
        <v>24031</v>
      </c>
      <c r="K7436" s="2" t="str">
        <f>HYPERLINK("http://collections.slsa.sa.gov.au/mpcimg/13500/B13371.htm")</f>
        <v>http://collections.slsa.sa.gov.au/mpcimg/13500/B13371.htm</v>
      </c>
    </row>
    <row r="7437" spans="1:11" x14ac:dyDescent="0.25">
      <c r="A7437" t="s">
        <v>25318</v>
      </c>
      <c r="B7437" s="1" t="str">
        <f>HYPERLINK("https://www.catalog.slsa.sa.gov.au/record=b2056944")</f>
        <v>https://www.catalog.slsa.sa.gov.au/record=b2056944</v>
      </c>
      <c r="C7437" s="1" t="str">
        <f>HYPERLINK("https://www.catalog.slsa.sa.gov.au/xrecord=b2056944")</f>
        <v>https://www.catalog.slsa.sa.gov.au/xrecord=b2056944</v>
      </c>
      <c r="D7437" t="s">
        <v>16831</v>
      </c>
      <c r="E7437" t="s">
        <v>25312</v>
      </c>
      <c r="F7437">
        <v>1955</v>
      </c>
      <c r="G7437" t="s">
        <v>24025</v>
      </c>
      <c r="H7437" t="s">
        <v>25319</v>
      </c>
      <c r="J7437" t="s">
        <v>24031</v>
      </c>
      <c r="K7437" s="2" t="str">
        <f>HYPERLINK("http://collections.slsa.sa.gov.au/mpcimg/13500/B13372.htm")</f>
        <v>http://collections.slsa.sa.gov.au/mpcimg/13500/B13372.htm</v>
      </c>
    </row>
    <row r="7438" spans="1:11" x14ac:dyDescent="0.25">
      <c r="A7438" t="s">
        <v>25320</v>
      </c>
      <c r="B7438" s="1" t="str">
        <f>HYPERLINK("https://www.catalog.slsa.sa.gov.au/record=b2056945")</f>
        <v>https://www.catalog.slsa.sa.gov.au/record=b2056945</v>
      </c>
      <c r="C7438" s="1" t="str">
        <f>HYPERLINK("https://www.catalog.slsa.sa.gov.au/xrecord=b2056945")</f>
        <v>https://www.catalog.slsa.sa.gov.au/xrecord=b2056945</v>
      </c>
      <c r="D7438" t="s">
        <v>16831</v>
      </c>
      <c r="E7438" t="s">
        <v>25312</v>
      </c>
      <c r="F7438">
        <v>1955</v>
      </c>
      <c r="G7438" t="s">
        <v>24025</v>
      </c>
      <c r="H7438" t="s">
        <v>25321</v>
      </c>
      <c r="J7438" t="s">
        <v>24031</v>
      </c>
      <c r="K7438" s="2" t="str">
        <f>HYPERLINK("http://collections.slsa.sa.gov.au/mpcimg/13500/B13373.htm")</f>
        <v>http://collections.slsa.sa.gov.au/mpcimg/13500/B13373.htm</v>
      </c>
    </row>
    <row r="7439" spans="1:11" x14ac:dyDescent="0.25">
      <c r="A7439" t="s">
        <v>25322</v>
      </c>
      <c r="B7439" s="1" t="str">
        <f>HYPERLINK("https://www.catalog.slsa.sa.gov.au/record=b2057000")</f>
        <v>https://www.catalog.slsa.sa.gov.au/record=b2057000</v>
      </c>
      <c r="C7439" s="1" t="str">
        <f>HYPERLINK("https://www.catalog.slsa.sa.gov.au/xrecord=b2057000")</f>
        <v>https://www.catalog.slsa.sa.gov.au/xrecord=b2057000</v>
      </c>
      <c r="D7439" t="s">
        <v>16831</v>
      </c>
      <c r="E7439" t="s">
        <v>20912</v>
      </c>
      <c r="F7439">
        <v>1955</v>
      </c>
      <c r="G7439" t="s">
        <v>20063</v>
      </c>
      <c r="H7439" t="s">
        <v>25323</v>
      </c>
      <c r="J7439" t="s">
        <v>25324</v>
      </c>
      <c r="K7439" s="2" t="str">
        <f>HYPERLINK("http://collections.slsa.sa.gov.au/mpcimg/13250/B13234.htm")</f>
        <v>http://collections.slsa.sa.gov.au/mpcimg/13250/B13234.htm</v>
      </c>
    </row>
    <row r="7440" spans="1:11" x14ac:dyDescent="0.25">
      <c r="A7440" t="s">
        <v>25325</v>
      </c>
      <c r="B7440" s="1" t="str">
        <f>HYPERLINK("https://www.catalog.slsa.sa.gov.au/record=b2057323")</f>
        <v>https://www.catalog.slsa.sa.gov.au/record=b2057323</v>
      </c>
      <c r="C7440" s="1" t="str">
        <f>HYPERLINK("https://www.catalog.slsa.sa.gov.au/xrecord=b2057323")</f>
        <v>https://www.catalog.slsa.sa.gov.au/xrecord=b2057323</v>
      </c>
      <c r="D7440" t="s">
        <v>16831</v>
      </c>
      <c r="E7440" t="s">
        <v>24086</v>
      </c>
      <c r="F7440">
        <v>1955</v>
      </c>
      <c r="G7440" t="s">
        <v>20063</v>
      </c>
      <c r="H7440" t="s">
        <v>25326</v>
      </c>
      <c r="J7440" t="s">
        <v>20940</v>
      </c>
      <c r="K7440" s="2" t="str">
        <f>HYPERLINK("http://collections.slsa.sa.gov.au/mpcimg/13250/B13164.htm")</f>
        <v>http://collections.slsa.sa.gov.au/mpcimg/13250/B13164.htm</v>
      </c>
    </row>
    <row r="7441" spans="1:11" x14ac:dyDescent="0.25">
      <c r="A7441" t="s">
        <v>25327</v>
      </c>
      <c r="B7441" s="1" t="str">
        <f>HYPERLINK("https://www.catalog.slsa.sa.gov.au/record=b2057464")</f>
        <v>https://www.catalog.slsa.sa.gov.au/record=b2057464</v>
      </c>
      <c r="C7441" s="1" t="str">
        <f>HYPERLINK("https://www.catalog.slsa.sa.gov.au/xrecord=b2057464")</f>
        <v>https://www.catalog.slsa.sa.gov.au/xrecord=b2057464</v>
      </c>
      <c r="D7441" t="s">
        <v>16831</v>
      </c>
      <c r="E7441" t="s">
        <v>16786</v>
      </c>
      <c r="F7441">
        <v>1955</v>
      </c>
      <c r="G7441" t="s">
        <v>5070</v>
      </c>
      <c r="H7441" t="s">
        <v>25328</v>
      </c>
      <c r="J7441" t="s">
        <v>24068</v>
      </c>
      <c r="K7441" s="2" t="str">
        <f>HYPERLINK("http://collections.slsa.sa.gov.au/mpcimg/13750/B13544.htm")</f>
        <v>http://collections.slsa.sa.gov.au/mpcimg/13750/B13544.htm</v>
      </c>
    </row>
    <row r="7442" spans="1:11" x14ac:dyDescent="0.25">
      <c r="A7442" t="s">
        <v>25329</v>
      </c>
      <c r="B7442" s="1" t="str">
        <f>HYPERLINK("https://www.catalog.slsa.sa.gov.au/record=b2057826")</f>
        <v>https://www.catalog.slsa.sa.gov.au/record=b2057826</v>
      </c>
      <c r="C7442" s="1" t="str">
        <f>HYPERLINK("https://www.catalog.slsa.sa.gov.au/xrecord=b2057826")</f>
        <v>https://www.catalog.slsa.sa.gov.au/xrecord=b2057826</v>
      </c>
      <c r="D7442" t="s">
        <v>16831</v>
      </c>
      <c r="E7442" t="s">
        <v>25308</v>
      </c>
      <c r="F7442">
        <v>1955</v>
      </c>
      <c r="G7442" t="s">
        <v>20063</v>
      </c>
      <c r="H7442" t="s">
        <v>25330</v>
      </c>
      <c r="I7442" t="s">
        <v>24350</v>
      </c>
      <c r="J7442" t="s">
        <v>25331</v>
      </c>
      <c r="K7442" s="2" t="str">
        <f>HYPERLINK("http://collections.slsa.sa.gov.au/mpcimg/13250/B13171.htm")</f>
        <v>http://collections.slsa.sa.gov.au/mpcimg/13250/B13171.htm</v>
      </c>
    </row>
    <row r="7443" spans="1:11" x14ac:dyDescent="0.25">
      <c r="A7443" t="s">
        <v>25332</v>
      </c>
      <c r="B7443" s="1" t="str">
        <f>HYPERLINK("https://www.catalog.slsa.sa.gov.au/record=b2057848")</f>
        <v>https://www.catalog.slsa.sa.gov.au/record=b2057848</v>
      </c>
      <c r="C7443" s="1" t="str">
        <f>HYPERLINK("https://www.catalog.slsa.sa.gov.au/xrecord=b2057848")</f>
        <v>https://www.catalog.slsa.sa.gov.au/xrecord=b2057848</v>
      </c>
      <c r="D7443" t="s">
        <v>16831</v>
      </c>
      <c r="E7443" t="s">
        <v>24115</v>
      </c>
      <c r="F7443">
        <v>1955</v>
      </c>
      <c r="G7443" t="s">
        <v>20063</v>
      </c>
      <c r="H7443" t="s">
        <v>25333</v>
      </c>
      <c r="J7443" t="s">
        <v>25334</v>
      </c>
      <c r="K7443" s="2" t="str">
        <f>HYPERLINK("http://collections.slsa.sa.gov.au/mpcimg/13250/B13220.htm")</f>
        <v>http://collections.slsa.sa.gov.au/mpcimg/13250/B13220.htm</v>
      </c>
    </row>
    <row r="7444" spans="1:11" x14ac:dyDescent="0.25">
      <c r="A7444" t="s">
        <v>25335</v>
      </c>
      <c r="B7444" s="1" t="str">
        <f>HYPERLINK("https://www.catalog.slsa.sa.gov.au/record=b2058067")</f>
        <v>https://www.catalog.slsa.sa.gov.au/record=b2058067</v>
      </c>
      <c r="C7444" s="1" t="str">
        <f>HYPERLINK("https://www.catalog.slsa.sa.gov.au/xrecord=b2058067")</f>
        <v>https://www.catalog.slsa.sa.gov.au/xrecord=b2058067</v>
      </c>
      <c r="D7444" t="s">
        <v>16831</v>
      </c>
      <c r="E7444" t="s">
        <v>17109</v>
      </c>
      <c r="F7444">
        <v>1955</v>
      </c>
      <c r="G7444" t="s">
        <v>16674</v>
      </c>
      <c r="H7444" t="s">
        <v>25336</v>
      </c>
      <c r="J7444" t="s">
        <v>16803</v>
      </c>
      <c r="K7444" s="2" t="str">
        <f>HYPERLINK("http://collections.slsa.sa.gov.au/mpcimg/13250/B13236.htm")</f>
        <v>http://collections.slsa.sa.gov.au/mpcimg/13250/B13236.htm</v>
      </c>
    </row>
    <row r="7445" spans="1:11" x14ac:dyDescent="0.25">
      <c r="A7445" t="s">
        <v>25337</v>
      </c>
      <c r="B7445" s="1" t="str">
        <f>HYPERLINK("https://www.catalog.slsa.sa.gov.au/record=b2058204")</f>
        <v>https://www.catalog.slsa.sa.gov.au/record=b2058204</v>
      </c>
      <c r="C7445" s="1" t="str">
        <f>HYPERLINK("https://www.catalog.slsa.sa.gov.au/xrecord=b2058204")</f>
        <v>https://www.catalog.slsa.sa.gov.au/xrecord=b2058204</v>
      </c>
      <c r="D7445" t="s">
        <v>16831</v>
      </c>
      <c r="E7445" t="s">
        <v>25338</v>
      </c>
      <c r="F7445">
        <v>1955</v>
      </c>
      <c r="G7445" t="s">
        <v>20063</v>
      </c>
      <c r="H7445" t="s">
        <v>25339</v>
      </c>
      <c r="J7445" t="s">
        <v>25340</v>
      </c>
      <c r="K7445" s="2" t="str">
        <f>HYPERLINK("http://collections.slsa.sa.gov.au/mpcimg/13250/B13166.htm")</f>
        <v>http://collections.slsa.sa.gov.au/mpcimg/13250/B13166.htm</v>
      </c>
    </row>
    <row r="7446" spans="1:11" x14ac:dyDescent="0.25">
      <c r="A7446" t="s">
        <v>25341</v>
      </c>
      <c r="B7446" s="1" t="str">
        <f>HYPERLINK("https://www.catalog.slsa.sa.gov.au/record=b2058342")</f>
        <v>https://www.catalog.slsa.sa.gov.au/record=b2058342</v>
      </c>
      <c r="C7446" s="1" t="str">
        <f>HYPERLINK("https://www.catalog.slsa.sa.gov.au/xrecord=b2058342")</f>
        <v>https://www.catalog.slsa.sa.gov.au/xrecord=b2058342</v>
      </c>
      <c r="D7446" t="s">
        <v>16831</v>
      </c>
      <c r="E7446" t="s">
        <v>25338</v>
      </c>
      <c r="F7446">
        <v>1955</v>
      </c>
      <c r="G7446" t="s">
        <v>20063</v>
      </c>
      <c r="H7446" t="s">
        <v>25342</v>
      </c>
      <c r="I7446" t="s">
        <v>25343</v>
      </c>
      <c r="J7446" t="s">
        <v>25344</v>
      </c>
      <c r="K7446" s="2" t="str">
        <f>HYPERLINK("http://collections.slsa.sa.gov.au/mpcimg/13250/B13213.htm")</f>
        <v>http://collections.slsa.sa.gov.au/mpcimg/13250/B13213.htm</v>
      </c>
    </row>
    <row r="7447" spans="1:11" x14ac:dyDescent="0.25">
      <c r="A7447" t="s">
        <v>25345</v>
      </c>
      <c r="B7447" s="1" t="str">
        <f>HYPERLINK("https://www.catalog.slsa.sa.gov.au/record=b2058366")</f>
        <v>https://www.catalog.slsa.sa.gov.au/record=b2058366</v>
      </c>
      <c r="C7447" s="1" t="str">
        <f>HYPERLINK("https://www.catalog.slsa.sa.gov.au/xrecord=b2058366")</f>
        <v>https://www.catalog.slsa.sa.gov.au/xrecord=b2058366</v>
      </c>
      <c r="D7447" t="s">
        <v>16831</v>
      </c>
      <c r="E7447" t="s">
        <v>25346</v>
      </c>
      <c r="F7447">
        <v>1955</v>
      </c>
      <c r="G7447" t="s">
        <v>20063</v>
      </c>
      <c r="H7447" t="s">
        <v>25347</v>
      </c>
      <c r="I7447" t="s">
        <v>24177</v>
      </c>
      <c r="J7447" t="s">
        <v>20984</v>
      </c>
      <c r="K7447" s="2" t="str">
        <f>HYPERLINK("http://collections.slsa.sa.gov.au/mpcimg/13250/B13200.htm")</f>
        <v>http://collections.slsa.sa.gov.au/mpcimg/13250/B13200.htm</v>
      </c>
    </row>
    <row r="7448" spans="1:11" x14ac:dyDescent="0.25">
      <c r="A7448" t="s">
        <v>25348</v>
      </c>
      <c r="B7448" s="1" t="str">
        <f>HYPERLINK("https://www.catalog.slsa.sa.gov.au/record=b2058378")</f>
        <v>https://www.catalog.slsa.sa.gov.au/record=b2058378</v>
      </c>
      <c r="C7448" s="1" t="str">
        <f>HYPERLINK("https://www.catalog.slsa.sa.gov.au/xrecord=b2058378")</f>
        <v>https://www.catalog.slsa.sa.gov.au/xrecord=b2058378</v>
      </c>
      <c r="D7448" t="s">
        <v>16831</v>
      </c>
      <c r="E7448" t="s">
        <v>22149</v>
      </c>
      <c r="F7448">
        <v>1955</v>
      </c>
      <c r="G7448" t="s">
        <v>5070</v>
      </c>
      <c r="H7448" t="s">
        <v>25349</v>
      </c>
      <c r="J7448" t="s">
        <v>24148</v>
      </c>
      <c r="K7448" s="2" t="str">
        <f>HYPERLINK("http://collections.slsa.sa.gov.au/mpcimg/13750/B13571.htm")</f>
        <v>http://collections.slsa.sa.gov.au/mpcimg/13750/B13571.htm</v>
      </c>
    </row>
    <row r="7449" spans="1:11" x14ac:dyDescent="0.25">
      <c r="A7449" t="s">
        <v>25350</v>
      </c>
      <c r="B7449" s="1" t="str">
        <f>HYPERLINK("https://www.catalog.slsa.sa.gov.au/record=b2058379")</f>
        <v>https://www.catalog.slsa.sa.gov.au/record=b2058379</v>
      </c>
      <c r="C7449" s="1" t="str">
        <f>HYPERLINK("https://www.catalog.slsa.sa.gov.au/xrecord=b2058379")</f>
        <v>https://www.catalog.slsa.sa.gov.au/xrecord=b2058379</v>
      </c>
      <c r="D7449" t="s">
        <v>16831</v>
      </c>
      <c r="E7449" t="s">
        <v>22149</v>
      </c>
      <c r="F7449">
        <v>1955</v>
      </c>
      <c r="G7449" t="s">
        <v>5070</v>
      </c>
      <c r="H7449" t="s">
        <v>25351</v>
      </c>
      <c r="J7449" t="s">
        <v>24148</v>
      </c>
      <c r="K7449" s="2" t="str">
        <f>HYPERLINK("http://collections.slsa.sa.gov.au/mpcimg/13750/B13572.htm")</f>
        <v>http://collections.slsa.sa.gov.au/mpcimg/13750/B13572.htm</v>
      </c>
    </row>
    <row r="7450" spans="1:11" x14ac:dyDescent="0.25">
      <c r="A7450" t="s">
        <v>25352</v>
      </c>
      <c r="B7450" s="1" t="str">
        <f>HYPERLINK("https://www.catalog.slsa.sa.gov.au/record=b2058444")</f>
        <v>https://www.catalog.slsa.sa.gov.au/record=b2058444</v>
      </c>
      <c r="C7450" s="1" t="str">
        <f>HYPERLINK("https://www.catalog.slsa.sa.gov.au/xrecord=b2058444")</f>
        <v>https://www.catalog.slsa.sa.gov.au/xrecord=b2058444</v>
      </c>
      <c r="D7450" t="s">
        <v>16831</v>
      </c>
      <c r="E7450" t="s">
        <v>25338</v>
      </c>
      <c r="F7450">
        <v>1955</v>
      </c>
      <c r="G7450" t="s">
        <v>20063</v>
      </c>
      <c r="H7450" t="s">
        <v>25353</v>
      </c>
      <c r="I7450" t="s">
        <v>25354</v>
      </c>
      <c r="J7450" t="s">
        <v>24154</v>
      </c>
      <c r="K7450" s="2" t="str">
        <f>HYPERLINK("http://collections.slsa.sa.gov.au/mpcimg/13250/B13217.htm")</f>
        <v>http://collections.slsa.sa.gov.au/mpcimg/13250/B13217.htm</v>
      </c>
    </row>
    <row r="7451" spans="1:11" x14ac:dyDescent="0.25">
      <c r="A7451" t="s">
        <v>25355</v>
      </c>
      <c r="B7451" s="1" t="str">
        <f>HYPERLINK("https://www.catalog.slsa.sa.gov.au/record=b2058445")</f>
        <v>https://www.catalog.slsa.sa.gov.au/record=b2058445</v>
      </c>
      <c r="C7451" s="1" t="str">
        <f>HYPERLINK("https://www.catalog.slsa.sa.gov.au/xrecord=b2058445")</f>
        <v>https://www.catalog.slsa.sa.gov.au/xrecord=b2058445</v>
      </c>
      <c r="D7451" t="s">
        <v>16831</v>
      </c>
      <c r="E7451" t="s">
        <v>25356</v>
      </c>
      <c r="F7451">
        <v>1955</v>
      </c>
      <c r="G7451" t="s">
        <v>20063</v>
      </c>
      <c r="H7451" t="s">
        <v>25357</v>
      </c>
      <c r="I7451" t="s">
        <v>25354</v>
      </c>
      <c r="J7451" t="s">
        <v>24154</v>
      </c>
      <c r="K7451" s="2" t="str">
        <f>HYPERLINK("http://collections.slsa.sa.gov.au/mpcimg/13250/B13218.htm")</f>
        <v>http://collections.slsa.sa.gov.au/mpcimg/13250/B13218.htm</v>
      </c>
    </row>
    <row r="7452" spans="1:11" x14ac:dyDescent="0.25">
      <c r="A7452" t="s">
        <v>25358</v>
      </c>
      <c r="B7452" s="1" t="str">
        <f>HYPERLINK("https://www.catalog.slsa.sa.gov.au/record=b2058884")</f>
        <v>https://www.catalog.slsa.sa.gov.au/record=b2058884</v>
      </c>
      <c r="C7452" s="1" t="str">
        <f>HYPERLINK("https://www.catalog.slsa.sa.gov.au/xrecord=b2058884")</f>
        <v>https://www.catalog.slsa.sa.gov.au/xrecord=b2058884</v>
      </c>
      <c r="D7452" t="s">
        <v>16831</v>
      </c>
      <c r="E7452" t="s">
        <v>21232</v>
      </c>
      <c r="F7452">
        <v>1955</v>
      </c>
      <c r="G7452" t="s">
        <v>19</v>
      </c>
      <c r="H7452" t="s">
        <v>25359</v>
      </c>
      <c r="J7452" t="s">
        <v>24170</v>
      </c>
      <c r="K7452" s="2" t="str">
        <f>HYPERLINK("http://collections.slsa.sa.gov.au/mpcimg/13500/B13495.htm")</f>
        <v>http://collections.slsa.sa.gov.au/mpcimg/13500/B13495.htm</v>
      </c>
    </row>
    <row r="7453" spans="1:11" x14ac:dyDescent="0.25">
      <c r="A7453" t="s">
        <v>25360</v>
      </c>
      <c r="B7453" s="1" t="str">
        <f>HYPERLINK("https://www.catalog.slsa.sa.gov.au/record=b2059272")</f>
        <v>https://www.catalog.slsa.sa.gov.au/record=b2059272</v>
      </c>
      <c r="C7453" s="1" t="str">
        <f>HYPERLINK("https://www.catalog.slsa.sa.gov.au/xrecord=b2059272")</f>
        <v>https://www.catalog.slsa.sa.gov.au/xrecord=b2059272</v>
      </c>
      <c r="D7453" t="s">
        <v>16831</v>
      </c>
      <c r="E7453" t="s">
        <v>25361</v>
      </c>
      <c r="F7453">
        <v>1955</v>
      </c>
      <c r="G7453" t="s">
        <v>5070</v>
      </c>
      <c r="H7453" t="s">
        <v>25362</v>
      </c>
      <c r="J7453" t="s">
        <v>22837</v>
      </c>
      <c r="K7453" s="2" t="str">
        <f>HYPERLINK("http://collections.slsa.sa.gov.au/mpcimg/13750/B13574.htm")</f>
        <v>http://collections.slsa.sa.gov.au/mpcimg/13750/B13574.htm</v>
      </c>
    </row>
    <row r="7454" spans="1:11" x14ac:dyDescent="0.25">
      <c r="A7454" t="s">
        <v>25363</v>
      </c>
      <c r="B7454" s="1" t="str">
        <f>HYPERLINK("https://www.catalog.slsa.sa.gov.au/record=b2059273")</f>
        <v>https://www.catalog.slsa.sa.gov.au/record=b2059273</v>
      </c>
      <c r="C7454" s="1" t="str">
        <f>HYPERLINK("https://www.catalog.slsa.sa.gov.au/xrecord=b2059273")</f>
        <v>https://www.catalog.slsa.sa.gov.au/xrecord=b2059273</v>
      </c>
      <c r="D7454" t="s">
        <v>16831</v>
      </c>
      <c r="E7454" t="s">
        <v>25361</v>
      </c>
      <c r="F7454">
        <v>1955</v>
      </c>
      <c r="G7454" t="s">
        <v>5070</v>
      </c>
      <c r="H7454" t="s">
        <v>25364</v>
      </c>
      <c r="J7454" t="s">
        <v>22837</v>
      </c>
      <c r="K7454" s="2" t="str">
        <f>HYPERLINK("http://collections.slsa.sa.gov.au/mpcimg/13750/B13575.htm")</f>
        <v>http://collections.slsa.sa.gov.au/mpcimg/13750/B13575.htm</v>
      </c>
    </row>
    <row r="7455" spans="1:11" x14ac:dyDescent="0.25">
      <c r="A7455" t="s">
        <v>25365</v>
      </c>
      <c r="B7455" s="1" t="str">
        <f>HYPERLINK("https://www.catalog.slsa.sa.gov.au/record=b2059419")</f>
        <v>https://www.catalog.slsa.sa.gov.au/record=b2059419</v>
      </c>
      <c r="C7455" s="1" t="str">
        <f>HYPERLINK("https://www.catalog.slsa.sa.gov.au/xrecord=b2059419")</f>
        <v>https://www.catalog.slsa.sa.gov.au/xrecord=b2059419</v>
      </c>
      <c r="D7455" t="s">
        <v>16831</v>
      </c>
      <c r="E7455" t="s">
        <v>25366</v>
      </c>
      <c r="F7455">
        <v>1955</v>
      </c>
      <c r="G7455" t="s">
        <v>19</v>
      </c>
      <c r="H7455" t="s">
        <v>25367</v>
      </c>
      <c r="J7455" t="s">
        <v>25368</v>
      </c>
      <c r="K7455" s="2" t="str">
        <f>HYPERLINK("http://collections.slsa.sa.gov.au/mpcimg/13500/B13471.htm")</f>
        <v>http://collections.slsa.sa.gov.au/mpcimg/13500/B13471.htm</v>
      </c>
    </row>
    <row r="7456" spans="1:11" x14ac:dyDescent="0.25">
      <c r="A7456" t="s">
        <v>25369</v>
      </c>
      <c r="B7456" s="1" t="str">
        <f>HYPERLINK("https://www.catalog.slsa.sa.gov.au/record=b2059447")</f>
        <v>https://www.catalog.slsa.sa.gov.au/record=b2059447</v>
      </c>
      <c r="C7456" s="1" t="str">
        <f>HYPERLINK("https://www.catalog.slsa.sa.gov.au/xrecord=b2059447")</f>
        <v>https://www.catalog.slsa.sa.gov.au/xrecord=b2059447</v>
      </c>
      <c r="D7456" t="s">
        <v>16831</v>
      </c>
      <c r="E7456" t="s">
        <v>24203</v>
      </c>
      <c r="F7456">
        <v>1955</v>
      </c>
      <c r="G7456" t="s">
        <v>20063</v>
      </c>
      <c r="H7456" t="s">
        <v>25370</v>
      </c>
      <c r="J7456" t="s">
        <v>24187</v>
      </c>
      <c r="K7456" s="2" t="str">
        <f>HYPERLINK("http://collections.slsa.sa.gov.au/mpcimg/13250/B13228.htm")</f>
        <v>http://collections.slsa.sa.gov.au/mpcimg/13250/B13228.htm</v>
      </c>
    </row>
    <row r="7457" spans="1:11" x14ac:dyDescent="0.25">
      <c r="A7457" t="s">
        <v>25371</v>
      </c>
      <c r="B7457" s="1" t="str">
        <f>HYPERLINK("https://www.catalog.slsa.sa.gov.au/record=b2059497")</f>
        <v>https://www.catalog.slsa.sa.gov.au/record=b2059497</v>
      </c>
      <c r="C7457" s="1" t="str">
        <f>HYPERLINK("https://www.catalog.slsa.sa.gov.au/xrecord=b2059497")</f>
        <v>https://www.catalog.slsa.sa.gov.au/xrecord=b2059497</v>
      </c>
      <c r="D7457" t="s">
        <v>16831</v>
      </c>
      <c r="E7457" t="s">
        <v>24203</v>
      </c>
      <c r="F7457">
        <v>1955</v>
      </c>
      <c r="G7457" t="s">
        <v>20063</v>
      </c>
      <c r="H7457" t="s">
        <v>25372</v>
      </c>
      <c r="J7457" t="s">
        <v>24198</v>
      </c>
      <c r="K7457" s="2" t="str">
        <f>HYPERLINK("http://collections.slsa.sa.gov.au/mpcimg/13250/B13184.htm")</f>
        <v>http://collections.slsa.sa.gov.au/mpcimg/13250/B13184.htm</v>
      </c>
    </row>
    <row r="7458" spans="1:11" x14ac:dyDescent="0.25">
      <c r="A7458" t="s">
        <v>25373</v>
      </c>
      <c r="B7458" s="1" t="str">
        <f>HYPERLINK("https://www.catalog.slsa.sa.gov.au/record=b2059509")</f>
        <v>https://www.catalog.slsa.sa.gov.au/record=b2059509</v>
      </c>
      <c r="C7458" s="1" t="str">
        <f>HYPERLINK("https://www.catalog.slsa.sa.gov.au/xrecord=b2059509")</f>
        <v>https://www.catalog.slsa.sa.gov.au/xrecord=b2059509</v>
      </c>
      <c r="D7458" t="s">
        <v>16831</v>
      </c>
      <c r="E7458" t="s">
        <v>24203</v>
      </c>
      <c r="F7458">
        <v>1955</v>
      </c>
      <c r="G7458" t="s">
        <v>20063</v>
      </c>
      <c r="H7458" t="s">
        <v>25374</v>
      </c>
      <c r="I7458" t="s">
        <v>24205</v>
      </c>
      <c r="J7458" t="s">
        <v>24206</v>
      </c>
      <c r="K7458" s="2" t="str">
        <f>HYPERLINK("http://collections.slsa.sa.gov.au/mpcimg/13250/B13210.htm")</f>
        <v>http://collections.slsa.sa.gov.au/mpcimg/13250/B13210.htm</v>
      </c>
    </row>
    <row r="7459" spans="1:11" x14ac:dyDescent="0.25">
      <c r="A7459" t="s">
        <v>25375</v>
      </c>
      <c r="B7459" s="1" t="str">
        <f>HYPERLINK("https://www.catalog.slsa.sa.gov.au/record=b2059516")</f>
        <v>https://www.catalog.slsa.sa.gov.au/record=b2059516</v>
      </c>
      <c r="C7459" s="1" t="str">
        <f>HYPERLINK("https://www.catalog.slsa.sa.gov.au/xrecord=b2059516")</f>
        <v>https://www.catalog.slsa.sa.gov.au/xrecord=b2059516</v>
      </c>
      <c r="D7459" t="s">
        <v>16831</v>
      </c>
      <c r="E7459" t="s">
        <v>24203</v>
      </c>
      <c r="F7459">
        <v>1955</v>
      </c>
      <c r="G7459" t="s">
        <v>20063</v>
      </c>
      <c r="H7459" t="s">
        <v>25376</v>
      </c>
      <c r="J7459" t="s">
        <v>22847</v>
      </c>
      <c r="K7459" s="2" t="str">
        <f>HYPERLINK("http://collections.slsa.sa.gov.au/mpcimg/13250/B13229.htm")</f>
        <v>http://collections.slsa.sa.gov.au/mpcimg/13250/B13229.htm</v>
      </c>
    </row>
    <row r="7460" spans="1:11" x14ac:dyDescent="0.25">
      <c r="A7460" t="s">
        <v>25377</v>
      </c>
      <c r="B7460" s="1" t="str">
        <f>HYPERLINK("https://www.catalog.slsa.sa.gov.au/record=b2059517")</f>
        <v>https://www.catalog.slsa.sa.gov.au/record=b2059517</v>
      </c>
      <c r="C7460" s="1" t="str">
        <f>HYPERLINK("https://www.catalog.slsa.sa.gov.au/xrecord=b2059517")</f>
        <v>https://www.catalog.slsa.sa.gov.au/xrecord=b2059517</v>
      </c>
      <c r="D7460" t="s">
        <v>16831</v>
      </c>
      <c r="E7460" t="s">
        <v>24203</v>
      </c>
      <c r="F7460">
        <v>1955</v>
      </c>
      <c r="G7460" t="s">
        <v>20063</v>
      </c>
      <c r="H7460" t="s">
        <v>25378</v>
      </c>
      <c r="J7460" t="s">
        <v>22847</v>
      </c>
      <c r="K7460" s="2" t="str">
        <f>HYPERLINK("http://collections.slsa.sa.gov.au/mpcimg/13250/B13230.htm")</f>
        <v>http://collections.slsa.sa.gov.au/mpcimg/13250/B13230.htm</v>
      </c>
    </row>
    <row r="7461" spans="1:11" x14ac:dyDescent="0.25">
      <c r="A7461" t="s">
        <v>25379</v>
      </c>
      <c r="B7461" s="1" t="str">
        <f>HYPERLINK("https://www.catalog.slsa.sa.gov.au/record=b2059556")</f>
        <v>https://www.catalog.slsa.sa.gov.au/record=b2059556</v>
      </c>
      <c r="C7461" s="1" t="str">
        <f>HYPERLINK("https://www.catalog.slsa.sa.gov.au/xrecord=b2059556")</f>
        <v>https://www.catalog.slsa.sa.gov.au/xrecord=b2059556</v>
      </c>
      <c r="D7461" t="s">
        <v>16831</v>
      </c>
      <c r="E7461" t="s">
        <v>25380</v>
      </c>
      <c r="F7461">
        <v>1955</v>
      </c>
      <c r="G7461" t="s">
        <v>20063</v>
      </c>
      <c r="H7461" t="s">
        <v>25381</v>
      </c>
      <c r="J7461" t="s">
        <v>25382</v>
      </c>
      <c r="K7461" s="2" t="str">
        <f>HYPERLINK("http://collections.slsa.sa.gov.au/mpcimg/13250/B13214.htm")</f>
        <v>http://collections.slsa.sa.gov.au/mpcimg/13250/B13214.htm</v>
      </c>
    </row>
    <row r="7462" spans="1:11" x14ac:dyDescent="0.25">
      <c r="A7462" t="s">
        <v>25383</v>
      </c>
      <c r="B7462" s="1" t="str">
        <f>HYPERLINK("https://www.catalog.slsa.sa.gov.au/record=b2059573")</f>
        <v>https://www.catalog.slsa.sa.gov.au/record=b2059573</v>
      </c>
      <c r="C7462" s="1" t="str">
        <f>HYPERLINK("https://www.catalog.slsa.sa.gov.au/xrecord=b2059573")</f>
        <v>https://www.catalog.slsa.sa.gov.au/xrecord=b2059573</v>
      </c>
      <c r="D7462" t="s">
        <v>16831</v>
      </c>
      <c r="E7462" t="s">
        <v>25384</v>
      </c>
      <c r="F7462">
        <v>1955</v>
      </c>
      <c r="G7462" t="s">
        <v>20063</v>
      </c>
      <c r="H7462" t="s">
        <v>25385</v>
      </c>
      <c r="J7462" t="s">
        <v>24214</v>
      </c>
      <c r="K7462" s="2" t="str">
        <f>HYPERLINK("http://collections.slsa.sa.gov.au/mpcimg/13250/B13147.htm")</f>
        <v>http://collections.slsa.sa.gov.au/mpcimg/13250/B13147.htm</v>
      </c>
    </row>
    <row r="7463" spans="1:11" x14ac:dyDescent="0.25">
      <c r="A7463" t="s">
        <v>25386</v>
      </c>
      <c r="B7463" s="1" t="str">
        <f>HYPERLINK("https://www.catalog.slsa.sa.gov.au/record=b2059574")</f>
        <v>https://www.catalog.slsa.sa.gov.au/record=b2059574</v>
      </c>
      <c r="C7463" s="1" t="str">
        <f>HYPERLINK("https://www.catalog.slsa.sa.gov.au/xrecord=b2059574")</f>
        <v>https://www.catalog.slsa.sa.gov.au/xrecord=b2059574</v>
      </c>
      <c r="D7463" t="s">
        <v>16831</v>
      </c>
      <c r="E7463" t="s">
        <v>25384</v>
      </c>
      <c r="F7463">
        <v>1955</v>
      </c>
      <c r="G7463" t="s">
        <v>20063</v>
      </c>
      <c r="H7463" t="s">
        <v>25387</v>
      </c>
      <c r="J7463" t="s">
        <v>24214</v>
      </c>
      <c r="K7463" s="2" t="str">
        <f>HYPERLINK("http://collections.slsa.sa.gov.au/mpcimg/13250/B13148.htm")</f>
        <v>http://collections.slsa.sa.gov.au/mpcimg/13250/B13148.htm</v>
      </c>
    </row>
    <row r="7464" spans="1:11" x14ac:dyDescent="0.25">
      <c r="A7464" t="s">
        <v>25388</v>
      </c>
      <c r="B7464" s="1" t="str">
        <f>HYPERLINK("https://www.catalog.slsa.sa.gov.au/record=b2059586")</f>
        <v>https://www.catalog.slsa.sa.gov.au/record=b2059586</v>
      </c>
      <c r="C7464" s="1" t="str">
        <f>HYPERLINK("https://www.catalog.slsa.sa.gov.au/xrecord=b2059586")</f>
        <v>https://www.catalog.slsa.sa.gov.au/xrecord=b2059586</v>
      </c>
      <c r="D7464" t="s">
        <v>16831</v>
      </c>
      <c r="E7464" t="s">
        <v>20096</v>
      </c>
      <c r="F7464">
        <v>1955</v>
      </c>
      <c r="G7464" t="s">
        <v>24025</v>
      </c>
      <c r="H7464" t="s">
        <v>25389</v>
      </c>
      <c r="J7464" t="s">
        <v>25390</v>
      </c>
      <c r="K7464" s="2" t="str">
        <f>HYPERLINK("http://collections.slsa.sa.gov.au/mpcimg/13500/B13374.htm")</f>
        <v>http://collections.slsa.sa.gov.au/mpcimg/13500/B13374.htm</v>
      </c>
    </row>
    <row r="7465" spans="1:11" x14ac:dyDescent="0.25">
      <c r="A7465" t="s">
        <v>25391</v>
      </c>
      <c r="B7465" s="1" t="str">
        <f>HYPERLINK("https://www.catalog.slsa.sa.gov.au/record=b2059587")</f>
        <v>https://www.catalog.slsa.sa.gov.au/record=b2059587</v>
      </c>
      <c r="C7465" s="1" t="str">
        <f>HYPERLINK("https://www.catalog.slsa.sa.gov.au/xrecord=b2059587")</f>
        <v>https://www.catalog.slsa.sa.gov.au/xrecord=b2059587</v>
      </c>
      <c r="D7465" t="s">
        <v>16831</v>
      </c>
      <c r="E7465" t="s">
        <v>20096</v>
      </c>
      <c r="F7465">
        <v>1955</v>
      </c>
      <c r="G7465" t="s">
        <v>24025</v>
      </c>
      <c r="H7465" t="s">
        <v>25392</v>
      </c>
      <c r="J7465" t="s">
        <v>25390</v>
      </c>
      <c r="K7465" s="2" t="str">
        <f>HYPERLINK("http://collections.slsa.sa.gov.au/mpcimg/13500/B13375.htm")</f>
        <v>http://collections.slsa.sa.gov.au/mpcimg/13500/B13375.htm</v>
      </c>
    </row>
    <row r="7466" spans="1:11" x14ac:dyDescent="0.25">
      <c r="A7466" t="s">
        <v>25393</v>
      </c>
      <c r="B7466" s="1" t="str">
        <f>HYPERLINK("https://www.catalog.slsa.sa.gov.au/record=b2059788")</f>
        <v>https://www.catalog.slsa.sa.gov.au/record=b2059788</v>
      </c>
      <c r="C7466" s="1" t="str">
        <f>HYPERLINK("https://www.catalog.slsa.sa.gov.au/xrecord=b2059788")</f>
        <v>https://www.catalog.slsa.sa.gov.au/xrecord=b2059788</v>
      </c>
      <c r="D7466" t="s">
        <v>16831</v>
      </c>
      <c r="E7466" t="s">
        <v>15191</v>
      </c>
      <c r="F7466">
        <v>1955</v>
      </c>
      <c r="G7466" t="s">
        <v>19</v>
      </c>
      <c r="H7466" t="s">
        <v>25394</v>
      </c>
      <c r="I7466" t="s">
        <v>25395</v>
      </c>
      <c r="J7466" t="s">
        <v>24255</v>
      </c>
      <c r="K7466" s="2" t="str">
        <f>HYPERLINK("http://collections.slsa.sa.gov.au/mpcimg/13500/B13473.htm")</f>
        <v>http://collections.slsa.sa.gov.au/mpcimg/13500/B13473.htm</v>
      </c>
    </row>
    <row r="7467" spans="1:11" x14ac:dyDescent="0.25">
      <c r="A7467" t="s">
        <v>25396</v>
      </c>
      <c r="B7467" s="1" t="str">
        <f>HYPERLINK("https://www.catalog.slsa.sa.gov.au/record=b2059857")</f>
        <v>https://www.catalog.slsa.sa.gov.au/record=b2059857</v>
      </c>
      <c r="C7467" s="1" t="str">
        <f>HYPERLINK("https://www.catalog.slsa.sa.gov.au/xrecord=b2059857")</f>
        <v>https://www.catalog.slsa.sa.gov.au/xrecord=b2059857</v>
      </c>
      <c r="D7467" t="s">
        <v>16831</v>
      </c>
      <c r="E7467" t="s">
        <v>15191</v>
      </c>
      <c r="F7467">
        <v>1955</v>
      </c>
      <c r="G7467" t="s">
        <v>5070</v>
      </c>
      <c r="H7467" t="s">
        <v>25397</v>
      </c>
      <c r="J7467" t="s">
        <v>25398</v>
      </c>
      <c r="K7467" s="2" t="str">
        <f>HYPERLINK("http://collections.slsa.sa.gov.au/mpcimg/13750/B13543.htm")</f>
        <v>http://collections.slsa.sa.gov.au/mpcimg/13750/B13543.htm</v>
      </c>
    </row>
    <row r="7468" spans="1:11" x14ac:dyDescent="0.25">
      <c r="A7468" t="s">
        <v>25399</v>
      </c>
      <c r="B7468" s="1" t="str">
        <f>HYPERLINK("https://www.catalog.slsa.sa.gov.au/record=b2059858")</f>
        <v>https://www.catalog.slsa.sa.gov.au/record=b2059858</v>
      </c>
      <c r="C7468" s="1" t="str">
        <f>HYPERLINK("https://www.catalog.slsa.sa.gov.au/xrecord=b2059858")</f>
        <v>https://www.catalog.slsa.sa.gov.au/xrecord=b2059858</v>
      </c>
      <c r="D7468" t="s">
        <v>16831</v>
      </c>
      <c r="E7468" t="s">
        <v>21046</v>
      </c>
      <c r="F7468">
        <v>1955</v>
      </c>
      <c r="G7468" t="s">
        <v>5070</v>
      </c>
      <c r="H7468" t="s">
        <v>25400</v>
      </c>
      <c r="J7468" t="s">
        <v>25398</v>
      </c>
      <c r="K7468" s="2" t="str">
        <f>HYPERLINK("http://collections.slsa.sa.gov.au/mpcimg/13750/B13551.htm")</f>
        <v>http://collections.slsa.sa.gov.au/mpcimg/13750/B13551.htm</v>
      </c>
    </row>
    <row r="7469" spans="1:11" x14ac:dyDescent="0.25">
      <c r="A7469" t="s">
        <v>25401</v>
      </c>
      <c r="B7469" s="1" t="str">
        <f>HYPERLINK("https://www.catalog.slsa.sa.gov.au/record=b2059877")</f>
        <v>https://www.catalog.slsa.sa.gov.au/record=b2059877</v>
      </c>
      <c r="C7469" s="1" t="str">
        <f>HYPERLINK("https://www.catalog.slsa.sa.gov.au/xrecord=b2059877")</f>
        <v>https://www.catalog.slsa.sa.gov.au/xrecord=b2059877</v>
      </c>
      <c r="D7469" t="s">
        <v>16831</v>
      </c>
      <c r="E7469" t="s">
        <v>15191</v>
      </c>
      <c r="F7469">
        <v>1955</v>
      </c>
      <c r="G7469" t="s">
        <v>5070</v>
      </c>
      <c r="H7469" t="s">
        <v>25402</v>
      </c>
      <c r="J7469" t="s">
        <v>24269</v>
      </c>
      <c r="K7469" s="2" t="str">
        <f>HYPERLINK("http://collections.slsa.sa.gov.au/mpcimg/13750/B13565.htm")</f>
        <v>http://collections.slsa.sa.gov.au/mpcimg/13750/B13565.htm</v>
      </c>
    </row>
    <row r="7470" spans="1:11" x14ac:dyDescent="0.25">
      <c r="A7470" t="s">
        <v>25403</v>
      </c>
      <c r="B7470" s="1" t="str">
        <f>HYPERLINK("https://www.catalog.slsa.sa.gov.au/record=b2059914")</f>
        <v>https://www.catalog.slsa.sa.gov.au/record=b2059914</v>
      </c>
      <c r="C7470" s="1" t="str">
        <f>HYPERLINK("https://www.catalog.slsa.sa.gov.au/xrecord=b2059914")</f>
        <v>https://www.catalog.slsa.sa.gov.au/xrecord=b2059914</v>
      </c>
      <c r="D7470" t="s">
        <v>16831</v>
      </c>
      <c r="E7470" t="s">
        <v>25404</v>
      </c>
      <c r="F7470">
        <v>1955</v>
      </c>
      <c r="G7470" t="s">
        <v>19</v>
      </c>
      <c r="H7470" t="s">
        <v>25405</v>
      </c>
      <c r="J7470" t="s">
        <v>25406</v>
      </c>
      <c r="K7470" s="2" t="str">
        <f>HYPERLINK("http://collections.slsa.sa.gov.au/mpcimg/13500/B13492.htm")</f>
        <v>http://collections.slsa.sa.gov.au/mpcimg/13500/B13492.htm</v>
      </c>
    </row>
    <row r="7471" spans="1:11" x14ac:dyDescent="0.25">
      <c r="A7471" t="s">
        <v>25407</v>
      </c>
      <c r="B7471" s="1" t="str">
        <f>HYPERLINK("https://www.catalog.slsa.sa.gov.au/record=b2059915")</f>
        <v>https://www.catalog.slsa.sa.gov.au/record=b2059915</v>
      </c>
      <c r="C7471" s="1" t="str">
        <f>HYPERLINK("https://www.catalog.slsa.sa.gov.au/xrecord=b2059915")</f>
        <v>https://www.catalog.slsa.sa.gov.au/xrecord=b2059915</v>
      </c>
      <c r="D7471" t="s">
        <v>16831</v>
      </c>
      <c r="E7471" t="s">
        <v>25404</v>
      </c>
      <c r="F7471">
        <v>1955</v>
      </c>
      <c r="G7471" t="s">
        <v>19</v>
      </c>
      <c r="H7471" t="s">
        <v>25408</v>
      </c>
      <c r="J7471" t="s">
        <v>25406</v>
      </c>
      <c r="K7471" s="2" t="str">
        <f>HYPERLINK("http://collections.slsa.sa.gov.au/mpcimg/13500/B13494.htm")</f>
        <v>http://collections.slsa.sa.gov.au/mpcimg/13500/B13494.htm</v>
      </c>
    </row>
    <row r="7472" spans="1:11" x14ac:dyDescent="0.25">
      <c r="A7472" t="s">
        <v>25409</v>
      </c>
      <c r="B7472" s="1" t="str">
        <f>HYPERLINK("https://www.catalog.slsa.sa.gov.au/record=b2060074")</f>
        <v>https://www.catalog.slsa.sa.gov.au/record=b2060074</v>
      </c>
      <c r="C7472" s="1" t="str">
        <f>HYPERLINK("https://www.catalog.slsa.sa.gov.au/xrecord=b2060074")</f>
        <v>https://www.catalog.slsa.sa.gov.au/xrecord=b2060074</v>
      </c>
      <c r="D7472" t="s">
        <v>16831</v>
      </c>
      <c r="E7472" t="s">
        <v>20100</v>
      </c>
      <c r="F7472">
        <v>1955</v>
      </c>
      <c r="G7472" t="s">
        <v>19</v>
      </c>
      <c r="H7472" t="s">
        <v>25410</v>
      </c>
      <c r="J7472" t="s">
        <v>25411</v>
      </c>
      <c r="K7472" s="2" t="str">
        <f>HYPERLINK("http://collections.slsa.sa.gov.au/mpcimg/13500/B13474.htm")</f>
        <v>http://collections.slsa.sa.gov.au/mpcimg/13500/B13474.htm</v>
      </c>
    </row>
    <row r="7473" spans="1:11" x14ac:dyDescent="0.25">
      <c r="A7473" t="s">
        <v>25412</v>
      </c>
      <c r="B7473" s="1" t="str">
        <f>HYPERLINK("https://www.catalog.slsa.sa.gov.au/record=b2060087")</f>
        <v>https://www.catalog.slsa.sa.gov.au/record=b2060087</v>
      </c>
      <c r="C7473" s="1" t="str">
        <f>HYPERLINK("https://www.catalog.slsa.sa.gov.au/xrecord=b2060087")</f>
        <v>https://www.catalog.slsa.sa.gov.au/xrecord=b2060087</v>
      </c>
      <c r="D7473" t="s">
        <v>16831</v>
      </c>
      <c r="E7473" t="s">
        <v>20912</v>
      </c>
      <c r="F7473">
        <v>1955</v>
      </c>
      <c r="G7473" t="s">
        <v>20063</v>
      </c>
      <c r="H7473" t="s">
        <v>25413</v>
      </c>
      <c r="J7473" t="s">
        <v>20103</v>
      </c>
      <c r="K7473" s="2" t="str">
        <f>HYPERLINK("http://collections.slsa.sa.gov.au/mpcimg/13250/B13221.htm")</f>
        <v>http://collections.slsa.sa.gov.au/mpcimg/13250/B13221.htm</v>
      </c>
    </row>
    <row r="7474" spans="1:11" x14ac:dyDescent="0.25">
      <c r="A7474" t="s">
        <v>25414</v>
      </c>
      <c r="B7474" s="1" t="str">
        <f>HYPERLINK("https://www.catalog.slsa.sa.gov.au/record=b2060149")</f>
        <v>https://www.catalog.slsa.sa.gov.au/record=b2060149</v>
      </c>
      <c r="C7474" s="1" t="str">
        <f>HYPERLINK("https://www.catalog.slsa.sa.gov.au/xrecord=b2060149")</f>
        <v>https://www.catalog.slsa.sa.gov.au/xrecord=b2060149</v>
      </c>
      <c r="D7474" t="s">
        <v>16831</v>
      </c>
      <c r="E7474" t="s">
        <v>21061</v>
      </c>
      <c r="F7474">
        <v>1955</v>
      </c>
      <c r="G7474" t="s">
        <v>5070</v>
      </c>
      <c r="H7474" t="s">
        <v>25415</v>
      </c>
      <c r="J7474" t="s">
        <v>25416</v>
      </c>
      <c r="K7474" s="2" t="str">
        <f>HYPERLINK("http://collections.slsa.sa.gov.au/mpcimg/13750/B13550.htm")</f>
        <v>http://collections.slsa.sa.gov.au/mpcimg/13750/B13550.htm</v>
      </c>
    </row>
    <row r="7475" spans="1:11" x14ac:dyDescent="0.25">
      <c r="A7475" t="s">
        <v>25417</v>
      </c>
      <c r="B7475" s="1" t="str">
        <f>HYPERLINK("https://www.catalog.slsa.sa.gov.au/record=b2060263")</f>
        <v>https://www.catalog.slsa.sa.gov.au/record=b2060263</v>
      </c>
      <c r="C7475" s="1" t="str">
        <f>HYPERLINK("https://www.catalog.slsa.sa.gov.au/xrecord=b2060263")</f>
        <v>https://www.catalog.slsa.sa.gov.au/xrecord=b2060263</v>
      </c>
      <c r="D7475" t="s">
        <v>16831</v>
      </c>
      <c r="E7475" t="s">
        <v>25384</v>
      </c>
      <c r="F7475">
        <v>1955</v>
      </c>
      <c r="G7475" t="s">
        <v>20063</v>
      </c>
      <c r="H7475" t="s">
        <v>25418</v>
      </c>
      <c r="I7475" t="s">
        <v>24177</v>
      </c>
      <c r="J7475" t="s">
        <v>21069</v>
      </c>
      <c r="K7475" s="2" t="str">
        <f>HYPERLINK("http://collections.slsa.sa.gov.au/mpcimg/13250/B13149.htm")</f>
        <v>http://collections.slsa.sa.gov.au/mpcimg/13250/B13149.htm</v>
      </c>
    </row>
    <row r="7476" spans="1:11" x14ac:dyDescent="0.25">
      <c r="A7476" t="s">
        <v>25419</v>
      </c>
      <c r="B7476" s="1" t="str">
        <f>HYPERLINK("https://www.catalog.slsa.sa.gov.au/record=b2060752")</f>
        <v>https://www.catalog.slsa.sa.gov.au/record=b2060752</v>
      </c>
      <c r="C7476" s="1" t="str">
        <f>HYPERLINK("https://www.catalog.slsa.sa.gov.au/xrecord=b2060752")</f>
        <v>https://www.catalog.slsa.sa.gov.au/xrecord=b2060752</v>
      </c>
      <c r="D7476" t="s">
        <v>16831</v>
      </c>
      <c r="E7476" t="s">
        <v>25420</v>
      </c>
      <c r="F7476">
        <v>1955</v>
      </c>
      <c r="G7476" t="s">
        <v>20063</v>
      </c>
      <c r="H7476" t="s">
        <v>25421</v>
      </c>
      <c r="I7476" t="s">
        <v>24177</v>
      </c>
      <c r="J7476" t="s">
        <v>24318</v>
      </c>
      <c r="K7476" s="2" t="str">
        <f>HYPERLINK("http://collections.slsa.sa.gov.au/mpcimg/13250/B13181.htm")</f>
        <v>http://collections.slsa.sa.gov.au/mpcimg/13250/B13181.htm</v>
      </c>
    </row>
    <row r="7477" spans="1:11" x14ac:dyDescent="0.25">
      <c r="A7477" t="s">
        <v>25422</v>
      </c>
      <c r="B7477" s="1" t="str">
        <f>HYPERLINK("https://www.catalog.slsa.sa.gov.au/record=b2060753")</f>
        <v>https://www.catalog.slsa.sa.gov.au/record=b2060753</v>
      </c>
      <c r="C7477" s="1" t="str">
        <f>HYPERLINK("https://www.catalog.slsa.sa.gov.au/xrecord=b2060753")</f>
        <v>https://www.catalog.slsa.sa.gov.au/xrecord=b2060753</v>
      </c>
      <c r="D7477" t="s">
        <v>16831</v>
      </c>
      <c r="E7477" t="s">
        <v>25420</v>
      </c>
      <c r="F7477">
        <v>1955</v>
      </c>
      <c r="G7477" t="s">
        <v>20063</v>
      </c>
      <c r="H7477" t="s">
        <v>25423</v>
      </c>
      <c r="I7477" t="s">
        <v>24177</v>
      </c>
      <c r="J7477" t="s">
        <v>24318</v>
      </c>
      <c r="K7477" s="2" t="str">
        <f>HYPERLINK("http://collections.slsa.sa.gov.au/mpcimg/13250/B13182.htm")</f>
        <v>http://collections.slsa.sa.gov.au/mpcimg/13250/B13182.htm</v>
      </c>
    </row>
    <row r="7478" spans="1:11" x14ac:dyDescent="0.25">
      <c r="A7478" t="s">
        <v>25424</v>
      </c>
      <c r="B7478" s="1" t="str">
        <f>HYPERLINK("https://www.catalog.slsa.sa.gov.au/record=b2060754")</f>
        <v>https://www.catalog.slsa.sa.gov.au/record=b2060754</v>
      </c>
      <c r="C7478" s="1" t="str">
        <f>HYPERLINK("https://www.catalog.slsa.sa.gov.au/xrecord=b2060754")</f>
        <v>https://www.catalog.slsa.sa.gov.au/xrecord=b2060754</v>
      </c>
      <c r="D7478" t="s">
        <v>16831</v>
      </c>
      <c r="E7478" t="s">
        <v>25420</v>
      </c>
      <c r="F7478">
        <v>1955</v>
      </c>
      <c r="G7478" t="s">
        <v>20063</v>
      </c>
      <c r="H7478" t="s">
        <v>25425</v>
      </c>
      <c r="I7478" t="s">
        <v>24177</v>
      </c>
      <c r="J7478" t="s">
        <v>24318</v>
      </c>
      <c r="K7478" s="2" t="str">
        <f>HYPERLINK("http://collections.slsa.sa.gov.au/mpcimg/13250/B13183.htm")</f>
        <v>http://collections.slsa.sa.gov.au/mpcimg/13250/B13183.htm</v>
      </c>
    </row>
    <row r="7479" spans="1:11" x14ac:dyDescent="0.25">
      <c r="A7479" t="s">
        <v>25426</v>
      </c>
      <c r="B7479" s="1" t="str">
        <f>HYPERLINK("https://www.catalog.slsa.sa.gov.au/record=b2060781")</f>
        <v>https://www.catalog.slsa.sa.gov.au/record=b2060781</v>
      </c>
      <c r="C7479" s="1" t="str">
        <f>HYPERLINK("https://www.catalog.slsa.sa.gov.au/xrecord=b2060781")</f>
        <v>https://www.catalog.slsa.sa.gov.au/xrecord=b2060781</v>
      </c>
      <c r="D7479" t="s">
        <v>16831</v>
      </c>
      <c r="E7479" t="s">
        <v>20100</v>
      </c>
      <c r="F7479">
        <v>1955</v>
      </c>
      <c r="G7479" t="s">
        <v>5070</v>
      </c>
      <c r="H7479" t="s">
        <v>25427</v>
      </c>
      <c r="J7479" t="s">
        <v>22875</v>
      </c>
      <c r="K7479" s="2" t="str">
        <f>HYPERLINK("http://collections.slsa.sa.gov.au/mpcimg/13750/B13564.htm")</f>
        <v>http://collections.slsa.sa.gov.au/mpcimg/13750/B13564.htm</v>
      </c>
    </row>
    <row r="7480" spans="1:11" x14ac:dyDescent="0.25">
      <c r="A7480" t="s">
        <v>25428</v>
      </c>
      <c r="B7480" s="1" t="str">
        <f>HYPERLINK("https://www.catalog.slsa.sa.gov.au/record=b2060830")</f>
        <v>https://www.catalog.slsa.sa.gov.au/record=b2060830</v>
      </c>
      <c r="C7480" s="1" t="str">
        <f>HYPERLINK("https://www.catalog.slsa.sa.gov.au/xrecord=b2060830")</f>
        <v>https://www.catalog.slsa.sa.gov.au/xrecord=b2060830</v>
      </c>
      <c r="D7480" t="s">
        <v>16831</v>
      </c>
      <c r="E7480" t="s">
        <v>21099</v>
      </c>
      <c r="F7480">
        <v>1955</v>
      </c>
      <c r="G7480" t="s">
        <v>19</v>
      </c>
      <c r="H7480" t="s">
        <v>25429</v>
      </c>
      <c r="J7480" t="s">
        <v>25430</v>
      </c>
      <c r="K7480" s="2" t="str">
        <f>HYPERLINK("http://collections.slsa.sa.gov.au/mpcimg/13500/B13469.htm")</f>
        <v>http://collections.slsa.sa.gov.au/mpcimg/13500/B13469.htm</v>
      </c>
    </row>
    <row r="7481" spans="1:11" x14ac:dyDescent="0.25">
      <c r="A7481" t="s">
        <v>25431</v>
      </c>
      <c r="B7481" s="1" t="str">
        <f>HYPERLINK("https://www.catalog.slsa.sa.gov.au/record=b2060881")</f>
        <v>https://www.catalog.slsa.sa.gov.au/record=b2060881</v>
      </c>
      <c r="C7481" s="1" t="str">
        <f>HYPERLINK("https://www.catalog.slsa.sa.gov.au/xrecord=b2060881")</f>
        <v>https://www.catalog.slsa.sa.gov.au/xrecord=b2060881</v>
      </c>
      <c r="D7481" t="s">
        <v>16831</v>
      </c>
      <c r="E7481" t="s">
        <v>16827</v>
      </c>
      <c r="F7481">
        <v>1955</v>
      </c>
      <c r="G7481" t="s">
        <v>19</v>
      </c>
      <c r="H7481" t="s">
        <v>25432</v>
      </c>
      <c r="J7481" t="s">
        <v>22886</v>
      </c>
      <c r="K7481" s="2" t="str">
        <f>HYPERLINK("http://collections.slsa.sa.gov.au/mpcimg/13500/B13462.htm")</f>
        <v>http://collections.slsa.sa.gov.au/mpcimg/13500/B13462.htm</v>
      </c>
    </row>
    <row r="7482" spans="1:11" x14ac:dyDescent="0.25">
      <c r="A7482" t="s">
        <v>25433</v>
      </c>
      <c r="B7482" s="1" t="str">
        <f>HYPERLINK("https://www.catalog.slsa.sa.gov.au/record=b2060882")</f>
        <v>https://www.catalog.slsa.sa.gov.au/record=b2060882</v>
      </c>
      <c r="C7482" s="1" t="str">
        <f>HYPERLINK("https://www.catalog.slsa.sa.gov.au/xrecord=b2060882")</f>
        <v>https://www.catalog.slsa.sa.gov.au/xrecord=b2060882</v>
      </c>
      <c r="D7482" t="s">
        <v>16831</v>
      </c>
      <c r="E7482" t="s">
        <v>16827</v>
      </c>
      <c r="F7482">
        <v>1955</v>
      </c>
      <c r="G7482" t="s">
        <v>19</v>
      </c>
      <c r="H7482" t="s">
        <v>25434</v>
      </c>
      <c r="J7482" t="s">
        <v>22886</v>
      </c>
      <c r="K7482" s="2" t="str">
        <f>HYPERLINK("http://collections.slsa.sa.gov.au/mpcimg/13500/B13486.htm")</f>
        <v>http://collections.slsa.sa.gov.au/mpcimg/13500/B13486.htm</v>
      </c>
    </row>
    <row r="7483" spans="1:11" x14ac:dyDescent="0.25">
      <c r="A7483" t="s">
        <v>25435</v>
      </c>
      <c r="B7483" s="1" t="str">
        <f>HYPERLINK("https://www.catalog.slsa.sa.gov.au/record=b2061028")</f>
        <v>https://www.catalog.slsa.sa.gov.au/record=b2061028</v>
      </c>
      <c r="C7483" s="1" t="str">
        <f>HYPERLINK("https://www.catalog.slsa.sa.gov.au/xrecord=b2061028")</f>
        <v>https://www.catalog.slsa.sa.gov.au/xrecord=b2061028</v>
      </c>
      <c r="D7483" t="s">
        <v>16831</v>
      </c>
      <c r="E7483" t="s">
        <v>24300</v>
      </c>
      <c r="F7483">
        <v>1955</v>
      </c>
      <c r="G7483" t="s">
        <v>5070</v>
      </c>
      <c r="H7483" t="s">
        <v>25436</v>
      </c>
      <c r="J7483" t="s">
        <v>24356</v>
      </c>
      <c r="K7483" s="2" t="str">
        <f>HYPERLINK("http://collections.slsa.sa.gov.au/mpcimg/13750/B13570.htm")</f>
        <v>http://collections.slsa.sa.gov.au/mpcimg/13750/B13570.htm</v>
      </c>
    </row>
    <row r="7484" spans="1:11" x14ac:dyDescent="0.25">
      <c r="A7484" t="s">
        <v>25437</v>
      </c>
      <c r="B7484" s="1" t="str">
        <f>HYPERLINK("https://www.catalog.slsa.sa.gov.au/record=b2061072")</f>
        <v>https://www.catalog.slsa.sa.gov.au/record=b2061072</v>
      </c>
      <c r="C7484" s="1" t="str">
        <f>HYPERLINK("https://www.catalog.slsa.sa.gov.au/xrecord=b2061072")</f>
        <v>https://www.catalog.slsa.sa.gov.au/xrecord=b2061072</v>
      </c>
      <c r="D7484" t="s">
        <v>16831</v>
      </c>
      <c r="E7484" t="s">
        <v>21118</v>
      </c>
      <c r="F7484">
        <v>1955</v>
      </c>
      <c r="G7484" t="s">
        <v>19</v>
      </c>
      <c r="H7484" t="s">
        <v>25438</v>
      </c>
      <c r="J7484" t="s">
        <v>25439</v>
      </c>
      <c r="K7484" s="2" t="str">
        <f>HYPERLINK("http://collections.slsa.sa.gov.au/mpcimg/13500/B13485.htm")</f>
        <v>http://collections.slsa.sa.gov.au/mpcimg/13500/B13485.htm</v>
      </c>
    </row>
    <row r="7485" spans="1:11" x14ac:dyDescent="0.25">
      <c r="A7485" t="s">
        <v>25440</v>
      </c>
      <c r="B7485" s="1" t="str">
        <f>HYPERLINK("https://www.catalog.slsa.sa.gov.au/record=b2061077")</f>
        <v>https://www.catalog.slsa.sa.gov.au/record=b2061077</v>
      </c>
      <c r="C7485" s="1" t="str">
        <f>HYPERLINK("https://www.catalog.slsa.sa.gov.au/xrecord=b2061077")</f>
        <v>https://www.catalog.slsa.sa.gov.au/xrecord=b2061077</v>
      </c>
      <c r="D7485" t="s">
        <v>16831</v>
      </c>
      <c r="E7485" t="s">
        <v>21118</v>
      </c>
      <c r="F7485">
        <v>1955</v>
      </c>
      <c r="G7485" t="s">
        <v>24025</v>
      </c>
      <c r="H7485" t="s">
        <v>25441</v>
      </c>
      <c r="J7485" t="s">
        <v>22892</v>
      </c>
      <c r="K7485" s="2" t="str">
        <f>HYPERLINK("http://collections.slsa.sa.gov.au/mpcimg/13500/B13376.htm")</f>
        <v>http://collections.slsa.sa.gov.au/mpcimg/13500/B13376.htm</v>
      </c>
    </row>
    <row r="7486" spans="1:11" x14ac:dyDescent="0.25">
      <c r="A7486" t="s">
        <v>25442</v>
      </c>
      <c r="B7486" s="1" t="str">
        <f>HYPERLINK("https://www.catalog.slsa.sa.gov.au/record=b2061078")</f>
        <v>https://www.catalog.slsa.sa.gov.au/record=b2061078</v>
      </c>
      <c r="C7486" s="1" t="str">
        <f>HYPERLINK("https://www.catalog.slsa.sa.gov.au/xrecord=b2061078")</f>
        <v>https://www.catalog.slsa.sa.gov.au/xrecord=b2061078</v>
      </c>
      <c r="D7486" t="s">
        <v>16831</v>
      </c>
      <c r="E7486" t="s">
        <v>21118</v>
      </c>
      <c r="F7486">
        <v>1955</v>
      </c>
      <c r="G7486" t="s">
        <v>19</v>
      </c>
      <c r="H7486" t="s">
        <v>25443</v>
      </c>
      <c r="J7486" t="s">
        <v>22892</v>
      </c>
      <c r="K7486" s="2" t="str">
        <f>HYPERLINK("http://collections.slsa.sa.gov.au/mpcimg/13500/B13484.htm")</f>
        <v>http://collections.slsa.sa.gov.au/mpcimg/13500/B13484.htm</v>
      </c>
    </row>
    <row r="7487" spans="1:11" x14ac:dyDescent="0.25">
      <c r="A7487" t="s">
        <v>25444</v>
      </c>
      <c r="B7487" s="1" t="str">
        <f>HYPERLINK("https://www.catalog.slsa.sa.gov.au/record=b2061089")</f>
        <v>https://www.catalog.slsa.sa.gov.au/record=b2061089</v>
      </c>
      <c r="C7487" s="1" t="str">
        <f>HYPERLINK("https://www.catalog.slsa.sa.gov.au/xrecord=b2061089")</f>
        <v>https://www.catalog.slsa.sa.gov.au/xrecord=b2061089</v>
      </c>
      <c r="D7487" t="s">
        <v>16831</v>
      </c>
      <c r="E7487" t="s">
        <v>20974</v>
      </c>
      <c r="F7487">
        <v>1955</v>
      </c>
      <c r="G7487" t="s">
        <v>19</v>
      </c>
      <c r="H7487" t="s">
        <v>25445</v>
      </c>
      <c r="J7487" t="s">
        <v>21132</v>
      </c>
      <c r="K7487" s="2" t="str">
        <f>HYPERLINK("http://collections.slsa.sa.gov.au/mpcimg/13500/B13472.htm")</f>
        <v>http://collections.slsa.sa.gov.au/mpcimg/13500/B13472.htm</v>
      </c>
    </row>
    <row r="7488" spans="1:11" x14ac:dyDescent="0.25">
      <c r="A7488" t="s">
        <v>25446</v>
      </c>
      <c r="B7488" s="1" t="str">
        <f>HYPERLINK("https://www.catalog.slsa.sa.gov.au/record=b2061138")</f>
        <v>https://www.catalog.slsa.sa.gov.au/record=b2061138</v>
      </c>
      <c r="C7488" s="1" t="str">
        <f>HYPERLINK("https://www.catalog.slsa.sa.gov.au/xrecord=b2061138")</f>
        <v>https://www.catalog.slsa.sa.gov.au/xrecord=b2061138</v>
      </c>
      <c r="D7488" t="s">
        <v>16831</v>
      </c>
      <c r="E7488" t="s">
        <v>21118</v>
      </c>
      <c r="F7488">
        <v>1955</v>
      </c>
      <c r="G7488" t="s">
        <v>19</v>
      </c>
      <c r="H7488" t="s">
        <v>25447</v>
      </c>
      <c r="J7488" t="s">
        <v>21141</v>
      </c>
      <c r="K7488" s="2" t="str">
        <f>HYPERLINK("http://collections.slsa.sa.gov.au/mpcimg/13500/B13477.htm")</f>
        <v>http://collections.slsa.sa.gov.au/mpcimg/13500/B13477.htm</v>
      </c>
    </row>
    <row r="7489" spans="1:11" x14ac:dyDescent="0.25">
      <c r="A7489" t="s">
        <v>25448</v>
      </c>
      <c r="B7489" s="1" t="str">
        <f>HYPERLINK("https://www.catalog.slsa.sa.gov.au/record=b2061145")</f>
        <v>https://www.catalog.slsa.sa.gov.au/record=b2061145</v>
      </c>
      <c r="C7489" s="1" t="str">
        <f>HYPERLINK("https://www.catalog.slsa.sa.gov.au/xrecord=b2061145")</f>
        <v>https://www.catalog.slsa.sa.gov.au/xrecord=b2061145</v>
      </c>
      <c r="D7489" t="s">
        <v>16831</v>
      </c>
      <c r="E7489" t="s">
        <v>24304</v>
      </c>
      <c r="F7489">
        <v>1955</v>
      </c>
      <c r="G7489" t="s">
        <v>20063</v>
      </c>
      <c r="H7489" t="s">
        <v>25449</v>
      </c>
      <c r="I7489" t="s">
        <v>24350</v>
      </c>
      <c r="J7489" t="s">
        <v>25450</v>
      </c>
      <c r="K7489" s="2" t="str">
        <f>HYPERLINK("http://collections.slsa.sa.gov.au/mpcimg/13250/B13172.htm")</f>
        <v>http://collections.slsa.sa.gov.au/mpcimg/13250/B13172.htm</v>
      </c>
    </row>
    <row r="7490" spans="1:11" x14ac:dyDescent="0.25">
      <c r="A7490" t="s">
        <v>25451</v>
      </c>
      <c r="B7490" s="1" t="str">
        <f>HYPERLINK("https://www.catalog.slsa.sa.gov.au/record=b2061146")</f>
        <v>https://www.catalog.slsa.sa.gov.au/record=b2061146</v>
      </c>
      <c r="C7490" s="1" t="str">
        <f>HYPERLINK("https://www.catalog.slsa.sa.gov.au/xrecord=b2061146")</f>
        <v>https://www.catalog.slsa.sa.gov.au/xrecord=b2061146</v>
      </c>
      <c r="D7490" t="s">
        <v>16831</v>
      </c>
      <c r="E7490" t="s">
        <v>25452</v>
      </c>
      <c r="F7490">
        <v>1955</v>
      </c>
      <c r="G7490" t="s">
        <v>19</v>
      </c>
      <c r="H7490" t="s">
        <v>25453</v>
      </c>
      <c r="J7490" t="s">
        <v>25450</v>
      </c>
      <c r="K7490" s="2" t="str">
        <f>HYPERLINK("http://collections.slsa.sa.gov.au/mpcimg/13500/B13460.htm")</f>
        <v>http://collections.slsa.sa.gov.au/mpcimg/13500/B13460.htm</v>
      </c>
    </row>
    <row r="7491" spans="1:11" x14ac:dyDescent="0.25">
      <c r="A7491" t="s">
        <v>25454</v>
      </c>
      <c r="B7491" s="1" t="str">
        <f>HYPERLINK("https://www.catalog.slsa.sa.gov.au/record=b2061147")</f>
        <v>https://www.catalog.slsa.sa.gov.au/record=b2061147</v>
      </c>
      <c r="C7491" s="1" t="str">
        <f>HYPERLINK("https://www.catalog.slsa.sa.gov.au/xrecord=b2061147")</f>
        <v>https://www.catalog.slsa.sa.gov.au/xrecord=b2061147</v>
      </c>
      <c r="D7491" t="s">
        <v>16831</v>
      </c>
      <c r="E7491" t="s">
        <v>25452</v>
      </c>
      <c r="F7491">
        <v>1955</v>
      </c>
      <c r="G7491" t="s">
        <v>19</v>
      </c>
      <c r="H7491" t="s">
        <v>25455</v>
      </c>
      <c r="J7491" t="s">
        <v>25450</v>
      </c>
      <c r="K7491" s="2" t="str">
        <f>HYPERLINK("http://collections.slsa.sa.gov.au/mpcimg/13500/B13489.htm")</f>
        <v>http://collections.slsa.sa.gov.au/mpcimg/13500/B13489.htm</v>
      </c>
    </row>
    <row r="7492" spans="1:11" x14ac:dyDescent="0.25">
      <c r="A7492" t="s">
        <v>25456</v>
      </c>
      <c r="B7492" s="1" t="str">
        <f>HYPERLINK("https://www.catalog.slsa.sa.gov.au/record=b2061153")</f>
        <v>https://www.catalog.slsa.sa.gov.au/record=b2061153</v>
      </c>
      <c r="C7492" s="1" t="str">
        <f>HYPERLINK("https://www.catalog.slsa.sa.gov.au/xrecord=b2061153")</f>
        <v>https://www.catalog.slsa.sa.gov.au/xrecord=b2061153</v>
      </c>
      <c r="D7492" t="s">
        <v>16831</v>
      </c>
      <c r="E7492" t="s">
        <v>21118</v>
      </c>
      <c r="F7492">
        <v>1955</v>
      </c>
      <c r="G7492" t="s">
        <v>5070</v>
      </c>
      <c r="H7492" t="s">
        <v>25457</v>
      </c>
      <c r="J7492" t="s">
        <v>21146</v>
      </c>
      <c r="K7492" s="2" t="str">
        <f>HYPERLINK("http://collections.slsa.sa.gov.au/mpcimg/13750/B13542.htm")</f>
        <v>http://collections.slsa.sa.gov.au/mpcimg/13750/B13542.htm</v>
      </c>
    </row>
    <row r="7493" spans="1:11" x14ac:dyDescent="0.25">
      <c r="A7493" t="s">
        <v>25458</v>
      </c>
      <c r="B7493" s="1" t="str">
        <f>HYPERLINK("https://www.catalog.slsa.sa.gov.au/record=b2061164")</f>
        <v>https://www.catalog.slsa.sa.gov.au/record=b2061164</v>
      </c>
      <c r="C7493" s="1" t="str">
        <f>HYPERLINK("https://www.catalog.slsa.sa.gov.au/xrecord=b2061164")</f>
        <v>https://www.catalog.slsa.sa.gov.au/xrecord=b2061164</v>
      </c>
      <c r="D7493" t="s">
        <v>16831</v>
      </c>
      <c r="E7493" t="s">
        <v>21118</v>
      </c>
      <c r="F7493">
        <v>1955</v>
      </c>
      <c r="G7493" t="s">
        <v>22709</v>
      </c>
      <c r="H7493" t="s">
        <v>25459</v>
      </c>
      <c r="J7493" t="s">
        <v>25460</v>
      </c>
      <c r="K7493" s="2" t="str">
        <f>HYPERLINK("http://collections.slsa.sa.gov.au/mpcimg/13500/B13383.htm")</f>
        <v>http://collections.slsa.sa.gov.au/mpcimg/13500/B13383.htm</v>
      </c>
    </row>
    <row r="7494" spans="1:11" x14ac:dyDescent="0.25">
      <c r="A7494" t="s">
        <v>25461</v>
      </c>
      <c r="B7494" s="1" t="str">
        <f>HYPERLINK("https://www.catalog.slsa.sa.gov.au/record=b2061201")</f>
        <v>https://www.catalog.slsa.sa.gov.au/record=b2061201</v>
      </c>
      <c r="C7494" s="1" t="str">
        <f>HYPERLINK("https://www.catalog.slsa.sa.gov.au/xrecord=b2061201")</f>
        <v>https://www.catalog.slsa.sa.gov.au/xrecord=b2061201</v>
      </c>
      <c r="D7494" t="s">
        <v>16831</v>
      </c>
      <c r="E7494" t="s">
        <v>21118</v>
      </c>
      <c r="F7494">
        <v>1955</v>
      </c>
      <c r="G7494" t="s">
        <v>19</v>
      </c>
      <c r="H7494" t="s">
        <v>25462</v>
      </c>
      <c r="J7494" t="s">
        <v>24388</v>
      </c>
      <c r="K7494" s="2" t="str">
        <f>HYPERLINK("http://collections.slsa.sa.gov.au/mpcimg/13500/B13491.htm")</f>
        <v>http://collections.slsa.sa.gov.au/mpcimg/13500/B13491.htm</v>
      </c>
    </row>
    <row r="7495" spans="1:11" x14ac:dyDescent="0.25">
      <c r="A7495" t="s">
        <v>25463</v>
      </c>
      <c r="B7495" s="1" t="str">
        <f>HYPERLINK("https://www.catalog.slsa.sa.gov.au/record=b2061382")</f>
        <v>https://www.catalog.slsa.sa.gov.au/record=b2061382</v>
      </c>
      <c r="C7495" s="1" t="str">
        <f>HYPERLINK("https://www.catalog.slsa.sa.gov.au/xrecord=b2061382")</f>
        <v>https://www.catalog.slsa.sa.gov.au/xrecord=b2061382</v>
      </c>
      <c r="D7495" t="s">
        <v>16831</v>
      </c>
      <c r="E7495" t="s">
        <v>25464</v>
      </c>
      <c r="F7495">
        <v>1955</v>
      </c>
      <c r="G7495" t="s">
        <v>19</v>
      </c>
      <c r="H7495" t="s">
        <v>25465</v>
      </c>
      <c r="J7495" t="s">
        <v>21157</v>
      </c>
      <c r="K7495" s="2" t="str">
        <f>HYPERLINK("http://collections.slsa.sa.gov.au/mpcimg/13500/B13483.htm")</f>
        <v>http://collections.slsa.sa.gov.au/mpcimg/13500/B13483.htm</v>
      </c>
    </row>
    <row r="7496" spans="1:11" x14ac:dyDescent="0.25">
      <c r="A7496" t="s">
        <v>25466</v>
      </c>
      <c r="B7496" s="1" t="str">
        <f>HYPERLINK("https://www.catalog.slsa.sa.gov.au/record=b2061383")</f>
        <v>https://www.catalog.slsa.sa.gov.au/record=b2061383</v>
      </c>
      <c r="C7496" s="1" t="str">
        <f>HYPERLINK("https://www.catalog.slsa.sa.gov.au/xrecord=b2061383")</f>
        <v>https://www.catalog.slsa.sa.gov.au/xrecord=b2061383</v>
      </c>
      <c r="D7496" t="s">
        <v>16831</v>
      </c>
      <c r="E7496" t="s">
        <v>16827</v>
      </c>
      <c r="F7496">
        <v>1955</v>
      </c>
      <c r="G7496" t="s">
        <v>5070</v>
      </c>
      <c r="H7496" t="s">
        <v>25467</v>
      </c>
      <c r="J7496" t="s">
        <v>21157</v>
      </c>
      <c r="K7496" s="2" t="str">
        <f>HYPERLINK("http://collections.slsa.sa.gov.au/mpcimg/13750/B13563.htm")</f>
        <v>http://collections.slsa.sa.gov.au/mpcimg/13750/B13563.htm</v>
      </c>
    </row>
    <row r="7497" spans="1:11" x14ac:dyDescent="0.25">
      <c r="A7497" t="s">
        <v>25468</v>
      </c>
      <c r="B7497" s="1" t="str">
        <f>HYPERLINK("https://www.catalog.slsa.sa.gov.au/record=b2061397")</f>
        <v>https://www.catalog.slsa.sa.gov.au/record=b2061397</v>
      </c>
      <c r="C7497" s="1" t="str">
        <f>HYPERLINK("https://www.catalog.slsa.sa.gov.au/xrecord=b2061397")</f>
        <v>https://www.catalog.slsa.sa.gov.au/xrecord=b2061397</v>
      </c>
      <c r="D7497" t="s">
        <v>16831</v>
      </c>
      <c r="E7497" t="s">
        <v>21099</v>
      </c>
      <c r="F7497">
        <v>1955</v>
      </c>
      <c r="G7497" t="s">
        <v>22709</v>
      </c>
      <c r="H7497" t="s">
        <v>25469</v>
      </c>
      <c r="J7497" t="s">
        <v>21163</v>
      </c>
      <c r="K7497" s="2" t="str">
        <f>HYPERLINK("http://collections.slsa.sa.gov.au/mpcimg/13500/B13385.htm")</f>
        <v>http://collections.slsa.sa.gov.au/mpcimg/13500/B13385.htm</v>
      </c>
    </row>
    <row r="7498" spans="1:11" x14ac:dyDescent="0.25">
      <c r="A7498" t="s">
        <v>25470</v>
      </c>
      <c r="B7498" s="1" t="str">
        <f>HYPERLINK("https://www.catalog.slsa.sa.gov.au/record=b2061461")</f>
        <v>https://www.catalog.slsa.sa.gov.au/record=b2061461</v>
      </c>
      <c r="C7498" s="1" t="str">
        <f>HYPERLINK("https://www.catalog.slsa.sa.gov.au/xrecord=b2061461")</f>
        <v>https://www.catalog.slsa.sa.gov.au/xrecord=b2061461</v>
      </c>
      <c r="D7498" t="s">
        <v>16831</v>
      </c>
      <c r="E7498" t="s">
        <v>25471</v>
      </c>
      <c r="F7498">
        <v>1955</v>
      </c>
      <c r="G7498" t="s">
        <v>20063</v>
      </c>
      <c r="H7498" t="s">
        <v>25472</v>
      </c>
      <c r="J7498" t="s">
        <v>25473</v>
      </c>
      <c r="K7498" s="2" t="str">
        <f>HYPERLINK("http://collections.slsa.sa.gov.au/mpcimg/13250/B13146.htm")</f>
        <v>http://collections.slsa.sa.gov.au/mpcimg/13250/B13146.htm</v>
      </c>
    </row>
    <row r="7499" spans="1:11" x14ac:dyDescent="0.25">
      <c r="A7499" t="s">
        <v>25474</v>
      </c>
      <c r="B7499" s="1" t="str">
        <f>HYPERLINK("https://www.catalog.slsa.sa.gov.au/record=b2061478")</f>
        <v>https://www.catalog.slsa.sa.gov.au/record=b2061478</v>
      </c>
      <c r="C7499" s="1" t="str">
        <f>HYPERLINK("https://www.catalog.slsa.sa.gov.au/xrecord=b2061478")</f>
        <v>https://www.catalog.slsa.sa.gov.au/xrecord=b2061478</v>
      </c>
      <c r="D7499" t="s">
        <v>16831</v>
      </c>
      <c r="E7499" t="s">
        <v>21178</v>
      </c>
      <c r="F7499">
        <v>1955</v>
      </c>
      <c r="G7499" t="s">
        <v>5070</v>
      </c>
      <c r="H7499" t="s">
        <v>25475</v>
      </c>
      <c r="J7499" t="s">
        <v>22914</v>
      </c>
      <c r="K7499" s="2" t="str">
        <f>HYPERLINK("http://collections.slsa.sa.gov.au/mpcimg/13750/B13547.htm")</f>
        <v>http://collections.slsa.sa.gov.au/mpcimg/13750/B13547.htm</v>
      </c>
    </row>
    <row r="7500" spans="1:11" x14ac:dyDescent="0.25">
      <c r="A7500" t="s">
        <v>25476</v>
      </c>
      <c r="B7500" s="1" t="str">
        <f>HYPERLINK("https://www.catalog.slsa.sa.gov.au/record=b2061479")</f>
        <v>https://www.catalog.slsa.sa.gov.au/record=b2061479</v>
      </c>
      <c r="C7500" s="1" t="str">
        <f>HYPERLINK("https://www.catalog.slsa.sa.gov.au/xrecord=b2061479")</f>
        <v>https://www.catalog.slsa.sa.gov.au/xrecord=b2061479</v>
      </c>
      <c r="D7500" t="s">
        <v>16831</v>
      </c>
      <c r="E7500" t="s">
        <v>21178</v>
      </c>
      <c r="F7500">
        <v>1955</v>
      </c>
      <c r="G7500" t="s">
        <v>5070</v>
      </c>
      <c r="H7500" t="s">
        <v>25477</v>
      </c>
      <c r="J7500" t="s">
        <v>22914</v>
      </c>
      <c r="K7500" s="2" t="str">
        <f>HYPERLINK("http://collections.slsa.sa.gov.au/mpcimg/13750/B13548.htm")</f>
        <v>http://collections.slsa.sa.gov.au/mpcimg/13750/B13548.htm</v>
      </c>
    </row>
    <row r="7501" spans="1:11" x14ac:dyDescent="0.25">
      <c r="A7501" t="s">
        <v>25478</v>
      </c>
      <c r="B7501" s="1" t="str">
        <f>HYPERLINK("https://www.catalog.slsa.sa.gov.au/record=b2061480")</f>
        <v>https://www.catalog.slsa.sa.gov.au/record=b2061480</v>
      </c>
      <c r="C7501" s="1" t="str">
        <f>HYPERLINK("https://www.catalog.slsa.sa.gov.au/xrecord=b2061480")</f>
        <v>https://www.catalog.slsa.sa.gov.au/xrecord=b2061480</v>
      </c>
      <c r="D7501" t="s">
        <v>16831</v>
      </c>
      <c r="E7501" t="s">
        <v>21178</v>
      </c>
      <c r="F7501">
        <v>1955</v>
      </c>
      <c r="G7501" t="s">
        <v>5070</v>
      </c>
      <c r="H7501" t="s">
        <v>25479</v>
      </c>
      <c r="J7501" t="s">
        <v>22914</v>
      </c>
      <c r="K7501" s="2" t="str">
        <f>HYPERLINK("http://collections.slsa.sa.gov.au/mpcimg/13750/B13549.htm")</f>
        <v>http://collections.slsa.sa.gov.au/mpcimg/13750/B13549.htm</v>
      </c>
    </row>
    <row r="7502" spans="1:11" x14ac:dyDescent="0.25">
      <c r="A7502" t="s">
        <v>25480</v>
      </c>
      <c r="B7502" s="1" t="str">
        <f>HYPERLINK("https://www.catalog.slsa.sa.gov.au/record=b2061557")</f>
        <v>https://www.catalog.slsa.sa.gov.au/record=b2061557</v>
      </c>
      <c r="C7502" s="1" t="str">
        <f>HYPERLINK("https://www.catalog.slsa.sa.gov.au/xrecord=b2061557")</f>
        <v>https://www.catalog.slsa.sa.gov.au/xrecord=b2061557</v>
      </c>
      <c r="D7502" t="s">
        <v>16831</v>
      </c>
      <c r="E7502" t="s">
        <v>21178</v>
      </c>
      <c r="F7502">
        <v>1955</v>
      </c>
      <c r="G7502" t="s">
        <v>19</v>
      </c>
      <c r="H7502" t="s">
        <v>25481</v>
      </c>
      <c r="J7502" t="s">
        <v>24424</v>
      </c>
      <c r="K7502" s="2" t="str">
        <f>HYPERLINK("http://collections.slsa.sa.gov.au/mpcimg/13500/B13464.htm")</f>
        <v>http://collections.slsa.sa.gov.au/mpcimg/13500/B13464.htm</v>
      </c>
    </row>
    <row r="7503" spans="1:11" x14ac:dyDescent="0.25">
      <c r="A7503" t="s">
        <v>25482</v>
      </c>
      <c r="B7503" s="1" t="str">
        <f>HYPERLINK("https://www.catalog.slsa.sa.gov.au/record=b2061558")</f>
        <v>https://www.catalog.slsa.sa.gov.au/record=b2061558</v>
      </c>
      <c r="C7503" s="1" t="str">
        <f>HYPERLINK("https://www.catalog.slsa.sa.gov.au/xrecord=b2061558")</f>
        <v>https://www.catalog.slsa.sa.gov.au/xrecord=b2061558</v>
      </c>
      <c r="D7503" t="s">
        <v>16831</v>
      </c>
      <c r="E7503" t="s">
        <v>22905</v>
      </c>
      <c r="F7503">
        <v>1955</v>
      </c>
      <c r="G7503" t="s">
        <v>19</v>
      </c>
      <c r="H7503" t="s">
        <v>25483</v>
      </c>
      <c r="J7503" t="s">
        <v>24424</v>
      </c>
      <c r="K7503" s="2" t="str">
        <f>HYPERLINK("http://collections.slsa.sa.gov.au/mpcimg/13500/B13478.htm")</f>
        <v>http://collections.slsa.sa.gov.au/mpcimg/13500/B13478.htm</v>
      </c>
    </row>
    <row r="7504" spans="1:11" x14ac:dyDescent="0.25">
      <c r="A7504" t="s">
        <v>25484</v>
      </c>
      <c r="B7504" s="1" t="str">
        <f>HYPERLINK("https://www.catalog.slsa.sa.gov.au/record=b2061567")</f>
        <v>https://www.catalog.slsa.sa.gov.au/record=b2061567</v>
      </c>
      <c r="C7504" s="1" t="str">
        <f>HYPERLINK("https://www.catalog.slsa.sa.gov.au/xrecord=b2061567")</f>
        <v>https://www.catalog.slsa.sa.gov.au/xrecord=b2061567</v>
      </c>
      <c r="D7504" t="s">
        <v>16831</v>
      </c>
      <c r="E7504" t="s">
        <v>24422</v>
      </c>
      <c r="F7504">
        <v>1955</v>
      </c>
      <c r="G7504" t="s">
        <v>24025</v>
      </c>
      <c r="H7504" t="s">
        <v>25485</v>
      </c>
      <c r="J7504" t="s">
        <v>25486</v>
      </c>
      <c r="K7504" s="2" t="str">
        <f>HYPERLINK("http://collections.slsa.sa.gov.au/mpcimg/13500/B13378.htm")</f>
        <v>http://collections.slsa.sa.gov.au/mpcimg/13500/B13378.htm</v>
      </c>
    </row>
    <row r="7505" spans="1:11" x14ac:dyDescent="0.25">
      <c r="A7505" t="s">
        <v>25487</v>
      </c>
      <c r="B7505" s="1" t="str">
        <f>HYPERLINK("https://www.catalog.slsa.sa.gov.au/record=b2061577")</f>
        <v>https://www.catalog.slsa.sa.gov.au/record=b2061577</v>
      </c>
      <c r="C7505" s="1" t="str">
        <f>HYPERLINK("https://www.catalog.slsa.sa.gov.au/xrecord=b2061577")</f>
        <v>https://www.catalog.slsa.sa.gov.au/xrecord=b2061577</v>
      </c>
      <c r="D7505" t="s">
        <v>16831</v>
      </c>
      <c r="E7505" t="s">
        <v>25488</v>
      </c>
      <c r="F7505">
        <v>1955</v>
      </c>
      <c r="G7505" t="s">
        <v>20063</v>
      </c>
      <c r="H7505" t="s">
        <v>25489</v>
      </c>
      <c r="J7505" t="s">
        <v>25490</v>
      </c>
      <c r="K7505" s="2" t="str">
        <f>HYPERLINK("http://collections.slsa.sa.gov.au/mpcimg/13250/B13233.htm")</f>
        <v>http://collections.slsa.sa.gov.au/mpcimg/13250/B13233.htm</v>
      </c>
    </row>
    <row r="7506" spans="1:11" x14ac:dyDescent="0.25">
      <c r="A7506" t="s">
        <v>25491</v>
      </c>
      <c r="B7506" s="1" t="str">
        <f>HYPERLINK("https://www.catalog.slsa.sa.gov.au/record=b2061599")</f>
        <v>https://www.catalog.slsa.sa.gov.au/record=b2061599</v>
      </c>
      <c r="C7506" s="1" t="str">
        <f>HYPERLINK("https://www.catalog.slsa.sa.gov.au/xrecord=b2061599")</f>
        <v>https://www.catalog.slsa.sa.gov.au/xrecord=b2061599</v>
      </c>
      <c r="D7506" t="s">
        <v>16831</v>
      </c>
      <c r="E7506" t="s">
        <v>16771</v>
      </c>
      <c r="F7506">
        <v>1955</v>
      </c>
      <c r="G7506" t="s">
        <v>19</v>
      </c>
      <c r="H7506" t="s">
        <v>25492</v>
      </c>
      <c r="J7506" t="s">
        <v>21195</v>
      </c>
      <c r="K7506" s="2" t="str">
        <f>HYPERLINK("http://collections.slsa.sa.gov.au/mpcimg/13500/B13490.htm")</f>
        <v>http://collections.slsa.sa.gov.au/mpcimg/13500/B13490.htm</v>
      </c>
    </row>
    <row r="7507" spans="1:11" x14ac:dyDescent="0.25">
      <c r="A7507" t="s">
        <v>25493</v>
      </c>
      <c r="B7507" s="1" t="str">
        <f>HYPERLINK("https://www.catalog.slsa.sa.gov.au/record=b2061640")</f>
        <v>https://www.catalog.slsa.sa.gov.au/record=b2061640</v>
      </c>
      <c r="C7507" s="1" t="str">
        <f>HYPERLINK("https://www.catalog.slsa.sa.gov.au/xrecord=b2061640")</f>
        <v>https://www.catalog.slsa.sa.gov.au/xrecord=b2061640</v>
      </c>
      <c r="D7507" t="s">
        <v>16831</v>
      </c>
      <c r="E7507" t="s">
        <v>24436</v>
      </c>
      <c r="F7507">
        <v>1955</v>
      </c>
      <c r="G7507" t="s">
        <v>20063</v>
      </c>
      <c r="H7507" t="s">
        <v>25494</v>
      </c>
      <c r="I7507" t="s">
        <v>24177</v>
      </c>
      <c r="J7507" t="s">
        <v>24447</v>
      </c>
      <c r="K7507" s="2" t="str">
        <f>HYPERLINK("http://collections.slsa.sa.gov.au/mpcimg/13250/B13209.htm")</f>
        <v>http://collections.slsa.sa.gov.au/mpcimg/13250/B13209.htm</v>
      </c>
    </row>
    <row r="7508" spans="1:11" x14ac:dyDescent="0.25">
      <c r="A7508" t="s">
        <v>25495</v>
      </c>
      <c r="B7508" s="1" t="str">
        <f>HYPERLINK("https://www.catalog.slsa.sa.gov.au/record=b2061660")</f>
        <v>https://www.catalog.slsa.sa.gov.au/record=b2061660</v>
      </c>
      <c r="C7508" s="1" t="str">
        <f>HYPERLINK("https://www.catalog.slsa.sa.gov.au/xrecord=b2061660")</f>
        <v>https://www.catalog.slsa.sa.gov.au/xrecord=b2061660</v>
      </c>
      <c r="D7508" t="s">
        <v>16831</v>
      </c>
      <c r="E7508" t="s">
        <v>24451</v>
      </c>
      <c r="F7508">
        <v>1955</v>
      </c>
      <c r="G7508" t="s">
        <v>5501</v>
      </c>
      <c r="H7508" t="s">
        <v>25496</v>
      </c>
      <c r="J7508" t="s">
        <v>24453</v>
      </c>
      <c r="K7508" s="2" t="str">
        <f>HYPERLINK("http://collections.slsa.sa.gov.au/mpcimg/13500/B13420.htm")</f>
        <v>http://collections.slsa.sa.gov.au/mpcimg/13500/B13420.htm</v>
      </c>
    </row>
    <row r="7509" spans="1:11" x14ac:dyDescent="0.25">
      <c r="A7509" t="s">
        <v>25497</v>
      </c>
      <c r="B7509" s="1" t="str">
        <f>HYPERLINK("https://www.catalog.slsa.sa.gov.au/record=b2061685")</f>
        <v>https://www.catalog.slsa.sa.gov.au/record=b2061685</v>
      </c>
      <c r="C7509" s="1" t="str">
        <f>HYPERLINK("https://www.catalog.slsa.sa.gov.au/xrecord=b2061685")</f>
        <v>https://www.catalog.slsa.sa.gov.au/xrecord=b2061685</v>
      </c>
      <c r="D7509" t="s">
        <v>16831</v>
      </c>
      <c r="E7509" t="s">
        <v>24436</v>
      </c>
      <c r="F7509">
        <v>1955</v>
      </c>
      <c r="G7509" t="s">
        <v>20063</v>
      </c>
      <c r="H7509" t="s">
        <v>25498</v>
      </c>
      <c r="J7509" t="s">
        <v>24462</v>
      </c>
      <c r="K7509" s="2" t="str">
        <f>HYPERLINK("http://collections.slsa.sa.gov.au/mpcimg/13250/B13191.htm")</f>
        <v>http://collections.slsa.sa.gov.au/mpcimg/13250/B13191.htm</v>
      </c>
    </row>
    <row r="7510" spans="1:11" x14ac:dyDescent="0.25">
      <c r="A7510" t="s">
        <v>25499</v>
      </c>
      <c r="B7510" s="1" t="str">
        <f>HYPERLINK("https://www.catalog.slsa.sa.gov.au/record=b2061780")</f>
        <v>https://www.catalog.slsa.sa.gov.au/record=b2061780</v>
      </c>
      <c r="C7510" s="1" t="str">
        <f>HYPERLINK("https://www.catalog.slsa.sa.gov.au/xrecord=b2061780")</f>
        <v>https://www.catalog.slsa.sa.gov.au/xrecord=b2061780</v>
      </c>
      <c r="D7510" t="s">
        <v>16831</v>
      </c>
      <c r="E7510" t="s">
        <v>24451</v>
      </c>
      <c r="F7510">
        <v>1955</v>
      </c>
      <c r="G7510" t="s">
        <v>19</v>
      </c>
      <c r="H7510" t="s">
        <v>25500</v>
      </c>
      <c r="J7510" t="s">
        <v>25501</v>
      </c>
      <c r="K7510" s="2" t="str">
        <f>HYPERLINK("http://collections.slsa.sa.gov.au/mpcimg/13500/B13480.htm")</f>
        <v>http://collections.slsa.sa.gov.au/mpcimg/13500/B13480.htm</v>
      </c>
    </row>
    <row r="7511" spans="1:11" x14ac:dyDescent="0.25">
      <c r="A7511" t="s">
        <v>25502</v>
      </c>
      <c r="B7511" s="1" t="str">
        <f>HYPERLINK("https://www.catalog.slsa.sa.gov.au/record=b2061781")</f>
        <v>https://www.catalog.slsa.sa.gov.au/record=b2061781</v>
      </c>
      <c r="C7511" s="1" t="str">
        <f>HYPERLINK("https://www.catalog.slsa.sa.gov.au/xrecord=b2061781")</f>
        <v>https://www.catalog.slsa.sa.gov.au/xrecord=b2061781</v>
      </c>
      <c r="D7511" t="s">
        <v>16831</v>
      </c>
      <c r="E7511" t="s">
        <v>24451</v>
      </c>
      <c r="F7511">
        <v>1955</v>
      </c>
      <c r="G7511" t="s">
        <v>19</v>
      </c>
      <c r="H7511" t="s">
        <v>25503</v>
      </c>
      <c r="J7511" t="s">
        <v>25501</v>
      </c>
      <c r="K7511" s="2" t="str">
        <f>HYPERLINK("http://collections.slsa.sa.gov.au/mpcimg/13500/B13479.htm")</f>
        <v>http://collections.slsa.sa.gov.au/mpcimg/13500/B13479.htm</v>
      </c>
    </row>
    <row r="7512" spans="1:11" x14ac:dyDescent="0.25">
      <c r="A7512" t="s">
        <v>25504</v>
      </c>
      <c r="B7512" s="1" t="str">
        <f>HYPERLINK("https://www.catalog.slsa.sa.gov.au/record=b2061810")</f>
        <v>https://www.catalog.slsa.sa.gov.au/record=b2061810</v>
      </c>
      <c r="C7512" s="1" t="str">
        <f>HYPERLINK("https://www.catalog.slsa.sa.gov.au/xrecord=b2061810")</f>
        <v>https://www.catalog.slsa.sa.gov.au/xrecord=b2061810</v>
      </c>
      <c r="D7512" t="s">
        <v>16831</v>
      </c>
      <c r="E7512" t="s">
        <v>17109</v>
      </c>
      <c r="F7512">
        <v>1955</v>
      </c>
      <c r="G7512" t="s">
        <v>20063</v>
      </c>
      <c r="H7512" t="s">
        <v>25505</v>
      </c>
      <c r="J7512" t="s">
        <v>21203</v>
      </c>
      <c r="K7512" s="2" t="str">
        <f>HYPERLINK("http://collections.slsa.sa.gov.au/mpcimg/13250/B13173.htm")</f>
        <v>http://collections.slsa.sa.gov.au/mpcimg/13250/B13173.htm</v>
      </c>
    </row>
    <row r="7513" spans="1:11" x14ac:dyDescent="0.25">
      <c r="A7513" t="s">
        <v>25506</v>
      </c>
      <c r="B7513" s="1" t="str">
        <f>HYPERLINK("https://www.catalog.slsa.sa.gov.au/record=b2061831")</f>
        <v>https://www.catalog.slsa.sa.gov.au/record=b2061831</v>
      </c>
      <c r="C7513" s="1" t="str">
        <f>HYPERLINK("https://www.catalog.slsa.sa.gov.au/xrecord=b2061831")</f>
        <v>https://www.catalog.slsa.sa.gov.au/xrecord=b2061831</v>
      </c>
      <c r="D7513" t="s">
        <v>16831</v>
      </c>
      <c r="E7513" t="s">
        <v>24422</v>
      </c>
      <c r="F7513">
        <v>1955</v>
      </c>
      <c r="G7513" t="s">
        <v>20063</v>
      </c>
      <c r="H7513" t="s">
        <v>25507</v>
      </c>
      <c r="J7513" t="s">
        <v>21206</v>
      </c>
      <c r="K7513" s="2" t="str">
        <f>HYPERLINK("http://collections.slsa.sa.gov.au/mpcimg/13250/B13174.htm")</f>
        <v>http://collections.slsa.sa.gov.au/mpcimg/13250/B13174.htm</v>
      </c>
    </row>
    <row r="7514" spans="1:11" x14ac:dyDescent="0.25">
      <c r="A7514" t="s">
        <v>25508</v>
      </c>
      <c r="B7514" s="1" t="str">
        <f>HYPERLINK("https://www.catalog.slsa.sa.gov.au/record=b2061844")</f>
        <v>https://www.catalog.slsa.sa.gov.au/record=b2061844</v>
      </c>
      <c r="C7514" s="1" t="str">
        <f>HYPERLINK("https://www.catalog.slsa.sa.gov.au/xrecord=b2061844")</f>
        <v>https://www.catalog.slsa.sa.gov.au/xrecord=b2061844</v>
      </c>
      <c r="D7514" t="s">
        <v>16831</v>
      </c>
      <c r="E7514" t="s">
        <v>21178</v>
      </c>
      <c r="F7514">
        <v>1955</v>
      </c>
      <c r="G7514" t="s">
        <v>5501</v>
      </c>
      <c r="H7514" t="s">
        <v>25509</v>
      </c>
      <c r="J7514" t="s">
        <v>25510</v>
      </c>
      <c r="K7514" s="2" t="str">
        <f>HYPERLINK("http://collections.slsa.sa.gov.au/mpcimg/13500/B13418.htm")</f>
        <v>http://collections.slsa.sa.gov.au/mpcimg/13500/B13418.htm</v>
      </c>
    </row>
    <row r="7515" spans="1:11" x14ac:dyDescent="0.25">
      <c r="A7515" t="s">
        <v>25511</v>
      </c>
      <c r="B7515" s="1" t="str">
        <f>HYPERLINK("https://www.catalog.slsa.sa.gov.au/record=b2061872")</f>
        <v>https://www.catalog.slsa.sa.gov.au/record=b2061872</v>
      </c>
      <c r="C7515" s="1" t="str">
        <f>HYPERLINK("https://www.catalog.slsa.sa.gov.au/xrecord=b2061872")</f>
        <v>https://www.catalog.slsa.sa.gov.au/xrecord=b2061872</v>
      </c>
      <c r="D7515" t="s">
        <v>16831</v>
      </c>
      <c r="E7515" t="s">
        <v>25512</v>
      </c>
      <c r="F7515">
        <v>1955</v>
      </c>
      <c r="G7515" t="s">
        <v>20063</v>
      </c>
      <c r="H7515" t="s">
        <v>25513</v>
      </c>
      <c r="J7515" t="s">
        <v>24497</v>
      </c>
      <c r="K7515" s="2" t="str">
        <f>HYPERLINK("http://collections.slsa.sa.gov.au/mpcimg/13250/B13222.htm")</f>
        <v>http://collections.slsa.sa.gov.au/mpcimg/13250/B13222.htm</v>
      </c>
    </row>
    <row r="7516" spans="1:11" x14ac:dyDescent="0.25">
      <c r="A7516" t="s">
        <v>25514</v>
      </c>
      <c r="B7516" s="1" t="str">
        <f>HYPERLINK("https://www.catalog.slsa.sa.gov.au/record=b2061873")</f>
        <v>https://www.catalog.slsa.sa.gov.au/record=b2061873</v>
      </c>
      <c r="C7516" s="1" t="str">
        <f>HYPERLINK("https://www.catalog.slsa.sa.gov.au/xrecord=b2061873")</f>
        <v>https://www.catalog.slsa.sa.gov.au/xrecord=b2061873</v>
      </c>
      <c r="D7516" t="s">
        <v>16831</v>
      </c>
      <c r="E7516" t="s">
        <v>25515</v>
      </c>
      <c r="F7516">
        <v>1955</v>
      </c>
      <c r="G7516" t="s">
        <v>20063</v>
      </c>
      <c r="H7516" t="s">
        <v>25516</v>
      </c>
      <c r="J7516" t="s">
        <v>24497</v>
      </c>
      <c r="K7516" s="2" t="str">
        <f>HYPERLINK("http://collections.slsa.sa.gov.au/mpcimg/13250/B13223.htm")</f>
        <v>http://collections.slsa.sa.gov.au/mpcimg/13250/B13223.htm</v>
      </c>
    </row>
    <row r="7517" spans="1:11" x14ac:dyDescent="0.25">
      <c r="A7517" t="s">
        <v>25517</v>
      </c>
      <c r="B7517" s="1" t="str">
        <f>HYPERLINK("https://www.catalog.slsa.sa.gov.au/record=b2061874")</f>
        <v>https://www.catalog.slsa.sa.gov.au/record=b2061874</v>
      </c>
      <c r="C7517" s="1" t="str">
        <f>HYPERLINK("https://www.catalog.slsa.sa.gov.au/xrecord=b2061874")</f>
        <v>https://www.catalog.slsa.sa.gov.au/xrecord=b2061874</v>
      </c>
      <c r="D7517" t="s">
        <v>16831</v>
      </c>
      <c r="E7517" t="s">
        <v>25515</v>
      </c>
      <c r="F7517">
        <v>1955</v>
      </c>
      <c r="G7517" t="s">
        <v>20063</v>
      </c>
      <c r="H7517" t="s">
        <v>25518</v>
      </c>
      <c r="J7517" t="s">
        <v>24497</v>
      </c>
      <c r="K7517" s="2" t="str">
        <f>HYPERLINK("http://collections.slsa.sa.gov.au/mpcimg/13250/B13224.htm")</f>
        <v>http://collections.slsa.sa.gov.au/mpcimg/13250/B13224.htm</v>
      </c>
    </row>
    <row r="7518" spans="1:11" x14ac:dyDescent="0.25">
      <c r="A7518" t="s">
        <v>25519</v>
      </c>
      <c r="B7518" s="1" t="str">
        <f>HYPERLINK("https://www.catalog.slsa.sa.gov.au/record=b2061875")</f>
        <v>https://www.catalog.slsa.sa.gov.au/record=b2061875</v>
      </c>
      <c r="C7518" s="1" t="str">
        <f>HYPERLINK("https://www.catalog.slsa.sa.gov.au/xrecord=b2061875")</f>
        <v>https://www.catalog.slsa.sa.gov.au/xrecord=b2061875</v>
      </c>
      <c r="D7518" t="s">
        <v>16831</v>
      </c>
      <c r="E7518" t="s">
        <v>25515</v>
      </c>
      <c r="F7518">
        <v>1955</v>
      </c>
      <c r="G7518" t="s">
        <v>20063</v>
      </c>
      <c r="H7518" t="s">
        <v>25520</v>
      </c>
      <c r="J7518" t="s">
        <v>24497</v>
      </c>
      <c r="K7518" s="2" t="str">
        <f>HYPERLINK("http://collections.slsa.sa.gov.au/mpcimg/13250/B13225.htm")</f>
        <v>http://collections.slsa.sa.gov.au/mpcimg/13250/B13225.htm</v>
      </c>
    </row>
    <row r="7519" spans="1:11" x14ac:dyDescent="0.25">
      <c r="A7519" t="s">
        <v>25521</v>
      </c>
      <c r="B7519" s="1" t="str">
        <f>HYPERLINK("https://www.catalog.slsa.sa.gov.au/record=b2061876")</f>
        <v>https://www.catalog.slsa.sa.gov.au/record=b2061876</v>
      </c>
      <c r="C7519" s="1" t="str">
        <f>HYPERLINK("https://www.catalog.slsa.sa.gov.au/xrecord=b2061876")</f>
        <v>https://www.catalog.slsa.sa.gov.au/xrecord=b2061876</v>
      </c>
      <c r="D7519" t="s">
        <v>16831</v>
      </c>
      <c r="E7519" t="s">
        <v>25515</v>
      </c>
      <c r="F7519">
        <v>1955</v>
      </c>
      <c r="G7519" t="s">
        <v>20063</v>
      </c>
      <c r="H7519" t="s">
        <v>25522</v>
      </c>
      <c r="J7519" t="s">
        <v>24497</v>
      </c>
      <c r="K7519" s="2" t="str">
        <f>HYPERLINK("http://collections.slsa.sa.gov.au/mpcimg/13250/B13226.htm")</f>
        <v>http://collections.slsa.sa.gov.au/mpcimg/13250/B13226.htm</v>
      </c>
    </row>
    <row r="7520" spans="1:11" x14ac:dyDescent="0.25">
      <c r="A7520" t="s">
        <v>25523</v>
      </c>
      <c r="B7520" s="1" t="str">
        <f>HYPERLINK("https://www.catalog.slsa.sa.gov.au/record=b2061899")</f>
        <v>https://www.catalog.slsa.sa.gov.au/record=b2061899</v>
      </c>
      <c r="C7520" s="1" t="str">
        <f>HYPERLINK("https://www.catalog.slsa.sa.gov.au/xrecord=b2061899")</f>
        <v>https://www.catalog.slsa.sa.gov.au/xrecord=b2061899</v>
      </c>
      <c r="D7520" t="s">
        <v>16831</v>
      </c>
      <c r="E7520" t="s">
        <v>21178</v>
      </c>
      <c r="F7520">
        <v>1955</v>
      </c>
      <c r="G7520" t="s">
        <v>19</v>
      </c>
      <c r="H7520" t="s">
        <v>25524</v>
      </c>
      <c r="J7520" t="s">
        <v>25525</v>
      </c>
      <c r="K7520" s="2" t="str">
        <f>HYPERLINK("http://collections.slsa.sa.gov.au/mpcimg/13500/B13463.htm")</f>
        <v>http://collections.slsa.sa.gov.au/mpcimg/13500/B13463.htm</v>
      </c>
    </row>
    <row r="7521" spans="1:11" x14ac:dyDescent="0.25">
      <c r="A7521" t="s">
        <v>25526</v>
      </c>
      <c r="B7521" s="1" t="str">
        <f>HYPERLINK("https://www.catalog.slsa.sa.gov.au/record=b2061900")</f>
        <v>https://www.catalog.slsa.sa.gov.au/record=b2061900</v>
      </c>
      <c r="C7521" s="1" t="str">
        <f>HYPERLINK("https://www.catalog.slsa.sa.gov.au/xrecord=b2061900")</f>
        <v>https://www.catalog.slsa.sa.gov.au/xrecord=b2061900</v>
      </c>
      <c r="D7521" t="s">
        <v>16831</v>
      </c>
      <c r="E7521" t="s">
        <v>21208</v>
      </c>
      <c r="F7521">
        <v>1955</v>
      </c>
      <c r="G7521" t="s">
        <v>5070</v>
      </c>
      <c r="H7521" t="s">
        <v>25527</v>
      </c>
      <c r="J7521" t="s">
        <v>25525</v>
      </c>
      <c r="K7521" s="2" t="str">
        <f>HYPERLINK("http://collections.slsa.sa.gov.au/mpcimg/13750/B13552.htm")</f>
        <v>http://collections.slsa.sa.gov.au/mpcimg/13750/B13552.htm</v>
      </c>
    </row>
    <row r="7522" spans="1:11" x14ac:dyDescent="0.25">
      <c r="A7522" t="s">
        <v>25528</v>
      </c>
      <c r="B7522" s="1" t="str">
        <f>HYPERLINK("https://www.catalog.slsa.sa.gov.au/record=b2061912")</f>
        <v>https://www.catalog.slsa.sa.gov.au/record=b2061912</v>
      </c>
      <c r="C7522" s="1" t="str">
        <f>HYPERLINK("https://www.catalog.slsa.sa.gov.au/xrecord=b2061912")</f>
        <v>https://www.catalog.slsa.sa.gov.au/xrecord=b2061912</v>
      </c>
      <c r="D7522" t="s">
        <v>16831</v>
      </c>
      <c r="E7522" t="s">
        <v>21208</v>
      </c>
      <c r="F7522">
        <v>1955</v>
      </c>
      <c r="G7522" t="s">
        <v>5070</v>
      </c>
      <c r="H7522" t="s">
        <v>25529</v>
      </c>
      <c r="J7522" t="s">
        <v>24501</v>
      </c>
      <c r="K7522" s="2" t="str">
        <f>HYPERLINK("http://collections.slsa.sa.gov.au/mpcimg/13750/B13541.htm")</f>
        <v>http://collections.slsa.sa.gov.au/mpcimg/13750/B13541.htm</v>
      </c>
    </row>
    <row r="7523" spans="1:11" x14ac:dyDescent="0.25">
      <c r="A7523" t="s">
        <v>25530</v>
      </c>
      <c r="B7523" s="1" t="str">
        <f>HYPERLINK("https://www.catalog.slsa.sa.gov.au/record=b2061920")</f>
        <v>https://www.catalog.slsa.sa.gov.au/record=b2061920</v>
      </c>
      <c r="C7523" s="1" t="str">
        <f>HYPERLINK("https://www.catalog.slsa.sa.gov.au/xrecord=b2061920")</f>
        <v>https://www.catalog.slsa.sa.gov.au/xrecord=b2061920</v>
      </c>
      <c r="D7523" t="s">
        <v>16831</v>
      </c>
      <c r="E7523" t="s">
        <v>21208</v>
      </c>
      <c r="F7523">
        <v>1955</v>
      </c>
      <c r="G7523" t="s">
        <v>5501</v>
      </c>
      <c r="H7523" t="s">
        <v>25531</v>
      </c>
      <c r="J7523" t="s">
        <v>25532</v>
      </c>
      <c r="K7523" s="2" t="str">
        <f>HYPERLINK("http://collections.slsa.sa.gov.au/mpcimg/13500/B13419.htm")</f>
        <v>http://collections.slsa.sa.gov.au/mpcimg/13500/B13419.htm</v>
      </c>
    </row>
    <row r="7524" spans="1:11" x14ac:dyDescent="0.25">
      <c r="A7524" t="s">
        <v>25533</v>
      </c>
      <c r="B7524" s="1" t="str">
        <f>HYPERLINK("https://www.catalog.slsa.sa.gov.au/record=b2061925")</f>
        <v>https://www.catalog.slsa.sa.gov.au/record=b2061925</v>
      </c>
      <c r="C7524" s="1" t="str">
        <f>HYPERLINK("https://www.catalog.slsa.sa.gov.au/xrecord=b2061925")</f>
        <v>https://www.catalog.slsa.sa.gov.au/xrecord=b2061925</v>
      </c>
      <c r="D7524" t="s">
        <v>16831</v>
      </c>
      <c r="E7524" t="s">
        <v>25534</v>
      </c>
      <c r="F7524">
        <v>1955</v>
      </c>
      <c r="G7524" t="s">
        <v>20063</v>
      </c>
      <c r="H7524" t="s">
        <v>25535</v>
      </c>
      <c r="J7524" t="s">
        <v>25536</v>
      </c>
      <c r="K7524" s="2" t="str">
        <f>HYPERLINK("http://collections.slsa.sa.gov.au/mpcimg/13250/B13227.htm")</f>
        <v>http://collections.slsa.sa.gov.au/mpcimg/13250/B13227.htm</v>
      </c>
    </row>
    <row r="7525" spans="1:11" x14ac:dyDescent="0.25">
      <c r="A7525" t="s">
        <v>25537</v>
      </c>
      <c r="B7525" s="1" t="str">
        <f>HYPERLINK("https://www.catalog.slsa.sa.gov.au/record=b2061936")</f>
        <v>https://www.catalog.slsa.sa.gov.au/record=b2061936</v>
      </c>
      <c r="C7525" s="1" t="str">
        <f>HYPERLINK("https://www.catalog.slsa.sa.gov.au/xrecord=b2061936")</f>
        <v>https://www.catalog.slsa.sa.gov.au/xrecord=b2061936</v>
      </c>
      <c r="D7525" t="s">
        <v>16831</v>
      </c>
      <c r="E7525" t="s">
        <v>25538</v>
      </c>
      <c r="F7525">
        <v>1955</v>
      </c>
      <c r="G7525" t="s">
        <v>5070</v>
      </c>
      <c r="H7525" t="s">
        <v>25539</v>
      </c>
      <c r="J7525" t="s">
        <v>25540</v>
      </c>
      <c r="K7525" s="2" t="str">
        <f>HYPERLINK("http://collections.slsa.sa.gov.au/mpcimg/13750/B13566.htm")</f>
        <v>http://collections.slsa.sa.gov.au/mpcimg/13750/B13566.htm</v>
      </c>
    </row>
    <row r="7526" spans="1:11" x14ac:dyDescent="0.25">
      <c r="A7526" t="s">
        <v>25541</v>
      </c>
      <c r="B7526" s="1" t="str">
        <f>HYPERLINK("https://www.catalog.slsa.sa.gov.au/record=b2062045")</f>
        <v>https://www.catalog.slsa.sa.gov.au/record=b2062045</v>
      </c>
      <c r="C7526" s="1" t="str">
        <f>HYPERLINK("https://www.catalog.slsa.sa.gov.au/xrecord=b2062045")</f>
        <v>https://www.catalog.slsa.sa.gov.au/xrecord=b2062045</v>
      </c>
      <c r="D7526" t="s">
        <v>16831</v>
      </c>
      <c r="E7526" t="s">
        <v>21212</v>
      </c>
      <c r="F7526">
        <v>1955</v>
      </c>
      <c r="G7526" t="s">
        <v>19</v>
      </c>
      <c r="H7526" t="s">
        <v>25542</v>
      </c>
      <c r="J7526" t="s">
        <v>21218</v>
      </c>
      <c r="K7526" s="2" t="str">
        <f>HYPERLINK("http://collections.slsa.sa.gov.au/mpcimg/13500/B13475.htm")</f>
        <v>http://collections.slsa.sa.gov.au/mpcimg/13500/B13475.htm</v>
      </c>
    </row>
    <row r="7527" spans="1:11" x14ac:dyDescent="0.25">
      <c r="A7527" t="s">
        <v>25543</v>
      </c>
      <c r="B7527" s="1" t="str">
        <f>HYPERLINK("https://www.catalog.slsa.sa.gov.au/record=b2062162")</f>
        <v>https://www.catalog.slsa.sa.gov.au/record=b2062162</v>
      </c>
      <c r="C7527" s="1" t="str">
        <f>HYPERLINK("https://www.catalog.slsa.sa.gov.au/xrecord=b2062162")</f>
        <v>https://www.catalog.slsa.sa.gov.au/xrecord=b2062162</v>
      </c>
      <c r="D7527" t="s">
        <v>16831</v>
      </c>
      <c r="E7527" t="s">
        <v>10268</v>
      </c>
      <c r="F7527">
        <v>1955</v>
      </c>
      <c r="G7527" t="s">
        <v>19</v>
      </c>
      <c r="H7527" t="s">
        <v>25544</v>
      </c>
      <c r="J7527" t="s">
        <v>22920</v>
      </c>
      <c r="K7527" s="2" t="str">
        <f>HYPERLINK("http://collections.slsa.sa.gov.au/mpcimg/13500/B13476.htm")</f>
        <v>http://collections.slsa.sa.gov.au/mpcimg/13500/B13476.htm</v>
      </c>
    </row>
    <row r="7528" spans="1:11" x14ac:dyDescent="0.25">
      <c r="A7528" t="s">
        <v>25545</v>
      </c>
      <c r="B7528" s="1" t="str">
        <f>HYPERLINK("https://www.catalog.slsa.sa.gov.au/record=b2062184")</f>
        <v>https://www.catalog.slsa.sa.gov.au/record=b2062184</v>
      </c>
      <c r="C7528" s="1" t="str">
        <f>HYPERLINK("https://www.catalog.slsa.sa.gov.au/xrecord=b2062184")</f>
        <v>https://www.catalog.slsa.sa.gov.au/xrecord=b2062184</v>
      </c>
      <c r="D7528" t="s">
        <v>16831</v>
      </c>
      <c r="E7528" t="s">
        <v>10268</v>
      </c>
      <c r="F7528">
        <v>1955</v>
      </c>
      <c r="G7528" t="s">
        <v>19</v>
      </c>
      <c r="H7528" t="s">
        <v>25546</v>
      </c>
      <c r="J7528" t="s">
        <v>24539</v>
      </c>
      <c r="K7528" s="2" t="str">
        <f>HYPERLINK("http://collections.slsa.sa.gov.au/mpcimg/13500/B13493.htm")</f>
        <v>http://collections.slsa.sa.gov.au/mpcimg/13500/B13493.htm</v>
      </c>
    </row>
    <row r="7529" spans="1:11" x14ac:dyDescent="0.25">
      <c r="A7529" t="s">
        <v>25547</v>
      </c>
      <c r="B7529" s="1" t="str">
        <f>HYPERLINK("https://www.catalog.slsa.sa.gov.au/record=b2062210")</f>
        <v>https://www.catalog.slsa.sa.gov.au/record=b2062210</v>
      </c>
      <c r="C7529" s="1" t="str">
        <f>HYPERLINK("https://www.catalog.slsa.sa.gov.au/xrecord=b2062210")</f>
        <v>https://www.catalog.slsa.sa.gov.au/xrecord=b2062210</v>
      </c>
      <c r="D7529" t="s">
        <v>16831</v>
      </c>
      <c r="E7529" t="s">
        <v>24469</v>
      </c>
      <c r="F7529">
        <v>1955</v>
      </c>
      <c r="G7529" t="s">
        <v>20063</v>
      </c>
      <c r="H7529" t="s">
        <v>25548</v>
      </c>
      <c r="I7529" t="s">
        <v>24471</v>
      </c>
      <c r="J7529" t="s">
        <v>24542</v>
      </c>
      <c r="K7529" s="2" t="str">
        <f>HYPERLINK("http://collections.slsa.sa.gov.au/mpcimg/13250/B13142.htm")</f>
        <v>http://collections.slsa.sa.gov.au/mpcimg/13250/B13142.htm</v>
      </c>
    </row>
    <row r="7530" spans="1:11" x14ac:dyDescent="0.25">
      <c r="A7530" t="s">
        <v>25549</v>
      </c>
      <c r="B7530" s="1" t="str">
        <f>HYPERLINK("https://www.catalog.slsa.sa.gov.au/record=b2062281")</f>
        <v>https://www.catalog.slsa.sa.gov.au/record=b2062281</v>
      </c>
      <c r="C7530" s="1" t="str">
        <f>HYPERLINK("https://www.catalog.slsa.sa.gov.au/xrecord=b2062281")</f>
        <v>https://www.catalog.slsa.sa.gov.au/xrecord=b2062281</v>
      </c>
      <c r="D7530" t="s">
        <v>16831</v>
      </c>
      <c r="E7530" t="s">
        <v>24534</v>
      </c>
      <c r="F7530">
        <v>1955</v>
      </c>
      <c r="G7530" t="s">
        <v>20063</v>
      </c>
      <c r="H7530" t="s">
        <v>25550</v>
      </c>
      <c r="I7530" t="s">
        <v>24177</v>
      </c>
      <c r="J7530" t="s">
        <v>25551</v>
      </c>
      <c r="K7530" s="2" t="str">
        <f>HYPERLINK("http://collections.slsa.sa.gov.au/mpcimg/13250/B13208.htm")</f>
        <v>http://collections.slsa.sa.gov.au/mpcimg/13250/B13208.htm</v>
      </c>
    </row>
    <row r="7531" spans="1:11" x14ac:dyDescent="0.25">
      <c r="A7531" t="s">
        <v>25552</v>
      </c>
      <c r="B7531" s="1" t="str">
        <f>HYPERLINK("https://www.catalog.slsa.sa.gov.au/record=b2062331")</f>
        <v>https://www.catalog.slsa.sa.gov.au/record=b2062331</v>
      </c>
      <c r="C7531" s="1" t="str">
        <f>HYPERLINK("https://www.catalog.slsa.sa.gov.au/xrecord=b2062331")</f>
        <v>https://www.catalog.slsa.sa.gov.au/xrecord=b2062331</v>
      </c>
      <c r="D7531" t="s">
        <v>16831</v>
      </c>
      <c r="E7531" t="s">
        <v>17109</v>
      </c>
      <c r="F7531">
        <v>1955</v>
      </c>
      <c r="G7531" t="s">
        <v>20063</v>
      </c>
      <c r="H7531" t="s">
        <v>25553</v>
      </c>
      <c r="J7531" t="s">
        <v>24555</v>
      </c>
      <c r="K7531" s="2" t="str">
        <f>HYPERLINK("http://collections.slsa.sa.gov.au/mpcimg/13250/B13168.htm")</f>
        <v>http://collections.slsa.sa.gov.au/mpcimg/13250/B13168.htm</v>
      </c>
    </row>
    <row r="7532" spans="1:11" x14ac:dyDescent="0.25">
      <c r="A7532" t="s">
        <v>25554</v>
      </c>
      <c r="B7532" s="1" t="str">
        <f>HYPERLINK("https://www.catalog.slsa.sa.gov.au/record=b2062336")</f>
        <v>https://www.catalog.slsa.sa.gov.au/record=b2062336</v>
      </c>
      <c r="C7532" s="1" t="str">
        <f>HYPERLINK("https://www.catalog.slsa.sa.gov.au/xrecord=b2062336")</f>
        <v>https://www.catalog.slsa.sa.gov.au/xrecord=b2062336</v>
      </c>
      <c r="D7532" t="s">
        <v>16831</v>
      </c>
      <c r="E7532" t="s">
        <v>24509</v>
      </c>
      <c r="F7532">
        <v>1955</v>
      </c>
      <c r="G7532" t="s">
        <v>20063</v>
      </c>
      <c r="H7532" t="s">
        <v>25555</v>
      </c>
      <c r="I7532" t="s">
        <v>24177</v>
      </c>
      <c r="J7532" t="s">
        <v>25556</v>
      </c>
      <c r="K7532" s="2" t="str">
        <f>HYPERLINK("http://collections.slsa.sa.gov.au/mpcimg/13250/B13176.htm")</f>
        <v>http://collections.slsa.sa.gov.au/mpcimg/13250/B13176.htm</v>
      </c>
    </row>
    <row r="7533" spans="1:11" x14ac:dyDescent="0.25">
      <c r="A7533" t="s">
        <v>25557</v>
      </c>
      <c r="B7533" s="1" t="str">
        <f>HYPERLINK("https://www.catalog.slsa.sa.gov.au/record=b2062337")</f>
        <v>https://www.catalog.slsa.sa.gov.au/record=b2062337</v>
      </c>
      <c r="C7533" s="1" t="str">
        <f>HYPERLINK("https://www.catalog.slsa.sa.gov.au/xrecord=b2062337")</f>
        <v>https://www.catalog.slsa.sa.gov.au/xrecord=b2062337</v>
      </c>
      <c r="D7533" t="s">
        <v>16831</v>
      </c>
      <c r="E7533" t="s">
        <v>21212</v>
      </c>
      <c r="F7533">
        <v>1955</v>
      </c>
      <c r="G7533" t="s">
        <v>19</v>
      </c>
      <c r="H7533" t="s">
        <v>25558</v>
      </c>
      <c r="J7533" t="s">
        <v>25556</v>
      </c>
      <c r="K7533" s="2" t="str">
        <f>HYPERLINK("http://collections.slsa.sa.gov.au/mpcimg/13500/B13470.htm")</f>
        <v>http://collections.slsa.sa.gov.au/mpcimg/13500/B13470.htm</v>
      </c>
    </row>
    <row r="7534" spans="1:11" x14ac:dyDescent="0.25">
      <c r="A7534" t="s">
        <v>25559</v>
      </c>
      <c r="B7534" s="1" t="str">
        <f>HYPERLINK("https://www.catalog.slsa.sa.gov.au/record=b2062471")</f>
        <v>https://www.catalog.slsa.sa.gov.au/record=b2062471</v>
      </c>
      <c r="C7534" s="1" t="str">
        <f>HYPERLINK("https://www.catalog.slsa.sa.gov.au/xrecord=b2062471")</f>
        <v>https://www.catalog.slsa.sa.gov.au/xrecord=b2062471</v>
      </c>
      <c r="D7534" t="s">
        <v>16831</v>
      </c>
      <c r="E7534" t="s">
        <v>25560</v>
      </c>
      <c r="F7534">
        <v>1955</v>
      </c>
      <c r="G7534" t="s">
        <v>20063</v>
      </c>
      <c r="H7534" t="s">
        <v>25561</v>
      </c>
      <c r="J7534" t="s">
        <v>24574</v>
      </c>
      <c r="K7534" s="2" t="str">
        <f>HYPERLINK("http://collections.slsa.sa.gov.au/mpcimg/13250/B13165.htm")</f>
        <v>http://collections.slsa.sa.gov.au/mpcimg/13250/B13165.htm</v>
      </c>
    </row>
    <row r="7535" spans="1:11" x14ac:dyDescent="0.25">
      <c r="A7535" t="s">
        <v>25562</v>
      </c>
      <c r="B7535" s="1" t="str">
        <f>HYPERLINK("https://www.catalog.slsa.sa.gov.au/record=b2062579")</f>
        <v>https://www.catalog.slsa.sa.gov.au/record=b2062579</v>
      </c>
      <c r="C7535" s="1" t="str">
        <f>HYPERLINK("https://www.catalog.slsa.sa.gov.au/xrecord=b2062579")</f>
        <v>https://www.catalog.slsa.sa.gov.au/xrecord=b2062579</v>
      </c>
      <c r="D7535" t="s">
        <v>16831</v>
      </c>
      <c r="E7535" t="s">
        <v>24585</v>
      </c>
      <c r="F7535">
        <v>1955</v>
      </c>
      <c r="G7535" t="s">
        <v>20063</v>
      </c>
      <c r="H7535" t="s">
        <v>25563</v>
      </c>
      <c r="I7535" t="s">
        <v>24177</v>
      </c>
      <c r="J7535" t="s">
        <v>25564</v>
      </c>
      <c r="K7535" s="2" t="str">
        <f>HYPERLINK("http://collections.slsa.sa.gov.au/mpcimg/13250/B13178.htm")</f>
        <v>http://collections.slsa.sa.gov.au/mpcimg/13250/B13178.htm</v>
      </c>
    </row>
    <row r="7536" spans="1:11" x14ac:dyDescent="0.25">
      <c r="A7536" t="s">
        <v>25565</v>
      </c>
      <c r="B7536" s="1" t="str">
        <f>HYPERLINK("https://www.catalog.slsa.sa.gov.au/record=b2062595")</f>
        <v>https://www.catalog.slsa.sa.gov.au/record=b2062595</v>
      </c>
      <c r="C7536" s="1" t="str">
        <f>HYPERLINK("https://www.catalog.slsa.sa.gov.au/xrecord=b2062595")</f>
        <v>https://www.catalog.slsa.sa.gov.au/xrecord=b2062595</v>
      </c>
      <c r="D7536" t="s">
        <v>16831</v>
      </c>
      <c r="E7536" t="s">
        <v>24585</v>
      </c>
      <c r="F7536">
        <v>1955</v>
      </c>
      <c r="G7536" t="s">
        <v>20063</v>
      </c>
      <c r="H7536" t="s">
        <v>25566</v>
      </c>
      <c r="I7536" t="s">
        <v>24177</v>
      </c>
      <c r="J7536" t="s">
        <v>24594</v>
      </c>
      <c r="K7536" s="2" t="str">
        <f>HYPERLINK("http://collections.slsa.sa.gov.au/mpcimg/13250/B13177.htm")</f>
        <v>http://collections.slsa.sa.gov.au/mpcimg/13250/B13177.htm</v>
      </c>
    </row>
    <row r="7537" spans="1:11" x14ac:dyDescent="0.25">
      <c r="A7537" t="s">
        <v>25567</v>
      </c>
      <c r="B7537" s="1" t="str">
        <f>HYPERLINK("https://www.catalog.slsa.sa.gov.au/record=b2062623")</f>
        <v>https://www.catalog.slsa.sa.gov.au/record=b2062623</v>
      </c>
      <c r="C7537" s="1" t="str">
        <f>HYPERLINK("https://www.catalog.slsa.sa.gov.au/xrecord=b2062623")</f>
        <v>https://www.catalog.slsa.sa.gov.au/xrecord=b2062623</v>
      </c>
      <c r="D7537" t="s">
        <v>16831</v>
      </c>
      <c r="E7537" t="s">
        <v>21250</v>
      </c>
      <c r="F7537">
        <v>1955</v>
      </c>
      <c r="G7537" t="s">
        <v>5070</v>
      </c>
      <c r="H7537" t="s">
        <v>25568</v>
      </c>
      <c r="J7537" t="s">
        <v>16834</v>
      </c>
      <c r="K7537" s="2" t="str">
        <f>HYPERLINK("http://collections.slsa.sa.gov.au/mpcimg/13750/B13567.htm")</f>
        <v>http://collections.slsa.sa.gov.au/mpcimg/13750/B13567.htm</v>
      </c>
    </row>
    <row r="7538" spans="1:11" x14ac:dyDescent="0.25">
      <c r="A7538" t="s">
        <v>25569</v>
      </c>
      <c r="B7538" s="1" t="str">
        <f>HYPERLINK("https://www.catalog.slsa.sa.gov.au/record=b2062636")</f>
        <v>https://www.catalog.slsa.sa.gov.au/record=b2062636</v>
      </c>
      <c r="C7538" s="1" t="str">
        <f>HYPERLINK("https://www.catalog.slsa.sa.gov.au/xrecord=b2062636")</f>
        <v>https://www.catalog.slsa.sa.gov.au/xrecord=b2062636</v>
      </c>
      <c r="D7538" t="s">
        <v>16831</v>
      </c>
      <c r="E7538" t="s">
        <v>21250</v>
      </c>
      <c r="F7538">
        <v>1955</v>
      </c>
      <c r="G7538" t="s">
        <v>20063</v>
      </c>
      <c r="H7538" t="s">
        <v>25570</v>
      </c>
      <c r="J7538" t="s">
        <v>25571</v>
      </c>
      <c r="K7538" s="2" t="str">
        <f>HYPERLINK("http://collections.slsa.sa.gov.au/mpcimg/13250/B13207.htm")</f>
        <v>http://collections.slsa.sa.gov.au/mpcimg/13250/B13207.htm</v>
      </c>
    </row>
    <row r="7539" spans="1:11" x14ac:dyDescent="0.25">
      <c r="A7539" t="s">
        <v>25572</v>
      </c>
      <c r="B7539" s="1" t="str">
        <f>HYPERLINK("https://www.catalog.slsa.sa.gov.au/record=b2062690")</f>
        <v>https://www.catalog.slsa.sa.gov.au/record=b2062690</v>
      </c>
      <c r="C7539" s="1" t="str">
        <f>HYPERLINK("https://www.catalog.slsa.sa.gov.au/xrecord=b2062690")</f>
        <v>https://www.catalog.slsa.sa.gov.au/xrecord=b2062690</v>
      </c>
      <c r="D7539" t="s">
        <v>16831</v>
      </c>
      <c r="E7539" t="s">
        <v>21250</v>
      </c>
      <c r="F7539">
        <v>1955</v>
      </c>
      <c r="G7539" t="s">
        <v>19</v>
      </c>
      <c r="H7539" t="s">
        <v>25573</v>
      </c>
      <c r="J7539" t="s">
        <v>25574</v>
      </c>
      <c r="K7539" s="2" t="str">
        <f>HYPERLINK("http://collections.slsa.sa.gov.au/mpcimg/13500/B13465.htm")</f>
        <v>http://collections.slsa.sa.gov.au/mpcimg/13500/B13465.htm</v>
      </c>
    </row>
    <row r="7540" spans="1:11" x14ac:dyDescent="0.25">
      <c r="A7540" t="s">
        <v>25575</v>
      </c>
      <c r="B7540" s="1" t="str">
        <f>HYPERLINK("https://www.catalog.slsa.sa.gov.au/record=b2062734")</f>
        <v>https://www.catalog.slsa.sa.gov.au/record=b2062734</v>
      </c>
      <c r="C7540" s="1" t="str">
        <f>HYPERLINK("https://www.catalog.slsa.sa.gov.au/xrecord=b2062734")</f>
        <v>https://www.catalog.slsa.sa.gov.au/xrecord=b2062734</v>
      </c>
      <c r="D7540" t="s">
        <v>16831</v>
      </c>
      <c r="E7540" t="s">
        <v>21267</v>
      </c>
      <c r="F7540">
        <v>1955</v>
      </c>
      <c r="G7540" t="s">
        <v>20063</v>
      </c>
      <c r="H7540" t="s">
        <v>25576</v>
      </c>
      <c r="I7540" t="s">
        <v>25577</v>
      </c>
      <c r="J7540" t="s">
        <v>24619</v>
      </c>
      <c r="K7540" s="2" t="str">
        <f>HYPERLINK("http://collections.slsa.sa.gov.au/mpcimg/13250/B13167.htm")</f>
        <v>http://collections.slsa.sa.gov.au/mpcimg/13250/B13167.htm</v>
      </c>
    </row>
    <row r="7541" spans="1:11" x14ac:dyDescent="0.25">
      <c r="A7541" t="s">
        <v>25578</v>
      </c>
      <c r="B7541" s="1" t="str">
        <f>HYPERLINK("https://www.catalog.slsa.sa.gov.au/record=b2062788")</f>
        <v>https://www.catalog.slsa.sa.gov.au/record=b2062788</v>
      </c>
      <c r="C7541" s="1" t="str">
        <f>HYPERLINK("https://www.catalog.slsa.sa.gov.au/xrecord=b2062788")</f>
        <v>https://www.catalog.slsa.sa.gov.au/xrecord=b2062788</v>
      </c>
      <c r="D7541" t="s">
        <v>16831</v>
      </c>
      <c r="E7541" t="s">
        <v>21267</v>
      </c>
      <c r="F7541">
        <v>1955</v>
      </c>
      <c r="G7541" t="s">
        <v>20063</v>
      </c>
      <c r="H7541" t="s">
        <v>25579</v>
      </c>
      <c r="J7541" t="s">
        <v>24625</v>
      </c>
      <c r="K7541" s="2" t="str">
        <f>HYPERLINK("http://collections.slsa.sa.gov.au/mpcimg/13250/B13219.htm")</f>
        <v>http://collections.slsa.sa.gov.au/mpcimg/13250/B13219.htm</v>
      </c>
    </row>
    <row r="7542" spans="1:11" x14ac:dyDescent="0.25">
      <c r="A7542" t="s">
        <v>25580</v>
      </c>
      <c r="B7542" s="1" t="str">
        <f>HYPERLINK("https://www.catalog.slsa.sa.gov.au/record=b2062803")</f>
        <v>https://www.catalog.slsa.sa.gov.au/record=b2062803</v>
      </c>
      <c r="C7542" s="1" t="str">
        <f>HYPERLINK("https://www.catalog.slsa.sa.gov.au/xrecord=b2062803")</f>
        <v>https://www.catalog.slsa.sa.gov.au/xrecord=b2062803</v>
      </c>
      <c r="D7542" t="s">
        <v>16831</v>
      </c>
      <c r="E7542" t="s">
        <v>21250</v>
      </c>
      <c r="F7542">
        <v>1955</v>
      </c>
      <c r="G7542" t="s">
        <v>5070</v>
      </c>
      <c r="H7542" t="s">
        <v>25581</v>
      </c>
      <c r="J7542" t="s">
        <v>22956</v>
      </c>
      <c r="K7542" s="2" t="str">
        <f>HYPERLINK("http://collections.slsa.sa.gov.au/mpcimg/13750/B13569.htm")</f>
        <v>http://collections.slsa.sa.gov.au/mpcimg/13750/B13569.htm</v>
      </c>
    </row>
    <row r="7543" spans="1:11" x14ac:dyDescent="0.25">
      <c r="A7543" t="s">
        <v>25582</v>
      </c>
      <c r="B7543" s="1" t="str">
        <f>HYPERLINK("https://www.catalog.slsa.sa.gov.au/record=b2062833")</f>
        <v>https://www.catalog.slsa.sa.gov.au/record=b2062833</v>
      </c>
      <c r="C7543" s="1" t="str">
        <f>HYPERLINK("https://www.catalog.slsa.sa.gov.au/xrecord=b2062833")</f>
        <v>https://www.catalog.slsa.sa.gov.au/xrecord=b2062833</v>
      </c>
      <c r="D7543" t="s">
        <v>16831</v>
      </c>
      <c r="E7543" t="s">
        <v>21250</v>
      </c>
      <c r="F7543">
        <v>1955</v>
      </c>
      <c r="G7543" t="s">
        <v>22709</v>
      </c>
      <c r="H7543" t="s">
        <v>25583</v>
      </c>
      <c r="J7543" t="s">
        <v>21269</v>
      </c>
      <c r="K7543" s="2" t="str">
        <f>HYPERLINK("http://collections.slsa.sa.gov.au/mpcimg/13500/B13379.htm")</f>
        <v>http://collections.slsa.sa.gov.au/mpcimg/13500/B13379.htm</v>
      </c>
    </row>
    <row r="7544" spans="1:11" x14ac:dyDescent="0.25">
      <c r="A7544" t="s">
        <v>25584</v>
      </c>
      <c r="B7544" s="1" t="str">
        <f>HYPERLINK("https://www.catalog.slsa.sa.gov.au/record=b2062848")</f>
        <v>https://www.catalog.slsa.sa.gov.au/record=b2062848</v>
      </c>
      <c r="C7544" s="1" t="str">
        <f>HYPERLINK("https://www.catalog.slsa.sa.gov.au/xrecord=b2062848")</f>
        <v>https://www.catalog.slsa.sa.gov.au/xrecord=b2062848</v>
      </c>
      <c r="D7544" t="s">
        <v>16831</v>
      </c>
      <c r="E7544" t="s">
        <v>21250</v>
      </c>
      <c r="F7544">
        <v>1955</v>
      </c>
      <c r="G7544" t="s">
        <v>5070</v>
      </c>
      <c r="H7544" t="s">
        <v>25585</v>
      </c>
      <c r="J7544" t="s">
        <v>21272</v>
      </c>
      <c r="K7544" s="2" t="str">
        <f>HYPERLINK("http://collections.slsa.sa.gov.au/mpcimg/13750/B13568.htm")</f>
        <v>http://collections.slsa.sa.gov.au/mpcimg/13750/B13568.htm</v>
      </c>
    </row>
    <row r="7545" spans="1:11" x14ac:dyDescent="0.25">
      <c r="A7545" t="s">
        <v>25586</v>
      </c>
      <c r="B7545" s="1" t="str">
        <f>HYPERLINK("https://www.catalog.slsa.sa.gov.au/record=b2062882")</f>
        <v>https://www.catalog.slsa.sa.gov.au/record=b2062882</v>
      </c>
      <c r="C7545" s="1" t="str">
        <f>HYPERLINK("https://www.catalog.slsa.sa.gov.au/xrecord=b2062882")</f>
        <v>https://www.catalog.slsa.sa.gov.au/xrecord=b2062882</v>
      </c>
      <c r="D7545" t="s">
        <v>16831</v>
      </c>
      <c r="E7545" t="s">
        <v>24585</v>
      </c>
      <c r="F7545">
        <v>1955</v>
      </c>
      <c r="G7545" t="s">
        <v>20063</v>
      </c>
      <c r="H7545" t="s">
        <v>25587</v>
      </c>
      <c r="I7545" t="s">
        <v>24177</v>
      </c>
      <c r="J7545" t="s">
        <v>21285</v>
      </c>
      <c r="K7545" s="2" t="str">
        <f>HYPERLINK("http://collections.slsa.sa.gov.au/mpcimg/13250/B13180.htm")</f>
        <v>http://collections.slsa.sa.gov.au/mpcimg/13250/B13180.htm</v>
      </c>
    </row>
    <row r="7546" spans="1:11" x14ac:dyDescent="0.25">
      <c r="A7546" t="s">
        <v>25588</v>
      </c>
      <c r="B7546" s="1" t="str">
        <f>HYPERLINK("https://www.catalog.slsa.sa.gov.au/record=b2062910")</f>
        <v>https://www.catalog.slsa.sa.gov.au/record=b2062910</v>
      </c>
      <c r="C7546" s="1" t="str">
        <f>HYPERLINK("https://www.catalog.slsa.sa.gov.au/xrecord=b2062910")</f>
        <v>https://www.catalog.slsa.sa.gov.au/xrecord=b2062910</v>
      </c>
      <c r="D7546" t="s">
        <v>16831</v>
      </c>
      <c r="E7546" t="s">
        <v>25589</v>
      </c>
      <c r="F7546">
        <v>1955</v>
      </c>
      <c r="G7546" t="s">
        <v>20063</v>
      </c>
      <c r="H7546" t="s">
        <v>25590</v>
      </c>
      <c r="I7546" t="s">
        <v>24177</v>
      </c>
      <c r="J7546" t="s">
        <v>25591</v>
      </c>
      <c r="K7546" s="2" t="str">
        <f>HYPERLINK("http://collections.slsa.sa.gov.au/mpcimg/13250/B13179.htm")</f>
        <v>http://collections.slsa.sa.gov.au/mpcimg/13250/B13179.htm</v>
      </c>
    </row>
    <row r="7547" spans="1:11" x14ac:dyDescent="0.25">
      <c r="A7547" t="s">
        <v>25592</v>
      </c>
      <c r="B7547" s="1" t="str">
        <f>HYPERLINK("https://www.catalog.slsa.sa.gov.au/record=b2062928")</f>
        <v>https://www.catalog.slsa.sa.gov.au/record=b2062928</v>
      </c>
      <c r="C7547" s="1" t="str">
        <f>HYPERLINK("https://www.catalog.slsa.sa.gov.au/xrecord=b2062928")</f>
        <v>https://www.catalog.slsa.sa.gov.au/xrecord=b2062928</v>
      </c>
      <c r="D7547" t="s">
        <v>16831</v>
      </c>
      <c r="E7547" t="s">
        <v>25593</v>
      </c>
      <c r="F7547">
        <v>1955</v>
      </c>
      <c r="G7547" t="s">
        <v>20063</v>
      </c>
      <c r="H7547" t="s">
        <v>25594</v>
      </c>
      <c r="J7547" t="s">
        <v>21291</v>
      </c>
      <c r="K7547" s="2" t="str">
        <f>HYPERLINK("http://collections.slsa.sa.gov.au/mpcimg/13250/B13232.htm")</f>
        <v>http://collections.slsa.sa.gov.au/mpcimg/13250/B13232.htm</v>
      </c>
    </row>
    <row r="7548" spans="1:11" x14ac:dyDescent="0.25">
      <c r="A7548" t="s">
        <v>25595</v>
      </c>
      <c r="B7548" s="1" t="str">
        <f>HYPERLINK("https://www.catalog.slsa.sa.gov.au/record=b2062997")</f>
        <v>https://www.catalog.slsa.sa.gov.au/record=b2062997</v>
      </c>
      <c r="C7548" s="1" t="str">
        <f>HYPERLINK("https://www.catalog.slsa.sa.gov.au/xrecord=b2062997")</f>
        <v>https://www.catalog.slsa.sa.gov.au/xrecord=b2062997</v>
      </c>
      <c r="D7548" t="s">
        <v>16831</v>
      </c>
      <c r="E7548" t="s">
        <v>24168</v>
      </c>
      <c r="F7548">
        <v>1955</v>
      </c>
      <c r="G7548" t="s">
        <v>20063</v>
      </c>
      <c r="H7548" t="s">
        <v>25596</v>
      </c>
      <c r="J7548" t="s">
        <v>25597</v>
      </c>
      <c r="K7548" s="2" t="str">
        <f>HYPERLINK("http://collections.slsa.sa.gov.au/mpcimg/13250/B13169.htm")</f>
        <v>http://collections.slsa.sa.gov.au/mpcimg/13250/B13169.htm</v>
      </c>
    </row>
    <row r="7549" spans="1:11" x14ac:dyDescent="0.25">
      <c r="A7549" t="s">
        <v>25598</v>
      </c>
      <c r="B7549" s="1" t="str">
        <f>HYPERLINK("https://www.catalog.slsa.sa.gov.au/record=b2063215")</f>
        <v>https://www.catalog.slsa.sa.gov.au/record=b2063215</v>
      </c>
      <c r="C7549" s="1" t="str">
        <f>HYPERLINK("https://www.catalog.slsa.sa.gov.au/xrecord=b2063215")</f>
        <v>https://www.catalog.slsa.sa.gov.au/xrecord=b2063215</v>
      </c>
      <c r="D7549" t="s">
        <v>16831</v>
      </c>
      <c r="E7549" t="s">
        <v>25599</v>
      </c>
      <c r="F7549">
        <v>1955</v>
      </c>
      <c r="G7549" t="s">
        <v>22709</v>
      </c>
      <c r="H7549" t="s">
        <v>25600</v>
      </c>
      <c r="J7549" t="s">
        <v>25601</v>
      </c>
      <c r="K7549" s="2" t="str">
        <f>HYPERLINK("http://collections.slsa.sa.gov.au/mpcimg/13500/B13380.htm")</f>
        <v>http://collections.slsa.sa.gov.au/mpcimg/13500/B13380.htm</v>
      </c>
    </row>
    <row r="7550" spans="1:11" x14ac:dyDescent="0.25">
      <c r="A7550" t="s">
        <v>25602</v>
      </c>
      <c r="B7550" s="1" t="str">
        <f>HYPERLINK("https://www.catalog.slsa.sa.gov.au/record=b2063339")</f>
        <v>https://www.catalog.slsa.sa.gov.au/record=b2063339</v>
      </c>
      <c r="C7550" s="1" t="str">
        <f>HYPERLINK("https://www.catalog.slsa.sa.gov.au/xrecord=b2063339")</f>
        <v>https://www.catalog.slsa.sa.gov.au/xrecord=b2063339</v>
      </c>
      <c r="D7550" t="s">
        <v>16831</v>
      </c>
      <c r="E7550" t="s">
        <v>25603</v>
      </c>
      <c r="F7550">
        <v>1955</v>
      </c>
      <c r="G7550" t="s">
        <v>20063</v>
      </c>
      <c r="H7550" t="s">
        <v>25604</v>
      </c>
      <c r="J7550" t="s">
        <v>25605</v>
      </c>
      <c r="K7550" s="2" t="str">
        <f>HYPERLINK("http://collections.slsa.sa.gov.au/mpcimg/13250/B13203.htm")</f>
        <v>http://collections.slsa.sa.gov.au/mpcimg/13250/B13203.htm</v>
      </c>
    </row>
    <row r="7551" spans="1:11" x14ac:dyDescent="0.25">
      <c r="A7551" t="s">
        <v>25606</v>
      </c>
      <c r="B7551" s="1" t="str">
        <f>HYPERLINK("https://www.catalog.slsa.sa.gov.au/record=b2063430")</f>
        <v>https://www.catalog.slsa.sa.gov.au/record=b2063430</v>
      </c>
      <c r="C7551" s="1" t="str">
        <f>HYPERLINK("https://www.catalog.slsa.sa.gov.au/xrecord=b2063430")</f>
        <v>https://www.catalog.slsa.sa.gov.au/xrecord=b2063430</v>
      </c>
      <c r="D7551" t="s">
        <v>16831</v>
      </c>
      <c r="E7551" t="s">
        <v>25607</v>
      </c>
      <c r="F7551">
        <v>1955</v>
      </c>
      <c r="G7551" t="s">
        <v>5070</v>
      </c>
      <c r="H7551" t="s">
        <v>25608</v>
      </c>
      <c r="J7551" t="s">
        <v>25609</v>
      </c>
      <c r="K7551" s="2" t="str">
        <f>HYPERLINK("http://collections.slsa.sa.gov.au/mpcimg/13750/B13558.htm")</f>
        <v>http://collections.slsa.sa.gov.au/mpcimg/13750/B13558.htm</v>
      </c>
    </row>
    <row r="7552" spans="1:11" x14ac:dyDescent="0.25">
      <c r="A7552" t="s">
        <v>25610</v>
      </c>
      <c r="B7552" s="1" t="str">
        <f>HYPERLINK("https://www.catalog.slsa.sa.gov.au/record=b2063652")</f>
        <v>https://www.catalog.slsa.sa.gov.au/record=b2063652</v>
      </c>
      <c r="C7552" s="1" t="str">
        <f>HYPERLINK("https://www.catalog.slsa.sa.gov.au/xrecord=b2063652")</f>
        <v>https://www.catalog.slsa.sa.gov.au/xrecord=b2063652</v>
      </c>
      <c r="D7552" t="s">
        <v>16831</v>
      </c>
      <c r="E7552" t="s">
        <v>25611</v>
      </c>
      <c r="F7552">
        <v>1955</v>
      </c>
      <c r="G7552" t="s">
        <v>20063</v>
      </c>
      <c r="H7552" t="s">
        <v>25612</v>
      </c>
      <c r="J7552" t="s">
        <v>22976</v>
      </c>
      <c r="K7552" s="2" t="str">
        <f>HYPERLINK("http://collections.slsa.sa.gov.au/mpcimg/13250/B13202.htm")</f>
        <v>http://collections.slsa.sa.gov.au/mpcimg/13250/B13202.htm</v>
      </c>
    </row>
    <row r="7553" spans="1:11" x14ac:dyDescent="0.25">
      <c r="A7553" t="s">
        <v>25613</v>
      </c>
      <c r="B7553" s="1" t="str">
        <f>HYPERLINK("https://www.catalog.slsa.sa.gov.au/record=b2063678")</f>
        <v>https://www.catalog.slsa.sa.gov.au/record=b2063678</v>
      </c>
      <c r="C7553" s="1" t="str">
        <f>HYPERLINK("https://www.catalog.slsa.sa.gov.au/xrecord=b2063678")</f>
        <v>https://www.catalog.slsa.sa.gov.au/xrecord=b2063678</v>
      </c>
      <c r="D7553" t="s">
        <v>16831</v>
      </c>
      <c r="E7553" t="s">
        <v>22978</v>
      </c>
      <c r="F7553">
        <v>1955</v>
      </c>
      <c r="G7553" t="s">
        <v>22709</v>
      </c>
      <c r="H7553" t="s">
        <v>25614</v>
      </c>
      <c r="J7553" t="s">
        <v>22980</v>
      </c>
      <c r="K7553" s="2" t="str">
        <f>HYPERLINK("http://collections.slsa.sa.gov.au/mpcimg/13500/B13382.htm")</f>
        <v>http://collections.slsa.sa.gov.au/mpcimg/13500/B13382.htm</v>
      </c>
    </row>
    <row r="7554" spans="1:11" x14ac:dyDescent="0.25">
      <c r="A7554" t="s">
        <v>25615</v>
      </c>
      <c r="B7554" s="1" t="str">
        <f>HYPERLINK("https://www.catalog.slsa.sa.gov.au/record=b2063910")</f>
        <v>https://www.catalog.slsa.sa.gov.au/record=b2063910</v>
      </c>
      <c r="C7554" s="1" t="str">
        <f>HYPERLINK("https://www.catalog.slsa.sa.gov.au/xrecord=b2063910")</f>
        <v>https://www.catalog.slsa.sa.gov.au/xrecord=b2063910</v>
      </c>
      <c r="D7554" t="s">
        <v>16831</v>
      </c>
      <c r="E7554" t="s">
        <v>24697</v>
      </c>
      <c r="F7554">
        <v>1955</v>
      </c>
      <c r="G7554" t="s">
        <v>20063</v>
      </c>
      <c r="H7554" t="s">
        <v>25616</v>
      </c>
      <c r="J7554" t="s">
        <v>25617</v>
      </c>
      <c r="K7554" s="2" t="str">
        <f>HYPERLINK("http://collections.slsa.sa.gov.au/mpcimg/13250/B13188.htm")</f>
        <v>http://collections.slsa.sa.gov.au/mpcimg/13250/B13188.htm</v>
      </c>
    </row>
    <row r="7555" spans="1:11" x14ac:dyDescent="0.25">
      <c r="A7555" t="s">
        <v>25618</v>
      </c>
      <c r="B7555" s="1" t="str">
        <f>HYPERLINK("https://www.catalog.slsa.sa.gov.au/record=b2063972")</f>
        <v>https://www.catalog.slsa.sa.gov.au/record=b2063972</v>
      </c>
      <c r="C7555" s="1" t="str">
        <f>HYPERLINK("https://www.catalog.slsa.sa.gov.au/xrecord=b2063972")</f>
        <v>https://www.catalog.slsa.sa.gov.au/xrecord=b2063972</v>
      </c>
      <c r="D7555" t="s">
        <v>16831</v>
      </c>
      <c r="E7555" t="s">
        <v>24697</v>
      </c>
      <c r="F7555">
        <v>1955</v>
      </c>
      <c r="G7555" t="s">
        <v>20063</v>
      </c>
      <c r="H7555" t="s">
        <v>25619</v>
      </c>
      <c r="I7555" t="s">
        <v>24720</v>
      </c>
      <c r="J7555" t="s">
        <v>25620</v>
      </c>
      <c r="K7555" s="2" t="str">
        <f>HYPERLINK("http://collections.slsa.sa.gov.au/mpcimg/13250/B13189.htm")</f>
        <v>http://collections.slsa.sa.gov.au/mpcimg/13250/B13189.htm</v>
      </c>
    </row>
    <row r="7556" spans="1:11" x14ac:dyDescent="0.25">
      <c r="A7556" t="s">
        <v>25621</v>
      </c>
      <c r="B7556" s="1" t="str">
        <f>HYPERLINK("https://www.catalog.slsa.sa.gov.au/record=b2064104")</f>
        <v>https://www.catalog.slsa.sa.gov.au/record=b2064104</v>
      </c>
      <c r="C7556" s="1" t="str">
        <f>HYPERLINK("https://www.catalog.slsa.sa.gov.au/xrecord=b2064104")</f>
        <v>https://www.catalog.slsa.sa.gov.au/xrecord=b2064104</v>
      </c>
      <c r="D7556" t="s">
        <v>16831</v>
      </c>
      <c r="E7556" t="s">
        <v>25622</v>
      </c>
      <c r="F7556">
        <v>1955</v>
      </c>
      <c r="G7556" t="s">
        <v>5070</v>
      </c>
      <c r="H7556" t="s">
        <v>25623</v>
      </c>
      <c r="J7556" t="s">
        <v>25624</v>
      </c>
      <c r="K7556" s="2" t="str">
        <f>HYPERLINK("http://collections.slsa.sa.gov.au/mpcimg/13750/B13559.htm")</f>
        <v>http://collections.slsa.sa.gov.au/mpcimg/13750/B13559.htm</v>
      </c>
    </row>
    <row r="7557" spans="1:11" x14ac:dyDescent="0.25">
      <c r="A7557" t="s">
        <v>25625</v>
      </c>
      <c r="B7557" s="1" t="str">
        <f>HYPERLINK("https://www.catalog.slsa.sa.gov.au/record=b2064108")</f>
        <v>https://www.catalog.slsa.sa.gov.au/record=b2064108</v>
      </c>
      <c r="C7557" s="1" t="str">
        <f>HYPERLINK("https://www.catalog.slsa.sa.gov.au/xrecord=b2064108")</f>
        <v>https://www.catalog.slsa.sa.gov.au/xrecord=b2064108</v>
      </c>
      <c r="D7557" t="s">
        <v>16831</v>
      </c>
      <c r="E7557" t="s">
        <v>25622</v>
      </c>
      <c r="F7557">
        <v>1955</v>
      </c>
      <c r="G7557" t="s">
        <v>22709</v>
      </c>
      <c r="H7557" t="s">
        <v>25626</v>
      </c>
      <c r="J7557" t="s">
        <v>25627</v>
      </c>
      <c r="K7557" s="2" t="str">
        <f>HYPERLINK("http://collections.slsa.sa.gov.au/mpcimg/13500/B13381.htm")</f>
        <v>http://collections.slsa.sa.gov.au/mpcimg/13500/B13381.htm</v>
      </c>
    </row>
    <row r="7558" spans="1:11" x14ac:dyDescent="0.25">
      <c r="A7558" t="s">
        <v>25628</v>
      </c>
      <c r="B7558" s="1" t="str">
        <f>HYPERLINK("https://www.catalog.slsa.sa.gov.au/record=b2064114")</f>
        <v>https://www.catalog.slsa.sa.gov.au/record=b2064114</v>
      </c>
      <c r="C7558" s="1" t="str">
        <f>HYPERLINK("https://www.catalog.slsa.sa.gov.au/xrecord=b2064114")</f>
        <v>https://www.catalog.slsa.sa.gov.au/xrecord=b2064114</v>
      </c>
      <c r="D7558" t="s">
        <v>16831</v>
      </c>
      <c r="E7558" t="s">
        <v>25622</v>
      </c>
      <c r="F7558">
        <v>1955</v>
      </c>
      <c r="G7558" t="s">
        <v>5070</v>
      </c>
      <c r="H7558" t="s">
        <v>25629</v>
      </c>
      <c r="J7558" t="s">
        <v>25630</v>
      </c>
      <c r="K7558" s="2" t="str">
        <f>HYPERLINK("http://collections.slsa.sa.gov.au/mpcimg/13750/B13545.htm")</f>
        <v>http://collections.slsa.sa.gov.au/mpcimg/13750/B13545.htm</v>
      </c>
    </row>
    <row r="7559" spans="1:11" x14ac:dyDescent="0.25">
      <c r="A7559" t="s">
        <v>25631</v>
      </c>
      <c r="B7559" s="1" t="str">
        <f>HYPERLINK("https://www.catalog.slsa.sa.gov.au/record=b2064154")</f>
        <v>https://www.catalog.slsa.sa.gov.au/record=b2064154</v>
      </c>
      <c r="C7559" s="1" t="str">
        <f>HYPERLINK("https://www.catalog.slsa.sa.gov.au/xrecord=b2064154")</f>
        <v>https://www.catalog.slsa.sa.gov.au/xrecord=b2064154</v>
      </c>
      <c r="D7559" t="s">
        <v>16831</v>
      </c>
      <c r="E7559" t="s">
        <v>24684</v>
      </c>
      <c r="F7559">
        <v>1955</v>
      </c>
      <c r="G7559" t="s">
        <v>20063</v>
      </c>
      <c r="H7559" t="s">
        <v>25632</v>
      </c>
      <c r="J7559" t="s">
        <v>25633</v>
      </c>
      <c r="K7559" s="2" t="str">
        <f>HYPERLINK("http://collections.slsa.sa.gov.au/mpcimg/13250/B13185.htm")</f>
        <v>http://collections.slsa.sa.gov.au/mpcimg/13250/B13185.htm</v>
      </c>
    </row>
    <row r="7560" spans="1:11" x14ac:dyDescent="0.25">
      <c r="A7560" t="s">
        <v>25634</v>
      </c>
      <c r="B7560" s="1" t="str">
        <f>HYPERLINK("https://www.catalog.slsa.sa.gov.au/record=b2064213")</f>
        <v>https://www.catalog.slsa.sa.gov.au/record=b2064213</v>
      </c>
      <c r="C7560" s="1" t="str">
        <f>HYPERLINK("https://www.catalog.slsa.sa.gov.au/xrecord=b2064213")</f>
        <v>https://www.catalog.slsa.sa.gov.au/xrecord=b2064213</v>
      </c>
      <c r="D7560" t="s">
        <v>16831</v>
      </c>
      <c r="E7560" t="s">
        <v>25635</v>
      </c>
      <c r="F7560">
        <v>1955</v>
      </c>
      <c r="G7560" t="s">
        <v>5070</v>
      </c>
      <c r="H7560" t="s">
        <v>25636</v>
      </c>
      <c r="J7560" t="s">
        <v>25637</v>
      </c>
      <c r="K7560" s="2" t="str">
        <f>HYPERLINK("http://collections.slsa.sa.gov.au/mpcimg/13750/B13546.htm")</f>
        <v>http://collections.slsa.sa.gov.au/mpcimg/13750/B13546.htm</v>
      </c>
    </row>
    <row r="7561" spans="1:11" x14ac:dyDescent="0.25">
      <c r="A7561" t="s">
        <v>25638</v>
      </c>
      <c r="B7561" s="1" t="str">
        <f>HYPERLINK("https://www.catalog.slsa.sa.gov.au/record=b2064243")</f>
        <v>https://www.catalog.slsa.sa.gov.au/record=b2064243</v>
      </c>
      <c r="C7561" s="1" t="str">
        <f>HYPERLINK("https://www.catalog.slsa.sa.gov.au/xrecord=b2064243")</f>
        <v>https://www.catalog.slsa.sa.gov.au/xrecord=b2064243</v>
      </c>
      <c r="D7561" t="s">
        <v>16831</v>
      </c>
      <c r="E7561" t="s">
        <v>25639</v>
      </c>
      <c r="F7561">
        <v>1955</v>
      </c>
      <c r="G7561" t="s">
        <v>20063</v>
      </c>
      <c r="H7561" t="s">
        <v>25640</v>
      </c>
      <c r="J7561" t="s">
        <v>25641</v>
      </c>
      <c r="K7561" s="2" t="str">
        <f>HYPERLINK("http://collections.slsa.sa.gov.au/mpcimg/13250/B13206.htm")</f>
        <v>http://collections.slsa.sa.gov.au/mpcimg/13250/B13206.htm</v>
      </c>
    </row>
    <row r="7562" spans="1:11" x14ac:dyDescent="0.25">
      <c r="A7562" t="s">
        <v>25642</v>
      </c>
      <c r="B7562" s="1" t="str">
        <f>HYPERLINK("https://www.catalog.slsa.sa.gov.au/record=b2064324")</f>
        <v>https://www.catalog.slsa.sa.gov.au/record=b2064324</v>
      </c>
      <c r="C7562" s="1" t="str">
        <f>HYPERLINK("https://www.catalog.slsa.sa.gov.au/xrecord=b2064324")</f>
        <v>https://www.catalog.slsa.sa.gov.au/xrecord=b2064324</v>
      </c>
      <c r="D7562" t="s">
        <v>16831</v>
      </c>
      <c r="E7562" t="s">
        <v>25643</v>
      </c>
      <c r="F7562">
        <v>1955</v>
      </c>
      <c r="G7562" t="s">
        <v>19</v>
      </c>
      <c r="H7562" t="s">
        <v>25644</v>
      </c>
      <c r="J7562" t="s">
        <v>25645</v>
      </c>
      <c r="K7562" s="2" t="str">
        <f>HYPERLINK("http://collections.slsa.sa.gov.au/mpcimg/13500/B13482.htm")</f>
        <v>http://collections.slsa.sa.gov.au/mpcimg/13500/B13482.htm</v>
      </c>
    </row>
    <row r="7563" spans="1:11" x14ac:dyDescent="0.25">
      <c r="A7563" t="s">
        <v>25646</v>
      </c>
      <c r="B7563" s="1" t="str">
        <f>HYPERLINK("https://www.catalog.slsa.sa.gov.au/record=b2064325")</f>
        <v>https://www.catalog.slsa.sa.gov.au/record=b2064325</v>
      </c>
      <c r="C7563" s="1" t="str">
        <f>HYPERLINK("https://www.catalog.slsa.sa.gov.au/xrecord=b2064325")</f>
        <v>https://www.catalog.slsa.sa.gov.au/xrecord=b2064325</v>
      </c>
      <c r="D7563" t="s">
        <v>16831</v>
      </c>
      <c r="E7563" t="s">
        <v>25643</v>
      </c>
      <c r="F7563">
        <v>1955</v>
      </c>
      <c r="G7563" t="s">
        <v>5070</v>
      </c>
      <c r="H7563" t="s">
        <v>25647</v>
      </c>
      <c r="J7563" t="s">
        <v>25645</v>
      </c>
      <c r="K7563" s="2" t="str">
        <f>HYPERLINK("http://collections.slsa.sa.gov.au/mpcimg/13750/B13556.htm")</f>
        <v>http://collections.slsa.sa.gov.au/mpcimg/13750/B13556.htm</v>
      </c>
    </row>
    <row r="7564" spans="1:11" x14ac:dyDescent="0.25">
      <c r="A7564" t="s">
        <v>25648</v>
      </c>
      <c r="B7564" s="1" t="str">
        <f>HYPERLINK("https://www.catalog.slsa.sa.gov.au/record=b2064458")</f>
        <v>https://www.catalog.slsa.sa.gov.au/record=b2064458</v>
      </c>
      <c r="C7564" s="1" t="str">
        <f>HYPERLINK("https://www.catalog.slsa.sa.gov.au/xrecord=b2064458")</f>
        <v>https://www.catalog.slsa.sa.gov.au/xrecord=b2064458</v>
      </c>
      <c r="D7564" t="s">
        <v>16831</v>
      </c>
      <c r="E7564" t="s">
        <v>24718</v>
      </c>
      <c r="F7564">
        <v>1955</v>
      </c>
      <c r="G7564" t="s">
        <v>20063</v>
      </c>
      <c r="H7564" t="s">
        <v>25649</v>
      </c>
      <c r="I7564" t="s">
        <v>24720</v>
      </c>
      <c r="J7564" t="s">
        <v>24721</v>
      </c>
      <c r="K7564" s="2" t="str">
        <f>HYPERLINK("http://collections.slsa.sa.gov.au/mpcimg/13250/B13186.htm")</f>
        <v>http://collections.slsa.sa.gov.au/mpcimg/13250/B13186.htm</v>
      </c>
    </row>
    <row r="7565" spans="1:11" x14ac:dyDescent="0.25">
      <c r="A7565" t="s">
        <v>25650</v>
      </c>
      <c r="B7565" s="1" t="str">
        <f>HYPERLINK("https://www.catalog.slsa.sa.gov.au/record=b2064474")</f>
        <v>https://www.catalog.slsa.sa.gov.au/record=b2064474</v>
      </c>
      <c r="C7565" s="1" t="str">
        <f>HYPERLINK("https://www.catalog.slsa.sa.gov.au/xrecord=b2064474")</f>
        <v>https://www.catalog.slsa.sa.gov.au/xrecord=b2064474</v>
      </c>
      <c r="D7565" t="s">
        <v>16831</v>
      </c>
      <c r="E7565" t="s">
        <v>25651</v>
      </c>
      <c r="F7565">
        <v>1955</v>
      </c>
      <c r="G7565" t="s">
        <v>5501</v>
      </c>
      <c r="H7565" t="s">
        <v>25652</v>
      </c>
      <c r="J7565" t="s">
        <v>25653</v>
      </c>
      <c r="K7565" s="2" t="str">
        <f>HYPERLINK("http://collections.slsa.sa.gov.au/mpcimg/13500/B13415.htm")</f>
        <v>http://collections.slsa.sa.gov.au/mpcimg/13500/B13415.htm</v>
      </c>
    </row>
    <row r="7566" spans="1:11" x14ac:dyDescent="0.25">
      <c r="A7566" t="s">
        <v>25654</v>
      </c>
      <c r="B7566" s="1" t="str">
        <f>HYPERLINK("https://www.catalog.slsa.sa.gov.au/record=b2064710")</f>
        <v>https://www.catalog.slsa.sa.gov.au/record=b2064710</v>
      </c>
      <c r="C7566" s="1" t="str">
        <f>HYPERLINK("https://www.catalog.slsa.sa.gov.au/xrecord=b2064710")</f>
        <v>https://www.catalog.slsa.sa.gov.au/xrecord=b2064710</v>
      </c>
      <c r="D7566" t="s">
        <v>16831</v>
      </c>
      <c r="E7566" t="s">
        <v>25655</v>
      </c>
      <c r="F7566">
        <v>1955</v>
      </c>
      <c r="G7566" t="s">
        <v>5070</v>
      </c>
      <c r="H7566" t="s">
        <v>25656</v>
      </c>
      <c r="J7566" t="s">
        <v>25657</v>
      </c>
      <c r="K7566" s="2" t="str">
        <f>HYPERLINK("http://collections.slsa.sa.gov.au/mpcimg/13750/B13540.htm")</f>
        <v>http://collections.slsa.sa.gov.au/mpcimg/13750/B13540.htm</v>
      </c>
    </row>
    <row r="7567" spans="1:11" x14ac:dyDescent="0.25">
      <c r="A7567" t="s">
        <v>25658</v>
      </c>
      <c r="B7567" s="1" t="str">
        <f>HYPERLINK("https://www.catalog.slsa.sa.gov.au/record=b2064812")</f>
        <v>https://www.catalog.slsa.sa.gov.au/record=b2064812</v>
      </c>
      <c r="C7567" s="1" t="str">
        <f>HYPERLINK("https://www.catalog.slsa.sa.gov.au/xrecord=b2064812")</f>
        <v>https://www.catalog.slsa.sa.gov.au/xrecord=b2064812</v>
      </c>
      <c r="D7567" t="s">
        <v>16831</v>
      </c>
      <c r="E7567" t="s">
        <v>25659</v>
      </c>
      <c r="F7567">
        <v>1955</v>
      </c>
      <c r="G7567" t="s">
        <v>5070</v>
      </c>
      <c r="H7567" t="s">
        <v>25660</v>
      </c>
      <c r="J7567" t="s">
        <v>25661</v>
      </c>
      <c r="K7567" s="2" t="str">
        <f>HYPERLINK("http://collections.slsa.sa.gov.au/mpcimg/13750/B13560.htm")</f>
        <v>http://collections.slsa.sa.gov.au/mpcimg/13750/B13560.htm</v>
      </c>
    </row>
    <row r="7568" spans="1:11" x14ac:dyDescent="0.25">
      <c r="A7568" t="s">
        <v>25662</v>
      </c>
      <c r="B7568" s="1" t="str">
        <f>HYPERLINK("https://www.catalog.slsa.sa.gov.au/record=b2065874")</f>
        <v>https://www.catalog.slsa.sa.gov.au/record=b2065874</v>
      </c>
      <c r="C7568" s="1" t="str">
        <f>HYPERLINK("https://www.catalog.slsa.sa.gov.au/xrecord=b2065874")</f>
        <v>https://www.catalog.slsa.sa.gov.au/xrecord=b2065874</v>
      </c>
      <c r="D7568" t="s">
        <v>16831</v>
      </c>
      <c r="E7568" t="s">
        <v>16851</v>
      </c>
      <c r="F7568">
        <v>1955</v>
      </c>
      <c r="G7568" t="s">
        <v>19</v>
      </c>
      <c r="H7568" t="s">
        <v>25663</v>
      </c>
      <c r="J7568" t="s">
        <v>16854</v>
      </c>
      <c r="K7568" s="2" t="str">
        <f>HYPERLINK("http://collections.slsa.sa.gov.au/mpcimg/13500/B13466.htm")</f>
        <v>http://collections.slsa.sa.gov.au/mpcimg/13500/B13466.htm</v>
      </c>
    </row>
    <row r="7569" spans="1:11" x14ac:dyDescent="0.25">
      <c r="A7569" t="s">
        <v>25664</v>
      </c>
      <c r="B7569" s="1" t="str">
        <f>HYPERLINK("https://www.catalog.slsa.sa.gov.au/record=b2065875")</f>
        <v>https://www.catalog.slsa.sa.gov.au/record=b2065875</v>
      </c>
      <c r="C7569" s="1" t="str">
        <f>HYPERLINK("https://www.catalog.slsa.sa.gov.au/xrecord=b2065875")</f>
        <v>https://www.catalog.slsa.sa.gov.au/xrecord=b2065875</v>
      </c>
      <c r="D7569" t="s">
        <v>16831</v>
      </c>
      <c r="E7569" t="s">
        <v>16851</v>
      </c>
      <c r="F7569">
        <v>1955</v>
      </c>
      <c r="G7569" t="s">
        <v>19</v>
      </c>
      <c r="H7569" t="s">
        <v>25665</v>
      </c>
      <c r="J7569" t="s">
        <v>16854</v>
      </c>
      <c r="K7569" s="2" t="str">
        <f>HYPERLINK("http://collections.slsa.sa.gov.au/mpcimg/13500/B13467.htm")</f>
        <v>http://collections.slsa.sa.gov.au/mpcimg/13500/B13467.htm</v>
      </c>
    </row>
    <row r="7570" spans="1:11" x14ac:dyDescent="0.25">
      <c r="A7570" t="s">
        <v>25666</v>
      </c>
      <c r="B7570" s="1" t="str">
        <f>HYPERLINK("https://www.catalog.slsa.sa.gov.au/record=b2065950")</f>
        <v>https://www.catalog.slsa.sa.gov.au/record=b2065950</v>
      </c>
      <c r="C7570" s="1" t="str">
        <f>HYPERLINK("https://www.catalog.slsa.sa.gov.au/xrecord=b2065950")</f>
        <v>https://www.catalog.slsa.sa.gov.au/xrecord=b2065950</v>
      </c>
      <c r="D7570" t="s">
        <v>16831</v>
      </c>
      <c r="E7570" t="s">
        <v>25667</v>
      </c>
      <c r="F7570">
        <v>1955</v>
      </c>
      <c r="G7570" t="s">
        <v>5070</v>
      </c>
      <c r="H7570" t="s">
        <v>25668</v>
      </c>
      <c r="I7570" t="s">
        <v>25669</v>
      </c>
      <c r="J7570" t="s">
        <v>25670</v>
      </c>
      <c r="K7570" s="2" t="str">
        <f>HYPERLINK("http://collections.slsa.sa.gov.au/mpcimg/13750/B13557.htm")</f>
        <v>http://collections.slsa.sa.gov.au/mpcimg/13750/B13557.htm</v>
      </c>
    </row>
    <row r="7571" spans="1:11" x14ac:dyDescent="0.25">
      <c r="A7571" t="s">
        <v>25671</v>
      </c>
      <c r="B7571" s="1" t="str">
        <f>HYPERLINK("https://www.catalog.slsa.sa.gov.au/record=b2066514")</f>
        <v>https://www.catalog.slsa.sa.gov.au/record=b2066514</v>
      </c>
      <c r="C7571" s="1" t="str">
        <f>HYPERLINK("https://www.catalog.slsa.sa.gov.au/xrecord=b2066514")</f>
        <v>https://www.catalog.slsa.sa.gov.au/xrecord=b2066514</v>
      </c>
      <c r="D7571" t="s">
        <v>16831</v>
      </c>
      <c r="E7571" t="s">
        <v>25672</v>
      </c>
      <c r="F7571">
        <v>1955</v>
      </c>
      <c r="G7571" t="s">
        <v>20063</v>
      </c>
      <c r="H7571" t="s">
        <v>25673</v>
      </c>
      <c r="J7571" t="s">
        <v>25674</v>
      </c>
      <c r="K7571" s="2" t="str">
        <f>HYPERLINK("http://collections.slsa.sa.gov.au/mpcimg/13250/B13161.htm")</f>
        <v>http://collections.slsa.sa.gov.au/mpcimg/13250/B13161.htm</v>
      </c>
    </row>
    <row r="7572" spans="1:11" x14ac:dyDescent="0.25">
      <c r="A7572" t="s">
        <v>25675</v>
      </c>
      <c r="B7572" s="1" t="str">
        <f>HYPERLINK("https://www.catalog.slsa.sa.gov.au/record=b2921634")</f>
        <v>https://www.catalog.slsa.sa.gov.au/record=b2921634</v>
      </c>
      <c r="C7572" s="1" t="str">
        <f>HYPERLINK("https://www.catalog.slsa.sa.gov.au/xrecord=b2921634")</f>
        <v>https://www.catalog.slsa.sa.gov.au/xrecord=b2921634</v>
      </c>
      <c r="D7572" t="s">
        <v>25676</v>
      </c>
      <c r="E7572" t="s">
        <v>25677</v>
      </c>
      <c r="F7572">
        <v>1955</v>
      </c>
      <c r="G7572" t="s">
        <v>25678</v>
      </c>
      <c r="H7572" t="s">
        <v>25679</v>
      </c>
      <c r="I7572" t="s">
        <v>25680</v>
      </c>
      <c r="J7572" t="s">
        <v>15614</v>
      </c>
      <c r="K7572" s="2" t="str">
        <f>HYPERLINK("http://collections.slsa.sa.gov.au/mpcimg/73250/B73173_1.htm")</f>
        <v>http://collections.slsa.sa.gov.au/mpcimg/73250/B73173_1.htm</v>
      </c>
    </row>
    <row r="7573" spans="1:11" x14ac:dyDescent="0.25">
      <c r="A7573" t="s">
        <v>25681</v>
      </c>
      <c r="B7573" s="1" t="str">
        <f>HYPERLINK("https://www.catalog.slsa.sa.gov.au/record=b2921638")</f>
        <v>https://www.catalog.slsa.sa.gov.au/record=b2921638</v>
      </c>
      <c r="C7573" s="1" t="str">
        <f>HYPERLINK("https://www.catalog.slsa.sa.gov.au/xrecord=b2921638")</f>
        <v>https://www.catalog.slsa.sa.gov.au/xrecord=b2921638</v>
      </c>
      <c r="D7573" t="s">
        <v>25676</v>
      </c>
      <c r="E7573" t="s">
        <v>25677</v>
      </c>
      <c r="F7573">
        <v>1955</v>
      </c>
      <c r="G7573" t="s">
        <v>25678</v>
      </c>
      <c r="H7573" t="s">
        <v>25679</v>
      </c>
      <c r="I7573" t="s">
        <v>25680</v>
      </c>
      <c r="J7573" t="s">
        <v>15614</v>
      </c>
      <c r="K7573" s="2" t="str">
        <f>HYPERLINK("http://collections.slsa.sa.gov.au/mpcimg/73250/B73173_2.htm")</f>
        <v>http://collections.slsa.sa.gov.au/mpcimg/73250/B73173_2.htm</v>
      </c>
    </row>
    <row r="7574" spans="1:11" x14ac:dyDescent="0.25">
      <c r="A7574" t="s">
        <v>25682</v>
      </c>
      <c r="B7574" s="1" t="str">
        <f>HYPERLINK("https://www.catalog.slsa.sa.gov.au/record=b2921640")</f>
        <v>https://www.catalog.slsa.sa.gov.au/record=b2921640</v>
      </c>
      <c r="C7574" s="1" t="str">
        <f>HYPERLINK("https://www.catalog.slsa.sa.gov.au/xrecord=b2921640")</f>
        <v>https://www.catalog.slsa.sa.gov.au/xrecord=b2921640</v>
      </c>
      <c r="D7574" t="s">
        <v>25676</v>
      </c>
      <c r="E7574" t="s">
        <v>25677</v>
      </c>
      <c r="F7574">
        <v>1955</v>
      </c>
      <c r="G7574" t="s">
        <v>25678</v>
      </c>
      <c r="H7574" t="s">
        <v>25679</v>
      </c>
      <c r="I7574" t="s">
        <v>25680</v>
      </c>
      <c r="J7574" t="s">
        <v>15614</v>
      </c>
      <c r="K7574" s="2" t="str">
        <f>HYPERLINK("http://collections.slsa.sa.gov.au/mpcimg/73250/B73173_3.htm")</f>
        <v>http://collections.slsa.sa.gov.au/mpcimg/73250/B73173_3.htm</v>
      </c>
    </row>
    <row r="7575" spans="1:11" x14ac:dyDescent="0.25">
      <c r="A7575" t="s">
        <v>25683</v>
      </c>
      <c r="B7575" s="1" t="str">
        <f>HYPERLINK("https://www.catalog.slsa.sa.gov.au/record=b2921641")</f>
        <v>https://www.catalog.slsa.sa.gov.au/record=b2921641</v>
      </c>
      <c r="C7575" s="1" t="str">
        <f>HYPERLINK("https://www.catalog.slsa.sa.gov.au/xrecord=b2921641")</f>
        <v>https://www.catalog.slsa.sa.gov.au/xrecord=b2921641</v>
      </c>
      <c r="D7575" t="s">
        <v>25676</v>
      </c>
      <c r="E7575" t="s">
        <v>25677</v>
      </c>
      <c r="F7575">
        <v>1955</v>
      </c>
      <c r="G7575" t="s">
        <v>25678</v>
      </c>
      <c r="H7575" t="s">
        <v>25679</v>
      </c>
      <c r="I7575" t="s">
        <v>25680</v>
      </c>
      <c r="J7575" t="s">
        <v>15614</v>
      </c>
      <c r="K7575" s="2" t="str">
        <f>HYPERLINK("http://collections.slsa.sa.gov.au/mpcimg/73250/B73173_4.htm")</f>
        <v>http://collections.slsa.sa.gov.au/mpcimg/73250/B73173_4.htm</v>
      </c>
    </row>
    <row r="7576" spans="1:11" x14ac:dyDescent="0.25">
      <c r="A7576" t="s">
        <v>25684</v>
      </c>
      <c r="B7576" s="1" t="str">
        <f>HYPERLINK("https://www.catalog.slsa.sa.gov.au/record=b2921643")</f>
        <v>https://www.catalog.slsa.sa.gov.au/record=b2921643</v>
      </c>
      <c r="C7576" s="1" t="str">
        <f>HYPERLINK("https://www.catalog.slsa.sa.gov.au/xrecord=b2921643")</f>
        <v>https://www.catalog.slsa.sa.gov.au/xrecord=b2921643</v>
      </c>
      <c r="D7576" t="s">
        <v>25676</v>
      </c>
      <c r="E7576" t="s">
        <v>25677</v>
      </c>
      <c r="F7576">
        <v>1955</v>
      </c>
      <c r="G7576" t="s">
        <v>25678</v>
      </c>
      <c r="H7576" t="s">
        <v>25679</v>
      </c>
      <c r="I7576" t="s">
        <v>25680</v>
      </c>
      <c r="J7576" t="s">
        <v>15614</v>
      </c>
      <c r="K7576" s="2" t="str">
        <f>HYPERLINK("http://collections.slsa.sa.gov.au/mpcimg/73250/B73173_5.htm")</f>
        <v>http://collections.slsa.sa.gov.au/mpcimg/73250/B73173_5.htm</v>
      </c>
    </row>
    <row r="7577" spans="1:11" x14ac:dyDescent="0.25">
      <c r="A7577" t="s">
        <v>25685</v>
      </c>
      <c r="B7577" s="1" t="str">
        <f>HYPERLINK("https://www.catalog.slsa.sa.gov.au/record=b3142182")</f>
        <v>https://www.catalog.slsa.sa.gov.au/record=b3142182</v>
      </c>
      <c r="C7577" s="1" t="str">
        <f>HYPERLINK("https://www.catalog.slsa.sa.gov.au/xrecord=b3142182")</f>
        <v>https://www.catalog.slsa.sa.gov.au/xrecord=b3142182</v>
      </c>
      <c r="E7577" t="s">
        <v>25686</v>
      </c>
      <c r="F7577">
        <v>1955</v>
      </c>
      <c r="G7577" t="s">
        <v>25687</v>
      </c>
      <c r="H7577" t="s">
        <v>25688</v>
      </c>
      <c r="I7577" t="s">
        <v>25689</v>
      </c>
      <c r="J7577" t="s">
        <v>15023</v>
      </c>
      <c r="K7577" s="2" t="str">
        <f>HYPERLINK("http://collections.slsa.sa.gov.au/resource/B+76374")</f>
        <v>http://collections.slsa.sa.gov.au/resource/B+76374</v>
      </c>
    </row>
    <row r="7578" spans="1:11" x14ac:dyDescent="0.25">
      <c r="A7578" t="s">
        <v>25690</v>
      </c>
      <c r="B7578" s="1" t="str">
        <f>HYPERLINK("https://www.catalog.slsa.sa.gov.au/record=b2024385")</f>
        <v>https://www.catalog.slsa.sa.gov.au/record=b2024385</v>
      </c>
      <c r="C7578" s="1" t="str">
        <f>HYPERLINK("https://www.catalog.slsa.sa.gov.au/xrecord=b2024385")</f>
        <v>https://www.catalog.slsa.sa.gov.au/xrecord=b2024385</v>
      </c>
      <c r="D7578" t="s">
        <v>15039</v>
      </c>
      <c r="E7578" t="s">
        <v>25691</v>
      </c>
      <c r="F7578" t="s">
        <v>7074</v>
      </c>
      <c r="G7578" t="s">
        <v>18908</v>
      </c>
      <c r="H7578" t="s">
        <v>25692</v>
      </c>
      <c r="I7578" t="s">
        <v>25693</v>
      </c>
      <c r="J7578" t="s">
        <v>15919</v>
      </c>
      <c r="K7578" s="2" t="str">
        <f>HYPERLINK("http://collections.slsa.sa.gov.au/mpcimg/53500/B53301.htm")</f>
        <v>http://collections.slsa.sa.gov.au/mpcimg/53500/B53301.htm</v>
      </c>
    </row>
    <row r="7579" spans="1:11" x14ac:dyDescent="0.25">
      <c r="A7579" t="s">
        <v>25694</v>
      </c>
      <c r="B7579" s="1" t="str">
        <f>HYPERLINK("https://www.catalog.slsa.sa.gov.au/record=b2036926")</f>
        <v>https://www.catalog.slsa.sa.gov.au/record=b2036926</v>
      </c>
      <c r="C7579" s="1" t="str">
        <f>HYPERLINK("https://www.catalog.slsa.sa.gov.au/xrecord=b2036926")</f>
        <v>https://www.catalog.slsa.sa.gov.au/xrecord=b2036926</v>
      </c>
      <c r="D7579" t="s">
        <v>16423</v>
      </c>
      <c r="E7579" t="s">
        <v>12298</v>
      </c>
      <c r="F7579" t="s">
        <v>7074</v>
      </c>
      <c r="G7579" t="s">
        <v>25695</v>
      </c>
      <c r="H7579" t="s">
        <v>25696</v>
      </c>
      <c r="J7579" t="s">
        <v>5399</v>
      </c>
      <c r="K7579" s="2" t="str">
        <f>HYPERLINK("http://collections.slsa.sa.gov.au/mpcimg/40500/B40413.htm")</f>
        <v>http://collections.slsa.sa.gov.au/mpcimg/40500/B40413.htm</v>
      </c>
    </row>
    <row r="7580" spans="1:11" x14ac:dyDescent="0.25">
      <c r="A7580" t="s">
        <v>25697</v>
      </c>
      <c r="B7580" s="1" t="str">
        <f>HYPERLINK("https://www.catalog.slsa.sa.gov.au/record=b2081261")</f>
        <v>https://www.catalog.slsa.sa.gov.au/record=b2081261</v>
      </c>
      <c r="C7580" s="1" t="str">
        <f>HYPERLINK("https://www.catalog.slsa.sa.gov.au/xrecord=b2081261")</f>
        <v>https://www.catalog.slsa.sa.gov.au/xrecord=b2081261</v>
      </c>
      <c r="D7580" t="s">
        <v>3891</v>
      </c>
      <c r="E7580" t="s">
        <v>25698</v>
      </c>
      <c r="F7580" t="s">
        <v>7074</v>
      </c>
      <c r="G7580" t="s">
        <v>25699</v>
      </c>
      <c r="H7580" t="s">
        <v>25700</v>
      </c>
      <c r="I7580" t="s">
        <v>25701</v>
      </c>
      <c r="J7580" t="s">
        <v>1809</v>
      </c>
      <c r="K7580" s="2" t="str">
        <f>HYPERLINK("http://collections.slsa.sa.gov.au/mpcimg/59250/B59197.htm")</f>
        <v>http://collections.slsa.sa.gov.au/mpcimg/59250/B59197.htm</v>
      </c>
    </row>
    <row r="7581" spans="1:11" x14ac:dyDescent="0.25">
      <c r="A7581" t="s">
        <v>25702</v>
      </c>
      <c r="B7581" s="1" t="str">
        <f>HYPERLINK("https://www.catalog.slsa.sa.gov.au/record=b2081262")</f>
        <v>https://www.catalog.slsa.sa.gov.au/record=b2081262</v>
      </c>
      <c r="C7581" s="1" t="str">
        <f>HYPERLINK("https://www.catalog.slsa.sa.gov.au/xrecord=b2081262")</f>
        <v>https://www.catalog.slsa.sa.gov.au/xrecord=b2081262</v>
      </c>
      <c r="D7581" t="s">
        <v>3891</v>
      </c>
      <c r="E7581" t="s">
        <v>25698</v>
      </c>
      <c r="F7581" t="s">
        <v>7074</v>
      </c>
      <c r="G7581" t="s">
        <v>25699</v>
      </c>
      <c r="H7581" t="s">
        <v>25703</v>
      </c>
      <c r="I7581" t="s">
        <v>25701</v>
      </c>
      <c r="J7581" t="s">
        <v>1809</v>
      </c>
      <c r="K7581" s="2" t="str">
        <f>HYPERLINK("http://collections.slsa.sa.gov.au/mpcimg/59250/B59198.htm")</f>
        <v>http://collections.slsa.sa.gov.au/mpcimg/59250/B59198.htm</v>
      </c>
    </row>
    <row r="7582" spans="1:11" x14ac:dyDescent="0.25">
      <c r="A7582" t="s">
        <v>25704</v>
      </c>
      <c r="B7582" s="1" t="str">
        <f>HYPERLINK("https://www.catalog.slsa.sa.gov.au/record=b2081263")</f>
        <v>https://www.catalog.slsa.sa.gov.au/record=b2081263</v>
      </c>
      <c r="C7582" s="1" t="str">
        <f>HYPERLINK("https://www.catalog.slsa.sa.gov.au/xrecord=b2081263")</f>
        <v>https://www.catalog.slsa.sa.gov.au/xrecord=b2081263</v>
      </c>
      <c r="D7582" t="s">
        <v>3891</v>
      </c>
      <c r="E7582" t="s">
        <v>25698</v>
      </c>
      <c r="F7582" t="s">
        <v>7074</v>
      </c>
      <c r="G7582" t="s">
        <v>25699</v>
      </c>
      <c r="H7582" t="s">
        <v>25705</v>
      </c>
      <c r="I7582" t="s">
        <v>25701</v>
      </c>
      <c r="J7582" t="s">
        <v>1809</v>
      </c>
      <c r="K7582" s="2" t="str">
        <f>HYPERLINK("http://collections.slsa.sa.gov.au/mpcimg/59250/B59199.htm")</f>
        <v>http://collections.slsa.sa.gov.au/mpcimg/59250/B59199.htm</v>
      </c>
    </row>
    <row r="7583" spans="1:11" x14ac:dyDescent="0.25">
      <c r="A7583" t="s">
        <v>25706</v>
      </c>
      <c r="B7583" s="1" t="str">
        <f>HYPERLINK("https://www.catalog.slsa.sa.gov.au/record=b2096337")</f>
        <v>https://www.catalog.slsa.sa.gov.au/record=b2096337</v>
      </c>
      <c r="C7583" s="1" t="str">
        <f>HYPERLINK("https://www.catalog.slsa.sa.gov.au/xrecord=b2096337")</f>
        <v>https://www.catalog.slsa.sa.gov.au/xrecord=b2096337</v>
      </c>
      <c r="D7583" t="s">
        <v>15039</v>
      </c>
      <c r="E7583" t="s">
        <v>25707</v>
      </c>
      <c r="F7583" t="s">
        <v>7074</v>
      </c>
      <c r="G7583" t="s">
        <v>20841</v>
      </c>
      <c r="H7583" t="s">
        <v>25708</v>
      </c>
      <c r="I7583" t="s">
        <v>25709</v>
      </c>
      <c r="J7583" t="s">
        <v>15449</v>
      </c>
      <c r="K7583" s="2" t="str">
        <f>HYPERLINK("http://collections.slsa.sa.gov.au/mpcimg/08000/B7798_664.htm")</f>
        <v>http://collections.slsa.sa.gov.au/mpcimg/08000/B7798_664.htm</v>
      </c>
    </row>
    <row r="7584" spans="1:11" x14ac:dyDescent="0.25">
      <c r="A7584" t="s">
        <v>25710</v>
      </c>
      <c r="B7584" s="1" t="str">
        <f>HYPERLINK("https://www.catalog.slsa.sa.gov.au/record=b2955005")</f>
        <v>https://www.catalog.slsa.sa.gov.au/record=b2955005</v>
      </c>
      <c r="C7584" s="1" t="str">
        <f>HYPERLINK("https://www.catalog.slsa.sa.gov.au/xrecord=b2955005")</f>
        <v>https://www.catalog.slsa.sa.gov.au/xrecord=b2955005</v>
      </c>
      <c r="E7584" t="s">
        <v>25711</v>
      </c>
      <c r="F7584" t="s">
        <v>7074</v>
      </c>
      <c r="G7584" t="s">
        <v>25712</v>
      </c>
      <c r="H7584" t="s">
        <v>25713</v>
      </c>
      <c r="J7584" t="s">
        <v>2510</v>
      </c>
      <c r="K7584" s="2" t="str">
        <f>HYPERLINK("http://collections.slsa.sa.gov.au/resource/B+73755/9")</f>
        <v>http://collections.slsa.sa.gov.au/resource/B+73755/9</v>
      </c>
    </row>
    <row r="7585" spans="1:11" x14ac:dyDescent="0.25">
      <c r="A7585" t="s">
        <v>25714</v>
      </c>
      <c r="B7585" s="1" t="str">
        <f>HYPERLINK("https://www.catalog.slsa.sa.gov.au/record=b3113411")</f>
        <v>https://www.catalog.slsa.sa.gov.au/record=b3113411</v>
      </c>
      <c r="C7585" s="1" t="str">
        <f>HYPERLINK("https://www.catalog.slsa.sa.gov.au/xrecord=b3113411")</f>
        <v>https://www.catalog.slsa.sa.gov.au/xrecord=b3113411</v>
      </c>
      <c r="D7585" t="s">
        <v>25715</v>
      </c>
      <c r="E7585" t="s">
        <v>25716</v>
      </c>
      <c r="F7585" t="s">
        <v>7074</v>
      </c>
      <c r="G7585" t="s">
        <v>25717</v>
      </c>
      <c r="H7585" t="s">
        <v>25718</v>
      </c>
      <c r="I7585" t="s">
        <v>25719</v>
      </c>
      <c r="J7585" t="s">
        <v>15023</v>
      </c>
      <c r="K7585" s="2" t="str">
        <f>HYPERLINK("http://collections.slsa.sa.gov.au/resource/B+74638")</f>
        <v>http://collections.slsa.sa.gov.au/resource/B+74638</v>
      </c>
    </row>
    <row r="7586" spans="1:11" x14ac:dyDescent="0.25">
      <c r="A7586" t="s">
        <v>25720</v>
      </c>
      <c r="B7586" s="1" t="str">
        <f>HYPERLINK("https://www.catalog.slsa.sa.gov.au/record=b3011415")</f>
        <v>https://www.catalog.slsa.sa.gov.au/record=b3011415</v>
      </c>
      <c r="C7586" s="1" t="str">
        <f>HYPERLINK("https://www.catalog.slsa.sa.gov.au/xrecord=b3011415")</f>
        <v>https://www.catalog.slsa.sa.gov.au/xrecord=b3011415</v>
      </c>
      <c r="E7586" t="s">
        <v>25721</v>
      </c>
      <c r="F7586" t="s">
        <v>25722</v>
      </c>
      <c r="G7586" t="s">
        <v>25723</v>
      </c>
      <c r="H7586" t="s">
        <v>25724</v>
      </c>
      <c r="I7586" t="s">
        <v>25725</v>
      </c>
      <c r="J7586" t="s">
        <v>15620</v>
      </c>
      <c r="K7586" s="2" t="str">
        <f>HYPERLINK("http://collections.slsa.sa.gov.au/resource/B+73975")</f>
        <v>http://collections.slsa.sa.gov.au/resource/B+73975</v>
      </c>
    </row>
    <row r="7587" spans="1:11" x14ac:dyDescent="0.25">
      <c r="A7587" t="s">
        <v>25726</v>
      </c>
      <c r="B7587" s="1" t="str">
        <f>HYPERLINK("https://www.catalog.slsa.sa.gov.au/record=b3011458")</f>
        <v>https://www.catalog.slsa.sa.gov.au/record=b3011458</v>
      </c>
      <c r="C7587" s="1" t="str">
        <f>HYPERLINK("https://www.catalog.slsa.sa.gov.au/xrecord=b3011458")</f>
        <v>https://www.catalog.slsa.sa.gov.au/xrecord=b3011458</v>
      </c>
      <c r="E7587" t="s">
        <v>25727</v>
      </c>
      <c r="F7587" t="s">
        <v>25722</v>
      </c>
      <c r="G7587" t="s">
        <v>25728</v>
      </c>
      <c r="H7587" t="s">
        <v>25729</v>
      </c>
      <c r="I7587" t="s">
        <v>25730</v>
      </c>
      <c r="J7587" t="s">
        <v>15620</v>
      </c>
      <c r="K7587" s="2" t="str">
        <f>HYPERLINK("http://collections.slsa.sa.gov.au/resource/B+73979")</f>
        <v>http://collections.slsa.sa.gov.au/resource/B+73979</v>
      </c>
    </row>
    <row r="7588" spans="1:11" x14ac:dyDescent="0.25">
      <c r="A7588" t="s">
        <v>25731</v>
      </c>
      <c r="B7588" s="1" t="str">
        <f>HYPERLINK("https://www.catalog.slsa.sa.gov.au/record=b3142181")</f>
        <v>https://www.catalog.slsa.sa.gov.au/record=b3142181</v>
      </c>
      <c r="C7588" s="1" t="str">
        <f>HYPERLINK("https://www.catalog.slsa.sa.gov.au/xrecord=b3142181")</f>
        <v>https://www.catalog.slsa.sa.gov.au/xrecord=b3142181</v>
      </c>
      <c r="E7588" t="s">
        <v>25732</v>
      </c>
      <c r="F7588" t="s">
        <v>25733</v>
      </c>
      <c r="G7588" t="s">
        <v>25734</v>
      </c>
      <c r="H7588" t="s">
        <v>25735</v>
      </c>
      <c r="I7588" t="s">
        <v>25736</v>
      </c>
      <c r="J7588" t="s">
        <v>15320</v>
      </c>
      <c r="K7588" s="2" t="str">
        <f>HYPERLINK("http://collections.slsa.sa.gov.au/resource/B+76373")</f>
        <v>http://collections.slsa.sa.gov.au/resource/B+76373</v>
      </c>
    </row>
    <row r="7589" spans="1:11" x14ac:dyDescent="0.25">
      <c r="A7589" t="s">
        <v>25737</v>
      </c>
      <c r="B7589" s="1" t="str">
        <f>HYPERLINK("https://www.catalog.slsa.sa.gov.au/record=b2911253")</f>
        <v>https://www.catalog.slsa.sa.gov.au/record=b2911253</v>
      </c>
      <c r="C7589" s="1" t="str">
        <f>HYPERLINK("https://www.catalog.slsa.sa.gov.au/xrecord=b2911253")</f>
        <v>https://www.catalog.slsa.sa.gov.au/xrecord=b2911253</v>
      </c>
      <c r="E7589" t="s">
        <v>25738</v>
      </c>
      <c r="F7589" t="s">
        <v>25739</v>
      </c>
      <c r="G7589" t="s">
        <v>25740</v>
      </c>
      <c r="H7589" t="s">
        <v>25741</v>
      </c>
      <c r="I7589" t="s">
        <v>25742</v>
      </c>
      <c r="J7589" t="s">
        <v>4661</v>
      </c>
      <c r="K7589" s="2" t="str">
        <f>HYPERLINK("http://collections.slsa.sa.gov.au/mpcimgr/73000/B72822.htm")</f>
        <v>http://collections.slsa.sa.gov.au/mpcimgr/73000/B72822.htm</v>
      </c>
    </row>
    <row r="7590" spans="1:11" x14ac:dyDescent="0.25">
      <c r="A7590" t="s">
        <v>25743</v>
      </c>
      <c r="B7590" s="1" t="str">
        <f>HYPERLINK("https://www.catalog.slsa.sa.gov.au/record=b2025333")</f>
        <v>https://www.catalog.slsa.sa.gov.au/record=b2025333</v>
      </c>
      <c r="C7590" s="1" t="str">
        <f>HYPERLINK("https://www.catalog.slsa.sa.gov.au/xrecord=b2025333")</f>
        <v>https://www.catalog.slsa.sa.gov.au/xrecord=b2025333</v>
      </c>
      <c r="D7590" t="s">
        <v>16831</v>
      </c>
      <c r="E7590" t="s">
        <v>25744</v>
      </c>
      <c r="F7590">
        <v>1956</v>
      </c>
      <c r="G7590" t="s">
        <v>5070</v>
      </c>
      <c r="H7590" t="s">
        <v>25745</v>
      </c>
      <c r="I7590" t="s">
        <v>25746</v>
      </c>
      <c r="J7590" t="s">
        <v>22502</v>
      </c>
      <c r="K7590" s="2" t="str">
        <f>HYPERLINK("http://collections.slsa.sa.gov.au/mpcimg/13750/B13582.htm")</f>
        <v>http://collections.slsa.sa.gov.au/mpcimg/13750/B13582.htm</v>
      </c>
    </row>
    <row r="7591" spans="1:11" x14ac:dyDescent="0.25">
      <c r="A7591" t="s">
        <v>25747</v>
      </c>
      <c r="B7591" s="1" t="str">
        <f>HYPERLINK("https://www.catalog.slsa.sa.gov.au/record=b2035368")</f>
        <v>https://www.catalog.slsa.sa.gov.au/record=b2035368</v>
      </c>
      <c r="C7591" s="1" t="str">
        <f>HYPERLINK("https://www.catalog.slsa.sa.gov.au/xrecord=b2035368")</f>
        <v>https://www.catalog.slsa.sa.gov.au/xrecord=b2035368</v>
      </c>
      <c r="D7591" t="s">
        <v>15039</v>
      </c>
      <c r="E7591" t="s">
        <v>25748</v>
      </c>
      <c r="F7591">
        <v>1956</v>
      </c>
      <c r="G7591" t="s">
        <v>25749</v>
      </c>
      <c r="H7591" t="s">
        <v>25750</v>
      </c>
      <c r="J7591" t="s">
        <v>25751</v>
      </c>
      <c r="K7591" s="2" t="str">
        <f>HYPERLINK("http://collections.slsa.sa.gov.au/mpcimg/48750/B48552.htm")</f>
        <v>http://collections.slsa.sa.gov.au/mpcimg/48750/B48552.htm</v>
      </c>
    </row>
    <row r="7592" spans="1:11" x14ac:dyDescent="0.25">
      <c r="A7592" t="s">
        <v>25752</v>
      </c>
      <c r="B7592" s="1" t="str">
        <f>HYPERLINK("https://www.catalog.slsa.sa.gov.au/record=b2054478")</f>
        <v>https://www.catalog.slsa.sa.gov.au/record=b2054478</v>
      </c>
      <c r="C7592" s="1" t="str">
        <f>HYPERLINK("https://www.catalog.slsa.sa.gov.au/xrecord=b2054478")</f>
        <v>https://www.catalog.slsa.sa.gov.au/xrecord=b2054478</v>
      </c>
      <c r="D7592" t="s">
        <v>16831</v>
      </c>
      <c r="E7592" t="s">
        <v>15201</v>
      </c>
      <c r="F7592">
        <v>1956</v>
      </c>
      <c r="G7592" t="s">
        <v>5070</v>
      </c>
      <c r="H7592" t="s">
        <v>25753</v>
      </c>
      <c r="J7592" t="s">
        <v>20875</v>
      </c>
      <c r="K7592" s="2" t="str">
        <f>HYPERLINK("http://collections.slsa.sa.gov.au/mpcimg/13750/B13655.htm")</f>
        <v>http://collections.slsa.sa.gov.au/mpcimg/13750/B13655.htm</v>
      </c>
    </row>
    <row r="7593" spans="1:11" x14ac:dyDescent="0.25">
      <c r="A7593" t="s">
        <v>25754</v>
      </c>
      <c r="B7593" s="1" t="str">
        <f>HYPERLINK("https://www.catalog.slsa.sa.gov.au/record=b2054712")</f>
        <v>https://www.catalog.slsa.sa.gov.au/record=b2054712</v>
      </c>
      <c r="C7593" s="1" t="str">
        <f>HYPERLINK("https://www.catalog.slsa.sa.gov.au/xrecord=b2054712")</f>
        <v>https://www.catalog.slsa.sa.gov.au/xrecord=b2054712</v>
      </c>
      <c r="D7593" t="s">
        <v>16831</v>
      </c>
      <c r="E7593" t="s">
        <v>16771</v>
      </c>
      <c r="F7593">
        <v>1956</v>
      </c>
      <c r="G7593" t="s">
        <v>5070</v>
      </c>
      <c r="H7593" t="s">
        <v>25755</v>
      </c>
      <c r="J7593" t="s">
        <v>17113</v>
      </c>
      <c r="K7593" s="2" t="str">
        <f>HYPERLINK("http://collections.slsa.sa.gov.au/mpcimg/13750/B13667.htm")</f>
        <v>http://collections.slsa.sa.gov.au/mpcimg/13750/B13667.htm</v>
      </c>
    </row>
    <row r="7594" spans="1:11" x14ac:dyDescent="0.25">
      <c r="A7594" t="s">
        <v>25756</v>
      </c>
      <c r="B7594" s="1" t="str">
        <f>HYPERLINK("https://www.catalog.slsa.sa.gov.au/record=b2054880")</f>
        <v>https://www.catalog.slsa.sa.gov.au/record=b2054880</v>
      </c>
      <c r="C7594" s="1" t="str">
        <f>HYPERLINK("https://www.catalog.slsa.sa.gov.au/xrecord=b2054880")</f>
        <v>https://www.catalog.slsa.sa.gov.au/xrecord=b2054880</v>
      </c>
      <c r="D7594" t="s">
        <v>16831</v>
      </c>
      <c r="E7594" t="s">
        <v>15201</v>
      </c>
      <c r="F7594">
        <v>1956</v>
      </c>
      <c r="G7594" t="s">
        <v>5070</v>
      </c>
      <c r="H7594" t="s">
        <v>25757</v>
      </c>
      <c r="J7594" t="s">
        <v>20883</v>
      </c>
      <c r="K7594" s="2" t="str">
        <f>HYPERLINK("http://collections.slsa.sa.gov.au/mpcimg/13750/B13732.htm")</f>
        <v>http://collections.slsa.sa.gov.au/mpcimg/13750/B13732.htm</v>
      </c>
    </row>
    <row r="7595" spans="1:11" x14ac:dyDescent="0.25">
      <c r="A7595" t="s">
        <v>25758</v>
      </c>
      <c r="B7595" s="1" t="str">
        <f>HYPERLINK("https://www.catalog.slsa.sa.gov.au/record=b2055069")</f>
        <v>https://www.catalog.slsa.sa.gov.au/record=b2055069</v>
      </c>
      <c r="C7595" s="1" t="str">
        <f>HYPERLINK("https://www.catalog.slsa.sa.gov.au/xrecord=b2055069")</f>
        <v>https://www.catalog.slsa.sa.gov.au/xrecord=b2055069</v>
      </c>
      <c r="D7595" t="s">
        <v>16831</v>
      </c>
      <c r="E7595" t="s">
        <v>16777</v>
      </c>
      <c r="F7595">
        <v>1956</v>
      </c>
      <c r="G7595" t="s">
        <v>5070</v>
      </c>
      <c r="H7595" t="s">
        <v>25759</v>
      </c>
      <c r="J7595" t="s">
        <v>25760</v>
      </c>
      <c r="K7595" s="2" t="str">
        <f>HYPERLINK("http://collections.slsa.sa.gov.au/mpcimg/13750/B13613.htm")</f>
        <v>http://collections.slsa.sa.gov.au/mpcimg/13750/B13613.htm</v>
      </c>
    </row>
    <row r="7596" spans="1:11" x14ac:dyDescent="0.25">
      <c r="A7596" t="s">
        <v>25761</v>
      </c>
      <c r="B7596" s="1" t="str">
        <f>HYPERLINK("https://www.catalog.slsa.sa.gov.au/record=b2055245")</f>
        <v>https://www.catalog.slsa.sa.gov.au/record=b2055245</v>
      </c>
      <c r="C7596" s="1" t="str">
        <f>HYPERLINK("https://www.catalog.slsa.sa.gov.au/xrecord=b2055245")</f>
        <v>https://www.catalog.slsa.sa.gov.au/xrecord=b2055245</v>
      </c>
      <c r="D7596" t="s">
        <v>16831</v>
      </c>
      <c r="E7596" t="s">
        <v>16777</v>
      </c>
      <c r="F7596">
        <v>1956</v>
      </c>
      <c r="G7596" t="s">
        <v>5070</v>
      </c>
      <c r="H7596" t="s">
        <v>25762</v>
      </c>
      <c r="J7596" t="s">
        <v>20897</v>
      </c>
      <c r="K7596" s="2" t="str">
        <f>HYPERLINK("http://collections.slsa.sa.gov.au/mpcimg/13750/B13656.htm")</f>
        <v>http://collections.slsa.sa.gov.au/mpcimg/13750/B13656.htm</v>
      </c>
    </row>
    <row r="7597" spans="1:11" x14ac:dyDescent="0.25">
      <c r="A7597" t="s">
        <v>25763</v>
      </c>
      <c r="B7597" s="1" t="str">
        <f>HYPERLINK("https://www.catalog.slsa.sa.gov.au/record=b2055341")</f>
        <v>https://www.catalog.slsa.sa.gov.au/record=b2055341</v>
      </c>
      <c r="C7597" s="1" t="str">
        <f>HYPERLINK("https://www.catalog.slsa.sa.gov.au/xrecord=b2055341")</f>
        <v>https://www.catalog.slsa.sa.gov.au/xrecord=b2055341</v>
      </c>
      <c r="D7597" t="s">
        <v>16831</v>
      </c>
      <c r="E7597" t="s">
        <v>16777</v>
      </c>
      <c r="F7597">
        <v>1956</v>
      </c>
      <c r="G7597" t="s">
        <v>5070</v>
      </c>
      <c r="H7597" t="s">
        <v>25764</v>
      </c>
      <c r="J7597" t="s">
        <v>17619</v>
      </c>
      <c r="K7597" s="2" t="str">
        <f>HYPERLINK("http://collections.slsa.sa.gov.au/mpcimg/13750/B13657.htm")</f>
        <v>http://collections.slsa.sa.gov.au/mpcimg/13750/B13657.htm</v>
      </c>
    </row>
    <row r="7598" spans="1:11" x14ac:dyDescent="0.25">
      <c r="A7598" t="s">
        <v>25765</v>
      </c>
      <c r="B7598" s="1" t="str">
        <f>HYPERLINK("https://www.catalog.slsa.sa.gov.au/record=b2055549")</f>
        <v>https://www.catalog.slsa.sa.gov.au/record=b2055549</v>
      </c>
      <c r="C7598" s="1" t="str">
        <f>HYPERLINK("https://www.catalog.slsa.sa.gov.au/xrecord=b2055549")</f>
        <v>https://www.catalog.slsa.sa.gov.au/xrecord=b2055549</v>
      </c>
      <c r="D7598" t="s">
        <v>16831</v>
      </c>
      <c r="E7598" t="s">
        <v>16777</v>
      </c>
      <c r="F7598">
        <v>1956</v>
      </c>
      <c r="G7598" t="s">
        <v>5070</v>
      </c>
      <c r="H7598" t="s">
        <v>25766</v>
      </c>
      <c r="J7598" t="s">
        <v>17577</v>
      </c>
      <c r="K7598" s="2" t="str">
        <f>HYPERLINK("http://collections.slsa.sa.gov.au/mpcimg/13750/B13664.htm")</f>
        <v>http://collections.slsa.sa.gov.au/mpcimg/13750/B13664.htm</v>
      </c>
    </row>
    <row r="7599" spans="1:11" x14ac:dyDescent="0.25">
      <c r="A7599" t="s">
        <v>25767</v>
      </c>
      <c r="B7599" s="1" t="str">
        <f>HYPERLINK("https://www.catalog.slsa.sa.gov.au/record=b2055737")</f>
        <v>https://www.catalog.slsa.sa.gov.au/record=b2055737</v>
      </c>
      <c r="C7599" s="1" t="str">
        <f>HYPERLINK("https://www.catalog.slsa.sa.gov.au/xrecord=b2055737")</f>
        <v>https://www.catalog.slsa.sa.gov.au/xrecord=b2055737</v>
      </c>
      <c r="D7599" t="s">
        <v>16831</v>
      </c>
      <c r="E7599" t="s">
        <v>20904</v>
      </c>
      <c r="F7599">
        <v>1956</v>
      </c>
      <c r="G7599" t="s">
        <v>5070</v>
      </c>
      <c r="H7599" t="s">
        <v>25768</v>
      </c>
      <c r="J7599" t="s">
        <v>22167</v>
      </c>
      <c r="K7599" s="2" t="str">
        <f>HYPERLINK("http://collections.slsa.sa.gov.au/mpcimg/13750/B13704.htm")</f>
        <v>http://collections.slsa.sa.gov.au/mpcimg/13750/B13704.htm</v>
      </c>
    </row>
    <row r="7600" spans="1:11" x14ac:dyDescent="0.25">
      <c r="A7600" t="s">
        <v>25769</v>
      </c>
      <c r="B7600" s="1" t="str">
        <f>HYPERLINK("https://www.catalog.slsa.sa.gov.au/record=b2055771")</f>
        <v>https://www.catalog.slsa.sa.gov.au/record=b2055771</v>
      </c>
      <c r="C7600" s="1" t="str">
        <f>HYPERLINK("https://www.catalog.slsa.sa.gov.au/xrecord=b2055771")</f>
        <v>https://www.catalog.slsa.sa.gov.au/xrecord=b2055771</v>
      </c>
      <c r="D7600" t="s">
        <v>16831</v>
      </c>
      <c r="E7600" t="s">
        <v>25770</v>
      </c>
      <c r="F7600">
        <v>1956</v>
      </c>
      <c r="G7600" t="s">
        <v>5070</v>
      </c>
      <c r="H7600" t="s">
        <v>25771</v>
      </c>
      <c r="J7600" t="s">
        <v>25772</v>
      </c>
      <c r="K7600" s="2" t="str">
        <f>HYPERLINK("http://collections.slsa.sa.gov.au/mpcimg/13750/B13641.htm")</f>
        <v>http://collections.slsa.sa.gov.au/mpcimg/13750/B13641.htm</v>
      </c>
    </row>
    <row r="7601" spans="1:11" x14ac:dyDescent="0.25">
      <c r="A7601" t="s">
        <v>25773</v>
      </c>
      <c r="B7601" s="1" t="str">
        <f>HYPERLINK("https://www.catalog.slsa.sa.gov.au/record=b2055772")</f>
        <v>https://www.catalog.slsa.sa.gov.au/record=b2055772</v>
      </c>
      <c r="C7601" s="1" t="str">
        <f>HYPERLINK("https://www.catalog.slsa.sa.gov.au/xrecord=b2055772")</f>
        <v>https://www.catalog.slsa.sa.gov.au/xrecord=b2055772</v>
      </c>
      <c r="D7601" t="s">
        <v>16831</v>
      </c>
      <c r="E7601" t="s">
        <v>20904</v>
      </c>
      <c r="F7601">
        <v>1956</v>
      </c>
      <c r="G7601" t="s">
        <v>5070</v>
      </c>
      <c r="H7601" t="s">
        <v>25774</v>
      </c>
      <c r="I7601" t="s">
        <v>25775</v>
      </c>
      <c r="J7601" t="s">
        <v>25772</v>
      </c>
      <c r="K7601" s="2" t="str">
        <f>HYPERLINK("http://collections.slsa.sa.gov.au/mpcimg/13750/B13662.htm")</f>
        <v>http://collections.slsa.sa.gov.au/mpcimg/13750/B13662.htm</v>
      </c>
    </row>
    <row r="7602" spans="1:11" x14ac:dyDescent="0.25">
      <c r="A7602" t="s">
        <v>25776</v>
      </c>
      <c r="B7602" s="1" t="str">
        <f>HYPERLINK("https://www.catalog.slsa.sa.gov.au/record=b2055830")</f>
        <v>https://www.catalog.slsa.sa.gov.au/record=b2055830</v>
      </c>
      <c r="C7602" s="1" t="str">
        <f>HYPERLINK("https://www.catalog.slsa.sa.gov.au/xrecord=b2055830")</f>
        <v>https://www.catalog.slsa.sa.gov.au/xrecord=b2055830</v>
      </c>
      <c r="D7602" t="s">
        <v>16831</v>
      </c>
      <c r="E7602" t="s">
        <v>22149</v>
      </c>
      <c r="F7602">
        <v>1956</v>
      </c>
      <c r="G7602" t="s">
        <v>5070</v>
      </c>
      <c r="H7602" t="s">
        <v>25777</v>
      </c>
      <c r="J7602" t="s">
        <v>24004</v>
      </c>
      <c r="K7602" s="2" t="str">
        <f>HYPERLINK("http://collections.slsa.sa.gov.au/mpcimg/13750/B13612.htm")</f>
        <v>http://collections.slsa.sa.gov.au/mpcimg/13750/B13612.htm</v>
      </c>
    </row>
    <row r="7603" spans="1:11" x14ac:dyDescent="0.25">
      <c r="A7603" t="s">
        <v>25778</v>
      </c>
      <c r="B7603" s="1" t="str">
        <f>HYPERLINK("https://www.catalog.slsa.sa.gov.au/record=b2055876")</f>
        <v>https://www.catalog.slsa.sa.gov.au/record=b2055876</v>
      </c>
      <c r="C7603" s="1" t="str">
        <f>HYPERLINK("https://www.catalog.slsa.sa.gov.au/xrecord=b2055876")</f>
        <v>https://www.catalog.slsa.sa.gov.au/xrecord=b2055876</v>
      </c>
      <c r="D7603" t="s">
        <v>16831</v>
      </c>
      <c r="E7603" t="s">
        <v>25779</v>
      </c>
      <c r="F7603">
        <v>1956</v>
      </c>
      <c r="G7603" t="s">
        <v>5070</v>
      </c>
      <c r="H7603" t="s">
        <v>25780</v>
      </c>
      <c r="J7603" t="s">
        <v>24011</v>
      </c>
      <c r="K7603" s="2" t="str">
        <f>HYPERLINK("http://collections.slsa.sa.gov.au/mpcimg/13750/B13663.htm")</f>
        <v>http://collections.slsa.sa.gov.au/mpcimg/13750/B13663.htm</v>
      </c>
    </row>
    <row r="7604" spans="1:11" x14ac:dyDescent="0.25">
      <c r="A7604" t="s">
        <v>25781</v>
      </c>
      <c r="B7604" s="1" t="str">
        <f>HYPERLINK("https://www.catalog.slsa.sa.gov.au/record=b2055883")</f>
        <v>https://www.catalog.slsa.sa.gov.au/record=b2055883</v>
      </c>
      <c r="C7604" s="1" t="str">
        <f>HYPERLINK("https://www.catalog.slsa.sa.gov.au/xrecord=b2055883")</f>
        <v>https://www.catalog.slsa.sa.gov.au/xrecord=b2055883</v>
      </c>
      <c r="D7604" t="s">
        <v>16831</v>
      </c>
      <c r="E7604" t="s">
        <v>25782</v>
      </c>
      <c r="F7604">
        <v>1956</v>
      </c>
      <c r="G7604" t="s">
        <v>5070</v>
      </c>
      <c r="H7604" t="s">
        <v>25783</v>
      </c>
      <c r="J7604" t="s">
        <v>25784</v>
      </c>
      <c r="K7604" s="2" t="str">
        <f>HYPERLINK("http://collections.slsa.sa.gov.au/mpcimg/13750/B13644.htm")</f>
        <v>http://collections.slsa.sa.gov.au/mpcimg/13750/B13644.htm</v>
      </c>
    </row>
    <row r="7605" spans="1:11" x14ac:dyDescent="0.25">
      <c r="A7605" t="s">
        <v>25785</v>
      </c>
      <c r="B7605" s="1" t="str">
        <f>HYPERLINK("https://www.catalog.slsa.sa.gov.au/record=b2055885")</f>
        <v>https://www.catalog.slsa.sa.gov.au/record=b2055885</v>
      </c>
      <c r="C7605" s="1" t="str">
        <f>HYPERLINK("https://www.catalog.slsa.sa.gov.au/xrecord=b2055885")</f>
        <v>https://www.catalog.slsa.sa.gov.au/xrecord=b2055885</v>
      </c>
      <c r="D7605" t="s">
        <v>16831</v>
      </c>
      <c r="E7605" t="s">
        <v>20904</v>
      </c>
      <c r="F7605">
        <v>1956</v>
      </c>
      <c r="G7605" t="s">
        <v>25786</v>
      </c>
      <c r="H7605" t="s">
        <v>25787</v>
      </c>
      <c r="J7605" t="s">
        <v>25788</v>
      </c>
      <c r="K7605" s="2" t="str">
        <f>HYPERLINK("http://collections.slsa.sa.gov.au/mpcimg/14000/B13824.htm")</f>
        <v>http://collections.slsa.sa.gov.au/mpcimg/14000/B13824.htm</v>
      </c>
    </row>
    <row r="7606" spans="1:11" x14ac:dyDescent="0.25">
      <c r="A7606" t="s">
        <v>25789</v>
      </c>
      <c r="B7606" s="1" t="str">
        <f>HYPERLINK("https://www.catalog.slsa.sa.gov.au/record=b2055909")</f>
        <v>https://www.catalog.slsa.sa.gov.au/record=b2055909</v>
      </c>
      <c r="C7606" s="1" t="str">
        <f>HYPERLINK("https://www.catalog.slsa.sa.gov.au/xrecord=b2055909")</f>
        <v>https://www.catalog.slsa.sa.gov.au/xrecord=b2055909</v>
      </c>
      <c r="D7606" t="s">
        <v>16831</v>
      </c>
      <c r="E7606" t="s">
        <v>25790</v>
      </c>
      <c r="F7606">
        <v>1956</v>
      </c>
      <c r="G7606" t="s">
        <v>5070</v>
      </c>
      <c r="H7606" t="s">
        <v>25791</v>
      </c>
      <c r="J7606" t="s">
        <v>25792</v>
      </c>
      <c r="K7606" s="2" t="str">
        <f>HYPERLINK("http://collections.slsa.sa.gov.au/mpcimg/13750/B13715.htm")</f>
        <v>http://collections.slsa.sa.gov.au/mpcimg/13750/B13715.htm</v>
      </c>
    </row>
    <row r="7607" spans="1:11" x14ac:dyDescent="0.25">
      <c r="A7607" t="s">
        <v>25793</v>
      </c>
      <c r="B7607" s="1" t="str">
        <f>HYPERLINK("https://www.catalog.slsa.sa.gov.au/record=b2055947")</f>
        <v>https://www.catalog.slsa.sa.gov.au/record=b2055947</v>
      </c>
      <c r="C7607" s="1" t="str">
        <f>HYPERLINK("https://www.catalog.slsa.sa.gov.au/xrecord=b2055947")</f>
        <v>https://www.catalog.slsa.sa.gov.au/xrecord=b2055947</v>
      </c>
      <c r="D7607" t="s">
        <v>16831</v>
      </c>
      <c r="E7607" t="s">
        <v>20904</v>
      </c>
      <c r="F7607">
        <v>1956</v>
      </c>
      <c r="G7607" t="s">
        <v>5070</v>
      </c>
      <c r="H7607" t="s">
        <v>25794</v>
      </c>
      <c r="J7607" t="s">
        <v>24014</v>
      </c>
      <c r="K7607" s="2" t="str">
        <f>HYPERLINK("http://collections.slsa.sa.gov.au/mpcimg/13750/B13643.htm")</f>
        <v>http://collections.slsa.sa.gov.au/mpcimg/13750/B13643.htm</v>
      </c>
    </row>
    <row r="7608" spans="1:11" x14ac:dyDescent="0.25">
      <c r="A7608" t="s">
        <v>25795</v>
      </c>
      <c r="B7608" s="1" t="str">
        <f>HYPERLINK("https://www.catalog.slsa.sa.gov.au/record=b2055974")</f>
        <v>https://www.catalog.slsa.sa.gov.au/record=b2055974</v>
      </c>
      <c r="C7608" s="1" t="str">
        <f>HYPERLINK("https://www.catalog.slsa.sa.gov.au/xrecord=b2055974")</f>
        <v>https://www.catalog.slsa.sa.gov.au/xrecord=b2055974</v>
      </c>
      <c r="D7608" t="s">
        <v>16831</v>
      </c>
      <c r="E7608" t="s">
        <v>22149</v>
      </c>
      <c r="F7608">
        <v>1956</v>
      </c>
      <c r="G7608" t="s">
        <v>5070</v>
      </c>
      <c r="H7608" t="s">
        <v>25796</v>
      </c>
      <c r="J7608" t="s">
        <v>22757</v>
      </c>
      <c r="K7608" s="2" t="str">
        <f>HYPERLINK("http://collections.slsa.sa.gov.au/mpcimg/13750/B13604.htm")</f>
        <v>http://collections.slsa.sa.gov.au/mpcimg/13750/B13604.htm</v>
      </c>
    </row>
    <row r="7609" spans="1:11" x14ac:dyDescent="0.25">
      <c r="A7609" t="s">
        <v>25797</v>
      </c>
      <c r="B7609" s="1" t="str">
        <f>HYPERLINK("https://www.catalog.slsa.sa.gov.au/record=b2055993")</f>
        <v>https://www.catalog.slsa.sa.gov.au/record=b2055993</v>
      </c>
      <c r="C7609" s="1" t="str">
        <f>HYPERLINK("https://www.catalog.slsa.sa.gov.au/xrecord=b2055993")</f>
        <v>https://www.catalog.slsa.sa.gov.au/xrecord=b2055993</v>
      </c>
      <c r="D7609" t="s">
        <v>16831</v>
      </c>
      <c r="E7609" t="s">
        <v>20904</v>
      </c>
      <c r="F7609">
        <v>1956</v>
      </c>
      <c r="G7609" t="s">
        <v>5070</v>
      </c>
      <c r="H7609" t="s">
        <v>25798</v>
      </c>
      <c r="J7609" t="s">
        <v>20910</v>
      </c>
      <c r="K7609" s="2" t="str">
        <f>HYPERLINK("http://collections.slsa.sa.gov.au/mpcimg/13750/B13724.htm")</f>
        <v>http://collections.slsa.sa.gov.au/mpcimg/13750/B13724.htm</v>
      </c>
    </row>
    <row r="7610" spans="1:11" x14ac:dyDescent="0.25">
      <c r="A7610" t="s">
        <v>25799</v>
      </c>
      <c r="B7610" s="1" t="str">
        <f>HYPERLINK("https://www.catalog.slsa.sa.gov.au/record=b2056007")</f>
        <v>https://www.catalog.slsa.sa.gov.au/record=b2056007</v>
      </c>
      <c r="C7610" s="1" t="str">
        <f>HYPERLINK("https://www.catalog.slsa.sa.gov.au/xrecord=b2056007")</f>
        <v>https://www.catalog.slsa.sa.gov.au/xrecord=b2056007</v>
      </c>
      <c r="D7610" t="s">
        <v>16831</v>
      </c>
      <c r="E7610" t="s">
        <v>20904</v>
      </c>
      <c r="F7610">
        <v>1956</v>
      </c>
      <c r="G7610" t="s">
        <v>5070</v>
      </c>
      <c r="H7610" t="s">
        <v>25800</v>
      </c>
      <c r="J7610" t="s">
        <v>22766</v>
      </c>
      <c r="K7610" s="2" t="str">
        <f>HYPERLINK("http://collections.slsa.sa.gov.au/mpcimg/13750/B13661.htm")</f>
        <v>http://collections.slsa.sa.gov.au/mpcimg/13750/B13661.htm</v>
      </c>
    </row>
    <row r="7611" spans="1:11" x14ac:dyDescent="0.25">
      <c r="A7611" t="s">
        <v>25801</v>
      </c>
      <c r="B7611" s="1" t="str">
        <f>HYPERLINK("https://www.catalog.slsa.sa.gov.au/record=b2056051")</f>
        <v>https://www.catalog.slsa.sa.gov.au/record=b2056051</v>
      </c>
      <c r="C7611" s="1" t="str">
        <f>HYPERLINK("https://www.catalog.slsa.sa.gov.au/xrecord=b2056051")</f>
        <v>https://www.catalog.slsa.sa.gov.au/xrecord=b2056051</v>
      </c>
      <c r="D7611" t="s">
        <v>16831</v>
      </c>
      <c r="E7611" t="s">
        <v>20904</v>
      </c>
      <c r="F7611">
        <v>1956</v>
      </c>
      <c r="G7611" t="s">
        <v>5070</v>
      </c>
      <c r="H7611" t="s">
        <v>25802</v>
      </c>
      <c r="J7611" t="s">
        <v>24020</v>
      </c>
      <c r="K7611" s="2" t="str">
        <f>HYPERLINK("http://collections.slsa.sa.gov.au/mpcimg/13750/B13689.htm")</f>
        <v>http://collections.slsa.sa.gov.au/mpcimg/13750/B13689.htm</v>
      </c>
    </row>
    <row r="7612" spans="1:11" x14ac:dyDescent="0.25">
      <c r="A7612" t="s">
        <v>25803</v>
      </c>
      <c r="B7612" s="1" t="str">
        <f>HYPERLINK("https://www.catalog.slsa.sa.gov.au/record=b2056112")</f>
        <v>https://www.catalog.slsa.sa.gov.au/record=b2056112</v>
      </c>
      <c r="C7612" s="1" t="str">
        <f>HYPERLINK("https://www.catalog.slsa.sa.gov.au/xrecord=b2056112")</f>
        <v>https://www.catalog.slsa.sa.gov.au/xrecord=b2056112</v>
      </c>
      <c r="D7612" t="s">
        <v>16831</v>
      </c>
      <c r="E7612" t="s">
        <v>20904</v>
      </c>
      <c r="F7612">
        <v>1956</v>
      </c>
      <c r="G7612" t="s">
        <v>5070</v>
      </c>
      <c r="H7612" t="s">
        <v>25804</v>
      </c>
      <c r="I7612" t="s">
        <v>25805</v>
      </c>
      <c r="J7612" t="s">
        <v>25806</v>
      </c>
      <c r="K7612" s="2" t="str">
        <f>HYPERLINK("http://collections.slsa.sa.gov.au/mpcimg/13750/B13642.htm")</f>
        <v>http://collections.slsa.sa.gov.au/mpcimg/13750/B13642.htm</v>
      </c>
    </row>
    <row r="7613" spans="1:11" x14ac:dyDescent="0.25">
      <c r="A7613" t="s">
        <v>25807</v>
      </c>
      <c r="B7613" s="1" t="str">
        <f>HYPERLINK("https://www.catalog.slsa.sa.gov.au/record=b2056946")</f>
        <v>https://www.catalog.slsa.sa.gov.au/record=b2056946</v>
      </c>
      <c r="C7613" s="1" t="str">
        <f>HYPERLINK("https://www.catalog.slsa.sa.gov.au/xrecord=b2056946")</f>
        <v>https://www.catalog.slsa.sa.gov.au/xrecord=b2056946</v>
      </c>
      <c r="D7613" t="s">
        <v>16831</v>
      </c>
      <c r="E7613" t="s">
        <v>25312</v>
      </c>
      <c r="F7613">
        <v>1956</v>
      </c>
      <c r="G7613" t="s">
        <v>5070</v>
      </c>
      <c r="H7613" t="s">
        <v>25808</v>
      </c>
      <c r="I7613" t="s">
        <v>25809</v>
      </c>
      <c r="J7613" t="s">
        <v>24031</v>
      </c>
      <c r="K7613" s="2" t="str">
        <f>HYPERLINK("http://collections.slsa.sa.gov.au/mpcimg/13750/B13583.htm")</f>
        <v>http://collections.slsa.sa.gov.au/mpcimg/13750/B13583.htm</v>
      </c>
    </row>
    <row r="7614" spans="1:11" x14ac:dyDescent="0.25">
      <c r="A7614" t="s">
        <v>25810</v>
      </c>
      <c r="B7614" s="1" t="str">
        <f>HYPERLINK("https://www.catalog.slsa.sa.gov.au/record=b2057039")</f>
        <v>https://www.catalog.slsa.sa.gov.au/record=b2057039</v>
      </c>
      <c r="C7614" s="1" t="str">
        <f>HYPERLINK("https://www.catalog.slsa.sa.gov.au/xrecord=b2057039")</f>
        <v>https://www.catalog.slsa.sa.gov.au/xrecord=b2057039</v>
      </c>
      <c r="D7614" t="s">
        <v>16831</v>
      </c>
      <c r="E7614" t="s">
        <v>16791</v>
      </c>
      <c r="F7614">
        <v>1956</v>
      </c>
      <c r="G7614" t="s">
        <v>25786</v>
      </c>
      <c r="H7614" t="s">
        <v>25811</v>
      </c>
      <c r="J7614" t="s">
        <v>20935</v>
      </c>
      <c r="K7614" s="2" t="str">
        <f>HYPERLINK("http://collections.slsa.sa.gov.au/resource/B+13815")</f>
        <v>http://collections.slsa.sa.gov.au/resource/B+13815</v>
      </c>
    </row>
    <row r="7615" spans="1:11" x14ac:dyDescent="0.25">
      <c r="A7615" t="s">
        <v>25812</v>
      </c>
      <c r="B7615" s="1" t="str">
        <f>HYPERLINK("https://www.catalog.slsa.sa.gov.au/record=b2057431")</f>
        <v>https://www.catalog.slsa.sa.gov.au/record=b2057431</v>
      </c>
      <c r="C7615" s="1" t="str">
        <f>HYPERLINK("https://www.catalog.slsa.sa.gov.au/xrecord=b2057431")</f>
        <v>https://www.catalog.slsa.sa.gov.au/xrecord=b2057431</v>
      </c>
      <c r="D7615" t="s">
        <v>16831</v>
      </c>
      <c r="E7615" t="s">
        <v>25813</v>
      </c>
      <c r="F7615">
        <v>1956</v>
      </c>
      <c r="G7615" t="s">
        <v>5070</v>
      </c>
      <c r="H7615" t="s">
        <v>25814</v>
      </c>
      <c r="J7615" t="s">
        <v>20947</v>
      </c>
      <c r="K7615" s="2" t="str">
        <f>HYPERLINK("http://collections.slsa.sa.gov.au/mpcimg/13750/B13603.htm")</f>
        <v>http://collections.slsa.sa.gov.au/mpcimg/13750/B13603.htm</v>
      </c>
    </row>
    <row r="7616" spans="1:11" x14ac:dyDescent="0.25">
      <c r="A7616" t="s">
        <v>25815</v>
      </c>
      <c r="B7616" s="1" t="str">
        <f>HYPERLINK("https://www.catalog.slsa.sa.gov.au/record=b2057440")</f>
        <v>https://www.catalog.slsa.sa.gov.au/record=b2057440</v>
      </c>
      <c r="C7616" s="1" t="str">
        <f>HYPERLINK("https://www.catalog.slsa.sa.gov.au/xrecord=b2057440")</f>
        <v>https://www.catalog.slsa.sa.gov.au/xrecord=b2057440</v>
      </c>
      <c r="D7616" t="s">
        <v>16831</v>
      </c>
      <c r="E7616" t="s">
        <v>24130</v>
      </c>
      <c r="F7616">
        <v>1956</v>
      </c>
      <c r="G7616" t="s">
        <v>5070</v>
      </c>
      <c r="H7616" t="s">
        <v>25816</v>
      </c>
      <c r="J7616" t="s">
        <v>24060</v>
      </c>
      <c r="K7616" s="2" t="str">
        <f>HYPERLINK("http://collections.slsa.sa.gov.au/mpcimg/13750/B13693.htm")</f>
        <v>http://collections.slsa.sa.gov.au/mpcimg/13750/B13693.htm</v>
      </c>
    </row>
    <row r="7617" spans="1:11" x14ac:dyDescent="0.25">
      <c r="A7617" t="s">
        <v>25817</v>
      </c>
      <c r="B7617" s="1" t="str">
        <f>HYPERLINK("https://www.catalog.slsa.sa.gov.au/record=b2057441")</f>
        <v>https://www.catalog.slsa.sa.gov.au/record=b2057441</v>
      </c>
      <c r="C7617" s="1" t="str">
        <f>HYPERLINK("https://www.catalog.slsa.sa.gov.au/xrecord=b2057441")</f>
        <v>https://www.catalog.slsa.sa.gov.au/xrecord=b2057441</v>
      </c>
      <c r="D7617" t="s">
        <v>16831</v>
      </c>
      <c r="E7617" t="s">
        <v>25818</v>
      </c>
      <c r="F7617">
        <v>1956</v>
      </c>
      <c r="G7617" t="s">
        <v>5070</v>
      </c>
      <c r="H7617" t="s">
        <v>25819</v>
      </c>
      <c r="J7617" t="s">
        <v>24574</v>
      </c>
      <c r="K7617" s="2" t="str">
        <f>HYPERLINK("http://collections.slsa.sa.gov.au/mpcimg/13750/B13621.htm")</f>
        <v>http://collections.slsa.sa.gov.au/mpcimg/13750/B13621.htm</v>
      </c>
    </row>
    <row r="7618" spans="1:11" x14ac:dyDescent="0.25">
      <c r="A7618" t="s">
        <v>25820</v>
      </c>
      <c r="B7618" s="1" t="str">
        <f>HYPERLINK("https://www.catalog.slsa.sa.gov.au/record=b2057442")</f>
        <v>https://www.catalog.slsa.sa.gov.au/record=b2057442</v>
      </c>
      <c r="C7618" s="1" t="str">
        <f>HYPERLINK("https://www.catalog.slsa.sa.gov.au/xrecord=b2057442")</f>
        <v>https://www.catalog.slsa.sa.gov.au/xrecord=b2057442</v>
      </c>
      <c r="D7618" t="s">
        <v>16831</v>
      </c>
      <c r="E7618" t="s">
        <v>16786</v>
      </c>
      <c r="F7618">
        <v>1956</v>
      </c>
      <c r="G7618" t="s">
        <v>5070</v>
      </c>
      <c r="H7618" t="s">
        <v>25821</v>
      </c>
      <c r="J7618" t="s">
        <v>24574</v>
      </c>
      <c r="K7618" s="2" t="str">
        <f>HYPERLINK("http://collections.slsa.sa.gov.au/mpcimg/13750/B13718.htm")</f>
        <v>http://collections.slsa.sa.gov.au/mpcimg/13750/B13718.htm</v>
      </c>
    </row>
    <row r="7619" spans="1:11" x14ac:dyDescent="0.25">
      <c r="A7619" t="s">
        <v>25822</v>
      </c>
      <c r="B7619" s="1" t="str">
        <f>HYPERLINK("https://www.catalog.slsa.sa.gov.au/record=b2057443")</f>
        <v>https://www.catalog.slsa.sa.gov.au/record=b2057443</v>
      </c>
      <c r="C7619" s="1" t="str">
        <f>HYPERLINK("https://www.catalog.slsa.sa.gov.au/xrecord=b2057443")</f>
        <v>https://www.catalog.slsa.sa.gov.au/xrecord=b2057443</v>
      </c>
      <c r="D7619" t="s">
        <v>16831</v>
      </c>
      <c r="E7619" t="s">
        <v>25818</v>
      </c>
      <c r="F7619">
        <v>1956</v>
      </c>
      <c r="G7619" t="s">
        <v>25786</v>
      </c>
      <c r="H7619" t="s">
        <v>25823</v>
      </c>
      <c r="J7619" t="s">
        <v>24574</v>
      </c>
      <c r="K7619" s="2" t="str">
        <f>HYPERLINK("http://collections.slsa.sa.gov.au/mpcimg/14000/B13846.htm")</f>
        <v>http://collections.slsa.sa.gov.au/mpcimg/14000/B13846.htm</v>
      </c>
    </row>
    <row r="7620" spans="1:11" x14ac:dyDescent="0.25">
      <c r="A7620" t="s">
        <v>25824</v>
      </c>
      <c r="B7620" s="1" t="str">
        <f>HYPERLINK("https://www.catalog.slsa.sa.gov.au/record=b2057455")</f>
        <v>https://www.catalog.slsa.sa.gov.au/record=b2057455</v>
      </c>
      <c r="C7620" s="1" t="str">
        <f>HYPERLINK("https://www.catalog.slsa.sa.gov.au/xrecord=b2057455")</f>
        <v>https://www.catalog.slsa.sa.gov.au/xrecord=b2057455</v>
      </c>
      <c r="D7620" t="s">
        <v>16831</v>
      </c>
      <c r="E7620" t="s">
        <v>16786</v>
      </c>
      <c r="F7620">
        <v>1956</v>
      </c>
      <c r="G7620" t="s">
        <v>5070</v>
      </c>
      <c r="H7620" t="s">
        <v>25825</v>
      </c>
      <c r="J7620" t="s">
        <v>24063</v>
      </c>
      <c r="K7620" s="2" t="str">
        <f>HYPERLINK("http://collections.slsa.sa.gov.au/mpcimg/13750/B13671.htm")</f>
        <v>http://collections.slsa.sa.gov.au/mpcimg/13750/B13671.htm</v>
      </c>
    </row>
    <row r="7621" spans="1:11" x14ac:dyDescent="0.25">
      <c r="A7621" t="s">
        <v>25826</v>
      </c>
      <c r="B7621" s="1" t="str">
        <f>HYPERLINK("https://www.catalog.slsa.sa.gov.au/record=b2057465")</f>
        <v>https://www.catalog.slsa.sa.gov.au/record=b2057465</v>
      </c>
      <c r="C7621" s="1" t="str">
        <f>HYPERLINK("https://www.catalog.slsa.sa.gov.au/xrecord=b2057465")</f>
        <v>https://www.catalog.slsa.sa.gov.au/xrecord=b2057465</v>
      </c>
      <c r="D7621" t="s">
        <v>16831</v>
      </c>
      <c r="E7621" t="s">
        <v>16786</v>
      </c>
      <c r="F7621">
        <v>1956</v>
      </c>
      <c r="G7621" t="s">
        <v>5070</v>
      </c>
      <c r="H7621" t="s">
        <v>25827</v>
      </c>
      <c r="J7621" t="s">
        <v>24068</v>
      </c>
      <c r="K7621" s="2" t="str">
        <f>HYPERLINK("http://collections.slsa.sa.gov.au/mpcimg/13750/B13591.htm")</f>
        <v>http://collections.slsa.sa.gov.au/mpcimg/13750/B13591.htm</v>
      </c>
    </row>
    <row r="7622" spans="1:11" x14ac:dyDescent="0.25">
      <c r="A7622" t="s">
        <v>25828</v>
      </c>
      <c r="B7622" s="1" t="str">
        <f>HYPERLINK("https://www.catalog.slsa.sa.gov.au/record=b2057506")</f>
        <v>https://www.catalog.slsa.sa.gov.au/record=b2057506</v>
      </c>
      <c r="C7622" s="1" t="str">
        <f>HYPERLINK("https://www.catalog.slsa.sa.gov.au/xrecord=b2057506")</f>
        <v>https://www.catalog.slsa.sa.gov.au/xrecord=b2057506</v>
      </c>
      <c r="D7622" t="s">
        <v>16831</v>
      </c>
      <c r="E7622" t="s">
        <v>16786</v>
      </c>
      <c r="F7622">
        <v>1956</v>
      </c>
      <c r="G7622" t="s">
        <v>25786</v>
      </c>
      <c r="H7622" t="s">
        <v>25829</v>
      </c>
      <c r="J7622" t="s">
        <v>24088</v>
      </c>
      <c r="K7622" s="2" t="str">
        <f>HYPERLINK("http://collections.slsa.sa.gov.au/mpcimg/14000/B13827.htm")</f>
        <v>http://collections.slsa.sa.gov.au/mpcimg/14000/B13827.htm</v>
      </c>
    </row>
    <row r="7623" spans="1:11" x14ac:dyDescent="0.25">
      <c r="A7623" t="s">
        <v>25830</v>
      </c>
      <c r="B7623" s="1" t="str">
        <f>HYPERLINK("https://www.catalog.slsa.sa.gov.au/record=b2057910")</f>
        <v>https://www.catalog.slsa.sa.gov.au/record=b2057910</v>
      </c>
      <c r="C7623" s="1" t="str">
        <f>HYPERLINK("https://www.catalog.slsa.sa.gov.au/xrecord=b2057910")</f>
        <v>https://www.catalog.slsa.sa.gov.au/xrecord=b2057910</v>
      </c>
      <c r="D7623" t="s">
        <v>16831</v>
      </c>
      <c r="E7623" t="s">
        <v>16796</v>
      </c>
      <c r="F7623">
        <v>1956</v>
      </c>
      <c r="G7623" t="s">
        <v>5070</v>
      </c>
      <c r="H7623" t="s">
        <v>25831</v>
      </c>
      <c r="J7623" t="s">
        <v>20962</v>
      </c>
      <c r="K7623" s="2" t="str">
        <f>HYPERLINK("http://collections.slsa.sa.gov.au/mpcimg/13750/B13710.htm")</f>
        <v>http://collections.slsa.sa.gov.au/mpcimg/13750/B13710.htm</v>
      </c>
    </row>
    <row r="7624" spans="1:11" x14ac:dyDescent="0.25">
      <c r="A7624" t="s">
        <v>25832</v>
      </c>
      <c r="B7624" s="1" t="str">
        <f>HYPERLINK("https://www.catalog.slsa.sa.gov.au/record=b2058000")</f>
        <v>https://www.catalog.slsa.sa.gov.au/record=b2058000</v>
      </c>
      <c r="C7624" s="1" t="str">
        <f>HYPERLINK("https://www.catalog.slsa.sa.gov.au/xrecord=b2058000")</f>
        <v>https://www.catalog.slsa.sa.gov.au/xrecord=b2058000</v>
      </c>
      <c r="D7624" t="s">
        <v>16831</v>
      </c>
      <c r="E7624" t="s">
        <v>16796</v>
      </c>
      <c r="F7624">
        <v>1956</v>
      </c>
      <c r="G7624" t="s">
        <v>5070</v>
      </c>
      <c r="H7624" t="s">
        <v>25833</v>
      </c>
      <c r="J7624" t="s">
        <v>20965</v>
      </c>
      <c r="K7624" s="2" t="str">
        <f>HYPERLINK("http://collections.slsa.sa.gov.au/mpcimg/13750/B13672.htm")</f>
        <v>http://collections.slsa.sa.gov.au/mpcimg/13750/B13672.htm</v>
      </c>
    </row>
    <row r="7625" spans="1:11" x14ac:dyDescent="0.25">
      <c r="A7625" t="s">
        <v>25834</v>
      </c>
      <c r="B7625" s="1" t="str">
        <f>HYPERLINK("https://www.catalog.slsa.sa.gov.au/record=b2058001")</f>
        <v>https://www.catalog.slsa.sa.gov.au/record=b2058001</v>
      </c>
      <c r="C7625" s="1" t="str">
        <f>HYPERLINK("https://www.catalog.slsa.sa.gov.au/xrecord=b2058001")</f>
        <v>https://www.catalog.slsa.sa.gov.au/xrecord=b2058001</v>
      </c>
      <c r="D7625" t="s">
        <v>16831</v>
      </c>
      <c r="E7625" t="s">
        <v>20933</v>
      </c>
      <c r="F7625">
        <v>1956</v>
      </c>
      <c r="G7625" t="s">
        <v>5070</v>
      </c>
      <c r="H7625" t="s">
        <v>25835</v>
      </c>
      <c r="J7625" t="s">
        <v>20965</v>
      </c>
      <c r="K7625" s="2" t="str">
        <f>HYPERLINK("http://collections.slsa.sa.gov.au/mpcimg/13750/B13726.htm")</f>
        <v>http://collections.slsa.sa.gov.au/mpcimg/13750/B13726.htm</v>
      </c>
    </row>
    <row r="7626" spans="1:11" x14ac:dyDescent="0.25">
      <c r="A7626" t="s">
        <v>25836</v>
      </c>
      <c r="B7626" s="1" t="str">
        <f>HYPERLINK("https://www.catalog.slsa.sa.gov.au/record=b2058069")</f>
        <v>https://www.catalog.slsa.sa.gov.au/record=b2058069</v>
      </c>
      <c r="C7626" s="1" t="str">
        <f>HYPERLINK("https://www.catalog.slsa.sa.gov.au/xrecord=b2058069")</f>
        <v>https://www.catalog.slsa.sa.gov.au/xrecord=b2058069</v>
      </c>
      <c r="D7626" t="s">
        <v>16831</v>
      </c>
      <c r="E7626" t="s">
        <v>16771</v>
      </c>
      <c r="F7626">
        <v>1956</v>
      </c>
      <c r="G7626" t="s">
        <v>5070</v>
      </c>
      <c r="H7626" t="s">
        <v>25837</v>
      </c>
      <c r="J7626" t="s">
        <v>16803</v>
      </c>
      <c r="K7626" s="2" t="str">
        <f>HYPERLINK("http://collections.slsa.sa.gov.au/mpcimg/13750/B13606.htm")</f>
        <v>http://collections.slsa.sa.gov.au/mpcimg/13750/B13606.htm</v>
      </c>
    </row>
    <row r="7627" spans="1:11" x14ac:dyDescent="0.25">
      <c r="A7627" t="s">
        <v>25838</v>
      </c>
      <c r="B7627" s="1" t="str">
        <f>HYPERLINK("https://www.catalog.slsa.sa.gov.au/record=b2058256")</f>
        <v>https://www.catalog.slsa.sa.gov.au/record=b2058256</v>
      </c>
      <c r="C7627" s="1" t="str">
        <f>HYPERLINK("https://www.catalog.slsa.sa.gov.au/xrecord=b2058256")</f>
        <v>https://www.catalog.slsa.sa.gov.au/xrecord=b2058256</v>
      </c>
      <c r="D7627" t="s">
        <v>16831</v>
      </c>
      <c r="E7627" t="s">
        <v>20970</v>
      </c>
      <c r="F7627">
        <v>1956</v>
      </c>
      <c r="G7627" t="s">
        <v>25786</v>
      </c>
      <c r="H7627" t="s">
        <v>25839</v>
      </c>
      <c r="J7627" t="s">
        <v>24126</v>
      </c>
      <c r="K7627" s="2" t="str">
        <f>HYPERLINK("http://collections.slsa.sa.gov.au/mpcimg/14000/B13823.htm")</f>
        <v>http://collections.slsa.sa.gov.au/mpcimg/14000/B13823.htm</v>
      </c>
    </row>
    <row r="7628" spans="1:11" x14ac:dyDescent="0.25">
      <c r="A7628" t="s">
        <v>25840</v>
      </c>
      <c r="B7628" s="1" t="str">
        <f>HYPERLINK("https://www.catalog.slsa.sa.gov.au/record=b2058259")</f>
        <v>https://www.catalog.slsa.sa.gov.au/record=b2058259</v>
      </c>
      <c r="C7628" s="1" t="str">
        <f>HYPERLINK("https://www.catalog.slsa.sa.gov.au/xrecord=b2058259")</f>
        <v>https://www.catalog.slsa.sa.gov.au/xrecord=b2058259</v>
      </c>
      <c r="D7628" t="s">
        <v>16831</v>
      </c>
      <c r="E7628" t="s">
        <v>20970</v>
      </c>
      <c r="F7628">
        <v>1956</v>
      </c>
      <c r="G7628" t="s">
        <v>5070</v>
      </c>
      <c r="H7628" t="s">
        <v>25841</v>
      </c>
      <c r="J7628" t="s">
        <v>25842</v>
      </c>
      <c r="K7628" s="2" t="str">
        <f>HYPERLINK("http://collections.slsa.sa.gov.au/mpcimg/13750/B13639.htm")</f>
        <v>http://collections.slsa.sa.gov.au/mpcimg/13750/B13639.htm</v>
      </c>
    </row>
    <row r="7629" spans="1:11" x14ac:dyDescent="0.25">
      <c r="A7629" t="s">
        <v>25843</v>
      </c>
      <c r="B7629" s="1" t="str">
        <f>HYPERLINK("https://www.catalog.slsa.sa.gov.au/record=b2058260")</f>
        <v>https://www.catalog.slsa.sa.gov.au/record=b2058260</v>
      </c>
      <c r="C7629" s="1" t="str">
        <f>HYPERLINK("https://www.catalog.slsa.sa.gov.au/xrecord=b2058260")</f>
        <v>https://www.catalog.slsa.sa.gov.au/xrecord=b2058260</v>
      </c>
      <c r="D7629" t="s">
        <v>16831</v>
      </c>
      <c r="E7629" t="s">
        <v>20970</v>
      </c>
      <c r="F7629">
        <v>1956</v>
      </c>
      <c r="G7629" t="s">
        <v>5070</v>
      </c>
      <c r="H7629" t="s">
        <v>25844</v>
      </c>
      <c r="J7629" t="s">
        <v>25842</v>
      </c>
      <c r="K7629" s="2" t="str">
        <f>HYPERLINK("http://collections.slsa.sa.gov.au/mpcimg/13750/B13640.htm")</f>
        <v>http://collections.slsa.sa.gov.au/mpcimg/13750/B13640.htm</v>
      </c>
    </row>
    <row r="7630" spans="1:11" x14ac:dyDescent="0.25">
      <c r="A7630" t="s">
        <v>25845</v>
      </c>
      <c r="B7630" s="1" t="str">
        <f>HYPERLINK("https://www.catalog.slsa.sa.gov.au/record=b2058267")</f>
        <v>https://www.catalog.slsa.sa.gov.au/record=b2058267</v>
      </c>
      <c r="C7630" s="1" t="str">
        <f>HYPERLINK("https://www.catalog.slsa.sa.gov.au/xrecord=b2058267")</f>
        <v>https://www.catalog.slsa.sa.gov.au/xrecord=b2058267</v>
      </c>
      <c r="D7630" t="s">
        <v>16831</v>
      </c>
      <c r="E7630" t="s">
        <v>20970</v>
      </c>
      <c r="F7630">
        <v>1956</v>
      </c>
      <c r="G7630" t="s">
        <v>25786</v>
      </c>
      <c r="H7630" t="s">
        <v>25846</v>
      </c>
      <c r="J7630" t="s">
        <v>25847</v>
      </c>
      <c r="K7630" s="2" t="str">
        <f>HYPERLINK("http://collections.slsa.sa.gov.au/mpcimg/14000/B13822.htm")</f>
        <v>http://collections.slsa.sa.gov.au/mpcimg/14000/B13822.htm</v>
      </c>
    </row>
    <row r="7631" spans="1:11" x14ac:dyDescent="0.25">
      <c r="A7631" t="s">
        <v>25848</v>
      </c>
      <c r="B7631" s="1" t="str">
        <f>HYPERLINK("https://www.catalog.slsa.sa.gov.au/record=b2058279")</f>
        <v>https://www.catalog.slsa.sa.gov.au/record=b2058279</v>
      </c>
      <c r="C7631" s="1" t="str">
        <f>HYPERLINK("https://www.catalog.slsa.sa.gov.au/xrecord=b2058279")</f>
        <v>https://www.catalog.slsa.sa.gov.au/xrecord=b2058279</v>
      </c>
      <c r="D7631" t="s">
        <v>16831</v>
      </c>
      <c r="E7631" t="s">
        <v>24130</v>
      </c>
      <c r="F7631">
        <v>1956</v>
      </c>
      <c r="G7631" t="s">
        <v>5070</v>
      </c>
      <c r="H7631" t="s">
        <v>25849</v>
      </c>
      <c r="J7631" t="s">
        <v>24132</v>
      </c>
      <c r="K7631" s="2" t="str">
        <f>HYPERLINK("http://collections.slsa.sa.gov.au/mpcimg/13750/B13673.htm")</f>
        <v>http://collections.slsa.sa.gov.au/mpcimg/13750/B13673.htm</v>
      </c>
    </row>
    <row r="7632" spans="1:11" x14ac:dyDescent="0.25">
      <c r="A7632" t="s">
        <v>25850</v>
      </c>
      <c r="B7632" s="1" t="str">
        <f>HYPERLINK("https://www.catalog.slsa.sa.gov.au/record=b2058285")</f>
        <v>https://www.catalog.slsa.sa.gov.au/record=b2058285</v>
      </c>
      <c r="C7632" s="1" t="str">
        <f>HYPERLINK("https://www.catalog.slsa.sa.gov.au/xrecord=b2058285")</f>
        <v>https://www.catalog.slsa.sa.gov.au/xrecord=b2058285</v>
      </c>
      <c r="D7632" t="s">
        <v>16831</v>
      </c>
      <c r="E7632" t="s">
        <v>25851</v>
      </c>
      <c r="F7632">
        <v>1956</v>
      </c>
      <c r="G7632" t="s">
        <v>5070</v>
      </c>
      <c r="H7632" t="s">
        <v>25852</v>
      </c>
      <c r="J7632" t="s">
        <v>25853</v>
      </c>
      <c r="K7632" s="2" t="str">
        <f>HYPERLINK("http://collections.slsa.sa.gov.au/mpcimg/13750/B13592.htm")</f>
        <v>http://collections.slsa.sa.gov.au/mpcimg/13750/B13592.htm</v>
      </c>
    </row>
    <row r="7633" spans="1:11" x14ac:dyDescent="0.25">
      <c r="A7633" t="s">
        <v>25854</v>
      </c>
      <c r="B7633" s="1" t="str">
        <f>HYPERLINK("https://www.catalog.slsa.sa.gov.au/record=b2058299")</f>
        <v>https://www.catalog.slsa.sa.gov.au/record=b2058299</v>
      </c>
      <c r="C7633" s="1" t="str">
        <f>HYPERLINK("https://www.catalog.slsa.sa.gov.au/xrecord=b2058299")</f>
        <v>https://www.catalog.slsa.sa.gov.au/xrecord=b2058299</v>
      </c>
      <c r="D7633" t="s">
        <v>16831</v>
      </c>
      <c r="E7633" t="s">
        <v>20970</v>
      </c>
      <c r="F7633">
        <v>1956</v>
      </c>
      <c r="G7633" t="s">
        <v>5070</v>
      </c>
      <c r="H7633" t="s">
        <v>25855</v>
      </c>
      <c r="J7633" t="s">
        <v>20972</v>
      </c>
      <c r="K7633" s="2" t="str">
        <f>HYPERLINK("http://collections.slsa.sa.gov.au/mpcimg/13750/B13611.htm")</f>
        <v>http://collections.slsa.sa.gov.au/mpcimg/13750/B13611.htm</v>
      </c>
    </row>
    <row r="7634" spans="1:11" x14ac:dyDescent="0.25">
      <c r="A7634" t="s">
        <v>25856</v>
      </c>
      <c r="B7634" s="1" t="str">
        <f>HYPERLINK("https://www.catalog.slsa.sa.gov.au/record=b2058320")</f>
        <v>https://www.catalog.slsa.sa.gov.au/record=b2058320</v>
      </c>
      <c r="C7634" s="1" t="str">
        <f>HYPERLINK("https://www.catalog.slsa.sa.gov.au/xrecord=b2058320")</f>
        <v>https://www.catalog.slsa.sa.gov.au/xrecord=b2058320</v>
      </c>
      <c r="D7634" t="s">
        <v>16831</v>
      </c>
      <c r="E7634" t="s">
        <v>20970</v>
      </c>
      <c r="F7634">
        <v>1956</v>
      </c>
      <c r="G7634" t="s">
        <v>5070</v>
      </c>
      <c r="H7634" t="s">
        <v>25857</v>
      </c>
      <c r="J7634" t="s">
        <v>24143</v>
      </c>
      <c r="K7634" s="2" t="str">
        <f>HYPERLINK("http://collections.slsa.sa.gov.au/mpcimg/13750/B13665.htm")</f>
        <v>http://collections.slsa.sa.gov.au/mpcimg/13750/B13665.htm</v>
      </c>
    </row>
    <row r="7635" spans="1:11" x14ac:dyDescent="0.25">
      <c r="A7635" t="s">
        <v>25858</v>
      </c>
      <c r="B7635" s="1" t="str">
        <f>HYPERLINK("https://www.catalog.slsa.sa.gov.au/record=b2058321")</f>
        <v>https://www.catalog.slsa.sa.gov.au/record=b2058321</v>
      </c>
      <c r="C7635" s="1" t="str">
        <f>HYPERLINK("https://www.catalog.slsa.sa.gov.au/xrecord=b2058321")</f>
        <v>https://www.catalog.slsa.sa.gov.au/xrecord=b2058321</v>
      </c>
      <c r="D7635" t="s">
        <v>16831</v>
      </c>
      <c r="E7635" t="s">
        <v>20970</v>
      </c>
      <c r="F7635">
        <v>1956</v>
      </c>
      <c r="G7635" t="s">
        <v>5070</v>
      </c>
      <c r="H7635" t="s">
        <v>25859</v>
      </c>
      <c r="J7635" t="s">
        <v>24143</v>
      </c>
      <c r="K7635" s="2" t="str">
        <f>HYPERLINK("http://collections.slsa.sa.gov.au/mpcimg/13750/B13719.htm")</f>
        <v>http://collections.slsa.sa.gov.au/mpcimg/13750/B13719.htm</v>
      </c>
    </row>
    <row r="7636" spans="1:11" x14ac:dyDescent="0.25">
      <c r="A7636" t="s">
        <v>25860</v>
      </c>
      <c r="B7636" s="1" t="str">
        <f>HYPERLINK("https://www.catalog.slsa.sa.gov.au/record=b2058367")</f>
        <v>https://www.catalog.slsa.sa.gov.au/record=b2058367</v>
      </c>
      <c r="C7636" s="1" t="str">
        <f>HYPERLINK("https://www.catalog.slsa.sa.gov.au/xrecord=b2058367")</f>
        <v>https://www.catalog.slsa.sa.gov.au/xrecord=b2058367</v>
      </c>
      <c r="D7636" t="s">
        <v>16831</v>
      </c>
      <c r="E7636" t="s">
        <v>20970</v>
      </c>
      <c r="F7636">
        <v>1956</v>
      </c>
      <c r="G7636" t="s">
        <v>25786</v>
      </c>
      <c r="H7636" t="s">
        <v>25861</v>
      </c>
      <c r="J7636" t="s">
        <v>20984</v>
      </c>
      <c r="K7636" s="2" t="str">
        <f>HYPERLINK("http://collections.slsa.sa.gov.au/mpcimg/14000/B13814.htm")</f>
        <v>http://collections.slsa.sa.gov.au/mpcimg/14000/B13814.htm</v>
      </c>
    </row>
    <row r="7637" spans="1:11" x14ac:dyDescent="0.25">
      <c r="A7637" t="s">
        <v>25862</v>
      </c>
      <c r="B7637" s="1" t="str">
        <f>HYPERLINK("https://www.catalog.slsa.sa.gov.au/record=b2058415")</f>
        <v>https://www.catalog.slsa.sa.gov.au/record=b2058415</v>
      </c>
      <c r="C7637" s="1" t="str">
        <f>HYPERLINK("https://www.catalog.slsa.sa.gov.au/xrecord=b2058415")</f>
        <v>https://www.catalog.slsa.sa.gov.au/xrecord=b2058415</v>
      </c>
      <c r="D7637" t="s">
        <v>16831</v>
      </c>
      <c r="E7637" t="s">
        <v>20970</v>
      </c>
      <c r="F7637">
        <v>1956</v>
      </c>
      <c r="G7637" t="s">
        <v>5070</v>
      </c>
      <c r="H7637" t="s">
        <v>25863</v>
      </c>
      <c r="J7637" t="s">
        <v>25864</v>
      </c>
      <c r="K7637" s="2" t="str">
        <f>HYPERLINK("http://collections.slsa.sa.gov.au/mpcimg/13750/B13714.htm")</f>
        <v>http://collections.slsa.sa.gov.au/mpcimg/13750/B13714.htm</v>
      </c>
    </row>
    <row r="7638" spans="1:11" x14ac:dyDescent="0.25">
      <c r="A7638" t="s">
        <v>25865</v>
      </c>
      <c r="B7638" s="1" t="str">
        <f>HYPERLINK("https://www.catalog.slsa.sa.gov.au/record=b2058868")</f>
        <v>https://www.catalog.slsa.sa.gov.au/record=b2058868</v>
      </c>
      <c r="C7638" s="1" t="str">
        <f>HYPERLINK("https://www.catalog.slsa.sa.gov.au/xrecord=b2058868")</f>
        <v>https://www.catalog.slsa.sa.gov.au/xrecord=b2058868</v>
      </c>
      <c r="D7638" t="s">
        <v>16831</v>
      </c>
      <c r="E7638" t="s">
        <v>16796</v>
      </c>
      <c r="F7638">
        <v>1956</v>
      </c>
      <c r="G7638" t="s">
        <v>5070</v>
      </c>
      <c r="H7638" t="s">
        <v>25866</v>
      </c>
      <c r="J7638" t="s">
        <v>25867</v>
      </c>
      <c r="K7638" s="2" t="str">
        <f>HYPERLINK("http://collections.slsa.sa.gov.au/mpcimg/13750/B13728.htm")</f>
        <v>http://collections.slsa.sa.gov.au/mpcimg/13750/B13728.htm</v>
      </c>
    </row>
    <row r="7639" spans="1:11" x14ac:dyDescent="0.25">
      <c r="A7639" t="s">
        <v>25868</v>
      </c>
      <c r="B7639" s="1" t="str">
        <f>HYPERLINK("https://www.catalog.slsa.sa.gov.au/record=b2058915")</f>
        <v>https://www.catalog.slsa.sa.gov.au/record=b2058915</v>
      </c>
      <c r="C7639" s="1" t="str">
        <f>HYPERLINK("https://www.catalog.slsa.sa.gov.au/xrecord=b2058915")</f>
        <v>https://www.catalog.slsa.sa.gov.au/xrecord=b2058915</v>
      </c>
      <c r="D7639" t="s">
        <v>16831</v>
      </c>
      <c r="E7639" t="s">
        <v>25869</v>
      </c>
      <c r="F7639">
        <v>1956</v>
      </c>
      <c r="G7639" t="s">
        <v>25786</v>
      </c>
      <c r="H7639" t="s">
        <v>25870</v>
      </c>
      <c r="J7639" t="s">
        <v>22830</v>
      </c>
      <c r="K7639" s="2" t="str">
        <f>HYPERLINK("http://collections.slsa.sa.gov.au/mpcimg/14000/B13819.htm")</f>
        <v>http://collections.slsa.sa.gov.au/mpcimg/14000/B13819.htm</v>
      </c>
    </row>
    <row r="7640" spans="1:11" x14ac:dyDescent="0.25">
      <c r="A7640" t="s">
        <v>25871</v>
      </c>
      <c r="B7640" s="1" t="str">
        <f>HYPERLINK("https://www.catalog.slsa.sa.gov.au/record=b2059026")</f>
        <v>https://www.catalog.slsa.sa.gov.au/record=b2059026</v>
      </c>
      <c r="C7640" s="1" t="str">
        <f>HYPERLINK("https://www.catalog.slsa.sa.gov.au/xrecord=b2059026")</f>
        <v>https://www.catalog.slsa.sa.gov.au/xrecord=b2059026</v>
      </c>
      <c r="D7640" t="s">
        <v>16831</v>
      </c>
      <c r="E7640" t="s">
        <v>25872</v>
      </c>
      <c r="F7640">
        <v>1956</v>
      </c>
      <c r="G7640" t="s">
        <v>25786</v>
      </c>
      <c r="H7640" t="s">
        <v>25873</v>
      </c>
      <c r="J7640" t="s">
        <v>25874</v>
      </c>
      <c r="K7640" s="2" t="str">
        <f>HYPERLINK("http://collections.slsa.sa.gov.au/mpcimg/14000/B13809.htm")</f>
        <v>http://collections.slsa.sa.gov.au/mpcimg/14000/B13809.htm</v>
      </c>
    </row>
    <row r="7641" spans="1:11" x14ac:dyDescent="0.25">
      <c r="A7641" t="s">
        <v>25875</v>
      </c>
      <c r="B7641" s="1" t="str">
        <f>HYPERLINK("https://www.catalog.slsa.sa.gov.au/record=b2059037")</f>
        <v>https://www.catalog.slsa.sa.gov.au/record=b2059037</v>
      </c>
      <c r="C7641" s="1" t="str">
        <f>HYPERLINK("https://www.catalog.slsa.sa.gov.au/xrecord=b2059037")</f>
        <v>https://www.catalog.slsa.sa.gov.au/xrecord=b2059037</v>
      </c>
      <c r="D7641" t="s">
        <v>16831</v>
      </c>
      <c r="E7641" t="s">
        <v>15191</v>
      </c>
      <c r="F7641">
        <v>1956</v>
      </c>
      <c r="G7641" t="s">
        <v>5070</v>
      </c>
      <c r="H7641" t="s">
        <v>25876</v>
      </c>
      <c r="J7641" t="s">
        <v>25877</v>
      </c>
      <c r="K7641" s="2" t="str">
        <f>HYPERLINK("http://collections.slsa.sa.gov.au/mpcimg/13750/B13593.htm")</f>
        <v>http://collections.slsa.sa.gov.au/mpcimg/13750/B13593.htm</v>
      </c>
    </row>
    <row r="7642" spans="1:11" x14ac:dyDescent="0.25">
      <c r="A7642" t="s">
        <v>25878</v>
      </c>
      <c r="B7642" s="1" t="str">
        <f>HYPERLINK("https://www.catalog.slsa.sa.gov.au/record=b2059038")</f>
        <v>https://www.catalog.slsa.sa.gov.au/record=b2059038</v>
      </c>
      <c r="C7642" s="1" t="str">
        <f>HYPERLINK("https://www.catalog.slsa.sa.gov.au/xrecord=b2059038")</f>
        <v>https://www.catalog.slsa.sa.gov.au/xrecord=b2059038</v>
      </c>
      <c r="D7642" t="s">
        <v>16831</v>
      </c>
      <c r="E7642" t="s">
        <v>25879</v>
      </c>
      <c r="F7642">
        <v>1956</v>
      </c>
      <c r="G7642" t="s">
        <v>5070</v>
      </c>
      <c r="H7642" t="s">
        <v>25880</v>
      </c>
      <c r="J7642" t="s">
        <v>25877</v>
      </c>
      <c r="K7642" s="2" t="str">
        <f>HYPERLINK("http://collections.slsa.sa.gov.au/mpcimg/13750/B13698.htm")</f>
        <v>http://collections.slsa.sa.gov.au/mpcimg/13750/B13698.htm</v>
      </c>
    </row>
    <row r="7643" spans="1:11" x14ac:dyDescent="0.25">
      <c r="A7643" t="s">
        <v>25881</v>
      </c>
      <c r="B7643" s="1" t="str">
        <f>HYPERLINK("https://www.catalog.slsa.sa.gov.au/record=b2059054")</f>
        <v>https://www.catalog.slsa.sa.gov.au/record=b2059054</v>
      </c>
      <c r="C7643" s="1" t="str">
        <f>HYPERLINK("https://www.catalog.slsa.sa.gov.au/xrecord=b2059054")</f>
        <v>https://www.catalog.slsa.sa.gov.au/xrecord=b2059054</v>
      </c>
      <c r="D7643" t="s">
        <v>16831</v>
      </c>
      <c r="E7643" t="s">
        <v>15191</v>
      </c>
      <c r="F7643">
        <v>1956</v>
      </c>
      <c r="G7643" t="s">
        <v>5070</v>
      </c>
      <c r="H7643" t="s">
        <v>25882</v>
      </c>
      <c r="J7643" t="s">
        <v>25883</v>
      </c>
      <c r="K7643" s="2" t="str">
        <f>HYPERLINK("http://collections.slsa.sa.gov.au/mpcimg/13750/B13697.htm")</f>
        <v>http://collections.slsa.sa.gov.au/mpcimg/13750/B13697.htm</v>
      </c>
    </row>
    <row r="7644" spans="1:11" x14ac:dyDescent="0.25">
      <c r="A7644" t="s">
        <v>25884</v>
      </c>
      <c r="B7644" s="1" t="str">
        <f>HYPERLINK("https://www.catalog.slsa.sa.gov.au/record=b2059055")</f>
        <v>https://www.catalog.slsa.sa.gov.au/record=b2059055</v>
      </c>
      <c r="C7644" s="1" t="str">
        <f>HYPERLINK("https://www.catalog.slsa.sa.gov.au/xrecord=b2059055")</f>
        <v>https://www.catalog.slsa.sa.gov.au/xrecord=b2059055</v>
      </c>
      <c r="D7644" t="s">
        <v>16831</v>
      </c>
      <c r="E7644" t="s">
        <v>15191</v>
      </c>
      <c r="F7644">
        <v>1956</v>
      </c>
      <c r="G7644" t="s">
        <v>25786</v>
      </c>
      <c r="H7644" t="s">
        <v>25885</v>
      </c>
      <c r="J7644" t="s">
        <v>25883</v>
      </c>
      <c r="K7644" s="2" t="str">
        <f>HYPERLINK("http://collections.slsa.sa.gov.au/mpcimg/14000/B13837.htm")</f>
        <v>http://collections.slsa.sa.gov.au/mpcimg/14000/B13837.htm</v>
      </c>
    </row>
    <row r="7645" spans="1:11" x14ac:dyDescent="0.25">
      <c r="A7645" t="s">
        <v>25886</v>
      </c>
      <c r="B7645" s="1" t="str">
        <f>HYPERLINK("https://www.catalog.slsa.sa.gov.au/record=b2059067")</f>
        <v>https://www.catalog.slsa.sa.gov.au/record=b2059067</v>
      </c>
      <c r="C7645" s="1" t="str">
        <f>HYPERLINK("https://www.catalog.slsa.sa.gov.au/xrecord=b2059067")</f>
        <v>https://www.catalog.slsa.sa.gov.au/xrecord=b2059067</v>
      </c>
      <c r="D7645" t="s">
        <v>16831</v>
      </c>
      <c r="E7645" t="s">
        <v>20933</v>
      </c>
      <c r="F7645">
        <v>1956</v>
      </c>
      <c r="G7645" t="s">
        <v>25786</v>
      </c>
      <c r="H7645" t="s">
        <v>25887</v>
      </c>
      <c r="J7645" t="s">
        <v>25888</v>
      </c>
      <c r="K7645" s="2" t="str">
        <f>HYPERLINK("http://collections.slsa.sa.gov.au/mpcimg/14000/B13810.htm")</f>
        <v>http://collections.slsa.sa.gov.au/mpcimg/14000/B13810.htm</v>
      </c>
    </row>
    <row r="7646" spans="1:11" x14ac:dyDescent="0.25">
      <c r="A7646" t="s">
        <v>25889</v>
      </c>
      <c r="B7646" s="1" t="str">
        <f>HYPERLINK("https://www.catalog.slsa.sa.gov.au/record=b2059253")</f>
        <v>https://www.catalog.slsa.sa.gov.au/record=b2059253</v>
      </c>
      <c r="C7646" s="1" t="str">
        <f>HYPERLINK("https://www.catalog.slsa.sa.gov.au/xrecord=b2059253")</f>
        <v>https://www.catalog.slsa.sa.gov.au/xrecord=b2059253</v>
      </c>
      <c r="D7646" t="s">
        <v>16831</v>
      </c>
      <c r="E7646" t="s">
        <v>25890</v>
      </c>
      <c r="F7646">
        <v>1956</v>
      </c>
      <c r="G7646" t="s">
        <v>5070</v>
      </c>
      <c r="H7646" t="s">
        <v>25891</v>
      </c>
      <c r="J7646" t="s">
        <v>17600</v>
      </c>
      <c r="K7646" s="2" t="str">
        <f>HYPERLINK("http://collections.slsa.sa.gov.au/mpcimg/13750/B13727.htm")</f>
        <v>http://collections.slsa.sa.gov.au/mpcimg/13750/B13727.htm</v>
      </c>
    </row>
    <row r="7647" spans="1:11" x14ac:dyDescent="0.25">
      <c r="A7647" t="s">
        <v>25892</v>
      </c>
      <c r="B7647" s="1" t="str">
        <f>HYPERLINK("https://www.catalog.slsa.sa.gov.au/record=b2059428")</f>
        <v>https://www.catalog.slsa.sa.gov.au/record=b2059428</v>
      </c>
      <c r="C7647" s="1" t="str">
        <f>HYPERLINK("https://www.catalog.slsa.sa.gov.au/xrecord=b2059428")</f>
        <v>https://www.catalog.slsa.sa.gov.au/xrecord=b2059428</v>
      </c>
      <c r="D7647" t="s">
        <v>16831</v>
      </c>
      <c r="E7647" t="s">
        <v>25893</v>
      </c>
      <c r="F7647">
        <v>1956</v>
      </c>
      <c r="G7647" t="s">
        <v>5070</v>
      </c>
      <c r="H7647" t="s">
        <v>25894</v>
      </c>
      <c r="J7647" t="s">
        <v>25895</v>
      </c>
      <c r="K7647" s="2" t="str">
        <f>HYPERLINK("http://collections.slsa.sa.gov.au/mpcimg/13750/B13725.htm")</f>
        <v>http://collections.slsa.sa.gov.au/mpcimg/13750/B13725.htm</v>
      </c>
    </row>
    <row r="7648" spans="1:11" x14ac:dyDescent="0.25">
      <c r="A7648" t="s">
        <v>25896</v>
      </c>
      <c r="B7648" s="1" t="str">
        <f>HYPERLINK("https://www.catalog.slsa.sa.gov.au/record=b2059442")</f>
        <v>https://www.catalog.slsa.sa.gov.au/record=b2059442</v>
      </c>
      <c r="C7648" s="1" t="str">
        <f>HYPERLINK("https://www.catalog.slsa.sa.gov.au/xrecord=b2059442")</f>
        <v>https://www.catalog.slsa.sa.gov.au/xrecord=b2059442</v>
      </c>
      <c r="D7648" t="s">
        <v>16831</v>
      </c>
      <c r="E7648" t="s">
        <v>25897</v>
      </c>
      <c r="F7648">
        <v>1956</v>
      </c>
      <c r="G7648" t="s">
        <v>5070</v>
      </c>
      <c r="H7648" t="s">
        <v>25898</v>
      </c>
      <c r="J7648" t="s">
        <v>25899</v>
      </c>
      <c r="K7648" s="2" t="str">
        <f>HYPERLINK("http://collections.slsa.sa.gov.au/mpcimg/13750/B13702.htm")</f>
        <v>http://collections.slsa.sa.gov.au/mpcimg/13750/B13702.htm</v>
      </c>
    </row>
    <row r="7649" spans="1:11" x14ac:dyDescent="0.25">
      <c r="A7649" t="s">
        <v>25900</v>
      </c>
      <c r="B7649" s="1" t="str">
        <f>HYPERLINK("https://www.catalog.slsa.sa.gov.au/record=b2059448")</f>
        <v>https://www.catalog.slsa.sa.gov.au/record=b2059448</v>
      </c>
      <c r="C7649" s="1" t="str">
        <f>HYPERLINK("https://www.catalog.slsa.sa.gov.au/xrecord=b2059448")</f>
        <v>https://www.catalog.slsa.sa.gov.au/xrecord=b2059448</v>
      </c>
      <c r="D7649" t="s">
        <v>16831</v>
      </c>
      <c r="E7649" t="s">
        <v>20096</v>
      </c>
      <c r="F7649">
        <v>1956</v>
      </c>
      <c r="G7649" t="s">
        <v>5070</v>
      </c>
      <c r="H7649" t="s">
        <v>25901</v>
      </c>
      <c r="J7649" t="s">
        <v>24187</v>
      </c>
      <c r="K7649" s="2" t="str">
        <f>HYPERLINK("http://collections.slsa.sa.gov.au/mpcimg/13750/B13588.htm")</f>
        <v>http://collections.slsa.sa.gov.au/mpcimg/13750/B13588.htm</v>
      </c>
    </row>
    <row r="7650" spans="1:11" x14ac:dyDescent="0.25">
      <c r="A7650" t="s">
        <v>25902</v>
      </c>
      <c r="B7650" s="1" t="str">
        <f>HYPERLINK("https://www.catalog.slsa.sa.gov.au/record=b2059449")</f>
        <v>https://www.catalog.slsa.sa.gov.au/record=b2059449</v>
      </c>
      <c r="C7650" s="1" t="str">
        <f>HYPERLINK("https://www.catalog.slsa.sa.gov.au/xrecord=b2059449")</f>
        <v>https://www.catalog.slsa.sa.gov.au/xrecord=b2059449</v>
      </c>
      <c r="D7650" t="s">
        <v>16831</v>
      </c>
      <c r="E7650" t="s">
        <v>24203</v>
      </c>
      <c r="F7650">
        <v>1956</v>
      </c>
      <c r="G7650" t="s">
        <v>5070</v>
      </c>
      <c r="H7650" t="s">
        <v>25903</v>
      </c>
      <c r="J7650" t="s">
        <v>24187</v>
      </c>
      <c r="K7650" s="2" t="str">
        <f>HYPERLINK("http://collections.slsa.sa.gov.au/mpcimg/13750/B13589.htm")</f>
        <v>http://collections.slsa.sa.gov.au/mpcimg/13750/B13589.htm</v>
      </c>
    </row>
    <row r="7651" spans="1:11" x14ac:dyDescent="0.25">
      <c r="A7651" t="s">
        <v>25904</v>
      </c>
      <c r="B7651" s="1" t="str">
        <f>HYPERLINK("https://www.catalog.slsa.sa.gov.au/record=b2059450")</f>
        <v>https://www.catalog.slsa.sa.gov.au/record=b2059450</v>
      </c>
      <c r="C7651" s="1" t="str">
        <f>HYPERLINK("https://www.catalog.slsa.sa.gov.au/xrecord=b2059450")</f>
        <v>https://www.catalog.slsa.sa.gov.au/xrecord=b2059450</v>
      </c>
      <c r="D7651" t="s">
        <v>16831</v>
      </c>
      <c r="E7651" t="s">
        <v>22149</v>
      </c>
      <c r="F7651">
        <v>1956</v>
      </c>
      <c r="G7651" t="s">
        <v>5070</v>
      </c>
      <c r="H7651" t="s">
        <v>25905</v>
      </c>
      <c r="J7651" t="s">
        <v>24187</v>
      </c>
      <c r="K7651" s="2" t="str">
        <f>HYPERLINK("http://collections.slsa.sa.gov.au/mpcimg/13750/B13590.htm")</f>
        <v>http://collections.slsa.sa.gov.au/mpcimg/13750/B13590.htm</v>
      </c>
    </row>
    <row r="7652" spans="1:11" x14ac:dyDescent="0.25">
      <c r="A7652" t="s">
        <v>25906</v>
      </c>
      <c r="B7652" s="1" t="str">
        <f>HYPERLINK("https://www.catalog.slsa.sa.gov.au/record=b2059480")</f>
        <v>https://www.catalog.slsa.sa.gov.au/record=b2059480</v>
      </c>
      <c r="C7652" s="1" t="str">
        <f>HYPERLINK("https://www.catalog.slsa.sa.gov.au/xrecord=b2059480")</f>
        <v>https://www.catalog.slsa.sa.gov.au/xrecord=b2059480</v>
      </c>
      <c r="D7652" t="s">
        <v>16831</v>
      </c>
      <c r="E7652" t="s">
        <v>20096</v>
      </c>
      <c r="F7652">
        <v>1956</v>
      </c>
      <c r="G7652" t="s">
        <v>5070</v>
      </c>
      <c r="H7652" t="s">
        <v>25907</v>
      </c>
      <c r="J7652" t="s">
        <v>25908</v>
      </c>
      <c r="K7652" s="2" t="str">
        <f>HYPERLINK("http://collections.slsa.sa.gov.au/mpcimg/13750/B13654.htm")</f>
        <v>http://collections.slsa.sa.gov.au/mpcimg/13750/B13654.htm</v>
      </c>
    </row>
    <row r="7653" spans="1:11" x14ac:dyDescent="0.25">
      <c r="A7653" t="s">
        <v>25909</v>
      </c>
      <c r="B7653" s="1" t="str">
        <f>HYPERLINK("https://www.catalog.slsa.sa.gov.au/record=b2059519")</f>
        <v>https://www.catalog.slsa.sa.gov.au/record=b2059519</v>
      </c>
      <c r="C7653" s="1" t="str">
        <f>HYPERLINK("https://www.catalog.slsa.sa.gov.au/xrecord=b2059519")</f>
        <v>https://www.catalog.slsa.sa.gov.au/xrecord=b2059519</v>
      </c>
      <c r="D7653" t="s">
        <v>16831</v>
      </c>
      <c r="E7653" t="s">
        <v>20974</v>
      </c>
      <c r="F7653">
        <v>1956</v>
      </c>
      <c r="G7653" t="s">
        <v>5070</v>
      </c>
      <c r="H7653" t="s">
        <v>25910</v>
      </c>
      <c r="J7653" t="s">
        <v>22847</v>
      </c>
      <c r="K7653" s="2" t="str">
        <f>HYPERLINK("http://collections.slsa.sa.gov.au/mpcimg/13750/B13692.htm")</f>
        <v>http://collections.slsa.sa.gov.au/mpcimg/13750/B13692.htm</v>
      </c>
    </row>
    <row r="7654" spans="1:11" x14ac:dyDescent="0.25">
      <c r="A7654" t="s">
        <v>25911</v>
      </c>
      <c r="B7654" s="1" t="str">
        <f>HYPERLINK("https://www.catalog.slsa.sa.gov.au/record=b2059542")</f>
        <v>https://www.catalog.slsa.sa.gov.au/record=b2059542</v>
      </c>
      <c r="C7654" s="1" t="str">
        <f>HYPERLINK("https://www.catalog.slsa.sa.gov.au/xrecord=b2059542")</f>
        <v>https://www.catalog.slsa.sa.gov.au/xrecord=b2059542</v>
      </c>
      <c r="D7654" t="s">
        <v>16831</v>
      </c>
      <c r="E7654" t="s">
        <v>24130</v>
      </c>
      <c r="F7654">
        <v>1956</v>
      </c>
      <c r="G7654" t="s">
        <v>25786</v>
      </c>
      <c r="H7654" t="s">
        <v>25912</v>
      </c>
      <c r="J7654" t="s">
        <v>24211</v>
      </c>
      <c r="K7654" s="2" t="str">
        <f>HYPERLINK("http://collections.slsa.sa.gov.au/mpcimg/14000/B13849.htm")</f>
        <v>http://collections.slsa.sa.gov.au/mpcimg/14000/B13849.htm</v>
      </c>
    </row>
    <row r="7655" spans="1:11" x14ac:dyDescent="0.25">
      <c r="A7655" t="s">
        <v>25913</v>
      </c>
      <c r="B7655" s="1" t="str">
        <f>HYPERLINK("https://www.catalog.slsa.sa.gov.au/record=b2059588")</f>
        <v>https://www.catalog.slsa.sa.gov.au/record=b2059588</v>
      </c>
      <c r="C7655" s="1" t="str">
        <f>HYPERLINK("https://www.catalog.slsa.sa.gov.au/xrecord=b2059588")</f>
        <v>https://www.catalog.slsa.sa.gov.au/xrecord=b2059588</v>
      </c>
      <c r="D7655" t="s">
        <v>16831</v>
      </c>
      <c r="E7655" t="s">
        <v>20096</v>
      </c>
      <c r="F7655">
        <v>1956</v>
      </c>
      <c r="G7655" t="s">
        <v>25786</v>
      </c>
      <c r="H7655" t="s">
        <v>25914</v>
      </c>
      <c r="J7655" t="s">
        <v>25390</v>
      </c>
      <c r="K7655" s="2" t="str">
        <f>HYPERLINK("http://collections.slsa.sa.gov.au/mpcimg/14000/B13818.htm")</f>
        <v>http://collections.slsa.sa.gov.au/mpcimg/14000/B13818.htm</v>
      </c>
    </row>
    <row r="7656" spans="1:11" x14ac:dyDescent="0.25">
      <c r="A7656" t="s">
        <v>25915</v>
      </c>
      <c r="B7656" s="1" t="str">
        <f>HYPERLINK("https://www.catalog.slsa.sa.gov.au/record=b2059777")</f>
        <v>https://www.catalog.slsa.sa.gov.au/record=b2059777</v>
      </c>
      <c r="C7656" s="1" t="str">
        <f>HYPERLINK("https://www.catalog.slsa.sa.gov.au/xrecord=b2059777")</f>
        <v>https://www.catalog.slsa.sa.gov.au/xrecord=b2059777</v>
      </c>
      <c r="D7656" t="s">
        <v>16831</v>
      </c>
      <c r="E7656" t="s">
        <v>15191</v>
      </c>
      <c r="F7656">
        <v>1956</v>
      </c>
      <c r="G7656" t="s">
        <v>5070</v>
      </c>
      <c r="H7656" t="s">
        <v>25916</v>
      </c>
      <c r="J7656" t="s">
        <v>22857</v>
      </c>
      <c r="K7656" s="2" t="str">
        <f>HYPERLINK("http://collections.slsa.sa.gov.au/mpcimg/13750/B13576.htm")</f>
        <v>http://collections.slsa.sa.gov.au/mpcimg/13750/B13576.htm</v>
      </c>
    </row>
    <row r="7657" spans="1:11" x14ac:dyDescent="0.25">
      <c r="A7657" t="s">
        <v>25917</v>
      </c>
      <c r="B7657" s="1" t="str">
        <f>HYPERLINK("https://www.catalog.slsa.sa.gov.au/record=b2059789")</f>
        <v>https://www.catalog.slsa.sa.gov.au/record=b2059789</v>
      </c>
      <c r="C7657" s="1" t="str">
        <f>HYPERLINK("https://www.catalog.slsa.sa.gov.au/xrecord=b2059789")</f>
        <v>https://www.catalog.slsa.sa.gov.au/xrecord=b2059789</v>
      </c>
      <c r="D7657" t="s">
        <v>16831</v>
      </c>
      <c r="E7657" t="s">
        <v>15191</v>
      </c>
      <c r="F7657">
        <v>1956</v>
      </c>
      <c r="G7657" t="s">
        <v>5070</v>
      </c>
      <c r="H7657" t="s">
        <v>25918</v>
      </c>
      <c r="J7657" t="s">
        <v>24255</v>
      </c>
      <c r="K7657" s="2" t="str">
        <f>HYPERLINK("http://collections.slsa.sa.gov.au/mpcimg/13750/B13577.htm")</f>
        <v>http://collections.slsa.sa.gov.au/mpcimg/13750/B13577.htm</v>
      </c>
    </row>
    <row r="7658" spans="1:11" x14ac:dyDescent="0.25">
      <c r="A7658" t="s">
        <v>25919</v>
      </c>
      <c r="B7658" s="1" t="str">
        <f>HYPERLINK("https://www.catalog.slsa.sa.gov.au/record=b2059790")</f>
        <v>https://www.catalog.slsa.sa.gov.au/record=b2059790</v>
      </c>
      <c r="C7658" s="1" t="str">
        <f>HYPERLINK("https://www.catalog.slsa.sa.gov.au/xrecord=b2059790")</f>
        <v>https://www.catalog.slsa.sa.gov.au/xrecord=b2059790</v>
      </c>
      <c r="D7658" t="s">
        <v>16831</v>
      </c>
      <c r="E7658" t="s">
        <v>15191</v>
      </c>
      <c r="F7658">
        <v>1956</v>
      </c>
      <c r="G7658" t="s">
        <v>25920</v>
      </c>
      <c r="H7658" t="s">
        <v>25921</v>
      </c>
      <c r="I7658" t="s">
        <v>25395</v>
      </c>
      <c r="J7658" t="s">
        <v>24255</v>
      </c>
      <c r="K7658" s="2" t="str">
        <f>HYPERLINK("http://collections.slsa.sa.gov.au/mpcimg/13750/B13708.htm")</f>
        <v>http://collections.slsa.sa.gov.au/mpcimg/13750/B13708.htm</v>
      </c>
    </row>
    <row r="7659" spans="1:11" x14ac:dyDescent="0.25">
      <c r="A7659" t="s">
        <v>25922</v>
      </c>
      <c r="B7659" s="1" t="str">
        <f>HYPERLINK("https://www.catalog.slsa.sa.gov.au/record=b2059869")</f>
        <v>https://www.catalog.slsa.sa.gov.au/record=b2059869</v>
      </c>
      <c r="C7659" s="1" t="str">
        <f>HYPERLINK("https://www.catalog.slsa.sa.gov.au/xrecord=b2059869")</f>
        <v>https://www.catalog.slsa.sa.gov.au/xrecord=b2059869</v>
      </c>
      <c r="D7659" t="s">
        <v>16831</v>
      </c>
      <c r="E7659" t="s">
        <v>15191</v>
      </c>
      <c r="F7659">
        <v>1956</v>
      </c>
      <c r="G7659" t="s">
        <v>5070</v>
      </c>
      <c r="H7659" t="s">
        <v>25923</v>
      </c>
      <c r="J7659" t="s">
        <v>25924</v>
      </c>
      <c r="K7659" s="2" t="str">
        <f>HYPERLINK("http://collections.slsa.sa.gov.au/mpcimg/13750/B13650.htm")</f>
        <v>http://collections.slsa.sa.gov.au/mpcimg/13750/B13650.htm</v>
      </c>
    </row>
    <row r="7660" spans="1:11" x14ac:dyDescent="0.25">
      <c r="A7660" t="s">
        <v>25925</v>
      </c>
      <c r="B7660" s="1" t="str">
        <f>HYPERLINK("https://www.catalog.slsa.sa.gov.au/record=b2059878")</f>
        <v>https://www.catalog.slsa.sa.gov.au/record=b2059878</v>
      </c>
      <c r="C7660" s="1" t="str">
        <f>HYPERLINK("https://www.catalog.slsa.sa.gov.au/xrecord=b2059878")</f>
        <v>https://www.catalog.slsa.sa.gov.au/xrecord=b2059878</v>
      </c>
      <c r="D7660" t="s">
        <v>16831</v>
      </c>
      <c r="E7660" t="s">
        <v>15191</v>
      </c>
      <c r="F7660">
        <v>1956</v>
      </c>
      <c r="G7660" t="s">
        <v>5070</v>
      </c>
      <c r="H7660" t="s">
        <v>25926</v>
      </c>
      <c r="J7660" t="s">
        <v>24269</v>
      </c>
      <c r="K7660" s="2" t="str">
        <f>HYPERLINK("http://collections.slsa.sa.gov.au/mpcimg/13750/B13699.htm")</f>
        <v>http://collections.slsa.sa.gov.au/mpcimg/13750/B13699.htm</v>
      </c>
    </row>
    <row r="7661" spans="1:11" x14ac:dyDescent="0.25">
      <c r="A7661" t="s">
        <v>25927</v>
      </c>
      <c r="B7661" s="1" t="str">
        <f>HYPERLINK("https://www.catalog.slsa.sa.gov.au/record=b2059879")</f>
        <v>https://www.catalog.slsa.sa.gov.au/record=b2059879</v>
      </c>
      <c r="C7661" s="1" t="str">
        <f>HYPERLINK("https://www.catalog.slsa.sa.gov.au/xrecord=b2059879")</f>
        <v>https://www.catalog.slsa.sa.gov.au/xrecord=b2059879</v>
      </c>
      <c r="D7661" t="s">
        <v>16831</v>
      </c>
      <c r="E7661" t="s">
        <v>15191</v>
      </c>
      <c r="F7661">
        <v>1956</v>
      </c>
      <c r="G7661" t="s">
        <v>5070</v>
      </c>
      <c r="H7661" t="s">
        <v>25928</v>
      </c>
      <c r="J7661" t="s">
        <v>24269</v>
      </c>
      <c r="K7661" s="2" t="str">
        <f>HYPERLINK("http://collections.slsa.sa.gov.au/mpcimg/13750/B13707.htm")</f>
        <v>http://collections.slsa.sa.gov.au/mpcimg/13750/B13707.htm</v>
      </c>
    </row>
    <row r="7662" spans="1:11" x14ac:dyDescent="0.25">
      <c r="A7662" t="s">
        <v>25929</v>
      </c>
      <c r="B7662" s="1" t="str">
        <f>HYPERLINK("https://www.catalog.slsa.sa.gov.au/record=b2059925")</f>
        <v>https://www.catalog.slsa.sa.gov.au/record=b2059925</v>
      </c>
      <c r="C7662" s="1" t="str">
        <f>HYPERLINK("https://www.catalog.slsa.sa.gov.au/xrecord=b2059925")</f>
        <v>https://www.catalog.slsa.sa.gov.au/xrecord=b2059925</v>
      </c>
      <c r="D7662" t="s">
        <v>16831</v>
      </c>
      <c r="E7662" t="s">
        <v>20100</v>
      </c>
      <c r="F7662">
        <v>1956</v>
      </c>
      <c r="G7662" t="s">
        <v>5070</v>
      </c>
      <c r="H7662" t="s">
        <v>25930</v>
      </c>
      <c r="J7662" t="s">
        <v>25931</v>
      </c>
      <c r="K7662" s="2" t="str">
        <f>HYPERLINK("http://collections.slsa.sa.gov.au/mpcimg/13750/B13711.htm")</f>
        <v>http://collections.slsa.sa.gov.au/mpcimg/13750/B13711.htm</v>
      </c>
    </row>
    <row r="7663" spans="1:11" x14ac:dyDescent="0.25">
      <c r="A7663" t="s">
        <v>25932</v>
      </c>
      <c r="B7663" s="1" t="str">
        <f>HYPERLINK("https://www.catalog.slsa.sa.gov.au/record=b2059987")</f>
        <v>https://www.catalog.slsa.sa.gov.au/record=b2059987</v>
      </c>
      <c r="C7663" s="1" t="str">
        <f>HYPERLINK("https://www.catalog.slsa.sa.gov.au/xrecord=b2059987")</f>
        <v>https://www.catalog.slsa.sa.gov.au/xrecord=b2059987</v>
      </c>
      <c r="D7663" t="s">
        <v>16831</v>
      </c>
      <c r="E7663" t="s">
        <v>20100</v>
      </c>
      <c r="F7663">
        <v>1956</v>
      </c>
      <c r="G7663" t="s">
        <v>5070</v>
      </c>
      <c r="H7663" t="s">
        <v>25933</v>
      </c>
      <c r="J7663" t="s">
        <v>25934</v>
      </c>
      <c r="K7663" s="2" t="str">
        <f>HYPERLINK("http://collections.slsa.sa.gov.au/mpcimg/13750/B13658.htm")</f>
        <v>http://collections.slsa.sa.gov.au/mpcimg/13750/B13658.htm</v>
      </c>
    </row>
    <row r="7664" spans="1:11" x14ac:dyDescent="0.25">
      <c r="A7664" t="s">
        <v>25935</v>
      </c>
      <c r="B7664" s="1" t="str">
        <f>HYPERLINK("https://www.catalog.slsa.sa.gov.au/record=b2059988")</f>
        <v>https://www.catalog.slsa.sa.gov.au/record=b2059988</v>
      </c>
      <c r="C7664" s="1" t="str">
        <f>HYPERLINK("https://www.catalog.slsa.sa.gov.au/xrecord=b2059988")</f>
        <v>https://www.catalog.slsa.sa.gov.au/xrecord=b2059988</v>
      </c>
      <c r="D7664" t="s">
        <v>16831</v>
      </c>
      <c r="E7664" t="s">
        <v>20100</v>
      </c>
      <c r="F7664">
        <v>1956</v>
      </c>
      <c r="G7664" t="s">
        <v>5070</v>
      </c>
      <c r="H7664" t="s">
        <v>25936</v>
      </c>
      <c r="J7664" t="s">
        <v>25934</v>
      </c>
      <c r="K7664" s="2" t="str">
        <f>HYPERLINK("http://collections.slsa.sa.gov.au/mpcimg/13750/B13676.htm")</f>
        <v>http://collections.slsa.sa.gov.au/mpcimg/13750/B13676.htm</v>
      </c>
    </row>
    <row r="7665" spans="1:11" x14ac:dyDescent="0.25">
      <c r="A7665" t="s">
        <v>25937</v>
      </c>
      <c r="B7665" s="1" t="str">
        <f>HYPERLINK("https://www.catalog.slsa.sa.gov.au/record=b2059991")</f>
        <v>https://www.catalog.slsa.sa.gov.au/record=b2059991</v>
      </c>
      <c r="C7665" s="1" t="str">
        <f>HYPERLINK("https://www.catalog.slsa.sa.gov.au/xrecord=b2059991")</f>
        <v>https://www.catalog.slsa.sa.gov.au/xrecord=b2059991</v>
      </c>
      <c r="D7665" t="s">
        <v>16831</v>
      </c>
      <c r="E7665" t="s">
        <v>20100</v>
      </c>
      <c r="F7665">
        <v>1956</v>
      </c>
      <c r="G7665" t="s">
        <v>5070</v>
      </c>
      <c r="H7665" t="s">
        <v>25938</v>
      </c>
      <c r="J7665" t="s">
        <v>25939</v>
      </c>
      <c r="K7665" s="2" t="str">
        <f>HYPERLINK("http://collections.slsa.sa.gov.au/mpcimg/13750/B13706.htm")</f>
        <v>http://collections.slsa.sa.gov.au/mpcimg/13750/B13706.htm</v>
      </c>
    </row>
    <row r="7666" spans="1:11" x14ac:dyDescent="0.25">
      <c r="A7666" t="s">
        <v>25940</v>
      </c>
      <c r="B7666" s="1" t="str">
        <f>HYPERLINK("https://www.catalog.slsa.sa.gov.au/record=b2060017")</f>
        <v>https://www.catalog.slsa.sa.gov.au/record=b2060017</v>
      </c>
      <c r="C7666" s="1" t="str">
        <f>HYPERLINK("https://www.catalog.slsa.sa.gov.au/xrecord=b2060017")</f>
        <v>https://www.catalog.slsa.sa.gov.au/xrecord=b2060017</v>
      </c>
      <c r="D7666" t="s">
        <v>16831</v>
      </c>
      <c r="E7666" t="s">
        <v>21014</v>
      </c>
      <c r="F7666">
        <v>1956</v>
      </c>
      <c r="G7666" t="s">
        <v>5070</v>
      </c>
      <c r="H7666" t="s">
        <v>25941</v>
      </c>
      <c r="J7666" t="s">
        <v>25942</v>
      </c>
      <c r="K7666" s="2" t="str">
        <f>HYPERLINK("http://collections.slsa.sa.gov.au/mpcimg/13750/B13578.htm")</f>
        <v>http://collections.slsa.sa.gov.au/mpcimg/13750/B13578.htm</v>
      </c>
    </row>
    <row r="7667" spans="1:11" x14ac:dyDescent="0.25">
      <c r="A7667" t="s">
        <v>25943</v>
      </c>
      <c r="B7667" s="1" t="str">
        <f>HYPERLINK("https://www.catalog.slsa.sa.gov.au/record=b2060018")</f>
        <v>https://www.catalog.slsa.sa.gov.au/record=b2060018</v>
      </c>
      <c r="C7667" s="1" t="str">
        <f>HYPERLINK("https://www.catalog.slsa.sa.gov.au/xrecord=b2060018")</f>
        <v>https://www.catalog.slsa.sa.gov.au/xrecord=b2060018</v>
      </c>
      <c r="D7667" t="s">
        <v>16831</v>
      </c>
      <c r="E7667" t="s">
        <v>21014</v>
      </c>
      <c r="F7667">
        <v>1956</v>
      </c>
      <c r="G7667" t="s">
        <v>5070</v>
      </c>
      <c r="H7667" t="s">
        <v>25944</v>
      </c>
      <c r="J7667" t="s">
        <v>25942</v>
      </c>
      <c r="K7667" s="2" t="str">
        <f>HYPERLINK("http://collections.slsa.sa.gov.au/mpcimg/13750/B13579.htm")</f>
        <v>http://collections.slsa.sa.gov.au/mpcimg/13750/B13579.htm</v>
      </c>
    </row>
    <row r="7668" spans="1:11" x14ac:dyDescent="0.25">
      <c r="A7668" t="s">
        <v>25945</v>
      </c>
      <c r="B7668" s="1" t="str">
        <f>HYPERLINK("https://www.catalog.slsa.sa.gov.au/record=b2060174")</f>
        <v>https://www.catalog.slsa.sa.gov.au/record=b2060174</v>
      </c>
      <c r="C7668" s="1" t="str">
        <f>HYPERLINK("https://www.catalog.slsa.sa.gov.au/xrecord=b2060174")</f>
        <v>https://www.catalog.slsa.sa.gov.au/xrecord=b2060174</v>
      </c>
      <c r="D7668" t="s">
        <v>16831</v>
      </c>
      <c r="E7668" t="s">
        <v>21061</v>
      </c>
      <c r="F7668">
        <v>1956</v>
      </c>
      <c r="G7668" t="s">
        <v>5070</v>
      </c>
      <c r="H7668" t="s">
        <v>25946</v>
      </c>
      <c r="J7668" t="s">
        <v>21066</v>
      </c>
      <c r="K7668" s="2" t="str">
        <f>HYPERLINK("http://collections.slsa.sa.gov.au/mpcimg/13750/B13670.htm")</f>
        <v>http://collections.slsa.sa.gov.au/mpcimg/13750/B13670.htm</v>
      </c>
    </row>
    <row r="7669" spans="1:11" x14ac:dyDescent="0.25">
      <c r="A7669" t="s">
        <v>25947</v>
      </c>
      <c r="B7669" s="1" t="str">
        <f>HYPERLINK("https://www.catalog.slsa.sa.gov.au/record=b2060216")</f>
        <v>https://www.catalog.slsa.sa.gov.au/record=b2060216</v>
      </c>
      <c r="C7669" s="1" t="str">
        <f>HYPERLINK("https://www.catalog.slsa.sa.gov.au/xrecord=b2060216")</f>
        <v>https://www.catalog.slsa.sa.gov.au/xrecord=b2060216</v>
      </c>
      <c r="D7669" t="s">
        <v>16831</v>
      </c>
      <c r="E7669" t="s">
        <v>22149</v>
      </c>
      <c r="F7669">
        <v>1956</v>
      </c>
      <c r="G7669" t="s">
        <v>25786</v>
      </c>
      <c r="H7669" t="s">
        <v>25948</v>
      </c>
      <c r="J7669" t="s">
        <v>24284</v>
      </c>
      <c r="K7669" s="2" t="str">
        <f>HYPERLINK("http://collections.slsa.sa.gov.au/mpcimg/14000/B13825.htm")</f>
        <v>http://collections.slsa.sa.gov.au/mpcimg/14000/B13825.htm</v>
      </c>
    </row>
    <row r="7670" spans="1:11" x14ac:dyDescent="0.25">
      <c r="A7670" t="s">
        <v>25949</v>
      </c>
      <c r="B7670" s="1" t="str">
        <f>HYPERLINK("https://www.catalog.slsa.sa.gov.au/record=b2060245")</f>
        <v>https://www.catalog.slsa.sa.gov.au/record=b2060245</v>
      </c>
      <c r="C7670" s="1" t="str">
        <f>HYPERLINK("https://www.catalog.slsa.sa.gov.au/xrecord=b2060245")</f>
        <v>https://www.catalog.slsa.sa.gov.au/xrecord=b2060245</v>
      </c>
      <c r="D7670" t="s">
        <v>16831</v>
      </c>
      <c r="E7670" t="s">
        <v>21061</v>
      </c>
      <c r="F7670">
        <v>1956</v>
      </c>
      <c r="G7670" t="s">
        <v>5070</v>
      </c>
      <c r="H7670" t="s">
        <v>25950</v>
      </c>
      <c r="J7670" t="s">
        <v>25951</v>
      </c>
      <c r="K7670" s="2" t="str">
        <f>HYPERLINK("http://collections.slsa.sa.gov.au/mpcimg/13750/B13605.htm")</f>
        <v>http://collections.slsa.sa.gov.au/mpcimg/13750/B13605.htm</v>
      </c>
    </row>
    <row r="7671" spans="1:11" x14ac:dyDescent="0.25">
      <c r="A7671" t="s">
        <v>25952</v>
      </c>
      <c r="B7671" s="1" t="str">
        <f>HYPERLINK("https://www.catalog.slsa.sa.gov.au/record=b2060302")</f>
        <v>https://www.catalog.slsa.sa.gov.au/record=b2060302</v>
      </c>
      <c r="C7671" s="1" t="str">
        <f>HYPERLINK("https://www.catalog.slsa.sa.gov.au/xrecord=b2060302")</f>
        <v>https://www.catalog.slsa.sa.gov.au/xrecord=b2060302</v>
      </c>
      <c r="D7671" t="s">
        <v>16831</v>
      </c>
      <c r="E7671" t="s">
        <v>21061</v>
      </c>
      <c r="F7671">
        <v>1956</v>
      </c>
      <c r="G7671" t="s">
        <v>5070</v>
      </c>
      <c r="H7671" t="s">
        <v>25953</v>
      </c>
      <c r="J7671" t="s">
        <v>25954</v>
      </c>
      <c r="K7671" s="2" t="str">
        <f>HYPERLINK("http://collections.slsa.sa.gov.au/mpcimg/13750/B13602.htm")</f>
        <v>http://collections.slsa.sa.gov.au/mpcimg/13750/B13602.htm</v>
      </c>
    </row>
    <row r="7672" spans="1:11" x14ac:dyDescent="0.25">
      <c r="A7672" t="s">
        <v>25955</v>
      </c>
      <c r="B7672" s="1" t="str">
        <f>HYPERLINK("https://www.catalog.slsa.sa.gov.au/record=b2060320")</f>
        <v>https://www.catalog.slsa.sa.gov.au/record=b2060320</v>
      </c>
      <c r="C7672" s="1" t="str">
        <f>HYPERLINK("https://www.catalog.slsa.sa.gov.au/xrecord=b2060320")</f>
        <v>https://www.catalog.slsa.sa.gov.au/xrecord=b2060320</v>
      </c>
      <c r="D7672" t="s">
        <v>16831</v>
      </c>
      <c r="E7672" t="s">
        <v>24300</v>
      </c>
      <c r="F7672">
        <v>1956</v>
      </c>
      <c r="G7672" t="s">
        <v>5070</v>
      </c>
      <c r="H7672" t="s">
        <v>25956</v>
      </c>
      <c r="J7672" t="s">
        <v>24298</v>
      </c>
      <c r="K7672" s="2" t="str">
        <f>HYPERLINK("http://collections.slsa.sa.gov.au/mpcimg/13750/B13601.htm")</f>
        <v>http://collections.slsa.sa.gov.au/mpcimg/13750/B13601.htm</v>
      </c>
    </row>
    <row r="7673" spans="1:11" x14ac:dyDescent="0.25">
      <c r="A7673" t="s">
        <v>25957</v>
      </c>
      <c r="B7673" s="1" t="str">
        <f>HYPERLINK("https://www.catalog.slsa.sa.gov.au/record=b2060321")</f>
        <v>https://www.catalog.slsa.sa.gov.au/record=b2060321</v>
      </c>
      <c r="C7673" s="1" t="str">
        <f>HYPERLINK("https://www.catalog.slsa.sa.gov.au/xrecord=b2060321")</f>
        <v>https://www.catalog.slsa.sa.gov.au/xrecord=b2060321</v>
      </c>
      <c r="D7673" t="s">
        <v>16831</v>
      </c>
      <c r="E7673" t="s">
        <v>21061</v>
      </c>
      <c r="F7673">
        <v>1956</v>
      </c>
      <c r="G7673" t="s">
        <v>5070</v>
      </c>
      <c r="H7673" t="s">
        <v>25958</v>
      </c>
      <c r="J7673" t="s">
        <v>24298</v>
      </c>
      <c r="K7673" s="2" t="str">
        <f>HYPERLINK("http://collections.slsa.sa.gov.au/mpcimg/13750/B13666.htm")</f>
        <v>http://collections.slsa.sa.gov.au/mpcimg/13750/B13666.htm</v>
      </c>
    </row>
    <row r="7674" spans="1:11" x14ac:dyDescent="0.25">
      <c r="A7674" t="s">
        <v>25959</v>
      </c>
      <c r="B7674" s="1" t="str">
        <f>HYPERLINK("https://www.catalog.slsa.sa.gov.au/record=b2060433")</f>
        <v>https://www.catalog.slsa.sa.gov.au/record=b2060433</v>
      </c>
      <c r="C7674" s="1" t="str">
        <f>HYPERLINK("https://www.catalog.slsa.sa.gov.au/xrecord=b2060433")</f>
        <v>https://www.catalog.slsa.sa.gov.au/xrecord=b2060433</v>
      </c>
      <c r="D7674" t="s">
        <v>16831</v>
      </c>
      <c r="E7674" t="s">
        <v>25960</v>
      </c>
      <c r="F7674">
        <v>1956</v>
      </c>
      <c r="G7674" t="s">
        <v>25786</v>
      </c>
      <c r="H7674" t="s">
        <v>25961</v>
      </c>
      <c r="J7674" t="s">
        <v>24309</v>
      </c>
      <c r="K7674" s="2" t="str">
        <f>HYPERLINK("http://collections.slsa.sa.gov.au/mpcimg/14000/B13808.htm")</f>
        <v>http://collections.slsa.sa.gov.au/mpcimg/14000/B13808.htm</v>
      </c>
    </row>
    <row r="7675" spans="1:11" x14ac:dyDescent="0.25">
      <c r="A7675" t="s">
        <v>25962</v>
      </c>
      <c r="B7675" s="1" t="str">
        <f>HYPERLINK("https://www.catalog.slsa.sa.gov.au/record=b2060582")</f>
        <v>https://www.catalog.slsa.sa.gov.au/record=b2060582</v>
      </c>
      <c r="C7675" s="1" t="str">
        <f>HYPERLINK("https://www.catalog.slsa.sa.gov.au/xrecord=b2060582")</f>
        <v>https://www.catalog.slsa.sa.gov.au/xrecord=b2060582</v>
      </c>
      <c r="D7675" t="s">
        <v>16831</v>
      </c>
      <c r="E7675" t="s">
        <v>20100</v>
      </c>
      <c r="F7675">
        <v>1956</v>
      </c>
      <c r="G7675" t="s">
        <v>5070</v>
      </c>
      <c r="H7675" t="s">
        <v>25963</v>
      </c>
      <c r="J7675" t="s">
        <v>25964</v>
      </c>
      <c r="K7675" s="2" t="str">
        <f>HYPERLINK("http://collections.slsa.sa.gov.au/mpcimg/13750/B13723.htm")</f>
        <v>http://collections.slsa.sa.gov.au/mpcimg/13750/B13723.htm</v>
      </c>
    </row>
    <row r="7676" spans="1:11" x14ac:dyDescent="0.25">
      <c r="A7676" t="s">
        <v>25965</v>
      </c>
      <c r="B7676" s="1" t="str">
        <f>HYPERLINK("https://www.catalog.slsa.sa.gov.au/record=b2060706")</f>
        <v>https://www.catalog.slsa.sa.gov.au/record=b2060706</v>
      </c>
      <c r="C7676" s="1" t="str">
        <f>HYPERLINK("https://www.catalog.slsa.sa.gov.au/xrecord=b2060706")</f>
        <v>https://www.catalog.slsa.sa.gov.au/xrecord=b2060706</v>
      </c>
      <c r="D7676" t="s">
        <v>16831</v>
      </c>
      <c r="E7676" t="s">
        <v>16827</v>
      </c>
      <c r="F7676">
        <v>1956</v>
      </c>
      <c r="G7676" t="s">
        <v>5070</v>
      </c>
      <c r="H7676" t="s">
        <v>25966</v>
      </c>
      <c r="J7676" t="s">
        <v>16829</v>
      </c>
      <c r="K7676" s="2" t="str">
        <f>HYPERLINK("http://collections.slsa.sa.gov.au/mpcimg/13750/B13703.htm")</f>
        <v>http://collections.slsa.sa.gov.au/mpcimg/13750/B13703.htm</v>
      </c>
    </row>
    <row r="7677" spans="1:11" x14ac:dyDescent="0.25">
      <c r="A7677" t="s">
        <v>25967</v>
      </c>
      <c r="B7677" s="1" t="str">
        <f>HYPERLINK("https://www.catalog.slsa.sa.gov.au/record=b2060722")</f>
        <v>https://www.catalog.slsa.sa.gov.au/record=b2060722</v>
      </c>
      <c r="C7677" s="1" t="str">
        <f>HYPERLINK("https://www.catalog.slsa.sa.gov.au/xrecord=b2060722")</f>
        <v>https://www.catalog.slsa.sa.gov.au/xrecord=b2060722</v>
      </c>
      <c r="D7677" t="s">
        <v>16831</v>
      </c>
      <c r="E7677" t="s">
        <v>16827</v>
      </c>
      <c r="F7677">
        <v>1956</v>
      </c>
      <c r="G7677" t="s">
        <v>5070</v>
      </c>
      <c r="H7677" t="s">
        <v>25968</v>
      </c>
      <c r="J7677" t="s">
        <v>21094</v>
      </c>
      <c r="K7677" s="2" t="str">
        <f>HYPERLINK("http://collections.slsa.sa.gov.au/mpcimg/13750/B13686.htm")</f>
        <v>http://collections.slsa.sa.gov.au/mpcimg/13750/B13686.htm</v>
      </c>
    </row>
    <row r="7678" spans="1:11" x14ac:dyDescent="0.25">
      <c r="A7678" t="s">
        <v>25969</v>
      </c>
      <c r="B7678" s="1" t="str">
        <f>HYPERLINK("https://www.catalog.slsa.sa.gov.au/record=b2060723")</f>
        <v>https://www.catalog.slsa.sa.gov.au/record=b2060723</v>
      </c>
      <c r="C7678" s="1" t="str">
        <f>HYPERLINK("https://www.catalog.slsa.sa.gov.au/xrecord=b2060723")</f>
        <v>https://www.catalog.slsa.sa.gov.au/xrecord=b2060723</v>
      </c>
      <c r="D7678" t="s">
        <v>16831</v>
      </c>
      <c r="E7678" t="s">
        <v>16827</v>
      </c>
      <c r="F7678">
        <v>1956</v>
      </c>
      <c r="G7678" t="s">
        <v>5070</v>
      </c>
      <c r="H7678" t="s">
        <v>25970</v>
      </c>
      <c r="J7678" t="s">
        <v>21094</v>
      </c>
      <c r="K7678" s="2" t="str">
        <f>HYPERLINK("http://collections.slsa.sa.gov.au/mpcimg/13750/B13687.htm")</f>
        <v>http://collections.slsa.sa.gov.au/mpcimg/13750/B13687.htm</v>
      </c>
    </row>
    <row r="7679" spans="1:11" x14ac:dyDescent="0.25">
      <c r="A7679" t="s">
        <v>25971</v>
      </c>
      <c r="B7679" s="1" t="str">
        <f>HYPERLINK("https://www.catalog.slsa.sa.gov.au/record=b2060789")</f>
        <v>https://www.catalog.slsa.sa.gov.au/record=b2060789</v>
      </c>
      <c r="C7679" s="1" t="str">
        <f>HYPERLINK("https://www.catalog.slsa.sa.gov.au/xrecord=b2060789")</f>
        <v>https://www.catalog.slsa.sa.gov.au/xrecord=b2060789</v>
      </c>
      <c r="D7679" t="s">
        <v>16831</v>
      </c>
      <c r="E7679" t="s">
        <v>21232</v>
      </c>
      <c r="F7679">
        <v>1956</v>
      </c>
      <c r="G7679" t="s">
        <v>5070</v>
      </c>
      <c r="H7679" t="s">
        <v>25972</v>
      </c>
      <c r="J7679" t="s">
        <v>22878</v>
      </c>
      <c r="K7679" s="2" t="str">
        <f>HYPERLINK("http://collections.slsa.sa.gov.au/mpcimg/13750/B13729.htm")</f>
        <v>http://collections.slsa.sa.gov.au/mpcimg/13750/B13729.htm</v>
      </c>
    </row>
    <row r="7680" spans="1:11" x14ac:dyDescent="0.25">
      <c r="A7680" t="s">
        <v>25973</v>
      </c>
      <c r="B7680" s="1" t="str">
        <f>HYPERLINK("https://www.catalog.slsa.sa.gov.au/record=b2060793")</f>
        <v>https://www.catalog.slsa.sa.gov.au/record=b2060793</v>
      </c>
      <c r="C7680" s="1" t="str">
        <f>HYPERLINK("https://www.catalog.slsa.sa.gov.au/xrecord=b2060793")</f>
        <v>https://www.catalog.slsa.sa.gov.au/xrecord=b2060793</v>
      </c>
      <c r="D7680" t="s">
        <v>16831</v>
      </c>
      <c r="E7680" t="s">
        <v>20100</v>
      </c>
      <c r="F7680">
        <v>1956</v>
      </c>
      <c r="G7680" t="s">
        <v>5070</v>
      </c>
      <c r="H7680" t="s">
        <v>25974</v>
      </c>
      <c r="J7680" t="s">
        <v>25975</v>
      </c>
      <c r="K7680" s="2" t="str">
        <f>HYPERLINK("http://collections.slsa.sa.gov.au/mpcimg/13750/B13700.htm")</f>
        <v>http://collections.slsa.sa.gov.au/mpcimg/13750/B13700.htm</v>
      </c>
    </row>
    <row r="7681" spans="1:11" x14ac:dyDescent="0.25">
      <c r="A7681" t="s">
        <v>25976</v>
      </c>
      <c r="B7681" s="1" t="str">
        <f>HYPERLINK("https://www.catalog.slsa.sa.gov.au/record=b2060847")</f>
        <v>https://www.catalog.slsa.sa.gov.au/record=b2060847</v>
      </c>
      <c r="C7681" s="1" t="str">
        <f>HYPERLINK("https://www.catalog.slsa.sa.gov.au/xrecord=b2060847")</f>
        <v>https://www.catalog.slsa.sa.gov.au/xrecord=b2060847</v>
      </c>
      <c r="D7681" t="s">
        <v>16831</v>
      </c>
      <c r="E7681" t="s">
        <v>25977</v>
      </c>
      <c r="F7681">
        <v>1956</v>
      </c>
      <c r="G7681" t="s">
        <v>5070</v>
      </c>
      <c r="H7681" t="s">
        <v>25978</v>
      </c>
      <c r="J7681" t="s">
        <v>21109</v>
      </c>
      <c r="K7681" s="2" t="str">
        <f>HYPERLINK("http://collections.slsa.sa.gov.au/mpcimg/13750/B13584.htm")</f>
        <v>http://collections.slsa.sa.gov.au/mpcimg/13750/B13584.htm</v>
      </c>
    </row>
    <row r="7682" spans="1:11" x14ac:dyDescent="0.25">
      <c r="A7682" t="s">
        <v>25979</v>
      </c>
      <c r="B7682" s="1" t="str">
        <f>HYPERLINK("https://www.catalog.slsa.sa.gov.au/record=b2060870")</f>
        <v>https://www.catalog.slsa.sa.gov.au/record=b2060870</v>
      </c>
      <c r="C7682" s="1" t="str">
        <f>HYPERLINK("https://www.catalog.slsa.sa.gov.au/xrecord=b2060870")</f>
        <v>https://www.catalog.slsa.sa.gov.au/xrecord=b2060870</v>
      </c>
      <c r="D7682" t="s">
        <v>16831</v>
      </c>
      <c r="E7682" t="s">
        <v>16827</v>
      </c>
      <c r="F7682">
        <v>1956</v>
      </c>
      <c r="G7682" t="s">
        <v>5070</v>
      </c>
      <c r="H7682" t="s">
        <v>25980</v>
      </c>
      <c r="J7682" t="s">
        <v>21113</v>
      </c>
      <c r="K7682" s="2" t="str">
        <f>HYPERLINK("http://collections.slsa.sa.gov.au/mpcimg/13750/B13581.htm")</f>
        <v>http://collections.slsa.sa.gov.au/mpcimg/13750/B13581.htm</v>
      </c>
    </row>
    <row r="7683" spans="1:11" x14ac:dyDescent="0.25">
      <c r="A7683" t="s">
        <v>25981</v>
      </c>
      <c r="B7683" s="1" t="str">
        <f>HYPERLINK("https://www.catalog.slsa.sa.gov.au/record=b2060883")</f>
        <v>https://www.catalog.slsa.sa.gov.au/record=b2060883</v>
      </c>
      <c r="C7683" s="1" t="str">
        <f>HYPERLINK("https://www.catalog.slsa.sa.gov.au/xrecord=b2060883")</f>
        <v>https://www.catalog.slsa.sa.gov.au/xrecord=b2060883</v>
      </c>
      <c r="D7683" t="s">
        <v>16831</v>
      </c>
      <c r="E7683" t="s">
        <v>16827</v>
      </c>
      <c r="F7683">
        <v>1956</v>
      </c>
      <c r="G7683" t="s">
        <v>5070</v>
      </c>
      <c r="H7683" t="s">
        <v>25982</v>
      </c>
      <c r="J7683" t="s">
        <v>22886</v>
      </c>
      <c r="K7683" s="2" t="str">
        <f>HYPERLINK("http://collections.slsa.sa.gov.au/mpcimg/13750/B13580.htm")</f>
        <v>http://collections.slsa.sa.gov.au/mpcimg/13750/B13580.htm</v>
      </c>
    </row>
    <row r="7684" spans="1:11" x14ac:dyDescent="0.25">
      <c r="A7684" t="s">
        <v>25983</v>
      </c>
      <c r="B7684" s="1" t="str">
        <f>HYPERLINK("https://www.catalog.slsa.sa.gov.au/record=b2061074")</f>
        <v>https://www.catalog.slsa.sa.gov.au/record=b2061074</v>
      </c>
      <c r="C7684" s="1" t="str">
        <f>HYPERLINK("https://www.catalog.slsa.sa.gov.au/xrecord=b2061074")</f>
        <v>https://www.catalog.slsa.sa.gov.au/xrecord=b2061074</v>
      </c>
      <c r="D7684" t="s">
        <v>16831</v>
      </c>
      <c r="E7684" t="s">
        <v>21118</v>
      </c>
      <c r="F7684">
        <v>1956</v>
      </c>
      <c r="G7684" t="s">
        <v>5070</v>
      </c>
      <c r="H7684" t="s">
        <v>25984</v>
      </c>
      <c r="J7684" t="s">
        <v>25439</v>
      </c>
      <c r="K7684" s="2" t="str">
        <f>HYPERLINK("http://collections.slsa.sa.gov.au/mpcimg/13750/B13647.htm")</f>
        <v>http://collections.slsa.sa.gov.au/mpcimg/13750/B13647.htm</v>
      </c>
    </row>
    <row r="7685" spans="1:11" x14ac:dyDescent="0.25">
      <c r="A7685" t="s">
        <v>25985</v>
      </c>
      <c r="B7685" s="1" t="str">
        <f>HYPERLINK("https://www.catalog.slsa.sa.gov.au/record=b2061085")</f>
        <v>https://www.catalog.slsa.sa.gov.au/record=b2061085</v>
      </c>
      <c r="C7685" s="1" t="str">
        <f>HYPERLINK("https://www.catalog.slsa.sa.gov.au/xrecord=b2061085")</f>
        <v>https://www.catalog.slsa.sa.gov.au/xrecord=b2061085</v>
      </c>
      <c r="D7685" t="s">
        <v>16831</v>
      </c>
      <c r="E7685" t="s">
        <v>21118</v>
      </c>
      <c r="F7685">
        <v>1956</v>
      </c>
      <c r="G7685" t="s">
        <v>5070</v>
      </c>
      <c r="H7685" t="s">
        <v>25986</v>
      </c>
      <c r="J7685" t="s">
        <v>21129</v>
      </c>
      <c r="K7685" s="2" t="str">
        <f>HYPERLINK("http://collections.slsa.sa.gov.au/mpcimg/13750/B13645.htm")</f>
        <v>http://collections.slsa.sa.gov.au/mpcimg/13750/B13645.htm</v>
      </c>
    </row>
    <row r="7686" spans="1:11" x14ac:dyDescent="0.25">
      <c r="A7686" t="s">
        <v>25987</v>
      </c>
      <c r="B7686" s="1" t="str">
        <f>HYPERLINK("https://www.catalog.slsa.sa.gov.au/record=b2061148")</f>
        <v>https://www.catalog.slsa.sa.gov.au/record=b2061148</v>
      </c>
      <c r="C7686" s="1" t="str">
        <f>HYPERLINK("https://www.catalog.slsa.sa.gov.au/xrecord=b2061148")</f>
        <v>https://www.catalog.slsa.sa.gov.au/xrecord=b2061148</v>
      </c>
      <c r="D7686" t="s">
        <v>16831</v>
      </c>
      <c r="E7686" t="s">
        <v>25452</v>
      </c>
      <c r="F7686">
        <v>1956</v>
      </c>
      <c r="G7686" t="s">
        <v>25786</v>
      </c>
      <c r="H7686" t="s">
        <v>25988</v>
      </c>
      <c r="J7686" t="s">
        <v>25450</v>
      </c>
      <c r="K7686" s="2" t="str">
        <f>HYPERLINK("http://collections.slsa.sa.gov.au/mpcimg/14000/B13817.htm")</f>
        <v>http://collections.slsa.sa.gov.au/mpcimg/14000/B13817.htm</v>
      </c>
    </row>
    <row r="7687" spans="1:11" x14ac:dyDescent="0.25">
      <c r="A7687" t="s">
        <v>25989</v>
      </c>
      <c r="B7687" s="1" t="str">
        <f>HYPERLINK("https://www.catalog.slsa.sa.gov.au/record=b2061210")</f>
        <v>https://www.catalog.slsa.sa.gov.au/record=b2061210</v>
      </c>
      <c r="C7687" s="1" t="str">
        <f>HYPERLINK("https://www.catalog.slsa.sa.gov.au/xrecord=b2061210")</f>
        <v>https://www.catalog.slsa.sa.gov.au/xrecord=b2061210</v>
      </c>
      <c r="D7687" t="s">
        <v>16831</v>
      </c>
      <c r="E7687" t="s">
        <v>21118</v>
      </c>
      <c r="F7687">
        <v>1956</v>
      </c>
      <c r="G7687" t="s">
        <v>5070</v>
      </c>
      <c r="H7687" t="s">
        <v>25990</v>
      </c>
      <c r="J7687" t="s">
        <v>25991</v>
      </c>
      <c r="K7687" s="2" t="str">
        <f>HYPERLINK("http://collections.slsa.sa.gov.au/mpcimg/13750/B13622.htm")</f>
        <v>http://collections.slsa.sa.gov.au/mpcimg/13750/B13622.htm</v>
      </c>
    </row>
    <row r="7688" spans="1:11" x14ac:dyDescent="0.25">
      <c r="A7688" t="s">
        <v>25992</v>
      </c>
      <c r="B7688" s="1" t="str">
        <f>HYPERLINK("https://www.catalog.slsa.sa.gov.au/record=b2061211")</f>
        <v>https://www.catalog.slsa.sa.gov.au/record=b2061211</v>
      </c>
      <c r="C7688" s="1" t="str">
        <f>HYPERLINK("https://www.catalog.slsa.sa.gov.au/xrecord=b2061211")</f>
        <v>https://www.catalog.slsa.sa.gov.au/xrecord=b2061211</v>
      </c>
      <c r="D7688" t="s">
        <v>16831</v>
      </c>
      <c r="E7688" t="s">
        <v>25993</v>
      </c>
      <c r="F7688">
        <v>1956</v>
      </c>
      <c r="G7688" t="s">
        <v>5070</v>
      </c>
      <c r="H7688" t="s">
        <v>25994</v>
      </c>
      <c r="J7688" t="s">
        <v>25991</v>
      </c>
      <c r="K7688" s="2" t="str">
        <f>HYPERLINK("http://collections.slsa.sa.gov.au/mpcimg/13750/B13659.htm")</f>
        <v>http://collections.slsa.sa.gov.au/mpcimg/13750/B13659.htm</v>
      </c>
    </row>
    <row r="7689" spans="1:11" x14ac:dyDescent="0.25">
      <c r="A7689" t="s">
        <v>25995</v>
      </c>
      <c r="B7689" s="1" t="str">
        <f>HYPERLINK("https://www.catalog.slsa.sa.gov.au/record=b2061212")</f>
        <v>https://www.catalog.slsa.sa.gov.au/record=b2061212</v>
      </c>
      <c r="C7689" s="1" t="str">
        <f>HYPERLINK("https://www.catalog.slsa.sa.gov.au/xrecord=b2061212")</f>
        <v>https://www.catalog.slsa.sa.gov.au/xrecord=b2061212</v>
      </c>
      <c r="D7689" t="s">
        <v>16831</v>
      </c>
      <c r="E7689" t="s">
        <v>25993</v>
      </c>
      <c r="F7689">
        <v>1956</v>
      </c>
      <c r="G7689" t="s">
        <v>25786</v>
      </c>
      <c r="H7689" t="s">
        <v>25996</v>
      </c>
      <c r="J7689" t="s">
        <v>25991</v>
      </c>
      <c r="K7689" s="2" t="str">
        <f>HYPERLINK("http://collections.slsa.sa.gov.au/mpcimg/14000/B13821.htm")</f>
        <v>http://collections.slsa.sa.gov.au/mpcimg/14000/B13821.htm</v>
      </c>
    </row>
    <row r="7690" spans="1:11" x14ac:dyDescent="0.25">
      <c r="A7690" t="s">
        <v>25997</v>
      </c>
      <c r="B7690" s="1" t="str">
        <f>HYPERLINK("https://www.catalog.slsa.sa.gov.au/record=b2061224")</f>
        <v>https://www.catalog.slsa.sa.gov.au/record=b2061224</v>
      </c>
      <c r="C7690" s="1" t="str">
        <f>HYPERLINK("https://www.catalog.slsa.sa.gov.au/xrecord=b2061224")</f>
        <v>https://www.catalog.slsa.sa.gov.au/xrecord=b2061224</v>
      </c>
      <c r="D7690" t="s">
        <v>16831</v>
      </c>
      <c r="E7690" t="s">
        <v>21118</v>
      </c>
      <c r="F7690">
        <v>1956</v>
      </c>
      <c r="G7690" t="s">
        <v>5070</v>
      </c>
      <c r="H7690" t="s">
        <v>25998</v>
      </c>
      <c r="J7690" t="s">
        <v>25999</v>
      </c>
      <c r="K7690" s="2" t="str">
        <f>HYPERLINK("http://collections.slsa.sa.gov.au/mpcimg/13750/B13609.htm")</f>
        <v>http://collections.slsa.sa.gov.au/mpcimg/13750/B13609.htm</v>
      </c>
    </row>
    <row r="7691" spans="1:11" x14ac:dyDescent="0.25">
      <c r="A7691" t="s">
        <v>26000</v>
      </c>
      <c r="B7691" s="1" t="str">
        <f>HYPERLINK("https://www.catalog.slsa.sa.gov.au/record=b2061340")</f>
        <v>https://www.catalog.slsa.sa.gov.au/record=b2061340</v>
      </c>
      <c r="C7691" s="1" t="str">
        <f>HYPERLINK("https://www.catalog.slsa.sa.gov.au/xrecord=b2061340")</f>
        <v>https://www.catalog.slsa.sa.gov.au/xrecord=b2061340</v>
      </c>
      <c r="D7691" t="s">
        <v>16831</v>
      </c>
      <c r="E7691" t="s">
        <v>21099</v>
      </c>
      <c r="F7691">
        <v>1956</v>
      </c>
      <c r="G7691" t="s">
        <v>25786</v>
      </c>
      <c r="H7691" t="s">
        <v>26001</v>
      </c>
      <c r="J7691" t="s">
        <v>18695</v>
      </c>
      <c r="K7691" s="2" t="str">
        <f>HYPERLINK("http://collections.slsa.sa.gov.au/mpcimg/14000/B13848.htm")</f>
        <v>http://collections.slsa.sa.gov.au/mpcimg/14000/B13848.htm</v>
      </c>
    </row>
    <row r="7692" spans="1:11" x14ac:dyDescent="0.25">
      <c r="A7692" t="s">
        <v>26002</v>
      </c>
      <c r="B7692" s="1" t="str">
        <f>HYPERLINK("https://www.catalog.slsa.sa.gov.au/record=b2061366")</f>
        <v>https://www.catalog.slsa.sa.gov.au/record=b2061366</v>
      </c>
      <c r="C7692" s="1" t="str">
        <f>HYPERLINK("https://www.catalog.slsa.sa.gov.au/xrecord=b2061366")</f>
        <v>https://www.catalog.slsa.sa.gov.au/xrecord=b2061366</v>
      </c>
      <c r="D7692" t="s">
        <v>16831</v>
      </c>
      <c r="E7692" t="s">
        <v>21099</v>
      </c>
      <c r="F7692">
        <v>1956</v>
      </c>
      <c r="G7692" t="s">
        <v>5070</v>
      </c>
      <c r="H7692" t="s">
        <v>26003</v>
      </c>
      <c r="J7692" t="s">
        <v>22907</v>
      </c>
      <c r="K7692" s="2" t="str">
        <f>HYPERLINK("http://collections.slsa.sa.gov.au/mpcimg/13750/B13648.htm")</f>
        <v>http://collections.slsa.sa.gov.au/mpcimg/13750/B13648.htm</v>
      </c>
    </row>
    <row r="7693" spans="1:11" x14ac:dyDescent="0.25">
      <c r="A7693" t="s">
        <v>26004</v>
      </c>
      <c r="B7693" s="1" t="str">
        <f>HYPERLINK("https://www.catalog.slsa.sa.gov.au/record=b2061384")</f>
        <v>https://www.catalog.slsa.sa.gov.au/record=b2061384</v>
      </c>
      <c r="C7693" s="1" t="str">
        <f>HYPERLINK("https://www.catalog.slsa.sa.gov.au/xrecord=b2061384")</f>
        <v>https://www.catalog.slsa.sa.gov.au/xrecord=b2061384</v>
      </c>
      <c r="D7693" t="s">
        <v>16831</v>
      </c>
      <c r="E7693" t="s">
        <v>21099</v>
      </c>
      <c r="F7693">
        <v>1956</v>
      </c>
      <c r="G7693" t="s">
        <v>5070</v>
      </c>
      <c r="H7693" t="s">
        <v>26005</v>
      </c>
      <c r="J7693" t="s">
        <v>21157</v>
      </c>
      <c r="K7693" s="2" t="str">
        <f>HYPERLINK("http://collections.slsa.sa.gov.au/mpcimg/13750/B13614.htm")</f>
        <v>http://collections.slsa.sa.gov.au/mpcimg/13750/B13614.htm</v>
      </c>
    </row>
    <row r="7694" spans="1:11" x14ac:dyDescent="0.25">
      <c r="A7694" t="s">
        <v>26006</v>
      </c>
      <c r="B7694" s="1" t="str">
        <f>HYPERLINK("https://www.catalog.slsa.sa.gov.au/record=b2061405")</f>
        <v>https://www.catalog.slsa.sa.gov.au/record=b2061405</v>
      </c>
      <c r="C7694" s="1" t="str">
        <f>HYPERLINK("https://www.catalog.slsa.sa.gov.au/xrecord=b2061405")</f>
        <v>https://www.catalog.slsa.sa.gov.au/xrecord=b2061405</v>
      </c>
      <c r="D7694" t="s">
        <v>16831</v>
      </c>
      <c r="E7694" t="s">
        <v>21099</v>
      </c>
      <c r="F7694">
        <v>1956</v>
      </c>
      <c r="G7694" t="s">
        <v>5070</v>
      </c>
      <c r="H7694" t="s">
        <v>26007</v>
      </c>
      <c r="J7694" t="s">
        <v>24402</v>
      </c>
      <c r="K7694" s="2" t="str">
        <f>HYPERLINK("http://collections.slsa.sa.gov.au/mpcimg/13750/B13681.htm")</f>
        <v>http://collections.slsa.sa.gov.au/mpcimg/13750/B13681.htm</v>
      </c>
    </row>
    <row r="7695" spans="1:11" x14ac:dyDescent="0.25">
      <c r="A7695" t="s">
        <v>26008</v>
      </c>
      <c r="B7695" s="1" t="str">
        <f>HYPERLINK("https://www.catalog.slsa.sa.gov.au/record=b2061512")</f>
        <v>https://www.catalog.slsa.sa.gov.au/record=b2061512</v>
      </c>
      <c r="C7695" s="1" t="str">
        <f>HYPERLINK("https://www.catalog.slsa.sa.gov.au/xrecord=b2061512")</f>
        <v>https://www.catalog.slsa.sa.gov.au/xrecord=b2061512</v>
      </c>
      <c r="D7695" t="s">
        <v>16831</v>
      </c>
      <c r="E7695" t="s">
        <v>21232</v>
      </c>
      <c r="F7695">
        <v>1956</v>
      </c>
      <c r="G7695" t="s">
        <v>5070</v>
      </c>
      <c r="H7695" t="s">
        <v>26009</v>
      </c>
      <c r="J7695" t="s">
        <v>24413</v>
      </c>
      <c r="K7695" s="2" t="str">
        <f>HYPERLINK("http://collections.slsa.sa.gov.au/mpcimg/13750/B13617.htm")</f>
        <v>http://collections.slsa.sa.gov.au/mpcimg/13750/B13617.htm</v>
      </c>
    </row>
    <row r="7696" spans="1:11" x14ac:dyDescent="0.25">
      <c r="A7696" t="s">
        <v>26010</v>
      </c>
      <c r="B7696" s="1" t="str">
        <f>HYPERLINK("https://www.catalog.slsa.sa.gov.au/record=b2061544")</f>
        <v>https://www.catalog.slsa.sa.gov.au/record=b2061544</v>
      </c>
      <c r="C7696" s="1" t="str">
        <f>HYPERLINK("https://www.catalog.slsa.sa.gov.au/xrecord=b2061544")</f>
        <v>https://www.catalog.slsa.sa.gov.au/xrecord=b2061544</v>
      </c>
      <c r="D7696" t="s">
        <v>16831</v>
      </c>
      <c r="E7696" t="s">
        <v>16827</v>
      </c>
      <c r="F7696">
        <v>1956</v>
      </c>
      <c r="G7696" t="s">
        <v>25786</v>
      </c>
      <c r="H7696" t="s">
        <v>26011</v>
      </c>
      <c r="J7696" t="s">
        <v>26012</v>
      </c>
      <c r="K7696" s="2" t="str">
        <f>HYPERLINK("http://collections.slsa.sa.gov.au/mpcimg/14000/B13811.htm")</f>
        <v>http://collections.slsa.sa.gov.au/mpcimg/14000/B13811.htm</v>
      </c>
    </row>
    <row r="7697" spans="1:11" x14ac:dyDescent="0.25">
      <c r="A7697" t="s">
        <v>26013</v>
      </c>
      <c r="B7697" s="1" t="str">
        <f>HYPERLINK("https://www.catalog.slsa.sa.gov.au/record=b2061582")</f>
        <v>https://www.catalog.slsa.sa.gov.au/record=b2061582</v>
      </c>
      <c r="C7697" s="1" t="str">
        <f>HYPERLINK("https://www.catalog.slsa.sa.gov.au/xrecord=b2061582")</f>
        <v>https://www.catalog.slsa.sa.gov.au/xrecord=b2061582</v>
      </c>
      <c r="D7697" t="s">
        <v>16831</v>
      </c>
      <c r="E7697" t="s">
        <v>21178</v>
      </c>
      <c r="F7697">
        <v>1956</v>
      </c>
      <c r="G7697" t="s">
        <v>5070</v>
      </c>
      <c r="H7697" t="s">
        <v>26014</v>
      </c>
      <c r="J7697" t="s">
        <v>24428</v>
      </c>
      <c r="K7697" s="2" t="str">
        <f>HYPERLINK("http://collections.slsa.sa.gov.au/mpcimg/13750/B13678.htm")</f>
        <v>http://collections.slsa.sa.gov.au/mpcimg/13750/B13678.htm</v>
      </c>
    </row>
    <row r="7698" spans="1:11" x14ac:dyDescent="0.25">
      <c r="A7698" t="s">
        <v>26015</v>
      </c>
      <c r="B7698" s="1" t="str">
        <f>HYPERLINK("https://www.catalog.slsa.sa.gov.au/record=b2061651")</f>
        <v>https://www.catalog.slsa.sa.gov.au/record=b2061651</v>
      </c>
      <c r="C7698" s="1" t="str">
        <f>HYPERLINK("https://www.catalog.slsa.sa.gov.au/xrecord=b2061651")</f>
        <v>https://www.catalog.slsa.sa.gov.au/xrecord=b2061651</v>
      </c>
      <c r="D7698" t="s">
        <v>16831</v>
      </c>
      <c r="E7698" t="s">
        <v>25993</v>
      </c>
      <c r="F7698">
        <v>1956</v>
      </c>
      <c r="G7698" t="s">
        <v>5070</v>
      </c>
      <c r="H7698" t="s">
        <v>26016</v>
      </c>
      <c r="J7698" t="s">
        <v>26017</v>
      </c>
      <c r="K7698" s="2" t="str">
        <f>HYPERLINK("http://collections.slsa.sa.gov.au/mpcimg/13750/B13691.htm")</f>
        <v>http://collections.slsa.sa.gov.au/mpcimg/13750/B13691.htm</v>
      </c>
    </row>
    <row r="7699" spans="1:11" x14ac:dyDescent="0.25">
      <c r="A7699" t="s">
        <v>26018</v>
      </c>
      <c r="B7699" s="1" t="str">
        <f>HYPERLINK("https://www.catalog.slsa.sa.gov.au/record=b2061686")</f>
        <v>https://www.catalog.slsa.sa.gov.au/record=b2061686</v>
      </c>
      <c r="C7699" s="1" t="str">
        <f>HYPERLINK("https://www.catalog.slsa.sa.gov.au/xrecord=b2061686")</f>
        <v>https://www.catalog.slsa.sa.gov.au/xrecord=b2061686</v>
      </c>
      <c r="D7699" t="s">
        <v>16831</v>
      </c>
      <c r="E7699" t="s">
        <v>24451</v>
      </c>
      <c r="F7699">
        <v>1956</v>
      </c>
      <c r="G7699" t="s">
        <v>5070</v>
      </c>
      <c r="H7699" t="s">
        <v>26019</v>
      </c>
      <c r="J7699" t="s">
        <v>24462</v>
      </c>
      <c r="K7699" s="2" t="str">
        <f>HYPERLINK("http://collections.slsa.sa.gov.au/mpcimg/13750/B13722.htm")</f>
        <v>http://collections.slsa.sa.gov.au/mpcimg/13750/B13722.htm</v>
      </c>
    </row>
    <row r="7700" spans="1:11" x14ac:dyDescent="0.25">
      <c r="A7700" t="s">
        <v>26020</v>
      </c>
      <c r="B7700" s="1" t="str">
        <f>HYPERLINK("https://www.catalog.slsa.sa.gov.au/record=b2061688")</f>
        <v>https://www.catalog.slsa.sa.gov.au/record=b2061688</v>
      </c>
      <c r="C7700" s="1" t="str">
        <f>HYPERLINK("https://www.catalog.slsa.sa.gov.au/xrecord=b2061688")</f>
        <v>https://www.catalog.slsa.sa.gov.au/xrecord=b2061688</v>
      </c>
      <c r="D7700" t="s">
        <v>16831</v>
      </c>
      <c r="E7700" t="s">
        <v>24451</v>
      </c>
      <c r="F7700">
        <v>1956</v>
      </c>
      <c r="G7700" t="s">
        <v>5070</v>
      </c>
      <c r="H7700" t="s">
        <v>26021</v>
      </c>
      <c r="J7700" t="s">
        <v>26022</v>
      </c>
      <c r="K7700" s="2" t="str">
        <f>HYPERLINK("http://collections.slsa.sa.gov.au/mpcimg/13750/B13721.htm")</f>
        <v>http://collections.slsa.sa.gov.au/mpcimg/13750/B13721.htm</v>
      </c>
    </row>
    <row r="7701" spans="1:11" x14ac:dyDescent="0.25">
      <c r="A7701" t="s">
        <v>26023</v>
      </c>
      <c r="B7701" s="1" t="str">
        <f>HYPERLINK("https://www.catalog.slsa.sa.gov.au/record=b2061695")</f>
        <v>https://www.catalog.slsa.sa.gov.au/record=b2061695</v>
      </c>
      <c r="C7701" s="1" t="str">
        <f>HYPERLINK("https://www.catalog.slsa.sa.gov.au/xrecord=b2061695")</f>
        <v>https://www.catalog.slsa.sa.gov.au/xrecord=b2061695</v>
      </c>
      <c r="D7701" t="s">
        <v>16831</v>
      </c>
      <c r="E7701" t="s">
        <v>24300</v>
      </c>
      <c r="F7701">
        <v>1956</v>
      </c>
      <c r="G7701" t="s">
        <v>25786</v>
      </c>
      <c r="H7701" t="s">
        <v>26024</v>
      </c>
      <c r="J7701" t="s">
        <v>24467</v>
      </c>
      <c r="K7701" s="2" t="str">
        <f>HYPERLINK("http://collections.slsa.sa.gov.au/mpcimg/14000/B13812.htm")</f>
        <v>http://collections.slsa.sa.gov.au/mpcimg/14000/B13812.htm</v>
      </c>
    </row>
    <row r="7702" spans="1:11" x14ac:dyDescent="0.25">
      <c r="A7702" t="s">
        <v>26025</v>
      </c>
      <c r="B7702" s="1" t="str">
        <f>HYPERLINK("https://www.catalog.slsa.sa.gov.au/record=b2061746")</f>
        <v>https://www.catalog.slsa.sa.gov.au/record=b2061746</v>
      </c>
      <c r="C7702" s="1" t="str">
        <f>HYPERLINK("https://www.catalog.slsa.sa.gov.au/xrecord=b2061746")</f>
        <v>https://www.catalog.slsa.sa.gov.au/xrecord=b2061746</v>
      </c>
      <c r="D7702" t="s">
        <v>16831</v>
      </c>
      <c r="E7702" t="s">
        <v>22922</v>
      </c>
      <c r="F7702">
        <v>1956</v>
      </c>
      <c r="G7702" t="s">
        <v>5070</v>
      </c>
      <c r="H7702" t="s">
        <v>26026</v>
      </c>
      <c r="J7702" t="s">
        <v>24476</v>
      </c>
      <c r="K7702" s="2" t="str">
        <f>HYPERLINK("http://collections.slsa.sa.gov.au/mpcimg/13750/B13660.htm")</f>
        <v>http://collections.slsa.sa.gov.au/mpcimg/13750/B13660.htm</v>
      </c>
    </row>
    <row r="7703" spans="1:11" x14ac:dyDescent="0.25">
      <c r="A7703" t="s">
        <v>26027</v>
      </c>
      <c r="B7703" s="1" t="str">
        <f>HYPERLINK("https://www.catalog.slsa.sa.gov.au/record=b2061769")</f>
        <v>https://www.catalog.slsa.sa.gov.au/record=b2061769</v>
      </c>
      <c r="C7703" s="1" t="str">
        <f>HYPERLINK("https://www.catalog.slsa.sa.gov.au/xrecord=b2061769")</f>
        <v>https://www.catalog.slsa.sa.gov.au/xrecord=b2061769</v>
      </c>
      <c r="D7703" t="s">
        <v>16831</v>
      </c>
      <c r="E7703" t="s">
        <v>24436</v>
      </c>
      <c r="F7703">
        <v>1956</v>
      </c>
      <c r="G7703" t="s">
        <v>25786</v>
      </c>
      <c r="H7703" t="s">
        <v>26028</v>
      </c>
      <c r="J7703" t="s">
        <v>24487</v>
      </c>
      <c r="K7703" s="2" t="str">
        <f>HYPERLINK("http://collections.slsa.sa.gov.au/mpcimg/14500/B14331.htm")</f>
        <v>http://collections.slsa.sa.gov.au/mpcimg/14500/B14331.htm</v>
      </c>
    </row>
    <row r="7704" spans="1:11" x14ac:dyDescent="0.25">
      <c r="A7704" t="s">
        <v>26029</v>
      </c>
      <c r="B7704" s="1" t="str">
        <f>HYPERLINK("https://www.catalog.slsa.sa.gov.au/record=b2061811")</f>
        <v>https://www.catalog.slsa.sa.gov.au/record=b2061811</v>
      </c>
      <c r="C7704" s="1" t="str">
        <f>HYPERLINK("https://www.catalog.slsa.sa.gov.au/xrecord=b2061811")</f>
        <v>https://www.catalog.slsa.sa.gov.au/xrecord=b2061811</v>
      </c>
      <c r="D7704" t="s">
        <v>16831</v>
      </c>
      <c r="E7704" t="s">
        <v>16771</v>
      </c>
      <c r="F7704">
        <v>1956</v>
      </c>
      <c r="G7704" t="s">
        <v>5070</v>
      </c>
      <c r="H7704" t="s">
        <v>26030</v>
      </c>
      <c r="J7704" t="s">
        <v>21203</v>
      </c>
      <c r="K7704" s="2" t="str">
        <f>HYPERLINK("http://collections.slsa.sa.gov.au/mpcimg/13750/B13688.htm")</f>
        <v>http://collections.slsa.sa.gov.au/mpcimg/13750/B13688.htm</v>
      </c>
    </row>
    <row r="7705" spans="1:11" x14ac:dyDescent="0.25">
      <c r="A7705" t="s">
        <v>26031</v>
      </c>
      <c r="B7705" s="1" t="str">
        <f>HYPERLINK("https://www.catalog.slsa.sa.gov.au/record=b2061845")</f>
        <v>https://www.catalog.slsa.sa.gov.au/record=b2061845</v>
      </c>
      <c r="C7705" s="1" t="str">
        <f>HYPERLINK("https://www.catalog.slsa.sa.gov.au/xrecord=b2061845")</f>
        <v>https://www.catalog.slsa.sa.gov.au/xrecord=b2061845</v>
      </c>
      <c r="D7705" t="s">
        <v>16831</v>
      </c>
      <c r="E7705" t="s">
        <v>21178</v>
      </c>
      <c r="F7705">
        <v>1956</v>
      </c>
      <c r="G7705" t="s">
        <v>5070</v>
      </c>
      <c r="H7705" t="s">
        <v>26032</v>
      </c>
      <c r="J7705" t="s">
        <v>25510</v>
      </c>
      <c r="K7705" s="2" t="str">
        <f>HYPERLINK("http://collections.slsa.sa.gov.au/mpcimg/13750/B13677.htm")</f>
        <v>http://collections.slsa.sa.gov.au/mpcimg/13750/B13677.htm</v>
      </c>
    </row>
    <row r="7706" spans="1:11" x14ac:dyDescent="0.25">
      <c r="A7706" t="s">
        <v>26033</v>
      </c>
      <c r="B7706" s="1" t="str">
        <f>HYPERLINK("https://www.catalog.slsa.sa.gov.au/record=b2061846")</f>
        <v>https://www.catalog.slsa.sa.gov.au/record=b2061846</v>
      </c>
      <c r="C7706" s="1" t="str">
        <f>HYPERLINK("https://www.catalog.slsa.sa.gov.au/xrecord=b2061846")</f>
        <v>https://www.catalog.slsa.sa.gov.au/xrecord=b2061846</v>
      </c>
      <c r="D7706" t="s">
        <v>16831</v>
      </c>
      <c r="E7706" t="s">
        <v>21178</v>
      </c>
      <c r="F7706">
        <v>1956</v>
      </c>
      <c r="G7706" t="s">
        <v>5070</v>
      </c>
      <c r="H7706" t="s">
        <v>26034</v>
      </c>
      <c r="J7706" t="s">
        <v>25510</v>
      </c>
      <c r="K7706" s="2" t="str">
        <f>HYPERLINK("http://collections.slsa.sa.gov.au/mpcimg/13750/B13712.htm")</f>
        <v>http://collections.slsa.sa.gov.au/mpcimg/13750/B13712.htm</v>
      </c>
    </row>
    <row r="7707" spans="1:11" x14ac:dyDescent="0.25">
      <c r="A7707" t="s">
        <v>26035</v>
      </c>
      <c r="B7707" s="1" t="str">
        <f>HYPERLINK("https://www.catalog.slsa.sa.gov.au/record=b2061962")</f>
        <v>https://www.catalog.slsa.sa.gov.au/record=b2061962</v>
      </c>
      <c r="C7707" s="1" t="str">
        <f>HYPERLINK("https://www.catalog.slsa.sa.gov.au/xrecord=b2061962")</f>
        <v>https://www.catalog.slsa.sa.gov.au/xrecord=b2061962</v>
      </c>
      <c r="D7707" t="s">
        <v>16831</v>
      </c>
      <c r="E7707" t="s">
        <v>26036</v>
      </c>
      <c r="F7707">
        <v>1956</v>
      </c>
      <c r="G7707" t="s">
        <v>5070</v>
      </c>
      <c r="H7707" t="s">
        <v>26037</v>
      </c>
      <c r="J7707" t="s">
        <v>26038</v>
      </c>
      <c r="K7707" s="2" t="str">
        <f>HYPERLINK("http://collections.slsa.sa.gov.au/mpcimg/13750/B13625.htm")</f>
        <v>http://collections.slsa.sa.gov.au/mpcimg/13750/B13625.htm</v>
      </c>
    </row>
    <row r="7708" spans="1:11" x14ac:dyDescent="0.25">
      <c r="A7708" t="s">
        <v>26039</v>
      </c>
      <c r="B7708" s="1" t="str">
        <f>HYPERLINK("https://www.catalog.slsa.sa.gov.au/record=b2062073")</f>
        <v>https://www.catalog.slsa.sa.gov.au/record=b2062073</v>
      </c>
      <c r="C7708" s="1" t="str">
        <f>HYPERLINK("https://www.catalog.slsa.sa.gov.au/xrecord=b2062073")</f>
        <v>https://www.catalog.slsa.sa.gov.au/xrecord=b2062073</v>
      </c>
      <c r="D7708" t="s">
        <v>16831</v>
      </c>
      <c r="E7708" t="s">
        <v>21212</v>
      </c>
      <c r="F7708">
        <v>1956</v>
      </c>
      <c r="G7708" t="s">
        <v>5070</v>
      </c>
      <c r="H7708" t="s">
        <v>26040</v>
      </c>
      <c r="J7708" t="s">
        <v>24511</v>
      </c>
      <c r="K7708" s="2" t="str">
        <f>HYPERLINK("http://collections.slsa.sa.gov.au/mpcimg/13750/B13607.htm")</f>
        <v>http://collections.slsa.sa.gov.au/mpcimg/13750/B13607.htm</v>
      </c>
    </row>
    <row r="7709" spans="1:11" x14ac:dyDescent="0.25">
      <c r="A7709" t="s">
        <v>26041</v>
      </c>
      <c r="B7709" s="1" t="str">
        <f>HYPERLINK("https://www.catalog.slsa.sa.gov.au/record=b2062083")</f>
        <v>https://www.catalog.slsa.sa.gov.au/record=b2062083</v>
      </c>
      <c r="C7709" s="1" t="str">
        <f>HYPERLINK("https://www.catalog.slsa.sa.gov.au/xrecord=b2062083")</f>
        <v>https://www.catalog.slsa.sa.gov.au/xrecord=b2062083</v>
      </c>
      <c r="D7709" t="s">
        <v>16831</v>
      </c>
      <c r="E7709" t="s">
        <v>26042</v>
      </c>
      <c r="F7709">
        <v>1956</v>
      </c>
      <c r="G7709" t="s">
        <v>5070</v>
      </c>
      <c r="H7709" t="s">
        <v>26043</v>
      </c>
      <c r="J7709" t="s">
        <v>24514</v>
      </c>
      <c r="K7709" s="2" t="str">
        <f>HYPERLINK("http://collections.slsa.sa.gov.au/mpcimg/13750/B13594.htm")</f>
        <v>http://collections.slsa.sa.gov.au/mpcimg/13750/B13594.htm</v>
      </c>
    </row>
    <row r="7710" spans="1:11" x14ac:dyDescent="0.25">
      <c r="A7710" t="s">
        <v>26044</v>
      </c>
      <c r="B7710" s="1" t="str">
        <f>HYPERLINK("https://www.catalog.slsa.sa.gov.au/record=b2062084")</f>
        <v>https://www.catalog.slsa.sa.gov.au/record=b2062084</v>
      </c>
      <c r="C7710" s="1" t="str">
        <f>HYPERLINK("https://www.catalog.slsa.sa.gov.au/xrecord=b2062084")</f>
        <v>https://www.catalog.slsa.sa.gov.au/xrecord=b2062084</v>
      </c>
      <c r="D7710" t="s">
        <v>16831</v>
      </c>
      <c r="E7710" t="s">
        <v>26042</v>
      </c>
      <c r="F7710">
        <v>1956</v>
      </c>
      <c r="G7710" t="s">
        <v>5070</v>
      </c>
      <c r="H7710" t="s">
        <v>26045</v>
      </c>
      <c r="J7710" t="s">
        <v>24514</v>
      </c>
      <c r="K7710" s="2" t="str">
        <f>HYPERLINK("http://collections.slsa.sa.gov.au/mpcimg/13750/B13595.htm")</f>
        <v>http://collections.slsa.sa.gov.au/mpcimg/13750/B13595.htm</v>
      </c>
    </row>
    <row r="7711" spans="1:11" x14ac:dyDescent="0.25">
      <c r="A7711" t="s">
        <v>26046</v>
      </c>
      <c r="B7711" s="1" t="str">
        <f>HYPERLINK("https://www.catalog.slsa.sa.gov.au/record=b2062122")</f>
        <v>https://www.catalog.slsa.sa.gov.au/record=b2062122</v>
      </c>
      <c r="C7711" s="1" t="str">
        <f>HYPERLINK("https://www.catalog.slsa.sa.gov.au/xrecord=b2062122")</f>
        <v>https://www.catalog.slsa.sa.gov.au/xrecord=b2062122</v>
      </c>
      <c r="D7711" t="s">
        <v>16831</v>
      </c>
      <c r="E7711" t="s">
        <v>16771</v>
      </c>
      <c r="F7711">
        <v>1956</v>
      </c>
      <c r="G7711" t="s">
        <v>5070</v>
      </c>
      <c r="H7711" t="s">
        <v>26047</v>
      </c>
      <c r="J7711" t="s">
        <v>21224</v>
      </c>
      <c r="K7711" s="2" t="str">
        <f>HYPERLINK("http://collections.slsa.sa.gov.au/mpcimg/13750/B13587.htm")</f>
        <v>http://collections.slsa.sa.gov.au/mpcimg/13750/B13587.htm</v>
      </c>
    </row>
    <row r="7712" spans="1:11" x14ac:dyDescent="0.25">
      <c r="A7712" t="s">
        <v>26048</v>
      </c>
      <c r="B7712" s="1" t="str">
        <f>HYPERLINK("https://www.catalog.slsa.sa.gov.au/record=b2062134")</f>
        <v>https://www.catalog.slsa.sa.gov.au/record=b2062134</v>
      </c>
      <c r="C7712" s="1" t="str">
        <f>HYPERLINK("https://www.catalog.slsa.sa.gov.au/xrecord=b2062134")</f>
        <v>https://www.catalog.slsa.sa.gov.au/xrecord=b2062134</v>
      </c>
      <c r="D7712" t="s">
        <v>16831</v>
      </c>
      <c r="E7712" t="s">
        <v>10268</v>
      </c>
      <c r="F7712">
        <v>1956</v>
      </c>
      <c r="G7712" t="s">
        <v>5070</v>
      </c>
      <c r="H7712" t="s">
        <v>26049</v>
      </c>
      <c r="J7712" t="s">
        <v>24529</v>
      </c>
      <c r="K7712" s="2" t="str">
        <f>HYPERLINK("http://collections.slsa.sa.gov.au/mpcimg/13750/B13608.htm")</f>
        <v>http://collections.slsa.sa.gov.au/mpcimg/13750/B13608.htm</v>
      </c>
    </row>
    <row r="7713" spans="1:11" x14ac:dyDescent="0.25">
      <c r="A7713" t="s">
        <v>26050</v>
      </c>
      <c r="B7713" s="1" t="str">
        <f>HYPERLINK("https://www.catalog.slsa.sa.gov.au/record=b2062154")</f>
        <v>https://www.catalog.slsa.sa.gov.au/record=b2062154</v>
      </c>
      <c r="C7713" s="1" t="str">
        <f>HYPERLINK("https://www.catalog.slsa.sa.gov.au/xrecord=b2062154")</f>
        <v>https://www.catalog.slsa.sa.gov.au/xrecord=b2062154</v>
      </c>
      <c r="D7713" t="s">
        <v>16831</v>
      </c>
      <c r="E7713" t="s">
        <v>26051</v>
      </c>
      <c r="F7713">
        <v>1956</v>
      </c>
      <c r="G7713" t="s">
        <v>5070</v>
      </c>
      <c r="H7713" t="s">
        <v>26052</v>
      </c>
      <c r="J7713" t="s">
        <v>24536</v>
      </c>
      <c r="K7713" s="2" t="str">
        <f>HYPERLINK("http://collections.slsa.sa.gov.au/mpcimg/13750/B13653.htm")</f>
        <v>http://collections.slsa.sa.gov.au/mpcimg/13750/B13653.htm</v>
      </c>
    </row>
    <row r="7714" spans="1:11" x14ac:dyDescent="0.25">
      <c r="A7714" t="s">
        <v>26053</v>
      </c>
      <c r="B7714" s="1" t="str">
        <f>HYPERLINK("https://www.catalog.slsa.sa.gov.au/record=b2062163")</f>
        <v>https://www.catalog.slsa.sa.gov.au/record=b2062163</v>
      </c>
      <c r="C7714" s="1" t="str">
        <f>HYPERLINK("https://www.catalog.slsa.sa.gov.au/xrecord=b2062163")</f>
        <v>https://www.catalog.slsa.sa.gov.au/xrecord=b2062163</v>
      </c>
      <c r="D7714" t="s">
        <v>16831</v>
      </c>
      <c r="E7714" t="s">
        <v>10268</v>
      </c>
      <c r="F7714">
        <v>1956</v>
      </c>
      <c r="G7714" t="s">
        <v>25786</v>
      </c>
      <c r="H7714" t="s">
        <v>26054</v>
      </c>
      <c r="J7714" t="s">
        <v>22920</v>
      </c>
      <c r="K7714" s="2" t="str">
        <f>HYPERLINK("http://collections.slsa.sa.gov.au/mpcimg/14000/B13826.htm")</f>
        <v>http://collections.slsa.sa.gov.au/mpcimg/14000/B13826.htm</v>
      </c>
    </row>
    <row r="7715" spans="1:11" x14ac:dyDescent="0.25">
      <c r="A7715" t="s">
        <v>26055</v>
      </c>
      <c r="B7715" s="1" t="str">
        <f>HYPERLINK("https://www.catalog.slsa.sa.gov.au/record=b2062191")</f>
        <v>https://www.catalog.slsa.sa.gov.au/record=b2062191</v>
      </c>
      <c r="C7715" s="1" t="str">
        <f>HYPERLINK("https://www.catalog.slsa.sa.gov.au/xrecord=b2062191")</f>
        <v>https://www.catalog.slsa.sa.gov.au/xrecord=b2062191</v>
      </c>
      <c r="D7715" t="s">
        <v>16831</v>
      </c>
      <c r="E7715" t="s">
        <v>10268</v>
      </c>
      <c r="F7715">
        <v>1956</v>
      </c>
      <c r="G7715" t="s">
        <v>5070</v>
      </c>
      <c r="H7715" t="s">
        <v>26056</v>
      </c>
      <c r="J7715" t="s">
        <v>26057</v>
      </c>
      <c r="K7715" s="2" t="str">
        <f>HYPERLINK("http://collections.slsa.sa.gov.au/mpcimg/13750/B13646.htm")</f>
        <v>http://collections.slsa.sa.gov.au/mpcimg/13750/B13646.htm</v>
      </c>
    </row>
    <row r="7716" spans="1:11" x14ac:dyDescent="0.25">
      <c r="A7716" t="s">
        <v>26058</v>
      </c>
      <c r="B7716" s="1" t="str">
        <f>HYPERLINK("https://www.catalog.slsa.sa.gov.au/record=b2062211")</f>
        <v>https://www.catalog.slsa.sa.gov.au/record=b2062211</v>
      </c>
      <c r="C7716" s="1" t="str">
        <f>HYPERLINK("https://www.catalog.slsa.sa.gov.au/xrecord=b2062211")</f>
        <v>https://www.catalog.slsa.sa.gov.au/xrecord=b2062211</v>
      </c>
      <c r="D7716" t="s">
        <v>16831</v>
      </c>
      <c r="E7716" t="s">
        <v>20974</v>
      </c>
      <c r="F7716">
        <v>1956</v>
      </c>
      <c r="G7716" t="s">
        <v>5070</v>
      </c>
      <c r="H7716" t="s">
        <v>26059</v>
      </c>
      <c r="J7716" t="s">
        <v>24542</v>
      </c>
      <c r="K7716" s="2" t="str">
        <f>HYPERLINK("http://collections.slsa.sa.gov.au/mpcimg/13750/B13720.htm")</f>
        <v>http://collections.slsa.sa.gov.au/mpcimg/13750/B13720.htm</v>
      </c>
    </row>
    <row r="7717" spans="1:11" x14ac:dyDescent="0.25">
      <c r="A7717" t="s">
        <v>26060</v>
      </c>
      <c r="B7717" s="1" t="str">
        <f>HYPERLINK("https://www.catalog.slsa.sa.gov.au/record=b2062297")</f>
        <v>https://www.catalog.slsa.sa.gov.au/record=b2062297</v>
      </c>
      <c r="C7717" s="1" t="str">
        <f>HYPERLINK("https://www.catalog.slsa.sa.gov.au/xrecord=b2062297")</f>
        <v>https://www.catalog.slsa.sa.gov.au/xrecord=b2062297</v>
      </c>
      <c r="D7717" t="s">
        <v>16831</v>
      </c>
      <c r="E7717" t="s">
        <v>10268</v>
      </c>
      <c r="F7717">
        <v>1956</v>
      </c>
      <c r="G7717" t="s">
        <v>5070</v>
      </c>
      <c r="H7717" t="s">
        <v>26061</v>
      </c>
      <c r="J7717" t="s">
        <v>26062</v>
      </c>
      <c r="K7717" s="2" t="str">
        <f>HYPERLINK("http://collections.slsa.sa.gov.au/mpcimg/13750/B13731.htm")</f>
        <v>http://collections.slsa.sa.gov.au/mpcimg/13750/B13731.htm</v>
      </c>
    </row>
    <row r="7718" spans="1:11" x14ac:dyDescent="0.25">
      <c r="A7718" t="s">
        <v>26063</v>
      </c>
      <c r="B7718" s="1" t="str">
        <f>HYPERLINK("https://www.catalog.slsa.sa.gov.au/record=b2062332")</f>
        <v>https://www.catalog.slsa.sa.gov.au/record=b2062332</v>
      </c>
      <c r="C7718" s="1" t="str">
        <f>HYPERLINK("https://www.catalog.slsa.sa.gov.au/xrecord=b2062332")</f>
        <v>https://www.catalog.slsa.sa.gov.au/xrecord=b2062332</v>
      </c>
      <c r="D7718" t="s">
        <v>16831</v>
      </c>
      <c r="E7718" t="s">
        <v>16771</v>
      </c>
      <c r="F7718">
        <v>1956</v>
      </c>
      <c r="G7718" t="s">
        <v>5070</v>
      </c>
      <c r="H7718" t="s">
        <v>26064</v>
      </c>
      <c r="J7718" t="s">
        <v>24555</v>
      </c>
      <c r="K7718" s="2" t="str">
        <f>HYPERLINK("http://collections.slsa.sa.gov.au/mpcimg/13750/B13652.htm")</f>
        <v>http://collections.slsa.sa.gov.au/mpcimg/13750/B13652.htm</v>
      </c>
    </row>
    <row r="7719" spans="1:11" x14ac:dyDescent="0.25">
      <c r="A7719" t="s">
        <v>26065</v>
      </c>
      <c r="B7719" s="1" t="str">
        <f>HYPERLINK("https://www.catalog.slsa.sa.gov.au/record=b2062364")</f>
        <v>https://www.catalog.slsa.sa.gov.au/record=b2062364</v>
      </c>
      <c r="C7719" s="1" t="str">
        <f>HYPERLINK("https://www.catalog.slsa.sa.gov.au/xrecord=b2062364")</f>
        <v>https://www.catalog.slsa.sa.gov.au/xrecord=b2062364</v>
      </c>
      <c r="D7719" t="s">
        <v>16831</v>
      </c>
      <c r="E7719" t="s">
        <v>21212</v>
      </c>
      <c r="F7719">
        <v>1956</v>
      </c>
      <c r="G7719" t="s">
        <v>5070</v>
      </c>
      <c r="H7719" t="s">
        <v>26066</v>
      </c>
      <c r="J7719" t="s">
        <v>24561</v>
      </c>
      <c r="K7719" s="2" t="str">
        <f>HYPERLINK("http://collections.slsa.sa.gov.au/mpcimg/13750/B13615.htm")</f>
        <v>http://collections.slsa.sa.gov.au/mpcimg/13750/B13615.htm</v>
      </c>
    </row>
    <row r="7720" spans="1:11" x14ac:dyDescent="0.25">
      <c r="A7720" t="s">
        <v>26067</v>
      </c>
      <c r="B7720" s="1" t="str">
        <f>HYPERLINK("https://www.catalog.slsa.sa.gov.au/record=b2062378")</f>
        <v>https://www.catalog.slsa.sa.gov.au/record=b2062378</v>
      </c>
      <c r="C7720" s="1" t="str">
        <f>HYPERLINK("https://www.catalog.slsa.sa.gov.au/xrecord=b2062378")</f>
        <v>https://www.catalog.slsa.sa.gov.au/xrecord=b2062378</v>
      </c>
      <c r="D7720" t="s">
        <v>16831</v>
      </c>
      <c r="E7720" t="s">
        <v>21212</v>
      </c>
      <c r="F7720">
        <v>1956</v>
      </c>
      <c r="G7720" t="s">
        <v>5070</v>
      </c>
      <c r="H7720" t="s">
        <v>26068</v>
      </c>
      <c r="J7720" t="s">
        <v>21230</v>
      </c>
      <c r="K7720" s="2" t="str">
        <f>HYPERLINK("http://collections.slsa.sa.gov.au/mpcimg/13750/B13616.htm")</f>
        <v>http://collections.slsa.sa.gov.au/mpcimg/13750/B13616.htm</v>
      </c>
    </row>
    <row r="7721" spans="1:11" x14ac:dyDescent="0.25">
      <c r="A7721" t="s">
        <v>26069</v>
      </c>
      <c r="B7721" s="1" t="str">
        <f>HYPERLINK("https://www.catalog.slsa.sa.gov.au/record=b2062412")</f>
        <v>https://www.catalog.slsa.sa.gov.au/record=b2062412</v>
      </c>
      <c r="C7721" s="1" t="str">
        <f>HYPERLINK("https://www.catalog.slsa.sa.gov.au/xrecord=b2062412")</f>
        <v>https://www.catalog.slsa.sa.gov.au/xrecord=b2062412</v>
      </c>
      <c r="D7721" t="s">
        <v>16831</v>
      </c>
      <c r="E7721" t="s">
        <v>21212</v>
      </c>
      <c r="F7721">
        <v>1956</v>
      </c>
      <c r="G7721" t="s">
        <v>5070</v>
      </c>
      <c r="H7721" t="s">
        <v>26070</v>
      </c>
      <c r="J7721" t="s">
        <v>26071</v>
      </c>
      <c r="K7721" s="2" t="str">
        <f>HYPERLINK("http://collections.slsa.sa.gov.au/mpcimg/13750/B13696.htm")</f>
        <v>http://collections.slsa.sa.gov.au/mpcimg/13750/B13696.htm</v>
      </c>
    </row>
    <row r="7722" spans="1:11" x14ac:dyDescent="0.25">
      <c r="A7722" t="s">
        <v>26072</v>
      </c>
      <c r="B7722" s="1" t="str">
        <f>HYPERLINK("https://www.catalog.slsa.sa.gov.au/record=b2062413")</f>
        <v>https://www.catalog.slsa.sa.gov.au/record=b2062413</v>
      </c>
      <c r="C7722" s="1" t="str">
        <f>HYPERLINK("https://www.catalog.slsa.sa.gov.au/xrecord=b2062413")</f>
        <v>https://www.catalog.slsa.sa.gov.au/xrecord=b2062413</v>
      </c>
      <c r="D7722" t="s">
        <v>16831</v>
      </c>
      <c r="E7722" t="s">
        <v>21212</v>
      </c>
      <c r="F7722">
        <v>1956</v>
      </c>
      <c r="G7722" t="s">
        <v>5070</v>
      </c>
      <c r="H7722" t="s">
        <v>26073</v>
      </c>
      <c r="J7722" t="s">
        <v>26071</v>
      </c>
      <c r="K7722" s="2" t="str">
        <f>HYPERLINK("http://collections.slsa.sa.gov.au/mpcimg/13750/B13701.htm")</f>
        <v>http://collections.slsa.sa.gov.au/mpcimg/13750/B13701.htm</v>
      </c>
    </row>
    <row r="7723" spans="1:11" x14ac:dyDescent="0.25">
      <c r="A7723" t="s">
        <v>26074</v>
      </c>
      <c r="B7723" s="1" t="str">
        <f>HYPERLINK("https://www.catalog.slsa.sa.gov.au/record=b2062414")</f>
        <v>https://www.catalog.slsa.sa.gov.au/record=b2062414</v>
      </c>
      <c r="C7723" s="1" t="str">
        <f>HYPERLINK("https://www.catalog.slsa.sa.gov.au/xrecord=b2062414")</f>
        <v>https://www.catalog.slsa.sa.gov.au/xrecord=b2062414</v>
      </c>
      <c r="D7723" t="s">
        <v>16831</v>
      </c>
      <c r="E7723" t="s">
        <v>21212</v>
      </c>
      <c r="F7723">
        <v>1956</v>
      </c>
      <c r="G7723" t="s">
        <v>5070</v>
      </c>
      <c r="H7723" t="s">
        <v>26075</v>
      </c>
      <c r="J7723" t="s">
        <v>26071</v>
      </c>
      <c r="K7723" s="2" t="str">
        <f>HYPERLINK("http://collections.slsa.sa.gov.au/mpcimg/13750/B13705.htm")</f>
        <v>http://collections.slsa.sa.gov.au/mpcimg/13750/B13705.htm</v>
      </c>
    </row>
    <row r="7724" spans="1:11" x14ac:dyDescent="0.25">
      <c r="A7724" t="s">
        <v>26076</v>
      </c>
      <c r="B7724" s="1" t="str">
        <f>HYPERLINK("https://www.catalog.slsa.sa.gov.au/record=b2062465")</f>
        <v>https://www.catalog.slsa.sa.gov.au/record=b2062465</v>
      </c>
      <c r="C7724" s="1" t="str">
        <f>HYPERLINK("https://www.catalog.slsa.sa.gov.au/xrecord=b2062465")</f>
        <v>https://www.catalog.slsa.sa.gov.au/xrecord=b2062465</v>
      </c>
      <c r="D7724" t="s">
        <v>16831</v>
      </c>
      <c r="E7724" t="s">
        <v>16786</v>
      </c>
      <c r="F7724">
        <v>1956</v>
      </c>
      <c r="G7724" t="s">
        <v>5070</v>
      </c>
      <c r="H7724" t="s">
        <v>26077</v>
      </c>
      <c r="J7724" t="s">
        <v>24060</v>
      </c>
      <c r="K7724" s="2" t="str">
        <f>HYPERLINK("http://collections.slsa.sa.gov.au/mpcimg/13750/B13716.htm")</f>
        <v>http://collections.slsa.sa.gov.au/mpcimg/13750/B13716.htm</v>
      </c>
    </row>
    <row r="7725" spans="1:11" x14ac:dyDescent="0.25">
      <c r="A7725" t="s">
        <v>26078</v>
      </c>
      <c r="B7725" s="1" t="str">
        <f>HYPERLINK("https://www.catalog.slsa.sa.gov.au/record=b2062466")</f>
        <v>https://www.catalog.slsa.sa.gov.au/record=b2062466</v>
      </c>
      <c r="C7725" s="1" t="str">
        <f>HYPERLINK("https://www.catalog.slsa.sa.gov.au/xrecord=b2062466")</f>
        <v>https://www.catalog.slsa.sa.gov.au/xrecord=b2062466</v>
      </c>
      <c r="D7725" t="s">
        <v>16831</v>
      </c>
      <c r="E7725" t="s">
        <v>16786</v>
      </c>
      <c r="F7725">
        <v>1956</v>
      </c>
      <c r="G7725" t="s">
        <v>5070</v>
      </c>
      <c r="H7725" t="s">
        <v>26079</v>
      </c>
      <c r="J7725" t="s">
        <v>24060</v>
      </c>
      <c r="K7725" s="2" t="str">
        <f>HYPERLINK("http://collections.slsa.sa.gov.au/mpcimg/13750/B13717.htm")</f>
        <v>http://collections.slsa.sa.gov.au/mpcimg/13750/B13717.htm</v>
      </c>
    </row>
    <row r="7726" spans="1:11" x14ac:dyDescent="0.25">
      <c r="A7726" t="s">
        <v>26080</v>
      </c>
      <c r="B7726" s="1" t="str">
        <f>HYPERLINK("https://www.catalog.slsa.sa.gov.au/record=b2062472")</f>
        <v>https://www.catalog.slsa.sa.gov.au/record=b2062472</v>
      </c>
      <c r="C7726" s="1" t="str">
        <f>HYPERLINK("https://www.catalog.slsa.sa.gov.au/xrecord=b2062472")</f>
        <v>https://www.catalog.slsa.sa.gov.au/xrecord=b2062472</v>
      </c>
      <c r="D7726" t="s">
        <v>16831</v>
      </c>
      <c r="E7726" t="s">
        <v>26081</v>
      </c>
      <c r="F7726">
        <v>1956</v>
      </c>
      <c r="G7726" t="s">
        <v>5070</v>
      </c>
      <c r="H7726" t="s">
        <v>26082</v>
      </c>
      <c r="J7726" t="s">
        <v>24574</v>
      </c>
      <c r="K7726" s="2" t="str">
        <f>HYPERLINK("http://collections.slsa.sa.gov.au/mpcimg/13750/B13620.htm")</f>
        <v>http://collections.slsa.sa.gov.au/mpcimg/13750/B13620.htm</v>
      </c>
    </row>
    <row r="7727" spans="1:11" x14ac:dyDescent="0.25">
      <c r="A7727" t="s">
        <v>26083</v>
      </c>
      <c r="B7727" s="1" t="str">
        <f>HYPERLINK("https://www.catalog.slsa.sa.gov.au/record=b2062514")</f>
        <v>https://www.catalog.slsa.sa.gov.au/record=b2062514</v>
      </c>
      <c r="C7727" s="1" t="str">
        <f>HYPERLINK("https://www.catalog.slsa.sa.gov.au/xrecord=b2062514")</f>
        <v>https://www.catalog.slsa.sa.gov.au/xrecord=b2062514</v>
      </c>
      <c r="D7727" t="s">
        <v>16831</v>
      </c>
      <c r="E7727" t="s">
        <v>21236</v>
      </c>
      <c r="F7727">
        <v>1956</v>
      </c>
      <c r="G7727" t="s">
        <v>5070</v>
      </c>
      <c r="H7727" t="s">
        <v>26084</v>
      </c>
      <c r="J7727" t="s">
        <v>26085</v>
      </c>
      <c r="K7727" s="2" t="str">
        <f>HYPERLINK("http://collections.slsa.sa.gov.au/mpcimg/13750/B13618.htm")</f>
        <v>http://collections.slsa.sa.gov.au/mpcimg/13750/B13618.htm</v>
      </c>
    </row>
    <row r="7728" spans="1:11" x14ac:dyDescent="0.25">
      <c r="A7728" t="s">
        <v>26086</v>
      </c>
      <c r="B7728" s="1" t="str">
        <f>HYPERLINK("https://www.catalog.slsa.sa.gov.au/record=b2062574")</f>
        <v>https://www.catalog.slsa.sa.gov.au/record=b2062574</v>
      </c>
      <c r="C7728" s="1" t="str">
        <f>HYPERLINK("https://www.catalog.slsa.sa.gov.au/xrecord=b2062574")</f>
        <v>https://www.catalog.slsa.sa.gov.au/xrecord=b2062574</v>
      </c>
      <c r="D7728" t="s">
        <v>16831</v>
      </c>
      <c r="E7728" t="s">
        <v>16827</v>
      </c>
      <c r="F7728">
        <v>1956</v>
      </c>
      <c r="G7728" t="s">
        <v>5070</v>
      </c>
      <c r="H7728" t="s">
        <v>26087</v>
      </c>
      <c r="J7728" t="s">
        <v>24591</v>
      </c>
      <c r="K7728" s="2" t="str">
        <f>HYPERLINK("http://collections.slsa.sa.gov.au/mpcimg/13750/B13651.htm")</f>
        <v>http://collections.slsa.sa.gov.au/mpcimg/13750/B13651.htm</v>
      </c>
    </row>
    <row r="7729" spans="1:11" x14ac:dyDescent="0.25">
      <c r="A7729" t="s">
        <v>26088</v>
      </c>
      <c r="B7729" s="1" t="str">
        <f>HYPERLINK("https://www.catalog.slsa.sa.gov.au/record=b2062580")</f>
        <v>https://www.catalog.slsa.sa.gov.au/record=b2062580</v>
      </c>
      <c r="C7729" s="1" t="str">
        <f>HYPERLINK("https://www.catalog.slsa.sa.gov.au/xrecord=b2062580")</f>
        <v>https://www.catalog.slsa.sa.gov.au/xrecord=b2062580</v>
      </c>
      <c r="D7729" t="s">
        <v>16831</v>
      </c>
      <c r="E7729" t="s">
        <v>21236</v>
      </c>
      <c r="F7729">
        <v>1956</v>
      </c>
      <c r="G7729" t="s">
        <v>5070</v>
      </c>
      <c r="H7729" t="s">
        <v>26089</v>
      </c>
      <c r="J7729" t="s">
        <v>25564</v>
      </c>
      <c r="K7729" s="2" t="str">
        <f>HYPERLINK("http://collections.slsa.sa.gov.au/mpcimg/13750/B13597.htm")</f>
        <v>http://collections.slsa.sa.gov.au/mpcimg/13750/B13597.htm</v>
      </c>
    </row>
    <row r="7730" spans="1:11" x14ac:dyDescent="0.25">
      <c r="A7730" t="s">
        <v>26090</v>
      </c>
      <c r="B7730" s="1" t="str">
        <f>HYPERLINK("https://www.catalog.slsa.sa.gov.au/record=b2062581")</f>
        <v>https://www.catalog.slsa.sa.gov.au/record=b2062581</v>
      </c>
      <c r="C7730" s="1" t="str">
        <f>HYPERLINK("https://www.catalog.slsa.sa.gov.au/xrecord=b2062581")</f>
        <v>https://www.catalog.slsa.sa.gov.au/xrecord=b2062581</v>
      </c>
      <c r="D7730" t="s">
        <v>16831</v>
      </c>
      <c r="E7730" t="s">
        <v>21236</v>
      </c>
      <c r="F7730">
        <v>1956</v>
      </c>
      <c r="G7730" t="s">
        <v>5070</v>
      </c>
      <c r="H7730" t="s">
        <v>26091</v>
      </c>
      <c r="J7730" t="s">
        <v>25564</v>
      </c>
      <c r="K7730" s="2" t="str">
        <f>HYPERLINK("http://collections.slsa.sa.gov.au/mpcimg/13750/B13674.htm")</f>
        <v>http://collections.slsa.sa.gov.au/mpcimg/13750/B13674.htm</v>
      </c>
    </row>
    <row r="7731" spans="1:11" x14ac:dyDescent="0.25">
      <c r="A7731" t="s">
        <v>26092</v>
      </c>
      <c r="B7731" s="1" t="str">
        <f>HYPERLINK("https://www.catalog.slsa.sa.gov.au/record=b2062592")</f>
        <v>https://www.catalog.slsa.sa.gov.au/record=b2062592</v>
      </c>
      <c r="C7731" s="1" t="str">
        <f>HYPERLINK("https://www.catalog.slsa.sa.gov.au/xrecord=b2062592")</f>
        <v>https://www.catalog.slsa.sa.gov.au/xrecord=b2062592</v>
      </c>
      <c r="D7731" t="s">
        <v>16831</v>
      </c>
      <c r="E7731" t="s">
        <v>21236</v>
      </c>
      <c r="F7731">
        <v>1956</v>
      </c>
      <c r="G7731" t="s">
        <v>5070</v>
      </c>
      <c r="H7731" t="s">
        <v>26093</v>
      </c>
      <c r="J7731" t="s">
        <v>24594</v>
      </c>
      <c r="K7731" s="2" t="str">
        <f>HYPERLINK("http://collections.slsa.sa.gov.au/mpcimg/13750/B13599.htm")</f>
        <v>http://collections.slsa.sa.gov.au/mpcimg/13750/B13599.htm</v>
      </c>
    </row>
    <row r="7732" spans="1:11" x14ac:dyDescent="0.25">
      <c r="A7732" t="s">
        <v>26094</v>
      </c>
      <c r="B7732" s="1" t="str">
        <f>HYPERLINK("https://www.catalog.slsa.sa.gov.au/record=b2062593")</f>
        <v>https://www.catalog.slsa.sa.gov.au/record=b2062593</v>
      </c>
      <c r="C7732" s="1" t="str">
        <f>HYPERLINK("https://www.catalog.slsa.sa.gov.au/xrecord=b2062593")</f>
        <v>https://www.catalog.slsa.sa.gov.au/xrecord=b2062593</v>
      </c>
      <c r="D7732" t="s">
        <v>16831</v>
      </c>
      <c r="E7732" t="s">
        <v>26095</v>
      </c>
      <c r="F7732">
        <v>1956</v>
      </c>
      <c r="G7732" t="s">
        <v>5070</v>
      </c>
      <c r="H7732" t="s">
        <v>26096</v>
      </c>
      <c r="J7732" t="s">
        <v>24594</v>
      </c>
      <c r="K7732" s="2" t="str">
        <f>HYPERLINK("http://collections.slsa.sa.gov.au/mpcimg/13750/B13600.htm")</f>
        <v>http://collections.slsa.sa.gov.au/mpcimg/13750/B13600.htm</v>
      </c>
    </row>
    <row r="7733" spans="1:11" x14ac:dyDescent="0.25">
      <c r="A7733" t="s">
        <v>26097</v>
      </c>
      <c r="B7733" s="1" t="str">
        <f>HYPERLINK("https://www.catalog.slsa.sa.gov.au/record=b2062596")</f>
        <v>https://www.catalog.slsa.sa.gov.au/record=b2062596</v>
      </c>
      <c r="C7733" s="1" t="str">
        <f>HYPERLINK("https://www.catalog.slsa.sa.gov.au/xrecord=b2062596")</f>
        <v>https://www.catalog.slsa.sa.gov.au/xrecord=b2062596</v>
      </c>
      <c r="D7733" t="s">
        <v>16831</v>
      </c>
      <c r="E7733" t="s">
        <v>21236</v>
      </c>
      <c r="F7733">
        <v>1956</v>
      </c>
      <c r="G7733" t="s">
        <v>5070</v>
      </c>
      <c r="H7733" t="s">
        <v>26098</v>
      </c>
      <c r="J7733" t="s">
        <v>24594</v>
      </c>
      <c r="K7733" s="2" t="str">
        <f>HYPERLINK("http://collections.slsa.sa.gov.au/mpcimg/13750/B13730.htm")</f>
        <v>http://collections.slsa.sa.gov.au/mpcimg/13750/B13730.htm</v>
      </c>
    </row>
    <row r="7734" spans="1:11" x14ac:dyDescent="0.25">
      <c r="A7734" t="s">
        <v>26099</v>
      </c>
      <c r="B7734" s="1" t="str">
        <f>HYPERLINK("https://www.catalog.slsa.sa.gov.au/record=b2062624")</f>
        <v>https://www.catalog.slsa.sa.gov.au/record=b2062624</v>
      </c>
      <c r="C7734" s="1" t="str">
        <f>HYPERLINK("https://www.catalog.slsa.sa.gov.au/xrecord=b2062624")</f>
        <v>https://www.catalog.slsa.sa.gov.au/xrecord=b2062624</v>
      </c>
      <c r="D7734" t="s">
        <v>16831</v>
      </c>
      <c r="E7734" t="s">
        <v>16771</v>
      </c>
      <c r="F7734">
        <v>1956</v>
      </c>
      <c r="G7734" t="s">
        <v>5070</v>
      </c>
      <c r="H7734" t="s">
        <v>26100</v>
      </c>
      <c r="J7734" t="s">
        <v>16834</v>
      </c>
      <c r="K7734" s="2" t="str">
        <f>HYPERLINK("http://collections.slsa.sa.gov.au/mpcimg/13750/B13713.htm")</f>
        <v>http://collections.slsa.sa.gov.au/mpcimg/13750/B13713.htm</v>
      </c>
    </row>
    <row r="7735" spans="1:11" x14ac:dyDescent="0.25">
      <c r="A7735" t="s">
        <v>26101</v>
      </c>
      <c r="B7735" s="1" t="str">
        <f>HYPERLINK("https://www.catalog.slsa.sa.gov.au/record=b2062735")</f>
        <v>https://www.catalog.slsa.sa.gov.au/record=b2062735</v>
      </c>
      <c r="C7735" s="1" t="str">
        <f>HYPERLINK("https://www.catalog.slsa.sa.gov.au/xrecord=b2062735")</f>
        <v>https://www.catalog.slsa.sa.gov.au/xrecord=b2062735</v>
      </c>
      <c r="D7735" t="s">
        <v>16831</v>
      </c>
      <c r="E7735" t="s">
        <v>20974</v>
      </c>
      <c r="F7735">
        <v>1956</v>
      </c>
      <c r="G7735" t="s">
        <v>5070</v>
      </c>
      <c r="H7735" t="s">
        <v>26102</v>
      </c>
      <c r="J7735" t="s">
        <v>24619</v>
      </c>
      <c r="K7735" s="2" t="str">
        <f>HYPERLINK("http://collections.slsa.sa.gov.au/mpcimg/13750/B13610.htm")</f>
        <v>http://collections.slsa.sa.gov.au/mpcimg/13750/B13610.htm</v>
      </c>
    </row>
    <row r="7736" spans="1:11" x14ac:dyDescent="0.25">
      <c r="A7736" t="s">
        <v>26103</v>
      </c>
      <c r="B7736" s="1" t="str">
        <f>HYPERLINK("https://www.catalog.slsa.sa.gov.au/record=b2062849")</f>
        <v>https://www.catalog.slsa.sa.gov.au/record=b2062849</v>
      </c>
      <c r="C7736" s="1" t="str">
        <f>HYPERLINK("https://www.catalog.slsa.sa.gov.au/xrecord=b2062849")</f>
        <v>https://www.catalog.slsa.sa.gov.au/xrecord=b2062849</v>
      </c>
      <c r="D7736" t="s">
        <v>16831</v>
      </c>
      <c r="E7736" t="s">
        <v>16771</v>
      </c>
      <c r="F7736">
        <v>1956</v>
      </c>
      <c r="G7736" t="s">
        <v>5070</v>
      </c>
      <c r="H7736" t="s">
        <v>26104</v>
      </c>
      <c r="J7736" t="s">
        <v>21272</v>
      </c>
      <c r="K7736" s="2" t="str">
        <f>HYPERLINK("http://collections.slsa.sa.gov.au/mpcimg/13750/B13586.htm")</f>
        <v>http://collections.slsa.sa.gov.au/mpcimg/13750/B13586.htm</v>
      </c>
    </row>
    <row r="7737" spans="1:11" x14ac:dyDescent="0.25">
      <c r="A7737" t="s">
        <v>26105</v>
      </c>
      <c r="B7737" s="1" t="str">
        <f>HYPERLINK("https://www.catalog.slsa.sa.gov.au/record=b2062856")</f>
        <v>https://www.catalog.slsa.sa.gov.au/record=b2062856</v>
      </c>
      <c r="C7737" s="1" t="str">
        <f>HYPERLINK("https://www.catalog.slsa.sa.gov.au/xrecord=b2062856")</f>
        <v>https://www.catalog.slsa.sa.gov.au/xrecord=b2062856</v>
      </c>
      <c r="D7737" t="s">
        <v>16831</v>
      </c>
      <c r="E7737" t="s">
        <v>16771</v>
      </c>
      <c r="F7737">
        <v>1956</v>
      </c>
      <c r="G7737" t="s">
        <v>5070</v>
      </c>
      <c r="H7737" t="s">
        <v>26106</v>
      </c>
      <c r="J7737" t="s">
        <v>21275</v>
      </c>
      <c r="K7737" s="2" t="str">
        <f>HYPERLINK("http://collections.slsa.sa.gov.au/mpcimg/13750/B13585.htm")</f>
        <v>http://collections.slsa.sa.gov.au/mpcimg/13750/B13585.htm</v>
      </c>
    </row>
    <row r="7738" spans="1:11" x14ac:dyDescent="0.25">
      <c r="A7738" t="s">
        <v>26107</v>
      </c>
      <c r="B7738" s="1" t="str">
        <f>HYPERLINK("https://www.catalog.slsa.sa.gov.au/record=b2062863")</f>
        <v>https://www.catalog.slsa.sa.gov.au/record=b2062863</v>
      </c>
      <c r="C7738" s="1" t="str">
        <f>HYPERLINK("https://www.catalog.slsa.sa.gov.au/xrecord=b2062863")</f>
        <v>https://www.catalog.slsa.sa.gov.au/xrecord=b2062863</v>
      </c>
      <c r="D7738" t="s">
        <v>16831</v>
      </c>
      <c r="E7738" t="s">
        <v>21277</v>
      </c>
      <c r="F7738">
        <v>1956</v>
      </c>
      <c r="G7738" t="s">
        <v>5070</v>
      </c>
      <c r="H7738" t="s">
        <v>26108</v>
      </c>
      <c r="J7738" t="s">
        <v>21281</v>
      </c>
      <c r="K7738" s="2" t="str">
        <f>HYPERLINK("http://collections.slsa.sa.gov.au/mpcimg/13750/B13669.htm")</f>
        <v>http://collections.slsa.sa.gov.au/mpcimg/13750/B13669.htm</v>
      </c>
    </row>
    <row r="7739" spans="1:11" x14ac:dyDescent="0.25">
      <c r="A7739" t="s">
        <v>26109</v>
      </c>
      <c r="B7739" s="1" t="str">
        <f>HYPERLINK("https://www.catalog.slsa.sa.gov.au/record=b2062867")</f>
        <v>https://www.catalog.slsa.sa.gov.au/record=b2062867</v>
      </c>
      <c r="C7739" s="1" t="str">
        <f>HYPERLINK("https://www.catalog.slsa.sa.gov.au/xrecord=b2062867")</f>
        <v>https://www.catalog.slsa.sa.gov.au/xrecord=b2062867</v>
      </c>
      <c r="D7739" t="s">
        <v>16831</v>
      </c>
      <c r="E7739" t="s">
        <v>21277</v>
      </c>
      <c r="F7739">
        <v>1956</v>
      </c>
      <c r="G7739" t="s">
        <v>5070</v>
      </c>
      <c r="H7739" t="s">
        <v>26110</v>
      </c>
      <c r="J7739" t="s">
        <v>26111</v>
      </c>
      <c r="K7739" s="2" t="str">
        <f>HYPERLINK("http://collections.slsa.sa.gov.au/mpcimg/13750/B13668.htm")</f>
        <v>http://collections.slsa.sa.gov.au/mpcimg/13750/B13668.htm</v>
      </c>
    </row>
    <row r="7740" spans="1:11" x14ac:dyDescent="0.25">
      <c r="A7740" t="s">
        <v>26112</v>
      </c>
      <c r="B7740" s="1" t="str">
        <f>HYPERLINK("https://www.catalog.slsa.sa.gov.au/record=b2062883")</f>
        <v>https://www.catalog.slsa.sa.gov.au/record=b2062883</v>
      </c>
      <c r="C7740" s="1" t="str">
        <f>HYPERLINK("https://www.catalog.slsa.sa.gov.au/xrecord=b2062883")</f>
        <v>https://www.catalog.slsa.sa.gov.au/xrecord=b2062883</v>
      </c>
      <c r="D7740" t="s">
        <v>16831</v>
      </c>
      <c r="E7740" t="s">
        <v>21236</v>
      </c>
      <c r="F7740">
        <v>1956</v>
      </c>
      <c r="G7740" t="s">
        <v>5070</v>
      </c>
      <c r="H7740" t="s">
        <v>26113</v>
      </c>
      <c r="J7740" t="s">
        <v>21285</v>
      </c>
      <c r="K7740" s="2" t="str">
        <f>HYPERLINK("http://collections.slsa.sa.gov.au/mpcimg/13750/B13598.htm")</f>
        <v>http://collections.slsa.sa.gov.au/mpcimg/13750/B13598.htm</v>
      </c>
    </row>
    <row r="7741" spans="1:11" x14ac:dyDescent="0.25">
      <c r="A7741" t="s">
        <v>26114</v>
      </c>
      <c r="B7741" s="1" t="str">
        <f>HYPERLINK("https://www.catalog.slsa.sa.gov.au/record=b2062898")</f>
        <v>https://www.catalog.slsa.sa.gov.au/record=b2062898</v>
      </c>
      <c r="C7741" s="1" t="str">
        <f>HYPERLINK("https://www.catalog.slsa.sa.gov.au/xrecord=b2062898")</f>
        <v>https://www.catalog.slsa.sa.gov.au/xrecord=b2062898</v>
      </c>
      <c r="D7741" t="s">
        <v>16831</v>
      </c>
      <c r="E7741" t="s">
        <v>21236</v>
      </c>
      <c r="F7741">
        <v>1956</v>
      </c>
      <c r="G7741" t="s">
        <v>25786</v>
      </c>
      <c r="H7741" t="s">
        <v>26115</v>
      </c>
      <c r="J7741" t="s">
        <v>22159</v>
      </c>
      <c r="K7741" s="2" t="str">
        <f>HYPERLINK("http://collections.slsa.sa.gov.au/mpcimg/14000/B13816.htm")</f>
        <v>http://collections.slsa.sa.gov.au/mpcimg/14000/B13816.htm</v>
      </c>
    </row>
    <row r="7742" spans="1:11" x14ac:dyDescent="0.25">
      <c r="A7742" t="s">
        <v>26116</v>
      </c>
      <c r="B7742" s="1" t="str">
        <f>HYPERLINK("https://www.catalog.slsa.sa.gov.au/record=b2062908")</f>
        <v>https://www.catalog.slsa.sa.gov.au/record=b2062908</v>
      </c>
      <c r="C7742" s="1" t="str">
        <f>HYPERLINK("https://www.catalog.slsa.sa.gov.au/xrecord=b2062908")</f>
        <v>https://www.catalog.slsa.sa.gov.au/xrecord=b2062908</v>
      </c>
      <c r="D7742" t="s">
        <v>16831</v>
      </c>
      <c r="E7742" t="s">
        <v>21277</v>
      </c>
      <c r="F7742">
        <v>1956</v>
      </c>
      <c r="G7742" t="s">
        <v>5070</v>
      </c>
      <c r="H7742" t="s">
        <v>26117</v>
      </c>
      <c r="J7742" t="s">
        <v>26118</v>
      </c>
      <c r="K7742" s="2" t="str">
        <f>HYPERLINK("http://collections.slsa.sa.gov.au/mpcimg/13750/B13596.htm")</f>
        <v>http://collections.slsa.sa.gov.au/mpcimg/13750/B13596.htm</v>
      </c>
    </row>
    <row r="7743" spans="1:11" x14ac:dyDescent="0.25">
      <c r="A7743" t="s">
        <v>26119</v>
      </c>
      <c r="B7743" s="1" t="str">
        <f>HYPERLINK("https://www.catalog.slsa.sa.gov.au/record=b2062929")</f>
        <v>https://www.catalog.slsa.sa.gov.au/record=b2062929</v>
      </c>
      <c r="C7743" s="1" t="str">
        <f>HYPERLINK("https://www.catalog.slsa.sa.gov.au/xrecord=b2062929")</f>
        <v>https://www.catalog.slsa.sa.gov.au/xrecord=b2062929</v>
      </c>
      <c r="D7743" t="s">
        <v>16831</v>
      </c>
      <c r="E7743" t="s">
        <v>25538</v>
      </c>
      <c r="F7743">
        <v>1956</v>
      </c>
      <c r="G7743" t="s">
        <v>5070</v>
      </c>
      <c r="H7743" t="s">
        <v>26120</v>
      </c>
      <c r="J7743" t="s">
        <v>21291</v>
      </c>
      <c r="K7743" s="2" t="str">
        <f>HYPERLINK("http://collections.slsa.sa.gov.au/mpcimg/13750/B13623.htm")</f>
        <v>http://collections.slsa.sa.gov.au/mpcimg/13750/B13623.htm</v>
      </c>
    </row>
    <row r="7744" spans="1:11" x14ac:dyDescent="0.25">
      <c r="A7744" t="s">
        <v>26121</v>
      </c>
      <c r="B7744" s="1" t="str">
        <f>HYPERLINK("https://www.catalog.slsa.sa.gov.au/record=b2062930")</f>
        <v>https://www.catalog.slsa.sa.gov.au/record=b2062930</v>
      </c>
      <c r="C7744" s="1" t="str">
        <f>HYPERLINK("https://www.catalog.slsa.sa.gov.au/xrecord=b2062930")</f>
        <v>https://www.catalog.slsa.sa.gov.au/xrecord=b2062930</v>
      </c>
      <c r="D7744" t="s">
        <v>16831</v>
      </c>
      <c r="E7744" t="s">
        <v>25538</v>
      </c>
      <c r="F7744">
        <v>1956</v>
      </c>
      <c r="G7744" t="s">
        <v>5070</v>
      </c>
      <c r="H7744" t="s">
        <v>26122</v>
      </c>
      <c r="J7744" t="s">
        <v>21291</v>
      </c>
      <c r="K7744" s="2" t="str">
        <f>HYPERLINK("http://collections.slsa.sa.gov.au/mpcimg/13750/B13624.htm")</f>
        <v>http://collections.slsa.sa.gov.au/mpcimg/13750/B13624.htm</v>
      </c>
    </row>
    <row r="7745" spans="1:11" x14ac:dyDescent="0.25">
      <c r="A7745" t="s">
        <v>26123</v>
      </c>
      <c r="B7745" s="1" t="str">
        <f>HYPERLINK("https://www.catalog.slsa.sa.gov.au/record=b2063106")</f>
        <v>https://www.catalog.slsa.sa.gov.au/record=b2063106</v>
      </c>
      <c r="C7745" s="1" t="str">
        <f>HYPERLINK("https://www.catalog.slsa.sa.gov.au/xrecord=b2063106")</f>
        <v>https://www.catalog.slsa.sa.gov.au/xrecord=b2063106</v>
      </c>
      <c r="D7745" t="s">
        <v>16831</v>
      </c>
      <c r="E7745" t="s">
        <v>21304</v>
      </c>
      <c r="F7745">
        <v>1956</v>
      </c>
      <c r="G7745" t="s">
        <v>5070</v>
      </c>
      <c r="H7745" t="s">
        <v>26124</v>
      </c>
      <c r="J7745" t="s">
        <v>21314</v>
      </c>
      <c r="K7745" s="2" t="str">
        <f>HYPERLINK("http://collections.slsa.sa.gov.au/mpcimg/13750/B13675.htm")</f>
        <v>http://collections.slsa.sa.gov.au/mpcimg/13750/B13675.htm</v>
      </c>
    </row>
    <row r="7746" spans="1:11" x14ac:dyDescent="0.25">
      <c r="A7746" t="s">
        <v>26125</v>
      </c>
      <c r="B7746" s="1" t="str">
        <f>HYPERLINK("https://www.catalog.slsa.sa.gov.au/record=b2063107")</f>
        <v>https://www.catalog.slsa.sa.gov.au/record=b2063107</v>
      </c>
      <c r="C7746" s="1" t="str">
        <f>HYPERLINK("https://www.catalog.slsa.sa.gov.au/xrecord=b2063107")</f>
        <v>https://www.catalog.slsa.sa.gov.au/xrecord=b2063107</v>
      </c>
      <c r="D7746" t="s">
        <v>16831</v>
      </c>
      <c r="E7746" t="s">
        <v>21304</v>
      </c>
      <c r="F7746">
        <v>1956</v>
      </c>
      <c r="G7746" t="s">
        <v>25786</v>
      </c>
      <c r="H7746" t="s">
        <v>26126</v>
      </c>
      <c r="J7746" t="s">
        <v>21314</v>
      </c>
      <c r="K7746" s="2" t="str">
        <f>HYPERLINK("http://collections.slsa.sa.gov.au/mpcimg/14000/B13820.htm")</f>
        <v>http://collections.slsa.sa.gov.au/mpcimg/14000/B13820.htm</v>
      </c>
    </row>
    <row r="7747" spans="1:11" x14ac:dyDescent="0.25">
      <c r="A7747" t="s">
        <v>26127</v>
      </c>
      <c r="B7747" s="1" t="str">
        <f>HYPERLINK("https://www.catalog.slsa.sa.gov.au/record=b2063222")</f>
        <v>https://www.catalog.slsa.sa.gov.au/record=b2063222</v>
      </c>
      <c r="C7747" s="1" t="str">
        <f>HYPERLINK("https://www.catalog.slsa.sa.gov.au/xrecord=b2063222")</f>
        <v>https://www.catalog.slsa.sa.gov.au/xrecord=b2063222</v>
      </c>
      <c r="D7747" t="s">
        <v>16831</v>
      </c>
      <c r="E7747" t="s">
        <v>25599</v>
      </c>
      <c r="F7747">
        <v>1956</v>
      </c>
      <c r="G7747" t="s">
        <v>25786</v>
      </c>
      <c r="H7747" t="s">
        <v>26128</v>
      </c>
      <c r="J7747" t="s">
        <v>26129</v>
      </c>
      <c r="K7747" s="2" t="str">
        <f>HYPERLINK("http://collections.slsa.sa.gov.au/mpcimg/14000/B13828.htm")</f>
        <v>http://collections.slsa.sa.gov.au/mpcimg/14000/B13828.htm</v>
      </c>
    </row>
    <row r="7748" spans="1:11" x14ac:dyDescent="0.25">
      <c r="A7748" t="s">
        <v>26130</v>
      </c>
      <c r="B7748" s="1" t="str">
        <f>HYPERLINK("https://www.catalog.slsa.sa.gov.au/record=b2063854")</f>
        <v>https://www.catalog.slsa.sa.gov.au/record=b2063854</v>
      </c>
      <c r="C7748" s="1" t="str">
        <f>HYPERLINK("https://www.catalog.slsa.sa.gov.au/xrecord=b2063854")</f>
        <v>https://www.catalog.slsa.sa.gov.au/xrecord=b2063854</v>
      </c>
      <c r="D7748" t="s">
        <v>16831</v>
      </c>
      <c r="E7748" t="s">
        <v>26131</v>
      </c>
      <c r="F7748">
        <v>1956</v>
      </c>
      <c r="G7748" t="s">
        <v>25786</v>
      </c>
      <c r="H7748" t="s">
        <v>26132</v>
      </c>
      <c r="J7748" t="s">
        <v>26133</v>
      </c>
      <c r="K7748" s="2" t="str">
        <f>HYPERLINK("http://collections.slsa.sa.gov.au/mpcimg/14000/B13835.htm")</f>
        <v>http://collections.slsa.sa.gov.au/mpcimg/14000/B13835.htm</v>
      </c>
    </row>
    <row r="7749" spans="1:11" x14ac:dyDescent="0.25">
      <c r="A7749" t="s">
        <v>26134</v>
      </c>
      <c r="B7749" s="1" t="str">
        <f>HYPERLINK("https://www.catalog.slsa.sa.gov.au/record=b2063912")</f>
        <v>https://www.catalog.slsa.sa.gov.au/record=b2063912</v>
      </c>
      <c r="C7749" s="1" t="str">
        <f>HYPERLINK("https://www.catalog.slsa.sa.gov.au/xrecord=b2063912")</f>
        <v>https://www.catalog.slsa.sa.gov.au/xrecord=b2063912</v>
      </c>
      <c r="D7749" t="s">
        <v>16831</v>
      </c>
      <c r="E7749" t="s">
        <v>26135</v>
      </c>
      <c r="F7749">
        <v>1956</v>
      </c>
      <c r="G7749" t="s">
        <v>5070</v>
      </c>
      <c r="H7749" t="s">
        <v>26136</v>
      </c>
      <c r="J7749" t="s">
        <v>26137</v>
      </c>
      <c r="K7749" s="2" t="str">
        <f>HYPERLINK("http://collections.slsa.sa.gov.au/mpcimg/13750/B13682.htm")</f>
        <v>http://collections.slsa.sa.gov.au/mpcimg/13750/B13682.htm</v>
      </c>
    </row>
    <row r="7750" spans="1:11" x14ac:dyDescent="0.25">
      <c r="A7750" t="s">
        <v>26138</v>
      </c>
      <c r="B7750" s="1" t="str">
        <f>HYPERLINK("https://www.catalog.slsa.sa.gov.au/record=b2064115")</f>
        <v>https://www.catalog.slsa.sa.gov.au/record=b2064115</v>
      </c>
      <c r="C7750" s="1" t="str">
        <f>HYPERLINK("https://www.catalog.slsa.sa.gov.au/xrecord=b2064115")</f>
        <v>https://www.catalog.slsa.sa.gov.au/xrecord=b2064115</v>
      </c>
      <c r="D7750" t="s">
        <v>16831</v>
      </c>
      <c r="E7750" t="s">
        <v>25622</v>
      </c>
      <c r="F7750">
        <v>1956</v>
      </c>
      <c r="G7750" t="s">
        <v>25786</v>
      </c>
      <c r="H7750" t="s">
        <v>26139</v>
      </c>
      <c r="J7750" t="s">
        <v>25630</v>
      </c>
      <c r="K7750" s="2" t="str">
        <f>HYPERLINK("http://collections.slsa.sa.gov.au/mpcimg/14000/B13830.htm")</f>
        <v>http://collections.slsa.sa.gov.au/mpcimg/14000/B13830.htm</v>
      </c>
    </row>
    <row r="7751" spans="1:11" x14ac:dyDescent="0.25">
      <c r="A7751" t="s">
        <v>26140</v>
      </c>
      <c r="B7751" s="1" t="str">
        <f>HYPERLINK("https://www.catalog.slsa.sa.gov.au/record=b2064198")</f>
        <v>https://www.catalog.slsa.sa.gov.au/record=b2064198</v>
      </c>
      <c r="C7751" s="1" t="str">
        <f>HYPERLINK("https://www.catalog.slsa.sa.gov.au/xrecord=b2064198")</f>
        <v>https://www.catalog.slsa.sa.gov.au/xrecord=b2064198</v>
      </c>
      <c r="D7751" t="s">
        <v>16831</v>
      </c>
      <c r="E7751" t="s">
        <v>25635</v>
      </c>
      <c r="F7751">
        <v>1956</v>
      </c>
      <c r="G7751" t="s">
        <v>5070</v>
      </c>
      <c r="H7751" t="s">
        <v>26141</v>
      </c>
      <c r="J7751" t="s">
        <v>26142</v>
      </c>
      <c r="K7751" s="2" t="str">
        <f>HYPERLINK("http://collections.slsa.sa.gov.au/mpcimg/13750/B13683.htm")</f>
        <v>http://collections.slsa.sa.gov.au/mpcimg/13750/B13683.htm</v>
      </c>
    </row>
    <row r="7752" spans="1:11" x14ac:dyDescent="0.25">
      <c r="A7752" t="s">
        <v>26143</v>
      </c>
      <c r="B7752" s="1" t="str">
        <f>HYPERLINK("https://www.catalog.slsa.sa.gov.au/record=b2064273")</f>
        <v>https://www.catalog.slsa.sa.gov.au/record=b2064273</v>
      </c>
      <c r="C7752" s="1" t="str">
        <f>HYPERLINK("https://www.catalog.slsa.sa.gov.au/xrecord=b2064273")</f>
        <v>https://www.catalog.slsa.sa.gov.au/xrecord=b2064273</v>
      </c>
      <c r="D7752" t="s">
        <v>16831</v>
      </c>
      <c r="E7752" t="s">
        <v>26144</v>
      </c>
      <c r="F7752">
        <v>1956</v>
      </c>
      <c r="G7752" t="s">
        <v>25786</v>
      </c>
      <c r="H7752" t="s">
        <v>26145</v>
      </c>
      <c r="J7752" t="s">
        <v>26146</v>
      </c>
      <c r="K7752" s="2" t="str">
        <f>HYPERLINK("http://collections.slsa.sa.gov.au/mpcimg/14000/B13831.htm")</f>
        <v>http://collections.slsa.sa.gov.au/mpcimg/14000/B13831.htm</v>
      </c>
    </row>
    <row r="7753" spans="1:11" x14ac:dyDescent="0.25">
      <c r="A7753" t="s">
        <v>26147</v>
      </c>
      <c r="B7753" s="1" t="str">
        <f>HYPERLINK("https://www.catalog.slsa.sa.gov.au/record=b2064282")</f>
        <v>https://www.catalog.slsa.sa.gov.au/record=b2064282</v>
      </c>
      <c r="C7753" s="1" t="str">
        <f>HYPERLINK("https://www.catalog.slsa.sa.gov.au/xrecord=b2064282")</f>
        <v>https://www.catalog.slsa.sa.gov.au/xrecord=b2064282</v>
      </c>
      <c r="D7753" t="s">
        <v>16831</v>
      </c>
      <c r="E7753" t="s">
        <v>25643</v>
      </c>
      <c r="F7753">
        <v>1956</v>
      </c>
      <c r="G7753" t="s">
        <v>5070</v>
      </c>
      <c r="H7753" t="s">
        <v>26148</v>
      </c>
      <c r="J7753" t="s">
        <v>26149</v>
      </c>
      <c r="K7753" s="2" t="str">
        <f>HYPERLINK("http://collections.slsa.sa.gov.au/mpcimg/13750/B13685.htm")</f>
        <v>http://collections.slsa.sa.gov.au/mpcimg/13750/B13685.htm</v>
      </c>
    </row>
    <row r="7754" spans="1:11" x14ac:dyDescent="0.25">
      <c r="A7754" t="s">
        <v>26150</v>
      </c>
      <c r="B7754" s="1" t="str">
        <f>HYPERLINK("https://www.catalog.slsa.sa.gov.au/record=b2064369")</f>
        <v>https://www.catalog.slsa.sa.gov.au/record=b2064369</v>
      </c>
      <c r="C7754" s="1" t="str">
        <f>HYPERLINK("https://www.catalog.slsa.sa.gov.au/xrecord=b2064369")</f>
        <v>https://www.catalog.slsa.sa.gov.au/xrecord=b2064369</v>
      </c>
      <c r="D7754" t="s">
        <v>16831</v>
      </c>
      <c r="E7754" t="s">
        <v>25643</v>
      </c>
      <c r="F7754">
        <v>1956</v>
      </c>
      <c r="G7754" t="s">
        <v>5070</v>
      </c>
      <c r="H7754" t="s">
        <v>26151</v>
      </c>
      <c r="J7754" t="s">
        <v>23831</v>
      </c>
      <c r="K7754" s="2" t="str">
        <f>HYPERLINK("http://collections.slsa.sa.gov.au/mpcimg/13750/B13684.htm")</f>
        <v>http://collections.slsa.sa.gov.au/mpcimg/13750/B13684.htm</v>
      </c>
    </row>
    <row r="7755" spans="1:11" x14ac:dyDescent="0.25">
      <c r="A7755" t="s">
        <v>26152</v>
      </c>
      <c r="B7755" s="1" t="str">
        <f>HYPERLINK("https://www.catalog.slsa.sa.gov.au/record=b2064460")</f>
        <v>https://www.catalog.slsa.sa.gov.au/record=b2064460</v>
      </c>
      <c r="C7755" s="1" t="str">
        <f>HYPERLINK("https://www.catalog.slsa.sa.gov.au/xrecord=b2064460")</f>
        <v>https://www.catalog.slsa.sa.gov.au/xrecord=b2064460</v>
      </c>
      <c r="D7755" t="s">
        <v>16831</v>
      </c>
      <c r="E7755" t="s">
        <v>26153</v>
      </c>
      <c r="F7755">
        <v>1956</v>
      </c>
      <c r="G7755" t="s">
        <v>25920</v>
      </c>
      <c r="H7755" t="s">
        <v>26154</v>
      </c>
      <c r="J7755" t="s">
        <v>26155</v>
      </c>
      <c r="K7755" s="2" t="str">
        <f>HYPERLINK("http://collections.slsa.sa.gov.au/mpcimg/13750/B13709.htm")</f>
        <v>http://collections.slsa.sa.gov.au/mpcimg/13750/B13709.htm</v>
      </c>
    </row>
    <row r="7756" spans="1:11" x14ac:dyDescent="0.25">
      <c r="A7756" t="s">
        <v>26156</v>
      </c>
      <c r="B7756" s="1" t="str">
        <f>HYPERLINK("https://www.catalog.slsa.sa.gov.au/record=b2064711")</f>
        <v>https://www.catalog.slsa.sa.gov.au/record=b2064711</v>
      </c>
      <c r="C7756" s="1" t="str">
        <f>HYPERLINK("https://www.catalog.slsa.sa.gov.au/xrecord=b2064711")</f>
        <v>https://www.catalog.slsa.sa.gov.au/xrecord=b2064711</v>
      </c>
      <c r="D7756" t="s">
        <v>16831</v>
      </c>
      <c r="E7756" t="s">
        <v>25655</v>
      </c>
      <c r="F7756">
        <v>1956</v>
      </c>
      <c r="G7756" t="s">
        <v>25786</v>
      </c>
      <c r="H7756" t="s">
        <v>26157</v>
      </c>
      <c r="J7756" t="s">
        <v>25657</v>
      </c>
      <c r="K7756" s="2" t="str">
        <f>HYPERLINK("http://collections.slsa.sa.gov.au/mpcimg/14000/B13829.htm")</f>
        <v>http://collections.slsa.sa.gov.au/mpcimg/14000/B13829.htm</v>
      </c>
    </row>
    <row r="7757" spans="1:11" x14ac:dyDescent="0.25">
      <c r="A7757" t="s">
        <v>26158</v>
      </c>
      <c r="B7757" s="1" t="str">
        <f>HYPERLINK("https://www.catalog.slsa.sa.gov.au/record=b2065876")</f>
        <v>https://www.catalog.slsa.sa.gov.au/record=b2065876</v>
      </c>
      <c r="C7757" s="1" t="str">
        <f>HYPERLINK("https://www.catalog.slsa.sa.gov.au/xrecord=b2065876")</f>
        <v>https://www.catalog.slsa.sa.gov.au/xrecord=b2065876</v>
      </c>
      <c r="D7757" t="s">
        <v>16831</v>
      </c>
      <c r="E7757" t="s">
        <v>16851</v>
      </c>
      <c r="F7757">
        <v>1956</v>
      </c>
      <c r="G7757" t="s">
        <v>5070</v>
      </c>
      <c r="H7757" t="s">
        <v>26159</v>
      </c>
      <c r="I7757" t="s">
        <v>16853</v>
      </c>
      <c r="J7757" t="s">
        <v>16854</v>
      </c>
      <c r="K7757" s="2" t="str">
        <f>HYPERLINK("http://collections.slsa.sa.gov.au/mpcimg/13750/B13619.htm")</f>
        <v>http://collections.slsa.sa.gov.au/mpcimg/13750/B13619.htm</v>
      </c>
    </row>
    <row r="7758" spans="1:11" x14ac:dyDescent="0.25">
      <c r="A7758" t="s">
        <v>26160</v>
      </c>
      <c r="B7758" s="1" t="str">
        <f>HYPERLINK("https://www.catalog.slsa.sa.gov.au/record=b2065877")</f>
        <v>https://www.catalog.slsa.sa.gov.au/record=b2065877</v>
      </c>
      <c r="C7758" s="1" t="str">
        <f>HYPERLINK("https://www.catalog.slsa.sa.gov.au/xrecord=b2065877")</f>
        <v>https://www.catalog.slsa.sa.gov.au/xrecord=b2065877</v>
      </c>
      <c r="D7758" t="s">
        <v>16831</v>
      </c>
      <c r="E7758" t="s">
        <v>16851</v>
      </c>
      <c r="F7758">
        <v>1956</v>
      </c>
      <c r="G7758" t="s">
        <v>5070</v>
      </c>
      <c r="H7758" t="s">
        <v>26161</v>
      </c>
      <c r="J7758" t="s">
        <v>16854</v>
      </c>
      <c r="K7758" s="2" t="str">
        <f>HYPERLINK("http://collections.slsa.sa.gov.au/mpcimg/13750/B13679.htm")</f>
        <v>http://collections.slsa.sa.gov.au/mpcimg/13750/B13679.htm</v>
      </c>
    </row>
    <row r="7759" spans="1:11" x14ac:dyDescent="0.25">
      <c r="A7759" t="s">
        <v>26162</v>
      </c>
      <c r="B7759" s="1" t="str">
        <f>HYPERLINK("https://www.catalog.slsa.sa.gov.au/record=b2068222")</f>
        <v>https://www.catalog.slsa.sa.gov.au/record=b2068222</v>
      </c>
      <c r="C7759" s="1" t="str">
        <f>HYPERLINK("https://www.catalog.slsa.sa.gov.au/xrecord=b2068222")</f>
        <v>https://www.catalog.slsa.sa.gov.au/xrecord=b2068222</v>
      </c>
      <c r="D7759" t="s">
        <v>16831</v>
      </c>
      <c r="E7759" t="s">
        <v>16880</v>
      </c>
      <c r="F7759">
        <v>1956</v>
      </c>
      <c r="G7759" t="s">
        <v>5070</v>
      </c>
      <c r="H7759" t="s">
        <v>26163</v>
      </c>
      <c r="J7759" t="s">
        <v>16883</v>
      </c>
      <c r="K7759" s="2" t="str">
        <f>HYPERLINK("http://collections.slsa.sa.gov.au/mpcimg/13750/B13680.htm")</f>
        <v>http://collections.slsa.sa.gov.au/mpcimg/13750/B13680.htm</v>
      </c>
    </row>
    <row r="7760" spans="1:11" x14ac:dyDescent="0.25">
      <c r="A7760" t="s">
        <v>26164</v>
      </c>
      <c r="B7760" s="1" t="str">
        <f>HYPERLINK("https://www.catalog.slsa.sa.gov.au/record=b2068496")</f>
        <v>https://www.catalog.slsa.sa.gov.au/record=b2068496</v>
      </c>
      <c r="C7760" s="1" t="str">
        <f>HYPERLINK("https://www.catalog.slsa.sa.gov.au/xrecord=b2068496")</f>
        <v>https://www.catalog.slsa.sa.gov.au/xrecord=b2068496</v>
      </c>
      <c r="D7760" t="s">
        <v>16831</v>
      </c>
      <c r="E7760" t="s">
        <v>17141</v>
      </c>
      <c r="F7760">
        <v>1956</v>
      </c>
      <c r="G7760" t="s">
        <v>25786</v>
      </c>
      <c r="H7760" t="s">
        <v>26165</v>
      </c>
      <c r="J7760" t="s">
        <v>26166</v>
      </c>
      <c r="K7760" s="2" t="str">
        <f>HYPERLINK("http://collections.slsa.sa.gov.au/mpcimg/14000/B13813.htm")</f>
        <v>http://collections.slsa.sa.gov.au/mpcimg/14000/B13813.htm</v>
      </c>
    </row>
    <row r="7761" spans="1:11" x14ac:dyDescent="0.25">
      <c r="A7761" t="s">
        <v>26167</v>
      </c>
      <c r="B7761" s="1" t="str">
        <f>HYPERLINK("https://www.catalog.slsa.sa.gov.au/record=b2926375")</f>
        <v>https://www.catalog.slsa.sa.gov.au/record=b2926375</v>
      </c>
      <c r="C7761" s="1" t="str">
        <f>HYPERLINK("https://www.catalog.slsa.sa.gov.au/xrecord=b2926375")</f>
        <v>https://www.catalog.slsa.sa.gov.au/xrecord=b2926375</v>
      </c>
      <c r="D7761" t="s">
        <v>26168</v>
      </c>
      <c r="E7761" t="s">
        <v>26169</v>
      </c>
      <c r="F7761" t="s">
        <v>7546</v>
      </c>
      <c r="G7761" t="s">
        <v>26170</v>
      </c>
      <c r="H7761" t="s">
        <v>26171</v>
      </c>
      <c r="I7761" t="s">
        <v>26172</v>
      </c>
      <c r="J7761" t="s">
        <v>18656</v>
      </c>
      <c r="K7761" s="2" t="str">
        <f>HYPERLINK("http://collections.slsa.sa.gov.au/mpcimg/73500/B73253.htm")</f>
        <v>http://collections.slsa.sa.gov.au/mpcimg/73500/B73253.htm</v>
      </c>
    </row>
    <row r="7762" spans="1:11" x14ac:dyDescent="0.25">
      <c r="A7762" t="s">
        <v>26173</v>
      </c>
      <c r="B7762" s="1" t="str">
        <f>HYPERLINK("https://www.catalog.slsa.sa.gov.au/record=b2926376")</f>
        <v>https://www.catalog.slsa.sa.gov.au/record=b2926376</v>
      </c>
      <c r="C7762" s="1" t="str">
        <f>HYPERLINK("https://www.catalog.slsa.sa.gov.au/xrecord=b2926376")</f>
        <v>https://www.catalog.slsa.sa.gov.au/xrecord=b2926376</v>
      </c>
      <c r="D7762" t="s">
        <v>26168</v>
      </c>
      <c r="E7762" t="s">
        <v>26169</v>
      </c>
      <c r="F7762" t="s">
        <v>7546</v>
      </c>
      <c r="G7762" t="s">
        <v>26174</v>
      </c>
      <c r="H7762" t="s">
        <v>26175</v>
      </c>
      <c r="I7762" t="s">
        <v>26172</v>
      </c>
      <c r="J7762" t="s">
        <v>18656</v>
      </c>
      <c r="K7762" s="2" t="str">
        <f>HYPERLINK("http://collections.slsa.sa.gov.au/mpcimg/73500/B73254.htm")</f>
        <v>http://collections.slsa.sa.gov.au/mpcimg/73500/B73254.htm</v>
      </c>
    </row>
    <row r="7763" spans="1:11" x14ac:dyDescent="0.25">
      <c r="A7763" t="s">
        <v>26176</v>
      </c>
      <c r="B7763" s="1" t="str">
        <f>HYPERLINK("https://www.catalog.slsa.sa.gov.au/record=b2459580")</f>
        <v>https://www.catalog.slsa.sa.gov.au/record=b2459580</v>
      </c>
      <c r="C7763" s="1" t="str">
        <f>HYPERLINK("https://www.catalog.slsa.sa.gov.au/xrecord=b2459580")</f>
        <v>https://www.catalog.slsa.sa.gov.au/xrecord=b2459580</v>
      </c>
      <c r="D7763" t="s">
        <v>26177</v>
      </c>
      <c r="E7763" t="s">
        <v>26178</v>
      </c>
      <c r="F7763" t="s">
        <v>7560</v>
      </c>
      <c r="G7763" t="s">
        <v>26179</v>
      </c>
      <c r="H7763" t="s">
        <v>26180</v>
      </c>
      <c r="I7763" t="s">
        <v>26181</v>
      </c>
      <c r="K7763" s="2" t="str">
        <f>HYPERLINK("http://collections.slsa.sa.gov.au/resource/B+71795/1-9")</f>
        <v>http://collections.slsa.sa.gov.au/resource/B+71795/1-9</v>
      </c>
    </row>
    <row r="7764" spans="1:11" x14ac:dyDescent="0.25">
      <c r="A7764" t="s">
        <v>26182</v>
      </c>
      <c r="B7764" s="1" t="str">
        <f>HYPERLINK("https://www.catalog.slsa.sa.gov.au/record=b2926159")</f>
        <v>https://www.catalog.slsa.sa.gov.au/record=b2926159</v>
      </c>
      <c r="C7764" s="1" t="str">
        <f>HYPERLINK("https://www.catalog.slsa.sa.gov.au/xrecord=b2926159")</f>
        <v>https://www.catalog.slsa.sa.gov.au/xrecord=b2926159</v>
      </c>
      <c r="D7764" t="s">
        <v>26168</v>
      </c>
      <c r="E7764" t="s">
        <v>26183</v>
      </c>
      <c r="F7764" t="s">
        <v>7560</v>
      </c>
      <c r="G7764" t="s">
        <v>26184</v>
      </c>
      <c r="H7764" t="s">
        <v>26185</v>
      </c>
      <c r="I7764" t="s">
        <v>26186</v>
      </c>
      <c r="J7764" t="s">
        <v>22121</v>
      </c>
      <c r="K7764" s="2" t="str">
        <f>HYPERLINK("http://collections.slsa.sa.gov.au/mpcimg/73250/B73249.htm")</f>
        <v>http://collections.slsa.sa.gov.au/mpcimg/73250/B73249.htm</v>
      </c>
    </row>
    <row r="7765" spans="1:11" x14ac:dyDescent="0.25">
      <c r="A7765" t="s">
        <v>26187</v>
      </c>
      <c r="B7765" s="1" t="str">
        <f>HYPERLINK("https://www.catalog.slsa.sa.gov.au/record=b2926160")</f>
        <v>https://www.catalog.slsa.sa.gov.au/record=b2926160</v>
      </c>
      <c r="C7765" s="1" t="str">
        <f>HYPERLINK("https://www.catalog.slsa.sa.gov.au/xrecord=b2926160")</f>
        <v>https://www.catalog.slsa.sa.gov.au/xrecord=b2926160</v>
      </c>
      <c r="D7765" t="s">
        <v>26168</v>
      </c>
      <c r="E7765" t="s">
        <v>26188</v>
      </c>
      <c r="F7765" t="s">
        <v>7560</v>
      </c>
      <c r="G7765" t="s">
        <v>26189</v>
      </c>
      <c r="H7765" t="s">
        <v>26190</v>
      </c>
      <c r="I7765" t="s">
        <v>26191</v>
      </c>
      <c r="J7765" t="s">
        <v>26192</v>
      </c>
      <c r="K7765" s="2" t="str">
        <f>HYPERLINK("http://collections.slsa.sa.gov.au/mpcimg/73250/B73250.htm")</f>
        <v>http://collections.slsa.sa.gov.au/mpcimg/73250/B73250.htm</v>
      </c>
    </row>
    <row r="7766" spans="1:11" x14ac:dyDescent="0.25">
      <c r="A7766" t="s">
        <v>26193</v>
      </c>
      <c r="B7766" s="1" t="str">
        <f>HYPERLINK("https://www.catalog.slsa.sa.gov.au/record=b2926163")</f>
        <v>https://www.catalog.slsa.sa.gov.au/record=b2926163</v>
      </c>
      <c r="C7766" s="1" t="str">
        <f>HYPERLINK("https://www.catalog.slsa.sa.gov.au/xrecord=b2926163")</f>
        <v>https://www.catalog.slsa.sa.gov.au/xrecord=b2926163</v>
      </c>
      <c r="D7766" t="s">
        <v>26168</v>
      </c>
      <c r="E7766" t="s">
        <v>26194</v>
      </c>
      <c r="F7766" t="s">
        <v>7560</v>
      </c>
      <c r="G7766" t="s">
        <v>26195</v>
      </c>
      <c r="H7766" t="s">
        <v>26196</v>
      </c>
      <c r="I7766" t="s">
        <v>26197</v>
      </c>
      <c r="J7766" t="s">
        <v>2510</v>
      </c>
      <c r="K7766" s="2" t="str">
        <f>HYPERLINK("http://collections.slsa.sa.gov.au/mpcimg/73500/B73251.htm")</f>
        <v>http://collections.slsa.sa.gov.au/mpcimg/73500/B73251.htm</v>
      </c>
    </row>
    <row r="7767" spans="1:11" x14ac:dyDescent="0.25">
      <c r="A7767" t="s">
        <v>26198</v>
      </c>
      <c r="B7767" s="1" t="str">
        <f>HYPERLINK("https://www.catalog.slsa.sa.gov.au/record=b2926167")</f>
        <v>https://www.catalog.slsa.sa.gov.au/record=b2926167</v>
      </c>
      <c r="C7767" s="1" t="str">
        <f>HYPERLINK("https://www.catalog.slsa.sa.gov.au/xrecord=b2926167")</f>
        <v>https://www.catalog.slsa.sa.gov.au/xrecord=b2926167</v>
      </c>
      <c r="D7767" t="s">
        <v>26168</v>
      </c>
      <c r="E7767" t="s">
        <v>26169</v>
      </c>
      <c r="F7767" t="s">
        <v>7560</v>
      </c>
      <c r="G7767" t="s">
        <v>26199</v>
      </c>
      <c r="H7767" t="s">
        <v>26200</v>
      </c>
      <c r="I7767" t="s">
        <v>26172</v>
      </c>
      <c r="J7767" t="s">
        <v>18656</v>
      </c>
      <c r="K7767" s="2" t="str">
        <f>HYPERLINK("http://collections.slsa.sa.gov.au/mpcimg/73500/B73252.htm")</f>
        <v>http://collections.slsa.sa.gov.au/mpcimg/73500/B73252.htm</v>
      </c>
    </row>
    <row r="7768" spans="1:11" x14ac:dyDescent="0.25">
      <c r="A7768" t="s">
        <v>26201</v>
      </c>
      <c r="B7768" s="1" t="str">
        <f>HYPERLINK("https://www.catalog.slsa.sa.gov.au/record=b2050811")</f>
        <v>https://www.catalog.slsa.sa.gov.au/record=b2050811</v>
      </c>
      <c r="C7768" s="1" t="str">
        <f>HYPERLINK("https://www.catalog.slsa.sa.gov.au/xrecord=b2050811")</f>
        <v>https://www.catalog.slsa.sa.gov.au/xrecord=b2050811</v>
      </c>
      <c r="D7768" t="s">
        <v>16831</v>
      </c>
      <c r="E7768" t="s">
        <v>26202</v>
      </c>
      <c r="F7768">
        <v>1957</v>
      </c>
      <c r="G7768" t="s">
        <v>26203</v>
      </c>
      <c r="H7768" t="s">
        <v>26204</v>
      </c>
      <c r="I7768" t="s">
        <v>26205</v>
      </c>
      <c r="J7768" t="s">
        <v>2510</v>
      </c>
      <c r="K7768" s="2" t="str">
        <f>HYPERLINK("http://collections.slsa.sa.gov.au/mpcimg/14000/B13915.htm")</f>
        <v>http://collections.slsa.sa.gov.au/mpcimg/14000/B13915.htm</v>
      </c>
    </row>
    <row r="7769" spans="1:11" x14ac:dyDescent="0.25">
      <c r="A7769" t="s">
        <v>26206</v>
      </c>
      <c r="B7769" s="1" t="str">
        <f>HYPERLINK("https://www.catalog.slsa.sa.gov.au/record=b2050812")</f>
        <v>https://www.catalog.slsa.sa.gov.au/record=b2050812</v>
      </c>
      <c r="C7769" s="1" t="str">
        <f>HYPERLINK("https://www.catalog.slsa.sa.gov.au/xrecord=b2050812")</f>
        <v>https://www.catalog.slsa.sa.gov.au/xrecord=b2050812</v>
      </c>
      <c r="D7769" t="s">
        <v>16831</v>
      </c>
      <c r="E7769" t="s">
        <v>26202</v>
      </c>
      <c r="F7769">
        <v>1957</v>
      </c>
      <c r="G7769" t="s">
        <v>26203</v>
      </c>
      <c r="H7769" t="s">
        <v>26207</v>
      </c>
      <c r="I7769" t="s">
        <v>26208</v>
      </c>
      <c r="J7769" t="s">
        <v>2510</v>
      </c>
      <c r="K7769" s="2" t="str">
        <f>HYPERLINK("http://collections.slsa.sa.gov.au/mpcimg/14000/B13916.htm")</f>
        <v>http://collections.slsa.sa.gov.au/mpcimg/14000/B13916.htm</v>
      </c>
    </row>
    <row r="7770" spans="1:11" x14ac:dyDescent="0.25">
      <c r="A7770" t="s">
        <v>26209</v>
      </c>
      <c r="B7770" s="1" t="str">
        <f>HYPERLINK("https://www.catalog.slsa.sa.gov.au/record=b2054848")</f>
        <v>https://www.catalog.slsa.sa.gov.au/record=b2054848</v>
      </c>
      <c r="C7770" s="1" t="str">
        <f>HYPERLINK("https://www.catalog.slsa.sa.gov.au/xrecord=b2054848")</f>
        <v>https://www.catalog.slsa.sa.gov.au/xrecord=b2054848</v>
      </c>
      <c r="D7770" t="s">
        <v>16831</v>
      </c>
      <c r="E7770" t="s">
        <v>15201</v>
      </c>
      <c r="F7770">
        <v>1957</v>
      </c>
      <c r="G7770" t="s">
        <v>25786</v>
      </c>
      <c r="H7770" t="s">
        <v>26210</v>
      </c>
      <c r="J7770" t="s">
        <v>23768</v>
      </c>
      <c r="K7770" s="2" t="str">
        <f>HYPERLINK("http://collections.slsa.sa.gov.au/mpcimg/14000/B13866.htm")</f>
        <v>http://collections.slsa.sa.gov.au/mpcimg/14000/B13866.htm</v>
      </c>
    </row>
    <row r="7771" spans="1:11" x14ac:dyDescent="0.25">
      <c r="A7771" t="s">
        <v>26211</v>
      </c>
      <c r="B7771" s="1" t="str">
        <f>HYPERLINK("https://www.catalog.slsa.sa.gov.au/record=b2054942")</f>
        <v>https://www.catalog.slsa.sa.gov.au/record=b2054942</v>
      </c>
      <c r="C7771" s="1" t="str">
        <f>HYPERLINK("https://www.catalog.slsa.sa.gov.au/xrecord=b2054942")</f>
        <v>https://www.catalog.slsa.sa.gov.au/xrecord=b2054942</v>
      </c>
      <c r="D7771" t="s">
        <v>16831</v>
      </c>
      <c r="E7771" t="s">
        <v>15201</v>
      </c>
      <c r="F7771">
        <v>1957</v>
      </c>
      <c r="G7771" t="s">
        <v>25786</v>
      </c>
      <c r="H7771" t="s">
        <v>26212</v>
      </c>
      <c r="J7771" t="s">
        <v>18795</v>
      </c>
      <c r="K7771" s="2" t="str">
        <f>HYPERLINK("http://collections.slsa.sa.gov.au/mpcimg/14000/B13855.htm")</f>
        <v>http://collections.slsa.sa.gov.au/mpcimg/14000/B13855.htm</v>
      </c>
    </row>
    <row r="7772" spans="1:11" x14ac:dyDescent="0.25">
      <c r="A7772" t="s">
        <v>26213</v>
      </c>
      <c r="B7772" s="1" t="str">
        <f>HYPERLINK("https://www.catalog.slsa.sa.gov.au/record=b2055800")</f>
        <v>https://www.catalog.slsa.sa.gov.au/record=b2055800</v>
      </c>
      <c r="C7772" s="1" t="str">
        <f>HYPERLINK("https://www.catalog.slsa.sa.gov.au/xrecord=b2055800")</f>
        <v>https://www.catalog.slsa.sa.gov.au/xrecord=b2055800</v>
      </c>
      <c r="D7772" t="s">
        <v>16831</v>
      </c>
      <c r="E7772" t="s">
        <v>20904</v>
      </c>
      <c r="F7772">
        <v>1957</v>
      </c>
      <c r="G7772" t="s">
        <v>25786</v>
      </c>
      <c r="H7772" t="s">
        <v>26214</v>
      </c>
      <c r="J7772" t="s">
        <v>20906</v>
      </c>
      <c r="K7772" s="2" t="str">
        <f>HYPERLINK("http://collections.slsa.sa.gov.au/mpcimg/14000/B13981.htm")</f>
        <v>http://collections.slsa.sa.gov.au/mpcimg/14000/B13981.htm</v>
      </c>
    </row>
    <row r="7773" spans="1:11" x14ac:dyDescent="0.25">
      <c r="A7773" t="s">
        <v>26215</v>
      </c>
      <c r="B7773" s="1" t="str">
        <f>HYPERLINK("https://www.catalog.slsa.sa.gov.au/record=b2055801")</f>
        <v>https://www.catalog.slsa.sa.gov.au/record=b2055801</v>
      </c>
      <c r="C7773" s="1" t="str">
        <f>HYPERLINK("https://www.catalog.slsa.sa.gov.au/xrecord=b2055801")</f>
        <v>https://www.catalog.slsa.sa.gov.au/xrecord=b2055801</v>
      </c>
      <c r="D7773" t="s">
        <v>16831</v>
      </c>
      <c r="E7773" t="s">
        <v>20904</v>
      </c>
      <c r="F7773">
        <v>1957</v>
      </c>
      <c r="G7773" t="s">
        <v>25786</v>
      </c>
      <c r="H7773" t="s">
        <v>26216</v>
      </c>
      <c r="J7773" t="s">
        <v>20906</v>
      </c>
      <c r="K7773" s="2" t="str">
        <f>HYPERLINK("http://collections.slsa.sa.gov.au/mpcimg/14000/B13983.htm")</f>
        <v>http://collections.slsa.sa.gov.au/mpcimg/14000/B13983.htm</v>
      </c>
    </row>
    <row r="7774" spans="1:11" x14ac:dyDescent="0.25">
      <c r="A7774" t="s">
        <v>26217</v>
      </c>
      <c r="B7774" s="1" t="str">
        <f>HYPERLINK("https://www.catalog.slsa.sa.gov.au/record=b2055994")</f>
        <v>https://www.catalog.slsa.sa.gov.au/record=b2055994</v>
      </c>
      <c r="C7774" s="1" t="str">
        <f>HYPERLINK("https://www.catalog.slsa.sa.gov.au/xrecord=b2055994")</f>
        <v>https://www.catalog.slsa.sa.gov.au/xrecord=b2055994</v>
      </c>
      <c r="D7774" t="s">
        <v>16831</v>
      </c>
      <c r="E7774" t="s">
        <v>20904</v>
      </c>
      <c r="F7774">
        <v>1957</v>
      </c>
      <c r="G7774" t="s">
        <v>25786</v>
      </c>
      <c r="H7774" t="s">
        <v>26218</v>
      </c>
      <c r="J7774" t="s">
        <v>20910</v>
      </c>
      <c r="K7774" s="2" t="str">
        <f>HYPERLINK("http://collections.slsa.sa.gov.au/mpcimg/14000/B13850.htm")</f>
        <v>http://collections.slsa.sa.gov.au/mpcimg/14000/B13850.htm</v>
      </c>
    </row>
    <row r="7775" spans="1:11" x14ac:dyDescent="0.25">
      <c r="A7775" t="s">
        <v>26219</v>
      </c>
      <c r="B7775" s="1" t="str">
        <f>HYPERLINK("https://www.catalog.slsa.sa.gov.au/record=b2056052")</f>
        <v>https://www.catalog.slsa.sa.gov.au/record=b2056052</v>
      </c>
      <c r="C7775" s="1" t="str">
        <f>HYPERLINK("https://www.catalog.slsa.sa.gov.au/xrecord=b2056052")</f>
        <v>https://www.catalog.slsa.sa.gov.au/xrecord=b2056052</v>
      </c>
      <c r="D7775" t="s">
        <v>16831</v>
      </c>
      <c r="E7775" t="s">
        <v>20904</v>
      </c>
      <c r="F7775">
        <v>1957</v>
      </c>
      <c r="G7775" t="s">
        <v>25786</v>
      </c>
      <c r="H7775" t="s">
        <v>26220</v>
      </c>
      <c r="I7775" t="s">
        <v>25775</v>
      </c>
      <c r="J7775" t="s">
        <v>24020</v>
      </c>
      <c r="K7775" s="2" t="str">
        <f>HYPERLINK("http://collections.slsa.sa.gov.au/mpcimg/14000/B13982.htm")</f>
        <v>http://collections.slsa.sa.gov.au/mpcimg/14000/B13982.htm</v>
      </c>
    </row>
    <row r="7776" spans="1:11" x14ac:dyDescent="0.25">
      <c r="A7776" t="s">
        <v>26221</v>
      </c>
      <c r="B7776" s="1" t="str">
        <f>HYPERLINK("https://www.catalog.slsa.sa.gov.au/record=b2056113")</f>
        <v>https://www.catalog.slsa.sa.gov.au/record=b2056113</v>
      </c>
      <c r="C7776" s="1" t="str">
        <f>HYPERLINK("https://www.catalog.slsa.sa.gov.au/xrecord=b2056113")</f>
        <v>https://www.catalog.slsa.sa.gov.au/xrecord=b2056113</v>
      </c>
      <c r="D7776" t="s">
        <v>16831</v>
      </c>
      <c r="E7776" t="s">
        <v>20904</v>
      </c>
      <c r="F7776">
        <v>1957</v>
      </c>
      <c r="G7776" t="s">
        <v>25786</v>
      </c>
      <c r="H7776" t="s">
        <v>26222</v>
      </c>
      <c r="J7776" t="s">
        <v>25806</v>
      </c>
      <c r="K7776" s="2" t="str">
        <f>HYPERLINK("http://collections.slsa.sa.gov.au/mpcimg/14000/B13984.htm")</f>
        <v>http://collections.slsa.sa.gov.au/mpcimg/14000/B13984.htm</v>
      </c>
    </row>
    <row r="7777" spans="1:11" x14ac:dyDescent="0.25">
      <c r="A7777" t="s">
        <v>26223</v>
      </c>
      <c r="B7777" s="1" t="str">
        <f>HYPERLINK("https://www.catalog.slsa.sa.gov.au/record=b2056841")</f>
        <v>https://www.catalog.slsa.sa.gov.au/record=b2056841</v>
      </c>
      <c r="C7777" s="1" t="str">
        <f>HYPERLINK("https://www.catalog.slsa.sa.gov.au/xrecord=b2056841")</f>
        <v>https://www.catalog.slsa.sa.gov.au/xrecord=b2056841</v>
      </c>
      <c r="D7777" t="s">
        <v>16831</v>
      </c>
      <c r="E7777" t="s">
        <v>16777</v>
      </c>
      <c r="F7777">
        <v>1957</v>
      </c>
      <c r="G7777" t="s">
        <v>25786</v>
      </c>
      <c r="H7777" t="s">
        <v>26224</v>
      </c>
      <c r="J7777" t="s">
        <v>22782</v>
      </c>
      <c r="K7777" s="2" t="str">
        <f>HYPERLINK("http://collections.slsa.sa.gov.au/mpcimg/14000/B13893.htm")</f>
        <v>http://collections.slsa.sa.gov.au/mpcimg/14000/B13893.htm</v>
      </c>
    </row>
    <row r="7778" spans="1:11" x14ac:dyDescent="0.25">
      <c r="A7778" t="s">
        <v>26225</v>
      </c>
      <c r="B7778" s="1" t="str">
        <f>HYPERLINK("https://www.catalog.slsa.sa.gov.au/record=b2056900")</f>
        <v>https://www.catalog.slsa.sa.gov.au/record=b2056900</v>
      </c>
      <c r="C7778" s="1" t="str">
        <f>HYPERLINK("https://www.catalog.slsa.sa.gov.au/xrecord=b2056900")</f>
        <v>https://www.catalog.slsa.sa.gov.au/xrecord=b2056900</v>
      </c>
      <c r="D7778" t="s">
        <v>16831</v>
      </c>
      <c r="E7778" t="s">
        <v>26226</v>
      </c>
      <c r="F7778">
        <v>1957</v>
      </c>
      <c r="G7778" t="s">
        <v>25786</v>
      </c>
      <c r="H7778" t="s">
        <v>26227</v>
      </c>
      <c r="J7778" t="s">
        <v>20931</v>
      </c>
      <c r="K7778" s="2" t="str">
        <f>HYPERLINK("http://collections.slsa.sa.gov.au/mpcimg/14000/B13894.htm")</f>
        <v>http://collections.slsa.sa.gov.au/mpcimg/14000/B13894.htm</v>
      </c>
    </row>
    <row r="7779" spans="1:11" x14ac:dyDescent="0.25">
      <c r="A7779" t="s">
        <v>26228</v>
      </c>
      <c r="B7779" s="1" t="str">
        <f>HYPERLINK("https://www.catalog.slsa.sa.gov.au/record=b2056901")</f>
        <v>https://www.catalog.slsa.sa.gov.au/record=b2056901</v>
      </c>
      <c r="C7779" s="1" t="str">
        <f>HYPERLINK("https://www.catalog.slsa.sa.gov.au/xrecord=b2056901")</f>
        <v>https://www.catalog.slsa.sa.gov.au/xrecord=b2056901</v>
      </c>
      <c r="D7779" t="s">
        <v>16831</v>
      </c>
      <c r="E7779" t="s">
        <v>26226</v>
      </c>
      <c r="F7779">
        <v>1957</v>
      </c>
      <c r="G7779" t="s">
        <v>25786</v>
      </c>
      <c r="H7779" t="s">
        <v>26229</v>
      </c>
      <c r="J7779" t="s">
        <v>20931</v>
      </c>
      <c r="K7779" s="2" t="str">
        <f>HYPERLINK("http://collections.slsa.sa.gov.au/mpcimg/14000/B13895.htm")</f>
        <v>http://collections.slsa.sa.gov.au/mpcimg/14000/B13895.htm</v>
      </c>
    </row>
    <row r="7780" spans="1:11" x14ac:dyDescent="0.25">
      <c r="A7780" t="s">
        <v>26230</v>
      </c>
      <c r="B7780" s="1" t="str">
        <f>HYPERLINK("https://www.catalog.slsa.sa.gov.au/record=b2057338")</f>
        <v>https://www.catalog.slsa.sa.gov.au/record=b2057338</v>
      </c>
      <c r="C7780" s="1" t="str">
        <f>HYPERLINK("https://www.catalog.slsa.sa.gov.au/xrecord=b2057338")</f>
        <v>https://www.catalog.slsa.sa.gov.au/xrecord=b2057338</v>
      </c>
      <c r="D7780" t="s">
        <v>16831</v>
      </c>
      <c r="E7780" t="s">
        <v>16786</v>
      </c>
      <c r="F7780">
        <v>1957</v>
      </c>
      <c r="G7780" t="s">
        <v>25786</v>
      </c>
      <c r="H7780" t="s">
        <v>26231</v>
      </c>
      <c r="J7780" t="s">
        <v>26232</v>
      </c>
      <c r="K7780" s="2" t="str">
        <f>HYPERLINK("http://collections.slsa.sa.gov.au/mpcimg/14000/B13859.htm")</f>
        <v>http://collections.slsa.sa.gov.au/mpcimg/14000/B13859.htm</v>
      </c>
    </row>
    <row r="7781" spans="1:11" x14ac:dyDescent="0.25">
      <c r="A7781" t="s">
        <v>26233</v>
      </c>
      <c r="B7781" s="1" t="str">
        <f>HYPERLINK("https://www.catalog.slsa.sa.gov.au/record=b2057432")</f>
        <v>https://www.catalog.slsa.sa.gov.au/record=b2057432</v>
      </c>
      <c r="C7781" s="1" t="str">
        <f>HYPERLINK("https://www.catalog.slsa.sa.gov.au/xrecord=b2057432")</f>
        <v>https://www.catalog.slsa.sa.gov.au/xrecord=b2057432</v>
      </c>
      <c r="D7781" t="s">
        <v>16831</v>
      </c>
      <c r="E7781" t="s">
        <v>16786</v>
      </c>
      <c r="F7781">
        <v>1957</v>
      </c>
      <c r="G7781" t="s">
        <v>25786</v>
      </c>
      <c r="H7781" t="s">
        <v>26234</v>
      </c>
      <c r="J7781" t="s">
        <v>20947</v>
      </c>
      <c r="K7781" s="2" t="str">
        <f>HYPERLINK("http://collections.slsa.sa.gov.au/mpcimg/14000/B13858.htm")</f>
        <v>http://collections.slsa.sa.gov.au/mpcimg/14000/B13858.htm</v>
      </c>
    </row>
    <row r="7782" spans="1:11" x14ac:dyDescent="0.25">
      <c r="A7782" t="s">
        <v>26235</v>
      </c>
      <c r="B7782" s="1" t="str">
        <f>HYPERLINK("https://www.catalog.slsa.sa.gov.au/record=b2057493")</f>
        <v>https://www.catalog.slsa.sa.gov.au/record=b2057493</v>
      </c>
      <c r="C7782" s="1" t="str">
        <f>HYPERLINK("https://www.catalog.slsa.sa.gov.au/xrecord=b2057493")</f>
        <v>https://www.catalog.slsa.sa.gov.au/xrecord=b2057493</v>
      </c>
      <c r="D7782" t="s">
        <v>16831</v>
      </c>
      <c r="E7782" t="s">
        <v>16786</v>
      </c>
      <c r="F7782">
        <v>1957</v>
      </c>
      <c r="G7782" t="s">
        <v>25786</v>
      </c>
      <c r="H7782" t="s">
        <v>26236</v>
      </c>
      <c r="J7782" t="s">
        <v>26237</v>
      </c>
      <c r="K7782" s="2" t="str">
        <f>HYPERLINK("http://collections.slsa.sa.gov.au/mpcimg/14000/B13924.htm")</f>
        <v>http://collections.slsa.sa.gov.au/mpcimg/14000/B13924.htm</v>
      </c>
    </row>
    <row r="7783" spans="1:11" x14ac:dyDescent="0.25">
      <c r="A7783" t="s">
        <v>26238</v>
      </c>
      <c r="B7783" s="1" t="str">
        <f>HYPERLINK("https://www.catalog.slsa.sa.gov.au/record=b2057494")</f>
        <v>https://www.catalog.slsa.sa.gov.au/record=b2057494</v>
      </c>
      <c r="C7783" s="1" t="str">
        <f>HYPERLINK("https://www.catalog.slsa.sa.gov.au/xrecord=b2057494")</f>
        <v>https://www.catalog.slsa.sa.gov.au/xrecord=b2057494</v>
      </c>
      <c r="D7783" t="s">
        <v>16831</v>
      </c>
      <c r="E7783" t="s">
        <v>16786</v>
      </c>
      <c r="F7783">
        <v>1957</v>
      </c>
      <c r="G7783" t="s">
        <v>25786</v>
      </c>
      <c r="H7783" t="s">
        <v>26239</v>
      </c>
      <c r="J7783" t="s">
        <v>26237</v>
      </c>
      <c r="K7783" s="2" t="str">
        <f>HYPERLINK("http://collections.slsa.sa.gov.au/mpcimg/14000/B13925.htm")</f>
        <v>http://collections.slsa.sa.gov.au/mpcimg/14000/B13925.htm</v>
      </c>
    </row>
    <row r="7784" spans="1:11" x14ac:dyDescent="0.25">
      <c r="A7784" t="s">
        <v>26240</v>
      </c>
      <c r="B7784" s="1" t="str">
        <f>HYPERLINK("https://www.catalog.slsa.sa.gov.au/record=b2057701")</f>
        <v>https://www.catalog.slsa.sa.gov.au/record=b2057701</v>
      </c>
      <c r="C7784" s="1" t="str">
        <f>HYPERLINK("https://www.catalog.slsa.sa.gov.au/xrecord=b2057701")</f>
        <v>https://www.catalog.slsa.sa.gov.au/xrecord=b2057701</v>
      </c>
      <c r="D7784" t="s">
        <v>16831</v>
      </c>
      <c r="E7784" t="s">
        <v>16791</v>
      </c>
      <c r="F7784">
        <v>1957</v>
      </c>
      <c r="G7784" t="s">
        <v>25786</v>
      </c>
      <c r="H7784" t="s">
        <v>26241</v>
      </c>
      <c r="J7784" t="s">
        <v>22800</v>
      </c>
      <c r="K7784" s="2" t="str">
        <f>HYPERLINK("http://collections.slsa.sa.gov.au/mpcimg/14000/B13897.htm")</f>
        <v>http://collections.slsa.sa.gov.au/mpcimg/14000/B13897.htm</v>
      </c>
    </row>
    <row r="7785" spans="1:11" x14ac:dyDescent="0.25">
      <c r="A7785" t="s">
        <v>26242</v>
      </c>
      <c r="B7785" s="1" t="str">
        <f>HYPERLINK("https://www.catalog.slsa.sa.gov.au/record=b2057802")</f>
        <v>https://www.catalog.slsa.sa.gov.au/record=b2057802</v>
      </c>
      <c r="C7785" s="1" t="str">
        <f>HYPERLINK("https://www.catalog.slsa.sa.gov.au/xrecord=b2057802")</f>
        <v>https://www.catalog.slsa.sa.gov.au/xrecord=b2057802</v>
      </c>
      <c r="D7785" t="s">
        <v>16831</v>
      </c>
      <c r="E7785" t="s">
        <v>16791</v>
      </c>
      <c r="F7785">
        <v>1957</v>
      </c>
      <c r="G7785" t="s">
        <v>25786</v>
      </c>
      <c r="H7785" t="s">
        <v>26243</v>
      </c>
      <c r="J7785" t="s">
        <v>20956</v>
      </c>
      <c r="K7785" s="2" t="str">
        <f>HYPERLINK("http://collections.slsa.sa.gov.au/mpcimg/14000/B13864.htm")</f>
        <v>http://collections.slsa.sa.gov.au/mpcimg/14000/B13864.htm</v>
      </c>
    </row>
    <row r="7786" spans="1:11" x14ac:dyDescent="0.25">
      <c r="A7786" t="s">
        <v>26244</v>
      </c>
      <c r="B7786" s="1" t="str">
        <f>HYPERLINK("https://www.catalog.slsa.sa.gov.au/record=b2057803")</f>
        <v>https://www.catalog.slsa.sa.gov.au/record=b2057803</v>
      </c>
      <c r="C7786" s="1" t="str">
        <f>HYPERLINK("https://www.catalog.slsa.sa.gov.au/xrecord=b2057803")</f>
        <v>https://www.catalog.slsa.sa.gov.au/xrecord=b2057803</v>
      </c>
      <c r="D7786" t="s">
        <v>16831</v>
      </c>
      <c r="E7786" t="s">
        <v>16791</v>
      </c>
      <c r="F7786">
        <v>1957</v>
      </c>
      <c r="G7786" t="s">
        <v>25786</v>
      </c>
      <c r="H7786" t="s">
        <v>26245</v>
      </c>
      <c r="J7786" t="s">
        <v>20956</v>
      </c>
      <c r="K7786" s="2" t="str">
        <f>HYPERLINK("http://collections.slsa.sa.gov.au/mpcimg/14000/B13865.htm")</f>
        <v>http://collections.slsa.sa.gov.au/mpcimg/14000/B13865.htm</v>
      </c>
    </row>
    <row r="7787" spans="1:11" x14ac:dyDescent="0.25">
      <c r="A7787" t="s">
        <v>26246</v>
      </c>
      <c r="B7787" s="1" t="str">
        <f>HYPERLINK("https://www.catalog.slsa.sa.gov.au/record=b2057868")</f>
        <v>https://www.catalog.slsa.sa.gov.au/record=b2057868</v>
      </c>
      <c r="C7787" s="1" t="str">
        <f>HYPERLINK("https://www.catalog.slsa.sa.gov.au/xrecord=b2057868")</f>
        <v>https://www.catalog.slsa.sa.gov.au/xrecord=b2057868</v>
      </c>
      <c r="D7787" t="s">
        <v>16831</v>
      </c>
      <c r="E7787" t="s">
        <v>16796</v>
      </c>
      <c r="F7787">
        <v>1957</v>
      </c>
      <c r="G7787" t="s">
        <v>25786</v>
      </c>
      <c r="H7787" t="s">
        <v>26247</v>
      </c>
      <c r="J7787" t="s">
        <v>26248</v>
      </c>
      <c r="K7787" s="2" t="str">
        <f>HYPERLINK("http://collections.slsa.sa.gov.au/mpcimg/14000/B13939.htm")</f>
        <v>http://collections.slsa.sa.gov.au/mpcimg/14000/B13939.htm</v>
      </c>
    </row>
    <row r="7788" spans="1:11" x14ac:dyDescent="0.25">
      <c r="A7788" t="s">
        <v>26249</v>
      </c>
      <c r="B7788" s="1" t="str">
        <f>HYPERLINK("https://www.catalog.slsa.sa.gov.au/record=b2057966")</f>
        <v>https://www.catalog.slsa.sa.gov.au/record=b2057966</v>
      </c>
      <c r="C7788" s="1" t="str">
        <f>HYPERLINK("https://www.catalog.slsa.sa.gov.au/xrecord=b2057966")</f>
        <v>https://www.catalog.slsa.sa.gov.au/xrecord=b2057966</v>
      </c>
      <c r="D7788" t="s">
        <v>16831</v>
      </c>
      <c r="E7788" t="s">
        <v>16796</v>
      </c>
      <c r="F7788">
        <v>1957</v>
      </c>
      <c r="G7788" t="s">
        <v>25786</v>
      </c>
      <c r="H7788" t="s">
        <v>26250</v>
      </c>
      <c r="J7788" t="s">
        <v>18650</v>
      </c>
      <c r="K7788" s="2" t="str">
        <f>HYPERLINK("http://collections.slsa.sa.gov.au/mpcimg/14000/B13967.htm")</f>
        <v>http://collections.slsa.sa.gov.au/mpcimg/14000/B13967.htm</v>
      </c>
    </row>
    <row r="7789" spans="1:11" x14ac:dyDescent="0.25">
      <c r="A7789" t="s">
        <v>26251</v>
      </c>
      <c r="B7789" s="1" t="str">
        <f>HYPERLINK("https://www.catalog.slsa.sa.gov.au/record=b2058071")</f>
        <v>https://www.catalog.slsa.sa.gov.au/record=b2058071</v>
      </c>
      <c r="C7789" s="1" t="str">
        <f>HYPERLINK("https://www.catalog.slsa.sa.gov.au/xrecord=b2058071")</f>
        <v>https://www.catalog.slsa.sa.gov.au/xrecord=b2058071</v>
      </c>
      <c r="D7789" t="s">
        <v>16831</v>
      </c>
      <c r="E7789" t="s">
        <v>16771</v>
      </c>
      <c r="F7789">
        <v>1957</v>
      </c>
      <c r="G7789" t="s">
        <v>25786</v>
      </c>
      <c r="H7789" t="s">
        <v>26252</v>
      </c>
      <c r="J7789" t="s">
        <v>16803</v>
      </c>
      <c r="K7789" s="2" t="str">
        <f>HYPERLINK("http://collections.slsa.sa.gov.au/mpcimg/14000/B13962.htm")</f>
        <v>http://collections.slsa.sa.gov.au/mpcimg/14000/B13962.htm</v>
      </c>
    </row>
    <row r="7790" spans="1:11" x14ac:dyDescent="0.25">
      <c r="A7790" t="s">
        <v>26253</v>
      </c>
      <c r="B7790" s="1" t="str">
        <f>HYPERLINK("https://www.catalog.slsa.sa.gov.au/record=b2058246")</f>
        <v>https://www.catalog.slsa.sa.gov.au/record=b2058246</v>
      </c>
      <c r="C7790" s="1" t="str">
        <f>HYPERLINK("https://www.catalog.slsa.sa.gov.au/xrecord=b2058246")</f>
        <v>https://www.catalog.slsa.sa.gov.au/xrecord=b2058246</v>
      </c>
      <c r="D7790" t="s">
        <v>16831</v>
      </c>
      <c r="E7790" t="s">
        <v>24081</v>
      </c>
      <c r="F7790">
        <v>1957</v>
      </c>
      <c r="G7790" t="s">
        <v>25786</v>
      </c>
      <c r="H7790" t="s">
        <v>26254</v>
      </c>
      <c r="J7790" t="s">
        <v>26255</v>
      </c>
      <c r="K7790" s="2" t="str">
        <f>HYPERLINK("http://collections.slsa.sa.gov.au/mpcimg/14000/B13980.htm")</f>
        <v>http://collections.slsa.sa.gov.au/mpcimg/14000/B13980.htm</v>
      </c>
    </row>
    <row r="7791" spans="1:11" x14ac:dyDescent="0.25">
      <c r="A7791" t="s">
        <v>26256</v>
      </c>
      <c r="B7791" s="1" t="str">
        <f>HYPERLINK("https://www.catalog.slsa.sa.gov.au/record=b2058300")</f>
        <v>https://www.catalog.slsa.sa.gov.au/record=b2058300</v>
      </c>
      <c r="C7791" s="1" t="str">
        <f>HYPERLINK("https://www.catalog.slsa.sa.gov.au/xrecord=b2058300")</f>
        <v>https://www.catalog.slsa.sa.gov.au/xrecord=b2058300</v>
      </c>
      <c r="D7791" t="s">
        <v>16831</v>
      </c>
      <c r="E7791" t="s">
        <v>20974</v>
      </c>
      <c r="F7791">
        <v>1957</v>
      </c>
      <c r="G7791" t="s">
        <v>25786</v>
      </c>
      <c r="H7791" t="s">
        <v>26257</v>
      </c>
      <c r="J7791" t="s">
        <v>20972</v>
      </c>
      <c r="K7791" s="2" t="str">
        <f>HYPERLINK("http://collections.slsa.sa.gov.au/mpcimg/14000/B13952.htm")</f>
        <v>http://collections.slsa.sa.gov.au/mpcimg/14000/B13952.htm</v>
      </c>
    </row>
    <row r="7792" spans="1:11" x14ac:dyDescent="0.25">
      <c r="A7792" t="s">
        <v>26258</v>
      </c>
      <c r="B7792" s="1" t="str">
        <f>HYPERLINK("https://www.catalog.slsa.sa.gov.au/record=b2058311")</f>
        <v>https://www.catalog.slsa.sa.gov.au/record=b2058311</v>
      </c>
      <c r="C7792" s="1" t="str">
        <f>HYPERLINK("https://www.catalog.slsa.sa.gov.au/xrecord=b2058311")</f>
        <v>https://www.catalog.slsa.sa.gov.au/xrecord=b2058311</v>
      </c>
      <c r="D7792" t="s">
        <v>16831</v>
      </c>
      <c r="E7792" t="s">
        <v>20974</v>
      </c>
      <c r="F7792">
        <v>1957</v>
      </c>
      <c r="G7792" t="s">
        <v>25786</v>
      </c>
      <c r="H7792" t="s">
        <v>26259</v>
      </c>
      <c r="J7792" t="s">
        <v>20976</v>
      </c>
      <c r="K7792" s="2" t="str">
        <f>HYPERLINK("http://collections.slsa.sa.gov.au/mpcimg/14000/B13951.htm")</f>
        <v>http://collections.slsa.sa.gov.au/mpcimg/14000/B13951.htm</v>
      </c>
    </row>
    <row r="7793" spans="1:11" x14ac:dyDescent="0.25">
      <c r="A7793" t="s">
        <v>26260</v>
      </c>
      <c r="B7793" s="1" t="str">
        <f>HYPERLINK("https://www.catalog.slsa.sa.gov.au/record=b2058351")</f>
        <v>https://www.catalog.slsa.sa.gov.au/record=b2058351</v>
      </c>
      <c r="C7793" s="1" t="str">
        <f>HYPERLINK("https://www.catalog.slsa.sa.gov.au/xrecord=b2058351")</f>
        <v>https://www.catalog.slsa.sa.gov.au/xrecord=b2058351</v>
      </c>
      <c r="D7793" t="s">
        <v>16831</v>
      </c>
      <c r="E7793" t="s">
        <v>20970</v>
      </c>
      <c r="F7793">
        <v>1957</v>
      </c>
      <c r="G7793" t="s">
        <v>25786</v>
      </c>
      <c r="H7793" t="s">
        <v>26261</v>
      </c>
      <c r="J7793" t="s">
        <v>25344</v>
      </c>
      <c r="K7793" s="2" t="str">
        <f>HYPERLINK("http://collections.slsa.sa.gov.au/mpcimg/14000/B13900.htm")</f>
        <v>http://collections.slsa.sa.gov.au/mpcimg/14000/B13900.htm</v>
      </c>
    </row>
    <row r="7794" spans="1:11" x14ac:dyDescent="0.25">
      <c r="A7794" t="s">
        <v>26262</v>
      </c>
      <c r="B7794" s="1" t="str">
        <f>HYPERLINK("https://www.catalog.slsa.sa.gov.au/record=b2058368")</f>
        <v>https://www.catalog.slsa.sa.gov.au/record=b2058368</v>
      </c>
      <c r="C7794" s="1" t="str">
        <f>HYPERLINK("https://www.catalog.slsa.sa.gov.au/xrecord=b2058368")</f>
        <v>https://www.catalog.slsa.sa.gov.au/xrecord=b2058368</v>
      </c>
      <c r="D7794" t="s">
        <v>16831</v>
      </c>
      <c r="E7794" t="s">
        <v>26263</v>
      </c>
      <c r="F7794">
        <v>1957</v>
      </c>
      <c r="G7794" t="s">
        <v>25786</v>
      </c>
      <c r="H7794" t="s">
        <v>26264</v>
      </c>
      <c r="J7794" t="s">
        <v>20984</v>
      </c>
      <c r="K7794" s="2" t="str">
        <f>HYPERLINK("http://collections.slsa.sa.gov.au/mpcimg/14000/B13879.htm")</f>
        <v>http://collections.slsa.sa.gov.au/mpcimg/14000/B13879.htm</v>
      </c>
    </row>
    <row r="7795" spans="1:11" x14ac:dyDescent="0.25">
      <c r="A7795" t="s">
        <v>26265</v>
      </c>
      <c r="B7795" s="1" t="str">
        <f>HYPERLINK("https://www.catalog.slsa.sa.gov.au/record=b2058369")</f>
        <v>https://www.catalog.slsa.sa.gov.au/record=b2058369</v>
      </c>
      <c r="C7795" s="1" t="str">
        <f>HYPERLINK("https://www.catalog.slsa.sa.gov.au/xrecord=b2058369")</f>
        <v>https://www.catalog.slsa.sa.gov.au/xrecord=b2058369</v>
      </c>
      <c r="D7795" t="s">
        <v>16831</v>
      </c>
      <c r="E7795" t="s">
        <v>26263</v>
      </c>
      <c r="F7795">
        <v>1957</v>
      </c>
      <c r="G7795" t="s">
        <v>25786</v>
      </c>
      <c r="H7795" t="s">
        <v>26266</v>
      </c>
      <c r="J7795" t="s">
        <v>20984</v>
      </c>
      <c r="K7795" s="2" t="str">
        <f>HYPERLINK("http://collections.slsa.sa.gov.au/mpcimg/14000/B13880.htm")</f>
        <v>http://collections.slsa.sa.gov.au/mpcimg/14000/B13880.htm</v>
      </c>
    </row>
    <row r="7796" spans="1:11" x14ac:dyDescent="0.25">
      <c r="A7796" t="s">
        <v>26267</v>
      </c>
      <c r="B7796" s="1" t="str">
        <f>HYPERLINK("https://www.catalog.slsa.sa.gov.au/record=b2058406")</f>
        <v>https://www.catalog.slsa.sa.gov.au/record=b2058406</v>
      </c>
      <c r="C7796" s="1" t="str">
        <f>HYPERLINK("https://www.catalog.slsa.sa.gov.au/xrecord=b2058406")</f>
        <v>https://www.catalog.slsa.sa.gov.au/xrecord=b2058406</v>
      </c>
      <c r="D7796" t="s">
        <v>16831</v>
      </c>
      <c r="E7796" t="s">
        <v>20970</v>
      </c>
      <c r="F7796">
        <v>1957</v>
      </c>
      <c r="G7796" t="s">
        <v>25786</v>
      </c>
      <c r="H7796" t="s">
        <v>26268</v>
      </c>
      <c r="J7796" t="s">
        <v>20987</v>
      </c>
      <c r="K7796" s="2" t="str">
        <f>HYPERLINK("http://collections.slsa.sa.gov.au/mpcimg/14000/B13901.htm")</f>
        <v>http://collections.slsa.sa.gov.au/mpcimg/14000/B13901.htm</v>
      </c>
    </row>
    <row r="7797" spans="1:11" x14ac:dyDescent="0.25">
      <c r="A7797" t="s">
        <v>26269</v>
      </c>
      <c r="B7797" s="1" t="str">
        <f>HYPERLINK("https://www.catalog.slsa.sa.gov.au/record=b2058801")</f>
        <v>https://www.catalog.slsa.sa.gov.au/record=b2058801</v>
      </c>
      <c r="C7797" s="1" t="str">
        <f>HYPERLINK("https://www.catalog.slsa.sa.gov.au/xrecord=b2058801")</f>
        <v>https://www.catalog.slsa.sa.gov.au/xrecord=b2058801</v>
      </c>
      <c r="D7797" t="s">
        <v>16831</v>
      </c>
      <c r="E7797" t="s">
        <v>25872</v>
      </c>
      <c r="F7797">
        <v>1957</v>
      </c>
      <c r="G7797" t="s">
        <v>25786</v>
      </c>
      <c r="H7797" t="s">
        <v>26270</v>
      </c>
      <c r="J7797" t="s">
        <v>20997</v>
      </c>
      <c r="K7797" s="2" t="str">
        <f>HYPERLINK("http://collections.slsa.sa.gov.au/mpcimg/14000/B13940.htm")</f>
        <v>http://collections.slsa.sa.gov.au/mpcimg/14000/B13940.htm</v>
      </c>
    </row>
    <row r="7798" spans="1:11" x14ac:dyDescent="0.25">
      <c r="A7798" t="s">
        <v>26271</v>
      </c>
      <c r="B7798" s="1" t="str">
        <f>HYPERLINK("https://www.catalog.slsa.sa.gov.au/record=b2058802")</f>
        <v>https://www.catalog.slsa.sa.gov.au/record=b2058802</v>
      </c>
      <c r="C7798" s="1" t="str">
        <f>HYPERLINK("https://www.catalog.slsa.sa.gov.au/xrecord=b2058802")</f>
        <v>https://www.catalog.slsa.sa.gov.au/xrecord=b2058802</v>
      </c>
      <c r="D7798" t="s">
        <v>16831</v>
      </c>
      <c r="E7798" t="s">
        <v>25872</v>
      </c>
      <c r="F7798">
        <v>1957</v>
      </c>
      <c r="G7798" t="s">
        <v>25786</v>
      </c>
      <c r="H7798" t="s">
        <v>26272</v>
      </c>
      <c r="J7798" t="s">
        <v>20997</v>
      </c>
      <c r="K7798" s="2" t="str">
        <f>HYPERLINK("http://collections.slsa.sa.gov.au/mpcimg/14000/B13941.htm")</f>
        <v>http://collections.slsa.sa.gov.au/mpcimg/14000/B13941.htm</v>
      </c>
    </row>
    <row r="7799" spans="1:11" x14ac:dyDescent="0.25">
      <c r="A7799" t="s">
        <v>26273</v>
      </c>
      <c r="B7799" s="1" t="str">
        <f>HYPERLINK("https://www.catalog.slsa.sa.gov.au/record=b2058825")</f>
        <v>https://www.catalog.slsa.sa.gov.au/record=b2058825</v>
      </c>
      <c r="C7799" s="1" t="str">
        <f>HYPERLINK("https://www.catalog.slsa.sa.gov.au/xrecord=b2058825")</f>
        <v>https://www.catalog.slsa.sa.gov.au/xrecord=b2058825</v>
      </c>
      <c r="D7799" t="s">
        <v>16831</v>
      </c>
      <c r="E7799" t="s">
        <v>21014</v>
      </c>
      <c r="F7799">
        <v>1957</v>
      </c>
      <c r="G7799" t="s">
        <v>25786</v>
      </c>
      <c r="H7799" t="s">
        <v>26274</v>
      </c>
      <c r="J7799" t="s">
        <v>21000</v>
      </c>
      <c r="K7799" s="2" t="str">
        <f>HYPERLINK("http://collections.slsa.sa.gov.au/mpcimg/14000/B13968.htm")</f>
        <v>http://collections.slsa.sa.gov.au/mpcimg/14000/B13968.htm</v>
      </c>
    </row>
    <row r="7800" spans="1:11" x14ac:dyDescent="0.25">
      <c r="A7800" t="s">
        <v>26275</v>
      </c>
      <c r="B7800" s="1" t="str">
        <f>HYPERLINK("https://www.catalog.slsa.sa.gov.au/record=b2058916")</f>
        <v>https://www.catalog.slsa.sa.gov.au/record=b2058916</v>
      </c>
      <c r="C7800" s="1" t="str">
        <f>HYPERLINK("https://www.catalog.slsa.sa.gov.au/xrecord=b2058916")</f>
        <v>https://www.catalog.slsa.sa.gov.au/xrecord=b2058916</v>
      </c>
      <c r="D7800" t="s">
        <v>16831</v>
      </c>
      <c r="E7800" t="s">
        <v>26276</v>
      </c>
      <c r="F7800">
        <v>1957</v>
      </c>
      <c r="G7800" t="s">
        <v>25786</v>
      </c>
      <c r="H7800" t="s">
        <v>26277</v>
      </c>
      <c r="J7800" t="s">
        <v>22830</v>
      </c>
      <c r="K7800" s="2" t="str">
        <f>HYPERLINK("http://collections.slsa.sa.gov.au/mpcimg/14000/B13869.htm")</f>
        <v>http://collections.slsa.sa.gov.au/mpcimg/14000/B13869.htm</v>
      </c>
    </row>
    <row r="7801" spans="1:11" x14ac:dyDescent="0.25">
      <c r="A7801" t="s">
        <v>26278</v>
      </c>
      <c r="B7801" s="1" t="str">
        <f>HYPERLINK("https://www.catalog.slsa.sa.gov.au/record=b2058952")</f>
        <v>https://www.catalog.slsa.sa.gov.au/record=b2058952</v>
      </c>
      <c r="C7801" s="1" t="str">
        <f>HYPERLINK("https://www.catalog.slsa.sa.gov.au/xrecord=b2058952")</f>
        <v>https://www.catalog.slsa.sa.gov.au/xrecord=b2058952</v>
      </c>
      <c r="D7801" t="s">
        <v>16831</v>
      </c>
      <c r="E7801" t="s">
        <v>15191</v>
      </c>
      <c r="F7801">
        <v>1957</v>
      </c>
      <c r="G7801" t="s">
        <v>25786</v>
      </c>
      <c r="H7801" t="s">
        <v>26279</v>
      </c>
      <c r="J7801" t="s">
        <v>21012</v>
      </c>
      <c r="K7801" s="2" t="str">
        <f>HYPERLINK("http://collections.slsa.sa.gov.au/mpcimg/14000/B13960.htm")</f>
        <v>http://collections.slsa.sa.gov.au/mpcimg/14000/B13960.htm</v>
      </c>
    </row>
    <row r="7802" spans="1:11" x14ac:dyDescent="0.25">
      <c r="A7802" t="s">
        <v>26280</v>
      </c>
      <c r="B7802" s="1" t="str">
        <f>HYPERLINK("https://www.catalog.slsa.sa.gov.au/record=b2059027")</f>
        <v>https://www.catalog.slsa.sa.gov.au/record=b2059027</v>
      </c>
      <c r="C7802" s="1" t="str">
        <f>HYPERLINK("https://www.catalog.slsa.sa.gov.au/xrecord=b2059027")</f>
        <v>https://www.catalog.slsa.sa.gov.au/xrecord=b2059027</v>
      </c>
      <c r="D7802" t="s">
        <v>16831</v>
      </c>
      <c r="E7802" t="s">
        <v>25872</v>
      </c>
      <c r="F7802">
        <v>1957</v>
      </c>
      <c r="G7802" t="s">
        <v>25786</v>
      </c>
      <c r="H7802" t="s">
        <v>26281</v>
      </c>
      <c r="J7802" t="s">
        <v>25874</v>
      </c>
      <c r="K7802" s="2" t="str">
        <f>HYPERLINK("http://collections.slsa.sa.gov.au/mpcimg/14000/B13943.htm")</f>
        <v>http://collections.slsa.sa.gov.au/mpcimg/14000/B13943.htm</v>
      </c>
    </row>
    <row r="7803" spans="1:11" x14ac:dyDescent="0.25">
      <c r="A7803" t="s">
        <v>26282</v>
      </c>
      <c r="B7803" s="1" t="str">
        <f>HYPERLINK("https://www.catalog.slsa.sa.gov.au/record=b2059028")</f>
        <v>https://www.catalog.slsa.sa.gov.au/record=b2059028</v>
      </c>
      <c r="C7803" s="1" t="str">
        <f>HYPERLINK("https://www.catalog.slsa.sa.gov.au/xrecord=b2059028")</f>
        <v>https://www.catalog.slsa.sa.gov.au/xrecord=b2059028</v>
      </c>
      <c r="D7803" t="s">
        <v>16831</v>
      </c>
      <c r="E7803" t="s">
        <v>15191</v>
      </c>
      <c r="F7803">
        <v>1957</v>
      </c>
      <c r="G7803" t="s">
        <v>25786</v>
      </c>
      <c r="H7803" t="s">
        <v>26283</v>
      </c>
      <c r="J7803" t="s">
        <v>25874</v>
      </c>
      <c r="K7803" s="2" t="str">
        <f>HYPERLINK("http://collections.slsa.sa.gov.au/mpcimg/14000/B13944.htm")</f>
        <v>http://collections.slsa.sa.gov.au/mpcimg/14000/B13944.htm</v>
      </c>
    </row>
    <row r="7804" spans="1:11" x14ac:dyDescent="0.25">
      <c r="A7804" t="s">
        <v>26284</v>
      </c>
      <c r="B7804" s="1" t="str">
        <f>HYPERLINK("https://www.catalog.slsa.sa.gov.au/record=b2059274")</f>
        <v>https://www.catalog.slsa.sa.gov.au/record=b2059274</v>
      </c>
      <c r="C7804" s="1" t="str">
        <f>HYPERLINK("https://www.catalog.slsa.sa.gov.au/xrecord=b2059274")</f>
        <v>https://www.catalog.slsa.sa.gov.au/xrecord=b2059274</v>
      </c>
      <c r="D7804" t="s">
        <v>16831</v>
      </c>
      <c r="E7804" t="s">
        <v>26285</v>
      </c>
      <c r="F7804">
        <v>1957</v>
      </c>
      <c r="G7804" t="s">
        <v>25786</v>
      </c>
      <c r="H7804" t="s">
        <v>26286</v>
      </c>
      <c r="J7804" t="s">
        <v>22837</v>
      </c>
      <c r="K7804" s="2" t="str">
        <f>HYPERLINK("http://collections.slsa.sa.gov.au/mpcimg/14000/B13838.htm")</f>
        <v>http://collections.slsa.sa.gov.au/mpcimg/14000/B13838.htm</v>
      </c>
    </row>
    <row r="7805" spans="1:11" x14ac:dyDescent="0.25">
      <c r="A7805" t="s">
        <v>26287</v>
      </c>
      <c r="B7805" s="1" t="str">
        <f>HYPERLINK("https://www.catalog.slsa.sa.gov.au/record=b2059275")</f>
        <v>https://www.catalog.slsa.sa.gov.au/record=b2059275</v>
      </c>
      <c r="C7805" s="1" t="str">
        <f>HYPERLINK("https://www.catalog.slsa.sa.gov.au/xrecord=b2059275")</f>
        <v>https://www.catalog.slsa.sa.gov.au/xrecord=b2059275</v>
      </c>
      <c r="D7805" t="s">
        <v>16831</v>
      </c>
      <c r="E7805" t="s">
        <v>26285</v>
      </c>
      <c r="F7805">
        <v>1957</v>
      </c>
      <c r="G7805" t="s">
        <v>25786</v>
      </c>
      <c r="H7805" t="s">
        <v>26288</v>
      </c>
      <c r="J7805" t="s">
        <v>22837</v>
      </c>
      <c r="K7805" s="2" t="str">
        <f>HYPERLINK("http://collections.slsa.sa.gov.au/mpcimg/14000/B13906.htm")</f>
        <v>http://collections.slsa.sa.gov.au/mpcimg/14000/B13906.htm</v>
      </c>
    </row>
    <row r="7806" spans="1:11" x14ac:dyDescent="0.25">
      <c r="A7806" t="s">
        <v>26289</v>
      </c>
      <c r="B7806" s="1" t="str">
        <f>HYPERLINK("https://www.catalog.slsa.sa.gov.au/record=b2059276")</f>
        <v>https://www.catalog.slsa.sa.gov.au/record=b2059276</v>
      </c>
      <c r="C7806" s="1" t="str">
        <f>HYPERLINK("https://www.catalog.slsa.sa.gov.au/xrecord=b2059276")</f>
        <v>https://www.catalog.slsa.sa.gov.au/xrecord=b2059276</v>
      </c>
      <c r="D7806" t="s">
        <v>16831</v>
      </c>
      <c r="E7806" t="s">
        <v>26285</v>
      </c>
      <c r="F7806">
        <v>1957</v>
      </c>
      <c r="G7806" t="s">
        <v>25786</v>
      </c>
      <c r="H7806" t="s">
        <v>26290</v>
      </c>
      <c r="J7806" t="s">
        <v>22837</v>
      </c>
      <c r="K7806" s="2" t="str">
        <f>HYPERLINK("http://collections.slsa.sa.gov.au/mpcimg/14000/B13985.htm")</f>
        <v>http://collections.slsa.sa.gov.au/mpcimg/14000/B13985.htm</v>
      </c>
    </row>
    <row r="7807" spans="1:11" x14ac:dyDescent="0.25">
      <c r="A7807" t="s">
        <v>26291</v>
      </c>
      <c r="B7807" s="1" t="str">
        <f>HYPERLINK("https://www.catalog.slsa.sa.gov.au/record=b2059499")</f>
        <v>https://www.catalog.slsa.sa.gov.au/record=b2059499</v>
      </c>
      <c r="C7807" s="1" t="str">
        <f>HYPERLINK("https://www.catalog.slsa.sa.gov.au/xrecord=b2059499")</f>
        <v>https://www.catalog.slsa.sa.gov.au/xrecord=b2059499</v>
      </c>
      <c r="D7807" t="s">
        <v>16831</v>
      </c>
      <c r="E7807" t="s">
        <v>20096</v>
      </c>
      <c r="F7807">
        <v>1957</v>
      </c>
      <c r="G7807" t="s">
        <v>25786</v>
      </c>
      <c r="H7807" t="s">
        <v>26292</v>
      </c>
      <c r="J7807" t="s">
        <v>24198</v>
      </c>
      <c r="K7807" s="2" t="str">
        <f>HYPERLINK("http://collections.slsa.sa.gov.au/mpcimg/14000/B13887.htm")</f>
        <v>http://collections.slsa.sa.gov.au/mpcimg/14000/B13887.htm</v>
      </c>
    </row>
    <row r="7808" spans="1:11" x14ac:dyDescent="0.25">
      <c r="A7808" t="s">
        <v>26293</v>
      </c>
      <c r="B7808" s="1" t="str">
        <f>HYPERLINK("https://www.catalog.slsa.sa.gov.au/record=b2059500")</f>
        <v>https://www.catalog.slsa.sa.gov.au/record=b2059500</v>
      </c>
      <c r="C7808" s="1" t="str">
        <f>HYPERLINK("https://www.catalog.slsa.sa.gov.au/xrecord=b2059500")</f>
        <v>https://www.catalog.slsa.sa.gov.au/xrecord=b2059500</v>
      </c>
      <c r="D7808" t="s">
        <v>16831</v>
      </c>
      <c r="E7808" t="s">
        <v>26294</v>
      </c>
      <c r="F7808">
        <v>1957</v>
      </c>
      <c r="G7808" t="s">
        <v>25786</v>
      </c>
      <c r="H7808" t="s">
        <v>26295</v>
      </c>
      <c r="J7808" t="s">
        <v>24198</v>
      </c>
      <c r="K7808" s="2" t="str">
        <f>HYPERLINK("http://collections.slsa.sa.gov.au/mpcimg/14000/B13888.htm")</f>
        <v>http://collections.slsa.sa.gov.au/mpcimg/14000/B13888.htm</v>
      </c>
    </row>
    <row r="7809" spans="1:11" x14ac:dyDescent="0.25">
      <c r="A7809" t="s">
        <v>26296</v>
      </c>
      <c r="B7809" s="1" t="str">
        <f>HYPERLINK("https://www.catalog.slsa.sa.gov.au/record=b2059520")</f>
        <v>https://www.catalog.slsa.sa.gov.au/record=b2059520</v>
      </c>
      <c r="C7809" s="1" t="str">
        <f>HYPERLINK("https://www.catalog.slsa.sa.gov.au/xrecord=b2059520")</f>
        <v>https://www.catalog.slsa.sa.gov.au/xrecord=b2059520</v>
      </c>
      <c r="D7809" t="s">
        <v>16831</v>
      </c>
      <c r="E7809" t="s">
        <v>20096</v>
      </c>
      <c r="F7809">
        <v>1957</v>
      </c>
      <c r="G7809" t="s">
        <v>25786</v>
      </c>
      <c r="H7809" t="s">
        <v>26297</v>
      </c>
      <c r="J7809" t="s">
        <v>22847</v>
      </c>
      <c r="K7809" s="2" t="str">
        <f>HYPERLINK("http://collections.slsa.sa.gov.au/mpcimg/14000/B13949.htm")</f>
        <v>http://collections.slsa.sa.gov.au/mpcimg/14000/B13949.htm</v>
      </c>
    </row>
    <row r="7810" spans="1:11" x14ac:dyDescent="0.25">
      <c r="A7810" t="s">
        <v>26298</v>
      </c>
      <c r="B7810" s="1" t="str">
        <f>HYPERLINK("https://www.catalog.slsa.sa.gov.au/record=b2059521")</f>
        <v>https://www.catalog.slsa.sa.gov.au/record=b2059521</v>
      </c>
      <c r="C7810" s="1" t="str">
        <f>HYPERLINK("https://www.catalog.slsa.sa.gov.au/xrecord=b2059521")</f>
        <v>https://www.catalog.slsa.sa.gov.au/xrecord=b2059521</v>
      </c>
      <c r="D7810" t="s">
        <v>16831</v>
      </c>
      <c r="E7810" t="s">
        <v>20974</v>
      </c>
      <c r="F7810">
        <v>1957</v>
      </c>
      <c r="G7810" t="s">
        <v>25786</v>
      </c>
      <c r="H7810" t="s">
        <v>26299</v>
      </c>
      <c r="J7810" t="s">
        <v>22847</v>
      </c>
      <c r="K7810" s="2" t="str">
        <f>HYPERLINK("http://collections.slsa.sa.gov.au/mpcimg/14000/B13950.htm")</f>
        <v>http://collections.slsa.sa.gov.au/mpcimg/14000/B13950.htm</v>
      </c>
    </row>
    <row r="7811" spans="1:11" x14ac:dyDescent="0.25">
      <c r="A7811" t="s">
        <v>26300</v>
      </c>
      <c r="B7811" s="1" t="str">
        <f>HYPERLINK("https://www.catalog.slsa.sa.gov.au/record=b2059641")</f>
        <v>https://www.catalog.slsa.sa.gov.au/record=b2059641</v>
      </c>
      <c r="C7811" s="1" t="str">
        <f>HYPERLINK("https://www.catalog.slsa.sa.gov.au/xrecord=b2059641")</f>
        <v>https://www.catalog.slsa.sa.gov.au/xrecord=b2059641</v>
      </c>
      <c r="D7811" t="s">
        <v>16831</v>
      </c>
      <c r="E7811" t="s">
        <v>24227</v>
      </c>
      <c r="F7811">
        <v>1957</v>
      </c>
      <c r="G7811" t="s">
        <v>25786</v>
      </c>
      <c r="H7811" t="s">
        <v>26301</v>
      </c>
      <c r="J7811" t="s">
        <v>22854</v>
      </c>
      <c r="K7811" s="2" t="str">
        <f>HYPERLINK("http://collections.slsa.sa.gov.au/mpcimg/14000/B13926.htm")</f>
        <v>http://collections.slsa.sa.gov.au/mpcimg/14000/B13926.htm</v>
      </c>
    </row>
    <row r="7812" spans="1:11" x14ac:dyDescent="0.25">
      <c r="A7812" t="s">
        <v>26302</v>
      </c>
      <c r="B7812" s="1" t="str">
        <f>HYPERLINK("https://www.catalog.slsa.sa.gov.au/record=b2059683")</f>
        <v>https://www.catalog.slsa.sa.gov.au/record=b2059683</v>
      </c>
      <c r="C7812" s="1" t="str">
        <f>HYPERLINK("https://www.catalog.slsa.sa.gov.au/xrecord=b2059683")</f>
        <v>https://www.catalog.slsa.sa.gov.au/xrecord=b2059683</v>
      </c>
      <c r="D7812" t="s">
        <v>16831</v>
      </c>
      <c r="E7812" t="s">
        <v>5365</v>
      </c>
      <c r="F7812">
        <v>1957</v>
      </c>
      <c r="G7812" t="s">
        <v>25786</v>
      </c>
      <c r="H7812" t="s">
        <v>26303</v>
      </c>
      <c r="J7812" t="s">
        <v>24237</v>
      </c>
      <c r="K7812" s="2" t="str">
        <f>HYPERLINK("http://collections.slsa.sa.gov.au/mpcimg/14000/B13963.htm")</f>
        <v>http://collections.slsa.sa.gov.au/mpcimg/14000/B13963.htm</v>
      </c>
    </row>
    <row r="7813" spans="1:11" x14ac:dyDescent="0.25">
      <c r="A7813" t="s">
        <v>26304</v>
      </c>
      <c r="B7813" s="1" t="str">
        <f>HYPERLINK("https://www.catalog.slsa.sa.gov.au/record=b2059712")</f>
        <v>https://www.catalog.slsa.sa.gov.au/record=b2059712</v>
      </c>
      <c r="C7813" s="1" t="str">
        <f>HYPERLINK("https://www.catalog.slsa.sa.gov.au/xrecord=b2059712")</f>
        <v>https://www.catalog.slsa.sa.gov.au/xrecord=b2059712</v>
      </c>
      <c r="D7813" t="s">
        <v>16831</v>
      </c>
      <c r="E7813" t="s">
        <v>15191</v>
      </c>
      <c r="F7813">
        <v>1957</v>
      </c>
      <c r="G7813" t="s">
        <v>25786</v>
      </c>
      <c r="H7813" t="s">
        <v>26305</v>
      </c>
      <c r="J7813" t="s">
        <v>24243</v>
      </c>
      <c r="K7813" s="2" t="str">
        <f>HYPERLINK("http://collections.slsa.sa.gov.au/mpcimg/14000/B13964.htm")</f>
        <v>http://collections.slsa.sa.gov.au/mpcimg/14000/B13964.htm</v>
      </c>
    </row>
    <row r="7814" spans="1:11" x14ac:dyDescent="0.25">
      <c r="A7814" t="s">
        <v>26306</v>
      </c>
      <c r="B7814" s="1" t="str">
        <f>HYPERLINK("https://www.catalog.slsa.sa.gov.au/record=b2059735")</f>
        <v>https://www.catalog.slsa.sa.gov.au/record=b2059735</v>
      </c>
      <c r="C7814" s="1" t="str">
        <f>HYPERLINK("https://www.catalog.slsa.sa.gov.au/xrecord=b2059735")</f>
        <v>https://www.catalog.slsa.sa.gov.au/xrecord=b2059735</v>
      </c>
      <c r="D7814" t="s">
        <v>16831</v>
      </c>
      <c r="E7814" t="s">
        <v>15191</v>
      </c>
      <c r="F7814">
        <v>1957</v>
      </c>
      <c r="G7814" t="s">
        <v>25786</v>
      </c>
      <c r="H7814" t="s">
        <v>26307</v>
      </c>
      <c r="J7814" t="s">
        <v>21029</v>
      </c>
      <c r="K7814" s="2" t="str">
        <f>HYPERLINK("http://collections.slsa.sa.gov.au/mpcimg/14000/B13965.htm")</f>
        <v>http://collections.slsa.sa.gov.au/mpcimg/14000/B13965.htm</v>
      </c>
    </row>
    <row r="7815" spans="1:11" x14ac:dyDescent="0.25">
      <c r="A7815" t="s">
        <v>26308</v>
      </c>
      <c r="B7815" s="1" t="str">
        <f>HYPERLINK("https://www.catalog.slsa.sa.gov.au/record=b2059778")</f>
        <v>https://www.catalog.slsa.sa.gov.au/record=b2059778</v>
      </c>
      <c r="C7815" s="1" t="str">
        <f>HYPERLINK("https://www.catalog.slsa.sa.gov.au/xrecord=b2059778")</f>
        <v>https://www.catalog.slsa.sa.gov.au/xrecord=b2059778</v>
      </c>
      <c r="D7815" t="s">
        <v>16831</v>
      </c>
      <c r="E7815" t="s">
        <v>26309</v>
      </c>
      <c r="F7815">
        <v>1957</v>
      </c>
      <c r="G7815" t="s">
        <v>25786</v>
      </c>
      <c r="H7815" t="s">
        <v>26310</v>
      </c>
      <c r="J7815" t="s">
        <v>22857</v>
      </c>
      <c r="K7815" s="2" t="str">
        <f>HYPERLINK("http://collections.slsa.sa.gov.au/mpcimg/14000/B13896.htm")</f>
        <v>http://collections.slsa.sa.gov.au/mpcimg/14000/B13896.htm</v>
      </c>
    </row>
    <row r="7816" spans="1:11" x14ac:dyDescent="0.25">
      <c r="A7816" t="s">
        <v>26311</v>
      </c>
      <c r="B7816" s="1" t="str">
        <f>HYPERLINK("https://www.catalog.slsa.sa.gov.au/record=b2059791")</f>
        <v>https://www.catalog.slsa.sa.gov.au/record=b2059791</v>
      </c>
      <c r="C7816" s="1" t="str">
        <f>HYPERLINK("https://www.catalog.slsa.sa.gov.au/xrecord=b2059791")</f>
        <v>https://www.catalog.slsa.sa.gov.au/xrecord=b2059791</v>
      </c>
      <c r="D7816" t="s">
        <v>16831</v>
      </c>
      <c r="E7816" t="s">
        <v>15191</v>
      </c>
      <c r="F7816">
        <v>1957</v>
      </c>
      <c r="G7816" t="s">
        <v>25786</v>
      </c>
      <c r="H7816" t="s">
        <v>26312</v>
      </c>
      <c r="I7816" t="s">
        <v>26313</v>
      </c>
      <c r="J7816" t="s">
        <v>24255</v>
      </c>
      <c r="K7816" s="2" t="str">
        <f>HYPERLINK("http://collections.slsa.sa.gov.au/mpcimg/14000/B13966.htm")</f>
        <v>http://collections.slsa.sa.gov.au/mpcimg/14000/B13966.htm</v>
      </c>
    </row>
    <row r="7817" spans="1:11" x14ac:dyDescent="0.25">
      <c r="A7817" t="s">
        <v>26314</v>
      </c>
      <c r="B7817" s="1" t="str">
        <f>HYPERLINK("https://www.catalog.slsa.sa.gov.au/record=b2059926")</f>
        <v>https://www.catalog.slsa.sa.gov.au/record=b2059926</v>
      </c>
      <c r="C7817" s="1" t="str">
        <f>HYPERLINK("https://www.catalog.slsa.sa.gov.au/xrecord=b2059926")</f>
        <v>https://www.catalog.slsa.sa.gov.au/xrecord=b2059926</v>
      </c>
      <c r="D7817" t="s">
        <v>16831</v>
      </c>
      <c r="E7817" t="s">
        <v>20100</v>
      </c>
      <c r="F7817">
        <v>1957</v>
      </c>
      <c r="G7817" t="s">
        <v>25786</v>
      </c>
      <c r="H7817" t="s">
        <v>26315</v>
      </c>
      <c r="J7817" t="s">
        <v>25931</v>
      </c>
      <c r="K7817" s="2" t="str">
        <f>HYPERLINK("http://collections.slsa.sa.gov.au/mpcimg/14000/B13929.htm")</f>
        <v>http://collections.slsa.sa.gov.au/mpcimg/14000/B13929.htm</v>
      </c>
    </row>
    <row r="7818" spans="1:11" x14ac:dyDescent="0.25">
      <c r="A7818" t="s">
        <v>26316</v>
      </c>
      <c r="B7818" s="1" t="str">
        <f>HYPERLINK("https://www.catalog.slsa.sa.gov.au/record=b2059927")</f>
        <v>https://www.catalog.slsa.sa.gov.au/record=b2059927</v>
      </c>
      <c r="C7818" s="1" t="str">
        <f>HYPERLINK("https://www.catalog.slsa.sa.gov.au/xrecord=b2059927")</f>
        <v>https://www.catalog.slsa.sa.gov.au/xrecord=b2059927</v>
      </c>
      <c r="D7818" t="s">
        <v>16831</v>
      </c>
      <c r="E7818" t="s">
        <v>21232</v>
      </c>
      <c r="F7818">
        <v>1957</v>
      </c>
      <c r="G7818" t="s">
        <v>25786</v>
      </c>
      <c r="H7818" t="s">
        <v>26317</v>
      </c>
      <c r="J7818" t="s">
        <v>25931</v>
      </c>
      <c r="K7818" s="2" t="str">
        <f>HYPERLINK("http://collections.slsa.sa.gov.au/mpcimg/14000/B13931.htm")</f>
        <v>http://collections.slsa.sa.gov.au/mpcimg/14000/B13931.htm</v>
      </c>
    </row>
    <row r="7819" spans="1:11" x14ac:dyDescent="0.25">
      <c r="A7819" t="s">
        <v>26318</v>
      </c>
      <c r="B7819" s="1" t="str">
        <f>HYPERLINK("https://www.catalog.slsa.sa.gov.au/record=b2059953")</f>
        <v>https://www.catalog.slsa.sa.gov.au/record=b2059953</v>
      </c>
      <c r="C7819" s="1" t="str">
        <f>HYPERLINK("https://www.catalog.slsa.sa.gov.au/xrecord=b2059953")</f>
        <v>https://www.catalog.slsa.sa.gov.au/xrecord=b2059953</v>
      </c>
      <c r="D7819" t="s">
        <v>16831</v>
      </c>
      <c r="E7819" t="s">
        <v>20100</v>
      </c>
      <c r="F7819">
        <v>1957</v>
      </c>
      <c r="G7819" t="s">
        <v>25786</v>
      </c>
      <c r="H7819" t="s">
        <v>26319</v>
      </c>
      <c r="J7819" t="s">
        <v>26320</v>
      </c>
      <c r="K7819" s="2" t="str">
        <f>HYPERLINK("http://collections.slsa.sa.gov.au/mpcimg/14000/B13874.htm")</f>
        <v>http://collections.slsa.sa.gov.au/mpcimg/14000/B13874.htm</v>
      </c>
    </row>
    <row r="7820" spans="1:11" x14ac:dyDescent="0.25">
      <c r="A7820" t="s">
        <v>26321</v>
      </c>
      <c r="B7820" s="1" t="str">
        <f>HYPERLINK("https://www.catalog.slsa.sa.gov.au/record=b2059992")</f>
        <v>https://www.catalog.slsa.sa.gov.au/record=b2059992</v>
      </c>
      <c r="C7820" s="1" t="str">
        <f>HYPERLINK("https://www.catalog.slsa.sa.gov.au/xrecord=b2059992")</f>
        <v>https://www.catalog.slsa.sa.gov.au/xrecord=b2059992</v>
      </c>
      <c r="D7820" t="s">
        <v>16831</v>
      </c>
      <c r="E7820" t="s">
        <v>21046</v>
      </c>
      <c r="F7820">
        <v>1957</v>
      </c>
      <c r="G7820" t="s">
        <v>25786</v>
      </c>
      <c r="H7820" t="s">
        <v>26322</v>
      </c>
      <c r="J7820" t="s">
        <v>25939</v>
      </c>
      <c r="K7820" s="2" t="str">
        <f>HYPERLINK("http://collections.slsa.sa.gov.au/mpcimg/14000/B13856.htm")</f>
        <v>http://collections.slsa.sa.gov.au/mpcimg/14000/B13856.htm</v>
      </c>
    </row>
    <row r="7821" spans="1:11" x14ac:dyDescent="0.25">
      <c r="A7821" t="s">
        <v>26323</v>
      </c>
      <c r="B7821" s="1" t="str">
        <f>HYPERLINK("https://www.catalog.slsa.sa.gov.au/record=b2060004")</f>
        <v>https://www.catalog.slsa.sa.gov.au/record=b2060004</v>
      </c>
      <c r="C7821" s="1" t="str">
        <f>HYPERLINK("https://www.catalog.slsa.sa.gov.au/xrecord=b2060004")</f>
        <v>https://www.catalog.slsa.sa.gov.au/xrecord=b2060004</v>
      </c>
      <c r="D7821" t="s">
        <v>16831</v>
      </c>
      <c r="E7821" t="s">
        <v>21014</v>
      </c>
      <c r="F7821">
        <v>1957</v>
      </c>
      <c r="G7821" t="s">
        <v>25786</v>
      </c>
      <c r="H7821" t="s">
        <v>26324</v>
      </c>
      <c r="J7821" t="s">
        <v>26325</v>
      </c>
      <c r="K7821" s="2" t="str">
        <f>HYPERLINK("http://collections.slsa.sa.gov.au/mpcimg/14000/B13969.htm")</f>
        <v>http://collections.slsa.sa.gov.au/mpcimg/14000/B13969.htm</v>
      </c>
    </row>
    <row r="7822" spans="1:11" x14ac:dyDescent="0.25">
      <c r="A7822" t="s">
        <v>26326</v>
      </c>
      <c r="B7822" s="1" t="str">
        <f>HYPERLINK("https://www.catalog.slsa.sa.gov.au/record=b2060005")</f>
        <v>https://www.catalog.slsa.sa.gov.au/record=b2060005</v>
      </c>
      <c r="C7822" s="1" t="str">
        <f>HYPERLINK("https://www.catalog.slsa.sa.gov.au/xrecord=b2060005")</f>
        <v>https://www.catalog.slsa.sa.gov.au/xrecord=b2060005</v>
      </c>
      <c r="D7822" t="s">
        <v>16831</v>
      </c>
      <c r="E7822" t="s">
        <v>21014</v>
      </c>
      <c r="F7822">
        <v>1957</v>
      </c>
      <c r="G7822" t="s">
        <v>25786</v>
      </c>
      <c r="H7822" t="s">
        <v>26327</v>
      </c>
      <c r="J7822" t="s">
        <v>26325</v>
      </c>
      <c r="K7822" s="2" t="str">
        <f>HYPERLINK("http://collections.slsa.sa.gov.au/mpcimg/14000/B13970.htm")</f>
        <v>http://collections.slsa.sa.gov.au/mpcimg/14000/B13970.htm</v>
      </c>
    </row>
    <row r="7823" spans="1:11" x14ac:dyDescent="0.25">
      <c r="A7823" t="s">
        <v>26328</v>
      </c>
      <c r="B7823" s="1" t="str">
        <f>HYPERLINK("https://www.catalog.slsa.sa.gov.au/record=b2060154")</f>
        <v>https://www.catalog.slsa.sa.gov.au/record=b2060154</v>
      </c>
      <c r="C7823" s="1" t="str">
        <f>HYPERLINK("https://www.catalog.slsa.sa.gov.au/xrecord=b2060154")</f>
        <v>https://www.catalog.slsa.sa.gov.au/xrecord=b2060154</v>
      </c>
      <c r="D7823" t="s">
        <v>16831</v>
      </c>
      <c r="E7823" t="s">
        <v>24227</v>
      </c>
      <c r="F7823">
        <v>1957</v>
      </c>
      <c r="G7823" t="s">
        <v>25786</v>
      </c>
      <c r="H7823" t="s">
        <v>26329</v>
      </c>
      <c r="J7823" t="s">
        <v>26330</v>
      </c>
      <c r="K7823" s="2" t="str">
        <f>HYPERLINK("http://collections.slsa.sa.gov.au/mpcimg/14000/B13946.htm")</f>
        <v>http://collections.slsa.sa.gov.au/mpcimg/14000/B13946.htm</v>
      </c>
    </row>
    <row r="7824" spans="1:11" x14ac:dyDescent="0.25">
      <c r="A7824" t="s">
        <v>26331</v>
      </c>
      <c r="B7824" s="1" t="str">
        <f>HYPERLINK("https://www.catalog.slsa.sa.gov.au/record=b2060155")</f>
        <v>https://www.catalog.slsa.sa.gov.au/record=b2060155</v>
      </c>
      <c r="C7824" s="1" t="str">
        <f>HYPERLINK("https://www.catalog.slsa.sa.gov.au/xrecord=b2060155")</f>
        <v>https://www.catalog.slsa.sa.gov.au/xrecord=b2060155</v>
      </c>
      <c r="D7824" t="s">
        <v>16831</v>
      </c>
      <c r="E7824" t="s">
        <v>24227</v>
      </c>
      <c r="F7824">
        <v>1957</v>
      </c>
      <c r="G7824" t="s">
        <v>25786</v>
      </c>
      <c r="H7824" t="s">
        <v>26332</v>
      </c>
      <c r="J7824" t="s">
        <v>26330</v>
      </c>
      <c r="K7824" s="2" t="str">
        <f>HYPERLINK("http://collections.slsa.sa.gov.au/mpcimg/14000/B13947.htm")</f>
        <v>http://collections.slsa.sa.gov.au/mpcimg/14000/B13947.htm</v>
      </c>
    </row>
    <row r="7825" spans="1:11" x14ac:dyDescent="0.25">
      <c r="A7825" t="s">
        <v>26333</v>
      </c>
      <c r="B7825" s="1" t="str">
        <f>HYPERLINK("https://www.catalog.slsa.sa.gov.au/record=b2060199")</f>
        <v>https://www.catalog.slsa.sa.gov.au/record=b2060199</v>
      </c>
      <c r="C7825" s="1" t="str">
        <f>HYPERLINK("https://www.catalog.slsa.sa.gov.au/xrecord=b2060199")</f>
        <v>https://www.catalog.slsa.sa.gov.au/xrecord=b2060199</v>
      </c>
      <c r="D7825" t="s">
        <v>16831</v>
      </c>
      <c r="E7825" t="s">
        <v>26334</v>
      </c>
      <c r="F7825">
        <v>1957</v>
      </c>
      <c r="G7825" t="s">
        <v>25786</v>
      </c>
      <c r="H7825" t="s">
        <v>26335</v>
      </c>
      <c r="J7825" t="s">
        <v>24279</v>
      </c>
      <c r="K7825" s="2" t="str">
        <f>HYPERLINK("http://collections.slsa.sa.gov.au/mpcimg/14000/B13903.htm")</f>
        <v>http://collections.slsa.sa.gov.au/mpcimg/14000/B13903.htm</v>
      </c>
    </row>
    <row r="7826" spans="1:11" x14ac:dyDescent="0.25">
      <c r="A7826" t="s">
        <v>26336</v>
      </c>
      <c r="B7826" s="1" t="str">
        <f>HYPERLINK("https://www.catalog.slsa.sa.gov.au/record=b2060200")</f>
        <v>https://www.catalog.slsa.sa.gov.au/record=b2060200</v>
      </c>
      <c r="C7826" s="1" t="str">
        <f>HYPERLINK("https://www.catalog.slsa.sa.gov.au/xrecord=b2060200")</f>
        <v>https://www.catalog.slsa.sa.gov.au/xrecord=b2060200</v>
      </c>
      <c r="D7826" t="s">
        <v>16831</v>
      </c>
      <c r="E7826" t="s">
        <v>26334</v>
      </c>
      <c r="F7826">
        <v>1957</v>
      </c>
      <c r="G7826" t="s">
        <v>25786</v>
      </c>
      <c r="H7826" t="s">
        <v>26337</v>
      </c>
      <c r="J7826" t="s">
        <v>24279</v>
      </c>
      <c r="K7826" s="2" t="str">
        <f>HYPERLINK("http://collections.slsa.sa.gov.au/mpcimg/14000/B13904.htm")</f>
        <v>http://collections.slsa.sa.gov.au/mpcimg/14000/B13904.htm</v>
      </c>
    </row>
    <row r="7827" spans="1:11" x14ac:dyDescent="0.25">
      <c r="A7827" t="s">
        <v>26338</v>
      </c>
      <c r="B7827" s="1" t="str">
        <f>HYPERLINK("https://www.catalog.slsa.sa.gov.au/record=b2060201")</f>
        <v>https://www.catalog.slsa.sa.gov.au/record=b2060201</v>
      </c>
      <c r="C7827" s="1" t="str">
        <f>HYPERLINK("https://www.catalog.slsa.sa.gov.au/xrecord=b2060201")</f>
        <v>https://www.catalog.slsa.sa.gov.au/xrecord=b2060201</v>
      </c>
      <c r="D7827" t="s">
        <v>16831</v>
      </c>
      <c r="E7827" t="s">
        <v>26334</v>
      </c>
      <c r="F7827">
        <v>1957</v>
      </c>
      <c r="G7827" t="s">
        <v>25786</v>
      </c>
      <c r="H7827" t="s">
        <v>26339</v>
      </c>
      <c r="J7827" t="s">
        <v>24279</v>
      </c>
      <c r="K7827" s="2" t="str">
        <f>HYPERLINK("http://collections.slsa.sa.gov.au/mpcimg/14000/B13905.htm")</f>
        <v>http://collections.slsa.sa.gov.au/mpcimg/14000/B13905.htm</v>
      </c>
    </row>
    <row r="7828" spans="1:11" x14ac:dyDescent="0.25">
      <c r="A7828" t="s">
        <v>26340</v>
      </c>
      <c r="B7828" s="1" t="str">
        <f>HYPERLINK("https://www.catalog.slsa.sa.gov.au/record=b2060306")</f>
        <v>https://www.catalog.slsa.sa.gov.au/record=b2060306</v>
      </c>
      <c r="C7828" s="1" t="str">
        <f>HYPERLINK("https://www.catalog.slsa.sa.gov.au/xrecord=b2060306")</f>
        <v>https://www.catalog.slsa.sa.gov.au/xrecord=b2060306</v>
      </c>
      <c r="D7828" t="s">
        <v>16831</v>
      </c>
      <c r="E7828" t="s">
        <v>21061</v>
      </c>
      <c r="F7828">
        <v>1957</v>
      </c>
      <c r="G7828" t="s">
        <v>25786</v>
      </c>
      <c r="H7828" t="s">
        <v>26341</v>
      </c>
      <c r="J7828" t="s">
        <v>21072</v>
      </c>
      <c r="K7828" s="2" t="str">
        <f>HYPERLINK("http://collections.slsa.sa.gov.au/mpcimg/14000/B13942.htm")</f>
        <v>http://collections.slsa.sa.gov.au/mpcimg/14000/B13942.htm</v>
      </c>
    </row>
    <row r="7829" spans="1:11" x14ac:dyDescent="0.25">
      <c r="A7829" t="s">
        <v>26342</v>
      </c>
      <c r="B7829" s="1" t="str">
        <f>HYPERLINK("https://www.catalog.slsa.sa.gov.au/record=b2060724")</f>
        <v>https://www.catalog.slsa.sa.gov.au/record=b2060724</v>
      </c>
      <c r="C7829" s="1" t="str">
        <f>HYPERLINK("https://www.catalog.slsa.sa.gov.au/xrecord=b2060724")</f>
        <v>https://www.catalog.slsa.sa.gov.au/xrecord=b2060724</v>
      </c>
      <c r="D7829" t="s">
        <v>16831</v>
      </c>
      <c r="E7829" t="s">
        <v>16827</v>
      </c>
      <c r="F7829">
        <v>1957</v>
      </c>
      <c r="G7829" t="s">
        <v>25786</v>
      </c>
      <c r="H7829" t="s">
        <v>26343</v>
      </c>
      <c r="J7829" t="s">
        <v>21094</v>
      </c>
      <c r="K7829" s="2" t="str">
        <f>HYPERLINK("http://collections.slsa.sa.gov.au/mpcimg/14000/B13973.htm")</f>
        <v>http://collections.slsa.sa.gov.au/mpcimg/14000/B13973.htm</v>
      </c>
    </row>
    <row r="7830" spans="1:11" x14ac:dyDescent="0.25">
      <c r="A7830" t="s">
        <v>26344</v>
      </c>
      <c r="B7830" s="1" t="str">
        <f>HYPERLINK("https://www.catalog.slsa.sa.gov.au/record=b2060794")</f>
        <v>https://www.catalog.slsa.sa.gov.au/record=b2060794</v>
      </c>
      <c r="C7830" s="1" t="str">
        <f>HYPERLINK("https://www.catalog.slsa.sa.gov.au/xrecord=b2060794")</f>
        <v>https://www.catalog.slsa.sa.gov.au/xrecord=b2060794</v>
      </c>
      <c r="D7830" t="s">
        <v>16831</v>
      </c>
      <c r="E7830" t="s">
        <v>20100</v>
      </c>
      <c r="F7830">
        <v>1957</v>
      </c>
      <c r="G7830" t="s">
        <v>25786</v>
      </c>
      <c r="H7830" t="s">
        <v>26345</v>
      </c>
      <c r="J7830" t="s">
        <v>25975</v>
      </c>
      <c r="K7830" s="2" t="str">
        <f>HYPERLINK("http://collections.slsa.sa.gov.au/mpcimg/14000/B13930.htm")</f>
        <v>http://collections.slsa.sa.gov.au/mpcimg/14000/B13930.htm</v>
      </c>
    </row>
    <row r="7831" spans="1:11" x14ac:dyDescent="0.25">
      <c r="A7831" t="s">
        <v>26346</v>
      </c>
      <c r="B7831" s="1" t="str">
        <f>HYPERLINK("https://www.catalog.slsa.sa.gov.au/record=b2060816")</f>
        <v>https://www.catalog.slsa.sa.gov.au/record=b2060816</v>
      </c>
      <c r="C7831" s="1" t="str">
        <f>HYPERLINK("https://www.catalog.slsa.sa.gov.au/xrecord=b2060816")</f>
        <v>https://www.catalog.slsa.sa.gov.au/xrecord=b2060816</v>
      </c>
      <c r="D7831" t="s">
        <v>16831</v>
      </c>
      <c r="E7831" t="s">
        <v>21232</v>
      </c>
      <c r="F7831">
        <v>1957</v>
      </c>
      <c r="G7831" t="s">
        <v>25786</v>
      </c>
      <c r="H7831" t="s">
        <v>26347</v>
      </c>
      <c r="J7831" t="s">
        <v>21105</v>
      </c>
      <c r="K7831" s="2" t="str">
        <f>HYPERLINK("http://collections.slsa.sa.gov.au/mpcimg/14000/B13870.htm")</f>
        <v>http://collections.slsa.sa.gov.au/mpcimg/14000/B13870.htm</v>
      </c>
    </row>
    <row r="7832" spans="1:11" x14ac:dyDescent="0.25">
      <c r="A7832" t="s">
        <v>26348</v>
      </c>
      <c r="B7832" s="1" t="str">
        <f>HYPERLINK("https://www.catalog.slsa.sa.gov.au/record=b2060871")</f>
        <v>https://www.catalog.slsa.sa.gov.au/record=b2060871</v>
      </c>
      <c r="C7832" s="1" t="str">
        <f>HYPERLINK("https://www.catalog.slsa.sa.gov.au/xrecord=b2060871")</f>
        <v>https://www.catalog.slsa.sa.gov.au/xrecord=b2060871</v>
      </c>
      <c r="D7832" t="s">
        <v>16831</v>
      </c>
      <c r="E7832" t="s">
        <v>21099</v>
      </c>
      <c r="F7832">
        <v>1957</v>
      </c>
      <c r="G7832" t="s">
        <v>25786</v>
      </c>
      <c r="H7832" t="s">
        <v>26349</v>
      </c>
      <c r="J7832" t="s">
        <v>21113</v>
      </c>
      <c r="K7832" s="2" t="str">
        <f>HYPERLINK("http://collections.slsa.sa.gov.au/mpcimg/14000/B13971.htm")</f>
        <v>http://collections.slsa.sa.gov.au/mpcimg/14000/B13971.htm</v>
      </c>
    </row>
    <row r="7833" spans="1:11" x14ac:dyDescent="0.25">
      <c r="A7833" t="s">
        <v>26350</v>
      </c>
      <c r="B7833" s="1" t="str">
        <f>HYPERLINK("https://www.catalog.slsa.sa.gov.au/record=b2060872")</f>
        <v>https://www.catalog.slsa.sa.gov.au/record=b2060872</v>
      </c>
      <c r="C7833" s="1" t="str">
        <f>HYPERLINK("https://www.catalog.slsa.sa.gov.au/xrecord=b2060872")</f>
        <v>https://www.catalog.slsa.sa.gov.au/xrecord=b2060872</v>
      </c>
      <c r="D7833" t="s">
        <v>16831</v>
      </c>
      <c r="E7833" t="s">
        <v>21099</v>
      </c>
      <c r="F7833">
        <v>1957</v>
      </c>
      <c r="G7833" t="s">
        <v>25786</v>
      </c>
      <c r="H7833" t="s">
        <v>26351</v>
      </c>
      <c r="J7833" t="s">
        <v>21113</v>
      </c>
      <c r="K7833" s="2" t="str">
        <f>HYPERLINK("http://collections.slsa.sa.gov.au/mpcimg/14000/B13972.htm")</f>
        <v>http://collections.slsa.sa.gov.au/mpcimg/14000/B13972.htm</v>
      </c>
    </row>
    <row r="7834" spans="1:11" x14ac:dyDescent="0.25">
      <c r="A7834" t="s">
        <v>26352</v>
      </c>
      <c r="B7834" s="1" t="str">
        <f>HYPERLINK("https://www.catalog.slsa.sa.gov.au/record=b2061040")</f>
        <v>https://www.catalog.slsa.sa.gov.au/record=b2061040</v>
      </c>
      <c r="C7834" s="1" t="str">
        <f>HYPERLINK("https://www.catalog.slsa.sa.gov.au/xrecord=b2061040")</f>
        <v>https://www.catalog.slsa.sa.gov.au/xrecord=b2061040</v>
      </c>
      <c r="D7834" t="s">
        <v>16831</v>
      </c>
      <c r="E7834" t="s">
        <v>21118</v>
      </c>
      <c r="F7834">
        <v>1957</v>
      </c>
      <c r="G7834" t="s">
        <v>25786</v>
      </c>
      <c r="H7834" t="s">
        <v>26353</v>
      </c>
      <c r="J7834" t="s">
        <v>21120</v>
      </c>
      <c r="K7834" s="2" t="str">
        <f>HYPERLINK("http://collections.slsa.sa.gov.au/mpcimg/14000/B13860.htm")</f>
        <v>http://collections.slsa.sa.gov.au/mpcimg/14000/B13860.htm</v>
      </c>
    </row>
    <row r="7835" spans="1:11" x14ac:dyDescent="0.25">
      <c r="A7835" t="s">
        <v>26354</v>
      </c>
      <c r="B7835" s="1" t="str">
        <f>HYPERLINK("https://www.catalog.slsa.sa.gov.au/record=b2061082")</f>
        <v>https://www.catalog.slsa.sa.gov.au/record=b2061082</v>
      </c>
      <c r="C7835" s="1" t="str">
        <f>HYPERLINK("https://www.catalog.slsa.sa.gov.au/xrecord=b2061082")</f>
        <v>https://www.catalog.slsa.sa.gov.au/xrecord=b2061082</v>
      </c>
      <c r="D7835" t="s">
        <v>16831</v>
      </c>
      <c r="E7835" t="s">
        <v>21118</v>
      </c>
      <c r="F7835">
        <v>1957</v>
      </c>
      <c r="G7835" t="s">
        <v>25786</v>
      </c>
      <c r="H7835" t="s">
        <v>26355</v>
      </c>
      <c r="J7835" t="s">
        <v>26356</v>
      </c>
      <c r="K7835" s="2" t="str">
        <f>HYPERLINK("http://collections.slsa.sa.gov.au/mpcimg/14000/B13954.htm")</f>
        <v>http://collections.slsa.sa.gov.au/mpcimg/14000/B13954.htm</v>
      </c>
    </row>
    <row r="7836" spans="1:11" x14ac:dyDescent="0.25">
      <c r="A7836" t="s">
        <v>26357</v>
      </c>
      <c r="B7836" s="1" t="str">
        <f>HYPERLINK("https://www.catalog.slsa.sa.gov.au/record=b2061086")</f>
        <v>https://www.catalog.slsa.sa.gov.au/record=b2061086</v>
      </c>
      <c r="C7836" s="1" t="str">
        <f>HYPERLINK("https://www.catalog.slsa.sa.gov.au/xrecord=b2061086")</f>
        <v>https://www.catalog.slsa.sa.gov.au/xrecord=b2061086</v>
      </c>
      <c r="D7836" t="s">
        <v>16831</v>
      </c>
      <c r="E7836" t="s">
        <v>21118</v>
      </c>
      <c r="F7836">
        <v>1957</v>
      </c>
      <c r="G7836" t="s">
        <v>25786</v>
      </c>
      <c r="H7836" t="s">
        <v>26358</v>
      </c>
      <c r="J7836" t="s">
        <v>21129</v>
      </c>
      <c r="K7836" s="2" t="str">
        <f>HYPERLINK("http://collections.slsa.sa.gov.au/mpcimg/14000/B13955.htm")</f>
        <v>http://collections.slsa.sa.gov.au/mpcimg/14000/B13955.htm</v>
      </c>
    </row>
    <row r="7837" spans="1:11" x14ac:dyDescent="0.25">
      <c r="A7837" t="s">
        <v>26359</v>
      </c>
      <c r="B7837" s="1" t="str">
        <f>HYPERLINK("https://www.catalog.slsa.sa.gov.au/record=b2061091")</f>
        <v>https://www.catalog.slsa.sa.gov.au/record=b2061091</v>
      </c>
      <c r="C7837" s="1" t="str">
        <f>HYPERLINK("https://www.catalog.slsa.sa.gov.au/xrecord=b2061091")</f>
        <v>https://www.catalog.slsa.sa.gov.au/xrecord=b2061091</v>
      </c>
      <c r="D7837" t="s">
        <v>16831</v>
      </c>
      <c r="E7837" t="s">
        <v>20974</v>
      </c>
      <c r="F7837">
        <v>1957</v>
      </c>
      <c r="G7837" t="s">
        <v>25786</v>
      </c>
      <c r="H7837" t="s">
        <v>26360</v>
      </c>
      <c r="J7837" t="s">
        <v>21132</v>
      </c>
      <c r="K7837" s="2" t="str">
        <f>HYPERLINK("http://collections.slsa.sa.gov.au/mpcimg/14000/B13948.htm")</f>
        <v>http://collections.slsa.sa.gov.au/mpcimg/14000/B13948.htm</v>
      </c>
    </row>
    <row r="7838" spans="1:11" x14ac:dyDescent="0.25">
      <c r="A7838" t="s">
        <v>26361</v>
      </c>
      <c r="B7838" s="1" t="str">
        <f>HYPERLINK("https://www.catalog.slsa.sa.gov.au/record=b2061118")</f>
        <v>https://www.catalog.slsa.sa.gov.au/record=b2061118</v>
      </c>
      <c r="C7838" s="1" t="str">
        <f>HYPERLINK("https://www.catalog.slsa.sa.gov.au/xrecord=b2061118")</f>
        <v>https://www.catalog.slsa.sa.gov.au/xrecord=b2061118</v>
      </c>
      <c r="D7838" t="s">
        <v>16831</v>
      </c>
      <c r="E7838" t="s">
        <v>26362</v>
      </c>
      <c r="F7838">
        <v>1957</v>
      </c>
      <c r="G7838" t="s">
        <v>25786</v>
      </c>
      <c r="H7838" t="s">
        <v>26363</v>
      </c>
      <c r="J7838" t="s">
        <v>21135</v>
      </c>
      <c r="K7838" s="2" t="str">
        <f>HYPERLINK("http://collections.slsa.sa.gov.au/mpcimg/14000/B13935.htm")</f>
        <v>http://collections.slsa.sa.gov.au/mpcimg/14000/B13935.htm</v>
      </c>
    </row>
    <row r="7839" spans="1:11" x14ac:dyDescent="0.25">
      <c r="A7839" t="s">
        <v>26364</v>
      </c>
      <c r="B7839" s="1" t="str">
        <f>HYPERLINK("https://www.catalog.slsa.sa.gov.au/record=b2061154")</f>
        <v>https://www.catalog.slsa.sa.gov.au/record=b2061154</v>
      </c>
      <c r="C7839" s="1" t="str">
        <f>HYPERLINK("https://www.catalog.slsa.sa.gov.au/xrecord=b2061154")</f>
        <v>https://www.catalog.slsa.sa.gov.au/xrecord=b2061154</v>
      </c>
      <c r="D7839" t="s">
        <v>16831</v>
      </c>
      <c r="E7839" t="s">
        <v>21118</v>
      </c>
      <c r="F7839">
        <v>1957</v>
      </c>
      <c r="G7839" t="s">
        <v>25786</v>
      </c>
      <c r="H7839" t="s">
        <v>26365</v>
      </c>
      <c r="J7839" t="s">
        <v>21146</v>
      </c>
      <c r="K7839" s="2" t="str">
        <f>HYPERLINK("http://collections.slsa.sa.gov.au/mpcimg/14000/B13953.htm")</f>
        <v>http://collections.slsa.sa.gov.au/mpcimg/14000/B13953.htm</v>
      </c>
    </row>
    <row r="7840" spans="1:11" x14ac:dyDescent="0.25">
      <c r="A7840" t="s">
        <v>26366</v>
      </c>
      <c r="B7840" s="1" t="str">
        <f>HYPERLINK("https://www.catalog.slsa.sa.gov.au/record=b2061213")</f>
        <v>https://www.catalog.slsa.sa.gov.au/record=b2061213</v>
      </c>
      <c r="C7840" s="1" t="str">
        <f>HYPERLINK("https://www.catalog.slsa.sa.gov.au/xrecord=b2061213")</f>
        <v>https://www.catalog.slsa.sa.gov.au/xrecord=b2061213</v>
      </c>
      <c r="D7840" t="s">
        <v>16831</v>
      </c>
      <c r="E7840" t="s">
        <v>21118</v>
      </c>
      <c r="F7840">
        <v>1957</v>
      </c>
      <c r="G7840" t="s">
        <v>25786</v>
      </c>
      <c r="H7840" t="s">
        <v>26367</v>
      </c>
      <c r="J7840" t="s">
        <v>25991</v>
      </c>
      <c r="K7840" s="2" t="str">
        <f>HYPERLINK("http://collections.slsa.sa.gov.au/mpcimg/14000/B13861.htm")</f>
        <v>http://collections.slsa.sa.gov.au/mpcimg/14000/B13861.htm</v>
      </c>
    </row>
    <row r="7841" spans="1:11" x14ac:dyDescent="0.25">
      <c r="A7841" t="s">
        <v>26368</v>
      </c>
      <c r="B7841" s="1" t="str">
        <f>HYPERLINK("https://www.catalog.slsa.sa.gov.au/record=b2061214")</f>
        <v>https://www.catalog.slsa.sa.gov.au/record=b2061214</v>
      </c>
      <c r="C7841" s="1" t="str">
        <f>HYPERLINK("https://www.catalog.slsa.sa.gov.au/xrecord=b2061214")</f>
        <v>https://www.catalog.slsa.sa.gov.au/xrecord=b2061214</v>
      </c>
      <c r="D7841" t="s">
        <v>16831</v>
      </c>
      <c r="E7841" t="s">
        <v>25993</v>
      </c>
      <c r="F7841">
        <v>1957</v>
      </c>
      <c r="G7841" t="s">
        <v>25786</v>
      </c>
      <c r="H7841" t="s">
        <v>26369</v>
      </c>
      <c r="J7841" t="s">
        <v>25991</v>
      </c>
      <c r="K7841" s="2" t="str">
        <f>HYPERLINK("http://collections.slsa.sa.gov.au/mpcimg/14000/B13875.htm")</f>
        <v>http://collections.slsa.sa.gov.au/mpcimg/14000/B13875.htm</v>
      </c>
    </row>
    <row r="7842" spans="1:11" x14ac:dyDescent="0.25">
      <c r="A7842" t="s">
        <v>26370</v>
      </c>
      <c r="B7842" s="1" t="str">
        <f>HYPERLINK("https://www.catalog.slsa.sa.gov.au/record=b2061242")</f>
        <v>https://www.catalog.slsa.sa.gov.au/record=b2061242</v>
      </c>
      <c r="C7842" s="1" t="str">
        <f>HYPERLINK("https://www.catalog.slsa.sa.gov.au/xrecord=b2061242")</f>
        <v>https://www.catalog.slsa.sa.gov.au/xrecord=b2061242</v>
      </c>
      <c r="D7842" t="s">
        <v>16831</v>
      </c>
      <c r="E7842" t="s">
        <v>21118</v>
      </c>
      <c r="F7842">
        <v>1957</v>
      </c>
      <c r="G7842" t="s">
        <v>25786</v>
      </c>
      <c r="H7842" t="s">
        <v>26371</v>
      </c>
      <c r="J7842" t="s">
        <v>24391</v>
      </c>
      <c r="K7842" s="2" t="str">
        <f>HYPERLINK("http://collections.slsa.sa.gov.au/mpcimg/14000/B13882.htm")</f>
        <v>http://collections.slsa.sa.gov.au/mpcimg/14000/B13882.htm</v>
      </c>
    </row>
    <row r="7843" spans="1:11" x14ac:dyDescent="0.25">
      <c r="A7843" t="s">
        <v>26372</v>
      </c>
      <c r="B7843" s="1" t="str">
        <f>HYPERLINK("https://www.catalog.slsa.sa.gov.au/record=b2061428")</f>
        <v>https://www.catalog.slsa.sa.gov.au/record=b2061428</v>
      </c>
      <c r="C7843" s="1" t="str">
        <f>HYPERLINK("https://www.catalog.slsa.sa.gov.au/xrecord=b2061428")</f>
        <v>https://www.catalog.slsa.sa.gov.au/xrecord=b2061428</v>
      </c>
      <c r="D7843" t="s">
        <v>16831</v>
      </c>
      <c r="E7843" t="s">
        <v>25538</v>
      </c>
      <c r="F7843">
        <v>1957</v>
      </c>
      <c r="G7843" t="s">
        <v>25786</v>
      </c>
      <c r="H7843" t="s">
        <v>26373</v>
      </c>
      <c r="J7843" t="s">
        <v>26374</v>
      </c>
      <c r="K7843" s="2" t="str">
        <f>HYPERLINK("http://collections.slsa.sa.gov.au/mpcimg/14000/B13932.htm")</f>
        <v>http://collections.slsa.sa.gov.au/mpcimg/14000/B13932.htm</v>
      </c>
    </row>
    <row r="7844" spans="1:11" x14ac:dyDescent="0.25">
      <c r="A7844" t="s">
        <v>26375</v>
      </c>
      <c r="B7844" s="1" t="str">
        <f>HYPERLINK("https://www.catalog.slsa.sa.gov.au/record=b2061521")</f>
        <v>https://www.catalog.slsa.sa.gov.au/record=b2061521</v>
      </c>
      <c r="C7844" s="1" t="str">
        <f>HYPERLINK("https://www.catalog.slsa.sa.gov.au/xrecord=b2061521")</f>
        <v>https://www.catalog.slsa.sa.gov.au/xrecord=b2061521</v>
      </c>
      <c r="D7844" t="s">
        <v>16831</v>
      </c>
      <c r="E7844" t="s">
        <v>21178</v>
      </c>
      <c r="F7844">
        <v>1957</v>
      </c>
      <c r="G7844" t="s">
        <v>25786</v>
      </c>
      <c r="H7844" t="s">
        <v>26376</v>
      </c>
      <c r="J7844" t="s">
        <v>26377</v>
      </c>
      <c r="K7844" s="2" t="str">
        <f>HYPERLINK("http://collections.slsa.sa.gov.au/mpcimg/14000/B13847.htm")</f>
        <v>http://collections.slsa.sa.gov.au/mpcimg/14000/B13847.htm</v>
      </c>
    </row>
    <row r="7845" spans="1:11" x14ac:dyDescent="0.25">
      <c r="A7845" t="s">
        <v>26378</v>
      </c>
      <c r="B7845" s="1" t="str">
        <f>HYPERLINK("https://www.catalog.slsa.sa.gov.au/record=b2061625")</f>
        <v>https://www.catalog.slsa.sa.gov.au/record=b2061625</v>
      </c>
      <c r="C7845" s="1" t="str">
        <f>HYPERLINK("https://www.catalog.slsa.sa.gov.au/xrecord=b2061625")</f>
        <v>https://www.catalog.slsa.sa.gov.au/xrecord=b2061625</v>
      </c>
      <c r="D7845" t="s">
        <v>16831</v>
      </c>
      <c r="E7845" t="s">
        <v>24451</v>
      </c>
      <c r="F7845">
        <v>1957</v>
      </c>
      <c r="G7845" t="s">
        <v>25786</v>
      </c>
      <c r="H7845" t="s">
        <v>26379</v>
      </c>
      <c r="J7845" t="s">
        <v>24441</v>
      </c>
      <c r="K7845" s="2" t="str">
        <f>HYPERLINK("http://collections.slsa.sa.gov.au/mpcimg/14000/B13902.htm")</f>
        <v>http://collections.slsa.sa.gov.au/mpcimg/14000/B13902.htm</v>
      </c>
    </row>
    <row r="7846" spans="1:11" x14ac:dyDescent="0.25">
      <c r="A7846" t="s">
        <v>26380</v>
      </c>
      <c r="B7846" s="1" t="str">
        <f>HYPERLINK("https://www.catalog.slsa.sa.gov.au/record=b2061747")</f>
        <v>https://www.catalog.slsa.sa.gov.au/record=b2061747</v>
      </c>
      <c r="C7846" s="1" t="str">
        <f>HYPERLINK("https://www.catalog.slsa.sa.gov.au/xrecord=b2061747")</f>
        <v>https://www.catalog.slsa.sa.gov.au/xrecord=b2061747</v>
      </c>
      <c r="D7846" t="s">
        <v>16831</v>
      </c>
      <c r="E7846" t="s">
        <v>24451</v>
      </c>
      <c r="F7846">
        <v>1957</v>
      </c>
      <c r="G7846" t="s">
        <v>25786</v>
      </c>
      <c r="H7846" t="s">
        <v>26381</v>
      </c>
      <c r="J7846" t="s">
        <v>24476</v>
      </c>
      <c r="K7846" s="2" t="str">
        <f>HYPERLINK("http://collections.slsa.sa.gov.au/mpcimg/14000/B13878.htm")</f>
        <v>http://collections.slsa.sa.gov.au/mpcimg/14000/B13878.htm</v>
      </c>
    </row>
    <row r="7847" spans="1:11" x14ac:dyDescent="0.25">
      <c r="A7847" t="s">
        <v>26382</v>
      </c>
      <c r="B7847" s="1" t="str">
        <f>HYPERLINK("https://www.catalog.slsa.sa.gov.au/record=b2061794")</f>
        <v>https://www.catalog.slsa.sa.gov.au/record=b2061794</v>
      </c>
      <c r="C7847" s="1" t="str">
        <f>HYPERLINK("https://www.catalog.slsa.sa.gov.au/xrecord=b2061794")</f>
        <v>https://www.catalog.slsa.sa.gov.au/xrecord=b2061794</v>
      </c>
      <c r="D7847" t="s">
        <v>16831</v>
      </c>
      <c r="E7847" t="s">
        <v>24451</v>
      </c>
      <c r="F7847">
        <v>1957</v>
      </c>
      <c r="G7847" t="s">
        <v>25786</v>
      </c>
      <c r="H7847" t="s">
        <v>26383</v>
      </c>
      <c r="J7847" t="s">
        <v>26384</v>
      </c>
      <c r="K7847" s="2" t="str">
        <f>HYPERLINK("http://collections.slsa.sa.gov.au/mpcimg/14000/B13977.htm")</f>
        <v>http://collections.slsa.sa.gov.au/mpcimg/14000/B13977.htm</v>
      </c>
    </row>
    <row r="7848" spans="1:11" x14ac:dyDescent="0.25">
      <c r="A7848" t="s">
        <v>26385</v>
      </c>
      <c r="B7848" s="1" t="str">
        <f>HYPERLINK("https://www.catalog.slsa.sa.gov.au/record=b2061832")</f>
        <v>https://www.catalog.slsa.sa.gov.au/record=b2061832</v>
      </c>
      <c r="C7848" s="1" t="str">
        <f>HYPERLINK("https://www.catalog.slsa.sa.gov.au/xrecord=b2061832")</f>
        <v>https://www.catalog.slsa.sa.gov.au/xrecord=b2061832</v>
      </c>
      <c r="D7848" t="s">
        <v>16831</v>
      </c>
      <c r="E7848" t="s">
        <v>16771</v>
      </c>
      <c r="F7848">
        <v>1957</v>
      </c>
      <c r="G7848" t="s">
        <v>25786</v>
      </c>
      <c r="H7848" t="s">
        <v>26386</v>
      </c>
      <c r="J7848" t="s">
        <v>21206</v>
      </c>
      <c r="K7848" s="2" t="str">
        <f>HYPERLINK("http://collections.slsa.sa.gov.au/mpcimg/14000/B13871.htm")</f>
        <v>http://collections.slsa.sa.gov.au/mpcimg/14000/B13871.htm</v>
      </c>
    </row>
    <row r="7849" spans="1:11" x14ac:dyDescent="0.25">
      <c r="A7849" t="s">
        <v>26387</v>
      </c>
      <c r="B7849" s="1" t="str">
        <f>HYPERLINK("https://www.catalog.slsa.sa.gov.au/record=b2061851")</f>
        <v>https://www.catalog.slsa.sa.gov.au/record=b2061851</v>
      </c>
      <c r="C7849" s="1" t="str">
        <f>HYPERLINK("https://www.catalog.slsa.sa.gov.au/xrecord=b2061851")</f>
        <v>https://www.catalog.slsa.sa.gov.au/xrecord=b2061851</v>
      </c>
      <c r="D7849" t="s">
        <v>16831</v>
      </c>
      <c r="E7849" t="s">
        <v>26388</v>
      </c>
      <c r="F7849">
        <v>1957</v>
      </c>
      <c r="G7849" t="s">
        <v>25786</v>
      </c>
      <c r="H7849" t="s">
        <v>26389</v>
      </c>
      <c r="J7849" t="s">
        <v>26390</v>
      </c>
      <c r="K7849" s="2" t="str">
        <f>HYPERLINK("http://collections.slsa.sa.gov.au/mpcimg/14000/B13974.htm")</f>
        <v>http://collections.slsa.sa.gov.au/mpcimg/14000/B13974.htm</v>
      </c>
    </row>
    <row r="7850" spans="1:11" x14ac:dyDescent="0.25">
      <c r="A7850" t="s">
        <v>26391</v>
      </c>
      <c r="B7850" s="1" t="str">
        <f>HYPERLINK("https://www.catalog.slsa.sa.gov.au/record=b2061881")</f>
        <v>https://www.catalog.slsa.sa.gov.au/record=b2061881</v>
      </c>
      <c r="C7850" s="1" t="str">
        <f>HYPERLINK("https://www.catalog.slsa.sa.gov.au/xrecord=b2061881")</f>
        <v>https://www.catalog.slsa.sa.gov.au/xrecord=b2061881</v>
      </c>
      <c r="D7850" t="s">
        <v>16831</v>
      </c>
      <c r="E7850" t="s">
        <v>26392</v>
      </c>
      <c r="F7850">
        <v>1957</v>
      </c>
      <c r="G7850" t="s">
        <v>25786</v>
      </c>
      <c r="H7850" t="s">
        <v>26393</v>
      </c>
      <c r="J7850" t="s">
        <v>26394</v>
      </c>
      <c r="K7850" s="2" t="str">
        <f>HYPERLINK("http://collections.slsa.sa.gov.au/mpcimg/14000/B13937.htm")</f>
        <v>http://collections.slsa.sa.gov.au/mpcimg/14000/B13937.htm</v>
      </c>
    </row>
    <row r="7851" spans="1:11" x14ac:dyDescent="0.25">
      <c r="A7851" t="s">
        <v>26395</v>
      </c>
      <c r="B7851" s="1" t="str">
        <f>HYPERLINK("https://www.catalog.slsa.sa.gov.au/record=b2061882")</f>
        <v>https://www.catalog.slsa.sa.gov.au/record=b2061882</v>
      </c>
      <c r="C7851" s="1" t="str">
        <f>HYPERLINK("https://www.catalog.slsa.sa.gov.au/xrecord=b2061882")</f>
        <v>https://www.catalog.slsa.sa.gov.au/xrecord=b2061882</v>
      </c>
      <c r="D7851" t="s">
        <v>16831</v>
      </c>
      <c r="E7851" t="s">
        <v>26392</v>
      </c>
      <c r="F7851">
        <v>1957</v>
      </c>
      <c r="G7851" t="s">
        <v>25786</v>
      </c>
      <c r="H7851" t="s">
        <v>26396</v>
      </c>
      <c r="J7851" t="s">
        <v>26394</v>
      </c>
      <c r="K7851" s="2" t="str">
        <f>HYPERLINK("http://collections.slsa.sa.gov.au/mpcimg/14000/B13938.htm")</f>
        <v>http://collections.slsa.sa.gov.au/mpcimg/14000/B13938.htm</v>
      </c>
    </row>
    <row r="7852" spans="1:11" x14ac:dyDescent="0.25">
      <c r="A7852" t="s">
        <v>26397</v>
      </c>
      <c r="B7852" s="1" t="str">
        <f>HYPERLINK("https://www.catalog.slsa.sa.gov.au/record=b2061987")</f>
        <v>https://www.catalog.slsa.sa.gov.au/record=b2061987</v>
      </c>
      <c r="C7852" s="1" t="str">
        <f>HYPERLINK("https://www.catalog.slsa.sa.gov.au/xrecord=b2061987")</f>
        <v>https://www.catalog.slsa.sa.gov.au/xrecord=b2061987</v>
      </c>
      <c r="D7852" t="s">
        <v>16831</v>
      </c>
      <c r="E7852" t="s">
        <v>21232</v>
      </c>
      <c r="F7852">
        <v>1957</v>
      </c>
      <c r="G7852" t="s">
        <v>25786</v>
      </c>
      <c r="H7852" t="s">
        <v>26398</v>
      </c>
      <c r="J7852" t="s">
        <v>24504</v>
      </c>
      <c r="K7852" s="2" t="str">
        <f>HYPERLINK("http://collections.slsa.sa.gov.au/mpcimg/14000/B13961.htm")</f>
        <v>http://collections.slsa.sa.gov.au/mpcimg/14000/B13961.htm</v>
      </c>
    </row>
    <row r="7853" spans="1:11" x14ac:dyDescent="0.25">
      <c r="A7853" t="s">
        <v>26399</v>
      </c>
      <c r="B7853" s="1" t="str">
        <f>HYPERLINK("https://www.catalog.slsa.sa.gov.au/record=b2062009")</f>
        <v>https://www.catalog.slsa.sa.gov.au/record=b2062009</v>
      </c>
      <c r="C7853" s="1" t="str">
        <f>HYPERLINK("https://www.catalog.slsa.sa.gov.au/xrecord=b2062009")</f>
        <v>https://www.catalog.slsa.sa.gov.au/xrecord=b2062009</v>
      </c>
      <c r="D7853" t="s">
        <v>16831</v>
      </c>
      <c r="E7853" t="s">
        <v>21212</v>
      </c>
      <c r="F7853">
        <v>1957</v>
      </c>
      <c r="G7853" t="s">
        <v>25786</v>
      </c>
      <c r="H7853" t="s">
        <v>26400</v>
      </c>
      <c r="J7853" t="s">
        <v>26401</v>
      </c>
      <c r="K7853" s="2" t="str">
        <f>HYPERLINK("http://collections.slsa.sa.gov.au/mpcimg/14000/B13883.htm")</f>
        <v>http://collections.slsa.sa.gov.au/mpcimg/14000/B13883.htm</v>
      </c>
    </row>
    <row r="7854" spans="1:11" x14ac:dyDescent="0.25">
      <c r="A7854" t="s">
        <v>26402</v>
      </c>
      <c r="B7854" s="1" t="str">
        <f>HYPERLINK("https://www.catalog.slsa.sa.gov.au/record=b2062025")</f>
        <v>https://www.catalog.slsa.sa.gov.au/record=b2062025</v>
      </c>
      <c r="C7854" s="1" t="str">
        <f>HYPERLINK("https://www.catalog.slsa.sa.gov.au/xrecord=b2062025")</f>
        <v>https://www.catalog.slsa.sa.gov.au/xrecord=b2062025</v>
      </c>
      <c r="D7854" t="s">
        <v>16831</v>
      </c>
      <c r="E7854" t="s">
        <v>21212</v>
      </c>
      <c r="F7854">
        <v>1957</v>
      </c>
      <c r="G7854" t="s">
        <v>25786</v>
      </c>
      <c r="H7854" t="s">
        <v>26403</v>
      </c>
      <c r="J7854" t="s">
        <v>26404</v>
      </c>
      <c r="K7854" s="2" t="str">
        <f>HYPERLINK("http://collections.slsa.sa.gov.au/mpcimg/14000/B13857.htm")</f>
        <v>http://collections.slsa.sa.gov.au/mpcimg/14000/B13857.htm</v>
      </c>
    </row>
    <row r="7855" spans="1:11" x14ac:dyDescent="0.25">
      <c r="A7855" t="s">
        <v>26405</v>
      </c>
      <c r="B7855" s="1" t="str">
        <f>HYPERLINK("https://www.catalog.slsa.sa.gov.au/record=b2062031")</f>
        <v>https://www.catalog.slsa.sa.gov.au/record=b2062031</v>
      </c>
      <c r="C7855" s="1" t="str">
        <f>HYPERLINK("https://www.catalog.slsa.sa.gov.au/xrecord=b2062031")</f>
        <v>https://www.catalog.slsa.sa.gov.au/xrecord=b2062031</v>
      </c>
      <c r="D7855" t="s">
        <v>16831</v>
      </c>
      <c r="E7855" t="s">
        <v>21216</v>
      </c>
      <c r="F7855">
        <v>1957</v>
      </c>
      <c r="G7855" t="s">
        <v>25786</v>
      </c>
      <c r="H7855" t="s">
        <v>26406</v>
      </c>
      <c r="J7855" t="s">
        <v>21214</v>
      </c>
      <c r="K7855" s="2" t="str">
        <f>HYPERLINK("http://collections.slsa.sa.gov.au/mpcimg/14000/B13945.htm")</f>
        <v>http://collections.slsa.sa.gov.au/mpcimg/14000/B13945.htm</v>
      </c>
    </row>
    <row r="7856" spans="1:11" x14ac:dyDescent="0.25">
      <c r="A7856" t="s">
        <v>26407</v>
      </c>
      <c r="B7856" s="1" t="str">
        <f>HYPERLINK("https://www.catalog.slsa.sa.gov.au/record=b2062085")</f>
        <v>https://www.catalog.slsa.sa.gov.au/record=b2062085</v>
      </c>
      <c r="C7856" s="1" t="str">
        <f>HYPERLINK("https://www.catalog.slsa.sa.gov.au/xrecord=b2062085")</f>
        <v>https://www.catalog.slsa.sa.gov.au/xrecord=b2062085</v>
      </c>
      <c r="D7856" t="s">
        <v>16831</v>
      </c>
      <c r="E7856" t="s">
        <v>21212</v>
      </c>
      <c r="F7856">
        <v>1957</v>
      </c>
      <c r="G7856" t="s">
        <v>25786</v>
      </c>
      <c r="H7856" t="s">
        <v>26408</v>
      </c>
      <c r="J7856" t="s">
        <v>24514</v>
      </c>
      <c r="K7856" s="2" t="str">
        <f>HYPERLINK("http://collections.slsa.sa.gov.au/mpcimg/14000/B13839.htm")</f>
        <v>http://collections.slsa.sa.gov.au/mpcimg/14000/B13839.htm</v>
      </c>
    </row>
    <row r="7857" spans="1:11" x14ac:dyDescent="0.25">
      <c r="A7857" t="s">
        <v>26409</v>
      </c>
      <c r="B7857" s="1" t="str">
        <f>HYPERLINK("https://www.catalog.slsa.sa.gov.au/record=b2062153")</f>
        <v>https://www.catalog.slsa.sa.gov.au/record=b2062153</v>
      </c>
      <c r="C7857" s="1" t="str">
        <f>HYPERLINK("https://www.catalog.slsa.sa.gov.au/xrecord=b2062153")</f>
        <v>https://www.catalog.slsa.sa.gov.au/xrecord=b2062153</v>
      </c>
      <c r="D7857" t="s">
        <v>16831</v>
      </c>
      <c r="E7857" t="s">
        <v>10268</v>
      </c>
      <c r="F7857">
        <v>1957</v>
      </c>
      <c r="G7857" t="s">
        <v>25786</v>
      </c>
      <c r="H7857" t="s">
        <v>26410</v>
      </c>
      <c r="J7857" t="s">
        <v>24536</v>
      </c>
      <c r="K7857" s="2" t="str">
        <f>HYPERLINK("http://collections.slsa.sa.gov.au/mpcimg/14000/B13852.htm")</f>
        <v>http://collections.slsa.sa.gov.au/mpcimg/14000/B13852.htm</v>
      </c>
    </row>
    <row r="7858" spans="1:11" x14ac:dyDescent="0.25">
      <c r="A7858" t="s">
        <v>26411</v>
      </c>
      <c r="B7858" s="1" t="str">
        <f>HYPERLINK("https://www.catalog.slsa.sa.gov.au/record=b2062164")</f>
        <v>https://www.catalog.slsa.sa.gov.au/record=b2062164</v>
      </c>
      <c r="C7858" s="1" t="str">
        <f>HYPERLINK("https://www.catalog.slsa.sa.gov.au/xrecord=b2062164")</f>
        <v>https://www.catalog.slsa.sa.gov.au/xrecord=b2062164</v>
      </c>
      <c r="D7858" t="s">
        <v>16831</v>
      </c>
      <c r="E7858" t="s">
        <v>10268</v>
      </c>
      <c r="F7858">
        <v>1957</v>
      </c>
      <c r="G7858" t="s">
        <v>25786</v>
      </c>
      <c r="H7858" t="s">
        <v>26412</v>
      </c>
      <c r="J7858" t="s">
        <v>22920</v>
      </c>
      <c r="K7858" s="2" t="str">
        <f>HYPERLINK("http://collections.slsa.sa.gov.au/mpcimg/14000/B13854.htm")</f>
        <v>http://collections.slsa.sa.gov.au/mpcimg/14000/B13854.htm</v>
      </c>
    </row>
    <row r="7859" spans="1:11" x14ac:dyDescent="0.25">
      <c r="A7859" t="s">
        <v>26413</v>
      </c>
      <c r="B7859" s="1" t="str">
        <f>HYPERLINK("https://www.catalog.slsa.sa.gov.au/record=b2062196")</f>
        <v>https://www.catalog.slsa.sa.gov.au/record=b2062196</v>
      </c>
      <c r="C7859" s="1" t="str">
        <f>HYPERLINK("https://www.catalog.slsa.sa.gov.au/xrecord=b2062196")</f>
        <v>https://www.catalog.slsa.sa.gov.au/xrecord=b2062196</v>
      </c>
      <c r="D7859" t="s">
        <v>16831</v>
      </c>
      <c r="E7859" t="s">
        <v>10268</v>
      </c>
      <c r="F7859">
        <v>1957</v>
      </c>
      <c r="G7859" t="s">
        <v>25786</v>
      </c>
      <c r="H7859" t="s">
        <v>26414</v>
      </c>
      <c r="J7859" t="s">
        <v>22924</v>
      </c>
      <c r="K7859" s="2" t="str">
        <f>HYPERLINK("http://collections.slsa.sa.gov.au/mpcimg/14000/B13881.htm")</f>
        <v>http://collections.slsa.sa.gov.au/mpcimg/14000/B13881.htm</v>
      </c>
    </row>
    <row r="7860" spans="1:11" x14ac:dyDescent="0.25">
      <c r="A7860" t="s">
        <v>26415</v>
      </c>
      <c r="B7860" s="1" t="str">
        <f>HYPERLINK("https://www.catalog.slsa.sa.gov.au/record=b2062231")</f>
        <v>https://www.catalog.slsa.sa.gov.au/record=b2062231</v>
      </c>
      <c r="C7860" s="1" t="str">
        <f>HYPERLINK("https://www.catalog.slsa.sa.gov.au/xrecord=b2062231")</f>
        <v>https://www.catalog.slsa.sa.gov.au/xrecord=b2062231</v>
      </c>
      <c r="D7860" t="s">
        <v>16831</v>
      </c>
      <c r="E7860" t="s">
        <v>26416</v>
      </c>
      <c r="F7860">
        <v>1957</v>
      </c>
      <c r="G7860" t="s">
        <v>25786</v>
      </c>
      <c r="H7860" t="s">
        <v>26417</v>
      </c>
      <c r="J7860" t="s">
        <v>26418</v>
      </c>
      <c r="K7860" s="2" t="str">
        <f>HYPERLINK("http://collections.slsa.sa.gov.au/mpcimg/14000/B13936.htm")</f>
        <v>http://collections.slsa.sa.gov.au/mpcimg/14000/B13936.htm</v>
      </c>
    </row>
    <row r="7861" spans="1:11" x14ac:dyDescent="0.25">
      <c r="A7861" t="s">
        <v>26419</v>
      </c>
      <c r="B7861" s="1" t="str">
        <f>HYPERLINK("https://www.catalog.slsa.sa.gov.au/record=b2062260")</f>
        <v>https://www.catalog.slsa.sa.gov.au/record=b2062260</v>
      </c>
      <c r="C7861" s="1" t="str">
        <f>HYPERLINK("https://www.catalog.slsa.sa.gov.au/xrecord=b2062260")</f>
        <v>https://www.catalog.slsa.sa.gov.au/xrecord=b2062260</v>
      </c>
      <c r="D7861" t="s">
        <v>16831</v>
      </c>
      <c r="E7861" t="s">
        <v>26420</v>
      </c>
      <c r="F7861">
        <v>1957</v>
      </c>
      <c r="G7861" t="s">
        <v>25786</v>
      </c>
      <c r="H7861" t="s">
        <v>26421</v>
      </c>
      <c r="J7861" t="s">
        <v>22935</v>
      </c>
      <c r="K7861" s="2" t="str">
        <f>HYPERLINK("http://collections.slsa.sa.gov.au/mpcimg/14000/B13851.htm")</f>
        <v>http://collections.slsa.sa.gov.au/mpcimg/14000/B13851.htm</v>
      </c>
    </row>
    <row r="7862" spans="1:11" x14ac:dyDescent="0.25">
      <c r="A7862" t="s">
        <v>26422</v>
      </c>
      <c r="B7862" s="1" t="str">
        <f>HYPERLINK("https://www.catalog.slsa.sa.gov.au/record=b2062261")</f>
        <v>https://www.catalog.slsa.sa.gov.au/record=b2062261</v>
      </c>
      <c r="C7862" s="1" t="str">
        <f>HYPERLINK("https://www.catalog.slsa.sa.gov.au/xrecord=b2062261")</f>
        <v>https://www.catalog.slsa.sa.gov.au/xrecord=b2062261</v>
      </c>
      <c r="D7862" t="s">
        <v>16831</v>
      </c>
      <c r="E7862" t="s">
        <v>26420</v>
      </c>
      <c r="F7862">
        <v>1957</v>
      </c>
      <c r="G7862" t="s">
        <v>25786</v>
      </c>
      <c r="H7862" t="s">
        <v>26423</v>
      </c>
      <c r="J7862" t="s">
        <v>22935</v>
      </c>
      <c r="K7862" s="2" t="str">
        <f>HYPERLINK("http://collections.slsa.sa.gov.au/mpcimg/14000/B13872.htm")</f>
        <v>http://collections.slsa.sa.gov.au/mpcimg/14000/B13872.htm</v>
      </c>
    </row>
    <row r="7863" spans="1:11" x14ac:dyDescent="0.25">
      <c r="A7863" t="s">
        <v>26424</v>
      </c>
      <c r="B7863" s="1" t="str">
        <f>HYPERLINK("https://www.catalog.slsa.sa.gov.au/record=b2062282")</f>
        <v>https://www.catalog.slsa.sa.gov.au/record=b2062282</v>
      </c>
      <c r="C7863" s="1" t="str">
        <f>HYPERLINK("https://www.catalog.slsa.sa.gov.au/xrecord=b2062282")</f>
        <v>https://www.catalog.slsa.sa.gov.au/xrecord=b2062282</v>
      </c>
      <c r="D7863" t="s">
        <v>16831</v>
      </c>
      <c r="E7863" t="s">
        <v>24534</v>
      </c>
      <c r="F7863">
        <v>1957</v>
      </c>
      <c r="G7863" t="s">
        <v>25786</v>
      </c>
      <c r="H7863" t="s">
        <v>26425</v>
      </c>
      <c r="J7863" t="s">
        <v>25551</v>
      </c>
      <c r="K7863" s="2" t="str">
        <f>HYPERLINK("http://collections.slsa.sa.gov.au/mpcimg/14000/B13853.htm")</f>
        <v>http://collections.slsa.sa.gov.au/mpcimg/14000/B13853.htm</v>
      </c>
    </row>
    <row r="7864" spans="1:11" x14ac:dyDescent="0.25">
      <c r="A7864" t="s">
        <v>26426</v>
      </c>
      <c r="B7864" s="1" t="str">
        <f>HYPERLINK("https://www.catalog.slsa.sa.gov.au/record=b2062338")</f>
        <v>https://www.catalog.slsa.sa.gov.au/record=b2062338</v>
      </c>
      <c r="C7864" s="1" t="str">
        <f>HYPERLINK("https://www.catalog.slsa.sa.gov.au/xrecord=b2062338")</f>
        <v>https://www.catalog.slsa.sa.gov.au/xrecord=b2062338</v>
      </c>
      <c r="D7864" t="s">
        <v>16831</v>
      </c>
      <c r="E7864" t="s">
        <v>21212</v>
      </c>
      <c r="F7864">
        <v>1957</v>
      </c>
      <c r="G7864" t="s">
        <v>25786</v>
      </c>
      <c r="H7864" t="s">
        <v>26427</v>
      </c>
      <c r="J7864" t="s">
        <v>25556</v>
      </c>
      <c r="K7864" s="2" t="str">
        <f>HYPERLINK("http://collections.slsa.sa.gov.au/mpcimg/14000/B13843.htm")</f>
        <v>http://collections.slsa.sa.gov.au/mpcimg/14000/B13843.htm</v>
      </c>
    </row>
    <row r="7865" spans="1:11" x14ac:dyDescent="0.25">
      <c r="A7865" t="s">
        <v>26428</v>
      </c>
      <c r="B7865" s="1" t="str">
        <f>HYPERLINK("https://www.catalog.slsa.sa.gov.au/record=b2062365")</f>
        <v>https://www.catalog.slsa.sa.gov.au/record=b2062365</v>
      </c>
      <c r="C7865" s="1" t="str">
        <f>HYPERLINK("https://www.catalog.slsa.sa.gov.au/xrecord=b2062365")</f>
        <v>https://www.catalog.slsa.sa.gov.au/xrecord=b2062365</v>
      </c>
      <c r="D7865" t="s">
        <v>16831</v>
      </c>
      <c r="E7865" t="s">
        <v>21212</v>
      </c>
      <c r="F7865">
        <v>1957</v>
      </c>
      <c r="G7865" t="s">
        <v>25786</v>
      </c>
      <c r="H7865" t="s">
        <v>26429</v>
      </c>
      <c r="J7865" t="s">
        <v>24561</v>
      </c>
      <c r="K7865" s="2" t="str">
        <f>HYPERLINK("http://collections.slsa.sa.gov.au/mpcimg/14000/B13841.htm")</f>
        <v>http://collections.slsa.sa.gov.au/mpcimg/14000/B13841.htm</v>
      </c>
    </row>
    <row r="7866" spans="1:11" x14ac:dyDescent="0.25">
      <c r="A7866" t="s">
        <v>26430</v>
      </c>
      <c r="B7866" s="1" t="str">
        <f>HYPERLINK("https://www.catalog.slsa.sa.gov.au/record=b2062379")</f>
        <v>https://www.catalog.slsa.sa.gov.au/record=b2062379</v>
      </c>
      <c r="C7866" s="1" t="str">
        <f>HYPERLINK("https://www.catalog.slsa.sa.gov.au/xrecord=b2062379")</f>
        <v>https://www.catalog.slsa.sa.gov.au/xrecord=b2062379</v>
      </c>
      <c r="D7866" t="s">
        <v>16831</v>
      </c>
      <c r="E7866" t="s">
        <v>21212</v>
      </c>
      <c r="F7866">
        <v>1957</v>
      </c>
      <c r="G7866" t="s">
        <v>25786</v>
      </c>
      <c r="H7866" t="s">
        <v>26431</v>
      </c>
      <c r="J7866" t="s">
        <v>21230</v>
      </c>
      <c r="K7866" s="2" t="str">
        <f>HYPERLINK("http://collections.slsa.sa.gov.au/mpcimg/14000/B13842.htm")</f>
        <v>http://collections.slsa.sa.gov.au/mpcimg/14000/B13842.htm</v>
      </c>
    </row>
    <row r="7867" spans="1:11" x14ac:dyDescent="0.25">
      <c r="A7867" t="s">
        <v>26432</v>
      </c>
      <c r="B7867" s="1" t="str">
        <f>HYPERLINK("https://www.catalog.slsa.sa.gov.au/record=b2062415")</f>
        <v>https://www.catalog.slsa.sa.gov.au/record=b2062415</v>
      </c>
      <c r="C7867" s="1" t="str">
        <f>HYPERLINK("https://www.catalog.slsa.sa.gov.au/xrecord=b2062415")</f>
        <v>https://www.catalog.slsa.sa.gov.au/xrecord=b2062415</v>
      </c>
      <c r="D7867" t="s">
        <v>16831</v>
      </c>
      <c r="E7867" t="s">
        <v>21212</v>
      </c>
      <c r="F7867">
        <v>1957</v>
      </c>
      <c r="G7867" t="s">
        <v>25786</v>
      </c>
      <c r="H7867" t="s">
        <v>26433</v>
      </c>
      <c r="J7867" t="s">
        <v>26071</v>
      </c>
      <c r="K7867" s="2" t="str">
        <f>HYPERLINK("http://collections.slsa.sa.gov.au/mpcimg/14000/B13844.htm")</f>
        <v>http://collections.slsa.sa.gov.au/mpcimg/14000/B13844.htm</v>
      </c>
    </row>
    <row r="7868" spans="1:11" x14ac:dyDescent="0.25">
      <c r="A7868" t="s">
        <v>26434</v>
      </c>
      <c r="B7868" s="1" t="str">
        <f>HYPERLINK("https://www.catalog.slsa.sa.gov.au/record=b2062416")</f>
        <v>https://www.catalog.slsa.sa.gov.au/record=b2062416</v>
      </c>
      <c r="C7868" s="1" t="str">
        <f>HYPERLINK("https://www.catalog.slsa.sa.gov.au/xrecord=b2062416")</f>
        <v>https://www.catalog.slsa.sa.gov.au/xrecord=b2062416</v>
      </c>
      <c r="D7868" t="s">
        <v>16831</v>
      </c>
      <c r="E7868" t="s">
        <v>21212</v>
      </c>
      <c r="F7868">
        <v>1957</v>
      </c>
      <c r="G7868" t="s">
        <v>25786</v>
      </c>
      <c r="H7868" t="s">
        <v>26435</v>
      </c>
      <c r="J7868" t="s">
        <v>26071</v>
      </c>
      <c r="K7868" s="2" t="str">
        <f>HYPERLINK("http://collections.slsa.sa.gov.au/mpcimg/14000/B13845.htm")</f>
        <v>http://collections.slsa.sa.gov.au/mpcimg/14000/B13845.htm</v>
      </c>
    </row>
    <row r="7869" spans="1:11" x14ac:dyDescent="0.25">
      <c r="A7869" t="s">
        <v>26436</v>
      </c>
      <c r="B7869" s="1" t="str">
        <f>HYPERLINK("https://www.catalog.slsa.sa.gov.au/record=b2062422")</f>
        <v>https://www.catalog.slsa.sa.gov.au/record=b2062422</v>
      </c>
      <c r="C7869" s="1" t="str">
        <f>HYPERLINK("https://www.catalog.slsa.sa.gov.au/xrecord=b2062422")</f>
        <v>https://www.catalog.slsa.sa.gov.au/xrecord=b2062422</v>
      </c>
      <c r="D7869" t="s">
        <v>16831</v>
      </c>
      <c r="E7869" t="s">
        <v>21232</v>
      </c>
      <c r="F7869">
        <v>1957</v>
      </c>
      <c r="G7869" t="s">
        <v>25786</v>
      </c>
      <c r="H7869" t="s">
        <v>26437</v>
      </c>
      <c r="J7869" t="s">
        <v>24568</v>
      </c>
      <c r="K7869" s="2" t="str">
        <f>HYPERLINK("http://collections.slsa.sa.gov.au/mpcimg/14000/B13933.htm")</f>
        <v>http://collections.slsa.sa.gov.au/mpcimg/14000/B13933.htm</v>
      </c>
    </row>
    <row r="7870" spans="1:11" x14ac:dyDescent="0.25">
      <c r="A7870" t="s">
        <v>26438</v>
      </c>
      <c r="B7870" s="1" t="str">
        <f>HYPERLINK("https://www.catalog.slsa.sa.gov.au/record=b2062654")</f>
        <v>https://www.catalog.slsa.sa.gov.au/record=b2062654</v>
      </c>
      <c r="C7870" s="1" t="str">
        <f>HYPERLINK("https://www.catalog.slsa.sa.gov.au/xrecord=b2062654")</f>
        <v>https://www.catalog.slsa.sa.gov.au/xrecord=b2062654</v>
      </c>
      <c r="D7870" t="s">
        <v>16831</v>
      </c>
      <c r="E7870" t="s">
        <v>21250</v>
      </c>
      <c r="F7870">
        <v>1957</v>
      </c>
      <c r="G7870" t="s">
        <v>25786</v>
      </c>
      <c r="H7870" t="s">
        <v>26439</v>
      </c>
      <c r="J7870" t="s">
        <v>26440</v>
      </c>
      <c r="K7870" s="2" t="str">
        <f>HYPERLINK("http://collections.slsa.sa.gov.au/mpcimg/14000/B13876.htm")</f>
        <v>http://collections.slsa.sa.gov.au/mpcimg/14000/B13876.htm</v>
      </c>
    </row>
    <row r="7871" spans="1:11" x14ac:dyDescent="0.25">
      <c r="A7871" t="s">
        <v>26441</v>
      </c>
      <c r="B7871" s="1" t="str">
        <f>HYPERLINK("https://www.catalog.slsa.sa.gov.au/record=b2062662")</f>
        <v>https://www.catalog.slsa.sa.gov.au/record=b2062662</v>
      </c>
      <c r="C7871" s="1" t="str">
        <f>HYPERLINK("https://www.catalog.slsa.sa.gov.au/xrecord=b2062662")</f>
        <v>https://www.catalog.slsa.sa.gov.au/xrecord=b2062662</v>
      </c>
      <c r="D7871" t="s">
        <v>16831</v>
      </c>
      <c r="E7871" t="s">
        <v>21250</v>
      </c>
      <c r="F7871">
        <v>1957</v>
      </c>
      <c r="G7871" t="s">
        <v>25786</v>
      </c>
      <c r="H7871" t="s">
        <v>26442</v>
      </c>
      <c r="J7871" t="s">
        <v>24609</v>
      </c>
      <c r="K7871" s="2" t="str">
        <f>HYPERLINK("http://collections.slsa.sa.gov.au/mpcimg/14000/B13957.htm")</f>
        <v>http://collections.slsa.sa.gov.au/mpcimg/14000/B13957.htm</v>
      </c>
    </row>
    <row r="7872" spans="1:11" x14ac:dyDescent="0.25">
      <c r="A7872" t="s">
        <v>26443</v>
      </c>
      <c r="B7872" s="1" t="str">
        <f>HYPERLINK("https://www.catalog.slsa.sa.gov.au/record=b2062777")</f>
        <v>https://www.catalog.slsa.sa.gov.au/record=b2062777</v>
      </c>
      <c r="C7872" s="1" t="str">
        <f>HYPERLINK("https://www.catalog.slsa.sa.gov.au/xrecord=b2062777")</f>
        <v>https://www.catalog.slsa.sa.gov.au/xrecord=b2062777</v>
      </c>
      <c r="D7872" t="s">
        <v>16831</v>
      </c>
      <c r="E7872" t="s">
        <v>24300</v>
      </c>
      <c r="F7872">
        <v>1957</v>
      </c>
      <c r="G7872" t="s">
        <v>25786</v>
      </c>
      <c r="H7872" t="s">
        <v>26444</v>
      </c>
      <c r="J7872" t="s">
        <v>26445</v>
      </c>
      <c r="K7872" s="2" t="str">
        <f>HYPERLINK("http://collections.slsa.sa.gov.au/mpcimg/14000/B13877.htm")</f>
        <v>http://collections.slsa.sa.gov.au/mpcimg/14000/B13877.htm</v>
      </c>
    </row>
    <row r="7873" spans="1:11" x14ac:dyDescent="0.25">
      <c r="A7873" t="s">
        <v>26446</v>
      </c>
      <c r="B7873" s="1" t="str">
        <f>HYPERLINK("https://www.catalog.slsa.sa.gov.au/record=b2062850")</f>
        <v>https://www.catalog.slsa.sa.gov.au/record=b2062850</v>
      </c>
      <c r="C7873" s="1" t="str">
        <f>HYPERLINK("https://www.catalog.slsa.sa.gov.au/xrecord=b2062850")</f>
        <v>https://www.catalog.slsa.sa.gov.au/xrecord=b2062850</v>
      </c>
      <c r="D7873" t="s">
        <v>16831</v>
      </c>
      <c r="E7873" t="s">
        <v>26447</v>
      </c>
      <c r="F7873">
        <v>1957</v>
      </c>
      <c r="G7873" t="s">
        <v>25786</v>
      </c>
      <c r="H7873" t="s">
        <v>26448</v>
      </c>
      <c r="J7873" t="s">
        <v>21272</v>
      </c>
      <c r="K7873" s="2" t="str">
        <f>HYPERLINK("http://collections.slsa.sa.gov.au/mpcimg/14000/B13959.htm")</f>
        <v>http://collections.slsa.sa.gov.au/mpcimg/14000/B13959.htm</v>
      </c>
    </row>
    <row r="7874" spans="1:11" x14ac:dyDescent="0.25">
      <c r="A7874" t="s">
        <v>26449</v>
      </c>
      <c r="B7874" s="1" t="str">
        <f>HYPERLINK("https://www.catalog.slsa.sa.gov.au/record=b2062868")</f>
        <v>https://www.catalog.slsa.sa.gov.au/record=b2062868</v>
      </c>
      <c r="C7874" s="1" t="str">
        <f>HYPERLINK("https://www.catalog.slsa.sa.gov.au/xrecord=b2062868")</f>
        <v>https://www.catalog.slsa.sa.gov.au/xrecord=b2062868</v>
      </c>
      <c r="D7874" t="s">
        <v>16831</v>
      </c>
      <c r="E7874" t="s">
        <v>21277</v>
      </c>
      <c r="F7874">
        <v>1957</v>
      </c>
      <c r="G7874" t="s">
        <v>25786</v>
      </c>
      <c r="H7874" t="s">
        <v>26450</v>
      </c>
      <c r="J7874" t="s">
        <v>26111</v>
      </c>
      <c r="K7874" s="2" t="str">
        <f>HYPERLINK("http://collections.slsa.sa.gov.au/mpcimg/14000/B13862.htm")</f>
        <v>http://collections.slsa.sa.gov.au/mpcimg/14000/B13862.htm</v>
      </c>
    </row>
    <row r="7875" spans="1:11" x14ac:dyDescent="0.25">
      <c r="A7875" t="s">
        <v>26451</v>
      </c>
      <c r="B7875" s="1" t="str">
        <f>HYPERLINK("https://www.catalog.slsa.sa.gov.au/record=b2062869")</f>
        <v>https://www.catalog.slsa.sa.gov.au/record=b2062869</v>
      </c>
      <c r="C7875" s="1" t="str">
        <f>HYPERLINK("https://www.catalog.slsa.sa.gov.au/xrecord=b2062869")</f>
        <v>https://www.catalog.slsa.sa.gov.au/xrecord=b2062869</v>
      </c>
      <c r="D7875" t="s">
        <v>16831</v>
      </c>
      <c r="E7875" t="s">
        <v>26452</v>
      </c>
      <c r="F7875">
        <v>1957</v>
      </c>
      <c r="G7875" t="s">
        <v>25786</v>
      </c>
      <c r="H7875" t="s">
        <v>26453</v>
      </c>
      <c r="J7875" t="s">
        <v>26111</v>
      </c>
      <c r="K7875" s="2" t="str">
        <f>HYPERLINK("http://collections.slsa.sa.gov.au/mpcimg/14000/B13863.htm")</f>
        <v>http://collections.slsa.sa.gov.au/mpcimg/14000/B13863.htm</v>
      </c>
    </row>
    <row r="7876" spans="1:11" x14ac:dyDescent="0.25">
      <c r="A7876" t="s">
        <v>26454</v>
      </c>
      <c r="B7876" s="1" t="str">
        <f>HYPERLINK("https://www.catalog.slsa.sa.gov.au/record=b2062877")</f>
        <v>https://www.catalog.slsa.sa.gov.au/record=b2062877</v>
      </c>
      <c r="C7876" s="1" t="str">
        <f>HYPERLINK("https://www.catalog.slsa.sa.gov.au/xrecord=b2062877")</f>
        <v>https://www.catalog.slsa.sa.gov.au/xrecord=b2062877</v>
      </c>
      <c r="D7876" t="s">
        <v>16831</v>
      </c>
      <c r="E7876" t="s">
        <v>21236</v>
      </c>
      <c r="F7876">
        <v>1957</v>
      </c>
      <c r="G7876" t="s">
        <v>25786</v>
      </c>
      <c r="H7876" t="s">
        <v>26455</v>
      </c>
      <c r="J7876" t="s">
        <v>26456</v>
      </c>
      <c r="K7876" s="2" t="str">
        <f>HYPERLINK("http://collections.slsa.sa.gov.au/mpcimg/14000/B13976.htm")</f>
        <v>http://collections.slsa.sa.gov.au/mpcimg/14000/B13976.htm</v>
      </c>
    </row>
    <row r="7877" spans="1:11" x14ac:dyDescent="0.25">
      <c r="A7877" t="s">
        <v>26457</v>
      </c>
      <c r="B7877" s="1" t="str">
        <f>HYPERLINK("https://www.catalog.slsa.sa.gov.au/record=b2062878")</f>
        <v>https://www.catalog.slsa.sa.gov.au/record=b2062878</v>
      </c>
      <c r="C7877" s="1" t="str">
        <f>HYPERLINK("https://www.catalog.slsa.sa.gov.au/xrecord=b2062878")</f>
        <v>https://www.catalog.slsa.sa.gov.au/xrecord=b2062878</v>
      </c>
      <c r="D7877" t="s">
        <v>16831</v>
      </c>
      <c r="E7877" t="s">
        <v>21236</v>
      </c>
      <c r="F7877">
        <v>1957</v>
      </c>
      <c r="G7877" t="s">
        <v>25786</v>
      </c>
      <c r="H7877" t="s">
        <v>26458</v>
      </c>
      <c r="J7877" t="s">
        <v>26456</v>
      </c>
      <c r="K7877" s="2" t="str">
        <f>HYPERLINK("http://collections.slsa.sa.gov.au/mpcimg/14000/B13975.htm")</f>
        <v>http://collections.slsa.sa.gov.au/mpcimg/14000/B13975.htm</v>
      </c>
    </row>
    <row r="7878" spans="1:11" x14ac:dyDescent="0.25">
      <c r="A7878" t="s">
        <v>26459</v>
      </c>
      <c r="B7878" s="1" t="str">
        <f>HYPERLINK("https://www.catalog.slsa.sa.gov.au/record=b2062931")</f>
        <v>https://www.catalog.slsa.sa.gov.au/record=b2062931</v>
      </c>
      <c r="C7878" s="1" t="str">
        <f>HYPERLINK("https://www.catalog.slsa.sa.gov.au/xrecord=b2062931")</f>
        <v>https://www.catalog.slsa.sa.gov.au/xrecord=b2062931</v>
      </c>
      <c r="D7878" t="s">
        <v>16831</v>
      </c>
      <c r="E7878" t="s">
        <v>25538</v>
      </c>
      <c r="F7878">
        <v>1957</v>
      </c>
      <c r="G7878" t="s">
        <v>25786</v>
      </c>
      <c r="H7878" t="s">
        <v>26460</v>
      </c>
      <c r="J7878" t="s">
        <v>21291</v>
      </c>
      <c r="K7878" s="2" t="str">
        <f>HYPERLINK("http://collections.slsa.sa.gov.au/mpcimg/14000/B13934.htm")</f>
        <v>http://collections.slsa.sa.gov.au/mpcimg/14000/B13934.htm</v>
      </c>
    </row>
    <row r="7879" spans="1:11" x14ac:dyDescent="0.25">
      <c r="A7879" t="s">
        <v>26461</v>
      </c>
      <c r="B7879" s="1" t="str">
        <f>HYPERLINK("https://www.catalog.slsa.sa.gov.au/record=b2062969")</f>
        <v>https://www.catalog.slsa.sa.gov.au/record=b2062969</v>
      </c>
      <c r="C7879" s="1" t="str">
        <f>HYPERLINK("https://www.catalog.slsa.sa.gov.au/xrecord=b2062969")</f>
        <v>https://www.catalog.slsa.sa.gov.au/xrecord=b2062969</v>
      </c>
      <c r="D7879" t="s">
        <v>16831</v>
      </c>
      <c r="E7879" t="s">
        <v>21304</v>
      </c>
      <c r="F7879">
        <v>1957</v>
      </c>
      <c r="G7879" t="s">
        <v>25786</v>
      </c>
      <c r="H7879" t="s">
        <v>26462</v>
      </c>
      <c r="J7879" t="s">
        <v>26463</v>
      </c>
      <c r="K7879" s="2" t="str">
        <f>HYPERLINK("http://collections.slsa.sa.gov.au/mpcimg/14000/B13899.htm")</f>
        <v>http://collections.slsa.sa.gov.au/mpcimg/14000/B13899.htm</v>
      </c>
    </row>
    <row r="7880" spans="1:11" x14ac:dyDescent="0.25">
      <c r="A7880" t="s">
        <v>26464</v>
      </c>
      <c r="B7880" s="1" t="str">
        <f>HYPERLINK("https://www.catalog.slsa.sa.gov.au/record=b2062979")</f>
        <v>https://www.catalog.slsa.sa.gov.au/record=b2062979</v>
      </c>
      <c r="C7880" s="1" t="str">
        <f>HYPERLINK("https://www.catalog.slsa.sa.gov.au/xrecord=b2062979")</f>
        <v>https://www.catalog.slsa.sa.gov.au/xrecord=b2062979</v>
      </c>
      <c r="D7880" t="s">
        <v>16831</v>
      </c>
      <c r="E7880" t="s">
        <v>21304</v>
      </c>
      <c r="F7880">
        <v>1957</v>
      </c>
      <c r="G7880" t="s">
        <v>25786</v>
      </c>
      <c r="H7880" t="s">
        <v>26465</v>
      </c>
      <c r="J7880" t="s">
        <v>26466</v>
      </c>
      <c r="K7880" s="2" t="str">
        <f>HYPERLINK("http://collections.slsa.sa.gov.au/mpcimg/14000/B13898.htm")</f>
        <v>http://collections.slsa.sa.gov.au/mpcimg/14000/B13898.htm</v>
      </c>
    </row>
    <row r="7881" spans="1:11" x14ac:dyDescent="0.25">
      <c r="A7881" t="s">
        <v>26467</v>
      </c>
      <c r="B7881" s="1" t="str">
        <f>HYPERLINK("https://www.catalog.slsa.sa.gov.au/record=b2063053")</f>
        <v>https://www.catalog.slsa.sa.gov.au/record=b2063053</v>
      </c>
      <c r="C7881" s="1" t="str">
        <f>HYPERLINK("https://www.catalog.slsa.sa.gov.au/xrecord=b2063053")</f>
        <v>https://www.catalog.slsa.sa.gov.au/xrecord=b2063053</v>
      </c>
      <c r="D7881" t="s">
        <v>16831</v>
      </c>
      <c r="E7881" t="s">
        <v>26468</v>
      </c>
      <c r="F7881">
        <v>1957</v>
      </c>
      <c r="G7881" t="s">
        <v>25786</v>
      </c>
      <c r="H7881" t="s">
        <v>26469</v>
      </c>
      <c r="J7881" t="s">
        <v>26470</v>
      </c>
      <c r="K7881" s="2" t="str">
        <f>HYPERLINK("http://collections.slsa.sa.gov.au/mpcimg/14000/B13840.htm")</f>
        <v>http://collections.slsa.sa.gov.au/mpcimg/14000/B13840.htm</v>
      </c>
    </row>
    <row r="7882" spans="1:11" x14ac:dyDescent="0.25">
      <c r="A7882" t="s">
        <v>26471</v>
      </c>
      <c r="B7882" s="1" t="str">
        <f>HYPERLINK("https://www.catalog.slsa.sa.gov.au/record=b2063178")</f>
        <v>https://www.catalog.slsa.sa.gov.au/record=b2063178</v>
      </c>
      <c r="C7882" s="1" t="str">
        <f>HYPERLINK("https://www.catalog.slsa.sa.gov.au/xrecord=b2063178")</f>
        <v>https://www.catalog.slsa.sa.gov.au/xrecord=b2063178</v>
      </c>
      <c r="D7882" t="s">
        <v>16831</v>
      </c>
      <c r="E7882" t="s">
        <v>21304</v>
      </c>
      <c r="F7882">
        <v>1957</v>
      </c>
      <c r="G7882" t="s">
        <v>25786</v>
      </c>
      <c r="H7882" t="s">
        <v>26472</v>
      </c>
      <c r="J7882" t="s">
        <v>26473</v>
      </c>
      <c r="K7882" s="2" t="str">
        <f>HYPERLINK("http://collections.slsa.sa.gov.au/mpcimg/14000/B13956.htm")</f>
        <v>http://collections.slsa.sa.gov.au/mpcimg/14000/B13956.htm</v>
      </c>
    </row>
    <row r="7883" spans="1:11" x14ac:dyDescent="0.25">
      <c r="A7883" t="s">
        <v>26474</v>
      </c>
      <c r="B7883" s="1" t="str">
        <f>HYPERLINK("https://www.catalog.slsa.sa.gov.au/record=b2063191")</f>
        <v>https://www.catalog.slsa.sa.gov.au/record=b2063191</v>
      </c>
      <c r="C7883" s="1" t="str">
        <f>HYPERLINK("https://www.catalog.slsa.sa.gov.au/xrecord=b2063191")</f>
        <v>https://www.catalog.slsa.sa.gov.au/xrecord=b2063191</v>
      </c>
      <c r="D7883" t="s">
        <v>16831</v>
      </c>
      <c r="E7883" t="s">
        <v>21304</v>
      </c>
      <c r="F7883">
        <v>1957</v>
      </c>
      <c r="G7883" t="s">
        <v>25786</v>
      </c>
      <c r="H7883" t="s">
        <v>26475</v>
      </c>
      <c r="J7883" t="s">
        <v>26476</v>
      </c>
      <c r="K7883" s="2" t="str">
        <f>HYPERLINK("http://collections.slsa.sa.gov.au/mpcimg/14000/B13873.htm")</f>
        <v>http://collections.slsa.sa.gov.au/mpcimg/14000/B13873.htm</v>
      </c>
    </row>
    <row r="7884" spans="1:11" x14ac:dyDescent="0.25">
      <c r="A7884" t="s">
        <v>26477</v>
      </c>
      <c r="B7884" s="1" t="str">
        <f>HYPERLINK("https://www.catalog.slsa.sa.gov.au/record=b2063192")</f>
        <v>https://www.catalog.slsa.sa.gov.au/record=b2063192</v>
      </c>
      <c r="C7884" s="1" t="str">
        <f>HYPERLINK("https://www.catalog.slsa.sa.gov.au/xrecord=b2063192")</f>
        <v>https://www.catalog.slsa.sa.gov.au/xrecord=b2063192</v>
      </c>
      <c r="D7884" t="s">
        <v>16831</v>
      </c>
      <c r="E7884" t="s">
        <v>26478</v>
      </c>
      <c r="F7884">
        <v>1957</v>
      </c>
      <c r="G7884" t="s">
        <v>25786</v>
      </c>
      <c r="H7884" t="s">
        <v>26479</v>
      </c>
      <c r="J7884" t="s">
        <v>26476</v>
      </c>
      <c r="K7884" s="2" t="str">
        <f>HYPERLINK("http://collections.slsa.sa.gov.au/mpcimg/14000/B13978.htm")</f>
        <v>http://collections.slsa.sa.gov.au/mpcimg/14000/B13978.htm</v>
      </c>
    </row>
    <row r="7885" spans="1:11" x14ac:dyDescent="0.25">
      <c r="A7885" t="s">
        <v>26480</v>
      </c>
      <c r="B7885" s="1" t="str">
        <f>HYPERLINK("https://www.catalog.slsa.sa.gov.au/record=b2063193")</f>
        <v>https://www.catalog.slsa.sa.gov.au/record=b2063193</v>
      </c>
      <c r="C7885" s="1" t="str">
        <f>HYPERLINK("https://www.catalog.slsa.sa.gov.au/xrecord=b2063193")</f>
        <v>https://www.catalog.slsa.sa.gov.au/xrecord=b2063193</v>
      </c>
      <c r="D7885" t="s">
        <v>16831</v>
      </c>
      <c r="E7885" t="s">
        <v>26478</v>
      </c>
      <c r="F7885">
        <v>1957</v>
      </c>
      <c r="G7885" t="s">
        <v>25786</v>
      </c>
      <c r="H7885" t="s">
        <v>26481</v>
      </c>
      <c r="J7885" t="s">
        <v>26476</v>
      </c>
      <c r="K7885" s="2" t="str">
        <f>HYPERLINK("http://collections.slsa.sa.gov.au/mpcimg/14000/B13979.htm")</f>
        <v>http://collections.slsa.sa.gov.au/mpcimg/14000/B13979.htm</v>
      </c>
    </row>
    <row r="7886" spans="1:11" x14ac:dyDescent="0.25">
      <c r="A7886" t="s">
        <v>26482</v>
      </c>
      <c r="B7886" s="1" t="str">
        <f>HYPERLINK("https://www.catalog.slsa.sa.gov.au/record=b2063590")</f>
        <v>https://www.catalog.slsa.sa.gov.au/record=b2063590</v>
      </c>
      <c r="C7886" s="1" t="str">
        <f>HYPERLINK("https://www.catalog.slsa.sa.gov.au/xrecord=b2063590")</f>
        <v>https://www.catalog.slsa.sa.gov.au/xrecord=b2063590</v>
      </c>
      <c r="D7886" t="s">
        <v>16831</v>
      </c>
      <c r="E7886" t="s">
        <v>25643</v>
      </c>
      <c r="F7886">
        <v>1957</v>
      </c>
      <c r="G7886" t="s">
        <v>25786</v>
      </c>
      <c r="H7886" t="s">
        <v>26483</v>
      </c>
      <c r="J7886" t="s">
        <v>26484</v>
      </c>
      <c r="K7886" s="2" t="str">
        <f>HYPERLINK("http://collections.slsa.sa.gov.au/mpcimg/14000/B13836.htm")</f>
        <v>http://collections.slsa.sa.gov.au/mpcimg/14000/B13836.htm</v>
      </c>
    </row>
    <row r="7887" spans="1:11" x14ac:dyDescent="0.25">
      <c r="A7887" t="s">
        <v>26485</v>
      </c>
      <c r="B7887" s="1" t="str">
        <f>HYPERLINK("https://www.catalog.slsa.sa.gov.au/record=b2063735")</f>
        <v>https://www.catalog.slsa.sa.gov.au/record=b2063735</v>
      </c>
      <c r="C7887" s="1" t="str">
        <f>HYPERLINK("https://www.catalog.slsa.sa.gov.au/xrecord=b2063735")</f>
        <v>https://www.catalog.slsa.sa.gov.au/xrecord=b2063735</v>
      </c>
      <c r="D7887" t="s">
        <v>16831</v>
      </c>
      <c r="E7887" t="s">
        <v>26486</v>
      </c>
      <c r="F7887">
        <v>1957</v>
      </c>
      <c r="G7887" t="s">
        <v>25786</v>
      </c>
      <c r="H7887" t="s">
        <v>26487</v>
      </c>
      <c r="J7887" t="s">
        <v>26488</v>
      </c>
      <c r="K7887" s="2" t="str">
        <f>HYPERLINK("http://collections.slsa.sa.gov.au/mpcimg/14000/B13889.htm")</f>
        <v>http://collections.slsa.sa.gov.au/mpcimg/14000/B13889.htm</v>
      </c>
    </row>
    <row r="7888" spans="1:11" x14ac:dyDescent="0.25">
      <c r="A7888" t="s">
        <v>26489</v>
      </c>
      <c r="B7888" s="1" t="str">
        <f>HYPERLINK("https://www.catalog.slsa.sa.gov.au/record=b2064051")</f>
        <v>https://www.catalog.slsa.sa.gov.au/record=b2064051</v>
      </c>
      <c r="C7888" s="1" t="str">
        <f>HYPERLINK("https://www.catalog.slsa.sa.gov.au/xrecord=b2064051")</f>
        <v>https://www.catalog.slsa.sa.gov.au/xrecord=b2064051</v>
      </c>
      <c r="D7888" t="s">
        <v>16831</v>
      </c>
      <c r="E7888" t="s">
        <v>25643</v>
      </c>
      <c r="F7888">
        <v>1957</v>
      </c>
      <c r="G7888" t="s">
        <v>25786</v>
      </c>
      <c r="H7888" t="s">
        <v>26490</v>
      </c>
      <c r="J7888" t="s">
        <v>26491</v>
      </c>
      <c r="K7888" s="2" t="str">
        <f>HYPERLINK("http://collections.slsa.sa.gov.au/mpcimg/14000/B13867.htm")</f>
        <v>http://collections.slsa.sa.gov.au/mpcimg/14000/B13867.htm</v>
      </c>
    </row>
    <row r="7889" spans="1:11" x14ac:dyDescent="0.25">
      <c r="A7889" t="s">
        <v>26492</v>
      </c>
      <c r="B7889" s="1" t="str">
        <f>HYPERLINK("https://www.catalog.slsa.sa.gov.au/record=b2064155")</f>
        <v>https://www.catalog.slsa.sa.gov.au/record=b2064155</v>
      </c>
      <c r="C7889" s="1" t="str">
        <f>HYPERLINK("https://www.catalog.slsa.sa.gov.au/xrecord=b2064155")</f>
        <v>https://www.catalog.slsa.sa.gov.au/xrecord=b2064155</v>
      </c>
      <c r="D7889" t="s">
        <v>16831</v>
      </c>
      <c r="E7889" t="s">
        <v>25643</v>
      </c>
      <c r="F7889">
        <v>1957</v>
      </c>
      <c r="G7889" t="s">
        <v>25786</v>
      </c>
      <c r="H7889" t="s">
        <v>26493</v>
      </c>
      <c r="J7889" t="s">
        <v>25633</v>
      </c>
      <c r="K7889" s="2" t="str">
        <f>HYPERLINK("http://collections.slsa.sa.gov.au/mpcimg/14000/B13891.htm")</f>
        <v>http://collections.slsa.sa.gov.au/mpcimg/14000/B13891.htm</v>
      </c>
    </row>
    <row r="7890" spans="1:11" x14ac:dyDescent="0.25">
      <c r="A7890" t="s">
        <v>26494</v>
      </c>
      <c r="B7890" s="1" t="str">
        <f>HYPERLINK("https://www.catalog.slsa.sa.gov.au/record=b2064156")</f>
        <v>https://www.catalog.slsa.sa.gov.au/record=b2064156</v>
      </c>
      <c r="C7890" s="1" t="str">
        <f>HYPERLINK("https://www.catalog.slsa.sa.gov.au/xrecord=b2064156")</f>
        <v>https://www.catalog.slsa.sa.gov.au/xrecord=b2064156</v>
      </c>
      <c r="D7890" t="s">
        <v>16831</v>
      </c>
      <c r="E7890" t="s">
        <v>25643</v>
      </c>
      <c r="F7890">
        <v>1957</v>
      </c>
      <c r="G7890" t="s">
        <v>25786</v>
      </c>
      <c r="H7890" t="s">
        <v>26495</v>
      </c>
      <c r="J7890" t="s">
        <v>25633</v>
      </c>
      <c r="K7890" s="2" t="str">
        <f>HYPERLINK("http://collections.slsa.sa.gov.au/mpcimg/14000/B13892.htm")</f>
        <v>http://collections.slsa.sa.gov.au/mpcimg/14000/B13892.htm</v>
      </c>
    </row>
    <row r="7891" spans="1:11" x14ac:dyDescent="0.25">
      <c r="A7891" t="s">
        <v>26496</v>
      </c>
      <c r="B7891" s="1" t="str">
        <f>HYPERLINK("https://www.catalog.slsa.sa.gov.au/record=b2064194")</f>
        <v>https://www.catalog.slsa.sa.gov.au/record=b2064194</v>
      </c>
      <c r="C7891" s="1" t="str">
        <f>HYPERLINK("https://www.catalog.slsa.sa.gov.au/xrecord=b2064194")</f>
        <v>https://www.catalog.slsa.sa.gov.au/xrecord=b2064194</v>
      </c>
      <c r="D7891" t="s">
        <v>16831</v>
      </c>
      <c r="E7891" t="s">
        <v>25635</v>
      </c>
      <c r="F7891">
        <v>1957</v>
      </c>
      <c r="G7891" t="s">
        <v>25786</v>
      </c>
      <c r="H7891" t="s">
        <v>26497</v>
      </c>
      <c r="J7891" t="s">
        <v>26498</v>
      </c>
      <c r="K7891" s="2" t="str">
        <f>HYPERLINK("http://collections.slsa.sa.gov.au/mpcimg/14000/B13834.htm")</f>
        <v>http://collections.slsa.sa.gov.au/mpcimg/14000/B13834.htm</v>
      </c>
    </row>
    <row r="7892" spans="1:11" x14ac:dyDescent="0.25">
      <c r="A7892" t="s">
        <v>26499</v>
      </c>
      <c r="B7892" s="1" t="str">
        <f>HYPERLINK("https://www.catalog.slsa.sa.gov.au/record=b2064207")</f>
        <v>https://www.catalog.slsa.sa.gov.au/record=b2064207</v>
      </c>
      <c r="C7892" s="1" t="str">
        <f>HYPERLINK("https://www.catalog.slsa.sa.gov.au/xrecord=b2064207")</f>
        <v>https://www.catalog.slsa.sa.gov.au/xrecord=b2064207</v>
      </c>
      <c r="D7892" t="s">
        <v>16831</v>
      </c>
      <c r="E7892" t="s">
        <v>25643</v>
      </c>
      <c r="F7892">
        <v>1957</v>
      </c>
      <c r="G7892" t="s">
        <v>25786</v>
      </c>
      <c r="H7892" t="s">
        <v>26500</v>
      </c>
      <c r="J7892" t="s">
        <v>26501</v>
      </c>
      <c r="K7892" s="2" t="str">
        <f>HYPERLINK("http://collections.slsa.sa.gov.au/mpcimg/14000/B13927.htm")</f>
        <v>http://collections.slsa.sa.gov.au/mpcimg/14000/B13927.htm</v>
      </c>
    </row>
    <row r="7893" spans="1:11" x14ac:dyDescent="0.25">
      <c r="A7893" t="s">
        <v>26502</v>
      </c>
      <c r="B7893" s="1" t="str">
        <f>HYPERLINK("https://www.catalog.slsa.sa.gov.au/record=b2064319")</f>
        <v>https://www.catalog.slsa.sa.gov.au/record=b2064319</v>
      </c>
      <c r="C7893" s="1" t="str">
        <f>HYPERLINK("https://www.catalog.slsa.sa.gov.au/xrecord=b2064319")</f>
        <v>https://www.catalog.slsa.sa.gov.au/xrecord=b2064319</v>
      </c>
      <c r="D7893" t="s">
        <v>16831</v>
      </c>
      <c r="E7893" t="s">
        <v>26503</v>
      </c>
      <c r="F7893">
        <v>1957</v>
      </c>
      <c r="G7893" t="s">
        <v>25786</v>
      </c>
      <c r="H7893" t="s">
        <v>26504</v>
      </c>
      <c r="J7893" t="s">
        <v>26505</v>
      </c>
      <c r="K7893" s="2" t="str">
        <f>HYPERLINK("http://collections.slsa.sa.gov.au/mpcimg/14000/B13832.htm")</f>
        <v>http://collections.slsa.sa.gov.au/mpcimg/14000/B13832.htm</v>
      </c>
    </row>
    <row r="7894" spans="1:11" x14ac:dyDescent="0.25">
      <c r="A7894" t="s">
        <v>26506</v>
      </c>
      <c r="B7894" s="1" t="str">
        <f>HYPERLINK("https://www.catalog.slsa.sa.gov.au/record=b2064320")</f>
        <v>https://www.catalog.slsa.sa.gov.au/record=b2064320</v>
      </c>
      <c r="C7894" s="1" t="str">
        <f>HYPERLINK("https://www.catalog.slsa.sa.gov.au/xrecord=b2064320")</f>
        <v>https://www.catalog.slsa.sa.gov.au/xrecord=b2064320</v>
      </c>
      <c r="D7894" t="s">
        <v>16831</v>
      </c>
      <c r="E7894" t="s">
        <v>25643</v>
      </c>
      <c r="F7894">
        <v>1957</v>
      </c>
      <c r="G7894" t="s">
        <v>25786</v>
      </c>
      <c r="H7894" t="s">
        <v>26507</v>
      </c>
      <c r="J7894" t="s">
        <v>26505</v>
      </c>
      <c r="K7894" s="2" t="str">
        <f>HYPERLINK("http://collections.slsa.sa.gov.au/mpcimg/14000/B13833.htm")</f>
        <v>http://collections.slsa.sa.gov.au/mpcimg/14000/B13833.htm</v>
      </c>
    </row>
    <row r="7895" spans="1:11" x14ac:dyDescent="0.25">
      <c r="A7895" t="s">
        <v>26508</v>
      </c>
      <c r="B7895" s="1" t="str">
        <f>HYPERLINK("https://www.catalog.slsa.sa.gov.au/record=b2064615")</f>
        <v>https://www.catalog.slsa.sa.gov.au/record=b2064615</v>
      </c>
      <c r="C7895" s="1" t="str">
        <f>HYPERLINK("https://www.catalog.slsa.sa.gov.au/xrecord=b2064615")</f>
        <v>https://www.catalog.slsa.sa.gov.au/xrecord=b2064615</v>
      </c>
      <c r="D7895" t="s">
        <v>16831</v>
      </c>
      <c r="E7895" t="s">
        <v>26509</v>
      </c>
      <c r="F7895">
        <v>1957</v>
      </c>
      <c r="G7895" t="s">
        <v>25786</v>
      </c>
      <c r="H7895" t="s">
        <v>26510</v>
      </c>
      <c r="J7895" t="s">
        <v>26511</v>
      </c>
      <c r="K7895" s="2" t="str">
        <f>HYPERLINK("http://collections.slsa.sa.gov.au/mpcimg/14000/B13885.htm")</f>
        <v>http://collections.slsa.sa.gov.au/mpcimg/14000/B13885.htm</v>
      </c>
    </row>
    <row r="7896" spans="1:11" x14ac:dyDescent="0.25">
      <c r="A7896" t="s">
        <v>26512</v>
      </c>
      <c r="B7896" s="1" t="str">
        <f>HYPERLINK("https://www.catalog.slsa.sa.gov.au/record=b2064639")</f>
        <v>https://www.catalog.slsa.sa.gov.au/record=b2064639</v>
      </c>
      <c r="C7896" s="1" t="str">
        <f>HYPERLINK("https://www.catalog.slsa.sa.gov.au/xrecord=b2064639")</f>
        <v>https://www.catalog.slsa.sa.gov.au/xrecord=b2064639</v>
      </c>
      <c r="D7896" t="s">
        <v>16831</v>
      </c>
      <c r="E7896" t="s">
        <v>26509</v>
      </c>
      <c r="F7896">
        <v>1957</v>
      </c>
      <c r="G7896" t="s">
        <v>25786</v>
      </c>
      <c r="H7896" t="s">
        <v>26513</v>
      </c>
      <c r="J7896" t="s">
        <v>26514</v>
      </c>
      <c r="K7896" s="2" t="str">
        <f>HYPERLINK("http://collections.slsa.sa.gov.au/mpcimg/14000/B13886.htm")</f>
        <v>http://collections.slsa.sa.gov.au/mpcimg/14000/B13886.htm</v>
      </c>
    </row>
    <row r="7897" spans="1:11" x14ac:dyDescent="0.25">
      <c r="A7897" t="s">
        <v>26515</v>
      </c>
      <c r="B7897" s="1" t="str">
        <f>HYPERLINK("https://www.catalog.slsa.sa.gov.au/record=b2064674")</f>
        <v>https://www.catalog.slsa.sa.gov.au/record=b2064674</v>
      </c>
      <c r="C7897" s="1" t="str">
        <f>HYPERLINK("https://www.catalog.slsa.sa.gov.au/xrecord=b2064674")</f>
        <v>https://www.catalog.slsa.sa.gov.au/xrecord=b2064674</v>
      </c>
      <c r="D7897" t="s">
        <v>16831</v>
      </c>
      <c r="E7897" t="s">
        <v>26509</v>
      </c>
      <c r="F7897">
        <v>1957</v>
      </c>
      <c r="G7897" t="s">
        <v>25786</v>
      </c>
      <c r="H7897" t="s">
        <v>26516</v>
      </c>
      <c r="J7897" t="s">
        <v>26517</v>
      </c>
      <c r="K7897" s="2" t="str">
        <f>HYPERLINK("http://collections.slsa.sa.gov.au/mpcimg/14000/B13884.htm")</f>
        <v>http://collections.slsa.sa.gov.au/mpcimg/14000/B13884.htm</v>
      </c>
    </row>
    <row r="7898" spans="1:11" x14ac:dyDescent="0.25">
      <c r="A7898" t="s">
        <v>26518</v>
      </c>
      <c r="B7898" s="1" t="str">
        <f>HYPERLINK("https://www.catalog.slsa.sa.gov.au/record=b2064675")</f>
        <v>https://www.catalog.slsa.sa.gov.au/record=b2064675</v>
      </c>
      <c r="C7898" s="1" t="str">
        <f>HYPERLINK("https://www.catalog.slsa.sa.gov.au/xrecord=b2064675")</f>
        <v>https://www.catalog.slsa.sa.gov.au/xrecord=b2064675</v>
      </c>
      <c r="D7898" t="s">
        <v>16831</v>
      </c>
      <c r="E7898" t="s">
        <v>26509</v>
      </c>
      <c r="F7898">
        <v>1957</v>
      </c>
      <c r="G7898" t="s">
        <v>25786</v>
      </c>
      <c r="H7898" t="s">
        <v>26519</v>
      </c>
      <c r="J7898" t="s">
        <v>26517</v>
      </c>
      <c r="K7898" s="2" t="str">
        <f>HYPERLINK("http://collections.slsa.sa.gov.au/mpcimg/14000/B13890.htm")</f>
        <v>http://collections.slsa.sa.gov.au/mpcimg/14000/B13890.htm</v>
      </c>
    </row>
    <row r="7899" spans="1:11" x14ac:dyDescent="0.25">
      <c r="A7899" t="s">
        <v>26520</v>
      </c>
      <c r="B7899" s="1" t="str">
        <f>HYPERLINK("https://www.catalog.slsa.sa.gov.au/record=b2064698")</f>
        <v>https://www.catalog.slsa.sa.gov.au/record=b2064698</v>
      </c>
      <c r="C7899" s="1" t="str">
        <f>HYPERLINK("https://www.catalog.slsa.sa.gov.au/xrecord=b2064698")</f>
        <v>https://www.catalog.slsa.sa.gov.au/xrecord=b2064698</v>
      </c>
      <c r="D7899" t="s">
        <v>16831</v>
      </c>
      <c r="E7899" t="s">
        <v>25655</v>
      </c>
      <c r="F7899">
        <v>1957</v>
      </c>
      <c r="G7899" t="s">
        <v>25786</v>
      </c>
      <c r="H7899" t="s">
        <v>26521</v>
      </c>
      <c r="J7899" t="s">
        <v>26522</v>
      </c>
      <c r="K7899" s="2" t="str">
        <f>HYPERLINK("http://collections.slsa.sa.gov.au/mpcimg/14000/B13928.htm")</f>
        <v>http://collections.slsa.sa.gov.au/mpcimg/14000/B13928.htm</v>
      </c>
    </row>
    <row r="7900" spans="1:11" x14ac:dyDescent="0.25">
      <c r="A7900" t="s">
        <v>26523</v>
      </c>
      <c r="B7900" s="1" t="str">
        <f>HYPERLINK("https://www.catalog.slsa.sa.gov.au/record=b2029843")</f>
        <v>https://www.catalog.slsa.sa.gov.au/record=b2029843</v>
      </c>
      <c r="C7900" s="1" t="str">
        <f>HYPERLINK("https://www.catalog.slsa.sa.gov.au/xrecord=b2029843")</f>
        <v>https://www.catalog.slsa.sa.gov.au/xrecord=b2029843</v>
      </c>
      <c r="E7900" t="s">
        <v>26524</v>
      </c>
      <c r="F7900" t="s">
        <v>8075</v>
      </c>
      <c r="G7900" t="s">
        <v>26525</v>
      </c>
      <c r="H7900" t="s">
        <v>26526</v>
      </c>
      <c r="I7900" t="s">
        <v>26527</v>
      </c>
      <c r="J7900" t="s">
        <v>14916</v>
      </c>
      <c r="K7900" s="2" t="str">
        <f>HYPERLINK("http://collections.slsa.sa.gov.au/mpcimg/41500/B41360.htm")</f>
        <v>http://collections.slsa.sa.gov.au/mpcimg/41500/B41360.htm</v>
      </c>
    </row>
    <row r="7901" spans="1:11" x14ac:dyDescent="0.25">
      <c r="A7901" t="s">
        <v>26528</v>
      </c>
      <c r="B7901" s="1" t="str">
        <f>HYPERLINK("https://www.catalog.slsa.sa.gov.au/record=b2077295")</f>
        <v>https://www.catalog.slsa.sa.gov.au/record=b2077295</v>
      </c>
      <c r="C7901" s="1" t="str">
        <f>HYPERLINK("https://www.catalog.slsa.sa.gov.au/xrecord=b2077295")</f>
        <v>https://www.catalog.slsa.sa.gov.au/xrecord=b2077295</v>
      </c>
      <c r="E7901" t="s">
        <v>26529</v>
      </c>
      <c r="F7901" t="s">
        <v>8075</v>
      </c>
      <c r="G7901" t="s">
        <v>15269</v>
      </c>
      <c r="H7901" t="s">
        <v>26530</v>
      </c>
      <c r="I7901" t="s">
        <v>26531</v>
      </c>
      <c r="J7901" t="s">
        <v>1809</v>
      </c>
      <c r="K7901" s="2" t="str">
        <f>HYPERLINK("http://collections.slsa.sa.gov.au/mpcimg/55250/B55242.htm")</f>
        <v>http://collections.slsa.sa.gov.au/mpcimg/55250/B55242.htm</v>
      </c>
    </row>
    <row r="7902" spans="1:11" x14ac:dyDescent="0.25">
      <c r="A7902" t="s">
        <v>26532</v>
      </c>
      <c r="B7902" s="1" t="str">
        <f>HYPERLINK("https://www.catalog.slsa.sa.gov.au/record=b2022333")</f>
        <v>https://www.catalog.slsa.sa.gov.au/record=b2022333</v>
      </c>
      <c r="C7902" s="1" t="str">
        <f>HYPERLINK("https://www.catalog.slsa.sa.gov.au/xrecord=b2022333")</f>
        <v>https://www.catalog.slsa.sa.gov.au/xrecord=b2022333</v>
      </c>
      <c r="D7902" t="s">
        <v>16831</v>
      </c>
      <c r="E7902" t="s">
        <v>26533</v>
      </c>
      <c r="F7902">
        <v>1958</v>
      </c>
      <c r="G7902" t="s">
        <v>25786</v>
      </c>
      <c r="H7902" t="s">
        <v>26534</v>
      </c>
      <c r="I7902" t="s">
        <v>26535</v>
      </c>
      <c r="J7902" t="s">
        <v>26536</v>
      </c>
      <c r="K7902" s="2" t="str">
        <f>HYPERLINK("http://collections.slsa.sa.gov.au/mpcimg/14250/B14092.htm")</f>
        <v>http://collections.slsa.sa.gov.au/mpcimg/14250/B14092.htm</v>
      </c>
    </row>
    <row r="7903" spans="1:11" x14ac:dyDescent="0.25">
      <c r="A7903" t="s">
        <v>26537</v>
      </c>
      <c r="B7903" s="1" t="str">
        <f>HYPERLINK("https://www.catalog.slsa.sa.gov.au/record=b2022334")</f>
        <v>https://www.catalog.slsa.sa.gov.au/record=b2022334</v>
      </c>
      <c r="C7903" s="1" t="str">
        <f>HYPERLINK("https://www.catalog.slsa.sa.gov.au/xrecord=b2022334")</f>
        <v>https://www.catalog.slsa.sa.gov.au/xrecord=b2022334</v>
      </c>
      <c r="D7903" t="s">
        <v>16831</v>
      </c>
      <c r="E7903" t="s">
        <v>26533</v>
      </c>
      <c r="F7903">
        <v>1958</v>
      </c>
      <c r="G7903" t="s">
        <v>25786</v>
      </c>
      <c r="H7903" t="s">
        <v>26538</v>
      </c>
      <c r="I7903" t="s">
        <v>26535</v>
      </c>
      <c r="J7903" t="s">
        <v>26536</v>
      </c>
      <c r="K7903" s="2" t="str">
        <f>HYPERLINK("http://collections.slsa.sa.gov.au/mpcimg/14250/B14093.htm")</f>
        <v>http://collections.slsa.sa.gov.au/mpcimg/14250/B14093.htm</v>
      </c>
    </row>
    <row r="7904" spans="1:11" x14ac:dyDescent="0.25">
      <c r="A7904" t="s">
        <v>26539</v>
      </c>
      <c r="B7904" s="1" t="str">
        <f>HYPERLINK("https://www.catalog.slsa.sa.gov.au/record=b2022335")</f>
        <v>https://www.catalog.slsa.sa.gov.au/record=b2022335</v>
      </c>
      <c r="C7904" s="1" t="str">
        <f>HYPERLINK("https://www.catalog.slsa.sa.gov.au/xrecord=b2022335")</f>
        <v>https://www.catalog.slsa.sa.gov.au/xrecord=b2022335</v>
      </c>
      <c r="D7904" t="s">
        <v>16831</v>
      </c>
      <c r="E7904" t="s">
        <v>26533</v>
      </c>
      <c r="F7904">
        <v>1958</v>
      </c>
      <c r="G7904" t="s">
        <v>25786</v>
      </c>
      <c r="H7904" t="s">
        <v>26540</v>
      </c>
      <c r="I7904" t="s">
        <v>26535</v>
      </c>
      <c r="J7904" t="s">
        <v>26536</v>
      </c>
      <c r="K7904" s="2" t="str">
        <f>HYPERLINK("http://collections.slsa.sa.gov.au/mpcimg/14250/B14094.htm")</f>
        <v>http://collections.slsa.sa.gov.au/mpcimg/14250/B14094.htm</v>
      </c>
    </row>
    <row r="7905" spans="1:11" x14ac:dyDescent="0.25">
      <c r="A7905" t="s">
        <v>26541</v>
      </c>
      <c r="B7905" s="1" t="str">
        <f>HYPERLINK("https://www.catalog.slsa.sa.gov.au/record=b2050818")</f>
        <v>https://www.catalog.slsa.sa.gov.au/record=b2050818</v>
      </c>
      <c r="C7905" s="1" t="str">
        <f>HYPERLINK("https://www.catalog.slsa.sa.gov.au/xrecord=b2050818")</f>
        <v>https://www.catalog.slsa.sa.gov.au/xrecord=b2050818</v>
      </c>
      <c r="D7905" t="s">
        <v>16831</v>
      </c>
      <c r="E7905" t="s">
        <v>26542</v>
      </c>
      <c r="F7905">
        <v>1958</v>
      </c>
      <c r="G7905" t="s">
        <v>25786</v>
      </c>
      <c r="H7905" t="s">
        <v>26543</v>
      </c>
      <c r="I7905" t="s">
        <v>26544</v>
      </c>
      <c r="J7905" t="s">
        <v>2510</v>
      </c>
      <c r="K7905" s="2" t="str">
        <f>HYPERLINK("http://collections.slsa.sa.gov.au/mpcimg/14250/B14153.htm")</f>
        <v>http://collections.slsa.sa.gov.au/mpcimg/14250/B14153.htm</v>
      </c>
    </row>
    <row r="7906" spans="1:11" x14ac:dyDescent="0.25">
      <c r="A7906" t="s">
        <v>26545</v>
      </c>
      <c r="B7906" s="1" t="str">
        <f>HYPERLINK("https://www.catalog.slsa.sa.gov.au/record=b2051743")</f>
        <v>https://www.catalog.slsa.sa.gov.au/record=b2051743</v>
      </c>
      <c r="C7906" s="1" t="str">
        <f>HYPERLINK("https://www.catalog.slsa.sa.gov.au/xrecord=b2051743")</f>
        <v>https://www.catalog.slsa.sa.gov.au/xrecord=b2051743</v>
      </c>
      <c r="D7906" t="s">
        <v>26546</v>
      </c>
      <c r="E7906" t="s">
        <v>26547</v>
      </c>
      <c r="F7906">
        <v>1958</v>
      </c>
      <c r="G7906" t="s">
        <v>20647</v>
      </c>
      <c r="H7906" t="s">
        <v>26548</v>
      </c>
      <c r="I7906" t="s">
        <v>26549</v>
      </c>
      <c r="J7906" t="s">
        <v>26550</v>
      </c>
      <c r="K7906" s="2" t="str">
        <f>HYPERLINK("http://collections.slsa.sa.gov.au/mpcimgr/26000/B25787.htm")</f>
        <v>http://collections.slsa.sa.gov.au/mpcimgr/26000/B25787.htm</v>
      </c>
    </row>
    <row r="7907" spans="1:11" x14ac:dyDescent="0.25">
      <c r="A7907" t="s">
        <v>26551</v>
      </c>
      <c r="B7907" s="1" t="str">
        <f>HYPERLINK("https://www.catalog.slsa.sa.gov.au/record=b2051746")</f>
        <v>https://www.catalog.slsa.sa.gov.au/record=b2051746</v>
      </c>
      <c r="C7907" s="1" t="str">
        <f>HYPERLINK("https://www.catalog.slsa.sa.gov.au/xrecord=b2051746")</f>
        <v>https://www.catalog.slsa.sa.gov.au/xrecord=b2051746</v>
      </c>
      <c r="D7907" t="s">
        <v>26546</v>
      </c>
      <c r="E7907" t="s">
        <v>26552</v>
      </c>
      <c r="F7907">
        <v>1958</v>
      </c>
      <c r="G7907" t="s">
        <v>26553</v>
      </c>
      <c r="H7907" t="s">
        <v>26554</v>
      </c>
      <c r="I7907" t="s">
        <v>26555</v>
      </c>
      <c r="J7907" t="s">
        <v>2510</v>
      </c>
      <c r="K7907" s="2" t="str">
        <f>HYPERLINK("http://collections.slsa.sa.gov.au/mpcimgr/26000/B25790.htm")</f>
        <v>http://collections.slsa.sa.gov.au/mpcimgr/26000/B25790.htm</v>
      </c>
    </row>
    <row r="7908" spans="1:11" x14ac:dyDescent="0.25">
      <c r="A7908" t="s">
        <v>26556</v>
      </c>
      <c r="B7908" s="1" t="str">
        <f>HYPERLINK("https://www.catalog.slsa.sa.gov.au/record=b2051837")</f>
        <v>https://www.catalog.slsa.sa.gov.au/record=b2051837</v>
      </c>
      <c r="C7908" s="1" t="str">
        <f>HYPERLINK("https://www.catalog.slsa.sa.gov.au/xrecord=b2051837")</f>
        <v>https://www.catalog.slsa.sa.gov.au/xrecord=b2051837</v>
      </c>
      <c r="D7908" t="s">
        <v>26546</v>
      </c>
      <c r="E7908" t="s">
        <v>26557</v>
      </c>
      <c r="F7908">
        <v>1958</v>
      </c>
      <c r="G7908" t="s">
        <v>21663</v>
      </c>
      <c r="H7908" t="s">
        <v>26558</v>
      </c>
      <c r="I7908" t="s">
        <v>26549</v>
      </c>
      <c r="J7908" t="s">
        <v>26550</v>
      </c>
      <c r="K7908" s="2" t="str">
        <f>HYPERLINK("http://collections.slsa.sa.gov.au/mpcimgr/26000/B25885.htm")</f>
        <v>http://collections.slsa.sa.gov.au/mpcimgr/26000/B25885.htm</v>
      </c>
    </row>
    <row r="7909" spans="1:11" x14ac:dyDescent="0.25">
      <c r="A7909" t="s">
        <v>26559</v>
      </c>
      <c r="B7909" s="1" t="str">
        <f>HYPERLINK("https://www.catalog.slsa.sa.gov.au/record=b2054464")</f>
        <v>https://www.catalog.slsa.sa.gov.au/record=b2054464</v>
      </c>
      <c r="C7909" s="1" t="str">
        <f>HYPERLINK("https://www.catalog.slsa.sa.gov.au/xrecord=b2054464")</f>
        <v>https://www.catalog.slsa.sa.gov.au/xrecord=b2054464</v>
      </c>
      <c r="D7909" t="s">
        <v>16831</v>
      </c>
      <c r="E7909" t="s">
        <v>15201</v>
      </c>
      <c r="F7909">
        <v>1958</v>
      </c>
      <c r="G7909" t="s">
        <v>25786</v>
      </c>
      <c r="H7909" t="s">
        <v>26560</v>
      </c>
      <c r="J7909" t="s">
        <v>23973</v>
      </c>
      <c r="K7909" s="2" t="str">
        <f>HYPERLINK("http://collections.slsa.sa.gov.au/mpcimg/14250/B14162.htm")</f>
        <v>http://collections.slsa.sa.gov.au/mpcimg/14250/B14162.htm</v>
      </c>
    </row>
    <row r="7910" spans="1:11" x14ac:dyDescent="0.25">
      <c r="A7910" t="s">
        <v>26561</v>
      </c>
      <c r="B7910" s="1" t="str">
        <f>HYPERLINK("https://www.catalog.slsa.sa.gov.au/record=b2054479")</f>
        <v>https://www.catalog.slsa.sa.gov.au/record=b2054479</v>
      </c>
      <c r="C7910" s="1" t="str">
        <f>HYPERLINK("https://www.catalog.slsa.sa.gov.au/xrecord=b2054479")</f>
        <v>https://www.catalog.slsa.sa.gov.au/xrecord=b2054479</v>
      </c>
      <c r="D7910" t="s">
        <v>16831</v>
      </c>
      <c r="E7910" t="s">
        <v>15201</v>
      </c>
      <c r="F7910">
        <v>1958</v>
      </c>
      <c r="G7910" t="s">
        <v>25786</v>
      </c>
      <c r="H7910" t="s">
        <v>26562</v>
      </c>
      <c r="J7910" t="s">
        <v>20875</v>
      </c>
      <c r="K7910" s="2" t="str">
        <f>HYPERLINK("http://collections.slsa.sa.gov.au/mpcimg/14250/B14006.htm")</f>
        <v>http://collections.slsa.sa.gov.au/mpcimg/14250/B14006.htm</v>
      </c>
    </row>
    <row r="7911" spans="1:11" x14ac:dyDescent="0.25">
      <c r="A7911" t="s">
        <v>26563</v>
      </c>
      <c r="B7911" s="1" t="str">
        <f>HYPERLINK("https://www.catalog.slsa.sa.gov.au/record=b2054491")</f>
        <v>https://www.catalog.slsa.sa.gov.au/record=b2054491</v>
      </c>
      <c r="C7911" s="1" t="str">
        <f>HYPERLINK("https://www.catalog.slsa.sa.gov.au/xrecord=b2054491")</f>
        <v>https://www.catalog.slsa.sa.gov.au/xrecord=b2054491</v>
      </c>
      <c r="D7911" t="s">
        <v>16831</v>
      </c>
      <c r="E7911" t="s">
        <v>22712</v>
      </c>
      <c r="F7911">
        <v>1958</v>
      </c>
      <c r="G7911" t="s">
        <v>25786</v>
      </c>
      <c r="H7911" t="s">
        <v>26564</v>
      </c>
      <c r="J7911" t="s">
        <v>22714</v>
      </c>
      <c r="K7911" s="2" t="str">
        <f>HYPERLINK("http://collections.slsa.sa.gov.au/mpcimg/14250/B14195.htm")</f>
        <v>http://collections.slsa.sa.gov.au/mpcimg/14250/B14195.htm</v>
      </c>
    </row>
    <row r="7912" spans="1:11" x14ac:dyDescent="0.25">
      <c r="A7912" t="s">
        <v>26565</v>
      </c>
      <c r="B7912" s="1" t="str">
        <f>HYPERLINK("https://www.catalog.slsa.sa.gov.au/record=b2054492")</f>
        <v>https://www.catalog.slsa.sa.gov.au/record=b2054492</v>
      </c>
      <c r="C7912" s="1" t="str">
        <f>HYPERLINK("https://www.catalog.slsa.sa.gov.au/xrecord=b2054492")</f>
        <v>https://www.catalog.slsa.sa.gov.au/xrecord=b2054492</v>
      </c>
      <c r="D7912" t="s">
        <v>16831</v>
      </c>
      <c r="E7912" t="s">
        <v>26566</v>
      </c>
      <c r="F7912">
        <v>1958</v>
      </c>
      <c r="G7912" t="s">
        <v>25786</v>
      </c>
      <c r="H7912" t="s">
        <v>26567</v>
      </c>
      <c r="J7912" t="s">
        <v>22714</v>
      </c>
      <c r="K7912" s="2" t="str">
        <f>HYPERLINK("http://collections.slsa.sa.gov.au/mpcimg/14250/B14196.htm")</f>
        <v>http://collections.slsa.sa.gov.au/mpcimg/14250/B14196.htm</v>
      </c>
    </row>
    <row r="7913" spans="1:11" x14ac:dyDescent="0.25">
      <c r="A7913" t="s">
        <v>26568</v>
      </c>
      <c r="B7913" s="1" t="str">
        <f>HYPERLINK("https://www.catalog.slsa.sa.gov.au/record=b2054915")</f>
        <v>https://www.catalog.slsa.sa.gov.au/record=b2054915</v>
      </c>
      <c r="C7913" s="1" t="str">
        <f>HYPERLINK("https://www.catalog.slsa.sa.gov.au/xrecord=b2054915")</f>
        <v>https://www.catalog.slsa.sa.gov.au/xrecord=b2054915</v>
      </c>
      <c r="D7913" t="s">
        <v>16831</v>
      </c>
      <c r="E7913" t="s">
        <v>15201</v>
      </c>
      <c r="F7913">
        <v>1958</v>
      </c>
      <c r="G7913" t="s">
        <v>25786</v>
      </c>
      <c r="H7913" t="s">
        <v>26569</v>
      </c>
      <c r="J7913" t="s">
        <v>22724</v>
      </c>
      <c r="K7913" s="2" t="str">
        <f>HYPERLINK("http://collections.slsa.sa.gov.au/mpcimg/14000/B13986.htm")</f>
        <v>http://collections.slsa.sa.gov.au/mpcimg/14000/B13986.htm</v>
      </c>
    </row>
    <row r="7914" spans="1:11" x14ac:dyDescent="0.25">
      <c r="A7914" t="s">
        <v>26570</v>
      </c>
      <c r="B7914" s="1" t="str">
        <f>HYPERLINK("https://www.catalog.slsa.sa.gov.au/record=b2055070")</f>
        <v>https://www.catalog.slsa.sa.gov.au/record=b2055070</v>
      </c>
      <c r="C7914" s="1" t="str">
        <f>HYPERLINK("https://www.catalog.slsa.sa.gov.au/xrecord=b2055070")</f>
        <v>https://www.catalog.slsa.sa.gov.au/xrecord=b2055070</v>
      </c>
      <c r="D7914" t="s">
        <v>16831</v>
      </c>
      <c r="E7914" t="s">
        <v>16777</v>
      </c>
      <c r="F7914">
        <v>1958</v>
      </c>
      <c r="G7914" t="s">
        <v>25786</v>
      </c>
      <c r="H7914" t="s">
        <v>26571</v>
      </c>
      <c r="J7914" t="s">
        <v>25760</v>
      </c>
      <c r="K7914" s="2" t="str">
        <f>HYPERLINK("http://collections.slsa.sa.gov.au/mpcimg/14250/B14184.htm")</f>
        <v>http://collections.slsa.sa.gov.au/mpcimg/14250/B14184.htm</v>
      </c>
    </row>
    <row r="7915" spans="1:11" x14ac:dyDescent="0.25">
      <c r="A7915" t="s">
        <v>26572</v>
      </c>
      <c r="B7915" s="1" t="str">
        <f>HYPERLINK("https://www.catalog.slsa.sa.gov.au/record=b2055212")</f>
        <v>https://www.catalog.slsa.sa.gov.au/record=b2055212</v>
      </c>
      <c r="C7915" s="1" t="str">
        <f>HYPERLINK("https://www.catalog.slsa.sa.gov.au/xrecord=b2055212")</f>
        <v>https://www.catalog.slsa.sa.gov.au/xrecord=b2055212</v>
      </c>
      <c r="D7915" t="s">
        <v>16831</v>
      </c>
      <c r="E7915" t="s">
        <v>16777</v>
      </c>
      <c r="F7915">
        <v>1958</v>
      </c>
      <c r="G7915" t="s">
        <v>25786</v>
      </c>
      <c r="H7915" t="s">
        <v>26573</v>
      </c>
      <c r="J7915" t="s">
        <v>26574</v>
      </c>
      <c r="K7915" s="2" t="str">
        <f>HYPERLINK("http://collections.slsa.sa.gov.au/mpcimg/14250/B14045.htm")</f>
        <v>http://collections.slsa.sa.gov.au/mpcimg/14250/B14045.htm</v>
      </c>
    </row>
    <row r="7916" spans="1:11" x14ac:dyDescent="0.25">
      <c r="A7916" t="s">
        <v>26575</v>
      </c>
      <c r="B7916" s="1" t="str">
        <f>HYPERLINK("https://www.catalog.slsa.sa.gov.au/record=b2055213")</f>
        <v>https://www.catalog.slsa.sa.gov.au/record=b2055213</v>
      </c>
      <c r="C7916" s="1" t="str">
        <f>HYPERLINK("https://www.catalog.slsa.sa.gov.au/xrecord=b2055213")</f>
        <v>https://www.catalog.slsa.sa.gov.au/xrecord=b2055213</v>
      </c>
      <c r="D7916" t="s">
        <v>16831</v>
      </c>
      <c r="E7916" t="s">
        <v>21014</v>
      </c>
      <c r="F7916">
        <v>1958</v>
      </c>
      <c r="G7916" t="s">
        <v>25786</v>
      </c>
      <c r="H7916" t="s">
        <v>26576</v>
      </c>
      <c r="J7916" t="s">
        <v>26574</v>
      </c>
      <c r="K7916" s="2" t="str">
        <f>HYPERLINK("http://collections.slsa.sa.gov.au/mpcimg/14250/B14159.htm")</f>
        <v>http://collections.slsa.sa.gov.au/mpcimg/14250/B14159.htm</v>
      </c>
    </row>
    <row r="7917" spans="1:11" x14ac:dyDescent="0.25">
      <c r="A7917" t="s">
        <v>26577</v>
      </c>
      <c r="B7917" s="1" t="str">
        <f>HYPERLINK("https://www.catalog.slsa.sa.gov.au/record=b2055214")</f>
        <v>https://www.catalog.slsa.sa.gov.au/record=b2055214</v>
      </c>
      <c r="C7917" s="1" t="str">
        <f>HYPERLINK("https://www.catalog.slsa.sa.gov.au/xrecord=b2055214")</f>
        <v>https://www.catalog.slsa.sa.gov.au/xrecord=b2055214</v>
      </c>
      <c r="D7917" t="s">
        <v>16831</v>
      </c>
      <c r="E7917" t="s">
        <v>21014</v>
      </c>
      <c r="F7917">
        <v>1958</v>
      </c>
      <c r="G7917" t="s">
        <v>25786</v>
      </c>
      <c r="H7917" t="s">
        <v>26578</v>
      </c>
      <c r="J7917" t="s">
        <v>26574</v>
      </c>
      <c r="K7917" s="2" t="str">
        <f>HYPERLINK("http://collections.slsa.sa.gov.au/mpcimg/14250/B14160.htm")</f>
        <v>http://collections.slsa.sa.gov.au/mpcimg/14250/B14160.htm</v>
      </c>
    </row>
    <row r="7918" spans="1:11" x14ac:dyDescent="0.25">
      <c r="A7918" t="s">
        <v>26579</v>
      </c>
      <c r="B7918" s="1" t="str">
        <f>HYPERLINK("https://www.catalog.slsa.sa.gov.au/record=b2055215")</f>
        <v>https://www.catalog.slsa.sa.gov.au/record=b2055215</v>
      </c>
      <c r="C7918" s="1" t="str">
        <f>HYPERLINK("https://www.catalog.slsa.sa.gov.au/xrecord=b2055215")</f>
        <v>https://www.catalog.slsa.sa.gov.au/xrecord=b2055215</v>
      </c>
      <c r="D7918" t="s">
        <v>16831</v>
      </c>
      <c r="E7918" t="s">
        <v>16777</v>
      </c>
      <c r="F7918">
        <v>1958</v>
      </c>
      <c r="G7918" t="s">
        <v>25786</v>
      </c>
      <c r="H7918" t="s">
        <v>26580</v>
      </c>
      <c r="J7918" t="s">
        <v>26574</v>
      </c>
      <c r="K7918" s="2" t="str">
        <f>HYPERLINK("http://collections.slsa.sa.gov.au/mpcimg/14250/B14186.htm")</f>
        <v>http://collections.slsa.sa.gov.au/mpcimg/14250/B14186.htm</v>
      </c>
    </row>
    <row r="7919" spans="1:11" x14ac:dyDescent="0.25">
      <c r="A7919" t="s">
        <v>26581</v>
      </c>
      <c r="B7919" s="1" t="str">
        <f>HYPERLINK("https://www.catalog.slsa.sa.gov.au/record=b2055246")</f>
        <v>https://www.catalog.slsa.sa.gov.au/record=b2055246</v>
      </c>
      <c r="C7919" s="1" t="str">
        <f>HYPERLINK("https://www.catalog.slsa.sa.gov.au/xrecord=b2055246")</f>
        <v>https://www.catalog.slsa.sa.gov.au/xrecord=b2055246</v>
      </c>
      <c r="D7919" t="s">
        <v>16831</v>
      </c>
      <c r="E7919" t="s">
        <v>16777</v>
      </c>
      <c r="F7919">
        <v>1958</v>
      </c>
      <c r="G7919" t="s">
        <v>25786</v>
      </c>
      <c r="H7919" t="s">
        <v>26582</v>
      </c>
      <c r="J7919" t="s">
        <v>20897</v>
      </c>
      <c r="K7919" s="2" t="str">
        <f>HYPERLINK("http://collections.slsa.sa.gov.au/mpcimg/14250/B14121.htm")</f>
        <v>http://collections.slsa.sa.gov.au/mpcimg/14250/B14121.htm</v>
      </c>
    </row>
    <row r="7920" spans="1:11" x14ac:dyDescent="0.25">
      <c r="A7920" t="s">
        <v>26583</v>
      </c>
      <c r="B7920" s="1" t="str">
        <f>HYPERLINK("https://www.catalog.slsa.sa.gov.au/record=b2055247")</f>
        <v>https://www.catalog.slsa.sa.gov.au/record=b2055247</v>
      </c>
      <c r="C7920" s="1" t="str">
        <f>HYPERLINK("https://www.catalog.slsa.sa.gov.au/xrecord=b2055247")</f>
        <v>https://www.catalog.slsa.sa.gov.au/xrecord=b2055247</v>
      </c>
      <c r="D7920" t="s">
        <v>16831</v>
      </c>
      <c r="E7920" t="s">
        <v>22722</v>
      </c>
      <c r="F7920">
        <v>1958</v>
      </c>
      <c r="G7920" t="s">
        <v>25786</v>
      </c>
      <c r="H7920" t="s">
        <v>26584</v>
      </c>
      <c r="J7920" t="s">
        <v>20897</v>
      </c>
      <c r="K7920" s="2" t="str">
        <f>HYPERLINK("http://collections.slsa.sa.gov.au/mpcimg/14250/B14122.htm")</f>
        <v>http://collections.slsa.sa.gov.au/mpcimg/14250/B14122.htm</v>
      </c>
    </row>
    <row r="7921" spans="1:11" x14ac:dyDescent="0.25">
      <c r="A7921" t="s">
        <v>26585</v>
      </c>
      <c r="B7921" s="1" t="str">
        <f>HYPERLINK("https://www.catalog.slsa.sa.gov.au/record=b2055738")</f>
        <v>https://www.catalog.slsa.sa.gov.au/record=b2055738</v>
      </c>
      <c r="C7921" s="1" t="str">
        <f>HYPERLINK("https://www.catalog.slsa.sa.gov.au/xrecord=b2055738")</f>
        <v>https://www.catalog.slsa.sa.gov.au/xrecord=b2055738</v>
      </c>
      <c r="D7921" t="s">
        <v>16831</v>
      </c>
      <c r="E7921" t="s">
        <v>20904</v>
      </c>
      <c r="F7921">
        <v>1958</v>
      </c>
      <c r="G7921" t="s">
        <v>25786</v>
      </c>
      <c r="H7921" t="s">
        <v>26586</v>
      </c>
      <c r="J7921" t="s">
        <v>22167</v>
      </c>
      <c r="K7921" s="2" t="str">
        <f>HYPERLINK("http://collections.slsa.sa.gov.au/mpcimg/14250/B14197.htm")</f>
        <v>http://collections.slsa.sa.gov.au/mpcimg/14250/B14197.htm</v>
      </c>
    </row>
    <row r="7922" spans="1:11" x14ac:dyDescent="0.25">
      <c r="A7922" t="s">
        <v>26587</v>
      </c>
      <c r="B7922" s="1" t="str">
        <f>HYPERLINK("https://www.catalog.slsa.sa.gov.au/record=b2055774")</f>
        <v>https://www.catalog.slsa.sa.gov.au/record=b2055774</v>
      </c>
      <c r="C7922" s="1" t="str">
        <f>HYPERLINK("https://www.catalog.slsa.sa.gov.au/xrecord=b2055774")</f>
        <v>https://www.catalog.slsa.sa.gov.au/xrecord=b2055774</v>
      </c>
      <c r="D7922" t="s">
        <v>16831</v>
      </c>
      <c r="E7922" t="s">
        <v>20904</v>
      </c>
      <c r="F7922">
        <v>1958</v>
      </c>
      <c r="G7922" t="s">
        <v>25786</v>
      </c>
      <c r="H7922" t="s">
        <v>26588</v>
      </c>
      <c r="J7922" t="s">
        <v>25772</v>
      </c>
      <c r="K7922" s="2" t="str">
        <f>HYPERLINK("http://collections.slsa.sa.gov.au/mpcimg/14250/B14188.htm")</f>
        <v>http://collections.slsa.sa.gov.au/mpcimg/14250/B14188.htm</v>
      </c>
    </row>
    <row r="7923" spans="1:11" x14ac:dyDescent="0.25">
      <c r="A7923" t="s">
        <v>26589</v>
      </c>
      <c r="B7923" s="1" t="str">
        <f>HYPERLINK("https://www.catalog.slsa.sa.gov.au/record=b2055802")</f>
        <v>https://www.catalog.slsa.sa.gov.au/record=b2055802</v>
      </c>
      <c r="C7923" s="1" t="str">
        <f>HYPERLINK("https://www.catalog.slsa.sa.gov.au/xrecord=b2055802")</f>
        <v>https://www.catalog.slsa.sa.gov.au/xrecord=b2055802</v>
      </c>
      <c r="D7923" t="s">
        <v>16831</v>
      </c>
      <c r="E7923" t="s">
        <v>20904</v>
      </c>
      <c r="F7923">
        <v>1958</v>
      </c>
      <c r="G7923" t="s">
        <v>25786</v>
      </c>
      <c r="H7923" t="s">
        <v>26590</v>
      </c>
      <c r="J7923" t="s">
        <v>20906</v>
      </c>
      <c r="K7923" s="2" t="str">
        <f>HYPERLINK("http://collections.slsa.sa.gov.au/mpcimg/14250/B14161.htm")</f>
        <v>http://collections.slsa.sa.gov.au/mpcimg/14250/B14161.htm</v>
      </c>
    </row>
    <row r="7924" spans="1:11" x14ac:dyDescent="0.25">
      <c r="A7924" t="s">
        <v>26591</v>
      </c>
      <c r="B7924" s="1" t="str">
        <f>HYPERLINK("https://www.catalog.slsa.sa.gov.au/record=b2055803")</f>
        <v>https://www.catalog.slsa.sa.gov.au/record=b2055803</v>
      </c>
      <c r="C7924" s="1" t="str">
        <f>HYPERLINK("https://www.catalog.slsa.sa.gov.au/xrecord=b2055803")</f>
        <v>https://www.catalog.slsa.sa.gov.au/xrecord=b2055803</v>
      </c>
      <c r="D7924" t="s">
        <v>16831</v>
      </c>
      <c r="E7924" t="s">
        <v>20904</v>
      </c>
      <c r="F7924">
        <v>1958</v>
      </c>
      <c r="G7924" t="s">
        <v>25786</v>
      </c>
      <c r="H7924" t="s">
        <v>26592</v>
      </c>
      <c r="J7924" t="s">
        <v>20906</v>
      </c>
      <c r="K7924" s="2" t="str">
        <f>HYPERLINK("http://collections.slsa.sa.gov.au/mpcimg/14250/B14199.htm")</f>
        <v>http://collections.slsa.sa.gov.au/mpcimg/14250/B14199.htm</v>
      </c>
    </row>
    <row r="7925" spans="1:11" x14ac:dyDescent="0.25">
      <c r="A7925" t="s">
        <v>26593</v>
      </c>
      <c r="B7925" s="1" t="str">
        <f>HYPERLINK("https://www.catalog.slsa.sa.gov.au/record=b2055834")</f>
        <v>https://www.catalog.slsa.sa.gov.au/record=b2055834</v>
      </c>
      <c r="C7925" s="1" t="str">
        <f>HYPERLINK("https://www.catalog.slsa.sa.gov.au/xrecord=b2055834")</f>
        <v>https://www.catalog.slsa.sa.gov.au/xrecord=b2055834</v>
      </c>
      <c r="D7925" t="s">
        <v>16831</v>
      </c>
      <c r="E7925" t="s">
        <v>20904</v>
      </c>
      <c r="F7925">
        <v>1958</v>
      </c>
      <c r="G7925" t="s">
        <v>25786</v>
      </c>
      <c r="H7925" t="s">
        <v>26594</v>
      </c>
      <c r="J7925" t="s">
        <v>24004</v>
      </c>
      <c r="K7925" s="2" t="str">
        <f>HYPERLINK("http://collections.slsa.sa.gov.au/mpcimg/14250/B14198.htm")</f>
        <v>http://collections.slsa.sa.gov.au/mpcimg/14250/B14198.htm</v>
      </c>
    </row>
    <row r="7926" spans="1:11" x14ac:dyDescent="0.25">
      <c r="A7926" t="s">
        <v>26595</v>
      </c>
      <c r="B7926" s="1" t="str">
        <f>HYPERLINK("https://www.catalog.slsa.sa.gov.au/record=b2055852")</f>
        <v>https://www.catalog.slsa.sa.gov.au/record=b2055852</v>
      </c>
      <c r="C7926" s="1" t="str">
        <f>HYPERLINK("https://www.catalog.slsa.sa.gov.au/xrecord=b2055852")</f>
        <v>https://www.catalog.slsa.sa.gov.au/xrecord=b2055852</v>
      </c>
      <c r="D7926" t="s">
        <v>16831</v>
      </c>
      <c r="E7926" t="s">
        <v>20904</v>
      </c>
      <c r="F7926">
        <v>1958</v>
      </c>
      <c r="G7926" t="s">
        <v>25786</v>
      </c>
      <c r="H7926" t="s">
        <v>26596</v>
      </c>
      <c r="J7926" t="s">
        <v>24008</v>
      </c>
      <c r="K7926" s="2" t="str">
        <f>HYPERLINK("http://collections.slsa.sa.gov.au/mpcimg/14250/B14201.htm")</f>
        <v>http://collections.slsa.sa.gov.au/mpcimg/14250/B14201.htm</v>
      </c>
    </row>
    <row r="7927" spans="1:11" x14ac:dyDescent="0.25">
      <c r="A7927" t="s">
        <v>26597</v>
      </c>
      <c r="B7927" s="1" t="str">
        <f>HYPERLINK("https://www.catalog.slsa.sa.gov.au/record=b2055887")</f>
        <v>https://www.catalog.slsa.sa.gov.au/record=b2055887</v>
      </c>
      <c r="C7927" s="1" t="str">
        <f>HYPERLINK("https://www.catalog.slsa.sa.gov.au/xrecord=b2055887")</f>
        <v>https://www.catalog.slsa.sa.gov.au/xrecord=b2055887</v>
      </c>
      <c r="D7927" t="s">
        <v>16831</v>
      </c>
      <c r="E7927" t="s">
        <v>20904</v>
      </c>
      <c r="F7927">
        <v>1958</v>
      </c>
      <c r="G7927" t="s">
        <v>25786</v>
      </c>
      <c r="H7927" t="s">
        <v>26598</v>
      </c>
      <c r="J7927" t="s">
        <v>26599</v>
      </c>
      <c r="K7927" s="2" t="str">
        <f>HYPERLINK("http://collections.slsa.sa.gov.au/mpcimg/14250/B14175.htm")</f>
        <v>http://collections.slsa.sa.gov.au/mpcimg/14250/B14175.htm</v>
      </c>
    </row>
    <row r="7928" spans="1:11" x14ac:dyDescent="0.25">
      <c r="A7928" t="s">
        <v>26600</v>
      </c>
      <c r="B7928" s="1" t="str">
        <f>HYPERLINK("https://www.catalog.slsa.sa.gov.au/record=b2055900")</f>
        <v>https://www.catalog.slsa.sa.gov.au/record=b2055900</v>
      </c>
      <c r="C7928" s="1" t="str">
        <f>HYPERLINK("https://www.catalog.slsa.sa.gov.au/xrecord=b2055900")</f>
        <v>https://www.catalog.slsa.sa.gov.au/xrecord=b2055900</v>
      </c>
      <c r="D7928" t="s">
        <v>16831</v>
      </c>
      <c r="E7928" t="s">
        <v>20974</v>
      </c>
      <c r="F7928">
        <v>1958</v>
      </c>
      <c r="G7928" t="s">
        <v>25786</v>
      </c>
      <c r="H7928" t="s">
        <v>26601</v>
      </c>
      <c r="J7928" t="s">
        <v>22749</v>
      </c>
      <c r="K7928" s="2" t="str">
        <f>HYPERLINK("http://collections.slsa.sa.gov.au/mpcimg/14250/B14138.htm")</f>
        <v>http://collections.slsa.sa.gov.au/mpcimg/14250/B14138.htm</v>
      </c>
    </row>
    <row r="7929" spans="1:11" x14ac:dyDescent="0.25">
      <c r="A7929" t="s">
        <v>26602</v>
      </c>
      <c r="B7929" s="1" t="str">
        <f>HYPERLINK("https://www.catalog.slsa.sa.gov.au/record=b2055905")</f>
        <v>https://www.catalog.slsa.sa.gov.au/record=b2055905</v>
      </c>
      <c r="C7929" s="1" t="str">
        <f>HYPERLINK("https://www.catalog.slsa.sa.gov.au/xrecord=b2055905")</f>
        <v>https://www.catalog.slsa.sa.gov.au/xrecord=b2055905</v>
      </c>
      <c r="D7929" t="s">
        <v>16831</v>
      </c>
      <c r="E7929" t="s">
        <v>20904</v>
      </c>
      <c r="F7929">
        <v>1958</v>
      </c>
      <c r="G7929" t="s">
        <v>25786</v>
      </c>
      <c r="H7929" t="s">
        <v>26603</v>
      </c>
      <c r="J7929" t="s">
        <v>26604</v>
      </c>
      <c r="K7929" s="2" t="str">
        <f>HYPERLINK("http://collections.slsa.sa.gov.au/mpcimg/14250/B14151.htm")</f>
        <v>http://collections.slsa.sa.gov.au/mpcimg/14250/B14151.htm</v>
      </c>
    </row>
    <row r="7930" spans="1:11" x14ac:dyDescent="0.25">
      <c r="A7930" t="s">
        <v>26605</v>
      </c>
      <c r="B7930" s="1" t="str">
        <f>HYPERLINK("https://www.catalog.slsa.sa.gov.au/record=b2055906")</f>
        <v>https://www.catalog.slsa.sa.gov.au/record=b2055906</v>
      </c>
      <c r="C7930" s="1" t="str">
        <f>HYPERLINK("https://www.catalog.slsa.sa.gov.au/xrecord=b2055906")</f>
        <v>https://www.catalog.slsa.sa.gov.au/xrecord=b2055906</v>
      </c>
      <c r="D7930" t="s">
        <v>16831</v>
      </c>
      <c r="E7930" t="s">
        <v>20974</v>
      </c>
      <c r="F7930">
        <v>1958</v>
      </c>
      <c r="G7930" t="s">
        <v>25786</v>
      </c>
      <c r="H7930" t="s">
        <v>26606</v>
      </c>
      <c r="J7930" t="s">
        <v>26604</v>
      </c>
      <c r="K7930" s="2" t="str">
        <f>HYPERLINK("http://collections.slsa.sa.gov.au/mpcimg/14250/B14152.htm")</f>
        <v>http://collections.slsa.sa.gov.au/mpcimg/14250/B14152.htm</v>
      </c>
    </row>
    <row r="7931" spans="1:11" x14ac:dyDescent="0.25">
      <c r="A7931" t="s">
        <v>26607</v>
      </c>
      <c r="B7931" s="1" t="str">
        <f>HYPERLINK("https://www.catalog.slsa.sa.gov.au/record=b2055966")</f>
        <v>https://www.catalog.slsa.sa.gov.au/record=b2055966</v>
      </c>
      <c r="C7931" s="1" t="str">
        <f>HYPERLINK("https://www.catalog.slsa.sa.gov.au/xrecord=b2055966")</f>
        <v>https://www.catalog.slsa.sa.gov.au/xrecord=b2055966</v>
      </c>
      <c r="D7931" t="s">
        <v>16831</v>
      </c>
      <c r="E7931" t="s">
        <v>20904</v>
      </c>
      <c r="F7931">
        <v>1958</v>
      </c>
      <c r="G7931" t="s">
        <v>25786</v>
      </c>
      <c r="H7931" t="s">
        <v>26608</v>
      </c>
      <c r="J7931" t="s">
        <v>26609</v>
      </c>
      <c r="K7931" s="2" t="str">
        <f>HYPERLINK("http://collections.slsa.sa.gov.au/mpcimg/14250/B14202.htm")</f>
        <v>http://collections.slsa.sa.gov.au/mpcimg/14250/B14202.htm</v>
      </c>
    </row>
    <row r="7932" spans="1:11" x14ac:dyDescent="0.25">
      <c r="A7932" t="s">
        <v>26610</v>
      </c>
      <c r="B7932" s="1" t="str">
        <f>HYPERLINK("https://www.catalog.slsa.sa.gov.au/record=b2056180")</f>
        <v>https://www.catalog.slsa.sa.gov.au/record=b2056180</v>
      </c>
      <c r="C7932" s="1" t="str">
        <f>HYPERLINK("https://www.catalog.slsa.sa.gov.au/xrecord=b2056180")</f>
        <v>https://www.catalog.slsa.sa.gov.au/xrecord=b2056180</v>
      </c>
      <c r="D7932" t="s">
        <v>16831</v>
      </c>
      <c r="E7932" t="s">
        <v>16771</v>
      </c>
      <c r="F7932">
        <v>1958</v>
      </c>
      <c r="G7932" t="s">
        <v>25786</v>
      </c>
      <c r="H7932" t="s">
        <v>26611</v>
      </c>
      <c r="J7932" t="s">
        <v>22770</v>
      </c>
      <c r="K7932" s="2" t="str">
        <f>HYPERLINK("http://collections.slsa.sa.gov.au/mpcimg/14250/B14187.htm")</f>
        <v>http://collections.slsa.sa.gov.au/mpcimg/14250/B14187.htm</v>
      </c>
    </row>
    <row r="7933" spans="1:11" x14ac:dyDescent="0.25">
      <c r="A7933" t="s">
        <v>26612</v>
      </c>
      <c r="B7933" s="1" t="str">
        <f>HYPERLINK("https://www.catalog.slsa.sa.gov.au/record=b2056484")</f>
        <v>https://www.catalog.slsa.sa.gov.au/record=b2056484</v>
      </c>
      <c r="C7933" s="1" t="str">
        <f>HYPERLINK("https://www.catalog.slsa.sa.gov.au/xrecord=b2056484")</f>
        <v>https://www.catalog.slsa.sa.gov.au/xrecord=b2056484</v>
      </c>
      <c r="D7933" t="s">
        <v>16831</v>
      </c>
      <c r="E7933" t="s">
        <v>16777</v>
      </c>
      <c r="F7933">
        <v>1958</v>
      </c>
      <c r="G7933" t="s">
        <v>25786</v>
      </c>
      <c r="H7933" t="s">
        <v>26613</v>
      </c>
      <c r="J7933" t="s">
        <v>17605</v>
      </c>
      <c r="K7933" s="2" t="str">
        <f>HYPERLINK("http://collections.slsa.sa.gov.au/mpcimg/14250/B14157.htm")</f>
        <v>http://collections.slsa.sa.gov.au/mpcimg/14250/B14157.htm</v>
      </c>
    </row>
    <row r="7934" spans="1:11" x14ac:dyDescent="0.25">
      <c r="A7934" t="s">
        <v>26614</v>
      </c>
      <c r="B7934" s="1" t="str">
        <f>HYPERLINK("https://www.catalog.slsa.sa.gov.au/record=b2056779")</f>
        <v>https://www.catalog.slsa.sa.gov.au/record=b2056779</v>
      </c>
      <c r="C7934" s="1" t="str">
        <f>HYPERLINK("https://www.catalog.slsa.sa.gov.au/xrecord=b2056779")</f>
        <v>https://www.catalog.slsa.sa.gov.au/xrecord=b2056779</v>
      </c>
      <c r="D7934" t="s">
        <v>16831</v>
      </c>
      <c r="E7934" t="s">
        <v>16777</v>
      </c>
      <c r="F7934">
        <v>1958</v>
      </c>
      <c r="G7934" t="s">
        <v>25786</v>
      </c>
      <c r="H7934" t="s">
        <v>26615</v>
      </c>
      <c r="J7934" t="s">
        <v>22773</v>
      </c>
      <c r="K7934" s="2" t="str">
        <f>HYPERLINK("http://collections.slsa.sa.gov.au/mpcimg/14250/B14154.htm")</f>
        <v>http://collections.slsa.sa.gov.au/mpcimg/14250/B14154.htm</v>
      </c>
    </row>
    <row r="7935" spans="1:11" x14ac:dyDescent="0.25">
      <c r="A7935" t="s">
        <v>26616</v>
      </c>
      <c r="B7935" s="1" t="str">
        <f>HYPERLINK("https://www.catalog.slsa.sa.gov.au/record=b2056830")</f>
        <v>https://www.catalog.slsa.sa.gov.au/record=b2056830</v>
      </c>
      <c r="C7935" s="1" t="str">
        <f>HYPERLINK("https://www.catalog.slsa.sa.gov.au/xrecord=b2056830")</f>
        <v>https://www.catalog.slsa.sa.gov.au/xrecord=b2056830</v>
      </c>
      <c r="D7935" t="s">
        <v>16831</v>
      </c>
      <c r="E7935" t="s">
        <v>16777</v>
      </c>
      <c r="F7935">
        <v>1958</v>
      </c>
      <c r="G7935" t="s">
        <v>25786</v>
      </c>
      <c r="H7935" t="s">
        <v>26617</v>
      </c>
      <c r="J7935" t="s">
        <v>20920</v>
      </c>
      <c r="K7935" s="2" t="str">
        <f>HYPERLINK("http://collections.slsa.sa.gov.au/mpcimg/14250/B14185.htm")</f>
        <v>http://collections.slsa.sa.gov.au/mpcimg/14250/B14185.htm</v>
      </c>
    </row>
    <row r="7936" spans="1:11" x14ac:dyDescent="0.25">
      <c r="A7936" t="s">
        <v>26618</v>
      </c>
      <c r="B7936" s="1" t="str">
        <f>HYPERLINK("https://www.catalog.slsa.sa.gov.au/record=b2057001")</f>
        <v>https://www.catalog.slsa.sa.gov.au/record=b2057001</v>
      </c>
      <c r="C7936" s="1" t="str">
        <f>HYPERLINK("https://www.catalog.slsa.sa.gov.au/xrecord=b2057001")</f>
        <v>https://www.catalog.slsa.sa.gov.au/xrecord=b2057001</v>
      </c>
      <c r="D7936" t="s">
        <v>16831</v>
      </c>
      <c r="E7936" t="s">
        <v>20933</v>
      </c>
      <c r="F7936">
        <v>1958</v>
      </c>
      <c r="G7936" t="s">
        <v>25786</v>
      </c>
      <c r="H7936" t="s">
        <v>26619</v>
      </c>
      <c r="J7936" t="s">
        <v>25324</v>
      </c>
      <c r="K7936" s="2" t="str">
        <f>HYPERLINK("http://collections.slsa.sa.gov.au/mpcimg/14250/B14055.htm")</f>
        <v>http://collections.slsa.sa.gov.au/mpcimg/14250/B14055.htm</v>
      </c>
    </row>
    <row r="7937" spans="1:11" x14ac:dyDescent="0.25">
      <c r="A7937" t="s">
        <v>26620</v>
      </c>
      <c r="B7937" s="1" t="str">
        <f>HYPERLINK("https://www.catalog.slsa.sa.gov.au/record=b2057126")</f>
        <v>https://www.catalog.slsa.sa.gov.au/record=b2057126</v>
      </c>
      <c r="C7937" s="1" t="str">
        <f>HYPERLINK("https://www.catalog.slsa.sa.gov.au/xrecord=b2057126")</f>
        <v>https://www.catalog.slsa.sa.gov.au/xrecord=b2057126</v>
      </c>
      <c r="D7937" t="s">
        <v>16831</v>
      </c>
      <c r="E7937" t="s">
        <v>16791</v>
      </c>
      <c r="F7937">
        <v>1958</v>
      </c>
      <c r="G7937" t="s">
        <v>25786</v>
      </c>
      <c r="H7937" t="s">
        <v>26621</v>
      </c>
      <c r="J7937" t="s">
        <v>24038</v>
      </c>
      <c r="K7937" s="2" t="str">
        <f>HYPERLINK("http://collections.slsa.sa.gov.au/mpcimg/14250/B14057.htm")</f>
        <v>http://collections.slsa.sa.gov.au/mpcimg/14250/B14057.htm</v>
      </c>
    </row>
    <row r="7938" spans="1:11" x14ac:dyDescent="0.25">
      <c r="A7938" t="s">
        <v>26622</v>
      </c>
      <c r="B7938" s="1" t="str">
        <f>HYPERLINK("https://www.catalog.slsa.sa.gov.au/record=b2057525")</f>
        <v>https://www.catalog.slsa.sa.gov.au/record=b2057525</v>
      </c>
      <c r="C7938" s="1" t="str">
        <f>HYPERLINK("https://www.catalog.slsa.sa.gov.au/xrecord=b2057525")</f>
        <v>https://www.catalog.slsa.sa.gov.au/xrecord=b2057525</v>
      </c>
      <c r="D7938" t="s">
        <v>16831</v>
      </c>
      <c r="E7938" t="s">
        <v>16786</v>
      </c>
      <c r="F7938">
        <v>1958</v>
      </c>
      <c r="G7938" t="s">
        <v>25786</v>
      </c>
      <c r="H7938" t="s">
        <v>26623</v>
      </c>
      <c r="J7938" t="s">
        <v>16789</v>
      </c>
      <c r="K7938" s="2" t="str">
        <f>HYPERLINK("http://collections.slsa.sa.gov.au/mpcimg/14250/B14137.htm")</f>
        <v>http://collections.slsa.sa.gov.au/mpcimg/14250/B14137.htm</v>
      </c>
    </row>
    <row r="7939" spans="1:11" x14ac:dyDescent="0.25">
      <c r="A7939" t="s">
        <v>26624</v>
      </c>
      <c r="B7939" s="1" t="str">
        <f>HYPERLINK("https://www.catalog.slsa.sa.gov.au/record=b2057526")</f>
        <v>https://www.catalog.slsa.sa.gov.au/record=b2057526</v>
      </c>
      <c r="C7939" s="1" t="str">
        <f>HYPERLINK("https://www.catalog.slsa.sa.gov.au/xrecord=b2057526")</f>
        <v>https://www.catalog.slsa.sa.gov.au/xrecord=b2057526</v>
      </c>
      <c r="D7939" t="s">
        <v>16831</v>
      </c>
      <c r="E7939" t="s">
        <v>26625</v>
      </c>
      <c r="F7939">
        <v>1958</v>
      </c>
      <c r="G7939" t="s">
        <v>25786</v>
      </c>
      <c r="H7939" t="s">
        <v>26626</v>
      </c>
      <c r="J7939" t="s">
        <v>16789</v>
      </c>
      <c r="K7939" s="2" t="str">
        <f>HYPERLINK("http://collections.slsa.sa.gov.au/mpcimg/14250/B14173.htm")</f>
        <v>http://collections.slsa.sa.gov.au/mpcimg/14250/B14173.htm</v>
      </c>
    </row>
    <row r="7940" spans="1:11" x14ac:dyDescent="0.25">
      <c r="A7940" t="s">
        <v>26627</v>
      </c>
      <c r="B7940" s="1" t="str">
        <f>HYPERLINK("https://www.catalog.slsa.sa.gov.au/record=b2057703")</f>
        <v>https://www.catalog.slsa.sa.gov.au/record=b2057703</v>
      </c>
      <c r="C7940" s="1" t="str">
        <f>HYPERLINK("https://www.catalog.slsa.sa.gov.au/xrecord=b2057703")</f>
        <v>https://www.catalog.slsa.sa.gov.au/xrecord=b2057703</v>
      </c>
      <c r="D7940" t="s">
        <v>16831</v>
      </c>
      <c r="E7940" t="s">
        <v>16791</v>
      </c>
      <c r="F7940">
        <v>1958</v>
      </c>
      <c r="G7940" t="s">
        <v>25786</v>
      </c>
      <c r="H7940" t="s">
        <v>26628</v>
      </c>
      <c r="J7940" t="s">
        <v>22800</v>
      </c>
      <c r="K7940" s="2" t="str">
        <f>HYPERLINK("http://collections.slsa.sa.gov.au/mpcimg/14000/B14000.htm")</f>
        <v>http://collections.slsa.sa.gov.au/mpcimg/14000/B14000.htm</v>
      </c>
    </row>
    <row r="7941" spans="1:11" x14ac:dyDescent="0.25">
      <c r="A7941" t="s">
        <v>26629</v>
      </c>
      <c r="B7941" s="1" t="str">
        <f>HYPERLINK("https://www.catalog.slsa.sa.gov.au/record=b2057767")</f>
        <v>https://www.catalog.slsa.sa.gov.au/record=b2057767</v>
      </c>
      <c r="C7941" s="1" t="str">
        <f>HYPERLINK("https://www.catalog.slsa.sa.gov.au/xrecord=b2057767")</f>
        <v>https://www.catalog.slsa.sa.gov.au/xrecord=b2057767</v>
      </c>
      <c r="D7941" t="s">
        <v>16831</v>
      </c>
      <c r="E7941" t="s">
        <v>25872</v>
      </c>
      <c r="F7941">
        <v>1958</v>
      </c>
      <c r="G7941" t="s">
        <v>25786</v>
      </c>
      <c r="H7941" t="s">
        <v>26630</v>
      </c>
      <c r="J7941" t="s">
        <v>26631</v>
      </c>
      <c r="K7941" s="2" t="str">
        <f>HYPERLINK("http://collections.slsa.sa.gov.au/mpcimg/14250/B14165.htm")</f>
        <v>http://collections.slsa.sa.gov.au/mpcimg/14250/B14165.htm</v>
      </c>
    </row>
    <row r="7942" spans="1:11" x14ac:dyDescent="0.25">
      <c r="A7942" t="s">
        <v>26632</v>
      </c>
      <c r="B7942" s="1" t="str">
        <f>HYPERLINK("https://www.catalog.slsa.sa.gov.au/record=b2057809")</f>
        <v>https://www.catalog.slsa.sa.gov.au/record=b2057809</v>
      </c>
      <c r="C7942" s="1" t="str">
        <f>HYPERLINK("https://www.catalog.slsa.sa.gov.au/xrecord=b2057809")</f>
        <v>https://www.catalog.slsa.sa.gov.au/xrecord=b2057809</v>
      </c>
      <c r="D7942" t="s">
        <v>16831</v>
      </c>
      <c r="E7942" t="s">
        <v>16791</v>
      </c>
      <c r="F7942">
        <v>1958</v>
      </c>
      <c r="G7942" t="s">
        <v>25786</v>
      </c>
      <c r="H7942" t="s">
        <v>26633</v>
      </c>
      <c r="J7942" t="s">
        <v>26634</v>
      </c>
      <c r="K7942" s="2" t="str">
        <f>HYPERLINK("http://collections.slsa.sa.gov.au/mpcimg/14250/B14124.htm")</f>
        <v>http://collections.slsa.sa.gov.au/mpcimg/14250/B14124.htm</v>
      </c>
    </row>
    <row r="7943" spans="1:11" x14ac:dyDescent="0.25">
      <c r="A7943" t="s">
        <v>26635</v>
      </c>
      <c r="B7943" s="1" t="str">
        <f>HYPERLINK("https://www.catalog.slsa.sa.gov.au/record=b2057936")</f>
        <v>https://www.catalog.slsa.sa.gov.au/record=b2057936</v>
      </c>
      <c r="C7943" s="1" t="str">
        <f>HYPERLINK("https://www.catalog.slsa.sa.gov.au/xrecord=b2057936")</f>
        <v>https://www.catalog.slsa.sa.gov.au/xrecord=b2057936</v>
      </c>
      <c r="D7943" t="s">
        <v>16831</v>
      </c>
      <c r="E7943" t="s">
        <v>24106</v>
      </c>
      <c r="F7943">
        <v>1958</v>
      </c>
      <c r="G7943" t="s">
        <v>25786</v>
      </c>
      <c r="H7943" t="s">
        <v>26636</v>
      </c>
      <c r="J7943" t="s">
        <v>24108</v>
      </c>
      <c r="K7943" s="2" t="str">
        <f>HYPERLINK("http://collections.slsa.sa.gov.au/mpcimg/14250/B14090.htm")</f>
        <v>http://collections.slsa.sa.gov.au/mpcimg/14250/B14090.htm</v>
      </c>
    </row>
    <row r="7944" spans="1:11" x14ac:dyDescent="0.25">
      <c r="A7944" t="s">
        <v>26637</v>
      </c>
      <c r="B7944" s="1" t="str">
        <f>HYPERLINK("https://www.catalog.slsa.sa.gov.au/record=b2058145")</f>
        <v>https://www.catalog.slsa.sa.gov.au/record=b2058145</v>
      </c>
      <c r="C7944" s="1" t="str">
        <f>HYPERLINK("https://www.catalog.slsa.sa.gov.au/xrecord=b2058145")</f>
        <v>https://www.catalog.slsa.sa.gov.au/xrecord=b2058145</v>
      </c>
      <c r="D7944" t="s">
        <v>16831</v>
      </c>
      <c r="E7944" t="s">
        <v>16771</v>
      </c>
      <c r="F7944">
        <v>1958</v>
      </c>
      <c r="G7944" t="s">
        <v>25786</v>
      </c>
      <c r="H7944" t="s">
        <v>26638</v>
      </c>
      <c r="J7944" t="s">
        <v>16808</v>
      </c>
      <c r="K7944" s="2" t="str">
        <f>HYPERLINK("http://collections.slsa.sa.gov.au/mpcimg/14250/B14060.htm")</f>
        <v>http://collections.slsa.sa.gov.au/mpcimg/14250/B14060.htm</v>
      </c>
    </row>
    <row r="7945" spans="1:11" x14ac:dyDescent="0.25">
      <c r="A7945" t="s">
        <v>26639</v>
      </c>
      <c r="B7945" s="1" t="str">
        <f>HYPERLINK("https://www.catalog.slsa.sa.gov.au/record=b2058234")</f>
        <v>https://www.catalog.slsa.sa.gov.au/record=b2058234</v>
      </c>
      <c r="C7945" s="1" t="str">
        <f>HYPERLINK("https://www.catalog.slsa.sa.gov.au/xrecord=b2058234")</f>
        <v>https://www.catalog.slsa.sa.gov.au/xrecord=b2058234</v>
      </c>
      <c r="D7945" t="s">
        <v>16831</v>
      </c>
      <c r="E7945" t="s">
        <v>20970</v>
      </c>
      <c r="F7945">
        <v>1958</v>
      </c>
      <c r="G7945" t="s">
        <v>25786</v>
      </c>
      <c r="H7945" t="s">
        <v>26640</v>
      </c>
      <c r="J7945" t="s">
        <v>24123</v>
      </c>
      <c r="K7945" s="2" t="str">
        <f>HYPERLINK("http://collections.slsa.sa.gov.au/mpcimg/14250/B14107.htm")</f>
        <v>http://collections.slsa.sa.gov.au/mpcimg/14250/B14107.htm</v>
      </c>
    </row>
    <row r="7946" spans="1:11" x14ac:dyDescent="0.25">
      <c r="A7946" t="s">
        <v>26641</v>
      </c>
      <c r="B7946" s="1" t="str">
        <f>HYPERLINK("https://www.catalog.slsa.sa.gov.au/record=b2058286")</f>
        <v>https://www.catalog.slsa.sa.gov.au/record=b2058286</v>
      </c>
      <c r="C7946" s="1" t="str">
        <f>HYPERLINK("https://www.catalog.slsa.sa.gov.au/xrecord=b2058286")</f>
        <v>https://www.catalog.slsa.sa.gov.au/xrecord=b2058286</v>
      </c>
      <c r="D7946" t="s">
        <v>16831</v>
      </c>
      <c r="E7946" t="s">
        <v>20970</v>
      </c>
      <c r="F7946">
        <v>1958</v>
      </c>
      <c r="G7946" t="s">
        <v>25786</v>
      </c>
      <c r="H7946" t="s">
        <v>26642</v>
      </c>
      <c r="J7946" t="s">
        <v>25853</v>
      </c>
      <c r="K7946" s="2" t="str">
        <f>HYPERLINK("http://collections.slsa.sa.gov.au/mpcimg/14250/B14046.htm")</f>
        <v>http://collections.slsa.sa.gov.au/mpcimg/14250/B14046.htm</v>
      </c>
    </row>
    <row r="7947" spans="1:11" x14ac:dyDescent="0.25">
      <c r="A7947" t="s">
        <v>26643</v>
      </c>
      <c r="B7947" s="1" t="str">
        <f>HYPERLINK("https://www.catalog.slsa.sa.gov.au/record=b2058287")</f>
        <v>https://www.catalog.slsa.sa.gov.au/record=b2058287</v>
      </c>
      <c r="C7947" s="1" t="str">
        <f>HYPERLINK("https://www.catalog.slsa.sa.gov.au/xrecord=b2058287")</f>
        <v>https://www.catalog.slsa.sa.gov.au/xrecord=b2058287</v>
      </c>
      <c r="D7947" t="s">
        <v>16831</v>
      </c>
      <c r="E7947" t="s">
        <v>26644</v>
      </c>
      <c r="F7947">
        <v>1958</v>
      </c>
      <c r="G7947" t="s">
        <v>25786</v>
      </c>
      <c r="H7947" t="s">
        <v>26645</v>
      </c>
      <c r="J7947" t="s">
        <v>25853</v>
      </c>
      <c r="K7947" s="2" t="str">
        <f>HYPERLINK("http://collections.slsa.sa.gov.au/mpcimg/14250/B14047.htm")</f>
        <v>http://collections.slsa.sa.gov.au/mpcimg/14250/B14047.htm</v>
      </c>
    </row>
    <row r="7948" spans="1:11" x14ac:dyDescent="0.25">
      <c r="A7948" t="s">
        <v>26646</v>
      </c>
      <c r="B7948" s="1" t="str">
        <f>HYPERLINK("https://www.catalog.slsa.sa.gov.au/record=b2058288")</f>
        <v>https://www.catalog.slsa.sa.gov.au/record=b2058288</v>
      </c>
      <c r="C7948" s="1" t="str">
        <f>HYPERLINK("https://www.catalog.slsa.sa.gov.au/xrecord=b2058288")</f>
        <v>https://www.catalog.slsa.sa.gov.au/xrecord=b2058288</v>
      </c>
      <c r="D7948" t="s">
        <v>16831</v>
      </c>
      <c r="E7948" t="s">
        <v>25851</v>
      </c>
      <c r="F7948">
        <v>1958</v>
      </c>
      <c r="G7948" t="s">
        <v>25786</v>
      </c>
      <c r="H7948" t="s">
        <v>26647</v>
      </c>
      <c r="J7948" t="s">
        <v>25853</v>
      </c>
      <c r="K7948" s="2" t="str">
        <f>HYPERLINK("http://collections.slsa.sa.gov.au/mpcimg/14250/B14048.htm")</f>
        <v>http://collections.slsa.sa.gov.au/mpcimg/14250/B14048.htm</v>
      </c>
    </row>
    <row r="7949" spans="1:11" x14ac:dyDescent="0.25">
      <c r="A7949" t="s">
        <v>26648</v>
      </c>
      <c r="B7949" s="1" t="str">
        <f>HYPERLINK("https://www.catalog.slsa.sa.gov.au/record=b2058312")</f>
        <v>https://www.catalog.slsa.sa.gov.au/record=b2058312</v>
      </c>
      <c r="C7949" s="1" t="str">
        <f>HYPERLINK("https://www.catalog.slsa.sa.gov.au/xrecord=b2058312")</f>
        <v>https://www.catalog.slsa.sa.gov.au/xrecord=b2058312</v>
      </c>
      <c r="D7949" t="s">
        <v>16831</v>
      </c>
      <c r="E7949" t="s">
        <v>20974</v>
      </c>
      <c r="F7949">
        <v>1958</v>
      </c>
      <c r="G7949" t="s">
        <v>25786</v>
      </c>
      <c r="H7949" t="s">
        <v>26649</v>
      </c>
      <c r="J7949" t="s">
        <v>20976</v>
      </c>
      <c r="K7949" s="2" t="str">
        <f>HYPERLINK("http://collections.slsa.sa.gov.au/mpcimg/14250/B14076.htm")</f>
        <v>http://collections.slsa.sa.gov.au/mpcimg/14250/B14076.htm</v>
      </c>
    </row>
    <row r="7950" spans="1:11" x14ac:dyDescent="0.25">
      <c r="A7950" t="s">
        <v>26650</v>
      </c>
      <c r="B7950" s="1" t="str">
        <f>HYPERLINK("https://www.catalog.slsa.sa.gov.au/record=b2058313")</f>
        <v>https://www.catalog.slsa.sa.gov.au/record=b2058313</v>
      </c>
      <c r="C7950" s="1" t="str">
        <f>HYPERLINK("https://www.catalog.slsa.sa.gov.au/xrecord=b2058313")</f>
        <v>https://www.catalog.slsa.sa.gov.au/xrecord=b2058313</v>
      </c>
      <c r="D7950" t="s">
        <v>16831</v>
      </c>
      <c r="E7950" t="s">
        <v>20974</v>
      </c>
      <c r="F7950">
        <v>1958</v>
      </c>
      <c r="G7950" t="s">
        <v>25786</v>
      </c>
      <c r="H7950" t="s">
        <v>26651</v>
      </c>
      <c r="J7950" t="s">
        <v>20976</v>
      </c>
      <c r="K7950" s="2" t="str">
        <f>HYPERLINK("http://collections.slsa.sa.gov.au/mpcimg/14250/B14174.htm")</f>
        <v>http://collections.slsa.sa.gov.au/mpcimg/14250/B14174.htm</v>
      </c>
    </row>
    <row r="7951" spans="1:11" x14ac:dyDescent="0.25">
      <c r="A7951" t="s">
        <v>26652</v>
      </c>
      <c r="B7951" s="1" t="str">
        <f>HYPERLINK("https://www.catalog.slsa.sa.gov.au/record=b2058824")</f>
        <v>https://www.catalog.slsa.sa.gov.au/record=b2058824</v>
      </c>
      <c r="C7951" s="1" t="str">
        <f>HYPERLINK("https://www.catalog.slsa.sa.gov.au/xrecord=b2058824")</f>
        <v>https://www.catalog.slsa.sa.gov.au/xrecord=b2058824</v>
      </c>
      <c r="D7951" t="s">
        <v>16831</v>
      </c>
      <c r="E7951" t="s">
        <v>16796</v>
      </c>
      <c r="F7951">
        <v>1958</v>
      </c>
      <c r="G7951" t="s">
        <v>25786</v>
      </c>
      <c r="H7951" t="s">
        <v>26653</v>
      </c>
      <c r="J7951" t="s">
        <v>21000</v>
      </c>
      <c r="K7951" s="2" t="str">
        <f>HYPERLINK("http://collections.slsa.sa.gov.au/mpcimg/14250/B14123.htm")</f>
        <v>http://collections.slsa.sa.gov.au/mpcimg/14250/B14123.htm</v>
      </c>
    </row>
    <row r="7952" spans="1:11" x14ac:dyDescent="0.25">
      <c r="A7952" t="s">
        <v>26654</v>
      </c>
      <c r="B7952" s="1" t="str">
        <f>HYPERLINK("https://www.catalog.slsa.sa.gov.au/record=b2058829")</f>
        <v>https://www.catalog.slsa.sa.gov.au/record=b2058829</v>
      </c>
      <c r="C7952" s="1" t="str">
        <f>HYPERLINK("https://www.catalog.slsa.sa.gov.au/xrecord=b2058829")</f>
        <v>https://www.catalog.slsa.sa.gov.au/xrecord=b2058829</v>
      </c>
      <c r="D7952" t="s">
        <v>16831</v>
      </c>
      <c r="E7952" t="s">
        <v>16796</v>
      </c>
      <c r="F7952">
        <v>1958</v>
      </c>
      <c r="G7952" t="s">
        <v>25786</v>
      </c>
      <c r="H7952" t="s">
        <v>26655</v>
      </c>
      <c r="J7952" t="s">
        <v>26656</v>
      </c>
      <c r="K7952" s="2" t="str">
        <f>HYPERLINK("http://collections.slsa.sa.gov.au/mpcimg/14250/B14114.htm")</f>
        <v>http://collections.slsa.sa.gov.au/mpcimg/14250/B14114.htm</v>
      </c>
    </row>
    <row r="7953" spans="1:11" x14ac:dyDescent="0.25">
      <c r="A7953" t="s">
        <v>26657</v>
      </c>
      <c r="B7953" s="1" t="str">
        <f>HYPERLINK("https://www.catalog.slsa.sa.gov.au/record=b2058869")</f>
        <v>https://www.catalog.slsa.sa.gov.au/record=b2058869</v>
      </c>
      <c r="C7953" s="1" t="str">
        <f>HYPERLINK("https://www.catalog.slsa.sa.gov.au/xrecord=b2058869")</f>
        <v>https://www.catalog.slsa.sa.gov.au/xrecord=b2058869</v>
      </c>
      <c r="D7953" t="s">
        <v>16831</v>
      </c>
      <c r="E7953" t="s">
        <v>16796</v>
      </c>
      <c r="F7953">
        <v>1958</v>
      </c>
      <c r="G7953" t="s">
        <v>25786</v>
      </c>
      <c r="H7953" t="s">
        <v>26658</v>
      </c>
      <c r="J7953" t="s">
        <v>25867</v>
      </c>
      <c r="K7953" s="2" t="str">
        <f>HYPERLINK("http://collections.slsa.sa.gov.au/mpcimg/14250/B14003.htm")</f>
        <v>http://collections.slsa.sa.gov.au/mpcimg/14250/B14003.htm</v>
      </c>
    </row>
    <row r="7954" spans="1:11" x14ac:dyDescent="0.25">
      <c r="A7954" t="s">
        <v>26659</v>
      </c>
      <c r="B7954" s="1" t="str">
        <f>HYPERLINK("https://www.catalog.slsa.sa.gov.au/record=b2058877")</f>
        <v>https://www.catalog.slsa.sa.gov.au/record=b2058877</v>
      </c>
      <c r="C7954" s="1" t="str">
        <f>HYPERLINK("https://www.catalog.slsa.sa.gov.au/xrecord=b2058877")</f>
        <v>https://www.catalog.slsa.sa.gov.au/xrecord=b2058877</v>
      </c>
      <c r="D7954" t="s">
        <v>16831</v>
      </c>
      <c r="E7954" t="s">
        <v>16796</v>
      </c>
      <c r="F7954">
        <v>1958</v>
      </c>
      <c r="G7954" t="s">
        <v>25786</v>
      </c>
      <c r="H7954" t="s">
        <v>26660</v>
      </c>
      <c r="J7954" t="s">
        <v>24166</v>
      </c>
      <c r="K7954" s="2" t="str">
        <f>HYPERLINK("http://collections.slsa.sa.gov.au/mpcimg/14250/B14007.htm")</f>
        <v>http://collections.slsa.sa.gov.au/mpcimg/14250/B14007.htm</v>
      </c>
    </row>
    <row r="7955" spans="1:11" x14ac:dyDescent="0.25">
      <c r="A7955" t="s">
        <v>26661</v>
      </c>
      <c r="B7955" s="1" t="str">
        <f>HYPERLINK("https://www.catalog.slsa.sa.gov.au/record=b2059068")</f>
        <v>https://www.catalog.slsa.sa.gov.au/record=b2059068</v>
      </c>
      <c r="C7955" s="1" t="str">
        <f>HYPERLINK("https://www.catalog.slsa.sa.gov.au/xrecord=b2059068")</f>
        <v>https://www.catalog.slsa.sa.gov.au/xrecord=b2059068</v>
      </c>
      <c r="D7955" t="s">
        <v>16831</v>
      </c>
      <c r="E7955" t="s">
        <v>15191</v>
      </c>
      <c r="F7955">
        <v>1958</v>
      </c>
      <c r="G7955" t="s">
        <v>25786</v>
      </c>
      <c r="H7955" t="s">
        <v>26662</v>
      </c>
      <c r="J7955" t="s">
        <v>25888</v>
      </c>
      <c r="K7955" s="2" t="str">
        <f>HYPERLINK("http://collections.slsa.sa.gov.au/mpcimg/14250/B14058.htm")</f>
        <v>http://collections.slsa.sa.gov.au/mpcimg/14250/B14058.htm</v>
      </c>
    </row>
    <row r="7956" spans="1:11" x14ac:dyDescent="0.25">
      <c r="A7956" t="s">
        <v>26663</v>
      </c>
      <c r="B7956" s="1" t="str">
        <f>HYPERLINK("https://www.catalog.slsa.sa.gov.au/record=b2059069")</f>
        <v>https://www.catalog.slsa.sa.gov.au/record=b2059069</v>
      </c>
      <c r="C7956" s="1" t="str">
        <f>HYPERLINK("https://www.catalog.slsa.sa.gov.au/xrecord=b2059069")</f>
        <v>https://www.catalog.slsa.sa.gov.au/xrecord=b2059069</v>
      </c>
      <c r="D7956" t="s">
        <v>16831</v>
      </c>
      <c r="E7956" t="s">
        <v>20933</v>
      </c>
      <c r="F7956">
        <v>1958</v>
      </c>
      <c r="G7956" t="s">
        <v>25786</v>
      </c>
      <c r="H7956" t="s">
        <v>26664</v>
      </c>
      <c r="J7956" t="s">
        <v>25888</v>
      </c>
      <c r="K7956" s="2" t="str">
        <f>HYPERLINK("http://collections.slsa.sa.gov.au/mpcimg/14250/B14059.htm")</f>
        <v>http://collections.slsa.sa.gov.au/mpcimg/14250/B14059.htm</v>
      </c>
    </row>
    <row r="7957" spans="1:11" x14ac:dyDescent="0.25">
      <c r="A7957" t="s">
        <v>26665</v>
      </c>
      <c r="B7957" s="1" t="str">
        <f>HYPERLINK("https://www.catalog.slsa.sa.gov.au/record=b2059481")</f>
        <v>https://www.catalog.slsa.sa.gov.au/record=b2059481</v>
      </c>
      <c r="C7957" s="1" t="str">
        <f>HYPERLINK("https://www.catalog.slsa.sa.gov.au/xrecord=b2059481")</f>
        <v>https://www.catalog.slsa.sa.gov.au/xrecord=b2059481</v>
      </c>
      <c r="D7957" t="s">
        <v>16831</v>
      </c>
      <c r="E7957" t="s">
        <v>20096</v>
      </c>
      <c r="F7957">
        <v>1958</v>
      </c>
      <c r="G7957" t="s">
        <v>25786</v>
      </c>
      <c r="H7957" t="s">
        <v>26666</v>
      </c>
      <c r="J7957" t="s">
        <v>25908</v>
      </c>
      <c r="K7957" s="2" t="str">
        <f>HYPERLINK("http://collections.slsa.sa.gov.au/mpcimg/14250/B14189.htm")</f>
        <v>http://collections.slsa.sa.gov.au/mpcimg/14250/B14189.htm</v>
      </c>
    </row>
    <row r="7958" spans="1:11" x14ac:dyDescent="0.25">
      <c r="A7958" t="s">
        <v>26667</v>
      </c>
      <c r="B7958" s="1" t="str">
        <f>HYPERLINK("https://www.catalog.slsa.sa.gov.au/record=b2059557")</f>
        <v>https://www.catalog.slsa.sa.gov.au/record=b2059557</v>
      </c>
      <c r="C7958" s="1" t="str">
        <f>HYPERLINK("https://www.catalog.slsa.sa.gov.au/xrecord=b2059557")</f>
        <v>https://www.catalog.slsa.sa.gov.au/xrecord=b2059557</v>
      </c>
      <c r="D7958" t="s">
        <v>16831</v>
      </c>
      <c r="E7958" t="s">
        <v>20096</v>
      </c>
      <c r="F7958">
        <v>1958</v>
      </c>
      <c r="G7958" t="s">
        <v>25786</v>
      </c>
      <c r="H7958" t="s">
        <v>26668</v>
      </c>
      <c r="J7958" t="s">
        <v>25382</v>
      </c>
      <c r="K7958" s="2" t="str">
        <f>HYPERLINK("http://collections.slsa.sa.gov.au/mpcimg/14250/B14029.htm")</f>
        <v>http://collections.slsa.sa.gov.au/mpcimg/14250/B14029.htm</v>
      </c>
    </row>
    <row r="7959" spans="1:11" x14ac:dyDescent="0.25">
      <c r="A7959" t="s">
        <v>26669</v>
      </c>
      <c r="B7959" s="1" t="str">
        <f>HYPERLINK("https://www.catalog.slsa.sa.gov.au/record=b2059558")</f>
        <v>https://www.catalog.slsa.sa.gov.au/record=b2059558</v>
      </c>
      <c r="C7959" s="1" t="str">
        <f>HYPERLINK("https://www.catalog.slsa.sa.gov.au/xrecord=b2059558")</f>
        <v>https://www.catalog.slsa.sa.gov.au/xrecord=b2059558</v>
      </c>
      <c r="D7959" t="s">
        <v>16831</v>
      </c>
      <c r="E7959" t="s">
        <v>26670</v>
      </c>
      <c r="F7959">
        <v>1958</v>
      </c>
      <c r="G7959" t="s">
        <v>25786</v>
      </c>
      <c r="H7959" t="s">
        <v>26671</v>
      </c>
      <c r="J7959" t="s">
        <v>25382</v>
      </c>
      <c r="K7959" s="2" t="str">
        <f>HYPERLINK("http://collections.slsa.sa.gov.au/mpcimg/14250/B14070.htm")</f>
        <v>http://collections.slsa.sa.gov.au/mpcimg/14250/B14070.htm</v>
      </c>
    </row>
    <row r="7960" spans="1:11" x14ac:dyDescent="0.25">
      <c r="A7960" t="s">
        <v>26672</v>
      </c>
      <c r="B7960" s="1" t="str">
        <f>HYPERLINK("https://www.catalog.slsa.sa.gov.au/record=b2059559")</f>
        <v>https://www.catalog.slsa.sa.gov.au/record=b2059559</v>
      </c>
      <c r="C7960" s="1" t="str">
        <f>HYPERLINK("https://www.catalog.slsa.sa.gov.au/xrecord=b2059559")</f>
        <v>https://www.catalog.slsa.sa.gov.au/xrecord=b2059559</v>
      </c>
      <c r="D7960" t="s">
        <v>16831</v>
      </c>
      <c r="E7960" t="s">
        <v>26670</v>
      </c>
      <c r="F7960">
        <v>1958</v>
      </c>
      <c r="G7960" t="s">
        <v>25786</v>
      </c>
      <c r="H7960" t="s">
        <v>26673</v>
      </c>
      <c r="J7960" t="s">
        <v>25382</v>
      </c>
      <c r="K7960" s="2" t="str">
        <f>HYPERLINK("http://collections.slsa.sa.gov.au/mpcimg/14250/B14071.htm")</f>
        <v>http://collections.slsa.sa.gov.au/mpcimg/14250/B14071.htm</v>
      </c>
    </row>
    <row r="7961" spans="1:11" x14ac:dyDescent="0.25">
      <c r="A7961" t="s">
        <v>26674</v>
      </c>
      <c r="B7961" s="1" t="str">
        <f>HYPERLINK("https://www.catalog.slsa.sa.gov.au/record=b2059560")</f>
        <v>https://www.catalog.slsa.sa.gov.au/record=b2059560</v>
      </c>
      <c r="C7961" s="1" t="str">
        <f>HYPERLINK("https://www.catalog.slsa.sa.gov.au/xrecord=b2059560")</f>
        <v>https://www.catalog.slsa.sa.gov.au/xrecord=b2059560</v>
      </c>
      <c r="D7961" t="s">
        <v>16831</v>
      </c>
      <c r="E7961" t="s">
        <v>20096</v>
      </c>
      <c r="F7961">
        <v>1958</v>
      </c>
      <c r="G7961" t="s">
        <v>25786</v>
      </c>
      <c r="H7961" t="s">
        <v>26675</v>
      </c>
      <c r="J7961" t="s">
        <v>25382</v>
      </c>
      <c r="K7961" s="2" t="str">
        <f>HYPERLINK("http://collections.slsa.sa.gov.au/mpcimg/14250/B14172.htm")</f>
        <v>http://collections.slsa.sa.gov.au/mpcimg/14250/B14172.htm</v>
      </c>
    </row>
    <row r="7962" spans="1:11" x14ac:dyDescent="0.25">
      <c r="A7962" t="s">
        <v>26676</v>
      </c>
      <c r="B7962" s="1" t="str">
        <f>HYPERLINK("https://www.catalog.slsa.sa.gov.au/record=b2059575")</f>
        <v>https://www.catalog.slsa.sa.gov.au/record=b2059575</v>
      </c>
      <c r="C7962" s="1" t="str">
        <f>HYPERLINK("https://www.catalog.slsa.sa.gov.au/xrecord=b2059575")</f>
        <v>https://www.catalog.slsa.sa.gov.au/xrecord=b2059575</v>
      </c>
      <c r="D7962" t="s">
        <v>16831</v>
      </c>
      <c r="E7962" t="s">
        <v>20096</v>
      </c>
      <c r="F7962">
        <v>1958</v>
      </c>
      <c r="G7962" t="s">
        <v>25786</v>
      </c>
      <c r="H7962" t="s">
        <v>26677</v>
      </c>
      <c r="J7962" t="s">
        <v>24214</v>
      </c>
      <c r="K7962" s="2" t="str">
        <f>HYPERLINK("http://collections.slsa.sa.gov.au/mpcimg/14250/B14028.htm")</f>
        <v>http://collections.slsa.sa.gov.au/mpcimg/14250/B14028.htm</v>
      </c>
    </row>
    <row r="7963" spans="1:11" x14ac:dyDescent="0.25">
      <c r="A7963" t="s">
        <v>26678</v>
      </c>
      <c r="B7963" s="1" t="str">
        <f>HYPERLINK("https://www.catalog.slsa.sa.gov.au/record=b2059577")</f>
        <v>https://www.catalog.slsa.sa.gov.au/record=b2059577</v>
      </c>
      <c r="C7963" s="1" t="str">
        <f>HYPERLINK("https://www.catalog.slsa.sa.gov.au/xrecord=b2059577")</f>
        <v>https://www.catalog.slsa.sa.gov.au/xrecord=b2059577</v>
      </c>
      <c r="D7963" t="s">
        <v>16831</v>
      </c>
      <c r="E7963" t="s">
        <v>24362</v>
      </c>
      <c r="F7963">
        <v>1958</v>
      </c>
      <c r="G7963" t="s">
        <v>25786</v>
      </c>
      <c r="H7963" t="s">
        <v>26679</v>
      </c>
      <c r="J7963" t="s">
        <v>26680</v>
      </c>
      <c r="K7963" s="2" t="str">
        <f>HYPERLINK("http://collections.slsa.sa.gov.au/mpcimg/14250/B14072.htm")</f>
        <v>http://collections.slsa.sa.gov.au/mpcimg/14250/B14072.htm</v>
      </c>
    </row>
    <row r="7964" spans="1:11" x14ac:dyDescent="0.25">
      <c r="A7964" t="s">
        <v>26681</v>
      </c>
      <c r="B7964" s="1" t="str">
        <f>HYPERLINK("https://www.catalog.slsa.sa.gov.au/record=b2059578")</f>
        <v>https://www.catalog.slsa.sa.gov.au/record=b2059578</v>
      </c>
      <c r="C7964" s="1" t="str">
        <f>HYPERLINK("https://www.catalog.slsa.sa.gov.au/xrecord=b2059578")</f>
        <v>https://www.catalog.slsa.sa.gov.au/xrecord=b2059578</v>
      </c>
      <c r="D7964" t="s">
        <v>16831</v>
      </c>
      <c r="E7964" t="s">
        <v>24362</v>
      </c>
      <c r="F7964">
        <v>1958</v>
      </c>
      <c r="G7964" t="s">
        <v>25786</v>
      </c>
      <c r="H7964" t="s">
        <v>26682</v>
      </c>
      <c r="J7964" t="s">
        <v>26680</v>
      </c>
      <c r="K7964" s="2" t="str">
        <f>HYPERLINK("http://collections.slsa.sa.gov.au/mpcimg/14250/B14073.htm")</f>
        <v>http://collections.slsa.sa.gov.au/mpcimg/14250/B14073.htm</v>
      </c>
    </row>
    <row r="7965" spans="1:11" x14ac:dyDescent="0.25">
      <c r="A7965" t="s">
        <v>26683</v>
      </c>
      <c r="B7965" s="1" t="str">
        <f>HYPERLINK("https://www.catalog.slsa.sa.gov.au/record=b2059589")</f>
        <v>https://www.catalog.slsa.sa.gov.au/record=b2059589</v>
      </c>
      <c r="C7965" s="1" t="str">
        <f>HYPERLINK("https://www.catalog.slsa.sa.gov.au/xrecord=b2059589")</f>
        <v>https://www.catalog.slsa.sa.gov.au/xrecord=b2059589</v>
      </c>
      <c r="D7965" t="s">
        <v>16831</v>
      </c>
      <c r="E7965" t="s">
        <v>22149</v>
      </c>
      <c r="F7965">
        <v>1958</v>
      </c>
      <c r="G7965" t="s">
        <v>25786</v>
      </c>
      <c r="H7965" t="s">
        <v>26684</v>
      </c>
      <c r="J7965" t="s">
        <v>25390</v>
      </c>
      <c r="K7965" s="2" t="str">
        <f>HYPERLINK("http://collections.slsa.sa.gov.au/mpcimg/14250/B14031.htm")</f>
        <v>http://collections.slsa.sa.gov.au/mpcimg/14250/B14031.htm</v>
      </c>
    </row>
    <row r="7966" spans="1:11" x14ac:dyDescent="0.25">
      <c r="A7966" t="s">
        <v>26685</v>
      </c>
      <c r="B7966" s="1" t="str">
        <f>HYPERLINK("https://www.catalog.slsa.sa.gov.au/record=b2059928")</f>
        <v>https://www.catalog.slsa.sa.gov.au/record=b2059928</v>
      </c>
      <c r="C7966" s="1" t="str">
        <f>HYPERLINK("https://www.catalog.slsa.sa.gov.au/xrecord=b2059928")</f>
        <v>https://www.catalog.slsa.sa.gov.au/xrecord=b2059928</v>
      </c>
      <c r="D7966" t="s">
        <v>16831</v>
      </c>
      <c r="E7966" t="s">
        <v>20100</v>
      </c>
      <c r="F7966">
        <v>1958</v>
      </c>
      <c r="G7966" t="s">
        <v>25786</v>
      </c>
      <c r="H7966" t="s">
        <v>26686</v>
      </c>
      <c r="J7966" t="s">
        <v>25931</v>
      </c>
      <c r="K7966" s="2" t="str">
        <f>HYPERLINK("http://collections.slsa.sa.gov.au/mpcimg/14250/B14001.htm")</f>
        <v>http://collections.slsa.sa.gov.au/mpcimg/14250/B14001.htm</v>
      </c>
    </row>
    <row r="7967" spans="1:11" x14ac:dyDescent="0.25">
      <c r="A7967" t="s">
        <v>26687</v>
      </c>
      <c r="B7967" s="1" t="str">
        <f>HYPERLINK("https://www.catalog.slsa.sa.gov.au/record=b2059929")</f>
        <v>https://www.catalog.slsa.sa.gov.au/record=b2059929</v>
      </c>
      <c r="C7967" s="1" t="str">
        <f>HYPERLINK("https://www.catalog.slsa.sa.gov.au/xrecord=b2059929")</f>
        <v>https://www.catalog.slsa.sa.gov.au/xrecord=b2059929</v>
      </c>
      <c r="D7967" t="s">
        <v>16831</v>
      </c>
      <c r="E7967" t="s">
        <v>20100</v>
      </c>
      <c r="F7967">
        <v>1958</v>
      </c>
      <c r="G7967" t="s">
        <v>25786</v>
      </c>
      <c r="H7967" t="s">
        <v>26688</v>
      </c>
      <c r="J7967" t="s">
        <v>25931</v>
      </c>
      <c r="K7967" s="2" t="str">
        <f>HYPERLINK("http://collections.slsa.sa.gov.au/mpcimg/14250/B14132.htm")</f>
        <v>http://collections.slsa.sa.gov.au/mpcimg/14250/B14132.htm</v>
      </c>
    </row>
    <row r="7968" spans="1:11" x14ac:dyDescent="0.25">
      <c r="A7968" t="s">
        <v>26689</v>
      </c>
      <c r="B7968" s="1" t="str">
        <f>HYPERLINK("https://www.catalog.slsa.sa.gov.au/record=b2059948")</f>
        <v>https://www.catalog.slsa.sa.gov.au/record=b2059948</v>
      </c>
      <c r="C7968" s="1" t="str">
        <f>HYPERLINK("https://www.catalog.slsa.sa.gov.au/xrecord=b2059948")</f>
        <v>https://www.catalog.slsa.sa.gov.au/xrecord=b2059948</v>
      </c>
      <c r="D7968" t="s">
        <v>16831</v>
      </c>
      <c r="E7968" t="s">
        <v>20100</v>
      </c>
      <c r="F7968">
        <v>1958</v>
      </c>
      <c r="G7968" t="s">
        <v>25786</v>
      </c>
      <c r="H7968" t="s">
        <v>26690</v>
      </c>
      <c r="J7968" t="s">
        <v>21052</v>
      </c>
      <c r="K7968" s="2" t="str">
        <f>HYPERLINK("http://collections.slsa.sa.gov.au/mpcimg/14250/B14017.htm")</f>
        <v>http://collections.slsa.sa.gov.au/mpcimg/14250/B14017.htm</v>
      </c>
    </row>
    <row r="7969" spans="1:11" x14ac:dyDescent="0.25">
      <c r="A7969" t="s">
        <v>26691</v>
      </c>
      <c r="B7969" s="1" t="str">
        <f>HYPERLINK("https://www.catalog.slsa.sa.gov.au/record=b2059989")</f>
        <v>https://www.catalog.slsa.sa.gov.au/record=b2059989</v>
      </c>
      <c r="C7969" s="1" t="str">
        <f>HYPERLINK("https://www.catalog.slsa.sa.gov.au/xrecord=b2059989")</f>
        <v>https://www.catalog.slsa.sa.gov.au/xrecord=b2059989</v>
      </c>
      <c r="D7969" t="s">
        <v>16831</v>
      </c>
      <c r="E7969" t="s">
        <v>20100</v>
      </c>
      <c r="F7969">
        <v>1958</v>
      </c>
      <c r="G7969" t="s">
        <v>25786</v>
      </c>
      <c r="H7969" t="s">
        <v>26692</v>
      </c>
      <c r="J7969" t="s">
        <v>25934</v>
      </c>
      <c r="K7969" s="2" t="str">
        <f>HYPERLINK("http://collections.slsa.sa.gov.au/mpcimg/14250/B14106.htm")</f>
        <v>http://collections.slsa.sa.gov.au/mpcimg/14250/B14106.htm</v>
      </c>
    </row>
    <row r="7970" spans="1:11" x14ac:dyDescent="0.25">
      <c r="A7970" t="s">
        <v>26693</v>
      </c>
      <c r="B7970" s="1" t="str">
        <f>HYPERLINK("https://www.catalog.slsa.sa.gov.au/record=b2060217")</f>
        <v>https://www.catalog.slsa.sa.gov.au/record=b2060217</v>
      </c>
      <c r="C7970" s="1" t="str">
        <f>HYPERLINK("https://www.catalog.slsa.sa.gov.au/xrecord=b2060217")</f>
        <v>https://www.catalog.slsa.sa.gov.au/xrecord=b2060217</v>
      </c>
      <c r="D7970" t="s">
        <v>16831</v>
      </c>
      <c r="E7970" t="s">
        <v>22149</v>
      </c>
      <c r="F7970">
        <v>1958</v>
      </c>
      <c r="G7970" t="s">
        <v>25786</v>
      </c>
      <c r="H7970" t="s">
        <v>26694</v>
      </c>
      <c r="J7970" t="s">
        <v>24284</v>
      </c>
      <c r="K7970" s="2" t="str">
        <f>HYPERLINK("http://collections.slsa.sa.gov.au/mpcimg/14250/B14030.htm")</f>
        <v>http://collections.slsa.sa.gov.au/mpcimg/14250/B14030.htm</v>
      </c>
    </row>
    <row r="7971" spans="1:11" x14ac:dyDescent="0.25">
      <c r="A7971" t="s">
        <v>26695</v>
      </c>
      <c r="B7971" s="1" t="str">
        <f>HYPERLINK("https://www.catalog.slsa.sa.gov.au/record=b2060218")</f>
        <v>https://www.catalog.slsa.sa.gov.au/record=b2060218</v>
      </c>
      <c r="C7971" s="1" t="str">
        <f>HYPERLINK("https://www.catalog.slsa.sa.gov.au/xrecord=b2060218")</f>
        <v>https://www.catalog.slsa.sa.gov.au/xrecord=b2060218</v>
      </c>
      <c r="D7971" t="s">
        <v>16831</v>
      </c>
      <c r="E7971" t="s">
        <v>22149</v>
      </c>
      <c r="F7971">
        <v>1958</v>
      </c>
      <c r="G7971" t="s">
        <v>25786</v>
      </c>
      <c r="H7971" t="s">
        <v>26696</v>
      </c>
      <c r="J7971" t="s">
        <v>24284</v>
      </c>
      <c r="K7971" s="2" t="str">
        <f>HYPERLINK("http://collections.slsa.sa.gov.au/mpcimg/14250/B14163.htm")</f>
        <v>http://collections.slsa.sa.gov.au/mpcimg/14250/B14163.htm</v>
      </c>
    </row>
    <row r="7972" spans="1:11" x14ac:dyDescent="0.25">
      <c r="A7972" t="s">
        <v>26697</v>
      </c>
      <c r="B7972" s="1" t="str">
        <f>HYPERLINK("https://www.catalog.slsa.sa.gov.au/record=b2060264")</f>
        <v>https://www.catalog.slsa.sa.gov.au/record=b2060264</v>
      </c>
      <c r="C7972" s="1" t="str">
        <f>HYPERLINK("https://www.catalog.slsa.sa.gov.au/xrecord=b2060264")</f>
        <v>https://www.catalog.slsa.sa.gov.au/xrecord=b2060264</v>
      </c>
      <c r="D7972" t="s">
        <v>16831</v>
      </c>
      <c r="E7972" t="s">
        <v>21061</v>
      </c>
      <c r="F7972">
        <v>1958</v>
      </c>
      <c r="G7972" t="s">
        <v>25786</v>
      </c>
      <c r="H7972" t="s">
        <v>26698</v>
      </c>
      <c r="J7972" t="s">
        <v>26699</v>
      </c>
      <c r="K7972" s="2" t="str">
        <f>HYPERLINK("http://collections.slsa.sa.gov.au/mpcimg/14250/B14120.htm")</f>
        <v>http://collections.slsa.sa.gov.au/mpcimg/14250/B14120.htm</v>
      </c>
    </row>
    <row r="7973" spans="1:11" x14ac:dyDescent="0.25">
      <c r="A7973" t="s">
        <v>26700</v>
      </c>
      <c r="B7973" s="1" t="str">
        <f>HYPERLINK("https://www.catalog.slsa.sa.gov.au/record=b2060291")</f>
        <v>https://www.catalog.slsa.sa.gov.au/record=b2060291</v>
      </c>
      <c r="C7973" s="1" t="str">
        <f>HYPERLINK("https://www.catalog.slsa.sa.gov.au/xrecord=b2060291")</f>
        <v>https://www.catalog.slsa.sa.gov.au/xrecord=b2060291</v>
      </c>
      <c r="D7973" t="s">
        <v>16831</v>
      </c>
      <c r="E7973" t="s">
        <v>21061</v>
      </c>
      <c r="F7973">
        <v>1958</v>
      </c>
      <c r="G7973" t="s">
        <v>25786</v>
      </c>
      <c r="H7973" t="s">
        <v>26701</v>
      </c>
      <c r="J7973" t="s">
        <v>26702</v>
      </c>
      <c r="K7973" s="2" t="str">
        <f>HYPERLINK("http://collections.slsa.sa.gov.au/mpcimg/14250/B14191.htm")</f>
        <v>http://collections.slsa.sa.gov.au/mpcimg/14250/B14191.htm</v>
      </c>
    </row>
    <row r="7974" spans="1:11" x14ac:dyDescent="0.25">
      <c r="A7974" t="s">
        <v>26703</v>
      </c>
      <c r="B7974" s="1" t="str">
        <f>HYPERLINK("https://www.catalog.slsa.sa.gov.au/record=b2060307")</f>
        <v>https://www.catalog.slsa.sa.gov.au/record=b2060307</v>
      </c>
      <c r="C7974" s="1" t="str">
        <f>HYPERLINK("https://www.catalog.slsa.sa.gov.au/xrecord=b2060307")</f>
        <v>https://www.catalog.slsa.sa.gov.au/xrecord=b2060307</v>
      </c>
      <c r="D7974" t="s">
        <v>16831</v>
      </c>
      <c r="E7974" t="s">
        <v>21061</v>
      </c>
      <c r="F7974">
        <v>1958</v>
      </c>
      <c r="G7974" t="s">
        <v>25786</v>
      </c>
      <c r="H7974" t="s">
        <v>26704</v>
      </c>
      <c r="J7974" t="s">
        <v>21072</v>
      </c>
      <c r="K7974" s="2" t="str">
        <f>HYPERLINK("http://collections.slsa.sa.gov.au/mpcimg/14250/B14056.htm")</f>
        <v>http://collections.slsa.sa.gov.au/mpcimg/14250/B14056.htm</v>
      </c>
    </row>
    <row r="7975" spans="1:11" x14ac:dyDescent="0.25">
      <c r="A7975" t="s">
        <v>26705</v>
      </c>
      <c r="B7975" s="1" t="str">
        <f>HYPERLINK("https://www.catalog.slsa.sa.gov.au/record=b2060583")</f>
        <v>https://www.catalog.slsa.sa.gov.au/record=b2060583</v>
      </c>
      <c r="C7975" s="1" t="str">
        <f>HYPERLINK("https://www.catalog.slsa.sa.gov.au/xrecord=b2060583")</f>
        <v>https://www.catalog.slsa.sa.gov.au/xrecord=b2060583</v>
      </c>
      <c r="D7975" t="s">
        <v>16831</v>
      </c>
      <c r="E7975" t="s">
        <v>20100</v>
      </c>
      <c r="F7975">
        <v>1958</v>
      </c>
      <c r="G7975" t="s">
        <v>25786</v>
      </c>
      <c r="H7975" t="s">
        <v>26706</v>
      </c>
      <c r="J7975" t="s">
        <v>25964</v>
      </c>
      <c r="K7975" s="2" t="str">
        <f>HYPERLINK("http://collections.slsa.sa.gov.au/mpcimg/14250/B14053.htm")</f>
        <v>http://collections.slsa.sa.gov.au/mpcimg/14250/B14053.htm</v>
      </c>
    </row>
    <row r="7976" spans="1:11" x14ac:dyDescent="0.25">
      <c r="A7976" t="s">
        <v>26707</v>
      </c>
      <c r="B7976" s="1" t="str">
        <f>HYPERLINK("https://www.catalog.slsa.sa.gov.au/record=b2060755")</f>
        <v>https://www.catalog.slsa.sa.gov.au/record=b2060755</v>
      </c>
      <c r="C7976" s="1" t="str">
        <f>HYPERLINK("https://www.catalog.slsa.sa.gov.au/xrecord=b2060755")</f>
        <v>https://www.catalog.slsa.sa.gov.au/xrecord=b2060755</v>
      </c>
      <c r="D7976" t="s">
        <v>16831</v>
      </c>
      <c r="E7976" t="s">
        <v>20100</v>
      </c>
      <c r="F7976">
        <v>1958</v>
      </c>
      <c r="G7976" t="s">
        <v>25786</v>
      </c>
      <c r="H7976" t="s">
        <v>26708</v>
      </c>
      <c r="J7976" t="s">
        <v>24318</v>
      </c>
      <c r="K7976" s="2" t="str">
        <f>HYPERLINK("http://collections.slsa.sa.gov.au/mpcimg/14250/B14054.htm")</f>
        <v>http://collections.slsa.sa.gov.au/mpcimg/14250/B14054.htm</v>
      </c>
    </row>
    <row r="7977" spans="1:11" x14ac:dyDescent="0.25">
      <c r="A7977" t="s">
        <v>26709</v>
      </c>
      <c r="B7977" s="1" t="str">
        <f>HYPERLINK("https://www.catalog.slsa.sa.gov.au/record=b2060795")</f>
        <v>https://www.catalog.slsa.sa.gov.au/record=b2060795</v>
      </c>
      <c r="C7977" s="1" t="str">
        <f>HYPERLINK("https://www.catalog.slsa.sa.gov.au/xrecord=b2060795")</f>
        <v>https://www.catalog.slsa.sa.gov.au/xrecord=b2060795</v>
      </c>
      <c r="D7977" t="s">
        <v>16831</v>
      </c>
      <c r="E7977" t="s">
        <v>20100</v>
      </c>
      <c r="F7977">
        <v>1958</v>
      </c>
      <c r="G7977" t="s">
        <v>25786</v>
      </c>
      <c r="H7977" t="s">
        <v>26710</v>
      </c>
      <c r="J7977" t="s">
        <v>25975</v>
      </c>
      <c r="K7977" s="2" t="str">
        <f>HYPERLINK("http://collections.slsa.sa.gov.au/mpcimg/14250/B14183.htm")</f>
        <v>http://collections.slsa.sa.gov.au/mpcimg/14250/B14183.htm</v>
      </c>
    </row>
    <row r="7978" spans="1:11" x14ac:dyDescent="0.25">
      <c r="A7978" t="s">
        <v>26711</v>
      </c>
      <c r="B7978" s="1" t="str">
        <f>HYPERLINK("https://www.catalog.slsa.sa.gov.au/record=b2060967")</f>
        <v>https://www.catalog.slsa.sa.gov.au/record=b2060967</v>
      </c>
      <c r="C7978" s="1" t="str">
        <f>HYPERLINK("https://www.catalog.slsa.sa.gov.au/xrecord=b2060967")</f>
        <v>https://www.catalog.slsa.sa.gov.au/xrecord=b2060967</v>
      </c>
      <c r="D7978" t="s">
        <v>16831</v>
      </c>
      <c r="E7978" t="s">
        <v>21118</v>
      </c>
      <c r="F7978">
        <v>1958</v>
      </c>
      <c r="G7978" t="s">
        <v>25786</v>
      </c>
      <c r="H7978" t="s">
        <v>26712</v>
      </c>
      <c r="J7978" t="s">
        <v>26713</v>
      </c>
      <c r="K7978" s="2" t="str">
        <f>HYPERLINK("http://collections.slsa.sa.gov.au/mpcimg/14250/B14037.htm")</f>
        <v>http://collections.slsa.sa.gov.au/mpcimg/14250/B14037.htm</v>
      </c>
    </row>
    <row r="7979" spans="1:11" x14ac:dyDescent="0.25">
      <c r="A7979" t="s">
        <v>26714</v>
      </c>
      <c r="B7979" s="1" t="str">
        <f>HYPERLINK("https://www.catalog.slsa.sa.gov.au/record=b2060991")</f>
        <v>https://www.catalog.slsa.sa.gov.au/record=b2060991</v>
      </c>
      <c r="C7979" s="1" t="str">
        <f>HYPERLINK("https://www.catalog.slsa.sa.gov.au/xrecord=b2060991")</f>
        <v>https://www.catalog.slsa.sa.gov.au/xrecord=b2060991</v>
      </c>
      <c r="D7979" t="s">
        <v>16831</v>
      </c>
      <c r="E7979" t="s">
        <v>21118</v>
      </c>
      <c r="F7979">
        <v>1958</v>
      </c>
      <c r="G7979" t="s">
        <v>25786</v>
      </c>
      <c r="H7979" t="s">
        <v>26715</v>
      </c>
      <c r="J7979" t="s">
        <v>26716</v>
      </c>
      <c r="K7979" s="2" t="str">
        <f>HYPERLINK("http://collections.slsa.sa.gov.au/mpcimg/14250/B14113.htm")</f>
        <v>http://collections.slsa.sa.gov.au/mpcimg/14250/B14113.htm</v>
      </c>
    </row>
    <row r="7980" spans="1:11" x14ac:dyDescent="0.25">
      <c r="A7980" t="s">
        <v>26717</v>
      </c>
      <c r="B7980" s="1" t="str">
        <f>HYPERLINK("https://www.catalog.slsa.sa.gov.au/record=b2061002")</f>
        <v>https://www.catalog.slsa.sa.gov.au/record=b2061002</v>
      </c>
      <c r="C7980" s="1" t="str">
        <f>HYPERLINK("https://www.catalog.slsa.sa.gov.au/xrecord=b2061002")</f>
        <v>https://www.catalog.slsa.sa.gov.au/xrecord=b2061002</v>
      </c>
      <c r="D7980" t="s">
        <v>16831</v>
      </c>
      <c r="E7980" t="s">
        <v>21118</v>
      </c>
      <c r="F7980">
        <v>1958</v>
      </c>
      <c r="G7980" t="s">
        <v>25786</v>
      </c>
      <c r="H7980" t="s">
        <v>26718</v>
      </c>
      <c r="J7980" t="s">
        <v>24353</v>
      </c>
      <c r="K7980" s="2" t="str">
        <f>HYPERLINK("http://collections.slsa.sa.gov.au/mpcimg/14250/B14164.htm")</f>
        <v>http://collections.slsa.sa.gov.au/mpcimg/14250/B14164.htm</v>
      </c>
    </row>
    <row r="7981" spans="1:11" x14ac:dyDescent="0.25">
      <c r="A7981" t="s">
        <v>26719</v>
      </c>
      <c r="B7981" s="1" t="str">
        <f>HYPERLINK("https://www.catalog.slsa.sa.gov.au/record=b2061020")</f>
        <v>https://www.catalog.slsa.sa.gov.au/record=b2061020</v>
      </c>
      <c r="C7981" s="1" t="str">
        <f>HYPERLINK("https://www.catalog.slsa.sa.gov.au/xrecord=b2061020")</f>
        <v>https://www.catalog.slsa.sa.gov.au/xrecord=b2061020</v>
      </c>
      <c r="D7981" t="s">
        <v>16831</v>
      </c>
      <c r="E7981" t="s">
        <v>24300</v>
      </c>
      <c r="F7981">
        <v>1958</v>
      </c>
      <c r="G7981" t="s">
        <v>25786</v>
      </c>
      <c r="H7981" t="s">
        <v>26720</v>
      </c>
      <c r="J7981" t="s">
        <v>26721</v>
      </c>
      <c r="K7981" s="2" t="str">
        <f>HYPERLINK("http://collections.slsa.sa.gov.au/mpcimg/14250/B14067.htm")</f>
        <v>http://collections.slsa.sa.gov.au/mpcimg/14250/B14067.htm</v>
      </c>
    </row>
    <row r="7982" spans="1:11" x14ac:dyDescent="0.25">
      <c r="A7982" t="s">
        <v>26722</v>
      </c>
      <c r="B7982" s="1" t="str">
        <f>HYPERLINK("https://www.catalog.slsa.sa.gov.au/record=b2061021")</f>
        <v>https://www.catalog.slsa.sa.gov.au/record=b2061021</v>
      </c>
      <c r="C7982" s="1" t="str">
        <f>HYPERLINK("https://www.catalog.slsa.sa.gov.au/xrecord=b2061021")</f>
        <v>https://www.catalog.slsa.sa.gov.au/xrecord=b2061021</v>
      </c>
      <c r="D7982" t="s">
        <v>16831</v>
      </c>
      <c r="E7982" t="s">
        <v>24300</v>
      </c>
      <c r="F7982">
        <v>1958</v>
      </c>
      <c r="G7982" t="s">
        <v>25786</v>
      </c>
      <c r="H7982" t="s">
        <v>26723</v>
      </c>
      <c r="J7982" t="s">
        <v>26721</v>
      </c>
      <c r="K7982" s="2" t="str">
        <f>HYPERLINK("http://collections.slsa.sa.gov.au/mpcimg/14250/B14016.htm")</f>
        <v>http://collections.slsa.sa.gov.au/mpcimg/14250/B14016.htm</v>
      </c>
    </row>
    <row r="7983" spans="1:11" x14ac:dyDescent="0.25">
      <c r="A7983" t="s">
        <v>26724</v>
      </c>
      <c r="B7983" s="1" t="str">
        <f>HYPERLINK("https://www.catalog.slsa.sa.gov.au/record=b2061128")</f>
        <v>https://www.catalog.slsa.sa.gov.au/record=b2061128</v>
      </c>
      <c r="C7983" s="1" t="str">
        <f>HYPERLINK("https://www.catalog.slsa.sa.gov.au/xrecord=b2061128")</f>
        <v>https://www.catalog.slsa.sa.gov.au/xrecord=b2061128</v>
      </c>
      <c r="D7983" t="s">
        <v>16831</v>
      </c>
      <c r="E7983" t="s">
        <v>21118</v>
      </c>
      <c r="F7983">
        <v>1958</v>
      </c>
      <c r="G7983" t="s">
        <v>25786</v>
      </c>
      <c r="H7983" t="s">
        <v>26725</v>
      </c>
      <c r="J7983" t="s">
        <v>26726</v>
      </c>
      <c r="K7983" s="2" t="str">
        <f>HYPERLINK("http://collections.slsa.sa.gov.au/mpcimg/14250/B14026.htm")</f>
        <v>http://collections.slsa.sa.gov.au/mpcimg/14250/B14026.htm</v>
      </c>
    </row>
    <row r="7984" spans="1:11" x14ac:dyDescent="0.25">
      <c r="A7984" t="s">
        <v>26727</v>
      </c>
      <c r="B7984" s="1" t="str">
        <f>HYPERLINK("https://www.catalog.slsa.sa.gov.au/record=b2061149")</f>
        <v>https://www.catalog.slsa.sa.gov.au/record=b2061149</v>
      </c>
      <c r="C7984" s="1" t="str">
        <f>HYPERLINK("https://www.catalog.slsa.sa.gov.au/xrecord=b2061149")</f>
        <v>https://www.catalog.slsa.sa.gov.au/xrecord=b2061149</v>
      </c>
      <c r="D7984" t="s">
        <v>16831</v>
      </c>
      <c r="E7984" t="s">
        <v>21118</v>
      </c>
      <c r="F7984">
        <v>1958</v>
      </c>
      <c r="G7984" t="s">
        <v>25786</v>
      </c>
      <c r="H7984" t="s">
        <v>26728</v>
      </c>
      <c r="J7984" t="s">
        <v>25450</v>
      </c>
      <c r="K7984" s="2" t="str">
        <f>HYPERLINK("http://collections.slsa.sa.gov.au/mpcimg/14250/B14036.htm")</f>
        <v>http://collections.slsa.sa.gov.au/mpcimg/14250/B14036.htm</v>
      </c>
    </row>
    <row r="7985" spans="1:11" x14ac:dyDescent="0.25">
      <c r="A7985" t="s">
        <v>26729</v>
      </c>
      <c r="B7985" s="1" t="str">
        <f>HYPERLINK("https://www.catalog.slsa.sa.gov.au/record=b2061155")</f>
        <v>https://www.catalog.slsa.sa.gov.au/record=b2061155</v>
      </c>
      <c r="C7985" s="1" t="str">
        <f>HYPERLINK("https://www.catalog.slsa.sa.gov.au/xrecord=b2061155")</f>
        <v>https://www.catalog.slsa.sa.gov.au/xrecord=b2061155</v>
      </c>
      <c r="D7985" t="s">
        <v>16831</v>
      </c>
      <c r="E7985" t="s">
        <v>24300</v>
      </c>
      <c r="F7985">
        <v>1958</v>
      </c>
      <c r="G7985" t="s">
        <v>25786</v>
      </c>
      <c r="H7985" t="s">
        <v>26730</v>
      </c>
      <c r="J7985" t="s">
        <v>21146</v>
      </c>
      <c r="K7985" s="2" t="str">
        <f>HYPERLINK("http://collections.slsa.sa.gov.au/mpcimg/14250/B14116.htm")</f>
        <v>http://collections.slsa.sa.gov.au/mpcimg/14250/B14116.htm</v>
      </c>
    </row>
    <row r="7986" spans="1:11" x14ac:dyDescent="0.25">
      <c r="A7986" t="s">
        <v>26731</v>
      </c>
      <c r="B7986" s="1" t="str">
        <f>HYPERLINK("https://www.catalog.slsa.sa.gov.au/record=b2061156")</f>
        <v>https://www.catalog.slsa.sa.gov.au/record=b2061156</v>
      </c>
      <c r="C7986" s="1" t="str">
        <f>HYPERLINK("https://www.catalog.slsa.sa.gov.au/xrecord=b2061156")</f>
        <v>https://www.catalog.slsa.sa.gov.au/xrecord=b2061156</v>
      </c>
      <c r="D7986" t="s">
        <v>16831</v>
      </c>
      <c r="E7986" t="s">
        <v>26732</v>
      </c>
      <c r="F7986">
        <v>1958</v>
      </c>
      <c r="G7986" t="s">
        <v>25786</v>
      </c>
      <c r="H7986" t="s">
        <v>26733</v>
      </c>
      <c r="J7986" t="s">
        <v>21146</v>
      </c>
      <c r="K7986" s="2" t="str">
        <f>HYPERLINK("http://collections.slsa.sa.gov.au/mpcimg/14250/B14117.htm")</f>
        <v>http://collections.slsa.sa.gov.au/mpcimg/14250/B14117.htm</v>
      </c>
    </row>
    <row r="7987" spans="1:11" x14ac:dyDescent="0.25">
      <c r="A7987" t="s">
        <v>26734</v>
      </c>
      <c r="B7987" s="1" t="str">
        <f>HYPERLINK("https://www.catalog.slsa.sa.gov.au/record=b2061202")</f>
        <v>https://www.catalog.slsa.sa.gov.au/record=b2061202</v>
      </c>
      <c r="C7987" s="1" t="str">
        <f>HYPERLINK("https://www.catalog.slsa.sa.gov.au/xrecord=b2061202")</f>
        <v>https://www.catalog.slsa.sa.gov.au/xrecord=b2061202</v>
      </c>
      <c r="D7987" t="s">
        <v>16831</v>
      </c>
      <c r="E7987" t="s">
        <v>21118</v>
      </c>
      <c r="F7987">
        <v>1958</v>
      </c>
      <c r="G7987" t="s">
        <v>25786</v>
      </c>
      <c r="H7987" t="s">
        <v>26735</v>
      </c>
      <c r="J7987" t="s">
        <v>24388</v>
      </c>
      <c r="K7987" s="2" t="str">
        <f>HYPERLINK("http://collections.slsa.sa.gov.au/mpcimg/14250/B14118.htm")</f>
        <v>http://collections.slsa.sa.gov.au/mpcimg/14250/B14118.htm</v>
      </c>
    </row>
    <row r="7988" spans="1:11" x14ac:dyDescent="0.25">
      <c r="A7988" t="s">
        <v>26736</v>
      </c>
      <c r="B7988" s="1" t="str">
        <f>HYPERLINK("https://www.catalog.slsa.sa.gov.au/record=b2061225")</f>
        <v>https://www.catalog.slsa.sa.gov.au/record=b2061225</v>
      </c>
      <c r="C7988" s="1" t="str">
        <f>HYPERLINK("https://www.catalog.slsa.sa.gov.au/xrecord=b2061225")</f>
        <v>https://www.catalog.slsa.sa.gov.au/xrecord=b2061225</v>
      </c>
      <c r="D7988" t="s">
        <v>16831</v>
      </c>
      <c r="E7988" t="s">
        <v>21118</v>
      </c>
      <c r="F7988">
        <v>1958</v>
      </c>
      <c r="G7988" t="s">
        <v>25786</v>
      </c>
      <c r="H7988" t="s">
        <v>26737</v>
      </c>
      <c r="J7988" t="s">
        <v>25999</v>
      </c>
      <c r="K7988" s="2" t="str">
        <f>HYPERLINK("http://collections.slsa.sa.gov.au/mpcimg/14250/B14042.htm")</f>
        <v>http://collections.slsa.sa.gov.au/mpcimg/14250/B14042.htm</v>
      </c>
    </row>
    <row r="7989" spans="1:11" x14ac:dyDescent="0.25">
      <c r="A7989" t="s">
        <v>26738</v>
      </c>
      <c r="B7989" s="1" t="str">
        <f>HYPERLINK("https://www.catalog.slsa.sa.gov.au/record=b2061226")</f>
        <v>https://www.catalog.slsa.sa.gov.au/record=b2061226</v>
      </c>
      <c r="C7989" s="1" t="str">
        <f>HYPERLINK("https://www.catalog.slsa.sa.gov.au/xrecord=b2061226")</f>
        <v>https://www.catalog.slsa.sa.gov.au/xrecord=b2061226</v>
      </c>
      <c r="D7989" t="s">
        <v>16831</v>
      </c>
      <c r="E7989" t="s">
        <v>21118</v>
      </c>
      <c r="F7989">
        <v>1958</v>
      </c>
      <c r="G7989" t="s">
        <v>25786</v>
      </c>
      <c r="H7989" t="s">
        <v>26739</v>
      </c>
      <c r="J7989" t="s">
        <v>25999</v>
      </c>
      <c r="K7989" s="2" t="str">
        <f>HYPERLINK("http://collections.slsa.sa.gov.au/mpcimg/14250/B14043.htm")</f>
        <v>http://collections.slsa.sa.gov.au/mpcimg/14250/B14043.htm</v>
      </c>
    </row>
    <row r="7990" spans="1:11" x14ac:dyDescent="0.25">
      <c r="A7990" t="s">
        <v>26740</v>
      </c>
      <c r="B7990" s="1" t="str">
        <f>HYPERLINK("https://www.catalog.slsa.sa.gov.au/record=b2061309")</f>
        <v>https://www.catalog.slsa.sa.gov.au/record=b2061309</v>
      </c>
      <c r="C7990" s="1" t="str">
        <f>HYPERLINK("https://www.catalog.slsa.sa.gov.au/xrecord=b2061309")</f>
        <v>https://www.catalog.slsa.sa.gov.au/xrecord=b2061309</v>
      </c>
      <c r="D7990" t="s">
        <v>16831</v>
      </c>
      <c r="E7990" t="s">
        <v>26741</v>
      </c>
      <c r="F7990">
        <v>1958</v>
      </c>
      <c r="G7990" t="s">
        <v>25786</v>
      </c>
      <c r="H7990" t="s">
        <v>26742</v>
      </c>
      <c r="J7990" t="s">
        <v>26743</v>
      </c>
      <c r="K7990" s="2" t="str">
        <f>HYPERLINK("http://collections.slsa.sa.gov.au/mpcimg/14250/B14079.htm")</f>
        <v>http://collections.slsa.sa.gov.au/mpcimg/14250/B14079.htm</v>
      </c>
    </row>
    <row r="7991" spans="1:11" x14ac:dyDescent="0.25">
      <c r="A7991" t="s">
        <v>26744</v>
      </c>
      <c r="B7991" s="1" t="str">
        <f>HYPERLINK("https://www.catalog.slsa.sa.gov.au/record=b2061310")</f>
        <v>https://www.catalog.slsa.sa.gov.au/record=b2061310</v>
      </c>
      <c r="C7991" s="1" t="str">
        <f>HYPERLINK("https://www.catalog.slsa.sa.gov.au/xrecord=b2061310")</f>
        <v>https://www.catalog.slsa.sa.gov.au/xrecord=b2061310</v>
      </c>
      <c r="D7991" t="s">
        <v>16831</v>
      </c>
      <c r="E7991" t="s">
        <v>21099</v>
      </c>
      <c r="F7991">
        <v>1958</v>
      </c>
      <c r="G7991" t="s">
        <v>25786</v>
      </c>
      <c r="H7991" t="s">
        <v>26745</v>
      </c>
      <c r="J7991" t="s">
        <v>26746</v>
      </c>
      <c r="K7991" s="2" t="str">
        <f>HYPERLINK("http://collections.slsa.sa.gov.au/mpcimg/14250/B14080.htm")</f>
        <v>http://collections.slsa.sa.gov.au/mpcimg/14250/B14080.htm</v>
      </c>
    </row>
    <row r="7992" spans="1:11" x14ac:dyDescent="0.25">
      <c r="A7992" t="s">
        <v>26747</v>
      </c>
      <c r="B7992" s="1" t="str">
        <f>HYPERLINK("https://www.catalog.slsa.sa.gov.au/record=b2061332")</f>
        <v>https://www.catalog.slsa.sa.gov.au/record=b2061332</v>
      </c>
      <c r="C7992" s="1" t="str">
        <f>HYPERLINK("https://www.catalog.slsa.sa.gov.au/xrecord=b2061332")</f>
        <v>https://www.catalog.slsa.sa.gov.au/xrecord=b2061332</v>
      </c>
      <c r="D7992" t="s">
        <v>16831</v>
      </c>
      <c r="E7992" t="s">
        <v>21099</v>
      </c>
      <c r="F7992">
        <v>1958</v>
      </c>
      <c r="G7992" t="s">
        <v>25786</v>
      </c>
      <c r="H7992" t="s">
        <v>26748</v>
      </c>
      <c r="J7992" t="s">
        <v>21149</v>
      </c>
      <c r="K7992" s="2" t="str">
        <f>HYPERLINK("http://collections.slsa.sa.gov.au/mpcimg/14250/B14095.htm")</f>
        <v>http://collections.slsa.sa.gov.au/mpcimg/14250/B14095.htm</v>
      </c>
    </row>
    <row r="7993" spans="1:11" x14ac:dyDescent="0.25">
      <c r="A7993" t="s">
        <v>26749</v>
      </c>
      <c r="B7993" s="1" t="str">
        <f>HYPERLINK("https://www.catalog.slsa.sa.gov.au/record=b2061491")</f>
        <v>https://www.catalog.slsa.sa.gov.au/record=b2061491</v>
      </c>
      <c r="C7993" s="1" t="str">
        <f>HYPERLINK("https://www.catalog.slsa.sa.gov.au/xrecord=b2061491")</f>
        <v>https://www.catalog.slsa.sa.gov.au/xrecord=b2061491</v>
      </c>
      <c r="D7993" t="s">
        <v>16831</v>
      </c>
      <c r="E7993" t="s">
        <v>21178</v>
      </c>
      <c r="F7993">
        <v>1958</v>
      </c>
      <c r="G7993" t="s">
        <v>25786</v>
      </c>
      <c r="H7993" t="s">
        <v>26750</v>
      </c>
      <c r="J7993" t="s">
        <v>21180</v>
      </c>
      <c r="K7993" s="2" t="str">
        <f>HYPERLINK("http://collections.slsa.sa.gov.au/mpcimg/14250/B14034.htm")</f>
        <v>http://collections.slsa.sa.gov.au/mpcimg/14250/B14034.htm</v>
      </c>
    </row>
    <row r="7994" spans="1:11" x14ac:dyDescent="0.25">
      <c r="A7994" t="s">
        <v>26751</v>
      </c>
      <c r="B7994" s="1" t="str">
        <f>HYPERLINK("https://www.catalog.slsa.sa.gov.au/record=b2061505")</f>
        <v>https://www.catalog.slsa.sa.gov.au/record=b2061505</v>
      </c>
      <c r="C7994" s="1" t="str">
        <f>HYPERLINK("https://www.catalog.slsa.sa.gov.au/xrecord=b2061505")</f>
        <v>https://www.catalog.slsa.sa.gov.au/xrecord=b2061505</v>
      </c>
      <c r="D7994" t="s">
        <v>16831</v>
      </c>
      <c r="E7994" t="s">
        <v>25538</v>
      </c>
      <c r="F7994">
        <v>1958</v>
      </c>
      <c r="G7994" t="s">
        <v>25786</v>
      </c>
      <c r="H7994" t="s">
        <v>26752</v>
      </c>
      <c r="J7994" t="s">
        <v>26753</v>
      </c>
      <c r="K7994" s="2" t="str">
        <f>HYPERLINK("http://collections.slsa.sa.gov.au/mpcimg/14250/B14075.htm")</f>
        <v>http://collections.slsa.sa.gov.au/mpcimg/14250/B14075.htm</v>
      </c>
    </row>
    <row r="7995" spans="1:11" x14ac:dyDescent="0.25">
      <c r="A7995" t="s">
        <v>26754</v>
      </c>
      <c r="B7995" s="1" t="str">
        <f>HYPERLINK("https://www.catalog.slsa.sa.gov.au/record=b2061586")</f>
        <v>https://www.catalog.slsa.sa.gov.au/record=b2061586</v>
      </c>
      <c r="C7995" s="1" t="str">
        <f>HYPERLINK("https://www.catalog.slsa.sa.gov.au/xrecord=b2061586")</f>
        <v>https://www.catalog.slsa.sa.gov.au/xrecord=b2061586</v>
      </c>
      <c r="D7995" t="s">
        <v>16831</v>
      </c>
      <c r="E7995" t="s">
        <v>21178</v>
      </c>
      <c r="F7995">
        <v>1958</v>
      </c>
      <c r="G7995" t="s">
        <v>25786</v>
      </c>
      <c r="H7995" t="s">
        <v>26755</v>
      </c>
      <c r="J7995" t="s">
        <v>21192</v>
      </c>
      <c r="K7995" s="2" t="str">
        <f>HYPERLINK("http://collections.slsa.sa.gov.au/mpcimg/14250/B14062.htm")</f>
        <v>http://collections.slsa.sa.gov.au/mpcimg/14250/B14062.htm</v>
      </c>
    </row>
    <row r="7996" spans="1:11" x14ac:dyDescent="0.25">
      <c r="A7996" t="s">
        <v>26756</v>
      </c>
      <c r="B7996" s="1" t="str">
        <f>HYPERLINK("https://www.catalog.slsa.sa.gov.au/record=b2061587")</f>
        <v>https://www.catalog.slsa.sa.gov.au/record=b2061587</v>
      </c>
      <c r="C7996" s="1" t="str">
        <f>HYPERLINK("https://www.catalog.slsa.sa.gov.au/xrecord=b2061587")</f>
        <v>https://www.catalog.slsa.sa.gov.au/xrecord=b2061587</v>
      </c>
      <c r="D7996" t="s">
        <v>16831</v>
      </c>
      <c r="E7996" t="s">
        <v>26741</v>
      </c>
      <c r="F7996">
        <v>1958</v>
      </c>
      <c r="G7996" t="s">
        <v>25786</v>
      </c>
      <c r="H7996" t="s">
        <v>26757</v>
      </c>
      <c r="J7996" t="s">
        <v>21192</v>
      </c>
      <c r="K7996" s="2" t="str">
        <f>HYPERLINK("http://collections.slsa.sa.gov.au/mpcimg/14250/B14078.htm")</f>
        <v>http://collections.slsa.sa.gov.au/mpcimg/14250/B14078.htm</v>
      </c>
    </row>
    <row r="7997" spans="1:11" x14ac:dyDescent="0.25">
      <c r="A7997" t="s">
        <v>26758</v>
      </c>
      <c r="B7997" s="1" t="str">
        <f>HYPERLINK("https://www.catalog.slsa.sa.gov.au/record=b2061600")</f>
        <v>https://www.catalog.slsa.sa.gov.au/record=b2061600</v>
      </c>
      <c r="C7997" s="1" t="str">
        <f>HYPERLINK("https://www.catalog.slsa.sa.gov.au/xrecord=b2061600")</f>
        <v>https://www.catalog.slsa.sa.gov.au/xrecord=b2061600</v>
      </c>
      <c r="D7997" t="s">
        <v>16831</v>
      </c>
      <c r="E7997" t="s">
        <v>16771</v>
      </c>
      <c r="F7997">
        <v>1958</v>
      </c>
      <c r="G7997" t="s">
        <v>25786</v>
      </c>
      <c r="H7997" t="s">
        <v>26759</v>
      </c>
      <c r="J7997" t="s">
        <v>21195</v>
      </c>
      <c r="K7997" s="2" t="str">
        <f>HYPERLINK("http://collections.slsa.sa.gov.au/mpcimg/14250/B14065.htm")</f>
        <v>http://collections.slsa.sa.gov.au/mpcimg/14250/B14065.htm</v>
      </c>
    </row>
    <row r="7998" spans="1:11" x14ac:dyDescent="0.25">
      <c r="A7998" t="s">
        <v>26760</v>
      </c>
      <c r="B7998" s="1" t="str">
        <f>HYPERLINK("https://www.catalog.slsa.sa.gov.au/record=b2061611")</f>
        <v>https://www.catalog.slsa.sa.gov.au/record=b2061611</v>
      </c>
      <c r="C7998" s="1" t="str">
        <f>HYPERLINK("https://www.catalog.slsa.sa.gov.au/xrecord=b2061611")</f>
        <v>https://www.catalog.slsa.sa.gov.au/xrecord=b2061611</v>
      </c>
      <c r="D7998" t="s">
        <v>16831</v>
      </c>
      <c r="E7998" t="s">
        <v>24451</v>
      </c>
      <c r="F7998">
        <v>1958</v>
      </c>
      <c r="G7998" t="s">
        <v>25786</v>
      </c>
      <c r="H7998" t="s">
        <v>26761</v>
      </c>
      <c r="J7998" t="s">
        <v>21200</v>
      </c>
      <c r="K7998" s="2" t="str">
        <f>HYPERLINK("http://collections.slsa.sa.gov.au/mpcimg/14250/B14004.htm")</f>
        <v>http://collections.slsa.sa.gov.au/mpcimg/14250/B14004.htm</v>
      </c>
    </row>
    <row r="7999" spans="1:11" x14ac:dyDescent="0.25">
      <c r="A7999" t="s">
        <v>26762</v>
      </c>
      <c r="B7999" s="1" t="str">
        <f>HYPERLINK("https://www.catalog.slsa.sa.gov.au/record=b2061626")</f>
        <v>https://www.catalog.slsa.sa.gov.au/record=b2061626</v>
      </c>
      <c r="C7999" s="1" t="str">
        <f>HYPERLINK("https://www.catalog.slsa.sa.gov.au/xrecord=b2061626")</f>
        <v>https://www.catalog.slsa.sa.gov.au/xrecord=b2061626</v>
      </c>
      <c r="D7999" t="s">
        <v>16831</v>
      </c>
      <c r="E7999" t="s">
        <v>24451</v>
      </c>
      <c r="F7999">
        <v>1958</v>
      </c>
      <c r="G7999" t="s">
        <v>25786</v>
      </c>
      <c r="H7999" t="s">
        <v>26763</v>
      </c>
      <c r="J7999" t="s">
        <v>24441</v>
      </c>
      <c r="K7999" s="2" t="str">
        <f>HYPERLINK("http://collections.slsa.sa.gov.au/mpcimg/14250/B14133.htm")</f>
        <v>http://collections.slsa.sa.gov.au/mpcimg/14250/B14133.htm</v>
      </c>
    </row>
    <row r="8000" spans="1:11" x14ac:dyDescent="0.25">
      <c r="A8000" t="s">
        <v>26764</v>
      </c>
      <c r="B8000" s="1" t="str">
        <f>HYPERLINK("https://www.catalog.slsa.sa.gov.au/record=b2061641")</f>
        <v>https://www.catalog.slsa.sa.gov.au/record=b2061641</v>
      </c>
      <c r="C8000" s="1" t="str">
        <f>HYPERLINK("https://www.catalog.slsa.sa.gov.au/xrecord=b2061641")</f>
        <v>https://www.catalog.slsa.sa.gov.au/xrecord=b2061641</v>
      </c>
      <c r="D8000" t="s">
        <v>16831</v>
      </c>
      <c r="E8000" t="s">
        <v>24451</v>
      </c>
      <c r="F8000">
        <v>1958</v>
      </c>
      <c r="G8000" t="s">
        <v>25786</v>
      </c>
      <c r="H8000" t="s">
        <v>26765</v>
      </c>
      <c r="J8000" t="s">
        <v>24447</v>
      </c>
      <c r="K8000" s="2" t="str">
        <f>HYPERLINK("http://collections.slsa.sa.gov.au/mpcimg/14250/B14005.htm")</f>
        <v>http://collections.slsa.sa.gov.au/mpcimg/14250/B14005.htm</v>
      </c>
    </row>
    <row r="8001" spans="1:11" x14ac:dyDescent="0.25">
      <c r="A8001" t="s">
        <v>26766</v>
      </c>
      <c r="B8001" s="1" t="str">
        <f>HYPERLINK("https://www.catalog.slsa.sa.gov.au/record=b2061642")</f>
        <v>https://www.catalog.slsa.sa.gov.au/record=b2061642</v>
      </c>
      <c r="C8001" s="1" t="str">
        <f>HYPERLINK("https://www.catalog.slsa.sa.gov.au/xrecord=b2061642")</f>
        <v>https://www.catalog.slsa.sa.gov.au/xrecord=b2061642</v>
      </c>
      <c r="D8001" t="s">
        <v>16831</v>
      </c>
      <c r="E8001" t="s">
        <v>26767</v>
      </c>
      <c r="F8001">
        <v>1958</v>
      </c>
      <c r="G8001" t="s">
        <v>25786</v>
      </c>
      <c r="H8001" t="s">
        <v>26768</v>
      </c>
      <c r="J8001" t="s">
        <v>24447</v>
      </c>
      <c r="K8001" s="2" t="str">
        <f>HYPERLINK("http://collections.slsa.sa.gov.au/mpcimg/14250/B14112.htm")</f>
        <v>http://collections.slsa.sa.gov.au/mpcimg/14250/B14112.htm</v>
      </c>
    </row>
    <row r="8002" spans="1:11" x14ac:dyDescent="0.25">
      <c r="A8002" t="s">
        <v>26769</v>
      </c>
      <c r="B8002" s="1" t="str">
        <f>HYPERLINK("https://www.catalog.slsa.sa.gov.au/record=b2061661")</f>
        <v>https://www.catalog.slsa.sa.gov.au/record=b2061661</v>
      </c>
      <c r="C8002" s="1" t="str">
        <f>HYPERLINK("https://www.catalog.slsa.sa.gov.au/xrecord=b2061661")</f>
        <v>https://www.catalog.slsa.sa.gov.au/xrecord=b2061661</v>
      </c>
      <c r="D8002" t="s">
        <v>16831</v>
      </c>
      <c r="E8002" t="s">
        <v>24451</v>
      </c>
      <c r="F8002">
        <v>1958</v>
      </c>
      <c r="G8002" t="s">
        <v>25786</v>
      </c>
      <c r="H8002" t="s">
        <v>26770</v>
      </c>
      <c r="J8002" t="s">
        <v>24453</v>
      </c>
      <c r="K8002" s="2" t="str">
        <f>HYPERLINK("http://collections.slsa.sa.gov.au/mpcimg/14250/B14009.htm")</f>
        <v>http://collections.slsa.sa.gov.au/mpcimg/14250/B14009.htm</v>
      </c>
    </row>
    <row r="8003" spans="1:11" x14ac:dyDescent="0.25">
      <c r="A8003" t="s">
        <v>26771</v>
      </c>
      <c r="B8003" s="1" t="str">
        <f>HYPERLINK("https://www.catalog.slsa.sa.gov.au/record=b2061703")</f>
        <v>https://www.catalog.slsa.sa.gov.au/record=b2061703</v>
      </c>
      <c r="C8003" s="1" t="str">
        <f>HYPERLINK("https://www.catalog.slsa.sa.gov.au/xrecord=b2061703")</f>
        <v>https://www.catalog.slsa.sa.gov.au/xrecord=b2061703</v>
      </c>
      <c r="D8003" t="s">
        <v>16831</v>
      </c>
      <c r="E8003" t="s">
        <v>24451</v>
      </c>
      <c r="F8003">
        <v>1958</v>
      </c>
      <c r="G8003" t="s">
        <v>25786</v>
      </c>
      <c r="H8003" t="s">
        <v>26772</v>
      </c>
      <c r="J8003" t="s">
        <v>26773</v>
      </c>
      <c r="K8003" s="2" t="str">
        <f>HYPERLINK("http://collections.slsa.sa.gov.au/mpcimg/14250/B14200.htm")</f>
        <v>http://collections.slsa.sa.gov.au/mpcimg/14250/B14200.htm</v>
      </c>
    </row>
    <row r="8004" spans="1:11" x14ac:dyDescent="0.25">
      <c r="A8004" t="s">
        <v>26774</v>
      </c>
      <c r="B8004" s="1" t="str">
        <f>HYPERLINK("https://www.catalog.slsa.sa.gov.au/record=b2061774")</f>
        <v>https://www.catalog.slsa.sa.gov.au/record=b2061774</v>
      </c>
      <c r="C8004" s="1" t="str">
        <f>HYPERLINK("https://www.catalog.slsa.sa.gov.au/xrecord=b2061774")</f>
        <v>https://www.catalog.slsa.sa.gov.au/xrecord=b2061774</v>
      </c>
      <c r="D8004" t="s">
        <v>16831</v>
      </c>
      <c r="E8004" t="s">
        <v>24451</v>
      </c>
      <c r="F8004">
        <v>1958</v>
      </c>
      <c r="G8004" t="s">
        <v>25786</v>
      </c>
      <c r="H8004" t="s">
        <v>26775</v>
      </c>
      <c r="J8004" t="s">
        <v>26776</v>
      </c>
      <c r="K8004" s="2" t="str">
        <f>HYPERLINK("http://collections.slsa.sa.gov.au/mpcimg/14250/B14002.htm")</f>
        <v>http://collections.slsa.sa.gov.au/mpcimg/14250/B14002.htm</v>
      </c>
    </row>
    <row r="8005" spans="1:11" x14ac:dyDescent="0.25">
      <c r="A8005" t="s">
        <v>26777</v>
      </c>
      <c r="B8005" s="1" t="str">
        <f>HYPERLINK("https://www.catalog.slsa.sa.gov.au/record=b2061782")</f>
        <v>https://www.catalog.slsa.sa.gov.au/record=b2061782</v>
      </c>
      <c r="C8005" s="1" t="str">
        <f>HYPERLINK("https://www.catalog.slsa.sa.gov.au/xrecord=b2061782")</f>
        <v>https://www.catalog.slsa.sa.gov.au/xrecord=b2061782</v>
      </c>
      <c r="D8005" t="s">
        <v>16831</v>
      </c>
      <c r="E8005" t="s">
        <v>24451</v>
      </c>
      <c r="F8005">
        <v>1958</v>
      </c>
      <c r="G8005" t="s">
        <v>25786</v>
      </c>
      <c r="H8005" t="s">
        <v>26778</v>
      </c>
      <c r="J8005" t="s">
        <v>25501</v>
      </c>
      <c r="K8005" s="2" t="str">
        <f>HYPERLINK("http://collections.slsa.sa.gov.au/mpcimg/14250/B14010.htm")</f>
        <v>http://collections.slsa.sa.gov.au/mpcimg/14250/B14010.htm</v>
      </c>
    </row>
    <row r="8006" spans="1:11" x14ac:dyDescent="0.25">
      <c r="A8006" t="s">
        <v>26779</v>
      </c>
      <c r="B8006" s="1" t="str">
        <f>HYPERLINK("https://www.catalog.slsa.sa.gov.au/record=b2061795")</f>
        <v>https://www.catalog.slsa.sa.gov.au/record=b2061795</v>
      </c>
      <c r="C8006" s="1" t="str">
        <f>HYPERLINK("https://www.catalog.slsa.sa.gov.au/xrecord=b2061795")</f>
        <v>https://www.catalog.slsa.sa.gov.au/xrecord=b2061795</v>
      </c>
      <c r="D8006" t="s">
        <v>16831</v>
      </c>
      <c r="E8006" t="s">
        <v>24451</v>
      </c>
      <c r="F8006">
        <v>1958</v>
      </c>
      <c r="G8006" t="s">
        <v>25786</v>
      </c>
      <c r="H8006" t="s">
        <v>26780</v>
      </c>
      <c r="J8006" t="s">
        <v>26384</v>
      </c>
      <c r="K8006" s="2" t="str">
        <f>HYPERLINK("http://collections.slsa.sa.gov.au/mpcimg/14250/B14119.htm")</f>
        <v>http://collections.slsa.sa.gov.au/mpcimg/14250/B14119.htm</v>
      </c>
    </row>
    <row r="8007" spans="1:11" x14ac:dyDescent="0.25">
      <c r="A8007" t="s">
        <v>26781</v>
      </c>
      <c r="B8007" s="1" t="str">
        <f>HYPERLINK("https://www.catalog.slsa.sa.gov.au/record=b2061799")</f>
        <v>https://www.catalog.slsa.sa.gov.au/record=b2061799</v>
      </c>
      <c r="C8007" s="1" t="str">
        <f>HYPERLINK("https://www.catalog.slsa.sa.gov.au/xrecord=b2061799")</f>
        <v>https://www.catalog.slsa.sa.gov.au/xrecord=b2061799</v>
      </c>
      <c r="D8007" t="s">
        <v>16831</v>
      </c>
      <c r="E8007" t="s">
        <v>24451</v>
      </c>
      <c r="F8007">
        <v>1958</v>
      </c>
      <c r="G8007" t="s">
        <v>25786</v>
      </c>
      <c r="H8007" t="s">
        <v>26782</v>
      </c>
      <c r="J8007" t="s">
        <v>24491</v>
      </c>
      <c r="K8007" s="2" t="str">
        <f>HYPERLINK("http://collections.slsa.sa.gov.au/mpcimg/14250/B14011.htm")</f>
        <v>http://collections.slsa.sa.gov.au/mpcimg/14250/B14011.htm</v>
      </c>
    </row>
    <row r="8008" spans="1:11" x14ac:dyDescent="0.25">
      <c r="A8008" t="s">
        <v>26783</v>
      </c>
      <c r="B8008" s="1" t="str">
        <f>HYPERLINK("https://www.catalog.slsa.sa.gov.au/record=b2061833")</f>
        <v>https://www.catalog.slsa.sa.gov.au/record=b2061833</v>
      </c>
      <c r="C8008" s="1" t="str">
        <f>HYPERLINK("https://www.catalog.slsa.sa.gov.au/xrecord=b2061833")</f>
        <v>https://www.catalog.slsa.sa.gov.au/xrecord=b2061833</v>
      </c>
      <c r="D8008" t="s">
        <v>16831</v>
      </c>
      <c r="E8008" t="s">
        <v>16771</v>
      </c>
      <c r="F8008">
        <v>1958</v>
      </c>
      <c r="G8008" t="s">
        <v>25786</v>
      </c>
      <c r="H8008" t="s">
        <v>26784</v>
      </c>
      <c r="J8008" t="s">
        <v>21206</v>
      </c>
      <c r="K8008" s="2" t="str">
        <f>HYPERLINK("http://collections.slsa.sa.gov.au/mpcimg/14250/B14044.htm")</f>
        <v>http://collections.slsa.sa.gov.au/mpcimg/14250/B14044.htm</v>
      </c>
    </row>
    <row r="8009" spans="1:11" x14ac:dyDescent="0.25">
      <c r="A8009" t="s">
        <v>26785</v>
      </c>
      <c r="B8009" s="1" t="str">
        <f>HYPERLINK("https://www.catalog.slsa.sa.gov.au/record=b2061852")</f>
        <v>https://www.catalog.slsa.sa.gov.au/record=b2061852</v>
      </c>
      <c r="C8009" s="1" t="str">
        <f>HYPERLINK("https://www.catalog.slsa.sa.gov.au/xrecord=b2061852")</f>
        <v>https://www.catalog.slsa.sa.gov.au/xrecord=b2061852</v>
      </c>
      <c r="D8009" t="s">
        <v>16831</v>
      </c>
      <c r="E8009" t="s">
        <v>26388</v>
      </c>
      <c r="F8009">
        <v>1958</v>
      </c>
      <c r="G8009" t="s">
        <v>25786</v>
      </c>
      <c r="H8009" t="s">
        <v>26786</v>
      </c>
      <c r="J8009" t="s">
        <v>26390</v>
      </c>
      <c r="K8009" s="2" t="str">
        <f>HYPERLINK("http://collections.slsa.sa.gov.au/mpcimg/14250/B14180.htm")</f>
        <v>http://collections.slsa.sa.gov.au/mpcimg/14250/B14180.htm</v>
      </c>
    </row>
    <row r="8010" spans="1:11" x14ac:dyDescent="0.25">
      <c r="A8010" t="s">
        <v>26787</v>
      </c>
      <c r="B8010" s="1" t="str">
        <f>HYPERLINK("https://www.catalog.slsa.sa.gov.au/record=b2061853")</f>
        <v>https://www.catalog.slsa.sa.gov.au/record=b2061853</v>
      </c>
      <c r="C8010" s="1" t="str">
        <f>HYPERLINK("https://www.catalog.slsa.sa.gov.au/xrecord=b2061853")</f>
        <v>https://www.catalog.slsa.sa.gov.au/xrecord=b2061853</v>
      </c>
      <c r="D8010" t="s">
        <v>16831</v>
      </c>
      <c r="E8010" t="s">
        <v>26388</v>
      </c>
      <c r="F8010">
        <v>1958</v>
      </c>
      <c r="G8010" t="s">
        <v>25786</v>
      </c>
      <c r="H8010" t="s">
        <v>26788</v>
      </c>
      <c r="J8010" t="s">
        <v>26390</v>
      </c>
      <c r="K8010" s="2" t="str">
        <f>HYPERLINK("http://collections.slsa.sa.gov.au/mpcimg/14250/B14181.htm")</f>
        <v>http://collections.slsa.sa.gov.au/mpcimg/14250/B14181.htm</v>
      </c>
    </row>
    <row r="8011" spans="1:11" x14ac:dyDescent="0.25">
      <c r="A8011" t="s">
        <v>26789</v>
      </c>
      <c r="B8011" s="1" t="str">
        <f>HYPERLINK("https://www.catalog.slsa.sa.gov.au/record=b2061877")</f>
        <v>https://www.catalog.slsa.sa.gov.au/record=b2061877</v>
      </c>
      <c r="C8011" s="1" t="str">
        <f>HYPERLINK("https://www.catalog.slsa.sa.gov.au/xrecord=b2061877")</f>
        <v>https://www.catalog.slsa.sa.gov.au/xrecord=b2061877</v>
      </c>
      <c r="D8011" t="s">
        <v>16831</v>
      </c>
      <c r="E8011" t="s">
        <v>21208</v>
      </c>
      <c r="F8011">
        <v>1958</v>
      </c>
      <c r="G8011" t="s">
        <v>25786</v>
      </c>
      <c r="H8011" t="s">
        <v>26790</v>
      </c>
      <c r="J8011" t="s">
        <v>24497</v>
      </c>
      <c r="K8011" s="2" t="str">
        <f>HYPERLINK("http://collections.slsa.sa.gov.au/mpcimg/14250/B14039.htm")</f>
        <v>http://collections.slsa.sa.gov.au/mpcimg/14250/B14039.htm</v>
      </c>
    </row>
    <row r="8012" spans="1:11" x14ac:dyDescent="0.25">
      <c r="A8012" t="s">
        <v>26791</v>
      </c>
      <c r="B8012" s="1" t="str">
        <f>HYPERLINK("https://www.catalog.slsa.sa.gov.au/record=b2061878")</f>
        <v>https://www.catalog.slsa.sa.gov.au/record=b2061878</v>
      </c>
      <c r="C8012" s="1" t="str">
        <f>HYPERLINK("https://www.catalog.slsa.sa.gov.au/xrecord=b2061878")</f>
        <v>https://www.catalog.slsa.sa.gov.au/xrecord=b2061878</v>
      </c>
      <c r="D8012" t="s">
        <v>16831</v>
      </c>
      <c r="E8012" t="s">
        <v>26792</v>
      </c>
      <c r="F8012">
        <v>1958</v>
      </c>
      <c r="G8012" t="s">
        <v>25786</v>
      </c>
      <c r="H8012" t="s">
        <v>26793</v>
      </c>
      <c r="J8012" t="s">
        <v>24497</v>
      </c>
      <c r="K8012" s="2" t="str">
        <f>HYPERLINK("http://collections.slsa.sa.gov.au/mpcimg/14250/B14040.htm")</f>
        <v>http://collections.slsa.sa.gov.au/mpcimg/14250/B14040.htm</v>
      </c>
    </row>
    <row r="8013" spans="1:11" x14ac:dyDescent="0.25">
      <c r="A8013" t="s">
        <v>26794</v>
      </c>
      <c r="B8013" s="1" t="str">
        <f>HYPERLINK("https://www.catalog.slsa.sa.gov.au/record=b2061901")</f>
        <v>https://www.catalog.slsa.sa.gov.au/record=b2061901</v>
      </c>
      <c r="C8013" s="1" t="str">
        <f>HYPERLINK("https://www.catalog.slsa.sa.gov.au/xrecord=b2061901")</f>
        <v>https://www.catalog.slsa.sa.gov.au/xrecord=b2061901</v>
      </c>
      <c r="D8013" t="s">
        <v>16831</v>
      </c>
      <c r="E8013" t="s">
        <v>21178</v>
      </c>
      <c r="F8013">
        <v>1958</v>
      </c>
      <c r="G8013" t="s">
        <v>25786</v>
      </c>
      <c r="H8013" t="s">
        <v>26795</v>
      </c>
      <c r="J8013" t="s">
        <v>25525</v>
      </c>
      <c r="K8013" s="2" t="str">
        <f>HYPERLINK("http://collections.slsa.sa.gov.au/mpcimg/14250/B14064.htm")</f>
        <v>http://collections.slsa.sa.gov.au/mpcimg/14250/B14064.htm</v>
      </c>
    </row>
    <row r="8014" spans="1:11" x14ac:dyDescent="0.25">
      <c r="A8014" t="s">
        <v>26796</v>
      </c>
      <c r="B8014" s="1" t="str">
        <f>HYPERLINK("https://www.catalog.slsa.sa.gov.au/record=b2061913")</f>
        <v>https://www.catalog.slsa.sa.gov.au/record=b2061913</v>
      </c>
      <c r="C8014" s="1" t="str">
        <f>HYPERLINK("https://www.catalog.slsa.sa.gov.au/xrecord=b2061913")</f>
        <v>https://www.catalog.slsa.sa.gov.au/xrecord=b2061913</v>
      </c>
      <c r="D8014" t="s">
        <v>16831</v>
      </c>
      <c r="E8014" t="s">
        <v>21208</v>
      </c>
      <c r="F8014">
        <v>1958</v>
      </c>
      <c r="G8014" t="s">
        <v>25786</v>
      </c>
      <c r="H8014" t="s">
        <v>26797</v>
      </c>
      <c r="J8014" t="s">
        <v>24501</v>
      </c>
      <c r="K8014" s="2" t="str">
        <f>HYPERLINK("http://collections.slsa.sa.gov.au/mpcimg/14250/B14063.htm")</f>
        <v>http://collections.slsa.sa.gov.au/mpcimg/14250/B14063.htm</v>
      </c>
    </row>
    <row r="8015" spans="1:11" x14ac:dyDescent="0.25">
      <c r="A8015" t="s">
        <v>26798</v>
      </c>
      <c r="B8015" s="1" t="str">
        <f>HYPERLINK("https://www.catalog.slsa.sa.gov.au/record=b2061952")</f>
        <v>https://www.catalog.slsa.sa.gov.au/record=b2061952</v>
      </c>
      <c r="C8015" s="1" t="str">
        <f>HYPERLINK("https://www.catalog.slsa.sa.gov.au/xrecord=b2061952")</f>
        <v>https://www.catalog.slsa.sa.gov.au/xrecord=b2061952</v>
      </c>
      <c r="D8015" t="s">
        <v>16831</v>
      </c>
      <c r="E8015" t="s">
        <v>21208</v>
      </c>
      <c r="F8015">
        <v>1958</v>
      </c>
      <c r="G8015" t="s">
        <v>25786</v>
      </c>
      <c r="H8015" t="s">
        <v>26799</v>
      </c>
      <c r="J8015" t="s">
        <v>26800</v>
      </c>
      <c r="K8015" s="2" t="str">
        <f>HYPERLINK("http://collections.slsa.sa.gov.au/mpcimg/14250/B14182.htm")</f>
        <v>http://collections.slsa.sa.gov.au/mpcimg/14250/B14182.htm</v>
      </c>
    </row>
    <row r="8016" spans="1:11" x14ac:dyDescent="0.25">
      <c r="A8016" t="s">
        <v>26801</v>
      </c>
      <c r="B8016" s="1" t="str">
        <f>HYPERLINK("https://www.catalog.slsa.sa.gov.au/record=b2061963")</f>
        <v>https://www.catalog.slsa.sa.gov.au/record=b2061963</v>
      </c>
      <c r="C8016" s="1" t="str">
        <f>HYPERLINK("https://www.catalog.slsa.sa.gov.au/xrecord=b2061963")</f>
        <v>https://www.catalog.slsa.sa.gov.au/xrecord=b2061963</v>
      </c>
      <c r="D8016" t="s">
        <v>16831</v>
      </c>
      <c r="E8016" t="s">
        <v>25404</v>
      </c>
      <c r="F8016">
        <v>1958</v>
      </c>
      <c r="G8016" t="s">
        <v>25786</v>
      </c>
      <c r="H8016" t="s">
        <v>26802</v>
      </c>
      <c r="J8016" t="s">
        <v>26038</v>
      </c>
      <c r="K8016" s="2" t="str">
        <f>HYPERLINK("http://collections.slsa.sa.gov.au/mpcimg/14250/B14074.htm")</f>
        <v>http://collections.slsa.sa.gov.au/mpcimg/14250/B14074.htm</v>
      </c>
    </row>
    <row r="8017" spans="1:11" x14ac:dyDescent="0.25">
      <c r="A8017" t="s">
        <v>26803</v>
      </c>
      <c r="B8017" s="1" t="str">
        <f>HYPERLINK("https://www.catalog.slsa.sa.gov.au/record=b2062010")</f>
        <v>https://www.catalog.slsa.sa.gov.au/record=b2062010</v>
      </c>
      <c r="C8017" s="1" t="str">
        <f>HYPERLINK("https://www.catalog.slsa.sa.gov.au/xrecord=b2062010")</f>
        <v>https://www.catalog.slsa.sa.gov.au/xrecord=b2062010</v>
      </c>
      <c r="D8017" t="s">
        <v>16831</v>
      </c>
      <c r="E8017" t="s">
        <v>21212</v>
      </c>
      <c r="F8017">
        <v>1958</v>
      </c>
      <c r="G8017" t="s">
        <v>25786</v>
      </c>
      <c r="H8017" t="s">
        <v>26804</v>
      </c>
      <c r="J8017" t="s">
        <v>26401</v>
      </c>
      <c r="K8017" s="2" t="str">
        <f>HYPERLINK("http://collections.slsa.sa.gov.au/mpcimg/14250/B14022.htm")</f>
        <v>http://collections.slsa.sa.gov.au/mpcimg/14250/B14022.htm</v>
      </c>
    </row>
    <row r="8018" spans="1:11" x14ac:dyDescent="0.25">
      <c r="A8018" t="s">
        <v>26805</v>
      </c>
      <c r="B8018" s="1" t="str">
        <f>HYPERLINK("https://www.catalog.slsa.sa.gov.au/record=b2062026")</f>
        <v>https://www.catalog.slsa.sa.gov.au/record=b2062026</v>
      </c>
      <c r="C8018" s="1" t="str">
        <f>HYPERLINK("https://www.catalog.slsa.sa.gov.au/xrecord=b2062026")</f>
        <v>https://www.catalog.slsa.sa.gov.au/xrecord=b2062026</v>
      </c>
      <c r="D8018" t="s">
        <v>16831</v>
      </c>
      <c r="E8018" t="s">
        <v>21212</v>
      </c>
      <c r="F8018">
        <v>1958</v>
      </c>
      <c r="G8018" t="s">
        <v>25786</v>
      </c>
      <c r="H8018" t="s">
        <v>26806</v>
      </c>
      <c r="J8018" t="s">
        <v>26404</v>
      </c>
      <c r="K8018" s="2" t="str">
        <f>HYPERLINK("http://collections.slsa.sa.gov.au/mpcimg/14250/B14023.htm")</f>
        <v>http://collections.slsa.sa.gov.au/mpcimg/14250/B14023.htm</v>
      </c>
    </row>
    <row r="8019" spans="1:11" x14ac:dyDescent="0.25">
      <c r="A8019" t="s">
        <v>26807</v>
      </c>
      <c r="B8019" s="1" t="str">
        <f>HYPERLINK("https://www.catalog.slsa.sa.gov.au/record=b2062074")</f>
        <v>https://www.catalog.slsa.sa.gov.au/record=b2062074</v>
      </c>
      <c r="C8019" s="1" t="str">
        <f>HYPERLINK("https://www.catalog.slsa.sa.gov.au/xrecord=b2062074")</f>
        <v>https://www.catalog.slsa.sa.gov.au/xrecord=b2062074</v>
      </c>
      <c r="D8019" t="s">
        <v>16831</v>
      </c>
      <c r="E8019" t="s">
        <v>26808</v>
      </c>
      <c r="F8019">
        <v>1958</v>
      </c>
      <c r="G8019" t="s">
        <v>16674</v>
      </c>
      <c r="H8019" t="s">
        <v>26809</v>
      </c>
      <c r="J8019" t="s">
        <v>24511</v>
      </c>
      <c r="K8019" s="2" t="str">
        <f>HYPERLINK("http://collections.slsa.sa.gov.au/mpcimg/14250/B14014.htm")</f>
        <v>http://collections.slsa.sa.gov.au/mpcimg/14250/B14014.htm</v>
      </c>
    </row>
    <row r="8020" spans="1:11" x14ac:dyDescent="0.25">
      <c r="A8020" t="s">
        <v>26810</v>
      </c>
      <c r="B8020" s="1" t="str">
        <f>HYPERLINK("https://www.catalog.slsa.sa.gov.au/record=b2062075")</f>
        <v>https://www.catalog.slsa.sa.gov.au/record=b2062075</v>
      </c>
      <c r="C8020" s="1" t="str">
        <f>HYPERLINK("https://www.catalog.slsa.sa.gov.au/xrecord=b2062075")</f>
        <v>https://www.catalog.slsa.sa.gov.au/xrecord=b2062075</v>
      </c>
      <c r="D8020" t="s">
        <v>16831</v>
      </c>
      <c r="E8020" t="s">
        <v>21212</v>
      </c>
      <c r="F8020">
        <v>1958</v>
      </c>
      <c r="G8020" t="s">
        <v>25786</v>
      </c>
      <c r="H8020" t="s">
        <v>26811</v>
      </c>
      <c r="J8020" t="s">
        <v>24511</v>
      </c>
      <c r="K8020" s="2" t="str">
        <f>HYPERLINK("http://collections.slsa.sa.gov.au/mpcimg/14250/B14178.htm")</f>
        <v>http://collections.slsa.sa.gov.au/mpcimg/14250/B14178.htm</v>
      </c>
    </row>
    <row r="8021" spans="1:11" x14ac:dyDescent="0.25">
      <c r="A8021" t="s">
        <v>26812</v>
      </c>
      <c r="B8021" s="1" t="str">
        <f>HYPERLINK("https://www.catalog.slsa.sa.gov.au/record=b2062076")</f>
        <v>https://www.catalog.slsa.sa.gov.au/record=b2062076</v>
      </c>
      <c r="C8021" s="1" t="str">
        <f>HYPERLINK("https://www.catalog.slsa.sa.gov.au/xrecord=b2062076")</f>
        <v>https://www.catalog.slsa.sa.gov.au/xrecord=b2062076</v>
      </c>
      <c r="D8021" t="s">
        <v>16831</v>
      </c>
      <c r="E8021" t="s">
        <v>26808</v>
      </c>
      <c r="F8021">
        <v>1958</v>
      </c>
      <c r="G8021" t="s">
        <v>25786</v>
      </c>
      <c r="H8021" t="s">
        <v>26813</v>
      </c>
      <c r="J8021" t="s">
        <v>24511</v>
      </c>
      <c r="K8021" s="2" t="str">
        <f>HYPERLINK("http://collections.slsa.sa.gov.au/mpcimg/14250/B14179.htm")</f>
        <v>http://collections.slsa.sa.gov.au/mpcimg/14250/B14179.htm</v>
      </c>
    </row>
    <row r="8022" spans="1:11" x14ac:dyDescent="0.25">
      <c r="A8022" t="s">
        <v>26814</v>
      </c>
      <c r="B8022" s="1" t="str">
        <f>HYPERLINK("https://www.catalog.slsa.sa.gov.au/record=b2062092")</f>
        <v>https://www.catalog.slsa.sa.gov.au/record=b2062092</v>
      </c>
      <c r="C8022" s="1" t="str">
        <f>HYPERLINK("https://www.catalog.slsa.sa.gov.au/xrecord=b2062092")</f>
        <v>https://www.catalog.slsa.sa.gov.au/xrecord=b2062092</v>
      </c>
      <c r="D8022" t="s">
        <v>16831</v>
      </c>
      <c r="E8022" t="s">
        <v>26388</v>
      </c>
      <c r="F8022">
        <v>1958</v>
      </c>
      <c r="G8022" t="s">
        <v>25786</v>
      </c>
      <c r="H8022" t="s">
        <v>26815</v>
      </c>
      <c r="J8022" t="s">
        <v>24517</v>
      </c>
      <c r="K8022" s="2" t="str">
        <f>HYPERLINK("http://collections.slsa.sa.gov.au/mpcimg/14250/B14115.htm")</f>
        <v>http://collections.slsa.sa.gov.au/mpcimg/14250/B14115.htm</v>
      </c>
    </row>
    <row r="8023" spans="1:11" x14ac:dyDescent="0.25">
      <c r="A8023" t="s">
        <v>26816</v>
      </c>
      <c r="B8023" s="1" t="str">
        <f>HYPERLINK("https://www.catalog.slsa.sa.gov.au/record=b2062099")</f>
        <v>https://www.catalog.slsa.sa.gov.au/record=b2062099</v>
      </c>
      <c r="C8023" s="1" t="str">
        <f>HYPERLINK("https://www.catalog.slsa.sa.gov.au/xrecord=b2062099")</f>
        <v>https://www.catalog.slsa.sa.gov.au/xrecord=b2062099</v>
      </c>
      <c r="D8023" t="s">
        <v>16831</v>
      </c>
      <c r="E8023" t="s">
        <v>24509</v>
      </c>
      <c r="F8023">
        <v>1958</v>
      </c>
      <c r="G8023" t="s">
        <v>25786</v>
      </c>
      <c r="H8023" t="s">
        <v>26817</v>
      </c>
      <c r="J8023" t="s">
        <v>26818</v>
      </c>
      <c r="K8023" s="2" t="str">
        <f>HYPERLINK("http://collections.slsa.sa.gov.au/mpcimg/14250/B14038.htm")</f>
        <v>http://collections.slsa.sa.gov.au/mpcimg/14250/B14038.htm</v>
      </c>
    </row>
    <row r="8024" spans="1:11" x14ac:dyDescent="0.25">
      <c r="A8024" t="s">
        <v>26819</v>
      </c>
      <c r="B8024" s="1" t="str">
        <f>HYPERLINK("https://www.catalog.slsa.sa.gov.au/record=b2062100")</f>
        <v>https://www.catalog.slsa.sa.gov.au/record=b2062100</v>
      </c>
      <c r="C8024" s="1" t="str">
        <f>HYPERLINK("https://www.catalog.slsa.sa.gov.au/xrecord=b2062100")</f>
        <v>https://www.catalog.slsa.sa.gov.au/xrecord=b2062100</v>
      </c>
      <c r="D8024" t="s">
        <v>16831</v>
      </c>
      <c r="E8024" t="s">
        <v>26820</v>
      </c>
      <c r="F8024">
        <v>1958</v>
      </c>
      <c r="G8024" t="s">
        <v>25786</v>
      </c>
      <c r="H8024" t="s">
        <v>26821</v>
      </c>
      <c r="J8024" t="s">
        <v>26818</v>
      </c>
      <c r="K8024" s="2" t="str">
        <f>HYPERLINK("http://collections.slsa.sa.gov.au/mpcimg/14250/B14052.htm")</f>
        <v>http://collections.slsa.sa.gov.au/mpcimg/14250/B14052.htm</v>
      </c>
    </row>
    <row r="8025" spans="1:11" x14ac:dyDescent="0.25">
      <c r="A8025" t="s">
        <v>26822</v>
      </c>
      <c r="B8025" s="1" t="str">
        <f>HYPERLINK("https://www.catalog.slsa.sa.gov.au/record=b2062108")</f>
        <v>https://www.catalog.slsa.sa.gov.au/record=b2062108</v>
      </c>
      <c r="C8025" s="1" t="str">
        <f>HYPERLINK("https://www.catalog.slsa.sa.gov.au/xrecord=b2062108")</f>
        <v>https://www.catalog.slsa.sa.gov.au/xrecord=b2062108</v>
      </c>
      <c r="D8025" t="s">
        <v>16831</v>
      </c>
      <c r="E8025" t="s">
        <v>16771</v>
      </c>
      <c r="F8025">
        <v>1958</v>
      </c>
      <c r="G8025" t="s">
        <v>25786</v>
      </c>
      <c r="H8025" t="s">
        <v>26823</v>
      </c>
      <c r="J8025" t="s">
        <v>21221</v>
      </c>
      <c r="K8025" s="2" t="str">
        <f>HYPERLINK("http://collections.slsa.sa.gov.au/mpcimg/14250/B14077.htm")</f>
        <v>http://collections.slsa.sa.gov.au/mpcimg/14250/B14077.htm</v>
      </c>
    </row>
    <row r="8026" spans="1:11" x14ac:dyDescent="0.25">
      <c r="A8026" t="s">
        <v>26824</v>
      </c>
      <c r="B8026" s="1" t="str">
        <f>HYPERLINK("https://www.catalog.slsa.sa.gov.au/record=b2062185")</f>
        <v>https://www.catalog.slsa.sa.gov.au/record=b2062185</v>
      </c>
      <c r="C8026" s="1" t="str">
        <f>HYPERLINK("https://www.catalog.slsa.sa.gov.au/xrecord=b2062185")</f>
        <v>https://www.catalog.slsa.sa.gov.au/xrecord=b2062185</v>
      </c>
      <c r="D8026" t="s">
        <v>16831</v>
      </c>
      <c r="E8026" t="s">
        <v>26825</v>
      </c>
      <c r="F8026">
        <v>1958</v>
      </c>
      <c r="G8026" t="s">
        <v>25786</v>
      </c>
      <c r="H8026" t="s">
        <v>26826</v>
      </c>
      <c r="J8026" t="s">
        <v>24539</v>
      </c>
      <c r="K8026" s="2" t="str">
        <f>HYPERLINK("http://collections.slsa.sa.gov.au/mpcimg/14250/B14086.htm")</f>
        <v>http://collections.slsa.sa.gov.au/mpcimg/14250/B14086.htm</v>
      </c>
    </row>
    <row r="8027" spans="1:11" x14ac:dyDescent="0.25">
      <c r="A8027" t="s">
        <v>26827</v>
      </c>
      <c r="B8027" s="1" t="str">
        <f>HYPERLINK("https://www.catalog.slsa.sa.gov.au/record=b2062186")</f>
        <v>https://www.catalog.slsa.sa.gov.au/record=b2062186</v>
      </c>
      <c r="C8027" s="1" t="str">
        <f>HYPERLINK("https://www.catalog.slsa.sa.gov.au/xrecord=b2062186")</f>
        <v>https://www.catalog.slsa.sa.gov.au/xrecord=b2062186</v>
      </c>
      <c r="D8027" t="s">
        <v>16831</v>
      </c>
      <c r="E8027" t="s">
        <v>26825</v>
      </c>
      <c r="F8027">
        <v>1958</v>
      </c>
      <c r="G8027" t="s">
        <v>25786</v>
      </c>
      <c r="H8027" t="s">
        <v>26828</v>
      </c>
      <c r="J8027" t="s">
        <v>24539</v>
      </c>
      <c r="K8027" s="2" t="str">
        <f>HYPERLINK("http://collections.slsa.sa.gov.au/mpcimg/14250/B14087.htm")</f>
        <v>http://collections.slsa.sa.gov.au/mpcimg/14250/B14087.htm</v>
      </c>
    </row>
    <row r="8028" spans="1:11" x14ac:dyDescent="0.25">
      <c r="A8028" t="s">
        <v>26829</v>
      </c>
      <c r="B8028" s="1" t="str">
        <f>HYPERLINK("https://www.catalog.slsa.sa.gov.au/record=b2062187")</f>
        <v>https://www.catalog.slsa.sa.gov.au/record=b2062187</v>
      </c>
      <c r="C8028" s="1" t="str">
        <f>HYPERLINK("https://www.catalog.slsa.sa.gov.au/xrecord=b2062187")</f>
        <v>https://www.catalog.slsa.sa.gov.au/xrecord=b2062187</v>
      </c>
      <c r="D8028" t="s">
        <v>16831</v>
      </c>
      <c r="E8028" t="s">
        <v>26825</v>
      </c>
      <c r="F8028">
        <v>1958</v>
      </c>
      <c r="G8028" t="s">
        <v>25786</v>
      </c>
      <c r="H8028" t="s">
        <v>26830</v>
      </c>
      <c r="J8028" t="s">
        <v>24539</v>
      </c>
      <c r="K8028" s="2" t="str">
        <f>HYPERLINK("http://collections.slsa.sa.gov.au/mpcimg/14250/B14088.htm")</f>
        <v>http://collections.slsa.sa.gov.au/mpcimg/14250/B14088.htm</v>
      </c>
    </row>
    <row r="8029" spans="1:11" x14ac:dyDescent="0.25">
      <c r="A8029" t="s">
        <v>26831</v>
      </c>
      <c r="B8029" s="1" t="str">
        <f>HYPERLINK("https://www.catalog.slsa.sa.gov.au/record=b2062212")</f>
        <v>https://www.catalog.slsa.sa.gov.au/record=b2062212</v>
      </c>
      <c r="C8029" s="1" t="str">
        <f>HYPERLINK("https://www.catalog.slsa.sa.gov.au/xrecord=b2062212")</f>
        <v>https://www.catalog.slsa.sa.gov.au/xrecord=b2062212</v>
      </c>
      <c r="D8029" t="s">
        <v>16831</v>
      </c>
      <c r="E8029" t="s">
        <v>20974</v>
      </c>
      <c r="F8029">
        <v>1958</v>
      </c>
      <c r="G8029" t="s">
        <v>25786</v>
      </c>
      <c r="H8029" t="s">
        <v>26832</v>
      </c>
      <c r="J8029" t="s">
        <v>24542</v>
      </c>
      <c r="K8029" s="2" t="str">
        <f>HYPERLINK("http://collections.slsa.sa.gov.au/mpcimg/14250/B14125.htm")</f>
        <v>http://collections.slsa.sa.gov.au/mpcimg/14250/B14125.htm</v>
      </c>
    </row>
    <row r="8030" spans="1:11" x14ac:dyDescent="0.25">
      <c r="A8030" t="s">
        <v>26833</v>
      </c>
      <c r="B8030" s="1" t="str">
        <f>HYPERLINK("https://www.catalog.slsa.sa.gov.au/record=b2062213")</f>
        <v>https://www.catalog.slsa.sa.gov.au/record=b2062213</v>
      </c>
      <c r="C8030" s="1" t="str">
        <f>HYPERLINK("https://www.catalog.slsa.sa.gov.au/xrecord=b2062213")</f>
        <v>https://www.catalog.slsa.sa.gov.au/xrecord=b2062213</v>
      </c>
      <c r="D8030" t="s">
        <v>16831</v>
      </c>
      <c r="E8030" t="s">
        <v>10268</v>
      </c>
      <c r="F8030">
        <v>1958</v>
      </c>
      <c r="G8030" t="s">
        <v>25786</v>
      </c>
      <c r="H8030" t="s">
        <v>26834</v>
      </c>
      <c r="J8030" t="s">
        <v>24542</v>
      </c>
      <c r="K8030" s="2" t="str">
        <f>HYPERLINK("http://collections.slsa.sa.gov.au/mpcimg/14250/B14126.htm")</f>
        <v>http://collections.slsa.sa.gov.au/mpcimg/14250/B14126.htm</v>
      </c>
    </row>
    <row r="8031" spans="1:11" x14ac:dyDescent="0.25">
      <c r="A8031" t="s">
        <v>26835</v>
      </c>
      <c r="B8031" s="1" t="str">
        <f>HYPERLINK("https://www.catalog.slsa.sa.gov.au/record=b2062279")</f>
        <v>https://www.catalog.slsa.sa.gov.au/record=b2062279</v>
      </c>
      <c r="C8031" s="1" t="str">
        <f>HYPERLINK("https://www.catalog.slsa.sa.gov.au/xrecord=b2062279")</f>
        <v>https://www.catalog.slsa.sa.gov.au/xrecord=b2062279</v>
      </c>
      <c r="D8031" t="s">
        <v>16831</v>
      </c>
      <c r="E8031" t="s">
        <v>24485</v>
      </c>
      <c r="F8031">
        <v>1958</v>
      </c>
      <c r="G8031" t="s">
        <v>25786</v>
      </c>
      <c r="H8031" t="s">
        <v>26836</v>
      </c>
      <c r="J8031" t="s">
        <v>26837</v>
      </c>
      <c r="K8031" s="2" t="str">
        <f>HYPERLINK("http://collections.slsa.sa.gov.au/mpcimg/14250/B14083.htm")</f>
        <v>http://collections.slsa.sa.gov.au/mpcimg/14250/B14083.htm</v>
      </c>
    </row>
    <row r="8032" spans="1:11" x14ac:dyDescent="0.25">
      <c r="A8032" t="s">
        <v>26838</v>
      </c>
      <c r="B8032" s="1" t="str">
        <f>HYPERLINK("https://www.catalog.slsa.sa.gov.au/record=b2062299")</f>
        <v>https://www.catalog.slsa.sa.gov.au/record=b2062299</v>
      </c>
      <c r="C8032" s="1" t="str">
        <f>HYPERLINK("https://www.catalog.slsa.sa.gov.au/xrecord=b2062299")</f>
        <v>https://www.catalog.slsa.sa.gov.au/xrecord=b2062299</v>
      </c>
      <c r="D8032" t="s">
        <v>16831</v>
      </c>
      <c r="E8032" t="s">
        <v>24534</v>
      </c>
      <c r="F8032">
        <v>1958</v>
      </c>
      <c r="G8032" t="s">
        <v>25786</v>
      </c>
      <c r="H8032" t="s">
        <v>26839</v>
      </c>
      <c r="J8032" t="s">
        <v>26062</v>
      </c>
      <c r="K8032" s="2" t="str">
        <f>HYPERLINK("http://collections.slsa.sa.gov.au/mpcimg/14250/B14081.htm")</f>
        <v>http://collections.slsa.sa.gov.au/mpcimg/14250/B14081.htm</v>
      </c>
    </row>
    <row r="8033" spans="1:11" x14ac:dyDescent="0.25">
      <c r="A8033" t="s">
        <v>26840</v>
      </c>
      <c r="B8033" s="1" t="str">
        <f>HYPERLINK("https://www.catalog.slsa.sa.gov.au/record=b2062300")</f>
        <v>https://www.catalog.slsa.sa.gov.au/record=b2062300</v>
      </c>
      <c r="C8033" s="1" t="str">
        <f>HYPERLINK("https://www.catalog.slsa.sa.gov.au/xrecord=b2062300")</f>
        <v>https://www.catalog.slsa.sa.gov.au/xrecord=b2062300</v>
      </c>
      <c r="D8033" t="s">
        <v>16831</v>
      </c>
      <c r="E8033" t="s">
        <v>10268</v>
      </c>
      <c r="F8033">
        <v>1958</v>
      </c>
      <c r="G8033" t="s">
        <v>25786</v>
      </c>
      <c r="H8033" t="s">
        <v>26841</v>
      </c>
      <c r="J8033" t="s">
        <v>22941</v>
      </c>
      <c r="K8033" s="2" t="str">
        <f>HYPERLINK("http://collections.slsa.sa.gov.au/mpcimg/14250/B14082.htm")</f>
        <v>http://collections.slsa.sa.gov.au/mpcimg/14250/B14082.htm</v>
      </c>
    </row>
    <row r="8034" spans="1:11" x14ac:dyDescent="0.25">
      <c r="A8034" t="s">
        <v>26842</v>
      </c>
      <c r="B8034" s="1" t="str">
        <f>HYPERLINK("https://www.catalog.slsa.sa.gov.au/record=b2062339")</f>
        <v>https://www.catalog.slsa.sa.gov.au/record=b2062339</v>
      </c>
      <c r="C8034" s="1" t="str">
        <f>HYPERLINK("https://www.catalog.slsa.sa.gov.au/xrecord=b2062339")</f>
        <v>https://www.catalog.slsa.sa.gov.au/xrecord=b2062339</v>
      </c>
      <c r="D8034" t="s">
        <v>16831</v>
      </c>
      <c r="E8034" t="s">
        <v>21212</v>
      </c>
      <c r="F8034">
        <v>1958</v>
      </c>
      <c r="G8034" t="s">
        <v>25786</v>
      </c>
      <c r="H8034" t="s">
        <v>26843</v>
      </c>
      <c r="J8034" t="s">
        <v>25556</v>
      </c>
      <c r="K8034" s="2" t="str">
        <f>HYPERLINK("http://collections.slsa.sa.gov.au/mpcimg/14250/B14013.htm")</f>
        <v>http://collections.slsa.sa.gov.au/mpcimg/14250/B14013.htm</v>
      </c>
    </row>
    <row r="8035" spans="1:11" x14ac:dyDescent="0.25">
      <c r="A8035" t="s">
        <v>26844</v>
      </c>
      <c r="B8035" s="1" t="str">
        <f>HYPERLINK("https://www.catalog.slsa.sa.gov.au/record=b2062352")</f>
        <v>https://www.catalog.slsa.sa.gov.au/record=b2062352</v>
      </c>
      <c r="C8035" s="1" t="str">
        <f>HYPERLINK("https://www.catalog.slsa.sa.gov.au/xrecord=b2062352")</f>
        <v>https://www.catalog.slsa.sa.gov.au/xrecord=b2062352</v>
      </c>
      <c r="D8035" t="s">
        <v>16831</v>
      </c>
      <c r="E8035" t="s">
        <v>21212</v>
      </c>
      <c r="F8035">
        <v>1958</v>
      </c>
      <c r="G8035" t="s">
        <v>25786</v>
      </c>
      <c r="H8035" t="s">
        <v>26845</v>
      </c>
      <c r="J8035" t="s">
        <v>24558</v>
      </c>
      <c r="K8035" s="2" t="str">
        <f>HYPERLINK("http://collections.slsa.sa.gov.au/mpcimg/14250/B14015.htm")</f>
        <v>http://collections.slsa.sa.gov.au/mpcimg/14250/B14015.htm</v>
      </c>
    </row>
    <row r="8036" spans="1:11" x14ac:dyDescent="0.25">
      <c r="A8036" t="s">
        <v>26846</v>
      </c>
      <c r="B8036" s="1" t="str">
        <f>HYPERLINK("https://www.catalog.slsa.sa.gov.au/record=b2062353")</f>
        <v>https://www.catalog.slsa.sa.gov.au/record=b2062353</v>
      </c>
      <c r="C8036" s="1" t="str">
        <f>HYPERLINK("https://www.catalog.slsa.sa.gov.au/xrecord=b2062353")</f>
        <v>https://www.catalog.slsa.sa.gov.au/xrecord=b2062353</v>
      </c>
      <c r="D8036" t="s">
        <v>16831</v>
      </c>
      <c r="E8036" t="s">
        <v>21212</v>
      </c>
      <c r="F8036">
        <v>1958</v>
      </c>
      <c r="G8036" t="s">
        <v>25786</v>
      </c>
      <c r="H8036" t="s">
        <v>26847</v>
      </c>
      <c r="J8036" t="s">
        <v>24558</v>
      </c>
      <c r="K8036" s="2" t="str">
        <f>HYPERLINK("http://collections.slsa.sa.gov.au/mpcimg/14250/B14177.htm")</f>
        <v>http://collections.slsa.sa.gov.au/mpcimg/14250/B14177.htm</v>
      </c>
    </row>
    <row r="8037" spans="1:11" x14ac:dyDescent="0.25">
      <c r="A8037" t="s">
        <v>26848</v>
      </c>
      <c r="B8037" s="1" t="str">
        <f>HYPERLINK("https://www.catalog.slsa.sa.gov.au/record=b2062366")</f>
        <v>https://www.catalog.slsa.sa.gov.au/record=b2062366</v>
      </c>
      <c r="C8037" s="1" t="str">
        <f>HYPERLINK("https://www.catalog.slsa.sa.gov.au/xrecord=b2062366")</f>
        <v>https://www.catalog.slsa.sa.gov.au/xrecord=b2062366</v>
      </c>
      <c r="D8037" t="s">
        <v>16831</v>
      </c>
      <c r="E8037" t="s">
        <v>21212</v>
      </c>
      <c r="F8037">
        <v>1958</v>
      </c>
      <c r="G8037" t="s">
        <v>25786</v>
      </c>
      <c r="H8037" t="s">
        <v>26849</v>
      </c>
      <c r="J8037" t="s">
        <v>24561</v>
      </c>
      <c r="K8037" s="2" t="str">
        <f>HYPERLINK("http://collections.slsa.sa.gov.au/mpcimg/14250/B14020.htm")</f>
        <v>http://collections.slsa.sa.gov.au/mpcimg/14250/B14020.htm</v>
      </c>
    </row>
    <row r="8038" spans="1:11" x14ac:dyDescent="0.25">
      <c r="A8038" t="s">
        <v>26850</v>
      </c>
      <c r="B8038" s="1" t="str">
        <f>HYPERLINK("https://www.catalog.slsa.sa.gov.au/record=b2062367")</f>
        <v>https://www.catalog.slsa.sa.gov.au/record=b2062367</v>
      </c>
      <c r="C8038" s="1" t="str">
        <f>HYPERLINK("https://www.catalog.slsa.sa.gov.au/xrecord=b2062367")</f>
        <v>https://www.catalog.slsa.sa.gov.au/xrecord=b2062367</v>
      </c>
      <c r="D8038" t="s">
        <v>16831</v>
      </c>
      <c r="E8038" t="s">
        <v>21212</v>
      </c>
      <c r="F8038">
        <v>1958</v>
      </c>
      <c r="G8038" t="s">
        <v>25786</v>
      </c>
      <c r="H8038" t="s">
        <v>26851</v>
      </c>
      <c r="J8038" t="s">
        <v>24561</v>
      </c>
      <c r="K8038" s="2" t="str">
        <f>HYPERLINK("http://collections.slsa.sa.gov.au/mpcimg/14250/B14021.htm")</f>
        <v>http://collections.slsa.sa.gov.au/mpcimg/14250/B14021.htm</v>
      </c>
    </row>
    <row r="8039" spans="1:11" x14ac:dyDescent="0.25">
      <c r="A8039" t="s">
        <v>26852</v>
      </c>
      <c r="B8039" s="1" t="str">
        <f>HYPERLINK("https://www.catalog.slsa.sa.gov.au/record=b2062380")</f>
        <v>https://www.catalog.slsa.sa.gov.au/record=b2062380</v>
      </c>
      <c r="C8039" s="1" t="str">
        <f>HYPERLINK("https://www.catalog.slsa.sa.gov.au/xrecord=b2062380")</f>
        <v>https://www.catalog.slsa.sa.gov.au/xrecord=b2062380</v>
      </c>
      <c r="D8039" t="s">
        <v>16831</v>
      </c>
      <c r="E8039" t="s">
        <v>21212</v>
      </c>
      <c r="F8039">
        <v>1958</v>
      </c>
      <c r="G8039" t="s">
        <v>25786</v>
      </c>
      <c r="H8039" t="s">
        <v>26853</v>
      </c>
      <c r="J8039" t="s">
        <v>21230</v>
      </c>
      <c r="K8039" s="2" t="str">
        <f>HYPERLINK("http://collections.slsa.sa.gov.au/mpcimg/14250/B14024.htm")</f>
        <v>http://collections.slsa.sa.gov.au/mpcimg/14250/B14024.htm</v>
      </c>
    </row>
    <row r="8040" spans="1:11" x14ac:dyDescent="0.25">
      <c r="A8040" t="s">
        <v>26854</v>
      </c>
      <c r="B8040" s="1" t="str">
        <f>HYPERLINK("https://www.catalog.slsa.sa.gov.au/record=b2062399")</f>
        <v>https://www.catalog.slsa.sa.gov.au/record=b2062399</v>
      </c>
      <c r="C8040" s="1" t="str">
        <f>HYPERLINK("https://www.catalog.slsa.sa.gov.au/xrecord=b2062399")</f>
        <v>https://www.catalog.slsa.sa.gov.au/xrecord=b2062399</v>
      </c>
      <c r="D8040" t="s">
        <v>16831</v>
      </c>
      <c r="E8040" t="s">
        <v>24404</v>
      </c>
      <c r="F8040">
        <v>1958</v>
      </c>
      <c r="G8040" t="s">
        <v>25786</v>
      </c>
      <c r="H8040" t="s">
        <v>26855</v>
      </c>
      <c r="J8040" t="s">
        <v>26856</v>
      </c>
      <c r="K8040" s="2" t="str">
        <f>HYPERLINK("http://collections.slsa.sa.gov.au/mpcimg/14250/B14105.htm")</f>
        <v>http://collections.slsa.sa.gov.au/mpcimg/14250/B14105.htm</v>
      </c>
    </row>
    <row r="8041" spans="1:11" x14ac:dyDescent="0.25">
      <c r="A8041" t="s">
        <v>26857</v>
      </c>
      <c r="B8041" s="1" t="str">
        <f>HYPERLINK("https://www.catalog.slsa.sa.gov.au/record=b2062536")</f>
        <v>https://www.catalog.slsa.sa.gov.au/record=b2062536</v>
      </c>
      <c r="C8041" s="1" t="str">
        <f>HYPERLINK("https://www.catalog.slsa.sa.gov.au/xrecord=b2062536")</f>
        <v>https://www.catalog.slsa.sa.gov.au/xrecord=b2062536</v>
      </c>
      <c r="D8041" t="s">
        <v>16831</v>
      </c>
      <c r="E8041" t="s">
        <v>21236</v>
      </c>
      <c r="F8041">
        <v>1958</v>
      </c>
      <c r="G8041" t="s">
        <v>25786</v>
      </c>
      <c r="H8041" t="s">
        <v>26858</v>
      </c>
      <c r="J8041" t="s">
        <v>24580</v>
      </c>
      <c r="K8041" s="2" t="str">
        <f>HYPERLINK("http://collections.slsa.sa.gov.au/mpcimg/14250/B14035.htm")</f>
        <v>http://collections.slsa.sa.gov.au/mpcimg/14250/B14035.htm</v>
      </c>
    </row>
    <row r="8042" spans="1:11" x14ac:dyDescent="0.25">
      <c r="A8042" t="s">
        <v>26859</v>
      </c>
      <c r="B8042" s="1" t="str">
        <f>HYPERLINK("https://www.catalog.slsa.sa.gov.au/record=b2062582")</f>
        <v>https://www.catalog.slsa.sa.gov.au/record=b2062582</v>
      </c>
      <c r="C8042" s="1" t="str">
        <f>HYPERLINK("https://www.catalog.slsa.sa.gov.au/xrecord=b2062582")</f>
        <v>https://www.catalog.slsa.sa.gov.au/xrecord=b2062582</v>
      </c>
      <c r="D8042" t="s">
        <v>16831</v>
      </c>
      <c r="E8042" t="s">
        <v>21236</v>
      </c>
      <c r="F8042">
        <v>1958</v>
      </c>
      <c r="G8042" t="s">
        <v>25786</v>
      </c>
      <c r="H8042" t="s">
        <v>26860</v>
      </c>
      <c r="J8042" t="s">
        <v>25564</v>
      </c>
      <c r="K8042" s="2" t="str">
        <f>HYPERLINK("http://collections.slsa.sa.gov.au/mpcimg/14250/B14033.htm")</f>
        <v>http://collections.slsa.sa.gov.au/mpcimg/14250/B14033.htm</v>
      </c>
    </row>
    <row r="8043" spans="1:11" x14ac:dyDescent="0.25">
      <c r="A8043" t="s">
        <v>26861</v>
      </c>
      <c r="B8043" s="1" t="str">
        <f>HYPERLINK("https://www.catalog.slsa.sa.gov.au/record=b2062589")</f>
        <v>https://www.catalog.slsa.sa.gov.au/record=b2062589</v>
      </c>
      <c r="C8043" s="1" t="str">
        <f>HYPERLINK("https://www.catalog.slsa.sa.gov.au/xrecord=b2062589")</f>
        <v>https://www.catalog.slsa.sa.gov.au/xrecord=b2062589</v>
      </c>
      <c r="D8043" t="s">
        <v>16831</v>
      </c>
      <c r="E8043" t="s">
        <v>21236</v>
      </c>
      <c r="F8043">
        <v>1958</v>
      </c>
      <c r="G8043" t="s">
        <v>25786</v>
      </c>
      <c r="H8043" t="s">
        <v>26862</v>
      </c>
      <c r="J8043" t="s">
        <v>26863</v>
      </c>
      <c r="K8043" s="2" t="str">
        <f>HYPERLINK("http://collections.slsa.sa.gov.au/mpcimg/14250/B14032.htm")</f>
        <v>http://collections.slsa.sa.gov.au/mpcimg/14250/B14032.htm</v>
      </c>
    </row>
    <row r="8044" spans="1:11" x14ac:dyDescent="0.25">
      <c r="A8044" t="s">
        <v>26864</v>
      </c>
      <c r="B8044" s="1" t="str">
        <f>HYPERLINK("https://www.catalog.slsa.sa.gov.au/record=b2062603")</f>
        <v>https://www.catalog.slsa.sa.gov.au/record=b2062603</v>
      </c>
      <c r="C8044" s="1" t="str">
        <f>HYPERLINK("https://www.catalog.slsa.sa.gov.au/xrecord=b2062603")</f>
        <v>https://www.catalog.slsa.sa.gov.au/xrecord=b2062603</v>
      </c>
      <c r="D8044" t="s">
        <v>16831</v>
      </c>
      <c r="E8044" t="s">
        <v>21236</v>
      </c>
      <c r="F8044">
        <v>1958</v>
      </c>
      <c r="G8044" t="s">
        <v>25786</v>
      </c>
      <c r="H8044" t="s">
        <v>26865</v>
      </c>
      <c r="J8044" t="s">
        <v>26866</v>
      </c>
      <c r="K8044" s="2" t="str">
        <f>HYPERLINK("http://collections.slsa.sa.gov.au/mpcimg/14250/B14110.htm")</f>
        <v>http://collections.slsa.sa.gov.au/mpcimg/14250/B14110.htm</v>
      </c>
    </row>
    <row r="8045" spans="1:11" x14ac:dyDescent="0.25">
      <c r="A8045" t="s">
        <v>26867</v>
      </c>
      <c r="B8045" s="1" t="str">
        <f>HYPERLINK("https://www.catalog.slsa.sa.gov.au/record=b2062612")</f>
        <v>https://www.catalog.slsa.sa.gov.au/record=b2062612</v>
      </c>
      <c r="C8045" s="1" t="str">
        <f>HYPERLINK("https://www.catalog.slsa.sa.gov.au/xrecord=b2062612")</f>
        <v>https://www.catalog.slsa.sa.gov.au/xrecord=b2062612</v>
      </c>
      <c r="D8045" t="s">
        <v>16831</v>
      </c>
      <c r="E8045" t="s">
        <v>16771</v>
      </c>
      <c r="F8045">
        <v>1958</v>
      </c>
      <c r="G8045" t="s">
        <v>25786</v>
      </c>
      <c r="H8045" t="s">
        <v>26868</v>
      </c>
      <c r="J8045" t="s">
        <v>26869</v>
      </c>
      <c r="K8045" s="2" t="str">
        <f>HYPERLINK("http://collections.slsa.sa.gov.au/mpcimg/14250/B14127.htm")</f>
        <v>http://collections.slsa.sa.gov.au/mpcimg/14250/B14127.htm</v>
      </c>
    </row>
    <row r="8046" spans="1:11" x14ac:dyDescent="0.25">
      <c r="A8046" t="s">
        <v>26870</v>
      </c>
      <c r="B8046" s="1" t="str">
        <f>HYPERLINK("https://www.catalog.slsa.sa.gov.au/record=b2062663")</f>
        <v>https://www.catalog.slsa.sa.gov.au/record=b2062663</v>
      </c>
      <c r="C8046" s="1" t="str">
        <f>HYPERLINK("https://www.catalog.slsa.sa.gov.au/xrecord=b2062663")</f>
        <v>https://www.catalog.slsa.sa.gov.au/xrecord=b2062663</v>
      </c>
      <c r="D8046" t="s">
        <v>16831</v>
      </c>
      <c r="E8046" t="s">
        <v>24300</v>
      </c>
      <c r="F8046">
        <v>1958</v>
      </c>
      <c r="G8046" t="s">
        <v>25786</v>
      </c>
      <c r="H8046" t="s">
        <v>26871</v>
      </c>
      <c r="J8046" t="s">
        <v>26872</v>
      </c>
      <c r="K8046" s="2" t="str">
        <f>HYPERLINK("http://collections.slsa.sa.gov.au/mpcimg/14250/B14089.htm")</f>
        <v>http://collections.slsa.sa.gov.au/mpcimg/14250/B14089.htm</v>
      </c>
    </row>
    <row r="8047" spans="1:11" x14ac:dyDescent="0.25">
      <c r="A8047" t="s">
        <v>26873</v>
      </c>
      <c r="B8047" s="1" t="str">
        <f>HYPERLINK("https://www.catalog.slsa.sa.gov.au/record=b2062695")</f>
        <v>https://www.catalog.slsa.sa.gov.au/record=b2062695</v>
      </c>
      <c r="C8047" s="1" t="str">
        <f>HYPERLINK("https://www.catalog.slsa.sa.gov.au/xrecord=b2062695")</f>
        <v>https://www.catalog.slsa.sa.gov.au/xrecord=b2062695</v>
      </c>
      <c r="D8047" t="s">
        <v>16831</v>
      </c>
      <c r="E8047" t="s">
        <v>21250</v>
      </c>
      <c r="F8047">
        <v>1958</v>
      </c>
      <c r="G8047" t="s">
        <v>25786</v>
      </c>
      <c r="H8047" t="s">
        <v>26874</v>
      </c>
      <c r="J8047" t="s">
        <v>26875</v>
      </c>
      <c r="K8047" s="2" t="str">
        <f>HYPERLINK("http://collections.slsa.sa.gov.au/mpcimg/14250/B14061.htm")</f>
        <v>http://collections.slsa.sa.gov.au/mpcimg/14250/B14061.htm</v>
      </c>
    </row>
    <row r="8048" spans="1:11" x14ac:dyDescent="0.25">
      <c r="A8048" t="s">
        <v>26876</v>
      </c>
      <c r="B8048" s="1" t="str">
        <f>HYPERLINK("https://www.catalog.slsa.sa.gov.au/record=b2062753")</f>
        <v>https://www.catalog.slsa.sa.gov.au/record=b2062753</v>
      </c>
      <c r="C8048" s="1" t="str">
        <f>HYPERLINK("https://www.catalog.slsa.sa.gov.au/xrecord=b2062753")</f>
        <v>https://www.catalog.slsa.sa.gov.au/xrecord=b2062753</v>
      </c>
      <c r="D8048" t="s">
        <v>16831</v>
      </c>
      <c r="E8048" t="s">
        <v>21250</v>
      </c>
      <c r="F8048">
        <v>1958</v>
      </c>
      <c r="G8048" t="s">
        <v>25786</v>
      </c>
      <c r="H8048" t="s">
        <v>26877</v>
      </c>
      <c r="J8048" t="s">
        <v>26878</v>
      </c>
      <c r="K8048" s="2" t="str">
        <f>HYPERLINK("http://collections.slsa.sa.gov.au/mpcimg/14250/B14066.htm")</f>
        <v>http://collections.slsa.sa.gov.au/mpcimg/14250/B14066.htm</v>
      </c>
    </row>
    <row r="8049" spans="1:11" x14ac:dyDescent="0.25">
      <c r="A8049" t="s">
        <v>26879</v>
      </c>
      <c r="B8049" s="1" t="str">
        <f>HYPERLINK("https://www.catalog.slsa.sa.gov.au/record=b2062766")</f>
        <v>https://www.catalog.slsa.sa.gov.au/record=b2062766</v>
      </c>
      <c r="C8049" s="1" t="str">
        <f>HYPERLINK("https://www.catalog.slsa.sa.gov.au/xrecord=b2062766")</f>
        <v>https://www.catalog.slsa.sa.gov.au/xrecord=b2062766</v>
      </c>
      <c r="D8049" t="s">
        <v>16831</v>
      </c>
      <c r="E8049" t="s">
        <v>24300</v>
      </c>
      <c r="F8049">
        <v>1958</v>
      </c>
      <c r="G8049" t="s">
        <v>25786</v>
      </c>
      <c r="H8049" t="s">
        <v>26880</v>
      </c>
      <c r="J8049" t="s">
        <v>24622</v>
      </c>
      <c r="K8049" s="2" t="str">
        <f>HYPERLINK("http://collections.slsa.sa.gov.au/mpcimg/14250/B14025.htm")</f>
        <v>http://collections.slsa.sa.gov.au/mpcimg/14250/B14025.htm</v>
      </c>
    </row>
    <row r="8050" spans="1:11" x14ac:dyDescent="0.25">
      <c r="A8050" t="s">
        <v>26881</v>
      </c>
      <c r="B8050" s="1" t="str">
        <f>HYPERLINK("https://www.catalog.slsa.sa.gov.au/record=b2062778")</f>
        <v>https://www.catalog.slsa.sa.gov.au/record=b2062778</v>
      </c>
      <c r="C8050" s="1" t="str">
        <f>HYPERLINK("https://www.catalog.slsa.sa.gov.au/xrecord=b2062778")</f>
        <v>https://www.catalog.slsa.sa.gov.au/xrecord=b2062778</v>
      </c>
      <c r="D8050" t="s">
        <v>16831</v>
      </c>
      <c r="E8050" t="s">
        <v>24300</v>
      </c>
      <c r="F8050">
        <v>1958</v>
      </c>
      <c r="G8050" t="s">
        <v>25786</v>
      </c>
      <c r="H8050" t="s">
        <v>26882</v>
      </c>
      <c r="J8050" t="s">
        <v>26445</v>
      </c>
      <c r="K8050" s="2" t="str">
        <f>HYPERLINK("http://collections.slsa.sa.gov.au/mpcimg/14250/B14096.htm")</f>
        <v>http://collections.slsa.sa.gov.au/mpcimg/14250/B14096.htm</v>
      </c>
    </row>
    <row r="8051" spans="1:11" x14ac:dyDescent="0.25">
      <c r="A8051" t="s">
        <v>26883</v>
      </c>
      <c r="B8051" s="1" t="str">
        <f>HYPERLINK("https://www.catalog.slsa.sa.gov.au/record=b2062789")</f>
        <v>https://www.catalog.slsa.sa.gov.au/record=b2062789</v>
      </c>
      <c r="C8051" s="1" t="str">
        <f>HYPERLINK("https://www.catalog.slsa.sa.gov.au/xrecord=b2062789")</f>
        <v>https://www.catalog.slsa.sa.gov.au/xrecord=b2062789</v>
      </c>
      <c r="D8051" t="s">
        <v>16831</v>
      </c>
      <c r="E8051" t="s">
        <v>21250</v>
      </c>
      <c r="F8051">
        <v>1958</v>
      </c>
      <c r="G8051" t="s">
        <v>25786</v>
      </c>
      <c r="H8051" t="s">
        <v>26884</v>
      </c>
      <c r="J8051" t="s">
        <v>24625</v>
      </c>
      <c r="K8051" s="2" t="str">
        <f>HYPERLINK("http://collections.slsa.sa.gov.au/mpcimg/14250/B14008.htm")</f>
        <v>http://collections.slsa.sa.gov.au/mpcimg/14250/B14008.htm</v>
      </c>
    </row>
    <row r="8052" spans="1:11" x14ac:dyDescent="0.25">
      <c r="A8052" t="s">
        <v>26885</v>
      </c>
      <c r="B8052" s="1" t="str">
        <f>HYPERLINK("https://www.catalog.slsa.sa.gov.au/record=b2062804")</f>
        <v>https://www.catalog.slsa.sa.gov.au/record=b2062804</v>
      </c>
      <c r="C8052" s="1" t="str">
        <f>HYPERLINK("https://www.catalog.slsa.sa.gov.au/xrecord=b2062804")</f>
        <v>https://www.catalog.slsa.sa.gov.au/xrecord=b2062804</v>
      </c>
      <c r="D8052" t="s">
        <v>16831</v>
      </c>
      <c r="E8052" t="s">
        <v>21250</v>
      </c>
      <c r="F8052">
        <v>1958</v>
      </c>
      <c r="G8052" t="s">
        <v>16674</v>
      </c>
      <c r="H8052" t="s">
        <v>26886</v>
      </c>
      <c r="J8052" t="s">
        <v>22956</v>
      </c>
      <c r="K8052" s="2" t="str">
        <f>HYPERLINK("http://collections.slsa.sa.gov.au/mpcimg/14250/B14012.htm")</f>
        <v>http://collections.slsa.sa.gov.au/mpcimg/14250/B14012.htm</v>
      </c>
    </row>
    <row r="8053" spans="1:11" x14ac:dyDescent="0.25">
      <c r="A8053" t="s">
        <v>26887</v>
      </c>
      <c r="B8053" s="1" t="str">
        <f>HYPERLINK("https://www.catalog.slsa.sa.gov.au/record=b2062902")</f>
        <v>https://www.catalog.slsa.sa.gov.au/record=b2062902</v>
      </c>
      <c r="C8053" s="1" t="str">
        <f>HYPERLINK("https://www.catalog.slsa.sa.gov.au/xrecord=b2062902")</f>
        <v>https://www.catalog.slsa.sa.gov.au/xrecord=b2062902</v>
      </c>
      <c r="D8053" t="s">
        <v>16831</v>
      </c>
      <c r="E8053" t="s">
        <v>26468</v>
      </c>
      <c r="F8053">
        <v>1958</v>
      </c>
      <c r="G8053" t="s">
        <v>25786</v>
      </c>
      <c r="H8053" t="s">
        <v>26888</v>
      </c>
      <c r="J8053" t="s">
        <v>26889</v>
      </c>
      <c r="K8053" s="2" t="str">
        <f>HYPERLINK("http://collections.slsa.sa.gov.au/mpcimg/14000/B13997.htm")</f>
        <v>http://collections.slsa.sa.gov.au/mpcimg/14000/B13997.htm</v>
      </c>
    </row>
    <row r="8054" spans="1:11" x14ac:dyDescent="0.25">
      <c r="A8054" t="s">
        <v>26890</v>
      </c>
      <c r="B8054" s="1" t="str">
        <f>HYPERLINK("https://www.catalog.slsa.sa.gov.au/record=b2062998")</f>
        <v>https://www.catalog.slsa.sa.gov.au/record=b2062998</v>
      </c>
      <c r="C8054" s="1" t="str">
        <f>HYPERLINK("https://www.catalog.slsa.sa.gov.au/xrecord=b2062998")</f>
        <v>https://www.catalog.slsa.sa.gov.au/xrecord=b2062998</v>
      </c>
      <c r="D8054" t="s">
        <v>16831</v>
      </c>
      <c r="E8054" t="s">
        <v>21304</v>
      </c>
      <c r="F8054">
        <v>1958</v>
      </c>
      <c r="G8054" t="s">
        <v>25786</v>
      </c>
      <c r="H8054" t="s">
        <v>26891</v>
      </c>
      <c r="J8054" t="s">
        <v>25597</v>
      </c>
      <c r="K8054" s="2" t="str">
        <f>HYPERLINK("http://collections.slsa.sa.gov.au/mpcimg/14250/B14134.htm")</f>
        <v>http://collections.slsa.sa.gov.au/mpcimg/14250/B14134.htm</v>
      </c>
    </row>
    <row r="8055" spans="1:11" x14ac:dyDescent="0.25">
      <c r="A8055" t="s">
        <v>26892</v>
      </c>
      <c r="B8055" s="1" t="str">
        <f>HYPERLINK("https://www.catalog.slsa.sa.gov.au/record=b2062999")</f>
        <v>https://www.catalog.slsa.sa.gov.au/record=b2062999</v>
      </c>
      <c r="C8055" s="1" t="str">
        <f>HYPERLINK("https://www.catalog.slsa.sa.gov.au/xrecord=b2062999")</f>
        <v>https://www.catalog.slsa.sa.gov.au/xrecord=b2062999</v>
      </c>
      <c r="D8055" t="s">
        <v>16831</v>
      </c>
      <c r="E8055" t="s">
        <v>21232</v>
      </c>
      <c r="F8055">
        <v>1958</v>
      </c>
      <c r="G8055" t="s">
        <v>25786</v>
      </c>
      <c r="H8055" t="s">
        <v>26893</v>
      </c>
      <c r="J8055" t="s">
        <v>25597</v>
      </c>
      <c r="K8055" s="2" t="str">
        <f>HYPERLINK("http://collections.slsa.sa.gov.au/mpcimg/14250/B14135.htm")</f>
        <v>http://collections.slsa.sa.gov.au/mpcimg/14250/B14135.htm</v>
      </c>
    </row>
    <row r="8056" spans="1:11" x14ac:dyDescent="0.25">
      <c r="A8056" t="s">
        <v>26894</v>
      </c>
      <c r="B8056" s="1" t="str">
        <f>HYPERLINK("https://www.catalog.slsa.sa.gov.au/record=b2063000")</f>
        <v>https://www.catalog.slsa.sa.gov.au/record=b2063000</v>
      </c>
      <c r="C8056" s="1" t="str">
        <f>HYPERLINK("https://www.catalog.slsa.sa.gov.au/xrecord=b2063000")</f>
        <v>https://www.catalog.slsa.sa.gov.au/xrecord=b2063000</v>
      </c>
      <c r="D8056" t="s">
        <v>16831</v>
      </c>
      <c r="E8056" t="s">
        <v>26895</v>
      </c>
      <c r="F8056">
        <v>1958</v>
      </c>
      <c r="G8056" t="s">
        <v>25786</v>
      </c>
      <c r="H8056" t="s">
        <v>26896</v>
      </c>
      <c r="J8056" t="s">
        <v>25597</v>
      </c>
      <c r="K8056" s="2" t="str">
        <f>HYPERLINK("http://collections.slsa.sa.gov.au/mpcimg/14250/B14136.htm")</f>
        <v>http://collections.slsa.sa.gov.au/mpcimg/14250/B14136.htm</v>
      </c>
    </row>
    <row r="8057" spans="1:11" x14ac:dyDescent="0.25">
      <c r="A8057" t="s">
        <v>26897</v>
      </c>
      <c r="B8057" s="1" t="str">
        <f>HYPERLINK("https://www.catalog.slsa.sa.gov.au/record=b2063007")</f>
        <v>https://www.catalog.slsa.sa.gov.au/record=b2063007</v>
      </c>
      <c r="C8057" s="1" t="str">
        <f>HYPERLINK("https://www.catalog.slsa.sa.gov.au/xrecord=b2063007")</f>
        <v>https://www.catalog.slsa.sa.gov.au/xrecord=b2063007</v>
      </c>
      <c r="D8057" t="s">
        <v>16831</v>
      </c>
      <c r="E8057" t="s">
        <v>21304</v>
      </c>
      <c r="F8057">
        <v>1958</v>
      </c>
      <c r="G8057" t="s">
        <v>25786</v>
      </c>
      <c r="H8057" t="s">
        <v>26898</v>
      </c>
      <c r="J8057" t="s">
        <v>21302</v>
      </c>
      <c r="K8057" s="2" t="str">
        <f>HYPERLINK("http://collections.slsa.sa.gov.au/mpcimg/14250/B14108.htm")</f>
        <v>http://collections.slsa.sa.gov.au/mpcimg/14250/B14108.htm</v>
      </c>
    </row>
    <row r="8058" spans="1:11" x14ac:dyDescent="0.25">
      <c r="A8058" t="s">
        <v>26899</v>
      </c>
      <c r="B8058" s="1" t="str">
        <f>HYPERLINK("https://www.catalog.slsa.sa.gov.au/record=b2063008")</f>
        <v>https://www.catalog.slsa.sa.gov.au/record=b2063008</v>
      </c>
      <c r="C8058" s="1" t="str">
        <f>HYPERLINK("https://www.catalog.slsa.sa.gov.au/xrecord=b2063008")</f>
        <v>https://www.catalog.slsa.sa.gov.au/xrecord=b2063008</v>
      </c>
      <c r="D8058" t="s">
        <v>16831</v>
      </c>
      <c r="E8058" t="s">
        <v>26900</v>
      </c>
      <c r="F8058">
        <v>1958</v>
      </c>
      <c r="G8058" t="s">
        <v>25786</v>
      </c>
      <c r="H8058" t="s">
        <v>26901</v>
      </c>
      <c r="J8058" t="s">
        <v>21306</v>
      </c>
      <c r="K8058" s="2" t="str">
        <f>HYPERLINK("http://collections.slsa.sa.gov.au/mpcimg/14250/B14109.htm")</f>
        <v>http://collections.slsa.sa.gov.au/mpcimg/14250/B14109.htm</v>
      </c>
    </row>
    <row r="8059" spans="1:11" x14ac:dyDescent="0.25">
      <c r="A8059" t="s">
        <v>26902</v>
      </c>
      <c r="B8059" s="1" t="str">
        <f>HYPERLINK("https://www.catalog.slsa.sa.gov.au/record=b2063054")</f>
        <v>https://www.catalog.slsa.sa.gov.au/record=b2063054</v>
      </c>
      <c r="C8059" s="1" t="str">
        <f>HYPERLINK("https://www.catalog.slsa.sa.gov.au/xrecord=b2063054")</f>
        <v>https://www.catalog.slsa.sa.gov.au/xrecord=b2063054</v>
      </c>
      <c r="D8059" t="s">
        <v>16831</v>
      </c>
      <c r="E8059" t="s">
        <v>26468</v>
      </c>
      <c r="F8059">
        <v>1958</v>
      </c>
      <c r="G8059" t="s">
        <v>25786</v>
      </c>
      <c r="H8059" t="s">
        <v>26903</v>
      </c>
      <c r="J8059" t="s">
        <v>26904</v>
      </c>
      <c r="K8059" s="2" t="str">
        <f>HYPERLINK("http://collections.slsa.sa.gov.au/mpcimg/14000/B13996.htm")</f>
        <v>http://collections.slsa.sa.gov.au/mpcimg/14000/B13996.htm</v>
      </c>
    </row>
    <row r="8060" spans="1:11" x14ac:dyDescent="0.25">
      <c r="A8060" t="s">
        <v>26905</v>
      </c>
      <c r="B8060" s="1" t="str">
        <f>HYPERLINK("https://www.catalog.slsa.sa.gov.au/record=b2063108")</f>
        <v>https://www.catalog.slsa.sa.gov.au/record=b2063108</v>
      </c>
      <c r="C8060" s="1" t="str">
        <f>HYPERLINK("https://www.catalog.slsa.sa.gov.au/xrecord=b2063108")</f>
        <v>https://www.catalog.slsa.sa.gov.au/xrecord=b2063108</v>
      </c>
      <c r="D8060" t="s">
        <v>16831</v>
      </c>
      <c r="E8060" t="s">
        <v>21304</v>
      </c>
      <c r="F8060">
        <v>1958</v>
      </c>
      <c r="G8060" t="s">
        <v>25786</v>
      </c>
      <c r="H8060" t="s">
        <v>26906</v>
      </c>
      <c r="J8060" t="s">
        <v>21314</v>
      </c>
      <c r="K8060" s="2" t="str">
        <f>HYPERLINK("http://collections.slsa.sa.gov.au/mpcimg/14250/B14091.htm")</f>
        <v>http://collections.slsa.sa.gov.au/mpcimg/14250/B14091.htm</v>
      </c>
    </row>
    <row r="8061" spans="1:11" x14ac:dyDescent="0.25">
      <c r="A8061" t="s">
        <v>26907</v>
      </c>
      <c r="B8061" s="1" t="str">
        <f>HYPERLINK("https://www.catalog.slsa.sa.gov.au/record=b2063194")</f>
        <v>https://www.catalog.slsa.sa.gov.au/record=b2063194</v>
      </c>
      <c r="C8061" s="1" t="str">
        <f>HYPERLINK("https://www.catalog.slsa.sa.gov.au/xrecord=b2063194")</f>
        <v>https://www.catalog.slsa.sa.gov.au/xrecord=b2063194</v>
      </c>
      <c r="D8061" t="s">
        <v>16831</v>
      </c>
      <c r="E8061" t="s">
        <v>26908</v>
      </c>
      <c r="F8061">
        <v>1958</v>
      </c>
      <c r="G8061" t="s">
        <v>25786</v>
      </c>
      <c r="H8061" t="s">
        <v>26909</v>
      </c>
      <c r="J8061" t="s">
        <v>26476</v>
      </c>
      <c r="K8061" s="2" t="str">
        <f>HYPERLINK("http://collections.slsa.sa.gov.au/mpcimg/14000/B13998.htm")</f>
        <v>http://collections.slsa.sa.gov.au/mpcimg/14000/B13998.htm</v>
      </c>
    </row>
    <row r="8062" spans="1:11" x14ac:dyDescent="0.25">
      <c r="A8062" t="s">
        <v>26910</v>
      </c>
      <c r="B8062" s="1" t="str">
        <f>HYPERLINK("https://www.catalog.slsa.sa.gov.au/record=b2063195")</f>
        <v>https://www.catalog.slsa.sa.gov.au/record=b2063195</v>
      </c>
      <c r="C8062" s="1" t="str">
        <f>HYPERLINK("https://www.catalog.slsa.sa.gov.au/xrecord=b2063195")</f>
        <v>https://www.catalog.slsa.sa.gov.au/xrecord=b2063195</v>
      </c>
      <c r="D8062" t="s">
        <v>16831</v>
      </c>
      <c r="E8062" t="s">
        <v>21304</v>
      </c>
      <c r="F8062">
        <v>1958</v>
      </c>
      <c r="G8062" t="s">
        <v>25786</v>
      </c>
      <c r="H8062" t="s">
        <v>26911</v>
      </c>
      <c r="J8062" t="s">
        <v>26476</v>
      </c>
      <c r="K8062" s="2" t="str">
        <f>HYPERLINK("http://collections.slsa.sa.gov.au/mpcimg/14000/B13999.htm")</f>
        <v>http://collections.slsa.sa.gov.au/mpcimg/14000/B13999.htm</v>
      </c>
    </row>
    <row r="8063" spans="1:11" x14ac:dyDescent="0.25">
      <c r="A8063" t="s">
        <v>26912</v>
      </c>
      <c r="B8063" s="1" t="str">
        <f>HYPERLINK("https://www.catalog.slsa.sa.gov.au/record=b2063223")</f>
        <v>https://www.catalog.slsa.sa.gov.au/record=b2063223</v>
      </c>
      <c r="C8063" s="1" t="str">
        <f>HYPERLINK("https://www.catalog.slsa.sa.gov.au/xrecord=b2063223")</f>
        <v>https://www.catalog.slsa.sa.gov.au/xrecord=b2063223</v>
      </c>
      <c r="D8063" t="s">
        <v>16831</v>
      </c>
      <c r="E8063" t="s">
        <v>25599</v>
      </c>
      <c r="F8063">
        <v>1958</v>
      </c>
      <c r="G8063" t="s">
        <v>25786</v>
      </c>
      <c r="H8063" t="s">
        <v>26913</v>
      </c>
      <c r="J8063" t="s">
        <v>26129</v>
      </c>
      <c r="K8063" s="2" t="str">
        <f>HYPERLINK("http://collections.slsa.sa.gov.au/mpcimg/14250/B14193.htm")</f>
        <v>http://collections.slsa.sa.gov.au/mpcimg/14250/B14193.htm</v>
      </c>
    </row>
    <row r="8064" spans="1:11" x14ac:dyDescent="0.25">
      <c r="A8064" t="s">
        <v>26914</v>
      </c>
      <c r="B8064" s="1" t="str">
        <f>HYPERLINK("https://www.catalog.slsa.sa.gov.au/record=b2063371")</f>
        <v>https://www.catalog.slsa.sa.gov.au/record=b2063371</v>
      </c>
      <c r="C8064" s="1" t="str">
        <f>HYPERLINK("https://www.catalog.slsa.sa.gov.au/xrecord=b2063371")</f>
        <v>https://www.catalog.slsa.sa.gov.au/xrecord=b2063371</v>
      </c>
      <c r="D8064" t="s">
        <v>16831</v>
      </c>
      <c r="E8064" t="s">
        <v>22978</v>
      </c>
      <c r="F8064">
        <v>1958</v>
      </c>
      <c r="G8064" t="s">
        <v>25786</v>
      </c>
      <c r="H8064" t="s">
        <v>26915</v>
      </c>
      <c r="J8064" t="s">
        <v>26916</v>
      </c>
      <c r="K8064" s="2" t="str">
        <f>HYPERLINK("http://collections.slsa.sa.gov.au/mpcimg/14000/B13987.htm")</f>
        <v>http://collections.slsa.sa.gov.au/mpcimg/14000/B13987.htm</v>
      </c>
    </row>
    <row r="8065" spans="1:11" x14ac:dyDescent="0.25">
      <c r="A8065" t="s">
        <v>26917</v>
      </c>
      <c r="B8065" s="1" t="str">
        <f>HYPERLINK("https://www.catalog.slsa.sa.gov.au/record=b2063372")</f>
        <v>https://www.catalog.slsa.sa.gov.au/record=b2063372</v>
      </c>
      <c r="C8065" s="1" t="str">
        <f>HYPERLINK("https://www.catalog.slsa.sa.gov.au/xrecord=b2063372")</f>
        <v>https://www.catalog.slsa.sa.gov.au/xrecord=b2063372</v>
      </c>
      <c r="D8065" t="s">
        <v>16831</v>
      </c>
      <c r="E8065" t="s">
        <v>22978</v>
      </c>
      <c r="F8065">
        <v>1958</v>
      </c>
      <c r="G8065" t="s">
        <v>25786</v>
      </c>
      <c r="H8065" t="s">
        <v>26918</v>
      </c>
      <c r="J8065" t="s">
        <v>26916</v>
      </c>
      <c r="K8065" s="2" t="str">
        <f>HYPERLINK("http://collections.slsa.sa.gov.au/mpcimg/14000/B13988.htm")</f>
        <v>http://collections.slsa.sa.gov.au/mpcimg/14000/B13988.htm</v>
      </c>
    </row>
    <row r="8066" spans="1:11" x14ac:dyDescent="0.25">
      <c r="A8066" t="s">
        <v>26919</v>
      </c>
      <c r="B8066" s="1" t="str">
        <f>HYPERLINK("https://www.catalog.slsa.sa.gov.au/record=b2063434")</f>
        <v>https://www.catalog.slsa.sa.gov.au/record=b2063434</v>
      </c>
      <c r="C8066" s="1" t="str">
        <f>HYPERLINK("https://www.catalog.slsa.sa.gov.au/xrecord=b2063434")</f>
        <v>https://www.catalog.slsa.sa.gov.au/xrecord=b2063434</v>
      </c>
      <c r="D8066" t="s">
        <v>16831</v>
      </c>
      <c r="E8066" t="s">
        <v>25607</v>
      </c>
      <c r="F8066">
        <v>1958</v>
      </c>
      <c r="G8066" t="s">
        <v>25786</v>
      </c>
      <c r="H8066" t="s">
        <v>26920</v>
      </c>
      <c r="J8066" t="s">
        <v>26921</v>
      </c>
      <c r="K8066" s="2" t="str">
        <f>HYPERLINK("http://collections.slsa.sa.gov.au/mpcimg/14250/B14194.htm")</f>
        <v>http://collections.slsa.sa.gov.au/mpcimg/14250/B14194.htm</v>
      </c>
    </row>
    <row r="8067" spans="1:11" x14ac:dyDescent="0.25">
      <c r="A8067" t="s">
        <v>26922</v>
      </c>
      <c r="B8067" s="1" t="str">
        <f>HYPERLINK("https://www.catalog.slsa.sa.gov.au/record=b2063442")</f>
        <v>https://www.catalog.slsa.sa.gov.au/record=b2063442</v>
      </c>
      <c r="C8067" s="1" t="str">
        <f>HYPERLINK("https://www.catalog.slsa.sa.gov.au/xrecord=b2063442")</f>
        <v>https://www.catalog.slsa.sa.gov.au/xrecord=b2063442</v>
      </c>
      <c r="D8067" t="s">
        <v>16831</v>
      </c>
      <c r="E8067" t="s">
        <v>22978</v>
      </c>
      <c r="F8067">
        <v>1958</v>
      </c>
      <c r="G8067" t="s">
        <v>25786</v>
      </c>
      <c r="H8067" t="s">
        <v>26923</v>
      </c>
      <c r="J8067" t="s">
        <v>26924</v>
      </c>
      <c r="K8067" s="2" t="str">
        <f>HYPERLINK("http://collections.slsa.sa.gov.au/mpcimg/14250/B14192.htm")</f>
        <v>http://collections.slsa.sa.gov.au/mpcimg/14250/B14192.htm</v>
      </c>
    </row>
    <row r="8068" spans="1:11" x14ac:dyDescent="0.25">
      <c r="A8068" t="s">
        <v>26925</v>
      </c>
      <c r="B8068" s="1" t="str">
        <f>HYPERLINK("https://www.catalog.slsa.sa.gov.au/record=b2063573")</f>
        <v>https://www.catalog.slsa.sa.gov.au/record=b2063573</v>
      </c>
      <c r="C8068" s="1" t="str">
        <f>HYPERLINK("https://www.catalog.slsa.sa.gov.au/xrecord=b2063573")</f>
        <v>https://www.catalog.slsa.sa.gov.au/xrecord=b2063573</v>
      </c>
      <c r="D8068" t="s">
        <v>16831</v>
      </c>
      <c r="E8068" t="s">
        <v>17735</v>
      </c>
      <c r="F8068">
        <v>1958</v>
      </c>
      <c r="G8068" t="s">
        <v>25786</v>
      </c>
      <c r="H8068" t="s">
        <v>26926</v>
      </c>
      <c r="J8068" t="s">
        <v>26927</v>
      </c>
      <c r="K8068" s="2" t="str">
        <f>HYPERLINK("http://collections.slsa.sa.gov.au/mpcimg/14250/B14139.htm")</f>
        <v>http://collections.slsa.sa.gov.au/mpcimg/14250/B14139.htm</v>
      </c>
    </row>
    <row r="8069" spans="1:11" x14ac:dyDescent="0.25">
      <c r="A8069" t="s">
        <v>26928</v>
      </c>
      <c r="B8069" s="1" t="str">
        <f>HYPERLINK("https://www.catalog.slsa.sa.gov.au/record=b2063574")</f>
        <v>https://www.catalog.slsa.sa.gov.au/record=b2063574</v>
      </c>
      <c r="C8069" s="1" t="str">
        <f>HYPERLINK("https://www.catalog.slsa.sa.gov.au/xrecord=b2063574")</f>
        <v>https://www.catalog.slsa.sa.gov.au/xrecord=b2063574</v>
      </c>
      <c r="D8069" t="s">
        <v>16831</v>
      </c>
      <c r="E8069" t="s">
        <v>26929</v>
      </c>
      <c r="F8069">
        <v>1958</v>
      </c>
      <c r="G8069" t="s">
        <v>25786</v>
      </c>
      <c r="H8069" t="s">
        <v>26930</v>
      </c>
      <c r="J8069" t="s">
        <v>26927</v>
      </c>
      <c r="K8069" s="2" t="str">
        <f>HYPERLINK("http://collections.slsa.sa.gov.au/mpcimg/14250/B14140.htm")</f>
        <v>http://collections.slsa.sa.gov.au/mpcimg/14250/B14140.htm</v>
      </c>
    </row>
    <row r="8070" spans="1:11" x14ac:dyDescent="0.25">
      <c r="A8070" t="s">
        <v>26931</v>
      </c>
      <c r="B8070" s="1" t="str">
        <f>HYPERLINK("https://www.catalog.slsa.sa.gov.au/record=b2063575")</f>
        <v>https://www.catalog.slsa.sa.gov.au/record=b2063575</v>
      </c>
      <c r="C8070" s="1" t="str">
        <f>HYPERLINK("https://www.catalog.slsa.sa.gov.au/xrecord=b2063575")</f>
        <v>https://www.catalog.slsa.sa.gov.au/xrecord=b2063575</v>
      </c>
      <c r="D8070" t="s">
        <v>16831</v>
      </c>
      <c r="E8070" t="s">
        <v>26131</v>
      </c>
      <c r="F8070">
        <v>1958</v>
      </c>
      <c r="G8070" t="s">
        <v>25786</v>
      </c>
      <c r="H8070" t="s">
        <v>26932</v>
      </c>
      <c r="J8070" t="s">
        <v>26927</v>
      </c>
      <c r="K8070" s="2" t="str">
        <f>HYPERLINK("http://collections.slsa.sa.gov.au/mpcimg/14250/B14141.htm")</f>
        <v>http://collections.slsa.sa.gov.au/mpcimg/14250/B14141.htm</v>
      </c>
    </row>
    <row r="8071" spans="1:11" x14ac:dyDescent="0.25">
      <c r="A8071" t="s">
        <v>26933</v>
      </c>
      <c r="B8071" s="1" t="str">
        <f>HYPERLINK("https://www.catalog.slsa.sa.gov.au/record=b2063646")</f>
        <v>https://www.catalog.slsa.sa.gov.au/record=b2063646</v>
      </c>
      <c r="C8071" s="1" t="str">
        <f>HYPERLINK("https://www.catalog.slsa.sa.gov.au/xrecord=b2063646")</f>
        <v>https://www.catalog.slsa.sa.gov.au/xrecord=b2063646</v>
      </c>
      <c r="D8071" t="s">
        <v>16831</v>
      </c>
      <c r="E8071" t="s">
        <v>17735</v>
      </c>
      <c r="F8071">
        <v>1958</v>
      </c>
      <c r="G8071" t="s">
        <v>25786</v>
      </c>
      <c r="H8071" t="s">
        <v>26934</v>
      </c>
      <c r="J8071" t="s">
        <v>26935</v>
      </c>
      <c r="K8071" s="2" t="str">
        <f>HYPERLINK("http://collections.slsa.sa.gov.au/mpcimg/14000/B13989.htm")</f>
        <v>http://collections.slsa.sa.gov.au/mpcimg/14000/B13989.htm</v>
      </c>
    </row>
    <row r="8072" spans="1:11" x14ac:dyDescent="0.25">
      <c r="A8072" t="s">
        <v>26936</v>
      </c>
      <c r="B8072" s="1" t="str">
        <f>HYPERLINK("https://www.catalog.slsa.sa.gov.au/record=b2063647")</f>
        <v>https://www.catalog.slsa.sa.gov.au/record=b2063647</v>
      </c>
      <c r="C8072" s="1" t="str">
        <f>HYPERLINK("https://www.catalog.slsa.sa.gov.au/xrecord=b2063647")</f>
        <v>https://www.catalog.slsa.sa.gov.au/xrecord=b2063647</v>
      </c>
      <c r="D8072" t="s">
        <v>16831</v>
      </c>
      <c r="E8072" t="s">
        <v>26131</v>
      </c>
      <c r="F8072">
        <v>1958</v>
      </c>
      <c r="G8072" t="s">
        <v>25786</v>
      </c>
      <c r="H8072" t="s">
        <v>26937</v>
      </c>
      <c r="J8072" t="s">
        <v>26935</v>
      </c>
      <c r="K8072" s="2" t="str">
        <f>HYPERLINK("http://collections.slsa.sa.gov.au/mpcimg/14000/B13990.htm")</f>
        <v>http://collections.slsa.sa.gov.au/mpcimg/14000/B13990.htm</v>
      </c>
    </row>
    <row r="8073" spans="1:11" x14ac:dyDescent="0.25">
      <c r="A8073" t="s">
        <v>26938</v>
      </c>
      <c r="B8073" s="1" t="str">
        <f>HYPERLINK("https://www.catalog.slsa.sa.gov.au/record=b2063825")</f>
        <v>https://www.catalog.slsa.sa.gov.au/record=b2063825</v>
      </c>
      <c r="C8073" s="1" t="str">
        <f>HYPERLINK("https://www.catalog.slsa.sa.gov.au/xrecord=b2063825")</f>
        <v>https://www.catalog.slsa.sa.gov.au/xrecord=b2063825</v>
      </c>
      <c r="D8073" t="s">
        <v>16831</v>
      </c>
      <c r="E8073" t="s">
        <v>26131</v>
      </c>
      <c r="F8073">
        <v>1958</v>
      </c>
      <c r="G8073" t="s">
        <v>25786</v>
      </c>
      <c r="H8073" t="s">
        <v>26939</v>
      </c>
      <c r="J8073" t="s">
        <v>26940</v>
      </c>
      <c r="K8073" s="2" t="str">
        <f>HYPERLINK("http://collections.slsa.sa.gov.au/mpcimg/14250/B14166.htm")</f>
        <v>http://collections.slsa.sa.gov.au/mpcimg/14250/B14166.htm</v>
      </c>
    </row>
    <row r="8074" spans="1:11" x14ac:dyDescent="0.25">
      <c r="A8074" t="s">
        <v>26941</v>
      </c>
      <c r="B8074" s="1" t="str">
        <f>HYPERLINK("https://www.catalog.slsa.sa.gov.au/record=b2064122")</f>
        <v>https://www.catalog.slsa.sa.gov.au/record=b2064122</v>
      </c>
      <c r="C8074" s="1" t="str">
        <f>HYPERLINK("https://www.catalog.slsa.sa.gov.au/xrecord=b2064122")</f>
        <v>https://www.catalog.slsa.sa.gov.au/xrecord=b2064122</v>
      </c>
      <c r="D8074" t="s">
        <v>16831</v>
      </c>
      <c r="E8074" t="s">
        <v>26942</v>
      </c>
      <c r="F8074">
        <v>1958</v>
      </c>
      <c r="G8074" t="s">
        <v>25786</v>
      </c>
      <c r="H8074" t="s">
        <v>26943</v>
      </c>
      <c r="J8074" t="s">
        <v>26944</v>
      </c>
      <c r="K8074" s="2" t="str">
        <f>HYPERLINK("http://collections.slsa.sa.gov.au/mpcimg/14250/B14168.htm")</f>
        <v>http://collections.slsa.sa.gov.au/mpcimg/14250/B14168.htm</v>
      </c>
    </row>
    <row r="8075" spans="1:11" x14ac:dyDescent="0.25">
      <c r="A8075" t="s">
        <v>26945</v>
      </c>
      <c r="B8075" s="1" t="str">
        <f>HYPERLINK("https://www.catalog.slsa.sa.gov.au/record=b2064123")</f>
        <v>https://www.catalog.slsa.sa.gov.au/record=b2064123</v>
      </c>
      <c r="C8075" s="1" t="str">
        <f>HYPERLINK("https://www.catalog.slsa.sa.gov.au/xrecord=b2064123")</f>
        <v>https://www.catalog.slsa.sa.gov.au/xrecord=b2064123</v>
      </c>
      <c r="D8075" t="s">
        <v>16831</v>
      </c>
      <c r="E8075" t="s">
        <v>26942</v>
      </c>
      <c r="F8075">
        <v>1958</v>
      </c>
      <c r="G8075" t="s">
        <v>25786</v>
      </c>
      <c r="H8075" t="s">
        <v>26946</v>
      </c>
      <c r="J8075" t="s">
        <v>26944</v>
      </c>
      <c r="K8075" s="2" t="str">
        <f>HYPERLINK("http://collections.slsa.sa.gov.au/mpcimg/14250/B14169.htm")</f>
        <v>http://collections.slsa.sa.gov.au/mpcimg/14250/B14169.htm</v>
      </c>
    </row>
    <row r="8076" spans="1:11" x14ac:dyDescent="0.25">
      <c r="A8076" t="s">
        <v>26947</v>
      </c>
      <c r="B8076" s="1" t="str">
        <f>HYPERLINK("https://www.catalog.slsa.sa.gov.au/record=b2064124")</f>
        <v>https://www.catalog.slsa.sa.gov.au/record=b2064124</v>
      </c>
      <c r="C8076" s="1" t="str">
        <f>HYPERLINK("https://www.catalog.slsa.sa.gov.au/xrecord=b2064124")</f>
        <v>https://www.catalog.slsa.sa.gov.au/xrecord=b2064124</v>
      </c>
      <c r="D8076" t="s">
        <v>16831</v>
      </c>
      <c r="E8076" t="s">
        <v>26948</v>
      </c>
      <c r="F8076">
        <v>1958</v>
      </c>
      <c r="G8076" t="s">
        <v>25786</v>
      </c>
      <c r="H8076" t="s">
        <v>26949</v>
      </c>
      <c r="J8076" t="s">
        <v>26944</v>
      </c>
      <c r="K8076" s="2" t="str">
        <f>HYPERLINK("http://collections.slsa.sa.gov.au/mpcimg/14250/B14170.htm")</f>
        <v>http://collections.slsa.sa.gov.au/mpcimg/14250/B14170.htm</v>
      </c>
    </row>
    <row r="8077" spans="1:11" x14ac:dyDescent="0.25">
      <c r="A8077" t="s">
        <v>26950</v>
      </c>
      <c r="B8077" s="1" t="str">
        <f>HYPERLINK("https://www.catalog.slsa.sa.gov.au/record=b2064128")</f>
        <v>https://www.catalog.slsa.sa.gov.au/record=b2064128</v>
      </c>
      <c r="C8077" s="1" t="str">
        <f>HYPERLINK("https://www.catalog.slsa.sa.gov.au/xrecord=b2064128")</f>
        <v>https://www.catalog.slsa.sa.gov.au/xrecord=b2064128</v>
      </c>
      <c r="D8077" t="s">
        <v>16831</v>
      </c>
      <c r="E8077" t="s">
        <v>26951</v>
      </c>
      <c r="F8077">
        <v>1958</v>
      </c>
      <c r="G8077" t="s">
        <v>25786</v>
      </c>
      <c r="H8077" t="s">
        <v>26952</v>
      </c>
      <c r="J8077" t="s">
        <v>26953</v>
      </c>
      <c r="K8077" s="2" t="str">
        <f>HYPERLINK("http://collections.slsa.sa.gov.au/mpcimg/14250/B14171.htm")</f>
        <v>http://collections.slsa.sa.gov.au/mpcimg/14250/B14171.htm</v>
      </c>
    </row>
    <row r="8078" spans="1:11" x14ac:dyDescent="0.25">
      <c r="A8078" t="s">
        <v>26954</v>
      </c>
      <c r="B8078" s="1" t="str">
        <f>HYPERLINK("https://www.catalog.slsa.sa.gov.au/record=b2064237")</f>
        <v>https://www.catalog.slsa.sa.gov.au/record=b2064237</v>
      </c>
      <c r="C8078" s="1" t="str">
        <f>HYPERLINK("https://www.catalog.slsa.sa.gov.au/xrecord=b2064237")</f>
        <v>https://www.catalog.slsa.sa.gov.au/xrecord=b2064237</v>
      </c>
      <c r="D8078" t="s">
        <v>16831</v>
      </c>
      <c r="E8078" t="s">
        <v>26955</v>
      </c>
      <c r="F8078">
        <v>1958</v>
      </c>
      <c r="G8078" t="s">
        <v>25786</v>
      </c>
      <c r="H8078" t="s">
        <v>26956</v>
      </c>
      <c r="J8078" t="s">
        <v>26957</v>
      </c>
      <c r="K8078" s="2" t="str">
        <f>HYPERLINK("http://collections.slsa.sa.gov.au/mpcimg/14250/B14085.htm")</f>
        <v>http://collections.slsa.sa.gov.au/mpcimg/14250/B14085.htm</v>
      </c>
    </row>
    <row r="8079" spans="1:11" x14ac:dyDescent="0.25">
      <c r="A8079" t="s">
        <v>26958</v>
      </c>
      <c r="B8079" s="1" t="str">
        <f>HYPERLINK("https://www.catalog.slsa.sa.gov.au/record=b2064262")</f>
        <v>https://www.catalog.slsa.sa.gov.au/record=b2064262</v>
      </c>
      <c r="C8079" s="1" t="str">
        <f>HYPERLINK("https://www.catalog.slsa.sa.gov.au/xrecord=b2064262")</f>
        <v>https://www.catalog.slsa.sa.gov.au/xrecord=b2064262</v>
      </c>
      <c r="D8079" t="s">
        <v>16831</v>
      </c>
      <c r="E8079" t="s">
        <v>25635</v>
      </c>
      <c r="F8079">
        <v>1958</v>
      </c>
      <c r="G8079" t="s">
        <v>25786</v>
      </c>
      <c r="H8079" t="s">
        <v>26959</v>
      </c>
      <c r="J8079" t="s">
        <v>26960</v>
      </c>
      <c r="K8079" s="2" t="str">
        <f>HYPERLINK("http://collections.slsa.sa.gov.au/mpcimg/14250/B14051.htm")</f>
        <v>http://collections.slsa.sa.gov.au/mpcimg/14250/B14051.htm</v>
      </c>
    </row>
    <row r="8080" spans="1:11" x14ac:dyDescent="0.25">
      <c r="A8080" t="s">
        <v>26961</v>
      </c>
      <c r="B8080" s="1" t="str">
        <f>HYPERLINK("https://www.catalog.slsa.sa.gov.au/record=b2064283")</f>
        <v>https://www.catalog.slsa.sa.gov.au/record=b2064283</v>
      </c>
      <c r="C8080" s="1" t="str">
        <f>HYPERLINK("https://www.catalog.slsa.sa.gov.au/xrecord=b2064283")</f>
        <v>https://www.catalog.slsa.sa.gov.au/xrecord=b2064283</v>
      </c>
      <c r="D8080" t="s">
        <v>16831</v>
      </c>
      <c r="E8080" t="s">
        <v>25635</v>
      </c>
      <c r="F8080">
        <v>1958</v>
      </c>
      <c r="G8080" t="s">
        <v>25786</v>
      </c>
      <c r="H8080" t="s">
        <v>26962</v>
      </c>
      <c r="J8080" t="s">
        <v>26149</v>
      </c>
      <c r="K8080" s="2" t="str">
        <f>HYPERLINK("http://collections.slsa.sa.gov.au/mpcimg/14000/B13992.htm")</f>
        <v>http://collections.slsa.sa.gov.au/mpcimg/14000/B13992.htm</v>
      </c>
    </row>
    <row r="8081" spans="1:11" x14ac:dyDescent="0.25">
      <c r="A8081" t="s">
        <v>26963</v>
      </c>
      <c r="B8081" s="1" t="str">
        <f>HYPERLINK("https://www.catalog.slsa.sa.gov.au/record=b2064284")</f>
        <v>https://www.catalog.slsa.sa.gov.au/record=b2064284</v>
      </c>
      <c r="C8081" s="1" t="str">
        <f>HYPERLINK("https://www.catalog.slsa.sa.gov.au/xrecord=b2064284")</f>
        <v>https://www.catalog.slsa.sa.gov.au/xrecord=b2064284</v>
      </c>
      <c r="D8081" t="s">
        <v>16831</v>
      </c>
      <c r="E8081" t="s">
        <v>25635</v>
      </c>
      <c r="F8081">
        <v>1958</v>
      </c>
      <c r="G8081" t="s">
        <v>25786</v>
      </c>
      <c r="H8081" t="s">
        <v>26964</v>
      </c>
      <c r="J8081" t="s">
        <v>26149</v>
      </c>
      <c r="K8081" s="2" t="str">
        <f>HYPERLINK("http://collections.slsa.sa.gov.au/mpcimg/14000/B13991.htm")</f>
        <v>http://collections.slsa.sa.gov.au/mpcimg/14000/B13991.htm</v>
      </c>
    </row>
    <row r="8082" spans="1:11" x14ac:dyDescent="0.25">
      <c r="A8082" t="s">
        <v>26965</v>
      </c>
      <c r="B8082" s="1" t="str">
        <f>HYPERLINK("https://www.catalog.slsa.sa.gov.au/record=b2064304")</f>
        <v>https://www.catalog.slsa.sa.gov.au/record=b2064304</v>
      </c>
      <c r="C8082" s="1" t="str">
        <f>HYPERLINK("https://www.catalog.slsa.sa.gov.au/xrecord=b2064304")</f>
        <v>https://www.catalog.slsa.sa.gov.au/xrecord=b2064304</v>
      </c>
      <c r="D8082" t="s">
        <v>16831</v>
      </c>
      <c r="E8082" t="s">
        <v>25635</v>
      </c>
      <c r="F8082">
        <v>1958</v>
      </c>
      <c r="G8082" t="s">
        <v>25786</v>
      </c>
      <c r="H8082" t="s">
        <v>26966</v>
      </c>
      <c r="J8082" t="s">
        <v>26967</v>
      </c>
      <c r="K8082" s="2" t="str">
        <f>HYPERLINK("http://collections.slsa.sa.gov.au/mpcimg/14250/B14084.htm")</f>
        <v>http://collections.slsa.sa.gov.au/mpcimg/14250/B14084.htm</v>
      </c>
    </row>
    <row r="8083" spans="1:11" x14ac:dyDescent="0.25">
      <c r="A8083" t="s">
        <v>26968</v>
      </c>
      <c r="B8083" s="1" t="str">
        <f>HYPERLINK("https://www.catalog.slsa.sa.gov.au/record=b2064328")</f>
        <v>https://www.catalog.slsa.sa.gov.au/record=b2064328</v>
      </c>
      <c r="C8083" s="1" t="str">
        <f>HYPERLINK("https://www.catalog.slsa.sa.gov.au/xrecord=b2064328")</f>
        <v>https://www.catalog.slsa.sa.gov.au/xrecord=b2064328</v>
      </c>
      <c r="D8083" t="s">
        <v>16831</v>
      </c>
      <c r="E8083" t="s">
        <v>26969</v>
      </c>
      <c r="F8083">
        <v>1958</v>
      </c>
      <c r="G8083" t="s">
        <v>25786</v>
      </c>
      <c r="H8083" t="s">
        <v>26970</v>
      </c>
      <c r="J8083" t="s">
        <v>26971</v>
      </c>
      <c r="K8083" s="2" t="str">
        <f>HYPERLINK("http://collections.slsa.sa.gov.au/mpcimg/14000/B13993.htm")</f>
        <v>http://collections.slsa.sa.gov.au/mpcimg/14000/B13993.htm</v>
      </c>
    </row>
    <row r="8084" spans="1:11" x14ac:dyDescent="0.25">
      <c r="A8084" t="s">
        <v>26972</v>
      </c>
      <c r="B8084" s="1" t="str">
        <f>HYPERLINK("https://www.catalog.slsa.sa.gov.au/record=b2064521")</f>
        <v>https://www.catalog.slsa.sa.gov.au/record=b2064521</v>
      </c>
      <c r="C8084" s="1" t="str">
        <f>HYPERLINK("https://www.catalog.slsa.sa.gov.au/xrecord=b2064521")</f>
        <v>https://www.catalog.slsa.sa.gov.au/xrecord=b2064521</v>
      </c>
      <c r="D8084" t="s">
        <v>16831</v>
      </c>
      <c r="E8084" t="s">
        <v>26509</v>
      </c>
      <c r="F8084">
        <v>1958</v>
      </c>
      <c r="G8084" t="s">
        <v>25786</v>
      </c>
      <c r="H8084" t="s">
        <v>26973</v>
      </c>
      <c r="J8084" t="s">
        <v>24735</v>
      </c>
      <c r="K8084" s="2" t="str">
        <f>HYPERLINK("http://collections.slsa.sa.gov.au/mpcimg/14250/B14155.htm")</f>
        <v>http://collections.slsa.sa.gov.au/mpcimg/14250/B14155.htm</v>
      </c>
    </row>
    <row r="8085" spans="1:11" x14ac:dyDescent="0.25">
      <c r="A8085" t="s">
        <v>26974</v>
      </c>
      <c r="B8085" s="1" t="str">
        <f>HYPERLINK("https://www.catalog.slsa.sa.gov.au/record=b2064664")</f>
        <v>https://www.catalog.slsa.sa.gov.au/record=b2064664</v>
      </c>
      <c r="C8085" s="1" t="str">
        <f>HYPERLINK("https://www.catalog.slsa.sa.gov.au/xrecord=b2064664")</f>
        <v>https://www.catalog.slsa.sa.gov.au/xrecord=b2064664</v>
      </c>
      <c r="D8085" t="s">
        <v>16831</v>
      </c>
      <c r="E8085" t="s">
        <v>26509</v>
      </c>
      <c r="F8085">
        <v>1958</v>
      </c>
      <c r="G8085" t="s">
        <v>25786</v>
      </c>
      <c r="H8085" t="s">
        <v>26975</v>
      </c>
      <c r="J8085" t="s">
        <v>26976</v>
      </c>
      <c r="K8085" s="2" t="str">
        <f>HYPERLINK("http://collections.slsa.sa.gov.au/mpcimg/14250/B14167.htm")</f>
        <v>http://collections.slsa.sa.gov.au/mpcimg/14250/B14167.htm</v>
      </c>
    </row>
    <row r="8086" spans="1:11" x14ac:dyDescent="0.25">
      <c r="A8086" t="s">
        <v>26977</v>
      </c>
      <c r="B8086" s="1" t="str">
        <f>HYPERLINK("https://www.catalog.slsa.sa.gov.au/record=b2064699")</f>
        <v>https://www.catalog.slsa.sa.gov.au/record=b2064699</v>
      </c>
      <c r="C8086" s="1" t="str">
        <f>HYPERLINK("https://www.catalog.slsa.sa.gov.au/xrecord=b2064699")</f>
        <v>https://www.catalog.slsa.sa.gov.au/xrecord=b2064699</v>
      </c>
      <c r="D8086" t="s">
        <v>16831</v>
      </c>
      <c r="E8086" t="s">
        <v>25655</v>
      </c>
      <c r="F8086">
        <v>1958</v>
      </c>
      <c r="G8086" t="s">
        <v>25786</v>
      </c>
      <c r="H8086" t="s">
        <v>26978</v>
      </c>
      <c r="J8086" t="s">
        <v>26522</v>
      </c>
      <c r="K8086" s="2" t="str">
        <f>HYPERLINK("http://collections.slsa.sa.gov.au/mpcimg/14000/B13994.htm")</f>
        <v>http://collections.slsa.sa.gov.au/mpcimg/14000/B13994.htm</v>
      </c>
    </row>
    <row r="8087" spans="1:11" x14ac:dyDescent="0.25">
      <c r="A8087" t="s">
        <v>26979</v>
      </c>
      <c r="B8087" s="1" t="str">
        <f>HYPERLINK("https://www.catalog.slsa.sa.gov.au/record=b2064700")</f>
        <v>https://www.catalog.slsa.sa.gov.au/record=b2064700</v>
      </c>
      <c r="C8087" s="1" t="str">
        <f>HYPERLINK("https://www.catalog.slsa.sa.gov.au/xrecord=b2064700")</f>
        <v>https://www.catalog.slsa.sa.gov.au/xrecord=b2064700</v>
      </c>
      <c r="D8087" t="s">
        <v>16831</v>
      </c>
      <c r="E8087" t="s">
        <v>26980</v>
      </c>
      <c r="F8087">
        <v>1958</v>
      </c>
      <c r="G8087" t="s">
        <v>25786</v>
      </c>
      <c r="H8087" t="s">
        <v>26981</v>
      </c>
      <c r="J8087" t="s">
        <v>26522</v>
      </c>
      <c r="K8087" s="2" t="str">
        <f>HYPERLINK("http://collections.slsa.sa.gov.au/mpcimg/14000/B13995.htm")</f>
        <v>http://collections.slsa.sa.gov.au/mpcimg/14000/B13995.htm</v>
      </c>
    </row>
    <row r="8088" spans="1:11" x14ac:dyDescent="0.25">
      <c r="A8088" t="s">
        <v>26982</v>
      </c>
      <c r="B8088" s="1" t="str">
        <f>HYPERLINK("https://www.catalog.slsa.sa.gov.au/record=b2064707")</f>
        <v>https://www.catalog.slsa.sa.gov.au/record=b2064707</v>
      </c>
      <c r="C8088" s="1" t="str">
        <f>HYPERLINK("https://www.catalog.slsa.sa.gov.au/xrecord=b2064707")</f>
        <v>https://www.catalog.slsa.sa.gov.au/xrecord=b2064707</v>
      </c>
      <c r="D8088" t="s">
        <v>16831</v>
      </c>
      <c r="E8088" t="s">
        <v>26980</v>
      </c>
      <c r="F8088">
        <v>1958</v>
      </c>
      <c r="G8088" t="s">
        <v>25786</v>
      </c>
      <c r="H8088" t="s">
        <v>26983</v>
      </c>
      <c r="J8088" t="s">
        <v>26984</v>
      </c>
      <c r="K8088" s="2" t="str">
        <f>HYPERLINK("http://collections.slsa.sa.gov.au/mpcimg/14250/B14049.htm")</f>
        <v>http://collections.slsa.sa.gov.au/mpcimg/14250/B14049.htm</v>
      </c>
    </row>
    <row r="8089" spans="1:11" x14ac:dyDescent="0.25">
      <c r="A8089" t="s">
        <v>26985</v>
      </c>
      <c r="B8089" s="1" t="str">
        <f>HYPERLINK("https://www.catalog.slsa.sa.gov.au/record=b2064712")</f>
        <v>https://www.catalog.slsa.sa.gov.au/record=b2064712</v>
      </c>
      <c r="C8089" s="1" t="str">
        <f>HYPERLINK("https://www.catalog.slsa.sa.gov.au/xrecord=b2064712")</f>
        <v>https://www.catalog.slsa.sa.gov.au/xrecord=b2064712</v>
      </c>
      <c r="D8089" t="s">
        <v>16831</v>
      </c>
      <c r="E8089" t="s">
        <v>26980</v>
      </c>
      <c r="F8089">
        <v>1958</v>
      </c>
      <c r="G8089" t="s">
        <v>25786</v>
      </c>
      <c r="H8089" t="s">
        <v>26986</v>
      </c>
      <c r="J8089" t="s">
        <v>25657</v>
      </c>
      <c r="K8089" s="2" t="str">
        <f>HYPERLINK("http://collections.slsa.sa.gov.au/mpcimg/14250/B14050.htm")</f>
        <v>http://collections.slsa.sa.gov.au/mpcimg/14250/B14050.htm</v>
      </c>
    </row>
    <row r="8090" spans="1:11" x14ac:dyDescent="0.25">
      <c r="A8090" t="s">
        <v>26987</v>
      </c>
      <c r="B8090" s="1" t="str">
        <f>HYPERLINK("https://www.catalog.slsa.sa.gov.au/record=b2065198")</f>
        <v>https://www.catalog.slsa.sa.gov.au/record=b2065198</v>
      </c>
      <c r="C8090" s="1" t="str">
        <f>HYPERLINK("https://www.catalog.slsa.sa.gov.au/xrecord=b2065198")</f>
        <v>https://www.catalog.slsa.sa.gov.au/xrecord=b2065198</v>
      </c>
      <c r="D8090" t="s">
        <v>16831</v>
      </c>
      <c r="E8090" t="s">
        <v>26988</v>
      </c>
      <c r="F8090">
        <v>1958</v>
      </c>
      <c r="G8090" t="s">
        <v>25786</v>
      </c>
      <c r="H8090" t="s">
        <v>26989</v>
      </c>
      <c r="I8090" t="s">
        <v>26990</v>
      </c>
      <c r="J8090" t="s">
        <v>26991</v>
      </c>
      <c r="K8090" s="2" t="str">
        <f>HYPERLINK("http://collections.slsa.sa.gov.au/mpcimg/14250/B14142.htm")</f>
        <v>http://collections.slsa.sa.gov.au/mpcimg/14250/B14142.htm</v>
      </c>
    </row>
    <row r="8091" spans="1:11" x14ac:dyDescent="0.25">
      <c r="A8091" t="s">
        <v>26992</v>
      </c>
      <c r="B8091" s="1" t="str">
        <f>HYPERLINK("https://www.catalog.slsa.sa.gov.au/record=b2066246")</f>
        <v>https://www.catalog.slsa.sa.gov.au/record=b2066246</v>
      </c>
      <c r="C8091" s="1" t="str">
        <f>HYPERLINK("https://www.catalog.slsa.sa.gov.au/xrecord=b2066246")</f>
        <v>https://www.catalog.slsa.sa.gov.au/xrecord=b2066246</v>
      </c>
      <c r="D8091" t="s">
        <v>16831</v>
      </c>
      <c r="E8091" t="s">
        <v>15183</v>
      </c>
      <c r="F8091">
        <v>1958</v>
      </c>
      <c r="G8091" t="s">
        <v>25786</v>
      </c>
      <c r="H8091" t="s">
        <v>26993</v>
      </c>
      <c r="J8091" t="s">
        <v>26994</v>
      </c>
      <c r="K8091" s="2" t="str">
        <f>HYPERLINK("http://collections.slsa.sa.gov.au/mpcimg/14250/B14041.htm")</f>
        <v>http://collections.slsa.sa.gov.au/mpcimg/14250/B14041.htm</v>
      </c>
    </row>
    <row r="8092" spans="1:11" x14ac:dyDescent="0.25">
      <c r="A8092" t="s">
        <v>26995</v>
      </c>
      <c r="B8092" s="1" t="str">
        <f>HYPERLINK("https://www.catalog.slsa.sa.gov.au/record=b2066451")</f>
        <v>https://www.catalog.slsa.sa.gov.au/record=b2066451</v>
      </c>
      <c r="C8092" s="1" t="str">
        <f>HYPERLINK("https://www.catalog.slsa.sa.gov.au/xrecord=b2066451")</f>
        <v>https://www.catalog.slsa.sa.gov.au/xrecord=b2066451</v>
      </c>
      <c r="D8092" t="s">
        <v>16831</v>
      </c>
      <c r="E8092" t="s">
        <v>26996</v>
      </c>
      <c r="F8092">
        <v>1958</v>
      </c>
      <c r="G8092" t="s">
        <v>25786</v>
      </c>
      <c r="H8092" t="s">
        <v>26997</v>
      </c>
      <c r="J8092" t="s">
        <v>26998</v>
      </c>
      <c r="K8092" s="2" t="str">
        <f>HYPERLINK("http://collections.slsa.sa.gov.au/mpcimg/14250/B14156.htm")</f>
        <v>http://collections.slsa.sa.gov.au/mpcimg/14250/B14156.htm</v>
      </c>
    </row>
    <row r="8093" spans="1:11" x14ac:dyDescent="0.25">
      <c r="A8093" t="s">
        <v>26999</v>
      </c>
      <c r="B8093" s="1" t="str">
        <f>HYPERLINK("https://www.catalog.slsa.sa.gov.au/record=b2067897")</f>
        <v>https://www.catalog.slsa.sa.gov.au/record=b2067897</v>
      </c>
      <c r="C8093" s="1" t="str">
        <f>HYPERLINK("https://www.catalog.slsa.sa.gov.au/xrecord=b2067897")</f>
        <v>https://www.catalog.slsa.sa.gov.au/xrecord=b2067897</v>
      </c>
      <c r="D8093" t="s">
        <v>16831</v>
      </c>
      <c r="E8093" t="s">
        <v>27000</v>
      </c>
      <c r="F8093">
        <v>1958</v>
      </c>
      <c r="G8093" t="s">
        <v>25786</v>
      </c>
      <c r="H8093" t="s">
        <v>27001</v>
      </c>
      <c r="J8093" t="s">
        <v>27002</v>
      </c>
      <c r="K8093" s="2" t="str">
        <f>HYPERLINK("http://collections.slsa.sa.gov.au/mpcimg/14250/B14068.htm")</f>
        <v>http://collections.slsa.sa.gov.au/mpcimg/14250/B14068.htm</v>
      </c>
    </row>
    <row r="8094" spans="1:11" x14ac:dyDescent="0.25">
      <c r="A8094" t="s">
        <v>27003</v>
      </c>
      <c r="B8094" s="1" t="str">
        <f>HYPERLINK("https://www.catalog.slsa.sa.gov.au/record=b2067898")</f>
        <v>https://www.catalog.slsa.sa.gov.au/record=b2067898</v>
      </c>
      <c r="C8094" s="1" t="str">
        <f>HYPERLINK("https://www.catalog.slsa.sa.gov.au/xrecord=b2067898")</f>
        <v>https://www.catalog.slsa.sa.gov.au/xrecord=b2067898</v>
      </c>
      <c r="D8094" t="s">
        <v>16831</v>
      </c>
      <c r="E8094" t="s">
        <v>27000</v>
      </c>
      <c r="F8094">
        <v>1958</v>
      </c>
      <c r="G8094" t="s">
        <v>25786</v>
      </c>
      <c r="H8094" t="s">
        <v>27004</v>
      </c>
      <c r="J8094" t="s">
        <v>27002</v>
      </c>
      <c r="K8094" s="2" t="str">
        <f>HYPERLINK("http://collections.slsa.sa.gov.au/mpcimg/14250/B14069.htm")</f>
        <v>http://collections.slsa.sa.gov.au/mpcimg/14250/B14069.htm</v>
      </c>
    </row>
    <row r="8095" spans="1:11" x14ac:dyDescent="0.25">
      <c r="A8095" t="s">
        <v>27005</v>
      </c>
      <c r="B8095" s="1" t="str">
        <f>HYPERLINK("https://www.catalog.slsa.sa.gov.au/record=b2066577")</f>
        <v>https://www.catalog.slsa.sa.gov.au/record=b2066577</v>
      </c>
      <c r="C8095" s="1" t="str">
        <f>HYPERLINK("https://www.catalog.slsa.sa.gov.au/xrecord=b2066577")</f>
        <v>https://www.catalog.slsa.sa.gov.au/xrecord=b2066577</v>
      </c>
      <c r="D8095" t="s">
        <v>16831</v>
      </c>
      <c r="E8095" t="s">
        <v>15636</v>
      </c>
      <c r="F8095" t="s">
        <v>9217</v>
      </c>
      <c r="G8095" t="s">
        <v>25786</v>
      </c>
      <c r="H8095" t="s">
        <v>27006</v>
      </c>
      <c r="J8095" t="s">
        <v>24751</v>
      </c>
      <c r="K8095" s="2" t="str">
        <f>HYPERLINK("http://collections.slsa.sa.gov.au/mpcimg/14500/B14424.htm")</f>
        <v>http://collections.slsa.sa.gov.au/mpcimg/14500/B14424.htm</v>
      </c>
    </row>
    <row r="8096" spans="1:11" x14ac:dyDescent="0.25">
      <c r="A8096" t="s">
        <v>27007</v>
      </c>
      <c r="B8096" s="1" t="str">
        <f>HYPERLINK("https://www.catalog.slsa.sa.gov.au/record=b2066578")</f>
        <v>https://www.catalog.slsa.sa.gov.au/record=b2066578</v>
      </c>
      <c r="C8096" s="1" t="str">
        <f>HYPERLINK("https://www.catalog.slsa.sa.gov.au/xrecord=b2066578")</f>
        <v>https://www.catalog.slsa.sa.gov.au/xrecord=b2066578</v>
      </c>
      <c r="D8096" t="s">
        <v>16831</v>
      </c>
      <c r="E8096" t="s">
        <v>27008</v>
      </c>
      <c r="F8096" t="s">
        <v>9217</v>
      </c>
      <c r="G8096" t="s">
        <v>25786</v>
      </c>
      <c r="H8096" t="s">
        <v>27009</v>
      </c>
      <c r="J8096" t="s">
        <v>24751</v>
      </c>
      <c r="K8096" s="2" t="str">
        <f>HYPERLINK("http://collections.slsa.sa.gov.au/mpcimg/14500/B14425.htm")</f>
        <v>http://collections.slsa.sa.gov.au/mpcimg/14500/B14425.htm</v>
      </c>
    </row>
    <row r="8097" spans="1:11" x14ac:dyDescent="0.25">
      <c r="A8097" t="s">
        <v>27010</v>
      </c>
      <c r="B8097" s="1" t="str">
        <f>HYPERLINK("https://www.catalog.slsa.sa.gov.au/record=b3023294")</f>
        <v>https://www.catalog.slsa.sa.gov.au/record=b3023294</v>
      </c>
      <c r="C8097" s="1" t="str">
        <f>HYPERLINK("https://www.catalog.slsa.sa.gov.au/xrecord=b3023294")</f>
        <v>https://www.catalog.slsa.sa.gov.au/xrecord=b3023294</v>
      </c>
      <c r="D8097" t="s">
        <v>27011</v>
      </c>
      <c r="E8097" t="s">
        <v>27012</v>
      </c>
      <c r="F8097" t="s">
        <v>27013</v>
      </c>
      <c r="G8097" t="s">
        <v>27014</v>
      </c>
      <c r="H8097" t="s">
        <v>27015</v>
      </c>
      <c r="I8097" t="s">
        <v>27016</v>
      </c>
      <c r="J8097" t="s">
        <v>27017</v>
      </c>
      <c r="K8097" s="2" t="str">
        <f>HYPERLINK("http://collections.slsa.sa.gov.au/resource/B+74389")</f>
        <v>http://collections.slsa.sa.gov.au/resource/B+74389</v>
      </c>
    </row>
    <row r="8098" spans="1:11" x14ac:dyDescent="0.25">
      <c r="A8098" t="s">
        <v>27018</v>
      </c>
      <c r="B8098" s="1" t="str">
        <f>HYPERLINK("https://www.catalog.slsa.sa.gov.au/record=b3023297")</f>
        <v>https://www.catalog.slsa.sa.gov.au/record=b3023297</v>
      </c>
      <c r="C8098" s="1" t="str">
        <f>HYPERLINK("https://www.catalog.slsa.sa.gov.au/xrecord=b3023297")</f>
        <v>https://www.catalog.slsa.sa.gov.au/xrecord=b3023297</v>
      </c>
      <c r="E8098" t="s">
        <v>27019</v>
      </c>
      <c r="F8098" t="s">
        <v>27013</v>
      </c>
      <c r="G8098" t="s">
        <v>27020</v>
      </c>
      <c r="H8098" t="s">
        <v>27021</v>
      </c>
      <c r="I8098" t="s">
        <v>27022</v>
      </c>
      <c r="J8098" t="s">
        <v>27017</v>
      </c>
      <c r="K8098" s="2" t="str">
        <f>HYPERLINK("http://collections.slsa.sa.gov.au/resource/B+74390")</f>
        <v>http://collections.slsa.sa.gov.au/resource/B+74390</v>
      </c>
    </row>
    <row r="8099" spans="1:11" x14ac:dyDescent="0.25">
      <c r="A8099" t="s">
        <v>27023</v>
      </c>
      <c r="B8099" s="1" t="str">
        <f>HYPERLINK("https://www.catalog.slsa.sa.gov.au/record=b2024424")</f>
        <v>https://www.catalog.slsa.sa.gov.au/record=b2024424</v>
      </c>
      <c r="C8099" s="1" t="str">
        <f>HYPERLINK("https://www.catalog.slsa.sa.gov.au/xrecord=b2024424")</f>
        <v>https://www.catalog.slsa.sa.gov.au/xrecord=b2024424</v>
      </c>
      <c r="D8099" t="s">
        <v>16831</v>
      </c>
      <c r="E8099" t="s">
        <v>14869</v>
      </c>
      <c r="F8099">
        <v>1959</v>
      </c>
      <c r="G8099" t="s">
        <v>25786</v>
      </c>
      <c r="H8099" t="s">
        <v>27024</v>
      </c>
      <c r="J8099" t="s">
        <v>14873</v>
      </c>
      <c r="K8099" s="2" t="str">
        <f>HYPERLINK("http://collections.slsa.sa.gov.au/mpcimg/14250/B14239.htm")</f>
        <v>http://collections.slsa.sa.gov.au/mpcimg/14250/B14239.htm</v>
      </c>
    </row>
    <row r="8100" spans="1:11" x14ac:dyDescent="0.25">
      <c r="A8100" t="s">
        <v>27025</v>
      </c>
      <c r="B8100" s="1" t="str">
        <f>HYPERLINK("https://www.catalog.slsa.sa.gov.au/record=b2024425")</f>
        <v>https://www.catalog.slsa.sa.gov.au/record=b2024425</v>
      </c>
      <c r="C8100" s="1" t="str">
        <f>HYPERLINK("https://www.catalog.slsa.sa.gov.au/xrecord=b2024425")</f>
        <v>https://www.catalog.slsa.sa.gov.au/xrecord=b2024425</v>
      </c>
      <c r="D8100" t="s">
        <v>16831</v>
      </c>
      <c r="E8100" t="s">
        <v>14869</v>
      </c>
      <c r="F8100">
        <v>1959</v>
      </c>
      <c r="G8100" t="s">
        <v>25786</v>
      </c>
      <c r="H8100" t="s">
        <v>27026</v>
      </c>
      <c r="I8100" t="s">
        <v>27027</v>
      </c>
      <c r="J8100" t="s">
        <v>14873</v>
      </c>
      <c r="K8100" s="2" t="str">
        <f>HYPERLINK("http://collections.slsa.sa.gov.au/mpcimg/14250/B14240.htm")</f>
        <v>http://collections.slsa.sa.gov.au/mpcimg/14250/B14240.htm</v>
      </c>
    </row>
    <row r="8101" spans="1:11" x14ac:dyDescent="0.25">
      <c r="A8101" t="s">
        <v>27028</v>
      </c>
      <c r="B8101" s="1" t="str">
        <f>HYPERLINK("https://www.catalog.slsa.sa.gov.au/record=b2024426")</f>
        <v>https://www.catalog.slsa.sa.gov.au/record=b2024426</v>
      </c>
      <c r="C8101" s="1" t="str">
        <f>HYPERLINK("https://www.catalog.slsa.sa.gov.au/xrecord=b2024426")</f>
        <v>https://www.catalog.slsa.sa.gov.au/xrecord=b2024426</v>
      </c>
      <c r="D8101" t="s">
        <v>16831</v>
      </c>
      <c r="E8101" t="s">
        <v>14869</v>
      </c>
      <c r="F8101">
        <v>1959</v>
      </c>
      <c r="G8101" t="s">
        <v>25786</v>
      </c>
      <c r="H8101" t="s">
        <v>27029</v>
      </c>
      <c r="I8101" t="s">
        <v>27027</v>
      </c>
      <c r="J8101" t="s">
        <v>14873</v>
      </c>
      <c r="K8101" s="2" t="str">
        <f>HYPERLINK("http://collections.slsa.sa.gov.au/mpcimg/14250/B14241.htm")</f>
        <v>http://collections.slsa.sa.gov.au/mpcimg/14250/B14241.htm</v>
      </c>
    </row>
    <row r="8102" spans="1:11" x14ac:dyDescent="0.25">
      <c r="A8102" t="s">
        <v>27030</v>
      </c>
      <c r="B8102" s="1" t="str">
        <f>HYPERLINK("https://www.catalog.slsa.sa.gov.au/record=b2024427")</f>
        <v>https://www.catalog.slsa.sa.gov.au/record=b2024427</v>
      </c>
      <c r="C8102" s="1" t="str">
        <f>HYPERLINK("https://www.catalog.slsa.sa.gov.au/xrecord=b2024427")</f>
        <v>https://www.catalog.slsa.sa.gov.au/xrecord=b2024427</v>
      </c>
      <c r="D8102" t="s">
        <v>16831</v>
      </c>
      <c r="E8102" t="s">
        <v>14869</v>
      </c>
      <c r="F8102">
        <v>1959</v>
      </c>
      <c r="G8102" t="s">
        <v>25786</v>
      </c>
      <c r="H8102" t="s">
        <v>27031</v>
      </c>
      <c r="I8102" t="s">
        <v>27032</v>
      </c>
      <c r="J8102" t="s">
        <v>14873</v>
      </c>
      <c r="K8102" s="2" t="str">
        <f>HYPERLINK("http://collections.slsa.sa.gov.au/mpcimg/14250/B14242.htm")</f>
        <v>http://collections.slsa.sa.gov.au/mpcimg/14250/B14242.htm</v>
      </c>
    </row>
    <row r="8103" spans="1:11" x14ac:dyDescent="0.25">
      <c r="A8103" t="s">
        <v>27033</v>
      </c>
      <c r="B8103" s="1" t="str">
        <f>HYPERLINK("https://www.catalog.slsa.sa.gov.au/record=b2024428")</f>
        <v>https://www.catalog.slsa.sa.gov.au/record=b2024428</v>
      </c>
      <c r="C8103" s="1" t="str">
        <f>HYPERLINK("https://www.catalog.slsa.sa.gov.au/xrecord=b2024428")</f>
        <v>https://www.catalog.slsa.sa.gov.au/xrecord=b2024428</v>
      </c>
      <c r="D8103" t="s">
        <v>16831</v>
      </c>
      <c r="E8103" t="s">
        <v>14869</v>
      </c>
      <c r="F8103">
        <v>1959</v>
      </c>
      <c r="G8103" t="s">
        <v>25786</v>
      </c>
      <c r="H8103" t="s">
        <v>27034</v>
      </c>
      <c r="I8103" t="s">
        <v>27035</v>
      </c>
      <c r="J8103" t="s">
        <v>14873</v>
      </c>
      <c r="K8103" s="2" t="str">
        <f>HYPERLINK("http://collections.slsa.sa.gov.au/mpcimg/14250/B14243.htm")</f>
        <v>http://collections.slsa.sa.gov.au/mpcimg/14250/B14243.htm</v>
      </c>
    </row>
    <row r="8104" spans="1:11" x14ac:dyDescent="0.25">
      <c r="A8104" t="s">
        <v>27036</v>
      </c>
      <c r="B8104" s="1" t="str">
        <f>HYPERLINK("https://www.catalog.slsa.sa.gov.au/record=b2024429")</f>
        <v>https://www.catalog.slsa.sa.gov.au/record=b2024429</v>
      </c>
      <c r="C8104" s="1" t="str">
        <f>HYPERLINK("https://www.catalog.slsa.sa.gov.au/xrecord=b2024429")</f>
        <v>https://www.catalog.slsa.sa.gov.au/xrecord=b2024429</v>
      </c>
      <c r="D8104" t="s">
        <v>16831</v>
      </c>
      <c r="E8104" t="s">
        <v>14869</v>
      </c>
      <c r="F8104">
        <v>1959</v>
      </c>
      <c r="G8104" t="s">
        <v>25786</v>
      </c>
      <c r="H8104" t="s">
        <v>27037</v>
      </c>
      <c r="I8104" t="s">
        <v>27032</v>
      </c>
      <c r="J8104" t="s">
        <v>14873</v>
      </c>
      <c r="K8104" s="2" t="str">
        <f>HYPERLINK("http://collections.slsa.sa.gov.au/mpcimg/14250/B14244.htm")</f>
        <v>http://collections.slsa.sa.gov.au/mpcimg/14250/B14244.htm</v>
      </c>
    </row>
    <row r="8105" spans="1:11" x14ac:dyDescent="0.25">
      <c r="A8105" t="s">
        <v>27038</v>
      </c>
      <c r="B8105" s="1" t="str">
        <f>HYPERLINK("https://www.catalog.slsa.sa.gov.au/record=b2024430")</f>
        <v>https://www.catalog.slsa.sa.gov.au/record=b2024430</v>
      </c>
      <c r="C8105" s="1" t="str">
        <f>HYPERLINK("https://www.catalog.slsa.sa.gov.au/xrecord=b2024430")</f>
        <v>https://www.catalog.slsa.sa.gov.au/xrecord=b2024430</v>
      </c>
      <c r="D8105" t="s">
        <v>16831</v>
      </c>
      <c r="E8105" t="s">
        <v>14869</v>
      </c>
      <c r="F8105">
        <v>1959</v>
      </c>
      <c r="G8105" t="s">
        <v>25786</v>
      </c>
      <c r="H8105" t="s">
        <v>27039</v>
      </c>
      <c r="J8105" t="s">
        <v>14873</v>
      </c>
      <c r="K8105" s="2" t="str">
        <f>HYPERLINK("http://collections.slsa.sa.gov.au/mpcimg/14250/B14245.htm")</f>
        <v>http://collections.slsa.sa.gov.au/mpcimg/14250/B14245.htm</v>
      </c>
    </row>
    <row r="8106" spans="1:11" x14ac:dyDescent="0.25">
      <c r="A8106" t="s">
        <v>27040</v>
      </c>
      <c r="B8106" s="1" t="str">
        <f>HYPERLINK("https://www.catalog.slsa.sa.gov.au/record=b2024431")</f>
        <v>https://www.catalog.slsa.sa.gov.au/record=b2024431</v>
      </c>
      <c r="C8106" s="1" t="str">
        <f>HYPERLINK("https://www.catalog.slsa.sa.gov.au/xrecord=b2024431")</f>
        <v>https://www.catalog.slsa.sa.gov.au/xrecord=b2024431</v>
      </c>
      <c r="D8106" t="s">
        <v>16831</v>
      </c>
      <c r="E8106" t="s">
        <v>14869</v>
      </c>
      <c r="F8106">
        <v>1959</v>
      </c>
      <c r="G8106" t="s">
        <v>25786</v>
      </c>
      <c r="H8106" t="s">
        <v>27041</v>
      </c>
      <c r="I8106" t="s">
        <v>27042</v>
      </c>
      <c r="J8106" t="s">
        <v>14873</v>
      </c>
      <c r="K8106" s="2" t="str">
        <f>HYPERLINK("http://collections.slsa.sa.gov.au/mpcimg/14250/B14246.htm")</f>
        <v>http://collections.slsa.sa.gov.au/mpcimg/14250/B14246.htm</v>
      </c>
    </row>
    <row r="8107" spans="1:11" x14ac:dyDescent="0.25">
      <c r="A8107" t="s">
        <v>27043</v>
      </c>
      <c r="B8107" s="1" t="str">
        <f>HYPERLINK("https://www.catalog.slsa.sa.gov.au/record=b2032177")</f>
        <v>https://www.catalog.slsa.sa.gov.au/record=b2032177</v>
      </c>
      <c r="C8107" s="1" t="str">
        <f>HYPERLINK("https://www.catalog.slsa.sa.gov.au/xrecord=b2032177")</f>
        <v>https://www.catalog.slsa.sa.gov.au/xrecord=b2032177</v>
      </c>
      <c r="D8107" t="s">
        <v>15039</v>
      </c>
      <c r="E8107" t="s">
        <v>27044</v>
      </c>
      <c r="F8107">
        <v>1959</v>
      </c>
      <c r="G8107" t="s">
        <v>27045</v>
      </c>
      <c r="H8107" t="s">
        <v>27046</v>
      </c>
      <c r="J8107" t="s">
        <v>2963</v>
      </c>
      <c r="K8107" s="2" t="str">
        <f>HYPERLINK("http://collections.slsa.sa.gov.au/mpcimg/53500/B53313.htm")</f>
        <v>http://collections.slsa.sa.gov.au/mpcimg/53500/B53313.htm</v>
      </c>
    </row>
    <row r="8108" spans="1:11" x14ac:dyDescent="0.25">
      <c r="A8108" t="s">
        <v>27047</v>
      </c>
      <c r="B8108" s="1" t="str">
        <f>HYPERLINK("https://www.catalog.slsa.sa.gov.au/record=b2054849")</f>
        <v>https://www.catalog.slsa.sa.gov.au/record=b2054849</v>
      </c>
      <c r="C8108" s="1" t="str">
        <f>HYPERLINK("https://www.catalog.slsa.sa.gov.au/xrecord=b2054849")</f>
        <v>https://www.catalog.slsa.sa.gov.au/xrecord=b2054849</v>
      </c>
      <c r="D8108" t="s">
        <v>16831</v>
      </c>
      <c r="E8108" t="s">
        <v>17146</v>
      </c>
      <c r="F8108">
        <v>1959</v>
      </c>
      <c r="G8108" t="s">
        <v>25786</v>
      </c>
      <c r="H8108" t="s">
        <v>27048</v>
      </c>
      <c r="J8108" t="s">
        <v>23768</v>
      </c>
      <c r="K8108" s="2" t="str">
        <f>HYPERLINK("http://collections.slsa.sa.gov.au/mpcimg/14500/B14251.htm")</f>
        <v>http://collections.slsa.sa.gov.au/mpcimg/14500/B14251.htm</v>
      </c>
    </row>
    <row r="8109" spans="1:11" x14ac:dyDescent="0.25">
      <c r="A8109" t="s">
        <v>27049</v>
      </c>
      <c r="B8109" s="1" t="str">
        <f>HYPERLINK("https://www.catalog.slsa.sa.gov.au/record=b2054850")</f>
        <v>https://www.catalog.slsa.sa.gov.au/record=b2054850</v>
      </c>
      <c r="C8109" s="1" t="str">
        <f>HYPERLINK("https://www.catalog.slsa.sa.gov.au/xrecord=b2054850")</f>
        <v>https://www.catalog.slsa.sa.gov.au/xrecord=b2054850</v>
      </c>
      <c r="D8109" t="s">
        <v>16831</v>
      </c>
      <c r="E8109" t="s">
        <v>17146</v>
      </c>
      <c r="F8109">
        <v>1959</v>
      </c>
      <c r="G8109" t="s">
        <v>25786</v>
      </c>
      <c r="H8109" t="s">
        <v>27050</v>
      </c>
      <c r="J8109" t="s">
        <v>23768</v>
      </c>
      <c r="K8109" s="2" t="str">
        <f>HYPERLINK("http://collections.slsa.sa.gov.au/mpcimg/14500/B14252.htm")</f>
        <v>http://collections.slsa.sa.gov.au/mpcimg/14500/B14252.htm</v>
      </c>
    </row>
    <row r="8110" spans="1:11" x14ac:dyDescent="0.25">
      <c r="A8110" t="s">
        <v>27051</v>
      </c>
      <c r="B8110" s="1" t="str">
        <f>HYPERLINK("https://www.catalog.slsa.sa.gov.au/record=b2054881")</f>
        <v>https://www.catalog.slsa.sa.gov.au/record=b2054881</v>
      </c>
      <c r="C8110" s="1" t="str">
        <f>HYPERLINK("https://www.catalog.slsa.sa.gov.au/xrecord=b2054881")</f>
        <v>https://www.catalog.slsa.sa.gov.au/xrecord=b2054881</v>
      </c>
      <c r="D8110" t="s">
        <v>16831</v>
      </c>
      <c r="E8110" t="s">
        <v>15201</v>
      </c>
      <c r="F8110">
        <v>1959</v>
      </c>
      <c r="G8110" t="s">
        <v>25786</v>
      </c>
      <c r="H8110" t="s">
        <v>27052</v>
      </c>
      <c r="J8110" t="s">
        <v>20883</v>
      </c>
      <c r="K8110" s="2" t="str">
        <f>HYPERLINK("http://collections.slsa.sa.gov.au/mpcimg/14250/B14216.htm")</f>
        <v>http://collections.slsa.sa.gov.au/mpcimg/14250/B14216.htm</v>
      </c>
    </row>
    <row r="8111" spans="1:11" x14ac:dyDescent="0.25">
      <c r="A8111" t="s">
        <v>27053</v>
      </c>
      <c r="B8111" s="1" t="str">
        <f>HYPERLINK("https://www.catalog.slsa.sa.gov.au/record=b2054916")</f>
        <v>https://www.catalog.slsa.sa.gov.au/record=b2054916</v>
      </c>
      <c r="C8111" s="1" t="str">
        <f>HYPERLINK("https://www.catalog.slsa.sa.gov.au/xrecord=b2054916")</f>
        <v>https://www.catalog.slsa.sa.gov.au/xrecord=b2054916</v>
      </c>
      <c r="D8111" t="s">
        <v>16831</v>
      </c>
      <c r="E8111" t="s">
        <v>27054</v>
      </c>
      <c r="F8111">
        <v>1959</v>
      </c>
      <c r="G8111" t="s">
        <v>25786</v>
      </c>
      <c r="H8111" t="s">
        <v>27055</v>
      </c>
      <c r="I8111" t="s">
        <v>24177</v>
      </c>
      <c r="J8111" t="s">
        <v>22724</v>
      </c>
      <c r="K8111" s="2" t="str">
        <f>HYPERLINK("http://collections.slsa.sa.gov.au/mpcimg/14500/B14275.htm")</f>
        <v>http://collections.slsa.sa.gov.au/mpcimg/14500/B14275.htm</v>
      </c>
    </row>
    <row r="8112" spans="1:11" x14ac:dyDescent="0.25">
      <c r="A8112" t="s">
        <v>27056</v>
      </c>
      <c r="B8112" s="1" t="str">
        <f>HYPERLINK("https://www.catalog.slsa.sa.gov.au/record=b2055098")</f>
        <v>https://www.catalog.slsa.sa.gov.au/record=b2055098</v>
      </c>
      <c r="C8112" s="1" t="str">
        <f>HYPERLINK("https://www.catalog.slsa.sa.gov.au/xrecord=b2055098")</f>
        <v>https://www.catalog.slsa.sa.gov.au/xrecord=b2055098</v>
      </c>
      <c r="D8112" t="s">
        <v>16831</v>
      </c>
      <c r="E8112" t="s">
        <v>27057</v>
      </c>
      <c r="F8112">
        <v>1959</v>
      </c>
      <c r="G8112" t="s">
        <v>25786</v>
      </c>
      <c r="H8112" t="s">
        <v>27058</v>
      </c>
      <c r="J8112" t="s">
        <v>27059</v>
      </c>
      <c r="K8112" s="2" t="str">
        <f>HYPERLINK("http://collections.slsa.sa.gov.au/mpcimg/14250/B14219.htm")</f>
        <v>http://collections.slsa.sa.gov.au/mpcimg/14250/B14219.htm</v>
      </c>
    </row>
    <row r="8113" spans="1:11" x14ac:dyDescent="0.25">
      <c r="A8113" t="s">
        <v>27060</v>
      </c>
      <c r="B8113" s="1" t="str">
        <f>HYPERLINK("https://www.catalog.slsa.sa.gov.au/record=b2055099")</f>
        <v>https://www.catalog.slsa.sa.gov.au/record=b2055099</v>
      </c>
      <c r="C8113" s="1" t="str">
        <f>HYPERLINK("https://www.catalog.slsa.sa.gov.au/xrecord=b2055099")</f>
        <v>https://www.catalog.slsa.sa.gov.au/xrecord=b2055099</v>
      </c>
      <c r="D8113" t="s">
        <v>16831</v>
      </c>
      <c r="E8113" t="s">
        <v>27061</v>
      </c>
      <c r="F8113">
        <v>1959</v>
      </c>
      <c r="G8113" t="s">
        <v>25786</v>
      </c>
      <c r="H8113" t="s">
        <v>27062</v>
      </c>
      <c r="J8113" t="s">
        <v>27059</v>
      </c>
      <c r="K8113" s="2" t="str">
        <f>HYPERLINK("http://collections.slsa.sa.gov.au/mpcimg/14250/B14220.htm")</f>
        <v>http://collections.slsa.sa.gov.au/mpcimg/14250/B14220.htm</v>
      </c>
    </row>
    <row r="8114" spans="1:11" x14ac:dyDescent="0.25">
      <c r="A8114" t="s">
        <v>27063</v>
      </c>
      <c r="B8114" s="1" t="str">
        <f>HYPERLINK("https://www.catalog.slsa.sa.gov.au/record=b2055100")</f>
        <v>https://www.catalog.slsa.sa.gov.au/record=b2055100</v>
      </c>
      <c r="C8114" s="1" t="str">
        <f>HYPERLINK("https://www.catalog.slsa.sa.gov.au/xrecord=b2055100")</f>
        <v>https://www.catalog.slsa.sa.gov.au/xrecord=b2055100</v>
      </c>
      <c r="D8114" t="s">
        <v>16831</v>
      </c>
      <c r="E8114" t="s">
        <v>27057</v>
      </c>
      <c r="F8114">
        <v>1959</v>
      </c>
      <c r="G8114" t="s">
        <v>25786</v>
      </c>
      <c r="H8114" t="s">
        <v>27064</v>
      </c>
      <c r="J8114" t="s">
        <v>27059</v>
      </c>
      <c r="K8114" s="2" t="str">
        <f>HYPERLINK("http://collections.slsa.sa.gov.au/mpcimg/14250/B14221.htm")</f>
        <v>http://collections.slsa.sa.gov.au/mpcimg/14250/B14221.htm</v>
      </c>
    </row>
    <row r="8115" spans="1:11" x14ac:dyDescent="0.25">
      <c r="A8115" t="s">
        <v>27065</v>
      </c>
      <c r="B8115" s="1" t="str">
        <f>HYPERLINK("https://www.catalog.slsa.sa.gov.au/record=b2055290")</f>
        <v>https://www.catalog.slsa.sa.gov.au/record=b2055290</v>
      </c>
      <c r="C8115" s="1" t="str">
        <f>HYPERLINK("https://www.catalog.slsa.sa.gov.au/xrecord=b2055290")</f>
        <v>https://www.catalog.slsa.sa.gov.au/xrecord=b2055290</v>
      </c>
      <c r="D8115" t="s">
        <v>16831</v>
      </c>
      <c r="E8115" t="s">
        <v>22732</v>
      </c>
      <c r="F8115">
        <v>1959</v>
      </c>
      <c r="G8115" t="s">
        <v>25786</v>
      </c>
      <c r="H8115" t="s">
        <v>27066</v>
      </c>
      <c r="I8115" t="s">
        <v>27067</v>
      </c>
      <c r="J8115" t="s">
        <v>20900</v>
      </c>
      <c r="K8115" s="2" t="str">
        <f>HYPERLINK("http://collections.slsa.sa.gov.au/mpcimg/14500/B14263.htm")</f>
        <v>http://collections.slsa.sa.gov.au/mpcimg/14500/B14263.htm</v>
      </c>
    </row>
    <row r="8116" spans="1:11" x14ac:dyDescent="0.25">
      <c r="A8116" t="s">
        <v>27068</v>
      </c>
      <c r="B8116" s="1" t="str">
        <f>HYPERLINK("https://www.catalog.slsa.sa.gov.au/record=b2055342")</f>
        <v>https://www.catalog.slsa.sa.gov.au/record=b2055342</v>
      </c>
      <c r="C8116" s="1" t="str">
        <f>HYPERLINK("https://www.catalog.slsa.sa.gov.au/xrecord=b2055342")</f>
        <v>https://www.catalog.slsa.sa.gov.au/xrecord=b2055342</v>
      </c>
      <c r="D8116" t="s">
        <v>16831</v>
      </c>
      <c r="E8116" t="s">
        <v>22732</v>
      </c>
      <c r="F8116">
        <v>1959</v>
      </c>
      <c r="G8116" t="s">
        <v>25786</v>
      </c>
      <c r="H8116" t="s">
        <v>27069</v>
      </c>
      <c r="I8116" t="s">
        <v>27070</v>
      </c>
      <c r="J8116" t="s">
        <v>17619</v>
      </c>
      <c r="K8116" s="2" t="str">
        <f>HYPERLINK("http://collections.slsa.sa.gov.au/mpcimg/14500/B14264.htm")</f>
        <v>http://collections.slsa.sa.gov.au/mpcimg/14500/B14264.htm</v>
      </c>
    </row>
    <row r="8117" spans="1:11" x14ac:dyDescent="0.25">
      <c r="A8117" t="s">
        <v>27071</v>
      </c>
      <c r="B8117" s="1" t="str">
        <f>HYPERLINK("https://www.catalog.slsa.sa.gov.au/record=b2055739")</f>
        <v>https://www.catalog.slsa.sa.gov.au/record=b2055739</v>
      </c>
      <c r="C8117" s="1" t="str">
        <f>HYPERLINK("https://www.catalog.slsa.sa.gov.au/xrecord=b2055739")</f>
        <v>https://www.catalog.slsa.sa.gov.au/xrecord=b2055739</v>
      </c>
      <c r="D8117" t="s">
        <v>16831</v>
      </c>
      <c r="E8117" t="s">
        <v>24001</v>
      </c>
      <c r="F8117">
        <v>1959</v>
      </c>
      <c r="G8117" t="s">
        <v>25786</v>
      </c>
      <c r="H8117" t="s">
        <v>27072</v>
      </c>
      <c r="J8117" t="s">
        <v>22167</v>
      </c>
      <c r="K8117" s="2" t="str">
        <f>HYPERLINK("http://collections.slsa.sa.gov.au/mpcimg/14500/B14388.htm")</f>
        <v>http://collections.slsa.sa.gov.au/mpcimg/14500/B14388.htm</v>
      </c>
    </row>
    <row r="8118" spans="1:11" x14ac:dyDescent="0.25">
      <c r="A8118" t="s">
        <v>27073</v>
      </c>
      <c r="B8118" s="1" t="str">
        <f>HYPERLINK("https://www.catalog.slsa.sa.gov.au/record=b2055740")</f>
        <v>https://www.catalog.slsa.sa.gov.au/record=b2055740</v>
      </c>
      <c r="C8118" s="1" t="str">
        <f>HYPERLINK("https://www.catalog.slsa.sa.gov.au/xrecord=b2055740")</f>
        <v>https://www.catalog.slsa.sa.gov.au/xrecord=b2055740</v>
      </c>
      <c r="D8118" t="s">
        <v>16831</v>
      </c>
      <c r="E8118" t="s">
        <v>22163</v>
      </c>
      <c r="F8118">
        <v>1959</v>
      </c>
      <c r="G8118" t="s">
        <v>25786</v>
      </c>
      <c r="H8118" t="s">
        <v>27074</v>
      </c>
      <c r="I8118" t="s">
        <v>27075</v>
      </c>
      <c r="J8118" t="s">
        <v>22167</v>
      </c>
      <c r="K8118" s="2" t="str">
        <f>HYPERLINK("http://collections.slsa.sa.gov.au/mpcimg/14500/B14389.htm")</f>
        <v>http://collections.slsa.sa.gov.au/mpcimg/14500/B14389.htm</v>
      </c>
    </row>
    <row r="8119" spans="1:11" x14ac:dyDescent="0.25">
      <c r="A8119" t="s">
        <v>27076</v>
      </c>
      <c r="B8119" s="1" t="str">
        <f>HYPERLINK("https://www.catalog.slsa.sa.gov.au/record=b2056017")</f>
        <v>https://www.catalog.slsa.sa.gov.au/record=b2056017</v>
      </c>
      <c r="C8119" s="1" t="str">
        <f>HYPERLINK("https://www.catalog.slsa.sa.gov.au/xrecord=b2056017")</f>
        <v>https://www.catalog.slsa.sa.gov.au/xrecord=b2056017</v>
      </c>
      <c r="D8119" t="s">
        <v>16831</v>
      </c>
      <c r="E8119" t="s">
        <v>24001</v>
      </c>
      <c r="F8119">
        <v>1959</v>
      </c>
      <c r="G8119" t="s">
        <v>25786</v>
      </c>
      <c r="H8119" t="s">
        <v>27077</v>
      </c>
      <c r="I8119" t="s">
        <v>27078</v>
      </c>
      <c r="J8119" t="s">
        <v>27079</v>
      </c>
      <c r="K8119" s="2" t="str">
        <f>HYPERLINK("http://collections.slsa.sa.gov.au/mpcimg/14500/B14273.htm")</f>
        <v>http://collections.slsa.sa.gov.au/mpcimg/14500/B14273.htm</v>
      </c>
    </row>
    <row r="8120" spans="1:11" x14ac:dyDescent="0.25">
      <c r="A8120" t="s">
        <v>27080</v>
      </c>
      <c r="B8120" s="1" t="str">
        <f>HYPERLINK("https://www.catalog.slsa.sa.gov.au/record=b2056485")</f>
        <v>https://www.catalog.slsa.sa.gov.au/record=b2056485</v>
      </c>
      <c r="C8120" s="1" t="str">
        <f>HYPERLINK("https://www.catalog.slsa.sa.gov.au/xrecord=b2056485")</f>
        <v>https://www.catalog.slsa.sa.gov.au/xrecord=b2056485</v>
      </c>
      <c r="D8120" t="s">
        <v>16831</v>
      </c>
      <c r="E8120" t="s">
        <v>22732</v>
      </c>
      <c r="F8120">
        <v>1959</v>
      </c>
      <c r="G8120" t="s">
        <v>25786</v>
      </c>
      <c r="H8120" t="s">
        <v>27081</v>
      </c>
      <c r="J8120" t="s">
        <v>17605</v>
      </c>
      <c r="K8120" s="2" t="str">
        <f>HYPERLINK("http://collections.slsa.sa.gov.au/mpcimg/14500/B14253.htm")</f>
        <v>http://collections.slsa.sa.gov.au/mpcimg/14500/B14253.htm</v>
      </c>
    </row>
    <row r="8121" spans="1:11" x14ac:dyDescent="0.25">
      <c r="A8121" t="s">
        <v>27082</v>
      </c>
      <c r="B8121" s="1" t="str">
        <f>HYPERLINK("https://www.catalog.slsa.sa.gov.au/record=b2056597")</f>
        <v>https://www.catalog.slsa.sa.gov.au/record=b2056597</v>
      </c>
      <c r="C8121" s="1" t="str">
        <f>HYPERLINK("https://www.catalog.slsa.sa.gov.au/xrecord=b2056597")</f>
        <v>https://www.catalog.slsa.sa.gov.au/xrecord=b2056597</v>
      </c>
      <c r="D8121" t="s">
        <v>16831</v>
      </c>
      <c r="E8121" t="s">
        <v>16777</v>
      </c>
      <c r="F8121">
        <v>1959</v>
      </c>
      <c r="G8121" t="s">
        <v>25786</v>
      </c>
      <c r="H8121" t="s">
        <v>27083</v>
      </c>
      <c r="I8121" t="s">
        <v>20917</v>
      </c>
      <c r="J8121" t="s">
        <v>16780</v>
      </c>
      <c r="K8121" s="2" t="str">
        <f>HYPERLINK("http://collections.slsa.sa.gov.au/mpcimg/14250/B14211.htm")</f>
        <v>http://collections.slsa.sa.gov.au/mpcimg/14250/B14211.htm</v>
      </c>
    </row>
    <row r="8122" spans="1:11" x14ac:dyDescent="0.25">
      <c r="A8122" t="s">
        <v>27084</v>
      </c>
      <c r="B8122" s="1" t="str">
        <f>HYPERLINK("https://www.catalog.slsa.sa.gov.au/record=b2057065")</f>
        <v>https://www.catalog.slsa.sa.gov.au/record=b2057065</v>
      </c>
      <c r="C8122" s="1" t="str">
        <f>HYPERLINK("https://www.catalog.slsa.sa.gov.au/xrecord=b2057065")</f>
        <v>https://www.catalog.slsa.sa.gov.au/xrecord=b2057065</v>
      </c>
      <c r="D8122" t="s">
        <v>16831</v>
      </c>
      <c r="E8122" t="s">
        <v>16791</v>
      </c>
      <c r="F8122">
        <v>1959</v>
      </c>
      <c r="G8122" t="s">
        <v>25786</v>
      </c>
      <c r="H8122" t="s">
        <v>27085</v>
      </c>
      <c r="J8122" t="s">
        <v>24035</v>
      </c>
      <c r="K8122" s="2" t="str">
        <f>HYPERLINK("http://collections.slsa.sa.gov.au/mpcimg/14250/B14213.htm")</f>
        <v>http://collections.slsa.sa.gov.au/mpcimg/14250/B14213.htm</v>
      </c>
    </row>
    <row r="8123" spans="1:11" x14ac:dyDescent="0.25">
      <c r="A8123" t="s">
        <v>27086</v>
      </c>
      <c r="B8123" s="1" t="str">
        <f>HYPERLINK("https://www.catalog.slsa.sa.gov.au/record=b2057249")</f>
        <v>https://www.catalog.slsa.sa.gov.au/record=b2057249</v>
      </c>
      <c r="C8123" s="1" t="str">
        <f>HYPERLINK("https://www.catalog.slsa.sa.gov.au/xrecord=b2057249")</f>
        <v>https://www.catalog.slsa.sa.gov.au/xrecord=b2057249</v>
      </c>
      <c r="D8123" t="s">
        <v>16831</v>
      </c>
      <c r="E8123" t="s">
        <v>16786</v>
      </c>
      <c r="F8123">
        <v>1959</v>
      </c>
      <c r="G8123" t="s">
        <v>25786</v>
      </c>
      <c r="H8123" t="s">
        <v>27087</v>
      </c>
      <c r="J8123" t="s">
        <v>24044</v>
      </c>
      <c r="K8123" s="2" t="str">
        <f>HYPERLINK("http://collections.slsa.sa.gov.au/mpcimg/14250/B14232.htm")</f>
        <v>http://collections.slsa.sa.gov.au/mpcimg/14250/B14232.htm</v>
      </c>
    </row>
    <row r="8124" spans="1:11" x14ac:dyDescent="0.25">
      <c r="A8124" t="s">
        <v>27088</v>
      </c>
      <c r="B8124" s="1" t="str">
        <f>HYPERLINK("https://www.catalog.slsa.sa.gov.au/record=b2057820")</f>
        <v>https://www.catalog.slsa.sa.gov.au/record=b2057820</v>
      </c>
      <c r="C8124" s="1" t="str">
        <f>HYPERLINK("https://www.catalog.slsa.sa.gov.au/xrecord=b2057820")</f>
        <v>https://www.catalog.slsa.sa.gov.au/xrecord=b2057820</v>
      </c>
      <c r="D8124" t="s">
        <v>16831</v>
      </c>
      <c r="E8124" t="s">
        <v>22822</v>
      </c>
      <c r="F8124">
        <v>1959</v>
      </c>
      <c r="G8124" t="s">
        <v>25786</v>
      </c>
      <c r="H8124" t="s">
        <v>27089</v>
      </c>
      <c r="J8124" t="s">
        <v>27090</v>
      </c>
      <c r="K8124" s="2" t="str">
        <f>HYPERLINK("http://collections.slsa.sa.gov.au/mpcimg/14250/B14238.htm")</f>
        <v>http://collections.slsa.sa.gov.au/mpcimg/14250/B14238.htm</v>
      </c>
    </row>
    <row r="8125" spans="1:11" x14ac:dyDescent="0.25">
      <c r="A8125" t="s">
        <v>27091</v>
      </c>
      <c r="B8125" s="1" t="str">
        <f>HYPERLINK("https://www.catalog.slsa.sa.gov.au/record=b2057858")</f>
        <v>https://www.catalog.slsa.sa.gov.au/record=b2057858</v>
      </c>
      <c r="C8125" s="1" t="str">
        <f>HYPERLINK("https://www.catalog.slsa.sa.gov.au/xrecord=b2057858")</f>
        <v>https://www.catalog.slsa.sa.gov.au/xrecord=b2057858</v>
      </c>
      <c r="D8125" t="s">
        <v>16831</v>
      </c>
      <c r="E8125" t="s">
        <v>16796</v>
      </c>
      <c r="F8125">
        <v>1959</v>
      </c>
      <c r="G8125" t="s">
        <v>25786</v>
      </c>
      <c r="H8125" t="s">
        <v>27092</v>
      </c>
      <c r="J8125" t="s">
        <v>22807</v>
      </c>
      <c r="K8125" s="2" t="str">
        <f>HYPERLINK("http://collections.slsa.sa.gov.au/mpcimg/14250/B14235.htm")</f>
        <v>http://collections.slsa.sa.gov.au/mpcimg/14250/B14235.htm</v>
      </c>
    </row>
    <row r="8126" spans="1:11" x14ac:dyDescent="0.25">
      <c r="A8126" t="s">
        <v>27093</v>
      </c>
      <c r="B8126" s="1" t="str">
        <f>HYPERLINK("https://www.catalog.slsa.sa.gov.au/record=b2057862")</f>
        <v>https://www.catalog.slsa.sa.gov.au/record=b2057862</v>
      </c>
      <c r="C8126" s="1" t="str">
        <f>HYPERLINK("https://www.catalog.slsa.sa.gov.au/xrecord=b2057862")</f>
        <v>https://www.catalog.slsa.sa.gov.au/xrecord=b2057862</v>
      </c>
      <c r="D8126" t="s">
        <v>16831</v>
      </c>
      <c r="E8126" t="s">
        <v>16796</v>
      </c>
      <c r="F8126">
        <v>1959</v>
      </c>
      <c r="G8126" t="s">
        <v>25786</v>
      </c>
      <c r="H8126" t="s">
        <v>27094</v>
      </c>
      <c r="J8126" t="s">
        <v>27095</v>
      </c>
      <c r="K8126" s="2" t="str">
        <f>HYPERLINK("http://collections.slsa.sa.gov.au/mpcimg/14250/B14236.htm")</f>
        <v>http://collections.slsa.sa.gov.au/mpcimg/14250/B14236.htm</v>
      </c>
    </row>
    <row r="8127" spans="1:11" x14ac:dyDescent="0.25">
      <c r="A8127" t="s">
        <v>27096</v>
      </c>
      <c r="B8127" s="1" t="str">
        <f>HYPERLINK("https://www.catalog.slsa.sa.gov.au/record=b2057863")</f>
        <v>https://www.catalog.slsa.sa.gov.au/record=b2057863</v>
      </c>
      <c r="C8127" s="1" t="str">
        <f>HYPERLINK("https://www.catalog.slsa.sa.gov.au/xrecord=b2057863")</f>
        <v>https://www.catalog.slsa.sa.gov.au/xrecord=b2057863</v>
      </c>
      <c r="D8127" t="s">
        <v>16831</v>
      </c>
      <c r="E8127" t="s">
        <v>16796</v>
      </c>
      <c r="F8127">
        <v>1959</v>
      </c>
      <c r="G8127" t="s">
        <v>25786</v>
      </c>
      <c r="H8127" t="s">
        <v>27097</v>
      </c>
      <c r="J8127" t="s">
        <v>27095</v>
      </c>
      <c r="K8127" s="2" t="str">
        <f>HYPERLINK("http://collections.slsa.sa.gov.au/mpcimg/14250/B14237.htm")</f>
        <v>http://collections.slsa.sa.gov.au/mpcimg/14250/B14237.htm</v>
      </c>
    </row>
    <row r="8128" spans="1:11" x14ac:dyDescent="0.25">
      <c r="A8128" t="s">
        <v>27098</v>
      </c>
      <c r="B8128" s="1" t="str">
        <f>HYPERLINK("https://www.catalog.slsa.sa.gov.au/record=b2058322")</f>
        <v>https://www.catalog.slsa.sa.gov.au/record=b2058322</v>
      </c>
      <c r="C8128" s="1" t="str">
        <f>HYPERLINK("https://www.catalog.slsa.sa.gov.au/xrecord=b2058322")</f>
        <v>https://www.catalog.slsa.sa.gov.au/xrecord=b2058322</v>
      </c>
      <c r="D8128" t="s">
        <v>16831</v>
      </c>
      <c r="E8128" t="s">
        <v>25338</v>
      </c>
      <c r="F8128">
        <v>1959</v>
      </c>
      <c r="G8128" t="s">
        <v>25786</v>
      </c>
      <c r="H8128" t="s">
        <v>27099</v>
      </c>
      <c r="I8128" t="s">
        <v>24177</v>
      </c>
      <c r="J8128" t="s">
        <v>24143</v>
      </c>
      <c r="K8128" s="2" t="str">
        <f>HYPERLINK("http://collections.slsa.sa.gov.au/mpcimg/14500/B14274.htm")</f>
        <v>http://collections.slsa.sa.gov.au/mpcimg/14500/B14274.htm</v>
      </c>
    </row>
    <row r="8129" spans="1:11" x14ac:dyDescent="0.25">
      <c r="A8129" t="s">
        <v>27100</v>
      </c>
      <c r="B8129" s="1" t="str">
        <f>HYPERLINK("https://www.catalog.slsa.sa.gov.au/record=b2058427")</f>
        <v>https://www.catalog.slsa.sa.gov.au/record=b2058427</v>
      </c>
      <c r="C8129" s="1" t="str">
        <f>HYPERLINK("https://www.catalog.slsa.sa.gov.au/xrecord=b2058427")</f>
        <v>https://www.catalog.slsa.sa.gov.au/xrecord=b2058427</v>
      </c>
      <c r="D8129" t="s">
        <v>16831</v>
      </c>
      <c r="E8129" t="s">
        <v>20970</v>
      </c>
      <c r="F8129">
        <v>1959</v>
      </c>
      <c r="G8129" t="s">
        <v>25786</v>
      </c>
      <c r="H8129" t="s">
        <v>27101</v>
      </c>
      <c r="J8129" t="s">
        <v>27102</v>
      </c>
      <c r="K8129" s="2" t="str">
        <f>HYPERLINK("http://collections.slsa.sa.gov.au/mpcimg/14250/B14214.htm")</f>
        <v>http://collections.slsa.sa.gov.au/mpcimg/14250/B14214.htm</v>
      </c>
    </row>
    <row r="8130" spans="1:11" x14ac:dyDescent="0.25">
      <c r="A8130" t="s">
        <v>27103</v>
      </c>
      <c r="B8130" s="1" t="str">
        <f>HYPERLINK("https://www.catalog.slsa.sa.gov.au/record=b2058748")</f>
        <v>https://www.catalog.slsa.sa.gov.au/record=b2058748</v>
      </c>
      <c r="C8130" s="1" t="str">
        <f>HYPERLINK("https://www.catalog.slsa.sa.gov.au/xrecord=b2058748")</f>
        <v>https://www.catalog.slsa.sa.gov.au/xrecord=b2058748</v>
      </c>
      <c r="D8130" t="s">
        <v>16831</v>
      </c>
      <c r="E8130" t="s">
        <v>16796</v>
      </c>
      <c r="F8130">
        <v>1959</v>
      </c>
      <c r="G8130" t="s">
        <v>25786</v>
      </c>
      <c r="H8130" t="s">
        <v>27104</v>
      </c>
      <c r="J8130" t="s">
        <v>20994</v>
      </c>
      <c r="K8130" s="2" t="str">
        <f>HYPERLINK("http://collections.slsa.sa.gov.au/mpcimg/14250/B14203.htm")</f>
        <v>http://collections.slsa.sa.gov.au/mpcimg/14250/B14203.htm</v>
      </c>
    </row>
    <row r="8131" spans="1:11" x14ac:dyDescent="0.25">
      <c r="A8131" t="s">
        <v>27105</v>
      </c>
      <c r="B8131" s="1" t="str">
        <f>HYPERLINK("https://www.catalog.slsa.sa.gov.au/record=b2058917")</f>
        <v>https://www.catalog.slsa.sa.gov.au/record=b2058917</v>
      </c>
      <c r="C8131" s="1" t="str">
        <f>HYPERLINK("https://www.catalog.slsa.sa.gov.au/xrecord=b2058917")</f>
        <v>https://www.catalog.slsa.sa.gov.au/xrecord=b2058917</v>
      </c>
      <c r="D8131" t="s">
        <v>16831</v>
      </c>
      <c r="E8131" t="s">
        <v>24175</v>
      </c>
      <c r="F8131">
        <v>1959</v>
      </c>
      <c r="G8131" t="s">
        <v>25786</v>
      </c>
      <c r="H8131" t="s">
        <v>27106</v>
      </c>
      <c r="J8131" t="s">
        <v>22830</v>
      </c>
      <c r="K8131" s="2" t="str">
        <f>HYPERLINK("http://collections.slsa.sa.gov.au/mpcimg/14500/B14262.htm")</f>
        <v>http://collections.slsa.sa.gov.au/mpcimg/14500/B14262.htm</v>
      </c>
    </row>
    <row r="8132" spans="1:11" x14ac:dyDescent="0.25">
      <c r="A8132" t="s">
        <v>27107</v>
      </c>
      <c r="B8132" s="1" t="str">
        <f>HYPERLINK("https://www.catalog.slsa.sa.gov.au/record=b2058953")</f>
        <v>https://www.catalog.slsa.sa.gov.au/record=b2058953</v>
      </c>
      <c r="C8132" s="1" t="str">
        <f>HYPERLINK("https://www.catalog.slsa.sa.gov.au/xrecord=b2058953")</f>
        <v>https://www.catalog.slsa.sa.gov.au/xrecord=b2058953</v>
      </c>
      <c r="D8132" t="s">
        <v>16831</v>
      </c>
      <c r="E8132" t="s">
        <v>24175</v>
      </c>
      <c r="F8132">
        <v>1959</v>
      </c>
      <c r="G8132" t="s">
        <v>25786</v>
      </c>
      <c r="H8132" t="s">
        <v>27108</v>
      </c>
      <c r="I8132" t="s">
        <v>24177</v>
      </c>
      <c r="J8132" t="s">
        <v>21012</v>
      </c>
      <c r="K8132" s="2" t="str">
        <f>HYPERLINK("http://collections.slsa.sa.gov.au/mpcimg/14250/B14247.htm")</f>
        <v>http://collections.slsa.sa.gov.au/mpcimg/14250/B14247.htm</v>
      </c>
    </row>
    <row r="8133" spans="1:11" x14ac:dyDescent="0.25">
      <c r="A8133" t="s">
        <v>27109</v>
      </c>
      <c r="B8133" s="1" t="str">
        <f>HYPERLINK("https://www.catalog.slsa.sa.gov.au/record=b2058954")</f>
        <v>https://www.catalog.slsa.sa.gov.au/record=b2058954</v>
      </c>
      <c r="C8133" s="1" t="str">
        <f>HYPERLINK("https://www.catalog.slsa.sa.gov.au/xrecord=b2058954")</f>
        <v>https://www.catalog.slsa.sa.gov.au/xrecord=b2058954</v>
      </c>
      <c r="D8133" t="s">
        <v>16831</v>
      </c>
      <c r="E8133" t="s">
        <v>24175</v>
      </c>
      <c r="F8133">
        <v>1959</v>
      </c>
      <c r="G8133" t="s">
        <v>25786</v>
      </c>
      <c r="H8133" t="s">
        <v>27110</v>
      </c>
      <c r="I8133" t="s">
        <v>24177</v>
      </c>
      <c r="J8133" t="s">
        <v>21012</v>
      </c>
      <c r="K8133" s="2" t="str">
        <f>HYPERLINK("http://collections.slsa.sa.gov.au/mpcimg/14250/B14248.htm")</f>
        <v>http://collections.slsa.sa.gov.au/mpcimg/14250/B14248.htm</v>
      </c>
    </row>
    <row r="8134" spans="1:11" x14ac:dyDescent="0.25">
      <c r="A8134" t="s">
        <v>27111</v>
      </c>
      <c r="B8134" s="1" t="str">
        <f>HYPERLINK("https://www.catalog.slsa.sa.gov.au/record=b2058955")</f>
        <v>https://www.catalog.slsa.sa.gov.au/record=b2058955</v>
      </c>
      <c r="C8134" s="1" t="str">
        <f>HYPERLINK("https://www.catalog.slsa.sa.gov.au/xrecord=b2058955")</f>
        <v>https://www.catalog.slsa.sa.gov.au/xrecord=b2058955</v>
      </c>
      <c r="D8134" t="s">
        <v>16831</v>
      </c>
      <c r="E8134" t="s">
        <v>24175</v>
      </c>
      <c r="F8134">
        <v>1959</v>
      </c>
      <c r="G8134" t="s">
        <v>25786</v>
      </c>
      <c r="H8134" t="s">
        <v>27112</v>
      </c>
      <c r="J8134" t="s">
        <v>21012</v>
      </c>
      <c r="K8134" s="2" t="str">
        <f>HYPERLINK("http://collections.slsa.sa.gov.au/mpcimg/14250/B14249.htm")</f>
        <v>http://collections.slsa.sa.gov.au/mpcimg/14250/B14249.htm</v>
      </c>
    </row>
    <row r="8135" spans="1:11" x14ac:dyDescent="0.25">
      <c r="A8135" t="s">
        <v>27113</v>
      </c>
      <c r="B8135" s="1" t="str">
        <f>HYPERLINK("https://www.catalog.slsa.sa.gov.au/record=b2058956")</f>
        <v>https://www.catalog.slsa.sa.gov.au/record=b2058956</v>
      </c>
      <c r="C8135" s="1" t="str">
        <f>HYPERLINK("https://www.catalog.slsa.sa.gov.au/xrecord=b2058956")</f>
        <v>https://www.catalog.slsa.sa.gov.au/xrecord=b2058956</v>
      </c>
      <c r="D8135" t="s">
        <v>16831</v>
      </c>
      <c r="E8135" t="s">
        <v>27114</v>
      </c>
      <c r="F8135">
        <v>1959</v>
      </c>
      <c r="G8135" t="s">
        <v>25786</v>
      </c>
      <c r="H8135" t="s">
        <v>27115</v>
      </c>
      <c r="I8135" t="s">
        <v>24177</v>
      </c>
      <c r="J8135" t="s">
        <v>21012</v>
      </c>
      <c r="K8135" s="2" t="str">
        <f>HYPERLINK("http://collections.slsa.sa.gov.au/mpcimg/14250/B14250.htm")</f>
        <v>http://collections.slsa.sa.gov.au/mpcimg/14250/B14250.htm</v>
      </c>
    </row>
    <row r="8136" spans="1:11" x14ac:dyDescent="0.25">
      <c r="A8136" t="s">
        <v>27116</v>
      </c>
      <c r="B8136" s="1" t="str">
        <f>HYPERLINK("https://www.catalog.slsa.sa.gov.au/record=b2059056")</f>
        <v>https://www.catalog.slsa.sa.gov.au/record=b2059056</v>
      </c>
      <c r="C8136" s="1" t="str">
        <f>HYPERLINK("https://www.catalog.slsa.sa.gov.au/xrecord=b2059056")</f>
        <v>https://www.catalog.slsa.sa.gov.au/xrecord=b2059056</v>
      </c>
      <c r="D8136" t="s">
        <v>16831</v>
      </c>
      <c r="E8136" t="s">
        <v>15191</v>
      </c>
      <c r="F8136">
        <v>1959</v>
      </c>
      <c r="G8136" t="s">
        <v>25786</v>
      </c>
      <c r="H8136" t="s">
        <v>27117</v>
      </c>
      <c r="J8136" t="s">
        <v>25883</v>
      </c>
      <c r="K8136" s="2" t="str">
        <f>HYPERLINK("http://collections.slsa.sa.gov.au/mpcimg/14250/B14223.htm")</f>
        <v>http://collections.slsa.sa.gov.au/mpcimg/14250/B14223.htm</v>
      </c>
    </row>
    <row r="8137" spans="1:11" x14ac:dyDescent="0.25">
      <c r="A8137" t="s">
        <v>27118</v>
      </c>
      <c r="B8137" s="1" t="str">
        <f>HYPERLINK("https://www.catalog.slsa.sa.gov.au/record=b2059420")</f>
        <v>https://www.catalog.slsa.sa.gov.au/record=b2059420</v>
      </c>
      <c r="C8137" s="1" t="str">
        <f>HYPERLINK("https://www.catalog.slsa.sa.gov.au/xrecord=b2059420")</f>
        <v>https://www.catalog.slsa.sa.gov.au/xrecord=b2059420</v>
      </c>
      <c r="D8137" t="s">
        <v>16831</v>
      </c>
      <c r="E8137" t="s">
        <v>27119</v>
      </c>
      <c r="F8137">
        <v>1959</v>
      </c>
      <c r="G8137" t="s">
        <v>25786</v>
      </c>
      <c r="H8137" t="s">
        <v>27120</v>
      </c>
      <c r="J8137" t="s">
        <v>25368</v>
      </c>
      <c r="K8137" s="2" t="str">
        <f>HYPERLINK("http://collections.slsa.sa.gov.au/mpcimg/14500/B14276.htm")</f>
        <v>http://collections.slsa.sa.gov.au/mpcimg/14500/B14276.htm</v>
      </c>
    </row>
    <row r="8138" spans="1:11" x14ac:dyDescent="0.25">
      <c r="A8138" t="s">
        <v>27121</v>
      </c>
      <c r="B8138" s="1" t="str">
        <f>HYPERLINK("https://www.catalog.slsa.sa.gov.au/record=b2059684")</f>
        <v>https://www.catalog.slsa.sa.gov.au/record=b2059684</v>
      </c>
      <c r="C8138" s="1" t="str">
        <f>HYPERLINK("https://www.catalog.slsa.sa.gov.au/xrecord=b2059684")</f>
        <v>https://www.catalog.slsa.sa.gov.au/xrecord=b2059684</v>
      </c>
      <c r="D8138" t="s">
        <v>16831</v>
      </c>
      <c r="E8138" t="s">
        <v>24203</v>
      </c>
      <c r="F8138">
        <v>1959</v>
      </c>
      <c r="G8138" t="s">
        <v>25786</v>
      </c>
      <c r="H8138" t="s">
        <v>27122</v>
      </c>
      <c r="J8138" t="s">
        <v>24237</v>
      </c>
      <c r="K8138" s="2" t="str">
        <f>HYPERLINK("http://collections.slsa.sa.gov.au/mpcimg/14500/B14260.htm")</f>
        <v>http://collections.slsa.sa.gov.au/mpcimg/14500/B14260.htm</v>
      </c>
    </row>
    <row r="8139" spans="1:11" x14ac:dyDescent="0.25">
      <c r="A8139" t="s">
        <v>27123</v>
      </c>
      <c r="B8139" s="1" t="str">
        <f>HYPERLINK("https://www.catalog.slsa.sa.gov.au/record=b2059685")</f>
        <v>https://www.catalog.slsa.sa.gov.au/record=b2059685</v>
      </c>
      <c r="C8139" s="1" t="str">
        <f>HYPERLINK("https://www.catalog.slsa.sa.gov.au/xrecord=b2059685")</f>
        <v>https://www.catalog.slsa.sa.gov.au/xrecord=b2059685</v>
      </c>
      <c r="D8139" t="s">
        <v>16831</v>
      </c>
      <c r="E8139" t="s">
        <v>24203</v>
      </c>
      <c r="F8139">
        <v>1959</v>
      </c>
      <c r="G8139" t="s">
        <v>25786</v>
      </c>
      <c r="H8139" t="s">
        <v>27124</v>
      </c>
      <c r="J8139" t="s">
        <v>24237</v>
      </c>
      <c r="K8139" s="2" t="str">
        <f>HYPERLINK("http://collections.slsa.sa.gov.au/mpcimg/14500/B14261.htm")</f>
        <v>http://collections.slsa.sa.gov.au/mpcimg/14500/B14261.htm</v>
      </c>
    </row>
    <row r="8140" spans="1:11" x14ac:dyDescent="0.25">
      <c r="A8140" t="s">
        <v>27125</v>
      </c>
      <c r="B8140" s="1" t="str">
        <f>HYPERLINK("https://www.catalog.slsa.sa.gov.au/record=b2059713")</f>
        <v>https://www.catalog.slsa.sa.gov.au/record=b2059713</v>
      </c>
      <c r="C8140" s="1" t="str">
        <f>HYPERLINK("https://www.catalog.slsa.sa.gov.au/xrecord=b2059713")</f>
        <v>https://www.catalog.slsa.sa.gov.au/xrecord=b2059713</v>
      </c>
      <c r="D8140" t="s">
        <v>16831</v>
      </c>
      <c r="E8140" t="s">
        <v>24175</v>
      </c>
      <c r="F8140">
        <v>1959</v>
      </c>
      <c r="G8140" t="s">
        <v>25786</v>
      </c>
      <c r="H8140" t="s">
        <v>27126</v>
      </c>
      <c r="J8140" t="s">
        <v>24243</v>
      </c>
      <c r="K8140" s="2" t="str">
        <f>HYPERLINK("http://collections.slsa.sa.gov.au/mpcimg/14500/B14266.htm")</f>
        <v>http://collections.slsa.sa.gov.au/mpcimg/14500/B14266.htm</v>
      </c>
    </row>
    <row r="8141" spans="1:11" x14ac:dyDescent="0.25">
      <c r="A8141" t="s">
        <v>27127</v>
      </c>
      <c r="B8141" s="1" t="str">
        <f>HYPERLINK("https://www.catalog.slsa.sa.gov.au/record=b2059714")</f>
        <v>https://www.catalog.slsa.sa.gov.au/record=b2059714</v>
      </c>
      <c r="C8141" s="1" t="str">
        <f>HYPERLINK("https://www.catalog.slsa.sa.gov.au/xrecord=b2059714")</f>
        <v>https://www.catalog.slsa.sa.gov.au/xrecord=b2059714</v>
      </c>
      <c r="D8141" t="s">
        <v>16831</v>
      </c>
      <c r="E8141" t="s">
        <v>17132</v>
      </c>
      <c r="F8141">
        <v>1959</v>
      </c>
      <c r="G8141" t="s">
        <v>25786</v>
      </c>
      <c r="H8141" t="s">
        <v>27128</v>
      </c>
      <c r="J8141" t="s">
        <v>24243</v>
      </c>
      <c r="K8141" s="2" t="str">
        <f>HYPERLINK("http://collections.slsa.sa.gov.au/mpcimg/14500/B14267.htm")</f>
        <v>http://collections.slsa.sa.gov.au/mpcimg/14500/B14267.htm</v>
      </c>
    </row>
    <row r="8142" spans="1:11" x14ac:dyDescent="0.25">
      <c r="A8142" t="s">
        <v>27129</v>
      </c>
      <c r="B8142" s="1" t="str">
        <f>HYPERLINK("https://www.catalog.slsa.sa.gov.au/record=b2059715")</f>
        <v>https://www.catalog.slsa.sa.gov.au/record=b2059715</v>
      </c>
      <c r="C8142" s="1" t="str">
        <f>HYPERLINK("https://www.catalog.slsa.sa.gov.au/xrecord=b2059715")</f>
        <v>https://www.catalog.slsa.sa.gov.au/xrecord=b2059715</v>
      </c>
      <c r="D8142" t="s">
        <v>16831</v>
      </c>
      <c r="E8142" t="s">
        <v>17132</v>
      </c>
      <c r="F8142">
        <v>1959</v>
      </c>
      <c r="G8142" t="s">
        <v>25786</v>
      </c>
      <c r="H8142" t="s">
        <v>27130</v>
      </c>
      <c r="J8142" t="s">
        <v>24243</v>
      </c>
      <c r="K8142" s="2" t="str">
        <f>HYPERLINK("http://collections.slsa.sa.gov.au/mpcimg/14500/B14268.htm")</f>
        <v>http://collections.slsa.sa.gov.au/mpcimg/14500/B14268.htm</v>
      </c>
    </row>
    <row r="8143" spans="1:11" x14ac:dyDescent="0.25">
      <c r="A8143" t="s">
        <v>27131</v>
      </c>
      <c r="B8143" s="1" t="str">
        <f>HYPERLINK("https://www.catalog.slsa.sa.gov.au/record=b2060026")</f>
        <v>https://www.catalog.slsa.sa.gov.au/record=b2060026</v>
      </c>
      <c r="C8143" s="1" t="str">
        <f>HYPERLINK("https://www.catalog.slsa.sa.gov.au/xrecord=b2060026")</f>
        <v>https://www.catalog.slsa.sa.gov.au/xrecord=b2060026</v>
      </c>
      <c r="D8143" t="s">
        <v>16831</v>
      </c>
      <c r="E8143" t="s">
        <v>24316</v>
      </c>
      <c r="F8143">
        <v>1959</v>
      </c>
      <c r="G8143" t="s">
        <v>25786</v>
      </c>
      <c r="H8143" t="s">
        <v>27132</v>
      </c>
      <c r="J8143" t="s">
        <v>27133</v>
      </c>
      <c r="K8143" s="2" t="str">
        <f>HYPERLINK("http://collections.slsa.sa.gov.au/mpcimg/14500/B14256.htm")</f>
        <v>http://collections.slsa.sa.gov.au/mpcimg/14500/B14256.htm</v>
      </c>
    </row>
    <row r="8144" spans="1:11" x14ac:dyDescent="0.25">
      <c r="A8144" t="s">
        <v>27134</v>
      </c>
      <c r="B8144" s="1" t="str">
        <f>HYPERLINK("https://www.catalog.slsa.sa.gov.au/record=b2060280")</f>
        <v>https://www.catalog.slsa.sa.gov.au/record=b2060280</v>
      </c>
      <c r="C8144" s="1" t="str">
        <f>HYPERLINK("https://www.catalog.slsa.sa.gov.au/xrecord=b2060280")</f>
        <v>https://www.catalog.slsa.sa.gov.au/xrecord=b2060280</v>
      </c>
      <c r="D8144" t="s">
        <v>16831</v>
      </c>
      <c r="E8144" t="s">
        <v>27135</v>
      </c>
      <c r="F8144">
        <v>1959</v>
      </c>
      <c r="G8144" t="s">
        <v>25786</v>
      </c>
      <c r="H8144" t="s">
        <v>27136</v>
      </c>
      <c r="I8144" t="s">
        <v>27137</v>
      </c>
      <c r="J8144" t="s">
        <v>27138</v>
      </c>
      <c r="K8144" s="2" t="str">
        <f>HYPERLINK("http://collections.slsa.sa.gov.au/mpcimg/14250/B14233.htm")</f>
        <v>http://collections.slsa.sa.gov.au/mpcimg/14250/B14233.htm</v>
      </c>
    </row>
    <row r="8145" spans="1:11" x14ac:dyDescent="0.25">
      <c r="A8145" t="s">
        <v>27139</v>
      </c>
      <c r="B8145" s="1" t="str">
        <f>HYPERLINK("https://www.catalog.slsa.sa.gov.au/record=b2060281")</f>
        <v>https://www.catalog.slsa.sa.gov.au/record=b2060281</v>
      </c>
      <c r="C8145" s="1" t="str">
        <f>HYPERLINK("https://www.catalog.slsa.sa.gov.au/xrecord=b2060281")</f>
        <v>https://www.catalog.slsa.sa.gov.au/xrecord=b2060281</v>
      </c>
      <c r="D8145" t="s">
        <v>16831</v>
      </c>
      <c r="E8145" t="s">
        <v>27135</v>
      </c>
      <c r="F8145">
        <v>1959</v>
      </c>
      <c r="G8145" t="s">
        <v>25786</v>
      </c>
      <c r="H8145" t="s">
        <v>27140</v>
      </c>
      <c r="I8145" t="s">
        <v>27137</v>
      </c>
      <c r="J8145" t="s">
        <v>27138</v>
      </c>
      <c r="K8145" s="2" t="str">
        <f>HYPERLINK("http://collections.slsa.sa.gov.au/mpcimg/14250/B14234.htm")</f>
        <v>http://collections.slsa.sa.gov.au/mpcimg/14250/B14234.htm</v>
      </c>
    </row>
    <row r="8146" spans="1:11" x14ac:dyDescent="0.25">
      <c r="A8146" t="s">
        <v>27141</v>
      </c>
      <c r="B8146" s="1" t="str">
        <f>HYPERLINK("https://www.catalog.slsa.sa.gov.au/record=b2060804")</f>
        <v>https://www.catalog.slsa.sa.gov.au/record=b2060804</v>
      </c>
      <c r="C8146" s="1" t="str">
        <f>HYPERLINK("https://www.catalog.slsa.sa.gov.au/xrecord=b2060804")</f>
        <v>https://www.catalog.slsa.sa.gov.au/xrecord=b2060804</v>
      </c>
      <c r="D8146" t="s">
        <v>16831</v>
      </c>
      <c r="E8146" t="s">
        <v>27142</v>
      </c>
      <c r="F8146">
        <v>1959</v>
      </c>
      <c r="G8146" t="s">
        <v>25786</v>
      </c>
      <c r="H8146" t="s">
        <v>27143</v>
      </c>
      <c r="J8146" t="s">
        <v>27144</v>
      </c>
      <c r="K8146" s="2" t="str">
        <f>HYPERLINK("http://collections.slsa.sa.gov.au/mpcimg/14250/B14222.htm")</f>
        <v>http://collections.slsa.sa.gov.au/mpcimg/14250/B14222.htm</v>
      </c>
    </row>
    <row r="8147" spans="1:11" x14ac:dyDescent="0.25">
      <c r="A8147" t="s">
        <v>27145</v>
      </c>
      <c r="B8147" s="1" t="str">
        <f>HYPERLINK("https://www.catalog.slsa.sa.gov.au/record=b2060992")</f>
        <v>https://www.catalog.slsa.sa.gov.au/record=b2060992</v>
      </c>
      <c r="C8147" s="1" t="str">
        <f>HYPERLINK("https://www.catalog.slsa.sa.gov.au/xrecord=b2060992")</f>
        <v>https://www.catalog.slsa.sa.gov.au/xrecord=b2060992</v>
      </c>
      <c r="D8147" t="s">
        <v>16831</v>
      </c>
      <c r="E8147" t="s">
        <v>24346</v>
      </c>
      <c r="F8147">
        <v>1959</v>
      </c>
      <c r="G8147" t="s">
        <v>25786</v>
      </c>
      <c r="H8147" t="s">
        <v>27146</v>
      </c>
      <c r="I8147" t="s">
        <v>24177</v>
      </c>
      <c r="J8147" t="s">
        <v>24342</v>
      </c>
      <c r="K8147" s="2" t="str">
        <f>HYPERLINK("http://collections.slsa.sa.gov.au/mpcimg/14500/B14277.htm")</f>
        <v>http://collections.slsa.sa.gov.au/mpcimg/14500/B14277.htm</v>
      </c>
    </row>
    <row r="8148" spans="1:11" x14ac:dyDescent="0.25">
      <c r="A8148" t="s">
        <v>27147</v>
      </c>
      <c r="B8148" s="1" t="str">
        <f>HYPERLINK("https://www.catalog.slsa.sa.gov.au/record=b2060993")</f>
        <v>https://www.catalog.slsa.sa.gov.au/record=b2060993</v>
      </c>
      <c r="C8148" s="1" t="str">
        <f>HYPERLINK("https://www.catalog.slsa.sa.gov.au/xrecord=b2060993")</f>
        <v>https://www.catalog.slsa.sa.gov.au/xrecord=b2060993</v>
      </c>
      <c r="D8148" t="s">
        <v>16831</v>
      </c>
      <c r="E8148" t="s">
        <v>24346</v>
      </c>
      <c r="F8148">
        <v>1959</v>
      </c>
      <c r="G8148" t="s">
        <v>25786</v>
      </c>
      <c r="H8148" t="s">
        <v>27148</v>
      </c>
      <c r="I8148" t="s">
        <v>24177</v>
      </c>
      <c r="J8148" t="s">
        <v>24342</v>
      </c>
      <c r="K8148" s="2" t="str">
        <f>HYPERLINK("http://collections.slsa.sa.gov.au/mpcimg/14500/B14278.htm")</f>
        <v>http://collections.slsa.sa.gov.au/mpcimg/14500/B14278.htm</v>
      </c>
    </row>
    <row r="8149" spans="1:11" x14ac:dyDescent="0.25">
      <c r="A8149" t="s">
        <v>27149</v>
      </c>
      <c r="B8149" s="1" t="str">
        <f>HYPERLINK("https://www.catalog.slsa.sa.gov.au/record=b2061017")</f>
        <v>https://www.catalog.slsa.sa.gov.au/record=b2061017</v>
      </c>
      <c r="C8149" s="1" t="str">
        <f>HYPERLINK("https://www.catalog.slsa.sa.gov.au/xrecord=b2061017")</f>
        <v>https://www.catalog.slsa.sa.gov.au/xrecord=b2061017</v>
      </c>
      <c r="D8149" t="s">
        <v>16831</v>
      </c>
      <c r="E8149" t="s">
        <v>21125</v>
      </c>
      <c r="F8149">
        <v>1959</v>
      </c>
      <c r="G8149" t="s">
        <v>25786</v>
      </c>
      <c r="H8149" t="s">
        <v>27150</v>
      </c>
      <c r="J8149" t="s">
        <v>26721</v>
      </c>
      <c r="K8149" s="2" t="str">
        <f>HYPERLINK("http://collections.slsa.sa.gov.au/mpcimg/14500/B14255.htm")</f>
        <v>http://collections.slsa.sa.gov.au/mpcimg/14500/B14255.htm</v>
      </c>
    </row>
    <row r="8150" spans="1:11" x14ac:dyDescent="0.25">
      <c r="A8150" t="s">
        <v>27151</v>
      </c>
      <c r="B8150" s="1" t="str">
        <f>HYPERLINK("https://www.catalog.slsa.sa.gov.au/record=b2061092")</f>
        <v>https://www.catalog.slsa.sa.gov.au/record=b2061092</v>
      </c>
      <c r="C8150" s="1" t="str">
        <f>HYPERLINK("https://www.catalog.slsa.sa.gov.au/xrecord=b2061092")</f>
        <v>https://www.catalog.slsa.sa.gov.au/xrecord=b2061092</v>
      </c>
      <c r="D8150" t="s">
        <v>16831</v>
      </c>
      <c r="E8150" t="s">
        <v>21125</v>
      </c>
      <c r="F8150">
        <v>1959</v>
      </c>
      <c r="G8150" t="s">
        <v>25786</v>
      </c>
      <c r="H8150" t="s">
        <v>27152</v>
      </c>
      <c r="I8150" t="s">
        <v>24177</v>
      </c>
      <c r="J8150" t="s">
        <v>21132</v>
      </c>
      <c r="K8150" s="2" t="str">
        <f>HYPERLINK("http://collections.slsa.sa.gov.au/mpcimg/14500/B14254.htm")</f>
        <v>http://collections.slsa.sa.gov.au/mpcimg/14500/B14254.htm</v>
      </c>
    </row>
    <row r="8151" spans="1:11" x14ac:dyDescent="0.25">
      <c r="A8151" t="s">
        <v>27153</v>
      </c>
      <c r="B8151" s="1" t="str">
        <f>HYPERLINK("https://www.catalog.slsa.sa.gov.au/record=b2061406")</f>
        <v>https://www.catalog.slsa.sa.gov.au/record=b2061406</v>
      </c>
      <c r="C8151" s="1" t="str">
        <f>HYPERLINK("https://www.catalog.slsa.sa.gov.au/xrecord=b2061406")</f>
        <v>https://www.catalog.slsa.sa.gov.au/xrecord=b2061406</v>
      </c>
      <c r="D8151" t="s">
        <v>16831</v>
      </c>
      <c r="E8151" t="s">
        <v>21099</v>
      </c>
      <c r="F8151">
        <v>1959</v>
      </c>
      <c r="G8151" t="s">
        <v>25786</v>
      </c>
      <c r="H8151" t="s">
        <v>27154</v>
      </c>
      <c r="J8151" t="s">
        <v>24402</v>
      </c>
      <c r="K8151" s="2" t="str">
        <f>HYPERLINK("http://collections.slsa.sa.gov.au/mpcimg/14250/B14215.htm")</f>
        <v>http://collections.slsa.sa.gov.au/mpcimg/14250/B14215.htm</v>
      </c>
    </row>
    <row r="8152" spans="1:11" x14ac:dyDescent="0.25">
      <c r="A8152" t="s">
        <v>27155</v>
      </c>
      <c r="B8152" s="1" t="str">
        <f>HYPERLINK("https://www.catalog.slsa.sa.gov.au/record=b2061547")</f>
        <v>https://www.catalog.slsa.sa.gov.au/record=b2061547</v>
      </c>
      <c r="C8152" s="1" t="str">
        <f>HYPERLINK("https://www.catalog.slsa.sa.gov.au/xrecord=b2061547")</f>
        <v>https://www.catalog.slsa.sa.gov.au/xrecord=b2061547</v>
      </c>
      <c r="D8152" t="s">
        <v>16831</v>
      </c>
      <c r="E8152" t="s">
        <v>24422</v>
      </c>
      <c r="F8152">
        <v>1959</v>
      </c>
      <c r="G8152" t="s">
        <v>25786</v>
      </c>
      <c r="H8152" t="s">
        <v>27156</v>
      </c>
      <c r="I8152" t="s">
        <v>27157</v>
      </c>
      <c r="J8152" t="s">
        <v>27158</v>
      </c>
      <c r="K8152" s="2" t="str">
        <f>HYPERLINK("http://collections.slsa.sa.gov.au/mpcimg/14500/B14269.htm")</f>
        <v>http://collections.slsa.sa.gov.au/mpcimg/14500/B14269.htm</v>
      </c>
    </row>
    <row r="8153" spans="1:11" x14ac:dyDescent="0.25">
      <c r="A8153" t="s">
        <v>27159</v>
      </c>
      <c r="B8153" s="1" t="str">
        <f>HYPERLINK("https://www.catalog.slsa.sa.gov.au/record=b2061548")</f>
        <v>https://www.catalog.slsa.sa.gov.au/record=b2061548</v>
      </c>
      <c r="C8153" s="1" t="str">
        <f>HYPERLINK("https://www.catalog.slsa.sa.gov.au/xrecord=b2061548")</f>
        <v>https://www.catalog.slsa.sa.gov.au/xrecord=b2061548</v>
      </c>
      <c r="D8153" t="s">
        <v>16831</v>
      </c>
      <c r="E8153" t="s">
        <v>24422</v>
      </c>
      <c r="F8153">
        <v>1959</v>
      </c>
      <c r="G8153" t="s">
        <v>25786</v>
      </c>
      <c r="H8153" t="s">
        <v>27160</v>
      </c>
      <c r="I8153" t="s">
        <v>27157</v>
      </c>
      <c r="J8153" t="s">
        <v>27158</v>
      </c>
      <c r="K8153" s="2" t="str">
        <f>HYPERLINK("http://collections.slsa.sa.gov.au/mpcimg/14500/B14270.htm")</f>
        <v>http://collections.slsa.sa.gov.au/mpcimg/14500/B14270.htm</v>
      </c>
    </row>
    <row r="8154" spans="1:11" x14ac:dyDescent="0.25">
      <c r="A8154" t="s">
        <v>27161</v>
      </c>
      <c r="B8154" s="1" t="str">
        <f>HYPERLINK("https://www.catalog.slsa.sa.gov.au/record=b2061652")</f>
        <v>https://www.catalog.slsa.sa.gov.au/record=b2061652</v>
      </c>
      <c r="C8154" s="1" t="str">
        <f>HYPERLINK("https://www.catalog.slsa.sa.gov.au/xrecord=b2061652")</f>
        <v>https://www.catalog.slsa.sa.gov.au/xrecord=b2061652</v>
      </c>
      <c r="D8154" t="s">
        <v>16831</v>
      </c>
      <c r="E8154" t="s">
        <v>24451</v>
      </c>
      <c r="F8154">
        <v>1959</v>
      </c>
      <c r="G8154" t="s">
        <v>25786</v>
      </c>
      <c r="H8154" t="s">
        <v>27162</v>
      </c>
      <c r="J8154" t="s">
        <v>26017</v>
      </c>
      <c r="K8154" s="2" t="str">
        <f>HYPERLINK("http://collections.slsa.sa.gov.au/mpcimg/14250/B14212.htm")</f>
        <v>http://collections.slsa.sa.gov.au/mpcimg/14250/B14212.htm</v>
      </c>
    </row>
    <row r="8155" spans="1:11" x14ac:dyDescent="0.25">
      <c r="A8155" t="s">
        <v>27163</v>
      </c>
      <c r="B8155" s="1" t="str">
        <f>HYPERLINK("https://www.catalog.slsa.sa.gov.au/record=b2061765")</f>
        <v>https://www.catalog.slsa.sa.gov.au/record=b2061765</v>
      </c>
      <c r="C8155" s="1" t="str">
        <f>HYPERLINK("https://www.catalog.slsa.sa.gov.au/xrecord=b2061765")</f>
        <v>https://www.catalog.slsa.sa.gov.au/xrecord=b2061765</v>
      </c>
      <c r="D8155" t="s">
        <v>16831</v>
      </c>
      <c r="E8155" t="s">
        <v>24436</v>
      </c>
      <c r="F8155">
        <v>1959</v>
      </c>
      <c r="G8155" t="s">
        <v>25786</v>
      </c>
      <c r="H8155" t="s">
        <v>27164</v>
      </c>
      <c r="J8155" t="s">
        <v>27165</v>
      </c>
      <c r="K8155" s="2" t="str">
        <f>HYPERLINK("http://collections.slsa.sa.gov.au/mpcimg/14500/B14265.htm")</f>
        <v>http://collections.slsa.sa.gov.au/mpcimg/14500/B14265.htm</v>
      </c>
    </row>
    <row r="8156" spans="1:11" x14ac:dyDescent="0.25">
      <c r="A8156" t="s">
        <v>27166</v>
      </c>
      <c r="B8156" s="1" t="str">
        <f>HYPERLINK("https://www.catalog.slsa.sa.gov.au/record=b2062032")</f>
        <v>https://www.catalog.slsa.sa.gov.au/record=b2062032</v>
      </c>
      <c r="C8156" s="1" t="str">
        <f>HYPERLINK("https://www.catalog.slsa.sa.gov.au/xrecord=b2062032")</f>
        <v>https://www.catalog.slsa.sa.gov.au/xrecord=b2062032</v>
      </c>
      <c r="D8156" t="s">
        <v>16831</v>
      </c>
      <c r="E8156" t="s">
        <v>21216</v>
      </c>
      <c r="F8156">
        <v>1959</v>
      </c>
      <c r="G8156" t="s">
        <v>25786</v>
      </c>
      <c r="H8156" t="s">
        <v>27167</v>
      </c>
      <c r="J8156" t="s">
        <v>21214</v>
      </c>
      <c r="K8156" s="2" t="str">
        <f>HYPERLINK("http://collections.slsa.sa.gov.au/mpcimg/14250/B14209.htm")</f>
        <v>http://collections.slsa.sa.gov.au/mpcimg/14250/B14209.htm</v>
      </c>
    </row>
    <row r="8157" spans="1:11" x14ac:dyDescent="0.25">
      <c r="A8157" t="s">
        <v>27168</v>
      </c>
      <c r="B8157" s="1" t="str">
        <f>HYPERLINK("https://www.catalog.slsa.sa.gov.au/record=b2062033")</f>
        <v>https://www.catalog.slsa.sa.gov.au/record=b2062033</v>
      </c>
      <c r="C8157" s="1" t="str">
        <f>HYPERLINK("https://www.catalog.slsa.sa.gov.au/xrecord=b2062033")</f>
        <v>https://www.catalog.slsa.sa.gov.au/xrecord=b2062033</v>
      </c>
      <c r="D8157" t="s">
        <v>16831</v>
      </c>
      <c r="E8157" t="s">
        <v>21212</v>
      </c>
      <c r="F8157">
        <v>1959</v>
      </c>
      <c r="G8157" t="s">
        <v>25786</v>
      </c>
      <c r="H8157" t="s">
        <v>27169</v>
      </c>
      <c r="J8157" t="s">
        <v>21214</v>
      </c>
      <c r="K8157" s="2" t="str">
        <f>HYPERLINK("http://collections.slsa.sa.gov.au/mpcimg/14250/B14210.htm")</f>
        <v>http://collections.slsa.sa.gov.au/mpcimg/14250/B14210.htm</v>
      </c>
    </row>
    <row r="8158" spans="1:11" x14ac:dyDescent="0.25">
      <c r="A8158" t="s">
        <v>27170</v>
      </c>
      <c r="B8158" s="1" t="str">
        <f>HYPERLINK("https://www.catalog.slsa.sa.gov.au/record=b2062059")</f>
        <v>https://www.catalog.slsa.sa.gov.au/record=b2062059</v>
      </c>
      <c r="C8158" s="1" t="str">
        <f>HYPERLINK("https://www.catalog.slsa.sa.gov.au/xrecord=b2062059")</f>
        <v>https://www.catalog.slsa.sa.gov.au/xrecord=b2062059</v>
      </c>
      <c r="D8158" t="s">
        <v>16831</v>
      </c>
      <c r="E8158" t="s">
        <v>21212</v>
      </c>
      <c r="F8158">
        <v>1959</v>
      </c>
      <c r="G8158" t="s">
        <v>25786</v>
      </c>
      <c r="H8158" t="s">
        <v>27171</v>
      </c>
      <c r="J8158" t="s">
        <v>27172</v>
      </c>
      <c r="K8158" s="2" t="str">
        <f>HYPERLINK("http://collections.slsa.sa.gov.au/mpcimg/14250/B14206.htm")</f>
        <v>http://collections.slsa.sa.gov.au/mpcimg/14250/B14206.htm</v>
      </c>
    </row>
    <row r="8159" spans="1:11" x14ac:dyDescent="0.25">
      <c r="A8159" t="s">
        <v>27173</v>
      </c>
      <c r="B8159" s="1" t="str">
        <f>HYPERLINK("https://www.catalog.slsa.sa.gov.au/record=b2062060")</f>
        <v>https://www.catalog.slsa.sa.gov.au/record=b2062060</v>
      </c>
      <c r="C8159" s="1" t="str">
        <f>HYPERLINK("https://www.catalog.slsa.sa.gov.au/xrecord=b2062060")</f>
        <v>https://www.catalog.slsa.sa.gov.au/xrecord=b2062060</v>
      </c>
      <c r="D8159" t="s">
        <v>16831</v>
      </c>
      <c r="E8159" t="s">
        <v>21212</v>
      </c>
      <c r="F8159">
        <v>1959</v>
      </c>
      <c r="G8159" t="s">
        <v>25786</v>
      </c>
      <c r="H8159" t="s">
        <v>27174</v>
      </c>
      <c r="J8159" t="s">
        <v>27172</v>
      </c>
      <c r="K8159" s="2" t="str">
        <f>HYPERLINK("http://collections.slsa.sa.gov.au/mpcimg/14250/B14218.htm")</f>
        <v>http://collections.slsa.sa.gov.au/mpcimg/14250/B14218.htm</v>
      </c>
    </row>
    <row r="8160" spans="1:11" x14ac:dyDescent="0.25">
      <c r="A8160" t="s">
        <v>27175</v>
      </c>
      <c r="B8160" s="1" t="str">
        <f>HYPERLINK("https://www.catalog.slsa.sa.gov.au/record=b2062307")</f>
        <v>https://www.catalog.slsa.sa.gov.au/record=b2062307</v>
      </c>
      <c r="C8160" s="1" t="str">
        <f>HYPERLINK("https://www.catalog.slsa.sa.gov.au/xrecord=b2062307")</f>
        <v>https://www.catalog.slsa.sa.gov.au/xrecord=b2062307</v>
      </c>
      <c r="D8160" t="s">
        <v>16831</v>
      </c>
      <c r="E8160" t="s">
        <v>10268</v>
      </c>
      <c r="F8160">
        <v>1959</v>
      </c>
      <c r="G8160" t="s">
        <v>25786</v>
      </c>
      <c r="H8160" t="s">
        <v>27176</v>
      </c>
      <c r="J8160" t="s">
        <v>22944</v>
      </c>
      <c r="K8160" s="2" t="str">
        <f>HYPERLINK("http://collections.slsa.sa.gov.au/mpcimg/14250/B14217.htm")</f>
        <v>http://collections.slsa.sa.gov.au/mpcimg/14250/B14217.htm</v>
      </c>
    </row>
    <row r="8161" spans="1:11" x14ac:dyDescent="0.25">
      <c r="A8161" t="s">
        <v>27177</v>
      </c>
      <c r="B8161" s="1" t="str">
        <f>HYPERLINK("https://www.catalog.slsa.sa.gov.au/record=b2062530")</f>
        <v>https://www.catalog.slsa.sa.gov.au/record=b2062530</v>
      </c>
      <c r="C8161" s="1" t="str">
        <f>HYPERLINK("https://www.catalog.slsa.sa.gov.au/xrecord=b2062530")</f>
        <v>https://www.catalog.slsa.sa.gov.au/xrecord=b2062530</v>
      </c>
      <c r="D8161" t="s">
        <v>16831</v>
      </c>
      <c r="E8161" t="s">
        <v>24168</v>
      </c>
      <c r="F8161">
        <v>1959</v>
      </c>
      <c r="G8161" t="s">
        <v>25786</v>
      </c>
      <c r="H8161" t="s">
        <v>27178</v>
      </c>
      <c r="J8161" t="s">
        <v>21238</v>
      </c>
      <c r="K8161" s="2" t="str">
        <f>HYPERLINK("http://collections.slsa.sa.gov.au/mpcimg/14500/B14271.htm")</f>
        <v>http://collections.slsa.sa.gov.au/mpcimg/14500/B14271.htm</v>
      </c>
    </row>
    <row r="8162" spans="1:11" x14ac:dyDescent="0.25">
      <c r="A8162" t="s">
        <v>27179</v>
      </c>
      <c r="B8162" s="1" t="str">
        <f>HYPERLINK("https://www.catalog.slsa.sa.gov.au/record=b2062531")</f>
        <v>https://www.catalog.slsa.sa.gov.au/record=b2062531</v>
      </c>
      <c r="C8162" s="1" t="str">
        <f>HYPERLINK("https://www.catalog.slsa.sa.gov.au/xrecord=b2062531")</f>
        <v>https://www.catalog.slsa.sa.gov.au/xrecord=b2062531</v>
      </c>
      <c r="D8162" t="s">
        <v>16831</v>
      </c>
      <c r="E8162" t="s">
        <v>24168</v>
      </c>
      <c r="F8162">
        <v>1959</v>
      </c>
      <c r="G8162" t="s">
        <v>25786</v>
      </c>
      <c r="H8162" t="s">
        <v>27180</v>
      </c>
      <c r="J8162" t="s">
        <v>21238</v>
      </c>
      <c r="K8162" s="2" t="str">
        <f>HYPERLINK("http://collections.slsa.sa.gov.au/mpcimg/14500/B14272.htm")</f>
        <v>http://collections.slsa.sa.gov.au/mpcimg/14500/B14272.htm</v>
      </c>
    </row>
    <row r="8163" spans="1:11" x14ac:dyDescent="0.25">
      <c r="A8163" t="s">
        <v>27181</v>
      </c>
      <c r="B8163" s="1" t="str">
        <f>HYPERLINK("https://www.catalog.slsa.sa.gov.au/record=b2062550")</f>
        <v>https://www.catalog.slsa.sa.gov.au/record=b2062550</v>
      </c>
      <c r="C8163" s="1" t="str">
        <f>HYPERLINK("https://www.catalog.slsa.sa.gov.au/xrecord=b2062550")</f>
        <v>https://www.catalog.slsa.sa.gov.au/xrecord=b2062550</v>
      </c>
      <c r="D8163" t="s">
        <v>16831</v>
      </c>
      <c r="E8163" t="s">
        <v>24585</v>
      </c>
      <c r="F8163">
        <v>1959</v>
      </c>
      <c r="G8163" t="s">
        <v>25786</v>
      </c>
      <c r="H8163" t="s">
        <v>27182</v>
      </c>
      <c r="I8163" t="s">
        <v>24177</v>
      </c>
      <c r="J8163" t="s">
        <v>27183</v>
      </c>
      <c r="K8163" s="2" t="str">
        <f>HYPERLINK("http://collections.slsa.sa.gov.au/mpcimg/14500/B14257.htm")</f>
        <v>http://collections.slsa.sa.gov.au/mpcimg/14500/B14257.htm</v>
      </c>
    </row>
    <row r="8164" spans="1:11" x14ac:dyDescent="0.25">
      <c r="A8164" t="s">
        <v>27184</v>
      </c>
      <c r="B8164" s="1" t="str">
        <f>HYPERLINK("https://www.catalog.slsa.sa.gov.au/record=b2062625")</f>
        <v>https://www.catalog.slsa.sa.gov.au/record=b2062625</v>
      </c>
      <c r="C8164" s="1" t="str">
        <f>HYPERLINK("https://www.catalog.slsa.sa.gov.au/xrecord=b2062625")</f>
        <v>https://www.catalog.slsa.sa.gov.au/xrecord=b2062625</v>
      </c>
      <c r="D8164" t="s">
        <v>16831</v>
      </c>
      <c r="E8164" t="s">
        <v>21250</v>
      </c>
      <c r="F8164">
        <v>1959</v>
      </c>
      <c r="G8164" t="s">
        <v>25786</v>
      </c>
      <c r="H8164" t="s">
        <v>27185</v>
      </c>
      <c r="J8164" t="s">
        <v>16834</v>
      </c>
      <c r="K8164" s="2" t="str">
        <f>HYPERLINK("http://collections.slsa.sa.gov.au/mpcimg/14250/B14230.htm")</f>
        <v>http://collections.slsa.sa.gov.au/mpcimg/14250/B14230.htm</v>
      </c>
    </row>
    <row r="8165" spans="1:11" x14ac:dyDescent="0.25">
      <c r="A8165" t="s">
        <v>27186</v>
      </c>
      <c r="B8165" s="1" t="str">
        <f>HYPERLINK("https://www.catalog.slsa.sa.gov.au/record=b2062696")</f>
        <v>https://www.catalog.slsa.sa.gov.au/record=b2062696</v>
      </c>
      <c r="C8165" s="1" t="str">
        <f>HYPERLINK("https://www.catalog.slsa.sa.gov.au/xrecord=b2062696")</f>
        <v>https://www.catalog.slsa.sa.gov.au/xrecord=b2062696</v>
      </c>
      <c r="D8165" t="s">
        <v>16831</v>
      </c>
      <c r="E8165" t="s">
        <v>27187</v>
      </c>
      <c r="F8165">
        <v>1959</v>
      </c>
      <c r="G8165" t="s">
        <v>25786</v>
      </c>
      <c r="H8165" t="s">
        <v>27188</v>
      </c>
      <c r="I8165" t="s">
        <v>24177</v>
      </c>
      <c r="J8165" t="s">
        <v>26875</v>
      </c>
      <c r="K8165" s="2" t="str">
        <f>HYPERLINK("http://collections.slsa.sa.gov.au/mpcimg/14500/B14259.htm")</f>
        <v>http://collections.slsa.sa.gov.au/mpcimg/14500/B14259.htm</v>
      </c>
    </row>
    <row r="8166" spans="1:11" x14ac:dyDescent="0.25">
      <c r="A8166" t="s">
        <v>27189</v>
      </c>
      <c r="B8166" s="1" t="str">
        <f>HYPERLINK("https://www.catalog.slsa.sa.gov.au/record=b2063009")</f>
        <v>https://www.catalog.slsa.sa.gov.au/record=b2063009</v>
      </c>
      <c r="C8166" s="1" t="str">
        <f>HYPERLINK("https://www.catalog.slsa.sa.gov.au/xrecord=b2063009")</f>
        <v>https://www.catalog.slsa.sa.gov.au/xrecord=b2063009</v>
      </c>
      <c r="D8166" t="s">
        <v>16831</v>
      </c>
      <c r="E8166" t="s">
        <v>26900</v>
      </c>
      <c r="F8166">
        <v>1959</v>
      </c>
      <c r="G8166" t="s">
        <v>25786</v>
      </c>
      <c r="H8166" t="s">
        <v>27190</v>
      </c>
      <c r="J8166" t="s">
        <v>21302</v>
      </c>
      <c r="K8166" s="2" t="str">
        <f>HYPERLINK("http://collections.slsa.sa.gov.au/mpcimg/14250/B14208.htm")</f>
        <v>http://collections.slsa.sa.gov.au/mpcimg/14250/B14208.htm</v>
      </c>
    </row>
    <row r="8167" spans="1:11" x14ac:dyDescent="0.25">
      <c r="A8167" t="s">
        <v>27191</v>
      </c>
      <c r="B8167" s="1" t="str">
        <f>HYPERLINK("https://www.catalog.slsa.sa.gov.au/record=b2063071")</f>
        <v>https://www.catalog.slsa.sa.gov.au/record=b2063071</v>
      </c>
      <c r="C8167" s="1" t="str">
        <f>HYPERLINK("https://www.catalog.slsa.sa.gov.au/xrecord=b2063071")</f>
        <v>https://www.catalog.slsa.sa.gov.au/xrecord=b2063071</v>
      </c>
      <c r="D8167" t="s">
        <v>16831</v>
      </c>
      <c r="E8167" t="s">
        <v>24652</v>
      </c>
      <c r="F8167">
        <v>1959</v>
      </c>
      <c r="G8167" t="s">
        <v>25786</v>
      </c>
      <c r="H8167" t="s">
        <v>27192</v>
      </c>
      <c r="J8167" t="s">
        <v>27193</v>
      </c>
      <c r="K8167" s="2" t="str">
        <f>HYPERLINK("http://collections.slsa.sa.gov.au/mpcimg/14500/B14258.htm")</f>
        <v>http://collections.slsa.sa.gov.au/mpcimg/14500/B14258.htm</v>
      </c>
    </row>
    <row r="8168" spans="1:11" x14ac:dyDescent="0.25">
      <c r="A8168" t="s">
        <v>27194</v>
      </c>
      <c r="B8168" s="1" t="str">
        <f>HYPERLINK("https://www.catalog.slsa.sa.gov.au/record=b2063653")</f>
        <v>https://www.catalog.slsa.sa.gov.au/record=b2063653</v>
      </c>
      <c r="C8168" s="1" t="str">
        <f>HYPERLINK("https://www.catalog.slsa.sa.gov.au/xrecord=b2063653")</f>
        <v>https://www.catalog.slsa.sa.gov.au/xrecord=b2063653</v>
      </c>
      <c r="D8168" t="s">
        <v>16831</v>
      </c>
      <c r="E8168" t="s">
        <v>17735</v>
      </c>
      <c r="F8168">
        <v>1959</v>
      </c>
      <c r="G8168" t="s">
        <v>25786</v>
      </c>
      <c r="H8168" t="s">
        <v>27195</v>
      </c>
      <c r="J8168" t="s">
        <v>22976</v>
      </c>
      <c r="K8168" s="2" t="str">
        <f>HYPERLINK("http://collections.slsa.sa.gov.au/mpcimg/14250/B14227.htm")</f>
        <v>http://collections.slsa.sa.gov.au/mpcimg/14250/B14227.htm</v>
      </c>
    </row>
    <row r="8169" spans="1:11" x14ac:dyDescent="0.25">
      <c r="A8169" t="s">
        <v>27196</v>
      </c>
      <c r="B8169" s="1" t="str">
        <f>HYPERLINK("https://www.catalog.slsa.sa.gov.au/record=b2063973")</f>
        <v>https://www.catalog.slsa.sa.gov.au/record=b2063973</v>
      </c>
      <c r="C8169" s="1" t="str">
        <f>HYPERLINK("https://www.catalog.slsa.sa.gov.au/xrecord=b2063973")</f>
        <v>https://www.catalog.slsa.sa.gov.au/xrecord=b2063973</v>
      </c>
      <c r="D8169" t="s">
        <v>16831</v>
      </c>
      <c r="E8169" t="s">
        <v>26135</v>
      </c>
      <c r="F8169">
        <v>1959</v>
      </c>
      <c r="G8169" t="s">
        <v>25786</v>
      </c>
      <c r="H8169" t="s">
        <v>27197</v>
      </c>
      <c r="J8169" t="s">
        <v>25620</v>
      </c>
      <c r="K8169" s="2" t="str">
        <f>HYPERLINK("http://collections.slsa.sa.gov.au/mpcimg/14250/B14231.htm")</f>
        <v>http://collections.slsa.sa.gov.au/mpcimg/14250/B14231.htm</v>
      </c>
    </row>
    <row r="8170" spans="1:11" x14ac:dyDescent="0.25">
      <c r="A8170" t="s">
        <v>27198</v>
      </c>
      <c r="B8170" s="1" t="str">
        <f>HYPERLINK("https://www.catalog.slsa.sa.gov.au/record=b2064665")</f>
        <v>https://www.catalog.slsa.sa.gov.au/record=b2064665</v>
      </c>
      <c r="C8170" s="1" t="str">
        <f>HYPERLINK("https://www.catalog.slsa.sa.gov.au/xrecord=b2064665")</f>
        <v>https://www.catalog.slsa.sa.gov.au/xrecord=b2064665</v>
      </c>
      <c r="D8170" t="s">
        <v>16831</v>
      </c>
      <c r="E8170" t="s">
        <v>26509</v>
      </c>
      <c r="F8170">
        <v>1959</v>
      </c>
      <c r="G8170" t="s">
        <v>25786</v>
      </c>
      <c r="H8170" t="s">
        <v>27199</v>
      </c>
      <c r="J8170" t="s">
        <v>26976</v>
      </c>
      <c r="K8170" s="2" t="str">
        <f>HYPERLINK("http://collections.slsa.sa.gov.au/mpcimg/14250/B14229.htm")</f>
        <v>http://collections.slsa.sa.gov.au/mpcimg/14250/B14229.htm</v>
      </c>
    </row>
    <row r="8171" spans="1:11" x14ac:dyDescent="0.25">
      <c r="A8171" t="s">
        <v>27200</v>
      </c>
      <c r="B8171" s="1" t="str">
        <f>HYPERLINK("https://www.catalog.slsa.sa.gov.au/record=b2064676")</f>
        <v>https://www.catalog.slsa.sa.gov.au/record=b2064676</v>
      </c>
      <c r="C8171" s="1" t="str">
        <f>HYPERLINK("https://www.catalog.slsa.sa.gov.au/xrecord=b2064676")</f>
        <v>https://www.catalog.slsa.sa.gov.au/xrecord=b2064676</v>
      </c>
      <c r="D8171" t="s">
        <v>16831</v>
      </c>
      <c r="E8171" t="s">
        <v>26509</v>
      </c>
      <c r="F8171">
        <v>1959</v>
      </c>
      <c r="G8171" t="s">
        <v>25786</v>
      </c>
      <c r="H8171" t="s">
        <v>27201</v>
      </c>
      <c r="J8171" t="s">
        <v>26517</v>
      </c>
      <c r="K8171" s="2" t="str">
        <f>HYPERLINK("http://collections.slsa.sa.gov.au/mpcimg/14250/B14226.htm")</f>
        <v>http://collections.slsa.sa.gov.au/mpcimg/14250/B14226.htm</v>
      </c>
    </row>
    <row r="8172" spans="1:11" x14ac:dyDescent="0.25">
      <c r="A8172" t="s">
        <v>27202</v>
      </c>
      <c r="B8172" s="1" t="str">
        <f>HYPERLINK("https://www.catalog.slsa.sa.gov.au/record=b2064677")</f>
        <v>https://www.catalog.slsa.sa.gov.au/record=b2064677</v>
      </c>
      <c r="C8172" s="1" t="str">
        <f>HYPERLINK("https://www.catalog.slsa.sa.gov.au/xrecord=b2064677")</f>
        <v>https://www.catalog.slsa.sa.gov.au/xrecord=b2064677</v>
      </c>
      <c r="D8172" t="s">
        <v>16831</v>
      </c>
      <c r="E8172" t="s">
        <v>26980</v>
      </c>
      <c r="F8172">
        <v>1959</v>
      </c>
      <c r="G8172" t="s">
        <v>25786</v>
      </c>
      <c r="H8172" t="s">
        <v>27203</v>
      </c>
      <c r="J8172" t="s">
        <v>27204</v>
      </c>
      <c r="K8172" s="2" t="str">
        <f>HYPERLINK("http://collections.slsa.sa.gov.au/mpcimg/14250/B14225.htm")</f>
        <v>http://collections.slsa.sa.gov.au/mpcimg/14250/B14225.htm</v>
      </c>
    </row>
    <row r="8173" spans="1:11" x14ac:dyDescent="0.25">
      <c r="A8173" t="s">
        <v>27205</v>
      </c>
      <c r="B8173" s="1" t="str">
        <f>HYPERLINK("https://www.catalog.slsa.sa.gov.au/record=b2064715")</f>
        <v>https://www.catalog.slsa.sa.gov.au/record=b2064715</v>
      </c>
      <c r="C8173" s="1" t="str">
        <f>HYPERLINK("https://www.catalog.slsa.sa.gov.au/xrecord=b2064715")</f>
        <v>https://www.catalog.slsa.sa.gov.au/xrecord=b2064715</v>
      </c>
      <c r="D8173" t="s">
        <v>16831</v>
      </c>
      <c r="E8173" t="s">
        <v>27206</v>
      </c>
      <c r="F8173">
        <v>1959</v>
      </c>
      <c r="G8173" t="s">
        <v>25786</v>
      </c>
      <c r="H8173" t="s">
        <v>27207</v>
      </c>
      <c r="J8173" t="s">
        <v>27208</v>
      </c>
      <c r="K8173" s="2" t="str">
        <f>HYPERLINK("http://collections.slsa.sa.gov.au/mpcimg/14250/B14228.htm")</f>
        <v>http://collections.slsa.sa.gov.au/mpcimg/14250/B14228.htm</v>
      </c>
    </row>
    <row r="8174" spans="1:11" x14ac:dyDescent="0.25">
      <c r="A8174" t="s">
        <v>27209</v>
      </c>
      <c r="B8174" s="1" t="str">
        <f>HYPERLINK("https://www.catalog.slsa.sa.gov.au/record=b2064753")</f>
        <v>https://www.catalog.slsa.sa.gov.au/record=b2064753</v>
      </c>
      <c r="C8174" s="1" t="str">
        <f>HYPERLINK("https://www.catalog.slsa.sa.gov.au/xrecord=b2064753")</f>
        <v>https://www.catalog.slsa.sa.gov.au/xrecord=b2064753</v>
      </c>
      <c r="D8174" t="s">
        <v>16831</v>
      </c>
      <c r="E8174" t="s">
        <v>26980</v>
      </c>
      <c r="F8174">
        <v>1959</v>
      </c>
      <c r="G8174" t="s">
        <v>25786</v>
      </c>
      <c r="H8174" t="s">
        <v>27210</v>
      </c>
      <c r="J8174" t="s">
        <v>27211</v>
      </c>
      <c r="K8174" s="2" t="str">
        <f>HYPERLINK("http://collections.slsa.sa.gov.au/mpcimg/14250/B14224.htm")</f>
        <v>http://collections.slsa.sa.gov.au/mpcimg/14250/B14224.htm</v>
      </c>
    </row>
    <row r="8175" spans="1:11" x14ac:dyDescent="0.25">
      <c r="A8175" t="s">
        <v>27212</v>
      </c>
      <c r="B8175" s="1" t="str">
        <f>HYPERLINK("https://www.catalog.slsa.sa.gov.au/record=b2069027")</f>
        <v>https://www.catalog.slsa.sa.gov.au/record=b2069027</v>
      </c>
      <c r="C8175" s="1" t="str">
        <f>HYPERLINK("https://www.catalog.slsa.sa.gov.au/xrecord=b2069027")</f>
        <v>https://www.catalog.slsa.sa.gov.au/xrecord=b2069027</v>
      </c>
      <c r="D8175" t="s">
        <v>14894</v>
      </c>
      <c r="E8175" t="s">
        <v>27213</v>
      </c>
      <c r="F8175">
        <v>1959</v>
      </c>
      <c r="G8175" t="s">
        <v>27214</v>
      </c>
      <c r="H8175" t="s">
        <v>27215</v>
      </c>
      <c r="I8175" t="s">
        <v>27216</v>
      </c>
      <c r="J8175" t="s">
        <v>15209</v>
      </c>
      <c r="K8175" s="2" t="str">
        <f>HYPERLINK("http://collections.slsa.sa.gov.au/mpcimg/20250/B20219.htm")</f>
        <v>http://collections.slsa.sa.gov.au/mpcimg/20250/B20219.htm</v>
      </c>
    </row>
    <row r="8176" spans="1:11" x14ac:dyDescent="0.25">
      <c r="A8176" t="s">
        <v>27217</v>
      </c>
      <c r="B8176" s="1" t="str">
        <f>HYPERLINK("https://www.catalog.slsa.sa.gov.au/record=b2030925")</f>
        <v>https://www.catalog.slsa.sa.gov.au/record=b2030925</v>
      </c>
      <c r="C8176" s="1" t="str">
        <f>HYPERLINK("https://www.catalog.slsa.sa.gov.au/xrecord=b2030925")</f>
        <v>https://www.catalog.slsa.sa.gov.au/xrecord=b2030925</v>
      </c>
      <c r="D8176" t="s">
        <v>15039</v>
      </c>
      <c r="E8176" t="s">
        <v>16124</v>
      </c>
      <c r="F8176" t="s">
        <v>10056</v>
      </c>
      <c r="G8176" t="s">
        <v>27218</v>
      </c>
      <c r="H8176" t="s">
        <v>27219</v>
      </c>
      <c r="I8176" t="s">
        <v>16127</v>
      </c>
      <c r="J8176" t="s">
        <v>16128</v>
      </c>
      <c r="K8176" s="2" t="str">
        <f>HYPERLINK("http://collections.slsa.sa.gov.au/mpcimg/48750/B48563.htm")</f>
        <v>http://collections.slsa.sa.gov.au/mpcimg/48750/B48563.htm</v>
      </c>
    </row>
    <row r="8177" spans="1:11" x14ac:dyDescent="0.25">
      <c r="A8177" t="s">
        <v>27220</v>
      </c>
      <c r="B8177" s="1" t="str">
        <f>HYPERLINK("https://www.catalog.slsa.sa.gov.au/record=b2057817")</f>
        <v>https://www.catalog.slsa.sa.gov.au/record=b2057817</v>
      </c>
      <c r="C8177" s="1" t="str">
        <f>HYPERLINK("https://www.catalog.slsa.sa.gov.au/xrecord=b2057817")</f>
        <v>https://www.catalog.slsa.sa.gov.au/xrecord=b2057817</v>
      </c>
      <c r="D8177" t="s">
        <v>16831</v>
      </c>
      <c r="E8177" t="s">
        <v>16791</v>
      </c>
      <c r="F8177" t="s">
        <v>10056</v>
      </c>
      <c r="G8177" t="s">
        <v>25786</v>
      </c>
      <c r="H8177" t="s">
        <v>27221</v>
      </c>
      <c r="I8177" t="s">
        <v>27222</v>
      </c>
      <c r="J8177" t="s">
        <v>27090</v>
      </c>
      <c r="K8177" s="2" t="str">
        <f>HYPERLINK("http://collections.slsa.sa.gov.au/mpcimg/14250/B14204.htm")</f>
        <v>http://collections.slsa.sa.gov.au/mpcimg/14250/B14204.htm</v>
      </c>
    </row>
    <row r="8178" spans="1:11" x14ac:dyDescent="0.25">
      <c r="A8178" t="s">
        <v>27223</v>
      </c>
      <c r="B8178" s="1" t="str">
        <f>HYPERLINK("https://www.catalog.slsa.sa.gov.au/record=b2057818")</f>
        <v>https://www.catalog.slsa.sa.gov.au/record=b2057818</v>
      </c>
      <c r="C8178" s="1" t="str">
        <f>HYPERLINK("https://www.catalog.slsa.sa.gov.au/xrecord=b2057818")</f>
        <v>https://www.catalog.slsa.sa.gov.au/xrecord=b2057818</v>
      </c>
      <c r="D8178" t="s">
        <v>16831</v>
      </c>
      <c r="E8178" t="s">
        <v>25308</v>
      </c>
      <c r="F8178" t="s">
        <v>10056</v>
      </c>
      <c r="G8178" t="s">
        <v>25786</v>
      </c>
      <c r="H8178" t="s">
        <v>27224</v>
      </c>
      <c r="I8178" t="s">
        <v>24350</v>
      </c>
      <c r="J8178" t="s">
        <v>27090</v>
      </c>
      <c r="K8178" s="2" t="str">
        <f>HYPERLINK("http://collections.slsa.sa.gov.au/mpcimg/14250/B14205.htm")</f>
        <v>http://collections.slsa.sa.gov.au/mpcimg/14250/B14205.htm</v>
      </c>
    </row>
    <row r="8179" spans="1:11" x14ac:dyDescent="0.25">
      <c r="A8179" t="s">
        <v>27225</v>
      </c>
      <c r="B8179" s="1" t="str">
        <f>HYPERLINK("https://www.catalog.slsa.sa.gov.au/record=b2031804")</f>
        <v>https://www.catalog.slsa.sa.gov.au/record=b2031804</v>
      </c>
      <c r="C8179" s="1" t="str">
        <f>HYPERLINK("https://www.catalog.slsa.sa.gov.au/xrecord=b2031804")</f>
        <v>https://www.catalog.slsa.sa.gov.au/xrecord=b2031804</v>
      </c>
      <c r="D8179" t="s">
        <v>3891</v>
      </c>
      <c r="E8179" t="s">
        <v>27226</v>
      </c>
      <c r="F8179">
        <v>1960</v>
      </c>
      <c r="G8179" t="s">
        <v>14809</v>
      </c>
      <c r="H8179" t="s">
        <v>27227</v>
      </c>
      <c r="I8179" t="s">
        <v>9665</v>
      </c>
      <c r="J8179" t="s">
        <v>2963</v>
      </c>
      <c r="K8179" s="2" t="str">
        <f>HYPERLINK("http://collections.slsa.sa.gov.au/mpcimg/38250/B38190.htm")</f>
        <v>http://collections.slsa.sa.gov.au/mpcimg/38250/B38190.htm</v>
      </c>
    </row>
    <row r="8180" spans="1:11" x14ac:dyDescent="0.25">
      <c r="A8180" t="s">
        <v>27228</v>
      </c>
      <c r="B8180" s="1" t="str">
        <f>HYPERLINK("https://www.catalog.slsa.sa.gov.au/record=b2032175")</f>
        <v>https://www.catalog.slsa.sa.gov.au/record=b2032175</v>
      </c>
      <c r="C8180" s="1" t="str">
        <f>HYPERLINK("https://www.catalog.slsa.sa.gov.au/xrecord=b2032175")</f>
        <v>https://www.catalog.slsa.sa.gov.au/xrecord=b2032175</v>
      </c>
      <c r="D8180" t="s">
        <v>15039</v>
      </c>
      <c r="E8180" t="s">
        <v>27229</v>
      </c>
      <c r="F8180">
        <v>1960</v>
      </c>
      <c r="G8180" t="s">
        <v>27230</v>
      </c>
      <c r="H8180" t="s">
        <v>27231</v>
      </c>
      <c r="I8180" t="s">
        <v>9572</v>
      </c>
      <c r="J8180" t="s">
        <v>2963</v>
      </c>
      <c r="K8180" s="2" t="str">
        <f>HYPERLINK("http://collections.slsa.sa.gov.au/mpcimg/53500/B53290.htm")</f>
        <v>http://collections.slsa.sa.gov.au/mpcimg/53500/B53290.htm</v>
      </c>
    </row>
    <row r="8181" spans="1:11" x14ac:dyDescent="0.25">
      <c r="A8181" t="s">
        <v>27232</v>
      </c>
      <c r="B8181" s="1" t="str">
        <f>HYPERLINK("https://www.catalog.slsa.sa.gov.au/record=b2054624")</f>
        <v>https://www.catalog.slsa.sa.gov.au/record=b2054624</v>
      </c>
      <c r="C8181" s="1" t="str">
        <f>HYPERLINK("https://www.catalog.slsa.sa.gov.au/xrecord=b2054624")</f>
        <v>https://www.catalog.slsa.sa.gov.au/xrecord=b2054624</v>
      </c>
      <c r="D8181" t="s">
        <v>16831</v>
      </c>
      <c r="E8181" t="s">
        <v>25287</v>
      </c>
      <c r="F8181">
        <v>1960</v>
      </c>
      <c r="G8181" t="s">
        <v>25786</v>
      </c>
      <c r="H8181" t="s">
        <v>27233</v>
      </c>
      <c r="J8181" t="s">
        <v>24862</v>
      </c>
      <c r="K8181" s="2" t="str">
        <f>HYPERLINK("http://collections.slsa.sa.gov.au/mpcimg/14500/B14392.htm")</f>
        <v>http://collections.slsa.sa.gov.au/mpcimg/14500/B14392.htm</v>
      </c>
    </row>
    <row r="8182" spans="1:11" x14ac:dyDescent="0.25">
      <c r="A8182" t="s">
        <v>27234</v>
      </c>
      <c r="B8182" s="1" t="str">
        <f>HYPERLINK("https://www.catalog.slsa.sa.gov.au/record=b2054625")</f>
        <v>https://www.catalog.slsa.sa.gov.au/record=b2054625</v>
      </c>
      <c r="C8182" s="1" t="str">
        <f>HYPERLINK("https://www.catalog.slsa.sa.gov.au/xrecord=b2054625")</f>
        <v>https://www.catalog.slsa.sa.gov.au/xrecord=b2054625</v>
      </c>
      <c r="D8182" t="s">
        <v>16831</v>
      </c>
      <c r="E8182" t="s">
        <v>25287</v>
      </c>
      <c r="F8182">
        <v>1960</v>
      </c>
      <c r="G8182" t="s">
        <v>25786</v>
      </c>
      <c r="H8182" t="s">
        <v>27235</v>
      </c>
      <c r="J8182" t="s">
        <v>24862</v>
      </c>
      <c r="K8182" s="2" t="str">
        <f>HYPERLINK("http://collections.slsa.sa.gov.au/mpcimg/14500/B14393.htm")</f>
        <v>http://collections.slsa.sa.gov.au/mpcimg/14500/B14393.htm</v>
      </c>
    </row>
    <row r="8183" spans="1:11" x14ac:dyDescent="0.25">
      <c r="A8183" t="s">
        <v>27236</v>
      </c>
      <c r="B8183" s="1" t="str">
        <f>HYPERLINK("https://www.catalog.slsa.sa.gov.au/record=b2055216")</f>
        <v>https://www.catalog.slsa.sa.gov.au/record=b2055216</v>
      </c>
      <c r="C8183" s="1" t="str">
        <f>HYPERLINK("https://www.catalog.slsa.sa.gov.au/xrecord=b2055216")</f>
        <v>https://www.catalog.slsa.sa.gov.au/xrecord=b2055216</v>
      </c>
      <c r="D8183" t="s">
        <v>16831</v>
      </c>
      <c r="E8183" t="s">
        <v>22732</v>
      </c>
      <c r="F8183">
        <v>1960</v>
      </c>
      <c r="G8183" t="s">
        <v>25786</v>
      </c>
      <c r="H8183" t="s">
        <v>27237</v>
      </c>
      <c r="J8183" t="s">
        <v>26574</v>
      </c>
      <c r="K8183" s="2" t="str">
        <f>HYPERLINK("http://collections.slsa.sa.gov.au/mpcimg/14500/B14308.htm")</f>
        <v>http://collections.slsa.sa.gov.au/mpcimg/14500/B14308.htm</v>
      </c>
    </row>
    <row r="8184" spans="1:11" x14ac:dyDescent="0.25">
      <c r="A8184" t="s">
        <v>27238</v>
      </c>
      <c r="B8184" s="1" t="str">
        <f>HYPERLINK("https://www.catalog.slsa.sa.gov.au/record=b2055382")</f>
        <v>https://www.catalog.slsa.sa.gov.au/record=b2055382</v>
      </c>
      <c r="C8184" s="1" t="str">
        <f>HYPERLINK("https://www.catalog.slsa.sa.gov.au/xrecord=b2055382")</f>
        <v>https://www.catalog.slsa.sa.gov.au/xrecord=b2055382</v>
      </c>
      <c r="D8184" t="s">
        <v>16831</v>
      </c>
      <c r="E8184" t="s">
        <v>22732</v>
      </c>
      <c r="F8184">
        <v>1960</v>
      </c>
      <c r="G8184" t="s">
        <v>25786</v>
      </c>
      <c r="H8184" t="s">
        <v>27239</v>
      </c>
      <c r="I8184" t="s">
        <v>27240</v>
      </c>
      <c r="J8184" t="s">
        <v>17610</v>
      </c>
      <c r="K8184" s="2" t="str">
        <f>HYPERLINK("http://collections.slsa.sa.gov.au/mpcimg/14500/B14403.htm")</f>
        <v>http://collections.slsa.sa.gov.au/mpcimg/14500/B14403.htm</v>
      </c>
    </row>
    <row r="8185" spans="1:11" x14ac:dyDescent="0.25">
      <c r="A8185" t="s">
        <v>27241</v>
      </c>
      <c r="B8185" s="1" t="str">
        <f>HYPERLINK("https://www.catalog.slsa.sa.gov.au/record=b2055440")</f>
        <v>https://www.catalog.slsa.sa.gov.au/record=b2055440</v>
      </c>
      <c r="C8185" s="1" t="str">
        <f>HYPERLINK("https://www.catalog.slsa.sa.gov.au/xrecord=b2055440")</f>
        <v>https://www.catalog.slsa.sa.gov.au/xrecord=b2055440</v>
      </c>
      <c r="D8185" t="s">
        <v>16831</v>
      </c>
      <c r="E8185" t="s">
        <v>22732</v>
      </c>
      <c r="F8185">
        <v>1960</v>
      </c>
      <c r="G8185" t="s">
        <v>25786</v>
      </c>
      <c r="H8185" t="s">
        <v>27242</v>
      </c>
      <c r="I8185" t="s">
        <v>27243</v>
      </c>
      <c r="J8185" t="s">
        <v>27244</v>
      </c>
      <c r="K8185" s="2" t="str">
        <f>HYPERLINK("http://collections.slsa.sa.gov.au/mpcimg/14500/B14310.htm")</f>
        <v>http://collections.slsa.sa.gov.au/mpcimg/14500/B14310.htm</v>
      </c>
    </row>
    <row r="8186" spans="1:11" x14ac:dyDescent="0.25">
      <c r="A8186" t="s">
        <v>27245</v>
      </c>
      <c r="B8186" s="1" t="str">
        <f>HYPERLINK("https://www.catalog.slsa.sa.gov.au/record=b2055441")</f>
        <v>https://www.catalog.slsa.sa.gov.au/record=b2055441</v>
      </c>
      <c r="C8186" s="1" t="str">
        <f>HYPERLINK("https://www.catalog.slsa.sa.gov.au/xrecord=b2055441")</f>
        <v>https://www.catalog.slsa.sa.gov.au/xrecord=b2055441</v>
      </c>
      <c r="D8186" t="s">
        <v>16831</v>
      </c>
      <c r="E8186" t="s">
        <v>22732</v>
      </c>
      <c r="F8186">
        <v>1960</v>
      </c>
      <c r="G8186" t="s">
        <v>25786</v>
      </c>
      <c r="H8186" t="s">
        <v>27246</v>
      </c>
      <c r="I8186" t="s">
        <v>27247</v>
      </c>
      <c r="J8186" t="s">
        <v>27244</v>
      </c>
      <c r="K8186" s="2" t="str">
        <f>HYPERLINK("http://collections.slsa.sa.gov.au/mpcimg/14500/B14311.htm")</f>
        <v>http://collections.slsa.sa.gov.au/mpcimg/14500/B14311.htm</v>
      </c>
    </row>
    <row r="8187" spans="1:11" x14ac:dyDescent="0.25">
      <c r="A8187" t="s">
        <v>27248</v>
      </c>
      <c r="B8187" s="1" t="str">
        <f>HYPERLINK("https://www.catalog.slsa.sa.gov.au/record=b2055442")</f>
        <v>https://www.catalog.slsa.sa.gov.au/record=b2055442</v>
      </c>
      <c r="C8187" s="1" t="str">
        <f>HYPERLINK("https://www.catalog.slsa.sa.gov.au/xrecord=b2055442")</f>
        <v>https://www.catalog.slsa.sa.gov.au/xrecord=b2055442</v>
      </c>
      <c r="D8187" t="s">
        <v>16831</v>
      </c>
      <c r="E8187" t="s">
        <v>22732</v>
      </c>
      <c r="F8187">
        <v>1960</v>
      </c>
      <c r="G8187" t="s">
        <v>25786</v>
      </c>
      <c r="H8187" t="s">
        <v>27249</v>
      </c>
      <c r="I8187" t="s">
        <v>27250</v>
      </c>
      <c r="J8187" t="s">
        <v>27244</v>
      </c>
      <c r="K8187" s="2" t="str">
        <f>HYPERLINK("http://collections.slsa.sa.gov.au/mpcimg/14500/B14312.htm")</f>
        <v>http://collections.slsa.sa.gov.au/mpcimg/14500/B14312.htm</v>
      </c>
    </row>
    <row r="8188" spans="1:11" x14ac:dyDescent="0.25">
      <c r="A8188" t="s">
        <v>27251</v>
      </c>
      <c r="B8188" s="1" t="str">
        <f>HYPERLINK("https://www.catalog.slsa.sa.gov.au/record=b2055443")</f>
        <v>https://www.catalog.slsa.sa.gov.au/record=b2055443</v>
      </c>
      <c r="C8188" s="1" t="str">
        <f>HYPERLINK("https://www.catalog.slsa.sa.gov.au/xrecord=b2055443")</f>
        <v>https://www.catalog.slsa.sa.gov.au/xrecord=b2055443</v>
      </c>
      <c r="D8188" t="s">
        <v>16831</v>
      </c>
      <c r="E8188" t="s">
        <v>22732</v>
      </c>
      <c r="F8188">
        <v>1960</v>
      </c>
      <c r="G8188" t="s">
        <v>25786</v>
      </c>
      <c r="H8188" t="s">
        <v>27252</v>
      </c>
      <c r="I8188" t="s">
        <v>27250</v>
      </c>
      <c r="J8188" t="s">
        <v>27244</v>
      </c>
      <c r="K8188" s="2" t="str">
        <f>HYPERLINK("http://collections.slsa.sa.gov.au/mpcimg/14500/B14313.htm")</f>
        <v>http://collections.slsa.sa.gov.au/mpcimg/14500/B14313.htm</v>
      </c>
    </row>
    <row r="8189" spans="1:11" x14ac:dyDescent="0.25">
      <c r="A8189" t="s">
        <v>27253</v>
      </c>
      <c r="B8189" s="1" t="str">
        <f>HYPERLINK("https://www.catalog.slsa.sa.gov.au/record=b2055641")</f>
        <v>https://www.catalog.slsa.sa.gov.au/record=b2055641</v>
      </c>
      <c r="C8189" s="1" t="str">
        <f>HYPERLINK("https://www.catalog.slsa.sa.gov.au/xrecord=b2055641")</f>
        <v>https://www.catalog.slsa.sa.gov.au/xrecord=b2055641</v>
      </c>
      <c r="D8189" t="s">
        <v>16831</v>
      </c>
      <c r="E8189" t="s">
        <v>17109</v>
      </c>
      <c r="F8189">
        <v>1960</v>
      </c>
      <c r="G8189" t="s">
        <v>25786</v>
      </c>
      <c r="H8189" t="s">
        <v>27254</v>
      </c>
      <c r="J8189" t="s">
        <v>16769</v>
      </c>
      <c r="K8189" s="2" t="str">
        <f>HYPERLINK("http://collections.slsa.sa.gov.au/mpcimg/14500/B14360.htm")</f>
        <v>http://collections.slsa.sa.gov.au/mpcimg/14500/B14360.htm</v>
      </c>
    </row>
    <row r="8190" spans="1:11" x14ac:dyDescent="0.25">
      <c r="A8190" t="s">
        <v>27255</v>
      </c>
      <c r="B8190" s="1" t="str">
        <f>HYPERLINK("https://www.catalog.slsa.sa.gov.au/record=b2055813")</f>
        <v>https://www.catalog.slsa.sa.gov.au/record=b2055813</v>
      </c>
      <c r="C8190" s="1" t="str">
        <f>HYPERLINK("https://www.catalog.slsa.sa.gov.au/xrecord=b2055813")</f>
        <v>https://www.catalog.slsa.sa.gov.au/xrecord=b2055813</v>
      </c>
      <c r="D8190" t="s">
        <v>16831</v>
      </c>
      <c r="E8190" t="s">
        <v>24001</v>
      </c>
      <c r="F8190">
        <v>1960</v>
      </c>
      <c r="G8190" t="s">
        <v>25786</v>
      </c>
      <c r="H8190" t="s">
        <v>27256</v>
      </c>
      <c r="I8190" t="s">
        <v>27257</v>
      </c>
      <c r="J8190" t="s">
        <v>27258</v>
      </c>
      <c r="K8190" s="2" t="str">
        <f>HYPERLINK("http://collections.slsa.sa.gov.au/mpcimg/14500/B14327.htm")</f>
        <v>http://collections.slsa.sa.gov.au/mpcimg/14500/B14327.htm</v>
      </c>
    </row>
    <row r="8191" spans="1:11" x14ac:dyDescent="0.25">
      <c r="A8191" t="s">
        <v>27259</v>
      </c>
      <c r="B8191" s="1" t="str">
        <f>HYPERLINK("https://www.catalog.slsa.sa.gov.au/record=b2055814")</f>
        <v>https://www.catalog.slsa.sa.gov.au/record=b2055814</v>
      </c>
      <c r="C8191" s="1" t="str">
        <f>HYPERLINK("https://www.catalog.slsa.sa.gov.au/xrecord=b2055814")</f>
        <v>https://www.catalog.slsa.sa.gov.au/xrecord=b2055814</v>
      </c>
      <c r="D8191" t="s">
        <v>16831</v>
      </c>
      <c r="E8191" t="s">
        <v>24001</v>
      </c>
      <c r="F8191">
        <v>1960</v>
      </c>
      <c r="G8191" t="s">
        <v>25786</v>
      </c>
      <c r="H8191" t="s">
        <v>27260</v>
      </c>
      <c r="I8191" t="s">
        <v>27257</v>
      </c>
      <c r="J8191" t="s">
        <v>27258</v>
      </c>
      <c r="K8191" s="2" t="str">
        <f>HYPERLINK("http://collections.slsa.sa.gov.au/mpcimg/14500/B14328.htm")</f>
        <v>http://collections.slsa.sa.gov.au/mpcimg/14500/B14328.htm</v>
      </c>
    </row>
    <row r="8192" spans="1:11" x14ac:dyDescent="0.25">
      <c r="A8192" t="s">
        <v>27261</v>
      </c>
      <c r="B8192" s="1" t="str">
        <f>HYPERLINK("https://www.catalog.slsa.sa.gov.au/record=b2055815")</f>
        <v>https://www.catalog.slsa.sa.gov.au/record=b2055815</v>
      </c>
      <c r="C8192" s="1" t="str">
        <f>HYPERLINK("https://www.catalog.slsa.sa.gov.au/xrecord=b2055815")</f>
        <v>https://www.catalog.slsa.sa.gov.au/xrecord=b2055815</v>
      </c>
      <c r="D8192" t="s">
        <v>16831</v>
      </c>
      <c r="E8192" t="s">
        <v>24001</v>
      </c>
      <c r="F8192">
        <v>1960</v>
      </c>
      <c r="G8192" t="s">
        <v>25786</v>
      </c>
      <c r="H8192" t="s">
        <v>27262</v>
      </c>
      <c r="I8192" t="s">
        <v>27257</v>
      </c>
      <c r="J8192" t="s">
        <v>27258</v>
      </c>
      <c r="K8192" s="2" t="str">
        <f>HYPERLINK("http://collections.slsa.sa.gov.au/mpcimg/14500/B14329.htm")</f>
        <v>http://collections.slsa.sa.gov.au/mpcimg/14500/B14329.htm</v>
      </c>
    </row>
    <row r="8193" spans="1:11" x14ac:dyDescent="0.25">
      <c r="A8193" t="s">
        <v>27263</v>
      </c>
      <c r="B8193" s="1" t="str">
        <f>HYPERLINK("https://www.catalog.slsa.sa.gov.au/record=b2055866")</f>
        <v>https://www.catalog.slsa.sa.gov.au/record=b2055866</v>
      </c>
      <c r="C8193" s="1" t="str">
        <f>HYPERLINK("https://www.catalog.slsa.sa.gov.au/xrecord=b2055866")</f>
        <v>https://www.catalog.slsa.sa.gov.au/xrecord=b2055866</v>
      </c>
      <c r="D8193" t="s">
        <v>16831</v>
      </c>
      <c r="E8193" t="s">
        <v>27264</v>
      </c>
      <c r="F8193">
        <v>1960</v>
      </c>
      <c r="G8193" t="s">
        <v>25786</v>
      </c>
      <c r="H8193" t="s">
        <v>27265</v>
      </c>
      <c r="J8193" t="s">
        <v>22745</v>
      </c>
      <c r="K8193" s="2" t="str">
        <f>HYPERLINK("http://collections.slsa.sa.gov.au/mpcimg/14500/B14352.htm")</f>
        <v>http://collections.slsa.sa.gov.au/mpcimg/14500/B14352.htm</v>
      </c>
    </row>
    <row r="8194" spans="1:11" x14ac:dyDescent="0.25">
      <c r="A8194" t="s">
        <v>27266</v>
      </c>
      <c r="B8194" s="1" t="str">
        <f>HYPERLINK("https://www.catalog.slsa.sa.gov.au/record=b2056375")</f>
        <v>https://www.catalog.slsa.sa.gov.au/record=b2056375</v>
      </c>
      <c r="C8194" s="1" t="str">
        <f>HYPERLINK("https://www.catalog.slsa.sa.gov.au/xrecord=b2056375")</f>
        <v>https://www.catalog.slsa.sa.gov.au/xrecord=b2056375</v>
      </c>
      <c r="D8194" t="s">
        <v>16831</v>
      </c>
      <c r="E8194" t="s">
        <v>22732</v>
      </c>
      <c r="F8194">
        <v>1960</v>
      </c>
      <c r="G8194" t="s">
        <v>25786</v>
      </c>
      <c r="H8194" t="s">
        <v>27267</v>
      </c>
      <c r="J8194" t="s">
        <v>17615</v>
      </c>
      <c r="K8194" s="2" t="str">
        <f>HYPERLINK("http://collections.slsa.sa.gov.au/mpcimg/14500/B14349.htm")</f>
        <v>http://collections.slsa.sa.gov.au/mpcimg/14500/B14349.htm</v>
      </c>
    </row>
    <row r="8195" spans="1:11" x14ac:dyDescent="0.25">
      <c r="A8195" t="s">
        <v>27268</v>
      </c>
      <c r="B8195" s="1" t="str">
        <f>HYPERLINK("https://www.catalog.slsa.sa.gov.au/record=b2056533")</f>
        <v>https://www.catalog.slsa.sa.gov.au/record=b2056533</v>
      </c>
      <c r="C8195" s="1" t="str">
        <f>HYPERLINK("https://www.catalog.slsa.sa.gov.au/xrecord=b2056533")</f>
        <v>https://www.catalog.slsa.sa.gov.au/xrecord=b2056533</v>
      </c>
      <c r="D8195" t="s">
        <v>16831</v>
      </c>
      <c r="E8195" t="s">
        <v>27269</v>
      </c>
      <c r="F8195">
        <v>1960</v>
      </c>
      <c r="G8195" t="s">
        <v>27270</v>
      </c>
      <c r="H8195" t="s">
        <v>27271</v>
      </c>
      <c r="J8195" t="s">
        <v>27272</v>
      </c>
      <c r="K8195" s="2" t="str">
        <f>HYPERLINK("http://collections.slsa.sa.gov.au/mpcimg/14500/B14350.htm")</f>
        <v>http://collections.slsa.sa.gov.au/mpcimg/14500/B14350.htm</v>
      </c>
    </row>
    <row r="8196" spans="1:11" x14ac:dyDescent="0.25">
      <c r="A8196" t="s">
        <v>27273</v>
      </c>
      <c r="B8196" s="1" t="str">
        <f>HYPERLINK("https://www.catalog.slsa.sa.gov.au/record=b2056731")</f>
        <v>https://www.catalog.slsa.sa.gov.au/record=b2056731</v>
      </c>
      <c r="C8196" s="1" t="str">
        <f>HYPERLINK("https://www.catalog.slsa.sa.gov.au/xrecord=b2056731")</f>
        <v>https://www.catalog.slsa.sa.gov.au/xrecord=b2056731</v>
      </c>
      <c r="D8196" t="s">
        <v>16831</v>
      </c>
      <c r="E8196" t="s">
        <v>27274</v>
      </c>
      <c r="F8196">
        <v>1960</v>
      </c>
      <c r="G8196" t="s">
        <v>25786</v>
      </c>
      <c r="H8196" t="s">
        <v>27275</v>
      </c>
      <c r="J8196" t="s">
        <v>27276</v>
      </c>
      <c r="K8196" s="2" t="str">
        <f>HYPERLINK("http://collections.slsa.sa.gov.au/mpcimg/14500/B14398.htm")</f>
        <v>http://collections.slsa.sa.gov.au/mpcimg/14500/B14398.htm</v>
      </c>
    </row>
    <row r="8197" spans="1:11" x14ac:dyDescent="0.25">
      <c r="A8197" t="s">
        <v>27277</v>
      </c>
      <c r="B8197" s="1" t="str">
        <f>HYPERLINK("https://www.catalog.slsa.sa.gov.au/record=b2057040")</f>
        <v>https://www.catalog.slsa.sa.gov.au/record=b2057040</v>
      </c>
      <c r="C8197" s="1" t="str">
        <f>HYPERLINK("https://www.catalog.slsa.sa.gov.au/xrecord=b2057040")</f>
        <v>https://www.catalog.slsa.sa.gov.au/xrecord=b2057040</v>
      </c>
      <c r="D8197" t="s">
        <v>16831</v>
      </c>
      <c r="E8197" t="s">
        <v>25308</v>
      </c>
      <c r="F8197">
        <v>1960</v>
      </c>
      <c r="G8197" t="s">
        <v>25786</v>
      </c>
      <c r="H8197" t="s">
        <v>27278</v>
      </c>
      <c r="J8197" t="s">
        <v>20935</v>
      </c>
      <c r="K8197" s="2" t="str">
        <f>HYPERLINK("http://collections.slsa.sa.gov.au/mpcimg/14500/B14404.htm")</f>
        <v>http://collections.slsa.sa.gov.au/mpcimg/14500/B14404.htm</v>
      </c>
    </row>
    <row r="8198" spans="1:11" x14ac:dyDescent="0.25">
      <c r="A8198" t="s">
        <v>27279</v>
      </c>
      <c r="B8198" s="1" t="str">
        <f>HYPERLINK("https://www.catalog.slsa.sa.gov.au/record=b2057127")</f>
        <v>https://www.catalog.slsa.sa.gov.au/record=b2057127</v>
      </c>
      <c r="C8198" s="1" t="str">
        <f>HYPERLINK("https://www.catalog.slsa.sa.gov.au/xrecord=b2057127")</f>
        <v>https://www.catalog.slsa.sa.gov.au/xrecord=b2057127</v>
      </c>
      <c r="D8198" t="s">
        <v>16831</v>
      </c>
      <c r="E8198" t="s">
        <v>17109</v>
      </c>
      <c r="F8198">
        <v>1960</v>
      </c>
      <c r="G8198" t="s">
        <v>25786</v>
      </c>
      <c r="H8198" t="s">
        <v>27280</v>
      </c>
      <c r="I8198" t="s">
        <v>27281</v>
      </c>
      <c r="J8198" t="s">
        <v>24038</v>
      </c>
      <c r="K8198" s="2" t="str">
        <f>HYPERLINK("http://collections.slsa.sa.gov.au/mpcimg/14500/B14335.htm")</f>
        <v>http://collections.slsa.sa.gov.au/mpcimg/14500/B14335.htm</v>
      </c>
    </row>
    <row r="8199" spans="1:11" x14ac:dyDescent="0.25">
      <c r="A8199" t="s">
        <v>27282</v>
      </c>
      <c r="B8199" s="1" t="str">
        <f>HYPERLINK("https://www.catalog.slsa.sa.gov.au/record=b2057128")</f>
        <v>https://www.catalog.slsa.sa.gov.au/record=b2057128</v>
      </c>
      <c r="C8199" s="1" t="str">
        <f>HYPERLINK("https://www.catalog.slsa.sa.gov.au/xrecord=b2057128")</f>
        <v>https://www.catalog.slsa.sa.gov.au/xrecord=b2057128</v>
      </c>
      <c r="D8199" t="s">
        <v>16831</v>
      </c>
      <c r="E8199" t="s">
        <v>17109</v>
      </c>
      <c r="F8199">
        <v>1960</v>
      </c>
      <c r="G8199" t="s">
        <v>25786</v>
      </c>
      <c r="H8199" t="s">
        <v>27283</v>
      </c>
      <c r="I8199" t="s">
        <v>27281</v>
      </c>
      <c r="J8199" t="s">
        <v>24038</v>
      </c>
      <c r="K8199" s="2" t="str">
        <f>HYPERLINK("http://collections.slsa.sa.gov.au/mpcimg/14500/B14342.htm")</f>
        <v>http://collections.slsa.sa.gov.au/mpcimg/14500/B14342.htm</v>
      </c>
    </row>
    <row r="8200" spans="1:11" x14ac:dyDescent="0.25">
      <c r="A8200" t="s">
        <v>27284</v>
      </c>
      <c r="B8200" s="1" t="str">
        <f>HYPERLINK("https://www.catalog.slsa.sa.gov.au/record=b2057186")</f>
        <v>https://www.catalog.slsa.sa.gov.au/record=b2057186</v>
      </c>
      <c r="C8200" s="1" t="str">
        <f>HYPERLINK("https://www.catalog.slsa.sa.gov.au/xrecord=b2057186")</f>
        <v>https://www.catalog.slsa.sa.gov.au/xrecord=b2057186</v>
      </c>
      <c r="D8200" t="s">
        <v>16831</v>
      </c>
      <c r="E8200" t="s">
        <v>16786</v>
      </c>
      <c r="F8200">
        <v>1960</v>
      </c>
      <c r="G8200" t="s">
        <v>16832</v>
      </c>
      <c r="H8200" t="s">
        <v>27285</v>
      </c>
      <c r="J8200" t="s">
        <v>22791</v>
      </c>
      <c r="K8200" s="2" t="str">
        <f>HYPERLINK("http://collections.slsa.sa.gov.au/mpcimg/15000/B14895.htm")</f>
        <v>http://collections.slsa.sa.gov.au/mpcimg/15000/B14895.htm</v>
      </c>
    </row>
    <row r="8201" spans="1:11" x14ac:dyDescent="0.25">
      <c r="A8201" t="s">
        <v>27286</v>
      </c>
      <c r="B8201" s="1" t="str">
        <f>HYPERLINK("https://www.catalog.slsa.sa.gov.au/record=b2057250")</f>
        <v>https://www.catalog.slsa.sa.gov.au/record=b2057250</v>
      </c>
      <c r="C8201" s="1" t="str">
        <f>HYPERLINK("https://www.catalog.slsa.sa.gov.au/xrecord=b2057250")</f>
        <v>https://www.catalog.slsa.sa.gov.au/xrecord=b2057250</v>
      </c>
      <c r="D8201" t="s">
        <v>16831</v>
      </c>
      <c r="E8201" t="s">
        <v>24086</v>
      </c>
      <c r="F8201">
        <v>1960</v>
      </c>
      <c r="G8201" t="s">
        <v>25786</v>
      </c>
      <c r="H8201" t="s">
        <v>27287</v>
      </c>
      <c r="J8201" t="s">
        <v>24044</v>
      </c>
      <c r="K8201" s="2" t="str">
        <f>HYPERLINK("http://collections.slsa.sa.gov.au/mpcimg/14500/B14338.htm")</f>
        <v>http://collections.slsa.sa.gov.au/mpcimg/14500/B14338.htm</v>
      </c>
    </row>
    <row r="8202" spans="1:11" x14ac:dyDescent="0.25">
      <c r="A8202" t="s">
        <v>27288</v>
      </c>
      <c r="B8202" s="1" t="str">
        <f>HYPERLINK("https://www.catalog.slsa.sa.gov.au/record=b2057585")</f>
        <v>https://www.catalog.slsa.sa.gov.au/record=b2057585</v>
      </c>
      <c r="C8202" s="1" t="str">
        <f>HYPERLINK("https://www.catalog.slsa.sa.gov.au/xrecord=b2057585")</f>
        <v>https://www.catalog.slsa.sa.gov.au/xrecord=b2057585</v>
      </c>
      <c r="D8202" t="s">
        <v>16831</v>
      </c>
      <c r="E8202" t="s">
        <v>27289</v>
      </c>
      <c r="F8202">
        <v>1960</v>
      </c>
      <c r="G8202" t="s">
        <v>25786</v>
      </c>
      <c r="H8202" t="s">
        <v>27290</v>
      </c>
      <c r="I8202" t="s">
        <v>27291</v>
      </c>
      <c r="J8202" t="s">
        <v>16794</v>
      </c>
      <c r="K8202" s="2" t="str">
        <f>HYPERLINK("http://collections.slsa.sa.gov.au/mpcimg/14500/B14309.htm")</f>
        <v>http://collections.slsa.sa.gov.au/mpcimg/14500/B14309.htm</v>
      </c>
    </row>
    <row r="8203" spans="1:11" x14ac:dyDescent="0.25">
      <c r="A8203" t="s">
        <v>27292</v>
      </c>
      <c r="B8203" s="1" t="str">
        <f>HYPERLINK("https://www.catalog.slsa.sa.gov.au/record=b2057884")</f>
        <v>https://www.catalog.slsa.sa.gov.au/record=b2057884</v>
      </c>
      <c r="C8203" s="1" t="str">
        <f>HYPERLINK("https://www.catalog.slsa.sa.gov.au/xrecord=b2057884")</f>
        <v>https://www.catalog.slsa.sa.gov.au/xrecord=b2057884</v>
      </c>
      <c r="D8203" t="s">
        <v>16831</v>
      </c>
      <c r="E8203" t="s">
        <v>24115</v>
      </c>
      <c r="F8203">
        <v>1960</v>
      </c>
      <c r="G8203" t="s">
        <v>25786</v>
      </c>
      <c r="H8203" t="s">
        <v>27293</v>
      </c>
      <c r="J8203" t="s">
        <v>15186</v>
      </c>
      <c r="K8203" s="2" t="str">
        <f>HYPERLINK("http://collections.slsa.sa.gov.au/mpcimg/14500/B14399.htm")</f>
        <v>http://collections.slsa.sa.gov.au/mpcimg/14500/B14399.htm</v>
      </c>
    </row>
    <row r="8204" spans="1:11" x14ac:dyDescent="0.25">
      <c r="A8204" t="s">
        <v>27294</v>
      </c>
      <c r="B8204" s="1" t="str">
        <f>HYPERLINK("https://www.catalog.slsa.sa.gov.au/record=b2058235")</f>
        <v>https://www.catalog.slsa.sa.gov.au/record=b2058235</v>
      </c>
      <c r="C8204" s="1" t="str">
        <f>HYPERLINK("https://www.catalog.slsa.sa.gov.au/xrecord=b2058235")</f>
        <v>https://www.catalog.slsa.sa.gov.au/xrecord=b2058235</v>
      </c>
      <c r="D8204" t="s">
        <v>16831</v>
      </c>
      <c r="E8204" t="s">
        <v>25338</v>
      </c>
      <c r="F8204">
        <v>1960</v>
      </c>
      <c r="G8204" t="s">
        <v>25786</v>
      </c>
      <c r="H8204" t="s">
        <v>27295</v>
      </c>
      <c r="J8204" t="s">
        <v>24123</v>
      </c>
      <c r="K8204" s="2" t="str">
        <f>HYPERLINK("http://collections.slsa.sa.gov.au/mpcimg/14500/B14298.htm")</f>
        <v>http://collections.slsa.sa.gov.au/mpcimg/14500/B14298.htm</v>
      </c>
    </row>
    <row r="8205" spans="1:11" x14ac:dyDescent="0.25">
      <c r="A8205" t="s">
        <v>27296</v>
      </c>
      <c r="B8205" s="1" t="str">
        <f>HYPERLINK("https://www.catalog.slsa.sa.gov.au/record=b2058280")</f>
        <v>https://www.catalog.slsa.sa.gov.au/record=b2058280</v>
      </c>
      <c r="C8205" s="1" t="str">
        <f>HYPERLINK("https://www.catalog.slsa.sa.gov.au/xrecord=b2058280")</f>
        <v>https://www.catalog.slsa.sa.gov.au/xrecord=b2058280</v>
      </c>
      <c r="D8205" t="s">
        <v>16831</v>
      </c>
      <c r="E8205" t="s">
        <v>25338</v>
      </c>
      <c r="F8205">
        <v>1960</v>
      </c>
      <c r="G8205" t="s">
        <v>25786</v>
      </c>
      <c r="H8205" t="s">
        <v>27297</v>
      </c>
      <c r="J8205" t="s">
        <v>24132</v>
      </c>
      <c r="K8205" s="2" t="str">
        <f>HYPERLINK("http://collections.slsa.sa.gov.au/mpcimg/14500/B14291.htm")</f>
        <v>http://collections.slsa.sa.gov.au/mpcimg/14500/B14291.htm</v>
      </c>
    </row>
    <row r="8206" spans="1:11" x14ac:dyDescent="0.25">
      <c r="A8206" t="s">
        <v>27298</v>
      </c>
      <c r="B8206" s="1" t="str">
        <f>HYPERLINK("https://www.catalog.slsa.sa.gov.au/record=b2058301")</f>
        <v>https://www.catalog.slsa.sa.gov.au/record=b2058301</v>
      </c>
      <c r="C8206" s="1" t="str">
        <f>HYPERLINK("https://www.catalog.slsa.sa.gov.au/xrecord=b2058301")</f>
        <v>https://www.catalog.slsa.sa.gov.au/xrecord=b2058301</v>
      </c>
      <c r="D8206" t="s">
        <v>16831</v>
      </c>
      <c r="E8206" t="s">
        <v>25338</v>
      </c>
      <c r="F8206">
        <v>1960</v>
      </c>
      <c r="G8206" t="s">
        <v>25786</v>
      </c>
      <c r="H8206" t="s">
        <v>27299</v>
      </c>
      <c r="J8206" t="s">
        <v>20972</v>
      </c>
      <c r="K8206" s="2" t="str">
        <f>HYPERLINK("http://collections.slsa.sa.gov.au/mpcimg/14500/B14299.htm")</f>
        <v>http://collections.slsa.sa.gov.au/mpcimg/14500/B14299.htm</v>
      </c>
    </row>
    <row r="8207" spans="1:11" x14ac:dyDescent="0.25">
      <c r="A8207" t="s">
        <v>27300</v>
      </c>
      <c r="B8207" s="1" t="str">
        <f>HYPERLINK("https://www.catalog.slsa.sa.gov.au/record=b2058314")</f>
        <v>https://www.catalog.slsa.sa.gov.au/record=b2058314</v>
      </c>
      <c r="C8207" s="1" t="str">
        <f>HYPERLINK("https://www.catalog.slsa.sa.gov.au/xrecord=b2058314")</f>
        <v>https://www.catalog.slsa.sa.gov.au/xrecord=b2058314</v>
      </c>
      <c r="D8207" t="s">
        <v>16831</v>
      </c>
      <c r="E8207" t="s">
        <v>25338</v>
      </c>
      <c r="F8207">
        <v>1960</v>
      </c>
      <c r="G8207" t="s">
        <v>25786</v>
      </c>
      <c r="H8207" t="s">
        <v>27301</v>
      </c>
      <c r="I8207" t="s">
        <v>24177</v>
      </c>
      <c r="J8207" t="s">
        <v>20976</v>
      </c>
      <c r="K8207" s="2" t="str">
        <f>HYPERLINK("http://collections.slsa.sa.gov.au/mpcimg/14500/B14340.htm")</f>
        <v>http://collections.slsa.sa.gov.au/mpcimg/14500/B14340.htm</v>
      </c>
    </row>
    <row r="8208" spans="1:11" x14ac:dyDescent="0.25">
      <c r="A8208" t="s">
        <v>27302</v>
      </c>
      <c r="B8208" s="1" t="str">
        <f>HYPERLINK("https://www.catalog.slsa.sa.gov.au/record=b2058315")</f>
        <v>https://www.catalog.slsa.sa.gov.au/record=b2058315</v>
      </c>
      <c r="C8208" s="1" t="str">
        <f>HYPERLINK("https://www.catalog.slsa.sa.gov.au/xrecord=b2058315")</f>
        <v>https://www.catalog.slsa.sa.gov.au/xrecord=b2058315</v>
      </c>
      <c r="D8208" t="s">
        <v>16831</v>
      </c>
      <c r="E8208" t="s">
        <v>25338</v>
      </c>
      <c r="F8208">
        <v>1960</v>
      </c>
      <c r="G8208" t="s">
        <v>25786</v>
      </c>
      <c r="H8208" t="s">
        <v>27303</v>
      </c>
      <c r="I8208" t="s">
        <v>24177</v>
      </c>
      <c r="J8208" t="s">
        <v>20976</v>
      </c>
      <c r="K8208" s="2" t="str">
        <f>HYPERLINK("http://collections.slsa.sa.gov.au/mpcimg/14500/B14341.htm")</f>
        <v>http://collections.slsa.sa.gov.au/mpcimg/14500/B14341.htm</v>
      </c>
    </row>
    <row r="8209" spans="1:11" x14ac:dyDescent="0.25">
      <c r="A8209" t="s">
        <v>27304</v>
      </c>
      <c r="B8209" s="1" t="str">
        <f>HYPERLINK("https://www.catalog.slsa.sa.gov.au/record=b2058327")</f>
        <v>https://www.catalog.slsa.sa.gov.au/record=b2058327</v>
      </c>
      <c r="C8209" s="1" t="str">
        <f>HYPERLINK("https://www.catalog.slsa.sa.gov.au/xrecord=b2058327")</f>
        <v>https://www.catalog.slsa.sa.gov.au/xrecord=b2058327</v>
      </c>
      <c r="D8209" t="s">
        <v>16831</v>
      </c>
      <c r="E8209" t="s">
        <v>24058</v>
      </c>
      <c r="F8209">
        <v>1960</v>
      </c>
      <c r="G8209" t="s">
        <v>25786</v>
      </c>
      <c r="H8209" t="s">
        <v>27305</v>
      </c>
      <c r="I8209" t="s">
        <v>27306</v>
      </c>
      <c r="J8209" t="s">
        <v>22818</v>
      </c>
      <c r="K8209" s="2" t="str">
        <f>HYPERLINK("http://collections.slsa.sa.gov.au/mpcimg/14500/B14394.htm")</f>
        <v>http://collections.slsa.sa.gov.au/mpcimg/14500/B14394.htm</v>
      </c>
    </row>
    <row r="8210" spans="1:11" x14ac:dyDescent="0.25">
      <c r="A8210" t="s">
        <v>27307</v>
      </c>
      <c r="B8210" s="1" t="str">
        <f>HYPERLINK("https://www.catalog.slsa.sa.gov.au/record=b2058328")</f>
        <v>https://www.catalog.slsa.sa.gov.au/record=b2058328</v>
      </c>
      <c r="C8210" s="1" t="str">
        <f>HYPERLINK("https://www.catalog.slsa.sa.gov.au/xrecord=b2058328")</f>
        <v>https://www.catalog.slsa.sa.gov.au/xrecord=b2058328</v>
      </c>
      <c r="D8210" t="s">
        <v>16831</v>
      </c>
      <c r="E8210" t="s">
        <v>24058</v>
      </c>
      <c r="F8210">
        <v>1960</v>
      </c>
      <c r="G8210" t="s">
        <v>25786</v>
      </c>
      <c r="H8210" t="s">
        <v>27308</v>
      </c>
      <c r="I8210" t="s">
        <v>27306</v>
      </c>
      <c r="J8210" t="s">
        <v>22818</v>
      </c>
      <c r="K8210" s="2" t="str">
        <f>HYPERLINK("http://collections.slsa.sa.gov.au/mpcimg/14500/B14395.htm")</f>
        <v>http://collections.slsa.sa.gov.au/mpcimg/14500/B14395.htm</v>
      </c>
    </row>
    <row r="8211" spans="1:11" x14ac:dyDescent="0.25">
      <c r="A8211" t="s">
        <v>27309</v>
      </c>
      <c r="B8211" s="1" t="str">
        <f>HYPERLINK("https://www.catalog.slsa.sa.gov.au/record=b2058329")</f>
        <v>https://www.catalog.slsa.sa.gov.au/record=b2058329</v>
      </c>
      <c r="C8211" s="1" t="str">
        <f>HYPERLINK("https://www.catalog.slsa.sa.gov.au/xrecord=b2058329")</f>
        <v>https://www.catalog.slsa.sa.gov.au/xrecord=b2058329</v>
      </c>
      <c r="D8211" t="s">
        <v>16831</v>
      </c>
      <c r="E8211" t="s">
        <v>20970</v>
      </c>
      <c r="F8211">
        <v>1960</v>
      </c>
      <c r="G8211" t="s">
        <v>27310</v>
      </c>
      <c r="H8211" t="s">
        <v>27311</v>
      </c>
      <c r="J8211" t="s">
        <v>22818</v>
      </c>
      <c r="K8211" s="2" t="str">
        <f>HYPERLINK("http://collections.slsa.sa.gov.au/mpcimg/14500/B14466.htm")</f>
        <v>http://collections.slsa.sa.gov.au/mpcimg/14500/B14466.htm</v>
      </c>
    </row>
    <row r="8212" spans="1:11" x14ac:dyDescent="0.25">
      <c r="A8212" t="s">
        <v>27312</v>
      </c>
      <c r="B8212" s="1" t="str">
        <f>HYPERLINK("https://www.catalog.slsa.sa.gov.au/record=b2058808")</f>
        <v>https://www.catalog.slsa.sa.gov.au/record=b2058808</v>
      </c>
      <c r="C8212" s="1" t="str">
        <f>HYPERLINK("https://www.catalog.slsa.sa.gov.au/xrecord=b2058808")</f>
        <v>https://www.catalog.slsa.sa.gov.au/xrecord=b2058808</v>
      </c>
      <c r="D8212" t="s">
        <v>16831</v>
      </c>
      <c r="E8212" t="s">
        <v>24115</v>
      </c>
      <c r="F8212">
        <v>1960</v>
      </c>
      <c r="G8212" t="s">
        <v>25786</v>
      </c>
      <c r="H8212" t="s">
        <v>27313</v>
      </c>
      <c r="I8212" t="s">
        <v>24471</v>
      </c>
      <c r="J8212" t="s">
        <v>24163</v>
      </c>
      <c r="K8212" s="2" t="str">
        <f>HYPERLINK("http://collections.slsa.sa.gov.au/mpcimg/14500/B14346.htm")</f>
        <v>http://collections.slsa.sa.gov.au/mpcimg/14500/B14346.htm</v>
      </c>
    </row>
    <row r="8213" spans="1:11" x14ac:dyDescent="0.25">
      <c r="A8213" t="s">
        <v>27314</v>
      </c>
      <c r="B8213" s="1" t="str">
        <f>HYPERLINK("https://www.catalog.slsa.sa.gov.au/record=b2058905")</f>
        <v>https://www.catalog.slsa.sa.gov.au/record=b2058905</v>
      </c>
      <c r="C8213" s="1" t="str">
        <f>HYPERLINK("https://www.catalog.slsa.sa.gov.au/xrecord=b2058905")</f>
        <v>https://www.catalog.slsa.sa.gov.au/xrecord=b2058905</v>
      </c>
      <c r="D8213" t="s">
        <v>16831</v>
      </c>
      <c r="E8213" t="s">
        <v>24175</v>
      </c>
      <c r="F8213">
        <v>1960</v>
      </c>
      <c r="G8213" t="s">
        <v>25786</v>
      </c>
      <c r="H8213" t="s">
        <v>27315</v>
      </c>
      <c r="J8213" t="s">
        <v>27316</v>
      </c>
      <c r="K8213" s="2" t="str">
        <f>HYPERLINK("http://collections.slsa.sa.gov.au/mpcimg/14500/B14409.htm")</f>
        <v>http://collections.slsa.sa.gov.au/mpcimg/14500/B14409.htm</v>
      </c>
    </row>
    <row r="8214" spans="1:11" x14ac:dyDescent="0.25">
      <c r="A8214" t="s">
        <v>27317</v>
      </c>
      <c r="B8214" s="1" t="str">
        <f>HYPERLINK("https://www.catalog.slsa.sa.gov.au/record=b2058906")</f>
        <v>https://www.catalog.slsa.sa.gov.au/record=b2058906</v>
      </c>
      <c r="C8214" s="1" t="str">
        <f>HYPERLINK("https://www.catalog.slsa.sa.gov.au/xrecord=b2058906")</f>
        <v>https://www.catalog.slsa.sa.gov.au/xrecord=b2058906</v>
      </c>
      <c r="D8214" t="s">
        <v>16831</v>
      </c>
      <c r="E8214" t="s">
        <v>24175</v>
      </c>
      <c r="F8214">
        <v>1960</v>
      </c>
      <c r="G8214" t="s">
        <v>25786</v>
      </c>
      <c r="H8214" t="s">
        <v>27318</v>
      </c>
      <c r="J8214" t="s">
        <v>27316</v>
      </c>
      <c r="K8214" s="2" t="str">
        <f>HYPERLINK("http://collections.slsa.sa.gov.au/mpcimg/14500/B14410.htm")</f>
        <v>http://collections.slsa.sa.gov.au/mpcimg/14500/B14410.htm</v>
      </c>
    </row>
    <row r="8215" spans="1:11" x14ac:dyDescent="0.25">
      <c r="A8215" t="s">
        <v>27319</v>
      </c>
      <c r="B8215" s="1" t="str">
        <f>HYPERLINK("https://www.catalog.slsa.sa.gov.au/record=b2059364")</f>
        <v>https://www.catalog.slsa.sa.gov.au/record=b2059364</v>
      </c>
      <c r="C8215" s="1" t="str">
        <f>HYPERLINK("https://www.catalog.slsa.sa.gov.au/xrecord=b2059364")</f>
        <v>https://www.catalog.slsa.sa.gov.au/xrecord=b2059364</v>
      </c>
      <c r="D8215" t="s">
        <v>16831</v>
      </c>
      <c r="E8215" t="s">
        <v>24203</v>
      </c>
      <c r="F8215">
        <v>1960</v>
      </c>
      <c r="G8215" t="s">
        <v>25786</v>
      </c>
      <c r="H8215" t="s">
        <v>27320</v>
      </c>
      <c r="J8215" t="s">
        <v>27321</v>
      </c>
      <c r="K8215" s="2" t="str">
        <f>HYPERLINK("http://collections.slsa.sa.gov.au/mpcimg/14500/B14363.htm")</f>
        <v>http://collections.slsa.sa.gov.au/mpcimg/14500/B14363.htm</v>
      </c>
    </row>
    <row r="8216" spans="1:11" x14ac:dyDescent="0.25">
      <c r="A8216" t="s">
        <v>27322</v>
      </c>
      <c r="B8216" s="1" t="str">
        <f>HYPERLINK("https://www.catalog.slsa.sa.gov.au/record=b2059451")</f>
        <v>https://www.catalog.slsa.sa.gov.au/record=b2059451</v>
      </c>
      <c r="C8216" s="1" t="str">
        <f>HYPERLINK("https://www.catalog.slsa.sa.gov.au/xrecord=b2059451")</f>
        <v>https://www.catalog.slsa.sa.gov.au/xrecord=b2059451</v>
      </c>
      <c r="D8216" t="s">
        <v>16831</v>
      </c>
      <c r="E8216" t="s">
        <v>20096</v>
      </c>
      <c r="F8216">
        <v>1960</v>
      </c>
      <c r="G8216" t="s">
        <v>27310</v>
      </c>
      <c r="H8216" t="s">
        <v>27323</v>
      </c>
      <c r="J8216" t="s">
        <v>24187</v>
      </c>
      <c r="K8216" s="2" t="str">
        <f>HYPERLINK("http://collections.slsa.sa.gov.au/mpcimg/14500/B14464.htm")</f>
        <v>http://collections.slsa.sa.gov.au/mpcimg/14500/B14464.htm</v>
      </c>
    </row>
    <row r="8217" spans="1:11" x14ac:dyDescent="0.25">
      <c r="A8217" t="s">
        <v>27324</v>
      </c>
      <c r="B8217" s="1" t="str">
        <f>HYPERLINK("https://www.catalog.slsa.sa.gov.au/record=b2059490")</f>
        <v>https://www.catalog.slsa.sa.gov.au/record=b2059490</v>
      </c>
      <c r="C8217" s="1" t="str">
        <f>HYPERLINK("https://www.catalog.slsa.sa.gov.au/xrecord=b2059490")</f>
        <v>https://www.catalog.slsa.sa.gov.au/xrecord=b2059490</v>
      </c>
      <c r="D8217" t="s">
        <v>16831</v>
      </c>
      <c r="E8217" t="s">
        <v>24203</v>
      </c>
      <c r="F8217">
        <v>1960</v>
      </c>
      <c r="G8217" t="s">
        <v>25786</v>
      </c>
      <c r="H8217" t="s">
        <v>27325</v>
      </c>
      <c r="I8217" t="s">
        <v>24177</v>
      </c>
      <c r="J8217" t="s">
        <v>22844</v>
      </c>
      <c r="K8217" s="2" t="str">
        <f>HYPERLINK("http://collections.slsa.sa.gov.au/mpcimg/14500/B14285.htm")</f>
        <v>http://collections.slsa.sa.gov.au/mpcimg/14500/B14285.htm</v>
      </c>
    </row>
    <row r="8218" spans="1:11" x14ac:dyDescent="0.25">
      <c r="A8218" t="s">
        <v>27326</v>
      </c>
      <c r="B8218" s="1" t="str">
        <f>HYPERLINK("https://www.catalog.slsa.sa.gov.au/record=b2059491")</f>
        <v>https://www.catalog.slsa.sa.gov.au/record=b2059491</v>
      </c>
      <c r="C8218" s="1" t="str">
        <f>HYPERLINK("https://www.catalog.slsa.sa.gov.au/xrecord=b2059491")</f>
        <v>https://www.catalog.slsa.sa.gov.au/xrecord=b2059491</v>
      </c>
      <c r="D8218" t="s">
        <v>16831</v>
      </c>
      <c r="E8218" t="s">
        <v>24203</v>
      </c>
      <c r="F8218">
        <v>1960</v>
      </c>
      <c r="G8218" t="s">
        <v>25786</v>
      </c>
      <c r="H8218" t="s">
        <v>27327</v>
      </c>
      <c r="J8218" t="s">
        <v>22844</v>
      </c>
      <c r="K8218" s="2" t="str">
        <f>HYPERLINK("http://collections.slsa.sa.gov.au/mpcimg/14500/B14368.htm")</f>
        <v>http://collections.slsa.sa.gov.au/mpcimg/14500/B14368.htm</v>
      </c>
    </row>
    <row r="8219" spans="1:11" x14ac:dyDescent="0.25">
      <c r="A8219" t="s">
        <v>27328</v>
      </c>
      <c r="B8219" s="1" t="str">
        <f>HYPERLINK("https://www.catalog.slsa.sa.gov.au/record=b2059561")</f>
        <v>https://www.catalog.slsa.sa.gov.au/record=b2059561</v>
      </c>
      <c r="C8219" s="1" t="str">
        <f>HYPERLINK("https://www.catalog.slsa.sa.gov.au/xrecord=b2059561")</f>
        <v>https://www.catalog.slsa.sa.gov.au/xrecord=b2059561</v>
      </c>
      <c r="D8219" t="s">
        <v>16831</v>
      </c>
      <c r="E8219" t="s">
        <v>24203</v>
      </c>
      <c r="F8219">
        <v>1960</v>
      </c>
      <c r="G8219" t="s">
        <v>25786</v>
      </c>
      <c r="H8219" t="s">
        <v>27329</v>
      </c>
      <c r="I8219" t="s">
        <v>27330</v>
      </c>
      <c r="J8219" t="s">
        <v>25382</v>
      </c>
      <c r="K8219" s="2" t="str">
        <f>HYPERLINK("http://collections.slsa.sa.gov.au/mpcimg/14500/B14336.htm")</f>
        <v>http://collections.slsa.sa.gov.au/mpcimg/14500/B14336.htm</v>
      </c>
    </row>
    <row r="8220" spans="1:11" x14ac:dyDescent="0.25">
      <c r="A8220" t="s">
        <v>27331</v>
      </c>
      <c r="B8220" s="1" t="str">
        <f>HYPERLINK("https://www.catalog.slsa.sa.gov.au/record=b2059562")</f>
        <v>https://www.catalog.slsa.sa.gov.au/record=b2059562</v>
      </c>
      <c r="C8220" s="1" t="str">
        <f>HYPERLINK("https://www.catalog.slsa.sa.gov.au/xrecord=b2059562")</f>
        <v>https://www.catalog.slsa.sa.gov.au/xrecord=b2059562</v>
      </c>
      <c r="D8220" t="s">
        <v>16831</v>
      </c>
      <c r="E8220" t="s">
        <v>24203</v>
      </c>
      <c r="F8220">
        <v>1960</v>
      </c>
      <c r="G8220" t="s">
        <v>25786</v>
      </c>
      <c r="H8220" t="s">
        <v>27332</v>
      </c>
      <c r="I8220" t="s">
        <v>27330</v>
      </c>
      <c r="J8220" t="s">
        <v>25382</v>
      </c>
      <c r="K8220" s="2" t="str">
        <f>HYPERLINK("http://collections.slsa.sa.gov.au/mpcimg/14500/B14337.htm")</f>
        <v>http://collections.slsa.sa.gov.au/mpcimg/14500/B14337.htm</v>
      </c>
    </row>
    <row r="8221" spans="1:11" x14ac:dyDescent="0.25">
      <c r="A8221" t="s">
        <v>27333</v>
      </c>
      <c r="B8221" s="1" t="str">
        <f>HYPERLINK("https://www.catalog.slsa.sa.gov.au/record=b2059598")</f>
        <v>https://www.catalog.slsa.sa.gov.au/record=b2059598</v>
      </c>
      <c r="C8221" s="1" t="str">
        <f>HYPERLINK("https://www.catalog.slsa.sa.gov.au/xrecord=b2059598")</f>
        <v>https://www.catalog.slsa.sa.gov.au/xrecord=b2059598</v>
      </c>
      <c r="D8221" t="s">
        <v>16831</v>
      </c>
      <c r="E8221" t="s">
        <v>27334</v>
      </c>
      <c r="F8221">
        <v>1960</v>
      </c>
      <c r="G8221" t="s">
        <v>25786</v>
      </c>
      <c r="H8221" t="s">
        <v>27335</v>
      </c>
      <c r="I8221" t="s">
        <v>27306</v>
      </c>
      <c r="J8221" t="s">
        <v>27336</v>
      </c>
      <c r="K8221" s="2" t="str">
        <f>HYPERLINK("http://collections.slsa.sa.gov.au/mpcimg/14500/B14396.htm")</f>
        <v>http://collections.slsa.sa.gov.au/mpcimg/14500/B14396.htm</v>
      </c>
    </row>
    <row r="8222" spans="1:11" x14ac:dyDescent="0.25">
      <c r="A8222" t="s">
        <v>27337</v>
      </c>
      <c r="B8222" s="1" t="str">
        <f>HYPERLINK("https://www.catalog.slsa.sa.gov.au/record=b2059608")</f>
        <v>https://www.catalog.slsa.sa.gov.au/record=b2059608</v>
      </c>
      <c r="C8222" s="1" t="str">
        <f>HYPERLINK("https://www.catalog.slsa.sa.gov.au/xrecord=b2059608")</f>
        <v>https://www.catalog.slsa.sa.gov.au/xrecord=b2059608</v>
      </c>
      <c r="D8222" t="s">
        <v>16831</v>
      </c>
      <c r="E8222" t="s">
        <v>27338</v>
      </c>
      <c r="F8222">
        <v>1960</v>
      </c>
      <c r="G8222" t="s">
        <v>14809</v>
      </c>
      <c r="H8222" t="s">
        <v>27339</v>
      </c>
      <c r="J8222" t="s">
        <v>27340</v>
      </c>
      <c r="K8222" s="2" t="str">
        <f>HYPERLINK("http://collections.slsa.sa.gov.au/mpcimg/14500/B14302.htm")</f>
        <v>http://collections.slsa.sa.gov.au/mpcimg/14500/B14302.htm</v>
      </c>
    </row>
    <row r="8223" spans="1:11" x14ac:dyDescent="0.25">
      <c r="A8223" t="s">
        <v>27341</v>
      </c>
      <c r="B8223" s="1" t="str">
        <f>HYPERLINK("https://www.catalog.slsa.sa.gov.au/record=b2059660")</f>
        <v>https://www.catalog.slsa.sa.gov.au/record=b2059660</v>
      </c>
      <c r="C8223" s="1" t="str">
        <f>HYPERLINK("https://www.catalog.slsa.sa.gov.au/xrecord=b2059660")</f>
        <v>https://www.catalog.slsa.sa.gov.au/xrecord=b2059660</v>
      </c>
      <c r="D8223" t="s">
        <v>16831</v>
      </c>
      <c r="E8223" t="s">
        <v>24203</v>
      </c>
      <c r="F8223">
        <v>1960</v>
      </c>
      <c r="G8223" t="s">
        <v>25786</v>
      </c>
      <c r="H8223" t="s">
        <v>27342</v>
      </c>
      <c r="J8223" t="s">
        <v>20098</v>
      </c>
      <c r="K8223" s="2" t="str">
        <f>HYPERLINK("http://collections.slsa.sa.gov.au/mpcimg/14500/B14367.htm")</f>
        <v>http://collections.slsa.sa.gov.au/mpcimg/14500/B14367.htm</v>
      </c>
    </row>
    <row r="8224" spans="1:11" x14ac:dyDescent="0.25">
      <c r="A8224" t="s">
        <v>27343</v>
      </c>
      <c r="B8224" s="1" t="str">
        <f>HYPERLINK("https://www.catalog.slsa.sa.gov.au/record=b2059738")</f>
        <v>https://www.catalog.slsa.sa.gov.au/record=b2059738</v>
      </c>
      <c r="C8224" s="1" t="str">
        <f>HYPERLINK("https://www.catalog.slsa.sa.gov.au/xrecord=b2059738")</f>
        <v>https://www.catalog.slsa.sa.gov.au/xrecord=b2059738</v>
      </c>
      <c r="D8224" t="s">
        <v>16831</v>
      </c>
      <c r="E8224" t="s">
        <v>20912</v>
      </c>
      <c r="F8224">
        <v>1960</v>
      </c>
      <c r="G8224" t="s">
        <v>25786</v>
      </c>
      <c r="H8224" t="s">
        <v>27344</v>
      </c>
      <c r="J8224" t="s">
        <v>21029</v>
      </c>
      <c r="K8224" s="2" t="str">
        <f>HYPERLINK("http://collections.slsa.sa.gov.au/mpcimg/14500/B14345.htm")</f>
        <v>http://collections.slsa.sa.gov.au/mpcimg/14500/B14345.htm</v>
      </c>
    </row>
    <row r="8225" spans="1:11" x14ac:dyDescent="0.25">
      <c r="A8225" t="s">
        <v>27345</v>
      </c>
      <c r="B8225" s="1" t="str">
        <f>HYPERLINK("https://www.catalog.slsa.sa.gov.au/record=b2059887")</f>
        <v>https://www.catalog.slsa.sa.gov.au/record=b2059887</v>
      </c>
      <c r="C8225" s="1" t="str">
        <f>HYPERLINK("https://www.catalog.slsa.sa.gov.au/xrecord=b2059887")</f>
        <v>https://www.catalog.slsa.sa.gov.au/xrecord=b2059887</v>
      </c>
      <c r="D8225" t="s">
        <v>16831</v>
      </c>
      <c r="E8225" t="s">
        <v>24265</v>
      </c>
      <c r="F8225">
        <v>1960</v>
      </c>
      <c r="G8225" t="s">
        <v>25786</v>
      </c>
      <c r="H8225" t="s">
        <v>27346</v>
      </c>
      <c r="I8225" t="s">
        <v>24177</v>
      </c>
      <c r="J8225" t="s">
        <v>21044</v>
      </c>
      <c r="K8225" s="2" t="str">
        <f>HYPERLINK("http://collections.slsa.sa.gov.au/mpcimg/14500/B14316.htm")</f>
        <v>http://collections.slsa.sa.gov.au/mpcimg/14500/B14316.htm</v>
      </c>
    </row>
    <row r="8226" spans="1:11" x14ac:dyDescent="0.25">
      <c r="A8226" t="s">
        <v>27347</v>
      </c>
      <c r="B8226" s="1" t="str">
        <f>HYPERLINK("https://www.catalog.slsa.sa.gov.au/record=b2059888")</f>
        <v>https://www.catalog.slsa.sa.gov.au/record=b2059888</v>
      </c>
      <c r="C8226" s="1" t="str">
        <f>HYPERLINK("https://www.catalog.slsa.sa.gov.au/xrecord=b2059888")</f>
        <v>https://www.catalog.slsa.sa.gov.au/xrecord=b2059888</v>
      </c>
      <c r="D8226" t="s">
        <v>16831</v>
      </c>
      <c r="E8226" t="s">
        <v>24168</v>
      </c>
      <c r="F8226">
        <v>1960</v>
      </c>
      <c r="G8226" t="s">
        <v>25786</v>
      </c>
      <c r="H8226" t="s">
        <v>27348</v>
      </c>
      <c r="I8226" t="s">
        <v>24177</v>
      </c>
      <c r="J8226" t="s">
        <v>21044</v>
      </c>
      <c r="K8226" s="2" t="str">
        <f>HYPERLINK("http://collections.slsa.sa.gov.au/mpcimg/14500/B14364.htm")</f>
        <v>http://collections.slsa.sa.gov.au/mpcimg/14500/B14364.htm</v>
      </c>
    </row>
    <row r="8227" spans="1:11" x14ac:dyDescent="0.25">
      <c r="A8227" t="s">
        <v>27349</v>
      </c>
      <c r="B8227" s="1" t="str">
        <f>HYPERLINK("https://www.catalog.slsa.sa.gov.au/record=b2059902")</f>
        <v>https://www.catalog.slsa.sa.gov.au/record=b2059902</v>
      </c>
      <c r="C8227" s="1" t="str">
        <f>HYPERLINK("https://www.catalog.slsa.sa.gov.au/xrecord=b2059902")</f>
        <v>https://www.catalog.slsa.sa.gov.au/xrecord=b2059902</v>
      </c>
      <c r="D8227" t="s">
        <v>16831</v>
      </c>
      <c r="E8227" t="s">
        <v>24175</v>
      </c>
      <c r="F8227">
        <v>1960</v>
      </c>
      <c r="G8227" t="s">
        <v>25786</v>
      </c>
      <c r="H8227" t="s">
        <v>27350</v>
      </c>
      <c r="I8227" t="s">
        <v>24177</v>
      </c>
      <c r="J8227" t="s">
        <v>24272</v>
      </c>
      <c r="K8227" s="2" t="str">
        <f>HYPERLINK("http://collections.slsa.sa.gov.au/mpcimg/14500/B14354.htm")</f>
        <v>http://collections.slsa.sa.gov.au/mpcimg/14500/B14354.htm</v>
      </c>
    </row>
    <row r="8228" spans="1:11" x14ac:dyDescent="0.25">
      <c r="A8228" t="s">
        <v>27351</v>
      </c>
      <c r="B8228" s="1" t="str">
        <f>HYPERLINK("https://www.catalog.slsa.sa.gov.au/record=b2059965")</f>
        <v>https://www.catalog.slsa.sa.gov.au/record=b2059965</v>
      </c>
      <c r="C8228" s="1" t="str">
        <f>HYPERLINK("https://www.catalog.slsa.sa.gov.au/xrecord=b2059965")</f>
        <v>https://www.catalog.slsa.sa.gov.au/xrecord=b2059965</v>
      </c>
      <c r="D8228" t="s">
        <v>16831</v>
      </c>
      <c r="E8228" t="s">
        <v>24316</v>
      </c>
      <c r="F8228">
        <v>1960</v>
      </c>
      <c r="G8228" t="s">
        <v>25786</v>
      </c>
      <c r="H8228" t="s">
        <v>27352</v>
      </c>
      <c r="I8228" t="s">
        <v>24177</v>
      </c>
      <c r="J8228" t="s">
        <v>21055</v>
      </c>
      <c r="K8228" s="2" t="str">
        <f>HYPERLINK("http://collections.slsa.sa.gov.au/mpcimg/14500/B14330.htm")</f>
        <v>http://collections.slsa.sa.gov.au/mpcimg/14500/B14330.htm</v>
      </c>
    </row>
    <row r="8229" spans="1:11" x14ac:dyDescent="0.25">
      <c r="A8229" t="s">
        <v>27353</v>
      </c>
      <c r="B8229" s="1" t="str">
        <f>HYPERLINK("https://www.catalog.slsa.sa.gov.au/record=b2060019")</f>
        <v>https://www.catalog.slsa.sa.gov.au/record=b2060019</v>
      </c>
      <c r="C8229" s="1" t="str">
        <f>HYPERLINK("https://www.catalog.slsa.sa.gov.au/xrecord=b2060019")</f>
        <v>https://www.catalog.slsa.sa.gov.au/xrecord=b2060019</v>
      </c>
      <c r="D8229" t="s">
        <v>16831</v>
      </c>
      <c r="E8229" t="s">
        <v>24316</v>
      </c>
      <c r="F8229">
        <v>1960</v>
      </c>
      <c r="G8229" t="s">
        <v>25786</v>
      </c>
      <c r="H8229" t="s">
        <v>27354</v>
      </c>
      <c r="J8229" t="s">
        <v>25942</v>
      </c>
      <c r="K8229" s="2" t="str">
        <f>HYPERLINK("http://collections.slsa.sa.gov.au/mpcimg/14500/B14314.htm")</f>
        <v>http://collections.slsa.sa.gov.au/mpcimg/14500/B14314.htm</v>
      </c>
    </row>
    <row r="8230" spans="1:11" x14ac:dyDescent="0.25">
      <c r="A8230" t="s">
        <v>27355</v>
      </c>
      <c r="B8230" s="1" t="str">
        <f>HYPERLINK("https://www.catalog.slsa.sa.gov.au/record=b2060122")</f>
        <v>https://www.catalog.slsa.sa.gov.au/record=b2060122</v>
      </c>
      <c r="C8230" s="1" t="str">
        <f>HYPERLINK("https://www.catalog.slsa.sa.gov.au/xrecord=b2060122")</f>
        <v>https://www.catalog.slsa.sa.gov.au/xrecord=b2060122</v>
      </c>
      <c r="D8230" t="s">
        <v>16831</v>
      </c>
      <c r="E8230" t="s">
        <v>27356</v>
      </c>
      <c r="F8230">
        <v>1960</v>
      </c>
      <c r="G8230" t="s">
        <v>25786</v>
      </c>
      <c r="H8230" t="s">
        <v>27357</v>
      </c>
      <c r="J8230" t="s">
        <v>21063</v>
      </c>
      <c r="K8230" s="2" t="str">
        <f>HYPERLINK("http://collections.slsa.sa.gov.au/mpcimg/14500/B14305.htm")</f>
        <v>http://collections.slsa.sa.gov.au/mpcimg/14500/B14305.htm</v>
      </c>
    </row>
    <row r="8231" spans="1:11" x14ac:dyDescent="0.25">
      <c r="A8231" t="s">
        <v>27358</v>
      </c>
      <c r="B8231" s="1" t="str">
        <f>HYPERLINK("https://www.catalog.slsa.sa.gov.au/record=b2060233")</f>
        <v>https://www.catalog.slsa.sa.gov.au/record=b2060233</v>
      </c>
      <c r="C8231" s="1" t="str">
        <f>HYPERLINK("https://www.catalog.slsa.sa.gov.au/xrecord=b2060233")</f>
        <v>https://www.catalog.slsa.sa.gov.au/xrecord=b2060233</v>
      </c>
      <c r="D8231" t="s">
        <v>16831</v>
      </c>
      <c r="E8231" t="s">
        <v>27334</v>
      </c>
      <c r="F8231">
        <v>1960</v>
      </c>
      <c r="G8231" t="s">
        <v>25786</v>
      </c>
      <c r="H8231" t="s">
        <v>27359</v>
      </c>
      <c r="J8231" t="s">
        <v>27360</v>
      </c>
      <c r="K8231" s="2" t="str">
        <f>HYPERLINK("http://collections.slsa.sa.gov.au/mpcimg/14500/B14401.htm")</f>
        <v>http://collections.slsa.sa.gov.au/mpcimg/14500/B14401.htm</v>
      </c>
    </row>
    <row r="8232" spans="1:11" x14ac:dyDescent="0.25">
      <c r="A8232" t="s">
        <v>27361</v>
      </c>
      <c r="B8232" s="1" t="str">
        <f>HYPERLINK("https://www.catalog.slsa.sa.gov.au/record=b2060246")</f>
        <v>https://www.catalog.slsa.sa.gov.au/record=b2060246</v>
      </c>
      <c r="C8232" s="1" t="str">
        <f>HYPERLINK("https://www.catalog.slsa.sa.gov.au/xrecord=b2060246")</f>
        <v>https://www.catalog.slsa.sa.gov.au/xrecord=b2060246</v>
      </c>
      <c r="D8232" t="s">
        <v>16831</v>
      </c>
      <c r="E8232" t="s">
        <v>24276</v>
      </c>
      <c r="F8232">
        <v>1960</v>
      </c>
      <c r="G8232" t="s">
        <v>25786</v>
      </c>
      <c r="H8232" t="s">
        <v>27362</v>
      </c>
      <c r="I8232" t="s">
        <v>24471</v>
      </c>
      <c r="J8232" t="s">
        <v>25951</v>
      </c>
      <c r="K8232" s="2" t="str">
        <f>HYPERLINK("http://collections.slsa.sa.gov.au/mpcimg/14500/B14307.htm")</f>
        <v>http://collections.slsa.sa.gov.au/mpcimg/14500/B14307.htm</v>
      </c>
    </row>
    <row r="8233" spans="1:11" x14ac:dyDescent="0.25">
      <c r="A8233" t="s">
        <v>27363</v>
      </c>
      <c r="B8233" s="1" t="str">
        <f>HYPERLINK("https://www.catalog.slsa.sa.gov.au/record=b2060282")</f>
        <v>https://www.catalog.slsa.sa.gov.au/record=b2060282</v>
      </c>
      <c r="C8233" s="1" t="str">
        <f>HYPERLINK("https://www.catalog.slsa.sa.gov.au/xrecord=b2060282")</f>
        <v>https://www.catalog.slsa.sa.gov.au/xrecord=b2060282</v>
      </c>
      <c r="D8233" t="s">
        <v>16831</v>
      </c>
      <c r="E8233" t="s">
        <v>24469</v>
      </c>
      <c r="F8233">
        <v>1960</v>
      </c>
      <c r="G8233" t="s">
        <v>25786</v>
      </c>
      <c r="H8233" t="s">
        <v>27364</v>
      </c>
      <c r="I8233" t="s">
        <v>27365</v>
      </c>
      <c r="J8233" t="s">
        <v>27138</v>
      </c>
      <c r="K8233" s="2" t="str">
        <f>HYPERLINK("http://collections.slsa.sa.gov.au/mpcimg/14500/B14303.htm")</f>
        <v>http://collections.slsa.sa.gov.au/mpcimg/14500/B14303.htm</v>
      </c>
    </row>
    <row r="8234" spans="1:11" x14ac:dyDescent="0.25">
      <c r="A8234" t="s">
        <v>27366</v>
      </c>
      <c r="B8234" s="1" t="str">
        <f>HYPERLINK("https://www.catalog.slsa.sa.gov.au/record=b2060283")</f>
        <v>https://www.catalog.slsa.sa.gov.au/record=b2060283</v>
      </c>
      <c r="C8234" s="1" t="str">
        <f>HYPERLINK("https://www.catalog.slsa.sa.gov.au/xrecord=b2060283")</f>
        <v>https://www.catalog.slsa.sa.gov.au/xrecord=b2060283</v>
      </c>
      <c r="D8234" t="s">
        <v>16831</v>
      </c>
      <c r="E8234" t="s">
        <v>24469</v>
      </c>
      <c r="F8234">
        <v>1960</v>
      </c>
      <c r="G8234" t="s">
        <v>25786</v>
      </c>
      <c r="H8234" t="s">
        <v>27367</v>
      </c>
      <c r="I8234" t="s">
        <v>27365</v>
      </c>
      <c r="J8234" t="s">
        <v>27138</v>
      </c>
      <c r="K8234" s="2" t="str">
        <f>HYPERLINK("http://collections.slsa.sa.gov.au/mpcimg/14500/B14304.htm")</f>
        <v>http://collections.slsa.sa.gov.au/mpcimg/14500/B14304.htm</v>
      </c>
    </row>
    <row r="8235" spans="1:11" x14ac:dyDescent="0.25">
      <c r="A8235" t="s">
        <v>27368</v>
      </c>
      <c r="B8235" s="1" t="str">
        <f>HYPERLINK("https://www.catalog.slsa.sa.gov.au/record=b2060299")</f>
        <v>https://www.catalog.slsa.sa.gov.au/record=b2060299</v>
      </c>
      <c r="C8235" s="1" t="str">
        <f>HYPERLINK("https://www.catalog.slsa.sa.gov.au/xrecord=b2060299")</f>
        <v>https://www.catalog.slsa.sa.gov.au/xrecord=b2060299</v>
      </c>
      <c r="D8235" t="s">
        <v>16831</v>
      </c>
      <c r="E8235" t="s">
        <v>24276</v>
      </c>
      <c r="F8235">
        <v>1960</v>
      </c>
      <c r="G8235" t="s">
        <v>25786</v>
      </c>
      <c r="H8235" t="s">
        <v>27369</v>
      </c>
      <c r="J8235" t="s">
        <v>27370</v>
      </c>
      <c r="K8235" s="2" t="str">
        <f>HYPERLINK("http://collections.slsa.sa.gov.au/mpcimg/14500/B14300.htm")</f>
        <v>http://collections.slsa.sa.gov.au/mpcimg/14500/B14300.htm</v>
      </c>
    </row>
    <row r="8236" spans="1:11" x14ac:dyDescent="0.25">
      <c r="A8236" t="s">
        <v>27371</v>
      </c>
      <c r="B8236" s="1" t="str">
        <f>HYPERLINK("https://www.catalog.slsa.sa.gov.au/record=b2060300")</f>
        <v>https://www.catalog.slsa.sa.gov.au/record=b2060300</v>
      </c>
      <c r="C8236" s="1" t="str">
        <f>HYPERLINK("https://www.catalog.slsa.sa.gov.au/xrecord=b2060300")</f>
        <v>https://www.catalog.slsa.sa.gov.au/xrecord=b2060300</v>
      </c>
      <c r="D8236" t="s">
        <v>16831</v>
      </c>
      <c r="E8236" t="s">
        <v>24276</v>
      </c>
      <c r="F8236">
        <v>1960</v>
      </c>
      <c r="G8236" t="s">
        <v>25786</v>
      </c>
      <c r="H8236" t="s">
        <v>27372</v>
      </c>
      <c r="J8236" t="s">
        <v>27370</v>
      </c>
      <c r="K8236" s="2" t="str">
        <f>HYPERLINK("http://collections.slsa.sa.gov.au/mpcimg/14500/B14301.htm")</f>
        <v>http://collections.slsa.sa.gov.au/mpcimg/14500/B14301.htm</v>
      </c>
    </row>
    <row r="8237" spans="1:11" x14ac:dyDescent="0.25">
      <c r="A8237" t="s">
        <v>27373</v>
      </c>
      <c r="B8237" s="1" t="str">
        <f>HYPERLINK("https://www.catalog.slsa.sa.gov.au/record=b2060814")</f>
        <v>https://www.catalog.slsa.sa.gov.au/record=b2060814</v>
      </c>
      <c r="C8237" s="1" t="str">
        <f>HYPERLINK("https://www.catalog.slsa.sa.gov.au/xrecord=b2060814")</f>
        <v>https://www.catalog.slsa.sa.gov.au/xrecord=b2060814</v>
      </c>
      <c r="D8237" t="s">
        <v>16831</v>
      </c>
      <c r="E8237" t="s">
        <v>27374</v>
      </c>
      <c r="F8237">
        <v>1960</v>
      </c>
      <c r="G8237" t="s">
        <v>25786</v>
      </c>
      <c r="H8237" t="s">
        <v>27375</v>
      </c>
      <c r="J8237" t="s">
        <v>21101</v>
      </c>
      <c r="K8237" s="2" t="str">
        <f>HYPERLINK("http://collections.slsa.sa.gov.au/mpcimg/14500/B14286.htm")</f>
        <v>http://collections.slsa.sa.gov.au/mpcimg/14500/B14286.htm</v>
      </c>
    </row>
    <row r="8238" spans="1:11" x14ac:dyDescent="0.25">
      <c r="A8238" t="s">
        <v>27376</v>
      </c>
      <c r="B8238" s="1" t="str">
        <f>HYPERLINK("https://www.catalog.slsa.sa.gov.au/record=b2061094")</f>
        <v>https://www.catalog.slsa.sa.gov.au/record=b2061094</v>
      </c>
      <c r="C8238" s="1" t="str">
        <f>HYPERLINK("https://www.catalog.slsa.sa.gov.au/xrecord=b2061094")</f>
        <v>https://www.catalog.slsa.sa.gov.au/xrecord=b2061094</v>
      </c>
      <c r="D8238" t="s">
        <v>16831</v>
      </c>
      <c r="E8238" t="s">
        <v>21125</v>
      </c>
      <c r="F8238">
        <v>1960</v>
      </c>
      <c r="G8238" t="s">
        <v>25786</v>
      </c>
      <c r="H8238" t="s">
        <v>27377</v>
      </c>
      <c r="J8238" t="s">
        <v>24371</v>
      </c>
      <c r="K8238" s="2" t="str">
        <f>HYPERLINK("http://collections.slsa.sa.gov.au/mpcimg/14500/B14402.htm")</f>
        <v>http://collections.slsa.sa.gov.au/mpcimg/14500/B14402.htm</v>
      </c>
    </row>
    <row r="8239" spans="1:11" x14ac:dyDescent="0.25">
      <c r="A8239" t="s">
        <v>27378</v>
      </c>
      <c r="B8239" s="1" t="str">
        <f>HYPERLINK("https://www.catalog.slsa.sa.gov.au/record=b2061129")</f>
        <v>https://www.catalog.slsa.sa.gov.au/record=b2061129</v>
      </c>
      <c r="C8239" s="1" t="str">
        <f>HYPERLINK("https://www.catalog.slsa.sa.gov.au/xrecord=b2061129")</f>
        <v>https://www.catalog.slsa.sa.gov.au/xrecord=b2061129</v>
      </c>
      <c r="D8239" t="s">
        <v>16831</v>
      </c>
      <c r="E8239" t="s">
        <v>21125</v>
      </c>
      <c r="F8239">
        <v>1960</v>
      </c>
      <c r="G8239" t="s">
        <v>25786</v>
      </c>
      <c r="H8239" t="s">
        <v>27379</v>
      </c>
      <c r="I8239" t="s">
        <v>24177</v>
      </c>
      <c r="J8239" t="s">
        <v>26726</v>
      </c>
      <c r="K8239" s="2" t="str">
        <f>HYPERLINK("http://collections.slsa.sa.gov.au/mpcimg/14500/B14306.htm")</f>
        <v>http://collections.slsa.sa.gov.au/mpcimg/14500/B14306.htm</v>
      </c>
    </row>
    <row r="8240" spans="1:11" x14ac:dyDescent="0.25">
      <c r="A8240" t="s">
        <v>27380</v>
      </c>
      <c r="B8240" s="1" t="str">
        <f>HYPERLINK("https://www.catalog.slsa.sa.gov.au/record=b2061182")</f>
        <v>https://www.catalog.slsa.sa.gov.au/record=b2061182</v>
      </c>
      <c r="C8240" s="1" t="str">
        <f>HYPERLINK("https://www.catalog.slsa.sa.gov.au/xrecord=b2061182")</f>
        <v>https://www.catalog.slsa.sa.gov.au/xrecord=b2061182</v>
      </c>
      <c r="D8240" t="s">
        <v>16831</v>
      </c>
      <c r="E8240" t="s">
        <v>21125</v>
      </c>
      <c r="F8240">
        <v>1960</v>
      </c>
      <c r="G8240" t="s">
        <v>25786</v>
      </c>
      <c r="H8240" t="s">
        <v>27381</v>
      </c>
      <c r="J8240" t="s">
        <v>22897</v>
      </c>
      <c r="K8240" s="2" t="str">
        <f>HYPERLINK("http://collections.slsa.sa.gov.au/mpcimg/14500/B14289.htm")</f>
        <v>http://collections.slsa.sa.gov.au/mpcimg/14500/B14289.htm</v>
      </c>
    </row>
    <row r="8241" spans="1:11" x14ac:dyDescent="0.25">
      <c r="A8241" t="s">
        <v>27382</v>
      </c>
      <c r="B8241" s="1" t="str">
        <f>HYPERLINK("https://www.catalog.slsa.sa.gov.au/record=b2061183")</f>
        <v>https://www.catalog.slsa.sa.gov.au/record=b2061183</v>
      </c>
      <c r="C8241" s="1" t="str">
        <f>HYPERLINK("https://www.catalog.slsa.sa.gov.au/xrecord=b2061183")</f>
        <v>https://www.catalog.slsa.sa.gov.au/xrecord=b2061183</v>
      </c>
      <c r="D8241" t="s">
        <v>16831</v>
      </c>
      <c r="E8241" t="s">
        <v>21125</v>
      </c>
      <c r="F8241">
        <v>1960</v>
      </c>
      <c r="G8241" t="s">
        <v>25786</v>
      </c>
      <c r="H8241" t="s">
        <v>27383</v>
      </c>
      <c r="J8241" t="s">
        <v>22897</v>
      </c>
      <c r="K8241" s="2" t="str">
        <f>HYPERLINK("http://collections.slsa.sa.gov.au/mpcimg/14500/B14391.htm")</f>
        <v>http://collections.slsa.sa.gov.au/mpcimg/14500/B14391.htm</v>
      </c>
    </row>
    <row r="8242" spans="1:11" x14ac:dyDescent="0.25">
      <c r="A8242" t="s">
        <v>27384</v>
      </c>
      <c r="B8242" s="1" t="str">
        <f>HYPERLINK("https://www.catalog.slsa.sa.gov.au/record=b2061333")</f>
        <v>https://www.catalog.slsa.sa.gov.au/record=b2061333</v>
      </c>
      <c r="C8242" s="1" t="str">
        <f>HYPERLINK("https://www.catalog.slsa.sa.gov.au/xrecord=b2061333")</f>
        <v>https://www.catalog.slsa.sa.gov.au/xrecord=b2061333</v>
      </c>
      <c r="D8242" t="s">
        <v>16831</v>
      </c>
      <c r="E8242" t="s">
        <v>27374</v>
      </c>
      <c r="F8242">
        <v>1960</v>
      </c>
      <c r="G8242" t="s">
        <v>25786</v>
      </c>
      <c r="H8242" t="s">
        <v>27385</v>
      </c>
      <c r="J8242" t="s">
        <v>21149</v>
      </c>
      <c r="K8242" s="2" t="str">
        <f>HYPERLINK("http://collections.slsa.sa.gov.au/mpcimg/14500/B14347.htm")</f>
        <v>http://collections.slsa.sa.gov.au/mpcimg/14500/B14347.htm</v>
      </c>
    </row>
    <row r="8243" spans="1:11" x14ac:dyDescent="0.25">
      <c r="A8243" t="s">
        <v>27386</v>
      </c>
      <c r="B8243" s="1" t="str">
        <f>HYPERLINK("https://www.catalog.slsa.sa.gov.au/record=b2061407")</f>
        <v>https://www.catalog.slsa.sa.gov.au/record=b2061407</v>
      </c>
      <c r="C8243" s="1" t="str">
        <f>HYPERLINK("https://www.catalog.slsa.sa.gov.au/xrecord=b2061407")</f>
        <v>https://www.catalog.slsa.sa.gov.au/xrecord=b2061407</v>
      </c>
      <c r="D8243" t="s">
        <v>16831</v>
      </c>
      <c r="E8243" t="s">
        <v>27374</v>
      </c>
      <c r="F8243">
        <v>1960</v>
      </c>
      <c r="G8243" t="s">
        <v>25786</v>
      </c>
      <c r="H8243" t="s">
        <v>27387</v>
      </c>
      <c r="J8243" t="s">
        <v>24402</v>
      </c>
      <c r="K8243" s="2" t="str">
        <f>HYPERLINK("http://collections.slsa.sa.gov.au/mpcimg/14500/B14294.htm")</f>
        <v>http://collections.slsa.sa.gov.au/mpcimg/14500/B14294.htm</v>
      </c>
    </row>
    <row r="8244" spans="1:11" x14ac:dyDescent="0.25">
      <c r="A8244" t="s">
        <v>27388</v>
      </c>
      <c r="B8244" s="1" t="str">
        <f>HYPERLINK("https://www.catalog.slsa.sa.gov.au/record=b2061412")</f>
        <v>https://www.catalog.slsa.sa.gov.au/record=b2061412</v>
      </c>
      <c r="C8244" s="1" t="str">
        <f>HYPERLINK("https://www.catalog.slsa.sa.gov.au/xrecord=b2061412")</f>
        <v>https://www.catalog.slsa.sa.gov.au/xrecord=b2061412</v>
      </c>
      <c r="D8244" t="s">
        <v>16831</v>
      </c>
      <c r="E8244" t="s">
        <v>21099</v>
      </c>
      <c r="F8244">
        <v>1960</v>
      </c>
      <c r="G8244" t="s">
        <v>27310</v>
      </c>
      <c r="H8244" t="s">
        <v>27389</v>
      </c>
      <c r="J8244" t="s">
        <v>21169</v>
      </c>
      <c r="K8244" s="2" t="str">
        <f>HYPERLINK("http://collections.slsa.sa.gov.au/mpcimg/14500/B14465.htm")</f>
        <v>http://collections.slsa.sa.gov.au/mpcimg/14500/B14465.htm</v>
      </c>
    </row>
    <row r="8245" spans="1:11" x14ac:dyDescent="0.25">
      <c r="A8245" t="s">
        <v>27390</v>
      </c>
      <c r="B8245" s="1" t="str">
        <f>HYPERLINK("https://www.catalog.slsa.sa.gov.au/record=b2061492")</f>
        <v>https://www.catalog.slsa.sa.gov.au/record=b2061492</v>
      </c>
      <c r="C8245" s="1" t="str">
        <f>HYPERLINK("https://www.catalog.slsa.sa.gov.au/xrecord=b2061492")</f>
        <v>https://www.catalog.slsa.sa.gov.au/xrecord=b2061492</v>
      </c>
      <c r="D8245" t="s">
        <v>16831</v>
      </c>
      <c r="E8245" t="s">
        <v>24422</v>
      </c>
      <c r="F8245">
        <v>1960</v>
      </c>
      <c r="G8245" t="s">
        <v>25786</v>
      </c>
      <c r="H8245" t="s">
        <v>27391</v>
      </c>
      <c r="J8245" t="s">
        <v>21180</v>
      </c>
      <c r="K8245" s="2" t="str">
        <f>HYPERLINK("http://collections.slsa.sa.gov.au/mpcimg/14500/B14284.htm")</f>
        <v>http://collections.slsa.sa.gov.au/mpcimg/14500/B14284.htm</v>
      </c>
    </row>
    <row r="8246" spans="1:11" x14ac:dyDescent="0.25">
      <c r="A8246" t="s">
        <v>27392</v>
      </c>
      <c r="B8246" s="1" t="str">
        <f>HYPERLINK("https://www.catalog.slsa.sa.gov.au/record=b2061627")</f>
        <v>https://www.catalog.slsa.sa.gov.au/record=b2061627</v>
      </c>
      <c r="C8246" s="1" t="str">
        <f>HYPERLINK("https://www.catalog.slsa.sa.gov.au/xrecord=b2061627")</f>
        <v>https://www.catalog.slsa.sa.gov.au/xrecord=b2061627</v>
      </c>
      <c r="D8246" t="s">
        <v>16831</v>
      </c>
      <c r="E8246" t="s">
        <v>24436</v>
      </c>
      <c r="F8246">
        <v>1960</v>
      </c>
      <c r="G8246" t="s">
        <v>25786</v>
      </c>
      <c r="H8246" t="s">
        <v>27393</v>
      </c>
      <c r="J8246" t="s">
        <v>24441</v>
      </c>
      <c r="K8246" s="2" t="str">
        <f>HYPERLINK("http://collections.slsa.sa.gov.au/mpcimg/14500/B14406.htm")</f>
        <v>http://collections.slsa.sa.gov.au/mpcimg/14500/B14406.htm</v>
      </c>
    </row>
    <row r="8247" spans="1:11" x14ac:dyDescent="0.25">
      <c r="A8247" t="s">
        <v>27394</v>
      </c>
      <c r="B8247" s="1" t="str">
        <f>HYPERLINK("https://www.catalog.slsa.sa.gov.au/record=b2061653")</f>
        <v>https://www.catalog.slsa.sa.gov.au/record=b2061653</v>
      </c>
      <c r="C8247" s="1" t="str">
        <f>HYPERLINK("https://www.catalog.slsa.sa.gov.au/xrecord=b2061653")</f>
        <v>https://www.catalog.slsa.sa.gov.au/xrecord=b2061653</v>
      </c>
      <c r="D8247" t="s">
        <v>16831</v>
      </c>
      <c r="E8247" t="s">
        <v>24436</v>
      </c>
      <c r="F8247">
        <v>1960</v>
      </c>
      <c r="G8247" t="s">
        <v>25786</v>
      </c>
      <c r="H8247" t="s">
        <v>27395</v>
      </c>
      <c r="J8247" t="s">
        <v>26017</v>
      </c>
      <c r="K8247" s="2" t="str">
        <f>HYPERLINK("http://collections.slsa.sa.gov.au/mpcimg/14500/B14334.htm")</f>
        <v>http://collections.slsa.sa.gov.au/mpcimg/14500/B14334.htm</v>
      </c>
    </row>
    <row r="8248" spans="1:11" x14ac:dyDescent="0.25">
      <c r="A8248" t="s">
        <v>27396</v>
      </c>
      <c r="B8248" s="1" t="str">
        <f>HYPERLINK("https://www.catalog.slsa.sa.gov.au/record=b2061678")</f>
        <v>https://www.catalog.slsa.sa.gov.au/record=b2061678</v>
      </c>
      <c r="C8248" s="1" t="str">
        <f>HYPERLINK("https://www.catalog.slsa.sa.gov.au/xrecord=b2061678")</f>
        <v>https://www.catalog.slsa.sa.gov.au/xrecord=b2061678</v>
      </c>
      <c r="D8248" t="s">
        <v>16831</v>
      </c>
      <c r="E8248" t="s">
        <v>27397</v>
      </c>
      <c r="F8248">
        <v>1960</v>
      </c>
      <c r="G8248" t="s">
        <v>25786</v>
      </c>
      <c r="H8248" t="s">
        <v>27398</v>
      </c>
      <c r="I8248" t="s">
        <v>27399</v>
      </c>
      <c r="J8248" t="s">
        <v>27400</v>
      </c>
      <c r="K8248" s="2" t="str">
        <f>HYPERLINK("http://collections.slsa.sa.gov.au/mpcimg/14500/B14372.htm")</f>
        <v>http://collections.slsa.sa.gov.au/mpcimg/14500/B14372.htm</v>
      </c>
    </row>
    <row r="8249" spans="1:11" x14ac:dyDescent="0.25">
      <c r="A8249" t="s">
        <v>27401</v>
      </c>
      <c r="B8249" s="1" t="str">
        <f>HYPERLINK("https://www.catalog.slsa.sa.gov.au/record=b2061689")</f>
        <v>https://www.catalog.slsa.sa.gov.au/record=b2061689</v>
      </c>
      <c r="C8249" s="1" t="str">
        <f>HYPERLINK("https://www.catalog.slsa.sa.gov.au/xrecord=b2061689")</f>
        <v>https://www.catalog.slsa.sa.gov.au/xrecord=b2061689</v>
      </c>
      <c r="D8249" t="s">
        <v>16831</v>
      </c>
      <c r="E8249" t="s">
        <v>24436</v>
      </c>
      <c r="F8249">
        <v>1960</v>
      </c>
      <c r="G8249" t="s">
        <v>25786</v>
      </c>
      <c r="H8249" t="s">
        <v>27402</v>
      </c>
      <c r="J8249" t="s">
        <v>26022</v>
      </c>
      <c r="K8249" s="2" t="str">
        <f>HYPERLINK("http://collections.slsa.sa.gov.au/mpcimg/14500/B14374.htm")</f>
        <v>http://collections.slsa.sa.gov.au/mpcimg/14500/B14374.htm</v>
      </c>
    </row>
    <row r="8250" spans="1:11" x14ac:dyDescent="0.25">
      <c r="A8250" t="s">
        <v>27403</v>
      </c>
      <c r="B8250" s="1" t="str">
        <f>HYPERLINK("https://www.catalog.slsa.sa.gov.au/record=b2061714")</f>
        <v>https://www.catalog.slsa.sa.gov.au/record=b2061714</v>
      </c>
      <c r="C8250" s="1" t="str">
        <f>HYPERLINK("https://www.catalog.slsa.sa.gov.au/xrecord=b2061714")</f>
        <v>https://www.catalog.slsa.sa.gov.au/xrecord=b2061714</v>
      </c>
      <c r="D8250" t="s">
        <v>16831</v>
      </c>
      <c r="E8250" t="s">
        <v>24436</v>
      </c>
      <c r="F8250">
        <v>1960</v>
      </c>
      <c r="G8250" t="s">
        <v>25786</v>
      </c>
      <c r="H8250" t="s">
        <v>27404</v>
      </c>
      <c r="J8250" t="s">
        <v>27405</v>
      </c>
      <c r="K8250" s="2" t="str">
        <f>HYPERLINK("http://collections.slsa.sa.gov.au/mpcimg/14500/B14282.htm")</f>
        <v>http://collections.slsa.sa.gov.au/mpcimg/14500/B14282.htm</v>
      </c>
    </row>
    <row r="8251" spans="1:11" x14ac:dyDescent="0.25">
      <c r="A8251" t="s">
        <v>27406</v>
      </c>
      <c r="B8251" s="1" t="str">
        <f>HYPERLINK("https://www.catalog.slsa.sa.gov.au/record=b2061725")</f>
        <v>https://www.catalog.slsa.sa.gov.au/record=b2061725</v>
      </c>
      <c r="C8251" s="1" t="str">
        <f>HYPERLINK("https://www.catalog.slsa.sa.gov.au/xrecord=b2061725")</f>
        <v>https://www.catalog.slsa.sa.gov.au/xrecord=b2061725</v>
      </c>
      <c r="D8251" t="s">
        <v>16831</v>
      </c>
      <c r="E8251" t="s">
        <v>24469</v>
      </c>
      <c r="F8251">
        <v>1960</v>
      </c>
      <c r="G8251" t="s">
        <v>25786</v>
      </c>
      <c r="H8251" t="s">
        <v>27407</v>
      </c>
      <c r="J8251" t="s">
        <v>24472</v>
      </c>
      <c r="K8251" s="2" t="str">
        <f>HYPERLINK("http://collections.slsa.sa.gov.au/mpcimg/14500/B14288.htm")</f>
        <v>http://collections.slsa.sa.gov.au/mpcimg/14500/B14288.htm</v>
      </c>
    </row>
    <row r="8252" spans="1:11" x14ac:dyDescent="0.25">
      <c r="A8252" t="s">
        <v>27408</v>
      </c>
      <c r="B8252" s="1" t="str">
        <f>HYPERLINK("https://www.catalog.slsa.sa.gov.au/record=b2061726")</f>
        <v>https://www.catalog.slsa.sa.gov.au/record=b2061726</v>
      </c>
      <c r="C8252" s="1" t="str">
        <f>HYPERLINK("https://www.catalog.slsa.sa.gov.au/xrecord=b2061726")</f>
        <v>https://www.catalog.slsa.sa.gov.au/xrecord=b2061726</v>
      </c>
      <c r="D8252" t="s">
        <v>16831</v>
      </c>
      <c r="E8252" t="s">
        <v>24436</v>
      </c>
      <c r="F8252">
        <v>1960</v>
      </c>
      <c r="G8252" t="s">
        <v>25786</v>
      </c>
      <c r="H8252" t="s">
        <v>27409</v>
      </c>
      <c r="I8252" t="s">
        <v>27410</v>
      </c>
      <c r="J8252" t="s">
        <v>24472</v>
      </c>
      <c r="K8252" s="2" t="str">
        <f>HYPERLINK("http://collections.slsa.sa.gov.au/mpcimg/14500/B14326.htm")</f>
        <v>http://collections.slsa.sa.gov.au/mpcimg/14500/B14326.htm</v>
      </c>
    </row>
    <row r="8253" spans="1:11" x14ac:dyDescent="0.25">
      <c r="A8253" t="s">
        <v>27411</v>
      </c>
      <c r="B8253" s="1" t="str">
        <f>HYPERLINK("https://www.catalog.slsa.sa.gov.au/record=b2061729")</f>
        <v>https://www.catalog.slsa.sa.gov.au/record=b2061729</v>
      </c>
      <c r="C8253" s="1" t="str">
        <f>HYPERLINK("https://www.catalog.slsa.sa.gov.au/xrecord=b2061729")</f>
        <v>https://www.catalog.slsa.sa.gov.au/xrecord=b2061729</v>
      </c>
      <c r="D8253" t="s">
        <v>16831</v>
      </c>
      <c r="E8253" t="s">
        <v>24436</v>
      </c>
      <c r="F8253">
        <v>1960</v>
      </c>
      <c r="G8253" t="s">
        <v>25786</v>
      </c>
      <c r="H8253" t="s">
        <v>27412</v>
      </c>
      <c r="J8253" t="s">
        <v>24472</v>
      </c>
      <c r="K8253" s="2" t="str">
        <f>HYPERLINK("http://collections.slsa.sa.gov.au/mpcimg/14500/B14387.htm")</f>
        <v>http://collections.slsa.sa.gov.au/mpcimg/14500/B14387.htm</v>
      </c>
    </row>
    <row r="8254" spans="1:11" x14ac:dyDescent="0.25">
      <c r="A8254" t="s">
        <v>27413</v>
      </c>
      <c r="B8254" s="1" t="str">
        <f>HYPERLINK("https://www.catalog.slsa.sa.gov.au/record=b2061756")</f>
        <v>https://www.catalog.slsa.sa.gov.au/record=b2061756</v>
      </c>
      <c r="C8254" s="1" t="str">
        <f>HYPERLINK("https://www.catalog.slsa.sa.gov.au/xrecord=b2061756")</f>
        <v>https://www.catalog.slsa.sa.gov.au/xrecord=b2061756</v>
      </c>
      <c r="D8254" t="s">
        <v>16831</v>
      </c>
      <c r="E8254" t="s">
        <v>24436</v>
      </c>
      <c r="F8254">
        <v>1960</v>
      </c>
      <c r="G8254" t="s">
        <v>25786</v>
      </c>
      <c r="H8254" t="s">
        <v>27414</v>
      </c>
      <c r="J8254" t="s">
        <v>24480</v>
      </c>
      <c r="K8254" s="2" t="str">
        <f>HYPERLINK("http://collections.slsa.sa.gov.au/mpcimg/14500/B14370.htm")</f>
        <v>http://collections.slsa.sa.gov.au/mpcimg/14500/B14370.htm</v>
      </c>
    </row>
    <row r="8255" spans="1:11" x14ac:dyDescent="0.25">
      <c r="A8255" t="s">
        <v>27415</v>
      </c>
      <c r="B8255" s="1" t="str">
        <f>HYPERLINK("https://www.catalog.slsa.sa.gov.au/record=b2061757")</f>
        <v>https://www.catalog.slsa.sa.gov.au/record=b2061757</v>
      </c>
      <c r="C8255" s="1" t="str">
        <f>HYPERLINK("https://www.catalog.slsa.sa.gov.au/xrecord=b2061757")</f>
        <v>https://www.catalog.slsa.sa.gov.au/xrecord=b2061757</v>
      </c>
      <c r="D8255" t="s">
        <v>16831</v>
      </c>
      <c r="E8255" t="s">
        <v>24436</v>
      </c>
      <c r="F8255">
        <v>1960</v>
      </c>
      <c r="G8255" t="s">
        <v>25786</v>
      </c>
      <c r="H8255" t="s">
        <v>27416</v>
      </c>
      <c r="J8255" t="s">
        <v>24480</v>
      </c>
      <c r="K8255" s="2" t="str">
        <f>HYPERLINK("http://collections.slsa.sa.gov.au/mpcimg/14500/B14371.htm")</f>
        <v>http://collections.slsa.sa.gov.au/mpcimg/14500/B14371.htm</v>
      </c>
    </row>
    <row r="8256" spans="1:11" x14ac:dyDescent="0.25">
      <c r="A8256" t="s">
        <v>27417</v>
      </c>
      <c r="B8256" s="1" t="str">
        <f>HYPERLINK("https://www.catalog.slsa.sa.gov.au/record=b2061758")</f>
        <v>https://www.catalog.slsa.sa.gov.au/record=b2061758</v>
      </c>
      <c r="C8256" s="1" t="str">
        <f>HYPERLINK("https://www.catalog.slsa.sa.gov.au/xrecord=b2061758")</f>
        <v>https://www.catalog.slsa.sa.gov.au/xrecord=b2061758</v>
      </c>
      <c r="D8256" t="s">
        <v>16831</v>
      </c>
      <c r="E8256" t="s">
        <v>24436</v>
      </c>
      <c r="F8256">
        <v>1960</v>
      </c>
      <c r="G8256" t="s">
        <v>25786</v>
      </c>
      <c r="H8256" t="s">
        <v>27418</v>
      </c>
      <c r="I8256" t="s">
        <v>24177</v>
      </c>
      <c r="J8256" t="s">
        <v>24480</v>
      </c>
      <c r="K8256" s="2" t="str">
        <f>HYPERLINK("http://collections.slsa.sa.gov.au/mpcimg/14500/B14390.htm")</f>
        <v>http://collections.slsa.sa.gov.au/mpcimg/14500/B14390.htm</v>
      </c>
    </row>
    <row r="8257" spans="1:11" x14ac:dyDescent="0.25">
      <c r="A8257" t="s">
        <v>27419</v>
      </c>
      <c r="B8257" s="1" t="str">
        <f>HYPERLINK("https://www.catalog.slsa.sa.gov.au/record=b2061761")</f>
        <v>https://www.catalog.slsa.sa.gov.au/record=b2061761</v>
      </c>
      <c r="C8257" s="1" t="str">
        <f>HYPERLINK("https://www.catalog.slsa.sa.gov.au/xrecord=b2061761")</f>
        <v>https://www.catalog.slsa.sa.gov.au/xrecord=b2061761</v>
      </c>
      <c r="D8257" t="s">
        <v>16831</v>
      </c>
      <c r="E8257" t="s">
        <v>24436</v>
      </c>
      <c r="F8257">
        <v>1960</v>
      </c>
      <c r="G8257" t="s">
        <v>25786</v>
      </c>
      <c r="H8257" t="s">
        <v>27420</v>
      </c>
      <c r="J8257" t="s">
        <v>24483</v>
      </c>
      <c r="K8257" s="2" t="str">
        <f>HYPERLINK("http://collections.slsa.sa.gov.au/mpcimg/14500/B14373.htm")</f>
        <v>http://collections.slsa.sa.gov.au/mpcimg/14500/B14373.htm</v>
      </c>
    </row>
    <row r="8258" spans="1:11" x14ac:dyDescent="0.25">
      <c r="A8258" t="s">
        <v>27421</v>
      </c>
      <c r="B8258" s="1" t="str">
        <f>HYPERLINK("https://www.catalog.slsa.sa.gov.au/record=b2061762")</f>
        <v>https://www.catalog.slsa.sa.gov.au/record=b2061762</v>
      </c>
      <c r="C8258" s="1" t="str">
        <f>HYPERLINK("https://www.catalog.slsa.sa.gov.au/xrecord=b2061762")</f>
        <v>https://www.catalog.slsa.sa.gov.au/xrecord=b2061762</v>
      </c>
      <c r="D8258" t="s">
        <v>16831</v>
      </c>
      <c r="E8258" t="s">
        <v>27422</v>
      </c>
      <c r="F8258">
        <v>1960</v>
      </c>
      <c r="G8258" t="s">
        <v>25786</v>
      </c>
      <c r="H8258" t="s">
        <v>27423</v>
      </c>
      <c r="I8258" t="s">
        <v>24177</v>
      </c>
      <c r="J8258" t="s">
        <v>24483</v>
      </c>
      <c r="K8258" s="2" t="str">
        <f>HYPERLINK("http://collections.slsa.sa.gov.au/mpcimg/14500/B14400.htm")</f>
        <v>http://collections.slsa.sa.gov.au/mpcimg/14500/B14400.htm</v>
      </c>
    </row>
    <row r="8259" spans="1:11" x14ac:dyDescent="0.25">
      <c r="A8259" t="s">
        <v>27424</v>
      </c>
      <c r="B8259" s="1" t="str">
        <f>HYPERLINK("https://www.catalog.slsa.sa.gov.au/record=b2061847")</f>
        <v>https://www.catalog.slsa.sa.gov.au/record=b2061847</v>
      </c>
      <c r="C8259" s="1" t="str">
        <f>HYPERLINK("https://www.catalog.slsa.sa.gov.au/xrecord=b2061847")</f>
        <v>https://www.catalog.slsa.sa.gov.au/xrecord=b2061847</v>
      </c>
      <c r="D8259" t="s">
        <v>16831</v>
      </c>
      <c r="E8259" t="s">
        <v>24422</v>
      </c>
      <c r="F8259">
        <v>1960</v>
      </c>
      <c r="G8259" t="s">
        <v>25786</v>
      </c>
      <c r="H8259" t="s">
        <v>27425</v>
      </c>
      <c r="I8259" t="s">
        <v>24177</v>
      </c>
      <c r="J8259" t="s">
        <v>21206</v>
      </c>
      <c r="K8259" s="2" t="str">
        <f>HYPERLINK("http://collections.slsa.sa.gov.au/mpcimg/14500/B14290.htm")</f>
        <v>http://collections.slsa.sa.gov.au/mpcimg/14500/B14290.htm</v>
      </c>
    </row>
    <row r="8260" spans="1:11" x14ac:dyDescent="0.25">
      <c r="A8260" t="s">
        <v>27426</v>
      </c>
      <c r="B8260" s="1" t="str">
        <f>HYPERLINK("https://www.catalog.slsa.sa.gov.au/record=b2062011")</f>
        <v>https://www.catalog.slsa.sa.gov.au/record=b2062011</v>
      </c>
      <c r="C8260" s="1" t="str">
        <f>HYPERLINK("https://www.catalog.slsa.sa.gov.au/xrecord=b2062011")</f>
        <v>https://www.catalog.slsa.sa.gov.au/xrecord=b2062011</v>
      </c>
      <c r="D8260" t="s">
        <v>16831</v>
      </c>
      <c r="E8260" t="s">
        <v>24509</v>
      </c>
      <c r="F8260">
        <v>1960</v>
      </c>
      <c r="G8260" t="s">
        <v>25786</v>
      </c>
      <c r="H8260" t="s">
        <v>27427</v>
      </c>
      <c r="I8260" t="s">
        <v>24177</v>
      </c>
      <c r="J8260" t="s">
        <v>26401</v>
      </c>
      <c r="K8260" s="2" t="str">
        <f>HYPERLINK("http://collections.slsa.sa.gov.au/mpcimg/14500/B14405.htm")</f>
        <v>http://collections.slsa.sa.gov.au/mpcimg/14500/B14405.htm</v>
      </c>
    </row>
    <row r="8261" spans="1:11" x14ac:dyDescent="0.25">
      <c r="A8261" t="s">
        <v>27428</v>
      </c>
      <c r="B8261" s="1" t="str">
        <f>HYPERLINK("https://www.catalog.slsa.sa.gov.au/record=b2062027")</f>
        <v>https://www.catalog.slsa.sa.gov.au/record=b2062027</v>
      </c>
      <c r="C8261" s="1" t="str">
        <f>HYPERLINK("https://www.catalog.slsa.sa.gov.au/xrecord=b2062027")</f>
        <v>https://www.catalog.slsa.sa.gov.au/xrecord=b2062027</v>
      </c>
      <c r="D8261" t="s">
        <v>16831</v>
      </c>
      <c r="E8261" t="s">
        <v>24509</v>
      </c>
      <c r="F8261">
        <v>1960</v>
      </c>
      <c r="G8261" t="s">
        <v>25786</v>
      </c>
      <c r="H8261" t="s">
        <v>27429</v>
      </c>
      <c r="J8261" t="s">
        <v>26404</v>
      </c>
      <c r="K8261" s="2" t="str">
        <f>HYPERLINK("http://collections.slsa.sa.gov.au/mpcimg/14500/B14386.htm")</f>
        <v>http://collections.slsa.sa.gov.au/mpcimg/14500/B14386.htm</v>
      </c>
    </row>
    <row r="8262" spans="1:11" x14ac:dyDescent="0.25">
      <c r="A8262" t="s">
        <v>27430</v>
      </c>
      <c r="B8262" s="1" t="str">
        <f>HYPERLINK("https://www.catalog.slsa.sa.gov.au/record=b2062034")</f>
        <v>https://www.catalog.slsa.sa.gov.au/record=b2062034</v>
      </c>
      <c r="C8262" s="1" t="str">
        <f>HYPERLINK("https://www.catalog.slsa.sa.gov.au/xrecord=b2062034")</f>
        <v>https://www.catalog.slsa.sa.gov.au/xrecord=b2062034</v>
      </c>
      <c r="D8262" t="s">
        <v>16831</v>
      </c>
      <c r="E8262" t="s">
        <v>27431</v>
      </c>
      <c r="F8262">
        <v>1960</v>
      </c>
      <c r="G8262" t="s">
        <v>25786</v>
      </c>
      <c r="H8262" t="s">
        <v>27432</v>
      </c>
      <c r="J8262" t="s">
        <v>21214</v>
      </c>
      <c r="K8262" s="2" t="str">
        <f>HYPERLINK("http://collections.slsa.sa.gov.au/mpcimg/14500/B14280.htm")</f>
        <v>http://collections.slsa.sa.gov.au/mpcimg/14500/B14280.htm</v>
      </c>
    </row>
    <row r="8263" spans="1:11" x14ac:dyDescent="0.25">
      <c r="A8263" t="s">
        <v>27433</v>
      </c>
      <c r="B8263" s="1" t="str">
        <f>HYPERLINK("https://www.catalog.slsa.sa.gov.au/record=b2062035")</f>
        <v>https://www.catalog.slsa.sa.gov.au/record=b2062035</v>
      </c>
      <c r="C8263" s="1" t="str">
        <f>HYPERLINK("https://www.catalog.slsa.sa.gov.au/xrecord=b2062035")</f>
        <v>https://www.catalog.slsa.sa.gov.au/xrecord=b2062035</v>
      </c>
      <c r="D8263" t="s">
        <v>16831</v>
      </c>
      <c r="E8263" t="s">
        <v>24509</v>
      </c>
      <c r="F8263">
        <v>1960</v>
      </c>
      <c r="G8263" t="s">
        <v>25786</v>
      </c>
      <c r="H8263" t="s">
        <v>27434</v>
      </c>
      <c r="J8263" t="s">
        <v>21214</v>
      </c>
      <c r="K8263" s="2" t="str">
        <f>HYPERLINK("http://collections.slsa.sa.gov.au/mpcimg/14500/B14384.htm")</f>
        <v>http://collections.slsa.sa.gov.au/mpcimg/14500/B14384.htm</v>
      </c>
    </row>
    <row r="8264" spans="1:11" x14ac:dyDescent="0.25">
      <c r="A8264" t="s">
        <v>27435</v>
      </c>
      <c r="B8264" s="1" t="str">
        <f>HYPERLINK("https://www.catalog.slsa.sa.gov.au/record=b2062036")</f>
        <v>https://www.catalog.slsa.sa.gov.au/record=b2062036</v>
      </c>
      <c r="C8264" s="1" t="str">
        <f>HYPERLINK("https://www.catalog.slsa.sa.gov.au/xrecord=b2062036")</f>
        <v>https://www.catalog.slsa.sa.gov.au/xrecord=b2062036</v>
      </c>
      <c r="D8264" t="s">
        <v>16831</v>
      </c>
      <c r="E8264" t="s">
        <v>24509</v>
      </c>
      <c r="F8264">
        <v>1960</v>
      </c>
      <c r="G8264" t="s">
        <v>25786</v>
      </c>
      <c r="H8264" t="s">
        <v>27436</v>
      </c>
      <c r="J8264" t="s">
        <v>21214</v>
      </c>
      <c r="K8264" s="2" t="str">
        <f>HYPERLINK("http://collections.slsa.sa.gov.au/mpcimg/14500/B14385.htm")</f>
        <v>http://collections.slsa.sa.gov.au/mpcimg/14500/B14385.htm</v>
      </c>
    </row>
    <row r="8265" spans="1:11" x14ac:dyDescent="0.25">
      <c r="A8265" t="s">
        <v>27437</v>
      </c>
      <c r="B8265" s="1" t="str">
        <f>HYPERLINK("https://www.catalog.slsa.sa.gov.au/record=b2062061")</f>
        <v>https://www.catalog.slsa.sa.gov.au/record=b2062061</v>
      </c>
      <c r="C8265" s="1" t="str">
        <f>HYPERLINK("https://www.catalog.slsa.sa.gov.au/xrecord=b2062061")</f>
        <v>https://www.catalog.slsa.sa.gov.au/xrecord=b2062061</v>
      </c>
      <c r="D8265" t="s">
        <v>16831</v>
      </c>
      <c r="E8265" t="s">
        <v>24509</v>
      </c>
      <c r="F8265">
        <v>1960</v>
      </c>
      <c r="G8265" t="s">
        <v>25786</v>
      </c>
      <c r="H8265" t="s">
        <v>27438</v>
      </c>
      <c r="J8265" t="s">
        <v>27439</v>
      </c>
      <c r="K8265" s="2" t="str">
        <f>HYPERLINK("http://collections.slsa.sa.gov.au/mpcimg/14500/B14383.htm")</f>
        <v>http://collections.slsa.sa.gov.au/mpcimg/14500/B14383.htm</v>
      </c>
    </row>
    <row r="8266" spans="1:11" x14ac:dyDescent="0.25">
      <c r="A8266" t="s">
        <v>27440</v>
      </c>
      <c r="B8266" s="1" t="str">
        <f>HYPERLINK("https://www.catalog.slsa.sa.gov.au/record=b2062077")</f>
        <v>https://www.catalog.slsa.sa.gov.au/record=b2062077</v>
      </c>
      <c r="C8266" s="1" t="str">
        <f>HYPERLINK("https://www.catalog.slsa.sa.gov.au/xrecord=b2062077")</f>
        <v>https://www.catalog.slsa.sa.gov.au/xrecord=b2062077</v>
      </c>
      <c r="D8266" t="s">
        <v>16831</v>
      </c>
      <c r="E8266" t="s">
        <v>24509</v>
      </c>
      <c r="F8266">
        <v>1960</v>
      </c>
      <c r="G8266" t="s">
        <v>25786</v>
      </c>
      <c r="H8266" t="s">
        <v>27441</v>
      </c>
      <c r="J8266" t="s">
        <v>24511</v>
      </c>
      <c r="K8266" s="2" t="str">
        <f>HYPERLINK("http://collections.slsa.sa.gov.au/mpcimg/14500/B14382.htm")</f>
        <v>http://collections.slsa.sa.gov.au/mpcimg/14500/B14382.htm</v>
      </c>
    </row>
    <row r="8267" spans="1:11" x14ac:dyDescent="0.25">
      <c r="A8267" t="s">
        <v>27442</v>
      </c>
      <c r="B8267" s="1" t="str">
        <f>HYPERLINK("https://www.catalog.slsa.sa.gov.au/record=b2062086")</f>
        <v>https://www.catalog.slsa.sa.gov.au/record=b2062086</v>
      </c>
      <c r="C8267" s="1" t="str">
        <f>HYPERLINK("https://www.catalog.slsa.sa.gov.au/xrecord=b2062086")</f>
        <v>https://www.catalog.slsa.sa.gov.au/xrecord=b2062086</v>
      </c>
      <c r="D8267" t="s">
        <v>16831</v>
      </c>
      <c r="E8267" t="s">
        <v>27443</v>
      </c>
      <c r="F8267">
        <v>1960</v>
      </c>
      <c r="G8267" t="s">
        <v>25786</v>
      </c>
      <c r="H8267" t="s">
        <v>27444</v>
      </c>
      <c r="I8267" t="s">
        <v>27445</v>
      </c>
      <c r="J8267" t="s">
        <v>24514</v>
      </c>
      <c r="K8267" s="2" t="str">
        <f>HYPERLINK("http://collections.slsa.sa.gov.au/mpcimg/14500/B14408.htm")</f>
        <v>http://collections.slsa.sa.gov.au/mpcimg/14500/B14408.htm</v>
      </c>
    </row>
    <row r="8268" spans="1:11" x14ac:dyDescent="0.25">
      <c r="A8268" t="s">
        <v>27446</v>
      </c>
      <c r="B8268" s="1" t="str">
        <f>HYPERLINK("https://www.catalog.slsa.sa.gov.au/record=b2062101")</f>
        <v>https://www.catalog.slsa.sa.gov.au/record=b2062101</v>
      </c>
      <c r="C8268" s="1" t="str">
        <f>HYPERLINK("https://www.catalog.slsa.sa.gov.au/xrecord=b2062101")</f>
        <v>https://www.catalog.slsa.sa.gov.au/xrecord=b2062101</v>
      </c>
      <c r="D8268" t="s">
        <v>16831</v>
      </c>
      <c r="E8268" t="s">
        <v>24509</v>
      </c>
      <c r="F8268">
        <v>1960</v>
      </c>
      <c r="G8268" t="s">
        <v>25786</v>
      </c>
      <c r="H8268" t="s">
        <v>27447</v>
      </c>
      <c r="J8268" t="s">
        <v>26818</v>
      </c>
      <c r="K8268" s="2" t="str">
        <f>HYPERLINK("http://collections.slsa.sa.gov.au/mpcimg/14500/B14381.htm")</f>
        <v>http://collections.slsa.sa.gov.au/mpcimg/14500/B14381.htm</v>
      </c>
    </row>
    <row r="8269" spans="1:11" x14ac:dyDescent="0.25">
      <c r="A8269" t="s">
        <v>27448</v>
      </c>
      <c r="B8269" s="1" t="str">
        <f>HYPERLINK("https://www.catalog.slsa.sa.gov.au/record=b2062214")</f>
        <v>https://www.catalog.slsa.sa.gov.au/record=b2062214</v>
      </c>
      <c r="C8269" s="1" t="str">
        <f>HYPERLINK("https://www.catalog.slsa.sa.gov.au/xrecord=b2062214")</f>
        <v>https://www.catalog.slsa.sa.gov.au/xrecord=b2062214</v>
      </c>
      <c r="D8269" t="s">
        <v>16831</v>
      </c>
      <c r="E8269" t="s">
        <v>27449</v>
      </c>
      <c r="F8269">
        <v>1960</v>
      </c>
      <c r="G8269" t="s">
        <v>25786</v>
      </c>
      <c r="H8269" t="s">
        <v>27450</v>
      </c>
      <c r="J8269" t="s">
        <v>24536</v>
      </c>
      <c r="K8269" s="2" t="str">
        <f>HYPERLINK("http://collections.slsa.sa.gov.au/mpcimg/14500/B14292.htm")</f>
        <v>http://collections.slsa.sa.gov.au/mpcimg/14500/B14292.htm</v>
      </c>
    </row>
    <row r="8270" spans="1:11" x14ac:dyDescent="0.25">
      <c r="A8270" t="s">
        <v>27451</v>
      </c>
      <c r="B8270" s="1" t="str">
        <f>HYPERLINK("https://www.catalog.slsa.sa.gov.au/record=b2062241")</f>
        <v>https://www.catalog.slsa.sa.gov.au/record=b2062241</v>
      </c>
      <c r="C8270" s="1" t="str">
        <f>HYPERLINK("https://www.catalog.slsa.sa.gov.au/xrecord=b2062241")</f>
        <v>https://www.catalog.slsa.sa.gov.au/xrecord=b2062241</v>
      </c>
      <c r="D8270" t="s">
        <v>16831</v>
      </c>
      <c r="E8270" t="s">
        <v>24534</v>
      </c>
      <c r="F8270">
        <v>1960</v>
      </c>
      <c r="G8270" t="s">
        <v>25786</v>
      </c>
      <c r="H8270" t="s">
        <v>27452</v>
      </c>
      <c r="J8270" t="s">
        <v>22932</v>
      </c>
      <c r="K8270" s="2" t="str">
        <f>HYPERLINK("http://collections.slsa.sa.gov.au/mpcimg/14500/B14362.htm")</f>
        <v>http://collections.slsa.sa.gov.au/mpcimg/14500/B14362.htm</v>
      </c>
    </row>
    <row r="8271" spans="1:11" x14ac:dyDescent="0.25">
      <c r="A8271" t="s">
        <v>27453</v>
      </c>
      <c r="B8271" s="1" t="str">
        <f>HYPERLINK("https://www.catalog.slsa.sa.gov.au/record=b2062242")</f>
        <v>https://www.catalog.slsa.sa.gov.au/record=b2062242</v>
      </c>
      <c r="C8271" s="1" t="str">
        <f>HYPERLINK("https://www.catalog.slsa.sa.gov.au/xrecord=b2062242")</f>
        <v>https://www.catalog.slsa.sa.gov.au/xrecord=b2062242</v>
      </c>
      <c r="D8271" t="s">
        <v>16831</v>
      </c>
      <c r="E8271" t="s">
        <v>24534</v>
      </c>
      <c r="F8271">
        <v>1960</v>
      </c>
      <c r="G8271" t="s">
        <v>25786</v>
      </c>
      <c r="H8271" t="s">
        <v>27454</v>
      </c>
      <c r="J8271" t="s">
        <v>22932</v>
      </c>
      <c r="K8271" s="2" t="str">
        <f>HYPERLINK("http://collections.slsa.sa.gov.au/mpcimg/14500/B14407.htm")</f>
        <v>http://collections.slsa.sa.gov.au/mpcimg/14500/B14407.htm</v>
      </c>
    </row>
    <row r="8272" spans="1:11" x14ac:dyDescent="0.25">
      <c r="A8272" t="s">
        <v>27455</v>
      </c>
      <c r="B8272" s="1" t="str">
        <f>HYPERLINK("https://www.catalog.slsa.sa.gov.au/record=b2062308")</f>
        <v>https://www.catalog.slsa.sa.gov.au/record=b2062308</v>
      </c>
      <c r="C8272" s="1" t="str">
        <f>HYPERLINK("https://www.catalog.slsa.sa.gov.au/xrecord=b2062308")</f>
        <v>https://www.catalog.slsa.sa.gov.au/xrecord=b2062308</v>
      </c>
      <c r="D8272" t="s">
        <v>16831</v>
      </c>
      <c r="E8272" t="s">
        <v>27456</v>
      </c>
      <c r="F8272">
        <v>1960</v>
      </c>
      <c r="G8272" t="s">
        <v>25786</v>
      </c>
      <c r="H8272" t="s">
        <v>27457</v>
      </c>
      <c r="J8272" t="s">
        <v>22944</v>
      </c>
      <c r="K8272" s="2" t="str">
        <f>HYPERLINK("http://collections.slsa.sa.gov.au/mpcimg/14500/B14353.htm")</f>
        <v>http://collections.slsa.sa.gov.au/mpcimg/14500/B14353.htm</v>
      </c>
    </row>
    <row r="8273" spans="1:11" x14ac:dyDescent="0.25">
      <c r="A8273" t="s">
        <v>27458</v>
      </c>
      <c r="B8273" s="1" t="str">
        <f>HYPERLINK("https://www.catalog.slsa.sa.gov.au/record=b2062321")</f>
        <v>https://www.catalog.slsa.sa.gov.au/record=b2062321</v>
      </c>
      <c r="C8273" s="1" t="str">
        <f>HYPERLINK("https://www.catalog.slsa.sa.gov.au/xrecord=b2062321")</f>
        <v>https://www.catalog.slsa.sa.gov.au/xrecord=b2062321</v>
      </c>
      <c r="D8273" t="s">
        <v>16831</v>
      </c>
      <c r="E8273" t="s">
        <v>17109</v>
      </c>
      <c r="F8273">
        <v>1960</v>
      </c>
      <c r="G8273" t="s">
        <v>25786</v>
      </c>
      <c r="H8273" t="s">
        <v>27459</v>
      </c>
      <c r="J8273" t="s">
        <v>21227</v>
      </c>
      <c r="K8273" s="2" t="str">
        <f>HYPERLINK("http://collections.slsa.sa.gov.au/mpcimg/14500/B14287.htm")</f>
        <v>http://collections.slsa.sa.gov.au/mpcimg/14500/B14287.htm</v>
      </c>
    </row>
    <row r="8274" spans="1:11" x14ac:dyDescent="0.25">
      <c r="A8274" t="s">
        <v>27460</v>
      </c>
      <c r="B8274" s="1" t="str">
        <f>HYPERLINK("https://www.catalog.slsa.sa.gov.au/record=b2062322")</f>
        <v>https://www.catalog.slsa.sa.gov.au/record=b2062322</v>
      </c>
      <c r="C8274" s="1" t="str">
        <f>HYPERLINK("https://www.catalog.slsa.sa.gov.au/xrecord=b2062322")</f>
        <v>https://www.catalog.slsa.sa.gov.au/xrecord=b2062322</v>
      </c>
      <c r="D8274" t="s">
        <v>16831</v>
      </c>
      <c r="E8274" t="s">
        <v>24534</v>
      </c>
      <c r="F8274">
        <v>1960</v>
      </c>
      <c r="G8274" t="s">
        <v>25786</v>
      </c>
      <c r="H8274" t="s">
        <v>27461</v>
      </c>
      <c r="J8274" t="s">
        <v>21227</v>
      </c>
      <c r="K8274" s="2" t="str">
        <f>HYPERLINK("http://collections.slsa.sa.gov.au/mpcimg/14500/B14297.htm")</f>
        <v>http://collections.slsa.sa.gov.au/mpcimg/14500/B14297.htm</v>
      </c>
    </row>
    <row r="8275" spans="1:11" x14ac:dyDescent="0.25">
      <c r="A8275" t="s">
        <v>27462</v>
      </c>
      <c r="B8275" s="1" t="str">
        <f>HYPERLINK("https://www.catalog.slsa.sa.gov.au/record=b2062626")</f>
        <v>https://www.catalog.slsa.sa.gov.au/record=b2062626</v>
      </c>
      <c r="C8275" s="1" t="str">
        <f>HYPERLINK("https://www.catalog.slsa.sa.gov.au/xrecord=b2062626")</f>
        <v>https://www.catalog.slsa.sa.gov.au/xrecord=b2062626</v>
      </c>
      <c r="D8275" t="s">
        <v>16831</v>
      </c>
      <c r="E8275" t="s">
        <v>27463</v>
      </c>
      <c r="F8275">
        <v>1960</v>
      </c>
      <c r="G8275" t="s">
        <v>25786</v>
      </c>
      <c r="H8275" t="s">
        <v>27464</v>
      </c>
      <c r="I8275" t="s">
        <v>24177</v>
      </c>
      <c r="J8275" t="s">
        <v>16834</v>
      </c>
      <c r="K8275" s="2" t="str">
        <f>HYPERLINK("http://collections.slsa.sa.gov.au/mpcimg/14500/B14356.htm")</f>
        <v>http://collections.slsa.sa.gov.au/mpcimg/14500/B14356.htm</v>
      </c>
    </row>
    <row r="8276" spans="1:11" x14ac:dyDescent="0.25">
      <c r="A8276" t="s">
        <v>27465</v>
      </c>
      <c r="B8276" s="1" t="str">
        <f>HYPERLINK("https://www.catalog.slsa.sa.gov.au/record=b2062679")</f>
        <v>https://www.catalog.slsa.sa.gov.au/record=b2062679</v>
      </c>
      <c r="C8276" s="1" t="str">
        <f>HYPERLINK("https://www.catalog.slsa.sa.gov.au/xrecord=b2062679")</f>
        <v>https://www.catalog.slsa.sa.gov.au/xrecord=b2062679</v>
      </c>
      <c r="D8276" t="s">
        <v>16831</v>
      </c>
      <c r="E8276" t="s">
        <v>21267</v>
      </c>
      <c r="F8276">
        <v>1960</v>
      </c>
      <c r="G8276" t="s">
        <v>25786</v>
      </c>
      <c r="H8276" t="s">
        <v>27466</v>
      </c>
      <c r="I8276" t="s">
        <v>24177</v>
      </c>
      <c r="J8276" t="s">
        <v>27467</v>
      </c>
      <c r="K8276" s="2" t="str">
        <f>HYPERLINK("http://collections.slsa.sa.gov.au/mpcimg/14500/B14379.htm")</f>
        <v>http://collections.slsa.sa.gov.au/mpcimg/14500/B14379.htm</v>
      </c>
    </row>
    <row r="8277" spans="1:11" x14ac:dyDescent="0.25">
      <c r="A8277" t="s">
        <v>27468</v>
      </c>
      <c r="B8277" s="1" t="str">
        <f>HYPERLINK("https://www.catalog.slsa.sa.gov.au/record=b2062691")</f>
        <v>https://www.catalog.slsa.sa.gov.au/record=b2062691</v>
      </c>
      <c r="C8277" s="1" t="str">
        <f>HYPERLINK("https://www.catalog.slsa.sa.gov.au/xrecord=b2062691")</f>
        <v>https://www.catalog.slsa.sa.gov.au/xrecord=b2062691</v>
      </c>
      <c r="D8277" t="s">
        <v>16831</v>
      </c>
      <c r="E8277" t="s">
        <v>21267</v>
      </c>
      <c r="F8277">
        <v>1960</v>
      </c>
      <c r="G8277" t="s">
        <v>25786</v>
      </c>
      <c r="H8277" t="s">
        <v>27469</v>
      </c>
      <c r="J8277" t="s">
        <v>25574</v>
      </c>
      <c r="K8277" s="2" t="str">
        <f>HYPERLINK("http://collections.slsa.sa.gov.au/mpcimg/14500/B14378.htm")</f>
        <v>http://collections.slsa.sa.gov.au/mpcimg/14500/B14378.htm</v>
      </c>
    </row>
    <row r="8278" spans="1:11" x14ac:dyDescent="0.25">
      <c r="A8278" t="s">
        <v>27470</v>
      </c>
      <c r="B8278" s="1" t="str">
        <f>HYPERLINK("https://www.catalog.slsa.sa.gov.au/record=b2062767")</f>
        <v>https://www.catalog.slsa.sa.gov.au/record=b2062767</v>
      </c>
      <c r="C8278" s="1" t="str">
        <f>HYPERLINK("https://www.catalog.slsa.sa.gov.au/xrecord=b2062767")</f>
        <v>https://www.catalog.slsa.sa.gov.au/xrecord=b2062767</v>
      </c>
      <c r="D8278" t="s">
        <v>16831</v>
      </c>
      <c r="E8278" t="s">
        <v>24304</v>
      </c>
      <c r="F8278">
        <v>1960</v>
      </c>
      <c r="G8278" t="s">
        <v>25786</v>
      </c>
      <c r="H8278" t="s">
        <v>27471</v>
      </c>
      <c r="I8278" t="s">
        <v>24177</v>
      </c>
      <c r="J8278" t="s">
        <v>24622</v>
      </c>
      <c r="K8278" s="2" t="str">
        <f>HYPERLINK("http://collections.slsa.sa.gov.au/mpcimg/14500/B14325.htm")</f>
        <v>http://collections.slsa.sa.gov.au/mpcimg/14500/B14325.htm</v>
      </c>
    </row>
    <row r="8279" spans="1:11" x14ac:dyDescent="0.25">
      <c r="A8279" t="s">
        <v>27472</v>
      </c>
      <c r="B8279" s="1" t="str">
        <f>HYPERLINK("https://www.catalog.slsa.sa.gov.au/record=b2062768")</f>
        <v>https://www.catalog.slsa.sa.gov.au/record=b2062768</v>
      </c>
      <c r="C8279" s="1" t="str">
        <f>HYPERLINK("https://www.catalog.slsa.sa.gov.au/xrecord=b2062768")</f>
        <v>https://www.catalog.slsa.sa.gov.au/xrecord=b2062768</v>
      </c>
      <c r="D8279" t="s">
        <v>16831</v>
      </c>
      <c r="E8279" t="s">
        <v>24304</v>
      </c>
      <c r="F8279">
        <v>1960</v>
      </c>
      <c r="G8279" t="s">
        <v>25786</v>
      </c>
      <c r="H8279" t="s">
        <v>27473</v>
      </c>
      <c r="I8279" t="s">
        <v>24177</v>
      </c>
      <c r="J8279" t="s">
        <v>24622</v>
      </c>
      <c r="K8279" s="2" t="str">
        <f>HYPERLINK("http://collections.slsa.sa.gov.au/mpcimg/14500/B14351.htm")</f>
        <v>http://collections.slsa.sa.gov.au/mpcimg/14500/B14351.htm</v>
      </c>
    </row>
    <row r="8280" spans="1:11" x14ac:dyDescent="0.25">
      <c r="A8280" t="s">
        <v>27474</v>
      </c>
      <c r="B8280" s="1" t="str">
        <f>HYPERLINK("https://www.catalog.slsa.sa.gov.au/record=b2062779")</f>
        <v>https://www.catalog.slsa.sa.gov.au/record=b2062779</v>
      </c>
      <c r="C8280" s="1" t="str">
        <f>HYPERLINK("https://www.catalog.slsa.sa.gov.au/xrecord=b2062779")</f>
        <v>https://www.catalog.slsa.sa.gov.au/xrecord=b2062779</v>
      </c>
      <c r="D8280" t="s">
        <v>16831</v>
      </c>
      <c r="E8280" t="s">
        <v>24304</v>
      </c>
      <c r="F8280">
        <v>1960</v>
      </c>
      <c r="G8280" t="s">
        <v>25786</v>
      </c>
      <c r="H8280" t="s">
        <v>27475</v>
      </c>
      <c r="J8280" t="s">
        <v>26445</v>
      </c>
      <c r="K8280" s="2" t="str">
        <f>HYPERLINK("http://collections.slsa.sa.gov.au/mpcimg/14500/B14296.htm")</f>
        <v>http://collections.slsa.sa.gov.au/mpcimg/14500/B14296.htm</v>
      </c>
    </row>
    <row r="8281" spans="1:11" x14ac:dyDescent="0.25">
      <c r="A8281" t="s">
        <v>27476</v>
      </c>
      <c r="B8281" s="1" t="str">
        <f>HYPERLINK("https://www.catalog.slsa.sa.gov.au/record=b2062790")</f>
        <v>https://www.catalog.slsa.sa.gov.au/record=b2062790</v>
      </c>
      <c r="C8281" s="1" t="str">
        <f>HYPERLINK("https://www.catalog.slsa.sa.gov.au/xrecord=b2062790")</f>
        <v>https://www.catalog.slsa.sa.gov.au/xrecord=b2062790</v>
      </c>
      <c r="D8281" t="s">
        <v>16831</v>
      </c>
      <c r="E8281" t="s">
        <v>21267</v>
      </c>
      <c r="F8281">
        <v>1960</v>
      </c>
      <c r="G8281" t="s">
        <v>25786</v>
      </c>
      <c r="H8281" t="s">
        <v>27477</v>
      </c>
      <c r="J8281" t="s">
        <v>24625</v>
      </c>
      <c r="K8281" s="2" t="str">
        <f>HYPERLINK("http://collections.slsa.sa.gov.au/mpcimg/14500/B14380.htm")</f>
        <v>http://collections.slsa.sa.gov.au/mpcimg/14500/B14380.htm</v>
      </c>
    </row>
    <row r="8282" spans="1:11" x14ac:dyDescent="0.25">
      <c r="A8282" t="s">
        <v>27478</v>
      </c>
      <c r="B8282" s="1" t="str">
        <f>HYPERLINK("https://www.catalog.slsa.sa.gov.au/record=b2062805")</f>
        <v>https://www.catalog.slsa.sa.gov.au/record=b2062805</v>
      </c>
      <c r="C8282" s="1" t="str">
        <f>HYPERLINK("https://www.catalog.slsa.sa.gov.au/xrecord=b2062805")</f>
        <v>https://www.catalog.slsa.sa.gov.au/xrecord=b2062805</v>
      </c>
      <c r="D8282" t="s">
        <v>16831</v>
      </c>
      <c r="E8282" t="s">
        <v>21267</v>
      </c>
      <c r="F8282">
        <v>1960</v>
      </c>
      <c r="G8282" t="s">
        <v>25786</v>
      </c>
      <c r="H8282" t="s">
        <v>27479</v>
      </c>
      <c r="I8282" t="s">
        <v>27445</v>
      </c>
      <c r="J8282" t="s">
        <v>22956</v>
      </c>
      <c r="K8282" s="2" t="str">
        <f>HYPERLINK("http://collections.slsa.sa.gov.au/mpcimg/14500/B14355.htm")</f>
        <v>http://collections.slsa.sa.gov.au/mpcimg/14500/B14355.htm</v>
      </c>
    </row>
    <row r="8283" spans="1:11" x14ac:dyDescent="0.25">
      <c r="A8283" t="s">
        <v>27480</v>
      </c>
      <c r="B8283" s="1" t="str">
        <f>HYPERLINK("https://www.catalog.slsa.sa.gov.au/record=b2062834")</f>
        <v>https://www.catalog.slsa.sa.gov.au/record=b2062834</v>
      </c>
      <c r="C8283" s="1" t="str">
        <f>HYPERLINK("https://www.catalog.slsa.sa.gov.au/xrecord=b2062834")</f>
        <v>https://www.catalog.slsa.sa.gov.au/xrecord=b2062834</v>
      </c>
      <c r="D8283" t="s">
        <v>16831</v>
      </c>
      <c r="E8283" t="s">
        <v>21267</v>
      </c>
      <c r="F8283">
        <v>1960</v>
      </c>
      <c r="G8283" t="s">
        <v>25786</v>
      </c>
      <c r="H8283" t="s">
        <v>27481</v>
      </c>
      <c r="J8283" t="s">
        <v>21269</v>
      </c>
      <c r="K8283" s="2" t="str">
        <f>HYPERLINK("http://collections.slsa.sa.gov.au/mpcimg/14500/B14375.htm")</f>
        <v>http://collections.slsa.sa.gov.au/mpcimg/14500/B14375.htm</v>
      </c>
    </row>
    <row r="8284" spans="1:11" x14ac:dyDescent="0.25">
      <c r="A8284" t="s">
        <v>27482</v>
      </c>
      <c r="B8284" s="1" t="str">
        <f>HYPERLINK("https://www.catalog.slsa.sa.gov.au/record=b2062835")</f>
        <v>https://www.catalog.slsa.sa.gov.au/record=b2062835</v>
      </c>
      <c r="C8284" s="1" t="str">
        <f>HYPERLINK("https://www.catalog.slsa.sa.gov.au/xrecord=b2062835")</f>
        <v>https://www.catalog.slsa.sa.gov.au/xrecord=b2062835</v>
      </c>
      <c r="D8284" t="s">
        <v>16831</v>
      </c>
      <c r="E8284" t="s">
        <v>21267</v>
      </c>
      <c r="F8284">
        <v>1960</v>
      </c>
      <c r="G8284" t="s">
        <v>25786</v>
      </c>
      <c r="H8284" t="s">
        <v>27483</v>
      </c>
      <c r="J8284" t="s">
        <v>21269</v>
      </c>
      <c r="K8284" s="2" t="str">
        <f>HYPERLINK("http://collections.slsa.sa.gov.au/mpcimg/14500/B14376.htm")</f>
        <v>http://collections.slsa.sa.gov.au/mpcimg/14500/B14376.htm</v>
      </c>
    </row>
    <row r="8285" spans="1:11" x14ac:dyDescent="0.25">
      <c r="A8285" t="s">
        <v>27484</v>
      </c>
      <c r="B8285" s="1" t="str">
        <f>HYPERLINK("https://www.catalog.slsa.sa.gov.au/record=b2062836")</f>
        <v>https://www.catalog.slsa.sa.gov.au/record=b2062836</v>
      </c>
      <c r="C8285" s="1" t="str">
        <f>HYPERLINK("https://www.catalog.slsa.sa.gov.au/xrecord=b2062836")</f>
        <v>https://www.catalog.slsa.sa.gov.au/xrecord=b2062836</v>
      </c>
      <c r="D8285" t="s">
        <v>16831</v>
      </c>
      <c r="E8285" t="s">
        <v>27485</v>
      </c>
      <c r="F8285">
        <v>1960</v>
      </c>
      <c r="G8285" t="s">
        <v>25786</v>
      </c>
      <c r="H8285" t="s">
        <v>27486</v>
      </c>
      <c r="J8285" t="s">
        <v>21269</v>
      </c>
      <c r="K8285" s="2" t="str">
        <f>HYPERLINK("http://collections.slsa.sa.gov.au/mpcimg/14500/B14377.htm")</f>
        <v>http://collections.slsa.sa.gov.au/mpcimg/14500/B14377.htm</v>
      </c>
    </row>
    <row r="8286" spans="1:11" x14ac:dyDescent="0.25">
      <c r="A8286" t="s">
        <v>27487</v>
      </c>
      <c r="B8286" s="1" t="str">
        <f>HYPERLINK("https://www.catalog.slsa.sa.gov.au/record=b2063064")</f>
        <v>https://www.catalog.slsa.sa.gov.au/record=b2063064</v>
      </c>
      <c r="C8286" s="1" t="str">
        <f>HYPERLINK("https://www.catalog.slsa.sa.gov.au/xrecord=b2063064")</f>
        <v>https://www.catalog.slsa.sa.gov.au/xrecord=b2063064</v>
      </c>
      <c r="D8286" t="s">
        <v>16831</v>
      </c>
      <c r="E8286" t="s">
        <v>24652</v>
      </c>
      <c r="F8286">
        <v>1960</v>
      </c>
      <c r="G8286" t="s">
        <v>25786</v>
      </c>
      <c r="H8286" t="s">
        <v>27488</v>
      </c>
      <c r="J8286" t="s">
        <v>21311</v>
      </c>
      <c r="K8286" s="2" t="str">
        <f>HYPERLINK("http://collections.slsa.sa.gov.au/mpcimg/14500/B14315.htm")</f>
        <v>http://collections.slsa.sa.gov.au/mpcimg/14500/B14315.htm</v>
      </c>
    </row>
    <row r="8287" spans="1:11" x14ac:dyDescent="0.25">
      <c r="A8287" t="s">
        <v>27489</v>
      </c>
      <c r="B8287" s="1" t="str">
        <f>HYPERLINK("https://www.catalog.slsa.sa.gov.au/record=b2063180")</f>
        <v>https://www.catalog.slsa.sa.gov.au/record=b2063180</v>
      </c>
      <c r="C8287" s="1" t="str">
        <f>HYPERLINK("https://www.catalog.slsa.sa.gov.au/xrecord=b2063180")</f>
        <v>https://www.catalog.slsa.sa.gov.au/xrecord=b2063180</v>
      </c>
      <c r="D8287" t="s">
        <v>16831</v>
      </c>
      <c r="E8287" t="s">
        <v>27490</v>
      </c>
      <c r="F8287">
        <v>1960</v>
      </c>
      <c r="G8287" t="s">
        <v>25786</v>
      </c>
      <c r="H8287" t="s">
        <v>27491</v>
      </c>
      <c r="J8287" t="s">
        <v>27492</v>
      </c>
      <c r="K8287" s="2" t="str">
        <f>HYPERLINK("http://collections.slsa.sa.gov.au/mpcimg/14500/B14411.htm")</f>
        <v>http://collections.slsa.sa.gov.au/mpcimg/14500/B14411.htm</v>
      </c>
    </row>
    <row r="8288" spans="1:11" x14ac:dyDescent="0.25">
      <c r="A8288" t="s">
        <v>27493</v>
      </c>
      <c r="B8288" s="1" t="str">
        <f>HYPERLINK("https://www.catalog.slsa.sa.gov.au/record=b2063181")</f>
        <v>https://www.catalog.slsa.sa.gov.au/record=b2063181</v>
      </c>
      <c r="C8288" s="1" t="str">
        <f>HYPERLINK("https://www.catalog.slsa.sa.gov.au/xrecord=b2063181")</f>
        <v>https://www.catalog.slsa.sa.gov.au/xrecord=b2063181</v>
      </c>
      <c r="D8288" t="s">
        <v>16831</v>
      </c>
      <c r="E8288" t="s">
        <v>27490</v>
      </c>
      <c r="F8288">
        <v>1960</v>
      </c>
      <c r="G8288" t="s">
        <v>25786</v>
      </c>
      <c r="H8288" t="s">
        <v>27494</v>
      </c>
      <c r="J8288" t="s">
        <v>27492</v>
      </c>
      <c r="K8288" s="2" t="str">
        <f>HYPERLINK("http://collections.slsa.sa.gov.au/mpcimg/14500/B14412.htm")</f>
        <v>http://collections.slsa.sa.gov.au/mpcimg/14500/B14412.htm</v>
      </c>
    </row>
    <row r="8289" spans="1:11" x14ac:dyDescent="0.25">
      <c r="A8289" t="s">
        <v>27495</v>
      </c>
      <c r="B8289" s="1" t="str">
        <f>HYPERLINK("https://www.catalog.slsa.sa.gov.au/record=b2063182")</f>
        <v>https://www.catalog.slsa.sa.gov.au/record=b2063182</v>
      </c>
      <c r="C8289" s="1" t="str">
        <f>HYPERLINK("https://www.catalog.slsa.sa.gov.au/xrecord=b2063182")</f>
        <v>https://www.catalog.slsa.sa.gov.au/xrecord=b2063182</v>
      </c>
      <c r="D8289" t="s">
        <v>16831</v>
      </c>
      <c r="E8289" t="s">
        <v>27490</v>
      </c>
      <c r="F8289">
        <v>1960</v>
      </c>
      <c r="G8289" t="s">
        <v>25786</v>
      </c>
      <c r="H8289" t="s">
        <v>27496</v>
      </c>
      <c r="J8289" t="s">
        <v>27492</v>
      </c>
      <c r="K8289" s="2" t="str">
        <f>HYPERLINK("http://collections.slsa.sa.gov.au/mpcimg/14500/B14413.htm")</f>
        <v>http://collections.slsa.sa.gov.au/mpcimg/14500/B14413.htm</v>
      </c>
    </row>
    <row r="8290" spans="1:11" x14ac:dyDescent="0.25">
      <c r="A8290" t="s">
        <v>27497</v>
      </c>
      <c r="B8290" s="1" t="str">
        <f>HYPERLINK("https://www.catalog.slsa.sa.gov.au/record=b2063183")</f>
        <v>https://www.catalog.slsa.sa.gov.au/record=b2063183</v>
      </c>
      <c r="C8290" s="1" t="str">
        <f>HYPERLINK("https://www.catalog.slsa.sa.gov.au/xrecord=b2063183")</f>
        <v>https://www.catalog.slsa.sa.gov.au/xrecord=b2063183</v>
      </c>
      <c r="D8290" t="s">
        <v>16831</v>
      </c>
      <c r="E8290" t="s">
        <v>27490</v>
      </c>
      <c r="F8290">
        <v>1960</v>
      </c>
      <c r="G8290" t="s">
        <v>25786</v>
      </c>
      <c r="H8290" t="s">
        <v>27498</v>
      </c>
      <c r="J8290" t="s">
        <v>27492</v>
      </c>
      <c r="K8290" s="2" t="str">
        <f>HYPERLINK("http://collections.slsa.sa.gov.au/mpcimg/14500/B14414.htm")</f>
        <v>http://collections.slsa.sa.gov.au/mpcimg/14500/B14414.htm</v>
      </c>
    </row>
    <row r="8291" spans="1:11" x14ac:dyDescent="0.25">
      <c r="A8291" t="s">
        <v>27499</v>
      </c>
      <c r="B8291" s="1" t="str">
        <f>HYPERLINK("https://www.catalog.slsa.sa.gov.au/record=b2063184")</f>
        <v>https://www.catalog.slsa.sa.gov.au/record=b2063184</v>
      </c>
      <c r="C8291" s="1" t="str">
        <f>HYPERLINK("https://www.catalog.slsa.sa.gov.au/xrecord=b2063184")</f>
        <v>https://www.catalog.slsa.sa.gov.au/xrecord=b2063184</v>
      </c>
      <c r="D8291" t="s">
        <v>16831</v>
      </c>
      <c r="E8291" t="s">
        <v>27490</v>
      </c>
      <c r="F8291">
        <v>1960</v>
      </c>
      <c r="G8291" t="s">
        <v>25786</v>
      </c>
      <c r="H8291" t="s">
        <v>27500</v>
      </c>
      <c r="J8291" t="s">
        <v>27492</v>
      </c>
      <c r="K8291" s="2" t="str">
        <f>HYPERLINK("http://collections.slsa.sa.gov.au/mpcimg/14500/B14415.htm")</f>
        <v>http://collections.slsa.sa.gov.au/mpcimg/14500/B14415.htm</v>
      </c>
    </row>
    <row r="8292" spans="1:11" x14ac:dyDescent="0.25">
      <c r="A8292" t="s">
        <v>27501</v>
      </c>
      <c r="B8292" s="1" t="str">
        <f>HYPERLINK("https://www.catalog.slsa.sa.gov.au/record=b2063185")</f>
        <v>https://www.catalog.slsa.sa.gov.au/record=b2063185</v>
      </c>
      <c r="C8292" s="1" t="str">
        <f>HYPERLINK("https://www.catalog.slsa.sa.gov.au/xrecord=b2063185")</f>
        <v>https://www.catalog.slsa.sa.gov.au/xrecord=b2063185</v>
      </c>
      <c r="D8292" t="s">
        <v>16831</v>
      </c>
      <c r="E8292" t="s">
        <v>27490</v>
      </c>
      <c r="F8292">
        <v>1960</v>
      </c>
      <c r="G8292" t="s">
        <v>25786</v>
      </c>
      <c r="H8292" t="s">
        <v>27502</v>
      </c>
      <c r="J8292" t="s">
        <v>27492</v>
      </c>
      <c r="K8292" s="2" t="str">
        <f>HYPERLINK("http://collections.slsa.sa.gov.au/mpcimg/14500/B14416.htm")</f>
        <v>http://collections.slsa.sa.gov.au/mpcimg/14500/B14416.htm</v>
      </c>
    </row>
    <row r="8293" spans="1:11" x14ac:dyDescent="0.25">
      <c r="A8293" t="s">
        <v>27503</v>
      </c>
      <c r="B8293" s="1" t="str">
        <f>HYPERLINK("https://www.catalog.slsa.sa.gov.au/record=b2063435")</f>
        <v>https://www.catalog.slsa.sa.gov.au/record=b2063435</v>
      </c>
      <c r="C8293" s="1" t="str">
        <f>HYPERLINK("https://www.catalog.slsa.sa.gov.au/xrecord=b2063435")</f>
        <v>https://www.catalog.slsa.sa.gov.au/xrecord=b2063435</v>
      </c>
      <c r="D8293" t="s">
        <v>16831</v>
      </c>
      <c r="E8293" t="s">
        <v>24667</v>
      </c>
      <c r="F8293">
        <v>1960</v>
      </c>
      <c r="G8293" t="s">
        <v>25786</v>
      </c>
      <c r="H8293" t="s">
        <v>27504</v>
      </c>
      <c r="I8293" t="s">
        <v>27505</v>
      </c>
      <c r="J8293" t="s">
        <v>26921</v>
      </c>
      <c r="K8293" s="2" t="str">
        <f>HYPERLINK("http://collections.slsa.sa.gov.au/mpcimg/14500/B14365.htm")</f>
        <v>http://collections.slsa.sa.gov.au/mpcimg/14500/B14365.htm</v>
      </c>
    </row>
    <row r="8294" spans="1:11" x14ac:dyDescent="0.25">
      <c r="A8294" t="s">
        <v>27506</v>
      </c>
      <c r="B8294" s="1" t="str">
        <f>HYPERLINK("https://www.catalog.slsa.sa.gov.au/record=b2063436")</f>
        <v>https://www.catalog.slsa.sa.gov.au/record=b2063436</v>
      </c>
      <c r="C8294" s="1" t="str">
        <f>HYPERLINK("https://www.catalog.slsa.sa.gov.au/xrecord=b2063436")</f>
        <v>https://www.catalog.slsa.sa.gov.au/xrecord=b2063436</v>
      </c>
      <c r="D8294" t="s">
        <v>16831</v>
      </c>
      <c r="E8294" t="s">
        <v>24667</v>
      </c>
      <c r="F8294">
        <v>1960</v>
      </c>
      <c r="G8294" t="s">
        <v>25786</v>
      </c>
      <c r="H8294" t="s">
        <v>27507</v>
      </c>
      <c r="I8294" t="s">
        <v>27505</v>
      </c>
      <c r="J8294" t="s">
        <v>26921</v>
      </c>
      <c r="K8294" s="2" t="str">
        <f>HYPERLINK("http://collections.slsa.sa.gov.au/mpcimg/14500/B14366.htm")</f>
        <v>http://collections.slsa.sa.gov.au/mpcimg/14500/B14366.htm</v>
      </c>
    </row>
    <row r="8295" spans="1:11" x14ac:dyDescent="0.25">
      <c r="A8295" t="s">
        <v>27508</v>
      </c>
      <c r="B8295" s="1" t="str">
        <f>HYPERLINK("https://www.catalog.slsa.sa.gov.au/record=b2063627")</f>
        <v>https://www.catalog.slsa.sa.gov.au/record=b2063627</v>
      </c>
      <c r="C8295" s="1" t="str">
        <f>HYPERLINK("https://www.catalog.slsa.sa.gov.au/xrecord=b2063627")</f>
        <v>https://www.catalog.slsa.sa.gov.au/xrecord=b2063627</v>
      </c>
      <c r="D8295" t="s">
        <v>16831</v>
      </c>
      <c r="E8295" t="s">
        <v>24673</v>
      </c>
      <c r="F8295">
        <v>1960</v>
      </c>
      <c r="G8295" t="s">
        <v>25786</v>
      </c>
      <c r="H8295" t="s">
        <v>27509</v>
      </c>
      <c r="J8295" t="s">
        <v>24687</v>
      </c>
      <c r="K8295" s="2" t="str">
        <f>HYPERLINK("http://collections.slsa.sa.gov.au/mpcimg/14500/B14427.htm")</f>
        <v>http://collections.slsa.sa.gov.au/mpcimg/14500/B14427.htm</v>
      </c>
    </row>
    <row r="8296" spans="1:11" x14ac:dyDescent="0.25">
      <c r="A8296" t="s">
        <v>27510</v>
      </c>
      <c r="B8296" s="1" t="str">
        <f>HYPERLINK("https://www.catalog.slsa.sa.gov.au/record=b2063873")</f>
        <v>https://www.catalog.slsa.sa.gov.au/record=b2063873</v>
      </c>
      <c r="C8296" s="1" t="str">
        <f>HYPERLINK("https://www.catalog.slsa.sa.gov.au/xrecord=b2063873")</f>
        <v>https://www.catalog.slsa.sa.gov.au/xrecord=b2063873</v>
      </c>
      <c r="D8296" t="s">
        <v>16831</v>
      </c>
      <c r="E8296" t="s">
        <v>24684</v>
      </c>
      <c r="F8296">
        <v>1960</v>
      </c>
      <c r="G8296" t="s">
        <v>25786</v>
      </c>
      <c r="H8296" t="s">
        <v>27511</v>
      </c>
      <c r="I8296" t="s">
        <v>27512</v>
      </c>
      <c r="J8296" t="s">
        <v>27513</v>
      </c>
      <c r="K8296" s="2" t="str">
        <f>HYPERLINK("http://collections.slsa.sa.gov.au/mpcimg/14500/B14361.htm")</f>
        <v>http://collections.slsa.sa.gov.au/mpcimg/14500/B14361.htm</v>
      </c>
    </row>
    <row r="8297" spans="1:11" x14ac:dyDescent="0.25">
      <c r="A8297" t="s">
        <v>27514</v>
      </c>
      <c r="B8297" s="1" t="str">
        <f>HYPERLINK("https://www.catalog.slsa.sa.gov.au/record=b2063958")</f>
        <v>https://www.catalog.slsa.sa.gov.au/record=b2063958</v>
      </c>
      <c r="C8297" s="1" t="str">
        <f>HYPERLINK("https://www.catalog.slsa.sa.gov.au/xrecord=b2063958")</f>
        <v>https://www.catalog.slsa.sa.gov.au/xrecord=b2063958</v>
      </c>
      <c r="D8297" t="s">
        <v>16831</v>
      </c>
      <c r="E8297" t="s">
        <v>27515</v>
      </c>
      <c r="F8297">
        <v>1960</v>
      </c>
      <c r="G8297" t="s">
        <v>25786</v>
      </c>
      <c r="H8297" t="s">
        <v>27516</v>
      </c>
      <c r="I8297" t="s">
        <v>27517</v>
      </c>
      <c r="J8297" t="s">
        <v>27518</v>
      </c>
      <c r="K8297" s="2" t="str">
        <f>HYPERLINK("http://collections.slsa.sa.gov.au/mpcimg/14500/B14293.htm")</f>
        <v>http://collections.slsa.sa.gov.au/mpcimg/14500/B14293.htm</v>
      </c>
    </row>
    <row r="8298" spans="1:11" x14ac:dyDescent="0.25">
      <c r="A8298" t="s">
        <v>27519</v>
      </c>
      <c r="B8298" s="1" t="str">
        <f>HYPERLINK("https://www.catalog.slsa.sa.gov.au/record=b2063977")</f>
        <v>https://www.catalog.slsa.sa.gov.au/record=b2063977</v>
      </c>
      <c r="C8298" s="1" t="str">
        <f>HYPERLINK("https://www.catalog.slsa.sa.gov.au/xrecord=b2063977")</f>
        <v>https://www.catalog.slsa.sa.gov.au/xrecord=b2063977</v>
      </c>
      <c r="D8298" t="s">
        <v>16831</v>
      </c>
      <c r="E8298" t="s">
        <v>24684</v>
      </c>
      <c r="F8298">
        <v>1960</v>
      </c>
      <c r="G8298" t="s">
        <v>25786</v>
      </c>
      <c r="H8298" t="s">
        <v>27520</v>
      </c>
      <c r="J8298" t="s">
        <v>24708</v>
      </c>
      <c r="K8298" s="2" t="str">
        <f>HYPERLINK("http://collections.slsa.sa.gov.au/mpcimg/14500/B14281.htm")</f>
        <v>http://collections.slsa.sa.gov.au/mpcimg/14500/B14281.htm</v>
      </c>
    </row>
    <row r="8299" spans="1:11" x14ac:dyDescent="0.25">
      <c r="A8299" t="s">
        <v>27521</v>
      </c>
      <c r="B8299" s="1" t="str">
        <f>HYPERLINK("https://www.catalog.slsa.sa.gov.au/record=b2064208")</f>
        <v>https://www.catalog.slsa.sa.gov.au/record=b2064208</v>
      </c>
      <c r="C8299" s="1" t="str">
        <f>HYPERLINK("https://www.catalog.slsa.sa.gov.au/xrecord=b2064208")</f>
        <v>https://www.catalog.slsa.sa.gov.au/xrecord=b2064208</v>
      </c>
      <c r="D8299" t="s">
        <v>16831</v>
      </c>
      <c r="E8299" t="s">
        <v>25643</v>
      </c>
      <c r="F8299">
        <v>1960</v>
      </c>
      <c r="G8299" t="s">
        <v>16832</v>
      </c>
      <c r="H8299" t="s">
        <v>27522</v>
      </c>
      <c r="J8299" t="s">
        <v>26501</v>
      </c>
      <c r="K8299" s="2" t="str">
        <f>HYPERLINK("http://collections.slsa.sa.gov.au/mpcimg/15000/B14886.htm")</f>
        <v>http://collections.slsa.sa.gov.au/mpcimg/15000/B14886.htm</v>
      </c>
    </row>
    <row r="8300" spans="1:11" x14ac:dyDescent="0.25">
      <c r="A8300" t="s">
        <v>27523</v>
      </c>
      <c r="B8300" s="1" t="str">
        <f>HYPERLINK("https://www.catalog.slsa.sa.gov.au/record=b2064209")</f>
        <v>https://www.catalog.slsa.sa.gov.au/record=b2064209</v>
      </c>
      <c r="C8300" s="1" t="str">
        <f>HYPERLINK("https://www.catalog.slsa.sa.gov.au/xrecord=b2064209")</f>
        <v>https://www.catalog.slsa.sa.gov.au/xrecord=b2064209</v>
      </c>
      <c r="D8300" t="s">
        <v>16831</v>
      </c>
      <c r="E8300" t="s">
        <v>25643</v>
      </c>
      <c r="F8300">
        <v>1960</v>
      </c>
      <c r="G8300" t="s">
        <v>16832</v>
      </c>
      <c r="H8300" t="s">
        <v>27524</v>
      </c>
      <c r="J8300" t="s">
        <v>26501</v>
      </c>
      <c r="K8300" s="2" t="str">
        <f>HYPERLINK("http://collections.slsa.sa.gov.au/mpcimg/15000/B14887.htm")</f>
        <v>http://collections.slsa.sa.gov.au/mpcimg/15000/B14887.htm</v>
      </c>
    </row>
    <row r="8301" spans="1:11" x14ac:dyDescent="0.25">
      <c r="A8301" t="s">
        <v>27525</v>
      </c>
      <c r="B8301" s="1" t="str">
        <f>HYPERLINK("https://www.catalog.slsa.sa.gov.au/record=b2064245")</f>
        <v>https://www.catalog.slsa.sa.gov.au/record=b2064245</v>
      </c>
      <c r="C8301" s="1" t="str">
        <f>HYPERLINK("https://www.catalog.slsa.sa.gov.au/xrecord=b2064245")</f>
        <v>https://www.catalog.slsa.sa.gov.au/xrecord=b2064245</v>
      </c>
      <c r="D8301" t="s">
        <v>16831</v>
      </c>
      <c r="E8301" t="s">
        <v>27526</v>
      </c>
      <c r="F8301">
        <v>1960</v>
      </c>
      <c r="G8301" t="s">
        <v>25786</v>
      </c>
      <c r="H8301" t="s">
        <v>27527</v>
      </c>
      <c r="I8301" t="s">
        <v>24720</v>
      </c>
      <c r="J8301" t="s">
        <v>27528</v>
      </c>
      <c r="K8301" s="2" t="str">
        <f>HYPERLINK("http://collections.slsa.sa.gov.au/mpcimg/14500/B14295.htm")</f>
        <v>http://collections.slsa.sa.gov.au/mpcimg/14500/B14295.htm</v>
      </c>
    </row>
    <row r="8302" spans="1:11" x14ac:dyDescent="0.25">
      <c r="A8302" t="s">
        <v>27529</v>
      </c>
      <c r="B8302" s="1" t="str">
        <f>HYPERLINK("https://www.catalog.slsa.sa.gov.au/record=b2064433")</f>
        <v>https://www.catalog.slsa.sa.gov.au/record=b2064433</v>
      </c>
      <c r="C8302" s="1" t="str">
        <f>HYPERLINK("https://www.catalog.slsa.sa.gov.au/xrecord=b2064433")</f>
        <v>https://www.catalog.slsa.sa.gov.au/xrecord=b2064433</v>
      </c>
      <c r="D8302" t="s">
        <v>16831</v>
      </c>
      <c r="E8302" t="s">
        <v>24718</v>
      </c>
      <c r="F8302">
        <v>1960</v>
      </c>
      <c r="G8302" t="s">
        <v>25786</v>
      </c>
      <c r="H8302" t="s">
        <v>27530</v>
      </c>
      <c r="I8302" t="s">
        <v>24720</v>
      </c>
      <c r="J8302" t="s">
        <v>27531</v>
      </c>
      <c r="K8302" s="2" t="str">
        <f>HYPERLINK("http://collections.slsa.sa.gov.au/mpcimg/14500/B14339.htm")</f>
        <v>http://collections.slsa.sa.gov.au/mpcimg/14500/B14339.htm</v>
      </c>
    </row>
    <row r="8303" spans="1:11" x14ac:dyDescent="0.25">
      <c r="A8303" t="s">
        <v>27532</v>
      </c>
      <c r="B8303" s="1" t="str">
        <f>HYPERLINK("https://www.catalog.slsa.sa.gov.au/record=b2064456")</f>
        <v>https://www.catalog.slsa.sa.gov.au/record=b2064456</v>
      </c>
      <c r="C8303" s="1" t="str">
        <f>HYPERLINK("https://www.catalog.slsa.sa.gov.au/xrecord=b2064456")</f>
        <v>https://www.catalog.slsa.sa.gov.au/xrecord=b2064456</v>
      </c>
      <c r="D8303" t="s">
        <v>16831</v>
      </c>
      <c r="E8303" t="s">
        <v>24727</v>
      </c>
      <c r="F8303">
        <v>1960</v>
      </c>
      <c r="G8303" t="s">
        <v>25786</v>
      </c>
      <c r="H8303" t="s">
        <v>27533</v>
      </c>
      <c r="I8303" t="s">
        <v>24720</v>
      </c>
      <c r="J8303" t="s">
        <v>27534</v>
      </c>
      <c r="K8303" s="2" t="str">
        <f>HYPERLINK("http://collections.slsa.sa.gov.au/mpcimg/14500/B14397.htm")</f>
        <v>http://collections.slsa.sa.gov.au/mpcimg/14500/B14397.htm</v>
      </c>
    </row>
    <row r="8304" spans="1:11" x14ac:dyDescent="0.25">
      <c r="A8304" t="s">
        <v>27535</v>
      </c>
      <c r="B8304" s="1" t="str">
        <f>HYPERLINK("https://www.catalog.slsa.sa.gov.au/record=b2064478")</f>
        <v>https://www.catalog.slsa.sa.gov.au/record=b2064478</v>
      </c>
      <c r="C8304" s="1" t="str">
        <f>HYPERLINK("https://www.catalog.slsa.sa.gov.au/xrecord=b2064478")</f>
        <v>https://www.catalog.slsa.sa.gov.au/xrecord=b2064478</v>
      </c>
      <c r="D8304" t="s">
        <v>16831</v>
      </c>
      <c r="E8304" t="s">
        <v>24727</v>
      </c>
      <c r="F8304">
        <v>1960</v>
      </c>
      <c r="G8304" t="s">
        <v>25786</v>
      </c>
      <c r="H8304" t="s">
        <v>27536</v>
      </c>
      <c r="I8304" t="s">
        <v>24720</v>
      </c>
      <c r="J8304" t="s">
        <v>27537</v>
      </c>
      <c r="K8304" s="2" t="str">
        <f>HYPERLINK("http://collections.slsa.sa.gov.au/mpcimg/14500/B14318.htm")</f>
        <v>http://collections.slsa.sa.gov.au/mpcimg/14500/B14318.htm</v>
      </c>
    </row>
    <row r="8305" spans="1:11" x14ac:dyDescent="0.25">
      <c r="A8305" t="s">
        <v>27538</v>
      </c>
      <c r="B8305" s="1" t="str">
        <f>HYPERLINK("https://www.catalog.slsa.sa.gov.au/record=b2064586")</f>
        <v>https://www.catalog.slsa.sa.gov.au/record=b2064586</v>
      </c>
      <c r="C8305" s="1" t="str">
        <f>HYPERLINK("https://www.catalog.slsa.sa.gov.au/xrecord=b2064586")</f>
        <v>https://www.catalog.slsa.sa.gov.au/xrecord=b2064586</v>
      </c>
      <c r="D8305" t="s">
        <v>16831</v>
      </c>
      <c r="E8305" t="s">
        <v>24739</v>
      </c>
      <c r="F8305">
        <v>1960</v>
      </c>
      <c r="G8305" t="s">
        <v>25786</v>
      </c>
      <c r="H8305" t="s">
        <v>27539</v>
      </c>
      <c r="I8305" t="s">
        <v>24720</v>
      </c>
      <c r="J8305" t="s">
        <v>27540</v>
      </c>
      <c r="K8305" s="2" t="str">
        <f>HYPERLINK("http://collections.slsa.sa.gov.au/mpcimg/14500/B14317.htm")</f>
        <v>http://collections.slsa.sa.gov.au/mpcimg/14500/B14317.htm</v>
      </c>
    </row>
    <row r="8306" spans="1:11" x14ac:dyDescent="0.25">
      <c r="A8306" t="s">
        <v>27541</v>
      </c>
      <c r="B8306" s="1" t="str">
        <f>HYPERLINK("https://www.catalog.slsa.sa.gov.au/record=b2064616")</f>
        <v>https://www.catalog.slsa.sa.gov.au/record=b2064616</v>
      </c>
      <c r="C8306" s="1" t="str">
        <f>HYPERLINK("https://www.catalog.slsa.sa.gov.au/xrecord=b2064616")</f>
        <v>https://www.catalog.slsa.sa.gov.au/xrecord=b2064616</v>
      </c>
      <c r="D8306" t="s">
        <v>16831</v>
      </c>
      <c r="E8306" t="s">
        <v>24739</v>
      </c>
      <c r="F8306">
        <v>1960</v>
      </c>
      <c r="G8306" t="s">
        <v>25786</v>
      </c>
      <c r="H8306" t="s">
        <v>27542</v>
      </c>
      <c r="I8306" t="s">
        <v>24177</v>
      </c>
      <c r="J8306" t="s">
        <v>26511</v>
      </c>
      <c r="K8306" s="2" t="str">
        <f>HYPERLINK("http://collections.slsa.sa.gov.au/mpcimg/14500/B14279.htm")</f>
        <v>http://collections.slsa.sa.gov.au/mpcimg/14500/B14279.htm</v>
      </c>
    </row>
    <row r="8307" spans="1:11" x14ac:dyDescent="0.25">
      <c r="A8307" t="s">
        <v>27543</v>
      </c>
      <c r="B8307" s="1" t="str">
        <f>HYPERLINK("https://www.catalog.slsa.sa.gov.au/record=b2064640")</f>
        <v>https://www.catalog.slsa.sa.gov.au/record=b2064640</v>
      </c>
      <c r="C8307" s="1" t="str">
        <f>HYPERLINK("https://www.catalog.slsa.sa.gov.au/xrecord=b2064640")</f>
        <v>https://www.catalog.slsa.sa.gov.au/xrecord=b2064640</v>
      </c>
      <c r="D8307" t="s">
        <v>16831</v>
      </c>
      <c r="E8307" t="s">
        <v>26509</v>
      </c>
      <c r="F8307">
        <v>1960</v>
      </c>
      <c r="G8307" t="s">
        <v>16832</v>
      </c>
      <c r="H8307" t="s">
        <v>27544</v>
      </c>
      <c r="J8307" t="s">
        <v>26514</v>
      </c>
      <c r="K8307" s="2" t="str">
        <f>HYPERLINK("http://collections.slsa.sa.gov.au/mpcimg/15000/B14892.htm")</f>
        <v>http://collections.slsa.sa.gov.au/mpcimg/15000/B14892.htm</v>
      </c>
    </row>
    <row r="8308" spans="1:11" x14ac:dyDescent="0.25">
      <c r="A8308" t="s">
        <v>27545</v>
      </c>
      <c r="B8308" s="1" t="str">
        <f>HYPERLINK("https://www.catalog.slsa.sa.gov.au/record=b2064767")</f>
        <v>https://www.catalog.slsa.sa.gov.au/record=b2064767</v>
      </c>
      <c r="C8308" s="1" t="str">
        <f>HYPERLINK("https://www.catalog.slsa.sa.gov.au/xrecord=b2064767")</f>
        <v>https://www.catalog.slsa.sa.gov.au/xrecord=b2064767</v>
      </c>
      <c r="D8308" t="s">
        <v>16831</v>
      </c>
      <c r="E8308" t="s">
        <v>27546</v>
      </c>
      <c r="F8308">
        <v>1960</v>
      </c>
      <c r="G8308" t="s">
        <v>46</v>
      </c>
      <c r="H8308" t="s">
        <v>27547</v>
      </c>
      <c r="J8308" t="s">
        <v>27548</v>
      </c>
      <c r="K8308" s="2" t="str">
        <f>HYPERLINK("http://collections.slsa.sa.gov.au/mpcimg/14750/B14591.htm")</f>
        <v>http://collections.slsa.sa.gov.au/mpcimg/14750/B14591.htm</v>
      </c>
    </row>
    <row r="8309" spans="1:11" x14ac:dyDescent="0.25">
      <c r="A8309" t="s">
        <v>27549</v>
      </c>
      <c r="B8309" s="1" t="str">
        <f>HYPERLINK("https://www.catalog.slsa.sa.gov.au/record=b2064777")</f>
        <v>https://www.catalog.slsa.sa.gov.au/record=b2064777</v>
      </c>
      <c r="C8309" s="1" t="str">
        <f>HYPERLINK("https://www.catalog.slsa.sa.gov.au/xrecord=b2064777")</f>
        <v>https://www.catalog.slsa.sa.gov.au/xrecord=b2064777</v>
      </c>
      <c r="D8309" t="s">
        <v>16831</v>
      </c>
      <c r="E8309" t="s">
        <v>27550</v>
      </c>
      <c r="F8309">
        <v>1960</v>
      </c>
      <c r="G8309" t="s">
        <v>25786</v>
      </c>
      <c r="H8309" t="s">
        <v>27551</v>
      </c>
      <c r="J8309" t="s">
        <v>27552</v>
      </c>
      <c r="K8309" s="2" t="str">
        <f>HYPERLINK("http://collections.slsa.sa.gov.au/mpcimg/14500/B14369.htm")</f>
        <v>http://collections.slsa.sa.gov.au/mpcimg/14500/B14369.htm</v>
      </c>
    </row>
    <row r="8310" spans="1:11" x14ac:dyDescent="0.25">
      <c r="A8310" t="s">
        <v>27553</v>
      </c>
      <c r="B8310" s="1" t="str">
        <f>HYPERLINK("https://www.catalog.slsa.sa.gov.au/record=b2064804")</f>
        <v>https://www.catalog.slsa.sa.gov.au/record=b2064804</v>
      </c>
      <c r="C8310" s="1" t="str">
        <f>HYPERLINK("https://www.catalog.slsa.sa.gov.au/xrecord=b2064804")</f>
        <v>https://www.catalog.slsa.sa.gov.au/xrecord=b2064804</v>
      </c>
      <c r="D8310" t="s">
        <v>16831</v>
      </c>
      <c r="E8310" t="s">
        <v>27554</v>
      </c>
      <c r="F8310">
        <v>1960</v>
      </c>
      <c r="G8310" t="s">
        <v>25786</v>
      </c>
      <c r="H8310" t="s">
        <v>27555</v>
      </c>
      <c r="J8310" t="s">
        <v>27556</v>
      </c>
      <c r="K8310" s="2" t="str">
        <f>HYPERLINK("http://collections.slsa.sa.gov.au/mpcimg/14500/B14283.htm")</f>
        <v>http://collections.slsa.sa.gov.au/mpcimg/14500/B14283.htm</v>
      </c>
    </row>
    <row r="8311" spans="1:11" x14ac:dyDescent="0.25">
      <c r="A8311" t="s">
        <v>27557</v>
      </c>
      <c r="B8311" s="1" t="str">
        <f>HYPERLINK("https://www.catalog.slsa.sa.gov.au/record=b2066575")</f>
        <v>https://www.catalog.slsa.sa.gov.au/record=b2066575</v>
      </c>
      <c r="C8311" s="1" t="str">
        <f>HYPERLINK("https://www.catalog.slsa.sa.gov.au/xrecord=b2066575")</f>
        <v>https://www.catalog.slsa.sa.gov.au/xrecord=b2066575</v>
      </c>
      <c r="D8311" t="s">
        <v>16831</v>
      </c>
      <c r="E8311" t="s">
        <v>15636</v>
      </c>
      <c r="F8311">
        <v>1960</v>
      </c>
      <c r="G8311" t="s">
        <v>25786</v>
      </c>
      <c r="H8311" t="s">
        <v>27558</v>
      </c>
      <c r="J8311" t="s">
        <v>24751</v>
      </c>
      <c r="K8311" s="2" t="str">
        <f>HYPERLINK("http://collections.slsa.sa.gov.au/mpcimg/14500/B14357.htm")</f>
        <v>http://collections.slsa.sa.gov.au/mpcimg/14500/B14357.htm</v>
      </c>
    </row>
    <row r="8312" spans="1:11" x14ac:dyDescent="0.25">
      <c r="A8312" t="s">
        <v>27559</v>
      </c>
      <c r="B8312" s="1" t="str">
        <f>HYPERLINK("https://www.catalog.slsa.sa.gov.au/record=b2066576")</f>
        <v>https://www.catalog.slsa.sa.gov.au/record=b2066576</v>
      </c>
      <c r="C8312" s="1" t="str">
        <f>HYPERLINK("https://www.catalog.slsa.sa.gov.au/xrecord=b2066576")</f>
        <v>https://www.catalog.slsa.sa.gov.au/xrecord=b2066576</v>
      </c>
      <c r="D8312" t="s">
        <v>16831</v>
      </c>
      <c r="E8312" t="s">
        <v>15636</v>
      </c>
      <c r="F8312">
        <v>1960</v>
      </c>
      <c r="G8312" t="s">
        <v>25786</v>
      </c>
      <c r="H8312" t="s">
        <v>27560</v>
      </c>
      <c r="J8312" t="s">
        <v>24751</v>
      </c>
      <c r="K8312" s="2" t="str">
        <f>HYPERLINK("http://collections.slsa.sa.gov.au/mpcimg/14500/B14358.htm")</f>
        <v>http://collections.slsa.sa.gov.au/mpcimg/14500/B14358.htm</v>
      </c>
    </row>
    <row r="8313" spans="1:11" x14ac:dyDescent="0.25">
      <c r="A8313" t="s">
        <v>27561</v>
      </c>
      <c r="B8313" s="1" t="str">
        <f>HYPERLINK("https://www.catalog.slsa.sa.gov.au/record=b2068223")</f>
        <v>https://www.catalog.slsa.sa.gov.au/record=b2068223</v>
      </c>
      <c r="C8313" s="1" t="str">
        <f>HYPERLINK("https://www.catalog.slsa.sa.gov.au/xrecord=b2068223")</f>
        <v>https://www.catalog.slsa.sa.gov.au/xrecord=b2068223</v>
      </c>
      <c r="D8313" t="s">
        <v>16831</v>
      </c>
      <c r="E8313" t="s">
        <v>27562</v>
      </c>
      <c r="F8313">
        <v>1960</v>
      </c>
      <c r="G8313" t="s">
        <v>25786</v>
      </c>
      <c r="H8313" t="s">
        <v>27563</v>
      </c>
      <c r="I8313" t="s">
        <v>27564</v>
      </c>
      <c r="J8313" t="s">
        <v>16883</v>
      </c>
      <c r="K8313" s="2" t="str">
        <f>HYPERLINK("http://collections.slsa.sa.gov.au/mpcimg/14500/B14319.htm")</f>
        <v>http://collections.slsa.sa.gov.au/mpcimg/14500/B14319.htm</v>
      </c>
    </row>
    <row r="8314" spans="1:11" x14ac:dyDescent="0.25">
      <c r="A8314" t="s">
        <v>27565</v>
      </c>
      <c r="B8314" s="1" t="str">
        <f>HYPERLINK("https://www.catalog.slsa.sa.gov.au/record=b2068224")</f>
        <v>https://www.catalog.slsa.sa.gov.au/record=b2068224</v>
      </c>
      <c r="C8314" s="1" t="str">
        <f>HYPERLINK("https://www.catalog.slsa.sa.gov.au/xrecord=b2068224")</f>
        <v>https://www.catalog.slsa.sa.gov.au/xrecord=b2068224</v>
      </c>
      <c r="D8314" t="s">
        <v>16831</v>
      </c>
      <c r="E8314" t="s">
        <v>27566</v>
      </c>
      <c r="F8314">
        <v>1960</v>
      </c>
      <c r="G8314" t="s">
        <v>25786</v>
      </c>
      <c r="H8314" t="s">
        <v>27567</v>
      </c>
      <c r="J8314" t="s">
        <v>16883</v>
      </c>
      <c r="K8314" s="2" t="str">
        <f>HYPERLINK("http://collections.slsa.sa.gov.au/mpcimg/14500/B14320.htm")</f>
        <v>http://collections.slsa.sa.gov.au/mpcimg/14500/B14320.htm</v>
      </c>
    </row>
    <row r="8315" spans="1:11" x14ac:dyDescent="0.25">
      <c r="A8315" t="s">
        <v>27568</v>
      </c>
      <c r="B8315" s="1" t="str">
        <f>HYPERLINK("https://www.catalog.slsa.sa.gov.au/record=b2068225")</f>
        <v>https://www.catalog.slsa.sa.gov.au/record=b2068225</v>
      </c>
      <c r="C8315" s="1" t="str">
        <f>HYPERLINK("https://www.catalog.slsa.sa.gov.au/xrecord=b2068225")</f>
        <v>https://www.catalog.slsa.sa.gov.au/xrecord=b2068225</v>
      </c>
      <c r="D8315" t="s">
        <v>16831</v>
      </c>
      <c r="E8315" t="s">
        <v>27569</v>
      </c>
      <c r="F8315">
        <v>1960</v>
      </c>
      <c r="G8315" t="s">
        <v>25786</v>
      </c>
      <c r="H8315" t="s">
        <v>27570</v>
      </c>
      <c r="J8315" t="s">
        <v>16883</v>
      </c>
      <c r="K8315" s="2" t="str">
        <f>HYPERLINK("http://collections.slsa.sa.gov.au/mpcimg/14500/B14321.htm")</f>
        <v>http://collections.slsa.sa.gov.au/mpcimg/14500/B14321.htm</v>
      </c>
    </row>
    <row r="8316" spans="1:11" x14ac:dyDescent="0.25">
      <c r="A8316" t="s">
        <v>27571</v>
      </c>
      <c r="B8316" s="1" t="str">
        <f>HYPERLINK("https://www.catalog.slsa.sa.gov.au/record=b2068226")</f>
        <v>https://www.catalog.slsa.sa.gov.au/record=b2068226</v>
      </c>
      <c r="C8316" s="1" t="str">
        <f>HYPERLINK("https://www.catalog.slsa.sa.gov.au/xrecord=b2068226")</f>
        <v>https://www.catalog.slsa.sa.gov.au/xrecord=b2068226</v>
      </c>
      <c r="D8316" t="s">
        <v>16831</v>
      </c>
      <c r="E8316" t="s">
        <v>27572</v>
      </c>
      <c r="F8316">
        <v>1960</v>
      </c>
      <c r="G8316" t="s">
        <v>25786</v>
      </c>
      <c r="H8316" t="s">
        <v>27573</v>
      </c>
      <c r="I8316" t="s">
        <v>27574</v>
      </c>
      <c r="J8316" t="s">
        <v>16883</v>
      </c>
      <c r="K8316" s="2" t="str">
        <f>HYPERLINK("http://collections.slsa.sa.gov.au/mpcimg/14500/B14322.htm")</f>
        <v>http://collections.slsa.sa.gov.au/mpcimg/14500/B14322.htm</v>
      </c>
    </row>
    <row r="8317" spans="1:11" x14ac:dyDescent="0.25">
      <c r="A8317" t="s">
        <v>27575</v>
      </c>
      <c r="B8317" s="1" t="str">
        <f>HYPERLINK("https://www.catalog.slsa.sa.gov.au/record=b2068227")</f>
        <v>https://www.catalog.slsa.sa.gov.au/record=b2068227</v>
      </c>
      <c r="C8317" s="1" t="str">
        <f>HYPERLINK("https://www.catalog.slsa.sa.gov.au/xrecord=b2068227")</f>
        <v>https://www.catalog.slsa.sa.gov.au/xrecord=b2068227</v>
      </c>
      <c r="D8317" t="s">
        <v>16831</v>
      </c>
      <c r="E8317" t="s">
        <v>27576</v>
      </c>
      <c r="F8317">
        <v>1960</v>
      </c>
      <c r="G8317" t="s">
        <v>25786</v>
      </c>
      <c r="H8317" t="s">
        <v>27577</v>
      </c>
      <c r="I8317" t="s">
        <v>27574</v>
      </c>
      <c r="J8317" t="s">
        <v>16883</v>
      </c>
      <c r="K8317" s="2" t="str">
        <f>HYPERLINK("http://collections.slsa.sa.gov.au/mpcimg/14500/B14323.htm")</f>
        <v>http://collections.slsa.sa.gov.au/mpcimg/14500/B14323.htm</v>
      </c>
    </row>
    <row r="8318" spans="1:11" x14ac:dyDescent="0.25">
      <c r="A8318" t="s">
        <v>27578</v>
      </c>
      <c r="B8318" s="1" t="str">
        <f>HYPERLINK("https://www.catalog.slsa.sa.gov.au/record=b2068228")</f>
        <v>https://www.catalog.slsa.sa.gov.au/record=b2068228</v>
      </c>
      <c r="C8318" s="1" t="str">
        <f>HYPERLINK("https://www.catalog.slsa.sa.gov.au/xrecord=b2068228")</f>
        <v>https://www.catalog.slsa.sa.gov.au/xrecord=b2068228</v>
      </c>
      <c r="D8318" t="s">
        <v>16831</v>
      </c>
      <c r="E8318" t="s">
        <v>27579</v>
      </c>
      <c r="F8318">
        <v>1960</v>
      </c>
      <c r="G8318" t="s">
        <v>25786</v>
      </c>
      <c r="H8318" t="s">
        <v>27580</v>
      </c>
      <c r="J8318" t="s">
        <v>16883</v>
      </c>
      <c r="K8318" s="2" t="str">
        <f>HYPERLINK("http://collections.slsa.sa.gov.au/mpcimg/14500/B14324.htm")</f>
        <v>http://collections.slsa.sa.gov.au/mpcimg/14500/B14324.htm</v>
      </c>
    </row>
    <row r="8319" spans="1:11" x14ac:dyDescent="0.25">
      <c r="A8319" t="s">
        <v>27581</v>
      </c>
      <c r="B8319" s="1" t="str">
        <f>HYPERLINK("https://www.catalog.slsa.sa.gov.au/record=b2068229")</f>
        <v>https://www.catalog.slsa.sa.gov.au/record=b2068229</v>
      </c>
      <c r="C8319" s="1" t="str">
        <f>HYPERLINK("https://www.catalog.slsa.sa.gov.au/xrecord=b2068229")</f>
        <v>https://www.catalog.slsa.sa.gov.au/xrecord=b2068229</v>
      </c>
      <c r="D8319" t="s">
        <v>16831</v>
      </c>
      <c r="E8319" t="s">
        <v>16880</v>
      </c>
      <c r="F8319">
        <v>1960</v>
      </c>
      <c r="G8319" t="s">
        <v>25786</v>
      </c>
      <c r="H8319" t="s">
        <v>27582</v>
      </c>
      <c r="J8319" t="s">
        <v>16883</v>
      </c>
      <c r="K8319" s="2" t="str">
        <f>HYPERLINK("http://collections.slsa.sa.gov.au/mpcimg/14500/B14332.htm")</f>
        <v>http://collections.slsa.sa.gov.au/mpcimg/14500/B14332.htm</v>
      </c>
    </row>
    <row r="8320" spans="1:11" x14ac:dyDescent="0.25">
      <c r="A8320" t="s">
        <v>27583</v>
      </c>
      <c r="B8320" s="1" t="str">
        <f>HYPERLINK("https://www.catalog.slsa.sa.gov.au/record=b2068230")</f>
        <v>https://www.catalog.slsa.sa.gov.au/record=b2068230</v>
      </c>
      <c r="C8320" s="1" t="str">
        <f>HYPERLINK("https://www.catalog.slsa.sa.gov.au/xrecord=b2068230")</f>
        <v>https://www.catalog.slsa.sa.gov.au/xrecord=b2068230</v>
      </c>
      <c r="D8320" t="s">
        <v>16831</v>
      </c>
      <c r="E8320" t="s">
        <v>16880</v>
      </c>
      <c r="F8320">
        <v>1960</v>
      </c>
      <c r="G8320" t="s">
        <v>25786</v>
      </c>
      <c r="H8320" t="s">
        <v>27584</v>
      </c>
      <c r="J8320" t="s">
        <v>16883</v>
      </c>
      <c r="K8320" s="2" t="str">
        <f>HYPERLINK("http://collections.slsa.sa.gov.au/mpcimg/14500/B14333.htm")</f>
        <v>http://collections.slsa.sa.gov.au/mpcimg/14500/B14333.htm</v>
      </c>
    </row>
    <row r="8321" spans="1:11" x14ac:dyDescent="0.25">
      <c r="A8321" t="s">
        <v>27585</v>
      </c>
      <c r="B8321" s="1" t="str">
        <f>HYPERLINK("https://www.catalog.slsa.sa.gov.au/record=b2068231")</f>
        <v>https://www.catalog.slsa.sa.gov.au/record=b2068231</v>
      </c>
      <c r="C8321" s="1" t="str">
        <f>HYPERLINK("https://www.catalog.slsa.sa.gov.au/xrecord=b2068231")</f>
        <v>https://www.catalog.slsa.sa.gov.au/xrecord=b2068231</v>
      </c>
      <c r="D8321" t="s">
        <v>16831</v>
      </c>
      <c r="E8321" t="s">
        <v>16880</v>
      </c>
      <c r="F8321">
        <v>1960</v>
      </c>
      <c r="G8321" t="s">
        <v>25786</v>
      </c>
      <c r="H8321" t="s">
        <v>27586</v>
      </c>
      <c r="J8321" t="s">
        <v>16883</v>
      </c>
      <c r="K8321" s="2" t="str">
        <f>HYPERLINK("http://collections.slsa.sa.gov.au/mpcimg/14500/B14422.htm")</f>
        <v>http://collections.slsa.sa.gov.au/mpcimg/14500/B14422.htm</v>
      </c>
    </row>
    <row r="8322" spans="1:11" x14ac:dyDescent="0.25">
      <c r="A8322" t="s">
        <v>27587</v>
      </c>
      <c r="B8322" s="1" t="str">
        <f>HYPERLINK("https://www.catalog.slsa.sa.gov.au/record=b2068232")</f>
        <v>https://www.catalog.slsa.sa.gov.au/record=b2068232</v>
      </c>
      <c r="C8322" s="1" t="str">
        <f>HYPERLINK("https://www.catalog.slsa.sa.gov.au/xrecord=b2068232")</f>
        <v>https://www.catalog.slsa.sa.gov.au/xrecord=b2068232</v>
      </c>
      <c r="D8322" t="s">
        <v>16831</v>
      </c>
      <c r="E8322" t="s">
        <v>16880</v>
      </c>
      <c r="F8322">
        <v>1960</v>
      </c>
      <c r="G8322" t="s">
        <v>25786</v>
      </c>
      <c r="H8322" t="s">
        <v>27588</v>
      </c>
      <c r="J8322" t="s">
        <v>16883</v>
      </c>
      <c r="K8322" s="2" t="str">
        <f>HYPERLINK("http://collections.slsa.sa.gov.au/mpcimg/14500/B14423.htm")</f>
        <v>http://collections.slsa.sa.gov.au/mpcimg/14500/B14423.htm</v>
      </c>
    </row>
    <row r="8323" spans="1:11" x14ac:dyDescent="0.25">
      <c r="A8323" t="s">
        <v>27589</v>
      </c>
      <c r="B8323" s="1" t="str">
        <f>HYPERLINK("https://www.catalog.slsa.sa.gov.au/record=b2068531")</f>
        <v>https://www.catalog.slsa.sa.gov.au/record=b2068531</v>
      </c>
      <c r="C8323" s="1" t="str">
        <f>HYPERLINK("https://www.catalog.slsa.sa.gov.au/xrecord=b2068531")</f>
        <v>https://www.catalog.slsa.sa.gov.au/xrecord=b2068531</v>
      </c>
      <c r="D8323" t="s">
        <v>16831</v>
      </c>
      <c r="E8323" t="s">
        <v>20974</v>
      </c>
      <c r="F8323">
        <v>1960</v>
      </c>
      <c r="G8323" t="s">
        <v>27310</v>
      </c>
      <c r="H8323" t="s">
        <v>27590</v>
      </c>
      <c r="J8323" t="s">
        <v>27591</v>
      </c>
      <c r="K8323" s="2" t="str">
        <f>HYPERLINK("http://collections.slsa.sa.gov.au/mpcimg/14500/B14468.htm")</f>
        <v>http://collections.slsa.sa.gov.au/mpcimg/14500/B14468.htm</v>
      </c>
    </row>
    <row r="8324" spans="1:11" x14ac:dyDescent="0.25">
      <c r="A8324" t="s">
        <v>27592</v>
      </c>
      <c r="B8324" s="1" t="str">
        <f>HYPERLINK("https://www.catalog.slsa.sa.gov.au/record=b2068532")</f>
        <v>https://www.catalog.slsa.sa.gov.au/record=b2068532</v>
      </c>
      <c r="C8324" s="1" t="str">
        <f>HYPERLINK("https://www.catalog.slsa.sa.gov.au/xrecord=b2068532")</f>
        <v>https://www.catalog.slsa.sa.gov.au/xrecord=b2068532</v>
      </c>
      <c r="D8324" t="s">
        <v>16831</v>
      </c>
      <c r="E8324" t="s">
        <v>20974</v>
      </c>
      <c r="F8324">
        <v>1960</v>
      </c>
      <c r="G8324" t="s">
        <v>27310</v>
      </c>
      <c r="H8324" t="s">
        <v>27593</v>
      </c>
      <c r="J8324" t="s">
        <v>27591</v>
      </c>
      <c r="K8324" s="2" t="str">
        <f>HYPERLINK("http://collections.slsa.sa.gov.au/mpcimg/14500/B14467.htm")</f>
        <v>http://collections.slsa.sa.gov.au/mpcimg/14500/B14467.htm</v>
      </c>
    </row>
    <row r="8325" spans="1:11" x14ac:dyDescent="0.25">
      <c r="A8325" t="s">
        <v>27594</v>
      </c>
      <c r="B8325" s="1" t="str">
        <f>HYPERLINK("https://www.catalog.slsa.sa.gov.au/record=b2022537")</f>
        <v>https://www.catalog.slsa.sa.gov.au/record=b2022537</v>
      </c>
      <c r="C8325" s="1" t="str">
        <f>HYPERLINK("https://www.catalog.slsa.sa.gov.au/xrecord=b2022537")</f>
        <v>https://www.catalog.slsa.sa.gov.au/xrecord=b2022537</v>
      </c>
      <c r="E8325" t="s">
        <v>27595</v>
      </c>
      <c r="F8325" t="s">
        <v>10879</v>
      </c>
      <c r="G8325" t="s">
        <v>27596</v>
      </c>
      <c r="H8325" t="s">
        <v>27597</v>
      </c>
      <c r="J8325" t="s">
        <v>27598</v>
      </c>
      <c r="K8325" s="2" t="str">
        <f>HYPERLINK("http://collections.slsa.sa.gov.au/mpcimg/17750/B17704_1.htm")</f>
        <v>http://collections.slsa.sa.gov.au/mpcimg/17750/B17704_1.htm</v>
      </c>
    </row>
    <row r="8326" spans="1:11" x14ac:dyDescent="0.25">
      <c r="A8326" t="s">
        <v>27599</v>
      </c>
      <c r="B8326" s="1" t="str">
        <f>HYPERLINK("https://www.catalog.slsa.sa.gov.au/record=b2022538")</f>
        <v>https://www.catalog.slsa.sa.gov.au/record=b2022538</v>
      </c>
      <c r="C8326" s="1" t="str">
        <f>HYPERLINK("https://www.catalog.slsa.sa.gov.au/xrecord=b2022538")</f>
        <v>https://www.catalog.slsa.sa.gov.au/xrecord=b2022538</v>
      </c>
      <c r="E8326" t="s">
        <v>27595</v>
      </c>
      <c r="F8326" t="s">
        <v>10879</v>
      </c>
      <c r="G8326" t="s">
        <v>27596</v>
      </c>
      <c r="H8326" t="s">
        <v>27597</v>
      </c>
      <c r="J8326" t="s">
        <v>27598</v>
      </c>
      <c r="K8326" s="2" t="str">
        <f>HYPERLINK("http://collections.slsa.sa.gov.au/mpcimg/17750/B17704_2.htm")</f>
        <v>http://collections.slsa.sa.gov.au/mpcimg/17750/B17704_2.htm</v>
      </c>
    </row>
    <row r="8327" spans="1:11" x14ac:dyDescent="0.25">
      <c r="A8327" t="s">
        <v>27600</v>
      </c>
      <c r="B8327" s="1" t="str">
        <f>HYPERLINK("https://www.catalog.slsa.sa.gov.au/record=b2022539")</f>
        <v>https://www.catalog.slsa.sa.gov.au/record=b2022539</v>
      </c>
      <c r="C8327" s="1" t="str">
        <f>HYPERLINK("https://www.catalog.slsa.sa.gov.au/xrecord=b2022539")</f>
        <v>https://www.catalog.slsa.sa.gov.au/xrecord=b2022539</v>
      </c>
      <c r="E8327" t="s">
        <v>27595</v>
      </c>
      <c r="F8327" t="s">
        <v>10879</v>
      </c>
      <c r="G8327" t="s">
        <v>27596</v>
      </c>
      <c r="H8327" t="s">
        <v>27597</v>
      </c>
      <c r="J8327" t="s">
        <v>27598</v>
      </c>
      <c r="K8327" s="2" t="str">
        <f>HYPERLINK("http://collections.slsa.sa.gov.au/mpcimg/17750/B17704_3.htm")</f>
        <v>http://collections.slsa.sa.gov.au/mpcimg/17750/B17704_3.htm</v>
      </c>
    </row>
    <row r="8328" spans="1:11" x14ac:dyDescent="0.25">
      <c r="A8328" t="s">
        <v>27601</v>
      </c>
      <c r="B8328" s="1" t="str">
        <f>HYPERLINK("https://www.catalog.slsa.sa.gov.au/record=b2022540")</f>
        <v>https://www.catalog.slsa.sa.gov.au/record=b2022540</v>
      </c>
      <c r="C8328" s="1" t="str">
        <f>HYPERLINK("https://www.catalog.slsa.sa.gov.au/xrecord=b2022540")</f>
        <v>https://www.catalog.slsa.sa.gov.au/xrecord=b2022540</v>
      </c>
      <c r="E8328" t="s">
        <v>27595</v>
      </c>
      <c r="F8328" t="s">
        <v>10879</v>
      </c>
      <c r="G8328" t="s">
        <v>27596</v>
      </c>
      <c r="H8328" t="s">
        <v>27597</v>
      </c>
      <c r="J8328" t="s">
        <v>27598</v>
      </c>
      <c r="K8328" s="2" t="str">
        <f>HYPERLINK("http://collections.slsa.sa.gov.au/mpcimg/17750/B17704_4.htm")</f>
        <v>http://collections.slsa.sa.gov.au/mpcimg/17750/B17704_4.htm</v>
      </c>
    </row>
    <row r="8329" spans="1:11" x14ac:dyDescent="0.25">
      <c r="A8329" t="s">
        <v>27602</v>
      </c>
      <c r="B8329" s="1" t="str">
        <f>HYPERLINK("https://www.catalog.slsa.sa.gov.au/record=b2023799")</f>
        <v>https://www.catalog.slsa.sa.gov.au/record=b2023799</v>
      </c>
      <c r="C8329" s="1" t="str">
        <f>HYPERLINK("https://www.catalog.slsa.sa.gov.au/xrecord=b2023799")</f>
        <v>https://www.catalog.slsa.sa.gov.au/xrecord=b2023799</v>
      </c>
      <c r="D8329" t="s">
        <v>15039</v>
      </c>
      <c r="E8329" t="s">
        <v>27603</v>
      </c>
      <c r="F8329" t="s">
        <v>10879</v>
      </c>
      <c r="G8329" t="s">
        <v>27604</v>
      </c>
      <c r="H8329" t="s">
        <v>27605</v>
      </c>
      <c r="I8329" t="s">
        <v>27606</v>
      </c>
      <c r="J8329" t="s">
        <v>27607</v>
      </c>
      <c r="K8329" s="2" t="str">
        <f>HYPERLINK("http://collections.slsa.sa.gov.au/mpcimg/48750/B48574.htm")</f>
        <v>http://collections.slsa.sa.gov.au/mpcimg/48750/B48574.htm</v>
      </c>
    </row>
    <row r="8330" spans="1:11" x14ac:dyDescent="0.25">
      <c r="A8330" t="s">
        <v>27608</v>
      </c>
      <c r="B8330" s="1" t="str">
        <f>HYPERLINK("https://www.catalog.slsa.sa.gov.au/record=b2025205")</f>
        <v>https://www.catalog.slsa.sa.gov.au/record=b2025205</v>
      </c>
      <c r="C8330" s="1" t="str">
        <f>HYPERLINK("https://www.catalog.slsa.sa.gov.au/xrecord=b2025205")</f>
        <v>https://www.catalog.slsa.sa.gov.au/xrecord=b2025205</v>
      </c>
      <c r="E8330" t="s">
        <v>27609</v>
      </c>
      <c r="F8330" t="s">
        <v>10879</v>
      </c>
      <c r="G8330" t="s">
        <v>27610</v>
      </c>
      <c r="H8330" t="s">
        <v>27611</v>
      </c>
      <c r="I8330" t="s">
        <v>27612</v>
      </c>
      <c r="J8330" t="s">
        <v>17273</v>
      </c>
      <c r="K8330" s="2" t="str">
        <f>HYPERLINK("http://collections.slsa.sa.gov.au/mpcimg/26750/B26523.htm")</f>
        <v>http://collections.slsa.sa.gov.au/mpcimg/26750/B26523.htm</v>
      </c>
    </row>
    <row r="8331" spans="1:11" x14ac:dyDescent="0.25">
      <c r="A8331" t="s">
        <v>27613</v>
      </c>
      <c r="B8331" s="1" t="str">
        <f>HYPERLINK("https://www.catalog.slsa.sa.gov.au/record=b2025784")</f>
        <v>https://www.catalog.slsa.sa.gov.au/record=b2025784</v>
      </c>
      <c r="C8331" s="1" t="str">
        <f>HYPERLINK("https://www.catalog.slsa.sa.gov.au/xrecord=b2025784")</f>
        <v>https://www.catalog.slsa.sa.gov.au/xrecord=b2025784</v>
      </c>
      <c r="D8331" t="s">
        <v>15039</v>
      </c>
      <c r="E8331" t="s">
        <v>27614</v>
      </c>
      <c r="F8331" t="s">
        <v>10879</v>
      </c>
      <c r="G8331" t="s">
        <v>27615</v>
      </c>
      <c r="H8331" t="s">
        <v>27616</v>
      </c>
      <c r="I8331" t="s">
        <v>27617</v>
      </c>
      <c r="J8331" t="s">
        <v>3486</v>
      </c>
      <c r="K8331" s="2" t="str">
        <f>HYPERLINK("http://collections.slsa.sa.gov.au/mpcimg/48750/B48584.htm")</f>
        <v>http://collections.slsa.sa.gov.au/mpcimg/48750/B48584.htm</v>
      </c>
    </row>
    <row r="8332" spans="1:11" x14ac:dyDescent="0.25">
      <c r="A8332" t="s">
        <v>27618</v>
      </c>
      <c r="B8332" s="1" t="str">
        <f>HYPERLINK("https://www.catalog.slsa.sa.gov.au/record=b2028039")</f>
        <v>https://www.catalog.slsa.sa.gov.au/record=b2028039</v>
      </c>
      <c r="C8332" s="1" t="str">
        <f>HYPERLINK("https://www.catalog.slsa.sa.gov.au/xrecord=b2028039")</f>
        <v>https://www.catalog.slsa.sa.gov.au/xrecord=b2028039</v>
      </c>
      <c r="D8332" t="s">
        <v>15039</v>
      </c>
      <c r="E8332" t="s">
        <v>27619</v>
      </c>
      <c r="F8332" t="s">
        <v>10879</v>
      </c>
      <c r="G8332" t="s">
        <v>27620</v>
      </c>
      <c r="H8332" t="s">
        <v>27621</v>
      </c>
      <c r="I8332" t="s">
        <v>27622</v>
      </c>
      <c r="J8332" t="s">
        <v>19371</v>
      </c>
      <c r="K8332" s="2" t="str">
        <f>HYPERLINK("http://collections.slsa.sa.gov.au/mpcimg/48750/B48555.htm")</f>
        <v>http://collections.slsa.sa.gov.au/mpcimg/48750/B48555.htm</v>
      </c>
    </row>
    <row r="8333" spans="1:11" x14ac:dyDescent="0.25">
      <c r="A8333" t="s">
        <v>27623</v>
      </c>
      <c r="B8333" s="1" t="str">
        <f>HYPERLINK("https://www.catalog.slsa.sa.gov.au/record=b2030085")</f>
        <v>https://www.catalog.slsa.sa.gov.au/record=b2030085</v>
      </c>
      <c r="C8333" s="1" t="str">
        <f>HYPERLINK("https://www.catalog.slsa.sa.gov.au/xrecord=b2030085")</f>
        <v>https://www.catalog.slsa.sa.gov.au/xrecord=b2030085</v>
      </c>
      <c r="D8333" t="s">
        <v>15039</v>
      </c>
      <c r="E8333" t="s">
        <v>27624</v>
      </c>
      <c r="F8333" t="s">
        <v>10879</v>
      </c>
      <c r="G8333" t="s">
        <v>27604</v>
      </c>
      <c r="H8333" t="s">
        <v>27625</v>
      </c>
      <c r="I8333" t="s">
        <v>27626</v>
      </c>
      <c r="J8333" t="s">
        <v>27627</v>
      </c>
      <c r="K8333" s="2" t="str">
        <f>HYPERLINK("http://collections.slsa.sa.gov.au/mpcimg/53500/B53308.htm")</f>
        <v>http://collections.slsa.sa.gov.au/mpcimg/53500/B53308.htm</v>
      </c>
    </row>
    <row r="8334" spans="1:11" x14ac:dyDescent="0.25">
      <c r="A8334" t="s">
        <v>27628</v>
      </c>
      <c r="B8334" s="1" t="str">
        <f>HYPERLINK("https://www.catalog.slsa.sa.gov.au/record=b2032174")</f>
        <v>https://www.catalog.slsa.sa.gov.au/record=b2032174</v>
      </c>
      <c r="C8334" s="1" t="str">
        <f>HYPERLINK("https://www.catalog.slsa.sa.gov.au/xrecord=b2032174")</f>
        <v>https://www.catalog.slsa.sa.gov.au/xrecord=b2032174</v>
      </c>
      <c r="D8334" t="s">
        <v>15039</v>
      </c>
      <c r="E8334" t="s">
        <v>27629</v>
      </c>
      <c r="F8334" t="s">
        <v>10879</v>
      </c>
      <c r="G8334" t="s">
        <v>27630</v>
      </c>
      <c r="H8334" t="s">
        <v>27631</v>
      </c>
      <c r="I8334" t="s">
        <v>9572</v>
      </c>
      <c r="J8334" t="s">
        <v>2963</v>
      </c>
      <c r="K8334" s="2" t="str">
        <f>HYPERLINK("http://collections.slsa.sa.gov.au/mpcimg/53500/B53289.htm")</f>
        <v>http://collections.slsa.sa.gov.au/mpcimg/53500/B53289.htm</v>
      </c>
    </row>
    <row r="8335" spans="1:11" x14ac:dyDescent="0.25">
      <c r="A8335" t="s">
        <v>27632</v>
      </c>
      <c r="B8335" s="1" t="str">
        <f>HYPERLINK("https://www.catalog.slsa.sa.gov.au/record=b2032176")</f>
        <v>https://www.catalog.slsa.sa.gov.au/record=b2032176</v>
      </c>
      <c r="C8335" s="1" t="str">
        <f>HYPERLINK("https://www.catalog.slsa.sa.gov.au/xrecord=b2032176")</f>
        <v>https://www.catalog.slsa.sa.gov.au/xrecord=b2032176</v>
      </c>
      <c r="D8335" t="s">
        <v>15039</v>
      </c>
      <c r="E8335" t="s">
        <v>27044</v>
      </c>
      <c r="F8335" t="s">
        <v>10879</v>
      </c>
      <c r="G8335" t="s">
        <v>27633</v>
      </c>
      <c r="H8335" t="s">
        <v>27634</v>
      </c>
      <c r="J8335" t="s">
        <v>2963</v>
      </c>
      <c r="K8335" s="2" t="str">
        <f>HYPERLINK("http://collections.slsa.sa.gov.au/mpcimg/53500/B53312.htm")</f>
        <v>http://collections.slsa.sa.gov.au/mpcimg/53500/B53312.htm</v>
      </c>
    </row>
    <row r="8336" spans="1:11" x14ac:dyDescent="0.25">
      <c r="A8336" t="s">
        <v>27635</v>
      </c>
      <c r="B8336" s="1" t="str">
        <f>HYPERLINK("https://www.catalog.slsa.sa.gov.au/record=b2033214")</f>
        <v>https://www.catalog.slsa.sa.gov.au/record=b2033214</v>
      </c>
      <c r="C8336" s="1" t="str">
        <f>HYPERLINK("https://www.catalog.slsa.sa.gov.au/xrecord=b2033214")</f>
        <v>https://www.catalog.slsa.sa.gov.au/xrecord=b2033214</v>
      </c>
      <c r="D8336" t="s">
        <v>15039</v>
      </c>
      <c r="E8336" t="s">
        <v>27636</v>
      </c>
      <c r="F8336" t="s">
        <v>10879</v>
      </c>
      <c r="G8336" t="s">
        <v>27637</v>
      </c>
      <c r="H8336" t="s">
        <v>27638</v>
      </c>
      <c r="I8336" t="s">
        <v>27639</v>
      </c>
      <c r="J8336" t="s">
        <v>14946</v>
      </c>
      <c r="K8336" s="2" t="str">
        <f>HYPERLINK("http://collections.slsa.sa.gov.au/mpcimg/48750/B48565.htm")</f>
        <v>http://collections.slsa.sa.gov.au/mpcimg/48750/B48565.htm</v>
      </c>
    </row>
    <row r="8337" spans="1:11" x14ac:dyDescent="0.25">
      <c r="A8337" t="s">
        <v>27640</v>
      </c>
      <c r="B8337" s="1" t="str">
        <f>HYPERLINK("https://www.catalog.slsa.sa.gov.au/record=b2033215")</f>
        <v>https://www.catalog.slsa.sa.gov.au/record=b2033215</v>
      </c>
      <c r="C8337" s="1" t="str">
        <f>HYPERLINK("https://www.catalog.slsa.sa.gov.au/xrecord=b2033215")</f>
        <v>https://www.catalog.slsa.sa.gov.au/xrecord=b2033215</v>
      </c>
      <c r="D8337" t="s">
        <v>15039</v>
      </c>
      <c r="E8337" t="s">
        <v>27641</v>
      </c>
      <c r="F8337" t="s">
        <v>10879</v>
      </c>
      <c r="G8337" t="s">
        <v>27642</v>
      </c>
      <c r="H8337" t="s">
        <v>27643</v>
      </c>
      <c r="I8337" t="s">
        <v>27639</v>
      </c>
      <c r="J8337" t="s">
        <v>14946</v>
      </c>
      <c r="K8337" s="2" t="str">
        <f>HYPERLINK("http://collections.slsa.sa.gov.au/mpcimg/48750/B48566.htm")</f>
        <v>http://collections.slsa.sa.gov.au/mpcimg/48750/B48566.htm</v>
      </c>
    </row>
    <row r="8338" spans="1:11" x14ac:dyDescent="0.25">
      <c r="A8338" t="s">
        <v>27644</v>
      </c>
      <c r="B8338" s="1" t="str">
        <f>HYPERLINK("https://www.catalog.slsa.sa.gov.au/record=b2036981")</f>
        <v>https://www.catalog.slsa.sa.gov.au/record=b2036981</v>
      </c>
      <c r="C8338" s="1" t="str">
        <f>HYPERLINK("https://www.catalog.slsa.sa.gov.au/xrecord=b2036981")</f>
        <v>https://www.catalog.slsa.sa.gov.au/xrecord=b2036981</v>
      </c>
      <c r="D8338" t="s">
        <v>15039</v>
      </c>
      <c r="E8338" t="s">
        <v>27645</v>
      </c>
      <c r="F8338" t="s">
        <v>10879</v>
      </c>
      <c r="G8338" t="s">
        <v>27646</v>
      </c>
      <c r="H8338" t="s">
        <v>27647</v>
      </c>
      <c r="I8338" t="s">
        <v>27648</v>
      </c>
      <c r="J8338" t="s">
        <v>5399</v>
      </c>
      <c r="K8338" s="2" t="str">
        <f>HYPERLINK("http://collections.slsa.sa.gov.au/mpcimg/48750/B48538.htm")</f>
        <v>http://collections.slsa.sa.gov.au/mpcimg/48750/B48538.htm</v>
      </c>
    </row>
    <row r="8339" spans="1:11" x14ac:dyDescent="0.25">
      <c r="A8339" t="s">
        <v>27649</v>
      </c>
      <c r="B8339" s="1" t="str">
        <f>HYPERLINK("https://www.catalog.slsa.sa.gov.au/record=b2064075")</f>
        <v>https://www.catalog.slsa.sa.gov.au/record=b2064075</v>
      </c>
      <c r="C8339" s="1" t="str">
        <f>HYPERLINK("https://www.catalog.slsa.sa.gov.au/xrecord=b2064075")</f>
        <v>https://www.catalog.slsa.sa.gov.au/xrecord=b2064075</v>
      </c>
      <c r="D8339" t="s">
        <v>16831</v>
      </c>
      <c r="E8339" t="s">
        <v>27650</v>
      </c>
      <c r="F8339" t="s">
        <v>10879</v>
      </c>
      <c r="G8339" t="s">
        <v>15147</v>
      </c>
      <c r="H8339" t="s">
        <v>27651</v>
      </c>
      <c r="I8339" t="s">
        <v>27652</v>
      </c>
      <c r="J8339" t="s">
        <v>27653</v>
      </c>
      <c r="K8339" s="2" t="str">
        <f>HYPERLINK("http://collections.slsa.sa.gov.au/mpcimg/38250/B38028.htm")</f>
        <v>http://collections.slsa.sa.gov.au/mpcimg/38250/B38028.htm</v>
      </c>
    </row>
    <row r="8340" spans="1:11" x14ac:dyDescent="0.25">
      <c r="A8340" t="s">
        <v>27654</v>
      </c>
      <c r="B8340" s="1" t="str">
        <f>HYPERLINK("https://www.catalog.slsa.sa.gov.au/record=b2077895")</f>
        <v>https://www.catalog.slsa.sa.gov.au/record=b2077895</v>
      </c>
      <c r="C8340" s="1" t="str">
        <f>HYPERLINK("https://www.catalog.slsa.sa.gov.au/xrecord=b2077895")</f>
        <v>https://www.catalog.slsa.sa.gov.au/xrecord=b2077895</v>
      </c>
      <c r="D8340" t="s">
        <v>66</v>
      </c>
      <c r="E8340" t="s">
        <v>27655</v>
      </c>
      <c r="F8340" t="s">
        <v>10879</v>
      </c>
      <c r="G8340" t="s">
        <v>15269</v>
      </c>
      <c r="H8340" t="s">
        <v>27656</v>
      </c>
      <c r="I8340" t="s">
        <v>27657</v>
      </c>
      <c r="J8340" t="s">
        <v>1809</v>
      </c>
      <c r="K8340" s="2" t="str">
        <f>HYPERLINK("http://collections.slsa.sa.gov.au/mpcimg/56000/B55818.htm")</f>
        <v>http://collections.slsa.sa.gov.au/mpcimg/56000/B55818.htm</v>
      </c>
    </row>
    <row r="8341" spans="1:11" x14ac:dyDescent="0.25">
      <c r="A8341" t="s">
        <v>27658</v>
      </c>
      <c r="B8341" s="1" t="str">
        <f>HYPERLINK("https://www.catalog.slsa.sa.gov.au/record=b2093258")</f>
        <v>https://www.catalog.slsa.sa.gov.au/record=b2093258</v>
      </c>
      <c r="C8341" s="1" t="str">
        <f>HYPERLINK("https://www.catalog.slsa.sa.gov.au/xrecord=b2093258")</f>
        <v>https://www.catalog.slsa.sa.gov.au/xrecord=b2093258</v>
      </c>
      <c r="D8341" t="s">
        <v>15039</v>
      </c>
      <c r="E8341" t="s">
        <v>27659</v>
      </c>
      <c r="F8341" t="s">
        <v>10879</v>
      </c>
      <c r="G8341" t="s">
        <v>27660</v>
      </c>
      <c r="H8341" t="s">
        <v>27661</v>
      </c>
      <c r="I8341" t="s">
        <v>6523</v>
      </c>
      <c r="J8341" t="s">
        <v>15449</v>
      </c>
      <c r="K8341" s="2" t="str">
        <f>HYPERLINK("http://collections.slsa.sa.gov.au/mpcimg/08000/B7798_283.htm")</f>
        <v>http://collections.slsa.sa.gov.au/mpcimg/08000/B7798_283.htm</v>
      </c>
    </row>
    <row r="8342" spans="1:11" x14ac:dyDescent="0.25">
      <c r="A8342" t="s">
        <v>27662</v>
      </c>
      <c r="B8342" s="1" t="str">
        <f>HYPERLINK("https://www.catalog.slsa.sa.gov.au/record=b2093259")</f>
        <v>https://www.catalog.slsa.sa.gov.au/record=b2093259</v>
      </c>
      <c r="C8342" s="1" t="str">
        <f>HYPERLINK("https://www.catalog.slsa.sa.gov.au/xrecord=b2093259")</f>
        <v>https://www.catalog.slsa.sa.gov.au/xrecord=b2093259</v>
      </c>
      <c r="D8342" t="s">
        <v>15039</v>
      </c>
      <c r="E8342" t="s">
        <v>27659</v>
      </c>
      <c r="F8342" t="s">
        <v>10879</v>
      </c>
      <c r="G8342" t="s">
        <v>27663</v>
      </c>
      <c r="H8342" t="s">
        <v>27664</v>
      </c>
      <c r="I8342" t="s">
        <v>6523</v>
      </c>
      <c r="J8342" t="s">
        <v>15449</v>
      </c>
      <c r="K8342" s="2" t="str">
        <f>HYPERLINK("http://collections.slsa.sa.gov.au/mpcimg/08000/B7798_284.htm")</f>
        <v>http://collections.slsa.sa.gov.au/mpcimg/08000/B7798_284.htm</v>
      </c>
    </row>
    <row r="8343" spans="1:11" x14ac:dyDescent="0.25">
      <c r="A8343" t="s">
        <v>27665</v>
      </c>
      <c r="B8343" s="1" t="str">
        <f>HYPERLINK("https://www.catalog.slsa.sa.gov.au/record=b2093269")</f>
        <v>https://www.catalog.slsa.sa.gov.au/record=b2093269</v>
      </c>
      <c r="C8343" s="1" t="str">
        <f>HYPERLINK("https://www.catalog.slsa.sa.gov.au/xrecord=b2093269")</f>
        <v>https://www.catalog.slsa.sa.gov.au/xrecord=b2093269</v>
      </c>
      <c r="D8343" t="s">
        <v>15039</v>
      </c>
      <c r="E8343" t="s">
        <v>27666</v>
      </c>
      <c r="F8343" t="s">
        <v>10879</v>
      </c>
      <c r="G8343" t="s">
        <v>19812</v>
      </c>
      <c r="H8343" t="s">
        <v>27667</v>
      </c>
      <c r="I8343" t="s">
        <v>6523</v>
      </c>
      <c r="J8343" t="s">
        <v>15449</v>
      </c>
      <c r="K8343" s="2" t="str">
        <f>HYPERLINK("http://collections.slsa.sa.gov.au/mpcimg/08000/B7798_294.htm")</f>
        <v>http://collections.slsa.sa.gov.au/mpcimg/08000/B7798_294.htm</v>
      </c>
    </row>
    <row r="8344" spans="1:11" x14ac:dyDescent="0.25">
      <c r="A8344" t="s">
        <v>27668</v>
      </c>
      <c r="B8344" s="1" t="str">
        <f>HYPERLINK("https://www.catalog.slsa.sa.gov.au/record=b2955006")</f>
        <v>https://www.catalog.slsa.sa.gov.au/record=b2955006</v>
      </c>
      <c r="C8344" s="1" t="str">
        <f>HYPERLINK("https://www.catalog.slsa.sa.gov.au/xrecord=b2955006")</f>
        <v>https://www.catalog.slsa.sa.gov.au/xrecord=b2955006</v>
      </c>
      <c r="E8344" t="s">
        <v>27669</v>
      </c>
      <c r="F8344" t="s">
        <v>10879</v>
      </c>
      <c r="G8344" t="s">
        <v>27670</v>
      </c>
      <c r="H8344" t="s">
        <v>27671</v>
      </c>
      <c r="I8344" t="s">
        <v>27672</v>
      </c>
      <c r="J8344" t="s">
        <v>2510</v>
      </c>
      <c r="K8344" s="2" t="str">
        <f>HYPERLINK("http://collections.slsa.sa.gov.au/resource/B+73755/11")</f>
        <v>http://collections.slsa.sa.gov.au/resource/B+73755/11</v>
      </c>
    </row>
    <row r="8345" spans="1:11" x14ac:dyDescent="0.25">
      <c r="A8345" t="s">
        <v>27673</v>
      </c>
      <c r="B8345" s="1" t="str">
        <f>HYPERLINK("https://www.catalog.slsa.sa.gov.au/record=b2955007")</f>
        <v>https://www.catalog.slsa.sa.gov.au/record=b2955007</v>
      </c>
      <c r="C8345" s="1" t="str">
        <f>HYPERLINK("https://www.catalog.slsa.sa.gov.au/xrecord=b2955007")</f>
        <v>https://www.catalog.slsa.sa.gov.au/xrecord=b2955007</v>
      </c>
      <c r="E8345" t="s">
        <v>27669</v>
      </c>
      <c r="F8345" t="s">
        <v>10879</v>
      </c>
      <c r="G8345" t="s">
        <v>27674</v>
      </c>
      <c r="H8345" t="s">
        <v>27675</v>
      </c>
      <c r="I8345" t="s">
        <v>27672</v>
      </c>
      <c r="J8345" t="s">
        <v>2510</v>
      </c>
      <c r="K8345" s="2" t="str">
        <f>HYPERLINK("http://collections.slsa.sa.gov.au/resource/B+73755/10")</f>
        <v>http://collections.slsa.sa.gov.au/resource/B+73755/10</v>
      </c>
    </row>
    <row r="8346" spans="1:11" x14ac:dyDescent="0.25">
      <c r="A8346" t="s">
        <v>27676</v>
      </c>
      <c r="B8346" s="1" t="str">
        <f>HYPERLINK("https://www.catalog.slsa.sa.gov.au/record=b3017225")</f>
        <v>https://www.catalog.slsa.sa.gov.au/record=b3017225</v>
      </c>
      <c r="C8346" s="1" t="str">
        <f>HYPERLINK("https://www.catalog.slsa.sa.gov.au/xrecord=b3017225")</f>
        <v>https://www.catalog.slsa.sa.gov.au/xrecord=b3017225</v>
      </c>
      <c r="D8346" t="s">
        <v>18855</v>
      </c>
      <c r="E8346" t="s">
        <v>27677</v>
      </c>
      <c r="F8346" t="s">
        <v>10879</v>
      </c>
      <c r="G8346" t="s">
        <v>18858</v>
      </c>
      <c r="H8346" t="s">
        <v>27678</v>
      </c>
      <c r="I8346" t="s">
        <v>27679</v>
      </c>
      <c r="J8346" t="s">
        <v>2510</v>
      </c>
      <c r="K8346" s="2" t="str">
        <f>HYPERLINK("http://collections.slsa.sa.gov.au/resource/B+74130/5")</f>
        <v>http://collections.slsa.sa.gov.au/resource/B+74130/5</v>
      </c>
    </row>
    <row r="8347" spans="1:11" x14ac:dyDescent="0.25">
      <c r="A8347" t="s">
        <v>27680</v>
      </c>
      <c r="B8347" s="1" t="str">
        <f>HYPERLINK("https://www.catalog.slsa.sa.gov.au/record=b2908537")</f>
        <v>https://www.catalog.slsa.sa.gov.au/record=b2908537</v>
      </c>
      <c r="C8347" s="1" t="str">
        <f>HYPERLINK("https://www.catalog.slsa.sa.gov.au/xrecord=b2908537")</f>
        <v>https://www.catalog.slsa.sa.gov.au/xrecord=b2908537</v>
      </c>
      <c r="E8347" t="s">
        <v>27681</v>
      </c>
      <c r="F8347" t="s">
        <v>27682</v>
      </c>
      <c r="G8347" t="s">
        <v>27683</v>
      </c>
      <c r="H8347" t="s">
        <v>27684</v>
      </c>
      <c r="I8347" t="s">
        <v>27685</v>
      </c>
      <c r="J8347" t="s">
        <v>2510</v>
      </c>
      <c r="K8347" s="2" t="str">
        <f>HYPERLINK("http://collections.slsa.sa.gov.au/resource/B+72834/5")</f>
        <v>http://collections.slsa.sa.gov.au/resource/B+72834/5</v>
      </c>
    </row>
    <row r="8348" spans="1:11" x14ac:dyDescent="0.25">
      <c r="A8348" t="s">
        <v>27686</v>
      </c>
      <c r="B8348" s="1" t="str">
        <f>HYPERLINK("https://www.catalog.slsa.sa.gov.au/record=b2908898")</f>
        <v>https://www.catalog.slsa.sa.gov.au/record=b2908898</v>
      </c>
      <c r="C8348" s="1" t="str">
        <f>HYPERLINK("https://www.catalog.slsa.sa.gov.au/xrecord=b2908898")</f>
        <v>https://www.catalog.slsa.sa.gov.au/xrecord=b2908898</v>
      </c>
      <c r="E8348" t="s">
        <v>27687</v>
      </c>
      <c r="F8348" t="s">
        <v>27682</v>
      </c>
      <c r="G8348" t="s">
        <v>27688</v>
      </c>
      <c r="H8348" t="s">
        <v>27689</v>
      </c>
      <c r="I8348" t="s">
        <v>27690</v>
      </c>
      <c r="J8348" t="s">
        <v>2510</v>
      </c>
      <c r="K8348" s="2" t="str">
        <f>HYPERLINK("http://collections.slsa.sa.gov.au/resource/B+72834/59")</f>
        <v>http://collections.slsa.sa.gov.au/resource/B+72834/59</v>
      </c>
    </row>
    <row r="8349" spans="1:11" x14ac:dyDescent="0.25">
      <c r="A8349" t="s">
        <v>27691</v>
      </c>
      <c r="B8349" s="1" t="str">
        <f>HYPERLINK("https://www.catalog.slsa.sa.gov.au/record=b2908899")</f>
        <v>https://www.catalog.slsa.sa.gov.au/record=b2908899</v>
      </c>
      <c r="C8349" s="1" t="str">
        <f>HYPERLINK("https://www.catalog.slsa.sa.gov.au/xrecord=b2908899")</f>
        <v>https://www.catalog.slsa.sa.gov.au/xrecord=b2908899</v>
      </c>
      <c r="E8349" t="s">
        <v>27692</v>
      </c>
      <c r="F8349" t="s">
        <v>27682</v>
      </c>
      <c r="G8349" t="s">
        <v>27693</v>
      </c>
      <c r="H8349" t="s">
        <v>27694</v>
      </c>
      <c r="I8349" t="s">
        <v>27695</v>
      </c>
      <c r="J8349" t="s">
        <v>2510</v>
      </c>
      <c r="K8349" s="2" t="str">
        <f>HYPERLINK("http://collections.slsa.sa.gov.au/resource/B+72834/60")</f>
        <v>http://collections.slsa.sa.gov.au/resource/B+72834/60</v>
      </c>
    </row>
    <row r="8350" spans="1:11" x14ac:dyDescent="0.25">
      <c r="A8350" t="s">
        <v>27696</v>
      </c>
      <c r="B8350" s="1" t="str">
        <f>HYPERLINK("https://www.catalog.slsa.sa.gov.au/record=b2908900")</f>
        <v>https://www.catalog.slsa.sa.gov.au/record=b2908900</v>
      </c>
      <c r="C8350" s="1" t="str">
        <f>HYPERLINK("https://www.catalog.slsa.sa.gov.au/xrecord=b2908900")</f>
        <v>https://www.catalog.slsa.sa.gov.au/xrecord=b2908900</v>
      </c>
      <c r="E8350" t="s">
        <v>27697</v>
      </c>
      <c r="F8350" t="s">
        <v>27682</v>
      </c>
      <c r="G8350" t="s">
        <v>27698</v>
      </c>
      <c r="H8350" t="s">
        <v>27699</v>
      </c>
      <c r="I8350" t="s">
        <v>27700</v>
      </c>
      <c r="J8350" t="s">
        <v>2510</v>
      </c>
      <c r="K8350" s="2" t="str">
        <f>HYPERLINK("http://collections.slsa.sa.gov.au/resource/B+72834/61")</f>
        <v>http://collections.slsa.sa.gov.au/resource/B+72834/61</v>
      </c>
    </row>
    <row r="8351" spans="1:11" x14ac:dyDescent="0.25">
      <c r="A8351" t="s">
        <v>27701</v>
      </c>
      <c r="B8351" s="1" t="str">
        <f>HYPERLINK("https://www.catalog.slsa.sa.gov.au/record=b2908901")</f>
        <v>https://www.catalog.slsa.sa.gov.au/record=b2908901</v>
      </c>
      <c r="C8351" s="1" t="str">
        <f>HYPERLINK("https://www.catalog.slsa.sa.gov.au/xrecord=b2908901")</f>
        <v>https://www.catalog.slsa.sa.gov.au/xrecord=b2908901</v>
      </c>
      <c r="E8351" t="s">
        <v>27702</v>
      </c>
      <c r="F8351" t="s">
        <v>27682</v>
      </c>
      <c r="G8351" t="s">
        <v>27698</v>
      </c>
      <c r="H8351" t="s">
        <v>27703</v>
      </c>
      <c r="I8351" t="s">
        <v>27704</v>
      </c>
      <c r="J8351" t="s">
        <v>2510</v>
      </c>
      <c r="K8351" s="2" t="str">
        <f>HYPERLINK("http://collections.slsa.sa.gov.au/resource/B+72834/62")</f>
        <v>http://collections.slsa.sa.gov.au/resource/B+72834/62</v>
      </c>
    </row>
    <row r="8352" spans="1:11" x14ac:dyDescent="0.25">
      <c r="A8352" t="s">
        <v>27705</v>
      </c>
      <c r="B8352" s="1" t="str">
        <f>HYPERLINK("https://www.catalog.slsa.sa.gov.au/record=b2908903")</f>
        <v>https://www.catalog.slsa.sa.gov.au/record=b2908903</v>
      </c>
      <c r="C8352" s="1" t="str">
        <f>HYPERLINK("https://www.catalog.slsa.sa.gov.au/xrecord=b2908903")</f>
        <v>https://www.catalog.slsa.sa.gov.au/xrecord=b2908903</v>
      </c>
      <c r="E8352" t="s">
        <v>27706</v>
      </c>
      <c r="F8352" t="s">
        <v>27682</v>
      </c>
      <c r="G8352" t="s">
        <v>27698</v>
      </c>
      <c r="H8352" t="s">
        <v>27707</v>
      </c>
      <c r="I8352" t="s">
        <v>27708</v>
      </c>
      <c r="J8352" t="s">
        <v>2510</v>
      </c>
      <c r="K8352" s="2" t="str">
        <f>HYPERLINK("http://collections.slsa.sa.gov.au/resource/B+72834/63")</f>
        <v>http://collections.slsa.sa.gov.au/resource/B+72834/63</v>
      </c>
    </row>
    <row r="8353" spans="1:11" x14ac:dyDescent="0.25">
      <c r="A8353" t="s">
        <v>27709</v>
      </c>
      <c r="B8353" s="1" t="str">
        <f>HYPERLINK("https://www.catalog.slsa.sa.gov.au/record=b2908905")</f>
        <v>https://www.catalog.slsa.sa.gov.au/record=b2908905</v>
      </c>
      <c r="C8353" s="1" t="str">
        <f>HYPERLINK("https://www.catalog.slsa.sa.gov.au/xrecord=b2908905")</f>
        <v>https://www.catalog.slsa.sa.gov.au/xrecord=b2908905</v>
      </c>
      <c r="E8353" t="s">
        <v>27710</v>
      </c>
      <c r="F8353" t="s">
        <v>27682</v>
      </c>
      <c r="G8353" t="s">
        <v>22113</v>
      </c>
      <c r="H8353" t="s">
        <v>27711</v>
      </c>
      <c r="I8353" t="s">
        <v>27712</v>
      </c>
      <c r="J8353" t="s">
        <v>2510</v>
      </c>
      <c r="K8353" s="2" t="str">
        <f>HYPERLINK("http://collections.slsa.sa.gov.au/resource/B+72834/65")</f>
        <v>http://collections.slsa.sa.gov.au/resource/B+72834/65</v>
      </c>
    </row>
    <row r="8354" spans="1:11" x14ac:dyDescent="0.25">
      <c r="A8354" t="s">
        <v>27713</v>
      </c>
      <c r="B8354" s="1" t="str">
        <f>HYPERLINK("https://www.catalog.slsa.sa.gov.au/record=b3017398")</f>
        <v>https://www.catalog.slsa.sa.gov.au/record=b3017398</v>
      </c>
      <c r="C8354" s="1" t="str">
        <f>HYPERLINK("https://www.catalog.slsa.sa.gov.au/xrecord=b3017398")</f>
        <v>https://www.catalog.slsa.sa.gov.au/xrecord=b3017398</v>
      </c>
      <c r="D8354" t="s">
        <v>27714</v>
      </c>
      <c r="E8354" t="s">
        <v>27715</v>
      </c>
      <c r="F8354" t="s">
        <v>27716</v>
      </c>
      <c r="G8354" t="s">
        <v>27717</v>
      </c>
      <c r="H8354" t="s">
        <v>27718</v>
      </c>
      <c r="I8354" t="s">
        <v>18868</v>
      </c>
      <c r="J8354" t="s">
        <v>2510</v>
      </c>
      <c r="K8354" s="2" t="str">
        <f>HYPERLINK("http://collections.slsa.sa.gov.au/resource/B+74130/18")</f>
        <v>http://collections.slsa.sa.gov.au/resource/B+74130/18</v>
      </c>
    </row>
    <row r="8355" spans="1:11" x14ac:dyDescent="0.25">
      <c r="A8355" t="s">
        <v>27719</v>
      </c>
      <c r="B8355" s="1" t="str">
        <f>HYPERLINK("https://www.catalog.slsa.sa.gov.au/record=b2055127")</f>
        <v>https://www.catalog.slsa.sa.gov.au/record=b2055127</v>
      </c>
      <c r="C8355" s="1" t="str">
        <f>HYPERLINK("https://www.catalog.slsa.sa.gov.au/xrecord=b2055127")</f>
        <v>https://www.catalog.slsa.sa.gov.au/xrecord=b2055127</v>
      </c>
      <c r="D8355" t="s">
        <v>16831</v>
      </c>
      <c r="E8355" t="s">
        <v>25275</v>
      </c>
      <c r="F8355">
        <v>1961</v>
      </c>
      <c r="G8355" t="s">
        <v>16680</v>
      </c>
      <c r="H8355" t="s">
        <v>27720</v>
      </c>
      <c r="J8355" t="s">
        <v>25280</v>
      </c>
      <c r="K8355" s="2" t="str">
        <f>HYPERLINK("http://collections.slsa.sa.gov.au/mpcimg/14750/B14556.htm")</f>
        <v>http://collections.slsa.sa.gov.au/mpcimg/14750/B14556.htm</v>
      </c>
    </row>
    <row r="8356" spans="1:11" x14ac:dyDescent="0.25">
      <c r="A8356" t="s">
        <v>27721</v>
      </c>
      <c r="B8356" s="1" t="str">
        <f>HYPERLINK("https://www.catalog.slsa.sa.gov.au/record=b2056780")</f>
        <v>https://www.catalog.slsa.sa.gov.au/record=b2056780</v>
      </c>
      <c r="C8356" s="1" t="str">
        <f>HYPERLINK("https://www.catalog.slsa.sa.gov.au/xrecord=b2056780")</f>
        <v>https://www.catalog.slsa.sa.gov.au/xrecord=b2056780</v>
      </c>
      <c r="D8356" t="s">
        <v>16831</v>
      </c>
      <c r="E8356" t="s">
        <v>16777</v>
      </c>
      <c r="F8356">
        <v>1961</v>
      </c>
      <c r="G8356" t="s">
        <v>16680</v>
      </c>
      <c r="H8356" t="s">
        <v>27722</v>
      </c>
      <c r="J8356" t="s">
        <v>22773</v>
      </c>
      <c r="K8356" s="2" t="str">
        <f>HYPERLINK("http://collections.slsa.sa.gov.au/mpcimg/14750/B14567.htm")</f>
        <v>http://collections.slsa.sa.gov.au/mpcimg/14750/B14567.htm</v>
      </c>
    </row>
    <row r="8357" spans="1:11" x14ac:dyDescent="0.25">
      <c r="A8357" t="s">
        <v>27723</v>
      </c>
      <c r="B8357" s="1" t="str">
        <f>HYPERLINK("https://www.catalog.slsa.sa.gov.au/record=b2056812")</f>
        <v>https://www.catalog.slsa.sa.gov.au/record=b2056812</v>
      </c>
      <c r="C8357" s="1" t="str">
        <f>HYPERLINK("https://www.catalog.slsa.sa.gov.au/xrecord=b2056812")</f>
        <v>https://www.catalog.slsa.sa.gov.au/xrecord=b2056812</v>
      </c>
      <c r="D8357" t="s">
        <v>16831</v>
      </c>
      <c r="E8357" t="s">
        <v>16777</v>
      </c>
      <c r="F8357">
        <v>1961</v>
      </c>
      <c r="G8357" t="s">
        <v>16680</v>
      </c>
      <c r="H8357" t="s">
        <v>27724</v>
      </c>
      <c r="J8357" t="s">
        <v>27725</v>
      </c>
      <c r="K8357" s="2" t="str">
        <f>HYPERLINK("http://collections.slsa.sa.gov.au/mpcimg/14750/B14563.htm")</f>
        <v>http://collections.slsa.sa.gov.au/mpcimg/14750/B14563.htm</v>
      </c>
    </row>
    <row r="8358" spans="1:11" x14ac:dyDescent="0.25">
      <c r="A8358" t="s">
        <v>27726</v>
      </c>
      <c r="B8358" s="1" t="str">
        <f>HYPERLINK("https://www.catalog.slsa.sa.gov.au/record=b2056813")</f>
        <v>https://www.catalog.slsa.sa.gov.au/record=b2056813</v>
      </c>
      <c r="C8358" s="1" t="str">
        <f>HYPERLINK("https://www.catalog.slsa.sa.gov.au/xrecord=b2056813")</f>
        <v>https://www.catalog.slsa.sa.gov.au/xrecord=b2056813</v>
      </c>
      <c r="D8358" t="s">
        <v>16831</v>
      </c>
      <c r="E8358" t="s">
        <v>16777</v>
      </c>
      <c r="F8358">
        <v>1961</v>
      </c>
      <c r="G8358" t="s">
        <v>16680</v>
      </c>
      <c r="H8358" t="s">
        <v>27727</v>
      </c>
      <c r="J8358" t="s">
        <v>27725</v>
      </c>
      <c r="K8358" s="2" t="str">
        <f>HYPERLINK("http://collections.slsa.sa.gov.au/mpcimg/14750/B14564.htm")</f>
        <v>http://collections.slsa.sa.gov.au/mpcimg/14750/B14564.htm</v>
      </c>
    </row>
    <row r="8359" spans="1:11" x14ac:dyDescent="0.25">
      <c r="A8359" t="s">
        <v>27728</v>
      </c>
      <c r="B8359" s="1" t="str">
        <f>HYPERLINK("https://www.catalog.slsa.sa.gov.au/record=b2056814")</f>
        <v>https://www.catalog.slsa.sa.gov.au/record=b2056814</v>
      </c>
      <c r="C8359" s="1" t="str">
        <f>HYPERLINK("https://www.catalog.slsa.sa.gov.au/xrecord=b2056814")</f>
        <v>https://www.catalog.slsa.sa.gov.au/xrecord=b2056814</v>
      </c>
      <c r="D8359" t="s">
        <v>16831</v>
      </c>
      <c r="E8359" t="s">
        <v>16777</v>
      </c>
      <c r="F8359">
        <v>1961</v>
      </c>
      <c r="G8359" t="s">
        <v>16680</v>
      </c>
      <c r="H8359" t="s">
        <v>27729</v>
      </c>
      <c r="J8359" t="s">
        <v>27725</v>
      </c>
      <c r="K8359" s="2" t="str">
        <f>HYPERLINK("http://collections.slsa.sa.gov.au/mpcimg/14750/B14565.htm")</f>
        <v>http://collections.slsa.sa.gov.au/mpcimg/14750/B14565.htm</v>
      </c>
    </row>
    <row r="8360" spans="1:11" x14ac:dyDescent="0.25">
      <c r="A8360" t="s">
        <v>27730</v>
      </c>
      <c r="B8360" s="1" t="str">
        <f>HYPERLINK("https://www.catalog.slsa.sa.gov.au/record=b2056815")</f>
        <v>https://www.catalog.slsa.sa.gov.au/record=b2056815</v>
      </c>
      <c r="C8360" s="1" t="str">
        <f>HYPERLINK("https://www.catalog.slsa.sa.gov.au/xrecord=b2056815")</f>
        <v>https://www.catalog.slsa.sa.gov.au/xrecord=b2056815</v>
      </c>
      <c r="D8360" t="s">
        <v>16831</v>
      </c>
      <c r="E8360" t="s">
        <v>16777</v>
      </c>
      <c r="F8360">
        <v>1961</v>
      </c>
      <c r="G8360" t="s">
        <v>16680</v>
      </c>
      <c r="H8360" t="s">
        <v>27731</v>
      </c>
      <c r="J8360" t="s">
        <v>27725</v>
      </c>
      <c r="K8360" s="2" t="str">
        <f>HYPERLINK("http://collections.slsa.sa.gov.au/mpcimg/14750/B14566.htm")</f>
        <v>http://collections.slsa.sa.gov.au/mpcimg/14750/B14566.htm</v>
      </c>
    </row>
    <row r="8361" spans="1:11" x14ac:dyDescent="0.25">
      <c r="A8361" t="s">
        <v>27732</v>
      </c>
      <c r="B8361" s="1" t="str">
        <f>HYPERLINK("https://www.catalog.slsa.sa.gov.au/record=b2056879")</f>
        <v>https://www.catalog.slsa.sa.gov.au/record=b2056879</v>
      </c>
      <c r="C8361" s="1" t="str">
        <f>HYPERLINK("https://www.catalog.slsa.sa.gov.au/xrecord=b2056879")</f>
        <v>https://www.catalog.slsa.sa.gov.au/xrecord=b2056879</v>
      </c>
      <c r="D8361" t="s">
        <v>16831</v>
      </c>
      <c r="E8361" t="s">
        <v>16791</v>
      </c>
      <c r="F8361">
        <v>1961</v>
      </c>
      <c r="G8361" t="s">
        <v>16680</v>
      </c>
      <c r="H8361" t="s">
        <v>27733</v>
      </c>
      <c r="J8361" t="s">
        <v>20923</v>
      </c>
      <c r="K8361" s="2" t="str">
        <f>HYPERLINK("http://collections.slsa.sa.gov.au/mpcimg/14750/B14562.htm")</f>
        <v>http://collections.slsa.sa.gov.au/mpcimg/14750/B14562.htm</v>
      </c>
    </row>
    <row r="8362" spans="1:11" x14ac:dyDescent="0.25">
      <c r="A8362" t="s">
        <v>27734</v>
      </c>
      <c r="B8362" s="1" t="str">
        <f>HYPERLINK("https://www.catalog.slsa.sa.gov.au/record=b2056887")</f>
        <v>https://www.catalog.slsa.sa.gov.au/record=b2056887</v>
      </c>
      <c r="C8362" s="1" t="str">
        <f>HYPERLINK("https://www.catalog.slsa.sa.gov.au/xrecord=b2056887")</f>
        <v>https://www.catalog.slsa.sa.gov.au/xrecord=b2056887</v>
      </c>
      <c r="D8362" t="s">
        <v>16831</v>
      </c>
      <c r="E8362" t="s">
        <v>16791</v>
      </c>
      <c r="F8362">
        <v>1961</v>
      </c>
      <c r="G8362" t="s">
        <v>16680</v>
      </c>
      <c r="H8362" t="s">
        <v>27735</v>
      </c>
      <c r="J8362" t="s">
        <v>20927</v>
      </c>
      <c r="K8362" s="2" t="str">
        <f>HYPERLINK("http://collections.slsa.sa.gov.au/mpcimg/14750/B14560.htm")</f>
        <v>http://collections.slsa.sa.gov.au/mpcimg/14750/B14560.htm</v>
      </c>
    </row>
    <row r="8363" spans="1:11" x14ac:dyDescent="0.25">
      <c r="A8363" t="s">
        <v>27736</v>
      </c>
      <c r="B8363" s="1" t="str">
        <f>HYPERLINK("https://www.catalog.slsa.sa.gov.au/record=b2056888")</f>
        <v>https://www.catalog.slsa.sa.gov.au/record=b2056888</v>
      </c>
      <c r="C8363" s="1" t="str">
        <f>HYPERLINK("https://www.catalog.slsa.sa.gov.au/xrecord=b2056888")</f>
        <v>https://www.catalog.slsa.sa.gov.au/xrecord=b2056888</v>
      </c>
      <c r="D8363" t="s">
        <v>16831</v>
      </c>
      <c r="E8363" t="s">
        <v>16791</v>
      </c>
      <c r="F8363">
        <v>1961</v>
      </c>
      <c r="G8363" t="s">
        <v>16680</v>
      </c>
      <c r="H8363" t="s">
        <v>27737</v>
      </c>
      <c r="J8363" t="s">
        <v>20927</v>
      </c>
      <c r="K8363" s="2" t="str">
        <f>HYPERLINK("http://collections.slsa.sa.gov.au/mpcimg/14750/B14561.htm")</f>
        <v>http://collections.slsa.sa.gov.au/mpcimg/14750/B14561.htm</v>
      </c>
    </row>
    <row r="8364" spans="1:11" x14ac:dyDescent="0.25">
      <c r="A8364" t="s">
        <v>27738</v>
      </c>
      <c r="B8364" s="1" t="str">
        <f>HYPERLINK("https://www.catalog.slsa.sa.gov.au/record=b2057586")</f>
        <v>https://www.catalog.slsa.sa.gov.au/record=b2057586</v>
      </c>
      <c r="C8364" s="1" t="str">
        <f>HYPERLINK("https://www.catalog.slsa.sa.gov.au/xrecord=b2057586")</f>
        <v>https://www.catalog.slsa.sa.gov.au/xrecord=b2057586</v>
      </c>
      <c r="D8364" t="s">
        <v>16831</v>
      </c>
      <c r="E8364" t="s">
        <v>16791</v>
      </c>
      <c r="F8364">
        <v>1961</v>
      </c>
      <c r="G8364" t="s">
        <v>16680</v>
      </c>
      <c r="H8364" t="s">
        <v>27739</v>
      </c>
      <c r="J8364" t="s">
        <v>16794</v>
      </c>
      <c r="K8364" s="2" t="str">
        <f>HYPERLINK("http://collections.slsa.sa.gov.au/mpcimg/14750/B14555.htm")</f>
        <v>http://collections.slsa.sa.gov.au/mpcimg/14750/B14555.htm</v>
      </c>
    </row>
    <row r="8365" spans="1:11" x14ac:dyDescent="0.25">
      <c r="A8365" t="s">
        <v>27740</v>
      </c>
      <c r="B8365" s="1" t="str">
        <f>HYPERLINK("https://www.catalog.slsa.sa.gov.au/record=b2059384")</f>
        <v>https://www.catalog.slsa.sa.gov.au/record=b2059384</v>
      </c>
      <c r="C8365" s="1" t="str">
        <f>HYPERLINK("https://www.catalog.slsa.sa.gov.au/xrecord=b2059384")</f>
        <v>https://www.catalog.slsa.sa.gov.au/xrecord=b2059384</v>
      </c>
      <c r="D8365" t="s">
        <v>16831</v>
      </c>
      <c r="E8365" t="s">
        <v>24156</v>
      </c>
      <c r="F8365">
        <v>1961</v>
      </c>
      <c r="G8365" t="s">
        <v>16832</v>
      </c>
      <c r="H8365" t="s">
        <v>27741</v>
      </c>
      <c r="J8365" t="s">
        <v>27742</v>
      </c>
      <c r="K8365" s="2" t="str">
        <f>HYPERLINK("http://collections.slsa.sa.gov.au/mpcimg/15000/B14894.htm")</f>
        <v>http://collections.slsa.sa.gov.au/mpcimg/15000/B14894.htm</v>
      </c>
    </row>
    <row r="8366" spans="1:11" x14ac:dyDescent="0.25">
      <c r="A8366" t="s">
        <v>27743</v>
      </c>
      <c r="B8366" s="1" t="str">
        <f>HYPERLINK("https://www.catalog.slsa.sa.gov.au/record=b2059493")</f>
        <v>https://www.catalog.slsa.sa.gov.au/record=b2059493</v>
      </c>
      <c r="C8366" s="1" t="str">
        <f>HYPERLINK("https://www.catalog.slsa.sa.gov.au/xrecord=b2059493")</f>
        <v>https://www.catalog.slsa.sa.gov.au/xrecord=b2059493</v>
      </c>
      <c r="D8366" t="s">
        <v>16831</v>
      </c>
      <c r="E8366" t="s">
        <v>20096</v>
      </c>
      <c r="F8366">
        <v>1961</v>
      </c>
      <c r="G8366" t="s">
        <v>27744</v>
      </c>
      <c r="H8366" t="s">
        <v>27745</v>
      </c>
      <c r="J8366" t="s">
        <v>22844</v>
      </c>
      <c r="K8366" s="2" t="str">
        <f>HYPERLINK("http://collections.slsa.sa.gov.au/mpcimg/15250/B15069.htm")</f>
        <v>http://collections.slsa.sa.gov.au/mpcimg/15250/B15069.htm</v>
      </c>
    </row>
    <row r="8367" spans="1:11" x14ac:dyDescent="0.25">
      <c r="A8367" t="s">
        <v>27746</v>
      </c>
      <c r="B8367" s="1" t="str">
        <f>HYPERLINK("https://www.catalog.slsa.sa.gov.au/record=b2059783")</f>
        <v>https://www.catalog.slsa.sa.gov.au/record=b2059783</v>
      </c>
      <c r="C8367" s="1" t="str">
        <f>HYPERLINK("https://www.catalog.slsa.sa.gov.au/xrecord=b2059783")</f>
        <v>https://www.catalog.slsa.sa.gov.au/xrecord=b2059783</v>
      </c>
      <c r="D8367" t="s">
        <v>16831</v>
      </c>
      <c r="E8367" t="s">
        <v>15191</v>
      </c>
      <c r="F8367">
        <v>1961</v>
      </c>
      <c r="G8367" t="s">
        <v>27747</v>
      </c>
      <c r="H8367" t="s">
        <v>27748</v>
      </c>
      <c r="J8367" t="s">
        <v>27749</v>
      </c>
      <c r="K8367" s="2" t="str">
        <f>HYPERLINK("http://collections.slsa.sa.gov.au/mpcimg/15000/B14840.htm")</f>
        <v>http://collections.slsa.sa.gov.au/mpcimg/15000/B14840.htm</v>
      </c>
    </row>
    <row r="8368" spans="1:11" x14ac:dyDescent="0.25">
      <c r="A8368" t="s">
        <v>27750</v>
      </c>
      <c r="B8368" s="1" t="str">
        <f>HYPERLINK("https://www.catalog.slsa.sa.gov.au/record=b2059803")</f>
        <v>https://www.catalog.slsa.sa.gov.au/record=b2059803</v>
      </c>
      <c r="C8368" s="1" t="str">
        <f>HYPERLINK("https://www.catalog.slsa.sa.gov.au/xrecord=b2059803")</f>
        <v>https://www.catalog.slsa.sa.gov.au/xrecord=b2059803</v>
      </c>
      <c r="D8368" t="s">
        <v>16831</v>
      </c>
      <c r="E8368" t="s">
        <v>15191</v>
      </c>
      <c r="F8368">
        <v>1961</v>
      </c>
      <c r="G8368" t="s">
        <v>27747</v>
      </c>
      <c r="H8368" t="s">
        <v>27751</v>
      </c>
      <c r="J8368" t="s">
        <v>22860</v>
      </c>
      <c r="K8368" s="2" t="str">
        <f>HYPERLINK("http://collections.slsa.sa.gov.au/mpcimg/15000/B14833.htm")</f>
        <v>http://collections.slsa.sa.gov.au/mpcimg/15000/B14833.htm</v>
      </c>
    </row>
    <row r="8369" spans="1:11" x14ac:dyDescent="0.25">
      <c r="A8369" t="s">
        <v>27752</v>
      </c>
      <c r="B8369" s="1" t="str">
        <f>HYPERLINK("https://www.catalog.slsa.sa.gov.au/record=b2060322")</f>
        <v>https://www.catalog.slsa.sa.gov.au/record=b2060322</v>
      </c>
      <c r="C8369" s="1" t="str">
        <f>HYPERLINK("https://www.catalog.slsa.sa.gov.au/xrecord=b2060322")</f>
        <v>https://www.catalog.slsa.sa.gov.au/xrecord=b2060322</v>
      </c>
      <c r="D8369" t="s">
        <v>16831</v>
      </c>
      <c r="E8369" t="s">
        <v>24304</v>
      </c>
      <c r="F8369">
        <v>1961</v>
      </c>
      <c r="G8369" t="s">
        <v>25786</v>
      </c>
      <c r="H8369" t="s">
        <v>27753</v>
      </c>
      <c r="J8369" t="s">
        <v>24298</v>
      </c>
      <c r="K8369" s="2" t="str">
        <f>HYPERLINK("http://collections.slsa.sa.gov.au/mpcimg/14500/B14420.htm")</f>
        <v>http://collections.slsa.sa.gov.au/mpcimg/14500/B14420.htm</v>
      </c>
    </row>
    <row r="8370" spans="1:11" x14ac:dyDescent="0.25">
      <c r="A8370" t="s">
        <v>27754</v>
      </c>
      <c r="B8370" s="1" t="str">
        <f>HYPERLINK("https://www.catalog.slsa.sa.gov.au/record=b2060323")</f>
        <v>https://www.catalog.slsa.sa.gov.au/record=b2060323</v>
      </c>
      <c r="C8370" s="1" t="str">
        <f>HYPERLINK("https://www.catalog.slsa.sa.gov.au/xrecord=b2060323")</f>
        <v>https://www.catalog.slsa.sa.gov.au/xrecord=b2060323</v>
      </c>
      <c r="D8370" t="s">
        <v>16831</v>
      </c>
      <c r="E8370" t="s">
        <v>24304</v>
      </c>
      <c r="F8370">
        <v>1961</v>
      </c>
      <c r="G8370" t="s">
        <v>25786</v>
      </c>
      <c r="H8370" t="s">
        <v>27755</v>
      </c>
      <c r="J8370" t="s">
        <v>24298</v>
      </c>
      <c r="K8370" s="2" t="str">
        <f>HYPERLINK("http://collections.slsa.sa.gov.au/mpcimg/14500/B14421.htm")</f>
        <v>http://collections.slsa.sa.gov.au/mpcimg/14500/B14421.htm</v>
      </c>
    </row>
    <row r="8371" spans="1:11" x14ac:dyDescent="0.25">
      <c r="A8371" t="s">
        <v>27756</v>
      </c>
      <c r="B8371" s="1" t="str">
        <f>HYPERLINK("https://www.catalog.slsa.sa.gov.au/record=b2060873")</f>
        <v>https://www.catalog.slsa.sa.gov.au/record=b2060873</v>
      </c>
      <c r="C8371" s="1" t="str">
        <f>HYPERLINK("https://www.catalog.slsa.sa.gov.au/xrecord=b2060873")</f>
        <v>https://www.catalog.slsa.sa.gov.au/xrecord=b2060873</v>
      </c>
      <c r="D8371" t="s">
        <v>16831</v>
      </c>
      <c r="E8371" t="s">
        <v>21099</v>
      </c>
      <c r="F8371">
        <v>1961</v>
      </c>
      <c r="G8371" t="s">
        <v>27310</v>
      </c>
      <c r="H8371" t="s">
        <v>27757</v>
      </c>
      <c r="J8371" t="s">
        <v>21113</v>
      </c>
      <c r="K8371" s="2" t="str">
        <f>HYPERLINK("http://collections.slsa.sa.gov.au/mpcimg/14500/B14462.htm")</f>
        <v>http://collections.slsa.sa.gov.au/mpcimg/14500/B14462.htm</v>
      </c>
    </row>
    <row r="8372" spans="1:11" x14ac:dyDescent="0.25">
      <c r="A8372" t="s">
        <v>27758</v>
      </c>
      <c r="B8372" s="1" t="str">
        <f>HYPERLINK("https://www.catalog.slsa.sa.gov.au/record=b2060874")</f>
        <v>https://www.catalog.slsa.sa.gov.au/record=b2060874</v>
      </c>
      <c r="C8372" s="1" t="str">
        <f>HYPERLINK("https://www.catalog.slsa.sa.gov.au/xrecord=b2060874")</f>
        <v>https://www.catalog.slsa.sa.gov.au/xrecord=b2060874</v>
      </c>
      <c r="D8372" t="s">
        <v>16831</v>
      </c>
      <c r="E8372" t="s">
        <v>21099</v>
      </c>
      <c r="F8372">
        <v>1961</v>
      </c>
      <c r="G8372" t="s">
        <v>27310</v>
      </c>
      <c r="H8372" t="s">
        <v>27759</v>
      </c>
      <c r="J8372" t="s">
        <v>21113</v>
      </c>
      <c r="K8372" s="2" t="str">
        <f>HYPERLINK("http://collections.slsa.sa.gov.au/mpcimg/14500/B14463.htm")</f>
        <v>http://collections.slsa.sa.gov.au/mpcimg/14500/B14463.htm</v>
      </c>
    </row>
    <row r="8373" spans="1:11" x14ac:dyDescent="0.25">
      <c r="A8373" t="s">
        <v>27760</v>
      </c>
      <c r="B8373" s="1" t="str">
        <f>HYPERLINK("https://www.catalog.slsa.sa.gov.au/record=b2061004")</f>
        <v>https://www.catalog.slsa.sa.gov.au/record=b2061004</v>
      </c>
      <c r="C8373" s="1" t="str">
        <f>HYPERLINK("https://www.catalog.slsa.sa.gov.au/xrecord=b2061004")</f>
        <v>https://www.catalog.slsa.sa.gov.au/xrecord=b2061004</v>
      </c>
      <c r="D8373" t="s">
        <v>16831</v>
      </c>
      <c r="E8373" t="s">
        <v>21118</v>
      </c>
      <c r="F8373">
        <v>1961</v>
      </c>
      <c r="G8373" t="s">
        <v>16680</v>
      </c>
      <c r="H8373" t="s">
        <v>27761</v>
      </c>
      <c r="J8373" t="s">
        <v>24353</v>
      </c>
      <c r="K8373" s="2" t="str">
        <f>HYPERLINK("http://collections.slsa.sa.gov.au/mpcimg/14750/B14558.htm")</f>
        <v>http://collections.slsa.sa.gov.au/mpcimg/14750/B14558.htm</v>
      </c>
    </row>
    <row r="8374" spans="1:11" x14ac:dyDescent="0.25">
      <c r="A8374" t="s">
        <v>27762</v>
      </c>
      <c r="B8374" s="1" t="str">
        <f>HYPERLINK("https://www.catalog.slsa.sa.gov.au/record=b2061065")</f>
        <v>https://www.catalog.slsa.sa.gov.au/record=b2061065</v>
      </c>
      <c r="C8374" s="1" t="str">
        <f>HYPERLINK("https://www.catalog.slsa.sa.gov.au/xrecord=b2061065")</f>
        <v>https://www.catalog.slsa.sa.gov.au/xrecord=b2061065</v>
      </c>
      <c r="D8374" t="s">
        <v>16831</v>
      </c>
      <c r="E8374" t="s">
        <v>21118</v>
      </c>
      <c r="F8374">
        <v>1961</v>
      </c>
      <c r="G8374" t="s">
        <v>16832</v>
      </c>
      <c r="H8374" t="s">
        <v>27763</v>
      </c>
      <c r="J8374" t="s">
        <v>27764</v>
      </c>
      <c r="K8374" s="2" t="str">
        <f>HYPERLINK("http://collections.slsa.sa.gov.au/mpcimg/15000/B14893.htm")</f>
        <v>http://collections.slsa.sa.gov.au/mpcimg/15000/B14893.htm</v>
      </c>
    </row>
    <row r="8375" spans="1:11" x14ac:dyDescent="0.25">
      <c r="A8375" t="s">
        <v>27765</v>
      </c>
      <c r="B8375" s="1" t="str">
        <f>HYPERLINK("https://www.catalog.slsa.sa.gov.au/record=b2061418")</f>
        <v>https://www.catalog.slsa.sa.gov.au/record=b2061418</v>
      </c>
      <c r="C8375" s="1" t="str">
        <f>HYPERLINK("https://www.catalog.slsa.sa.gov.au/xrecord=b2061418")</f>
        <v>https://www.catalog.slsa.sa.gov.au/xrecord=b2061418</v>
      </c>
      <c r="D8375" t="s">
        <v>16831</v>
      </c>
      <c r="E8375" t="s">
        <v>24404</v>
      </c>
      <c r="F8375">
        <v>1961</v>
      </c>
      <c r="G8375" t="s">
        <v>16832</v>
      </c>
      <c r="H8375" t="s">
        <v>27766</v>
      </c>
      <c r="J8375" t="s">
        <v>21172</v>
      </c>
      <c r="K8375" s="2" t="str">
        <f>HYPERLINK("http://collections.slsa.sa.gov.au/mpcimg/15000/B14896.htm")</f>
        <v>http://collections.slsa.sa.gov.au/mpcimg/15000/B14896.htm</v>
      </c>
    </row>
    <row r="8376" spans="1:11" x14ac:dyDescent="0.25">
      <c r="A8376" t="s">
        <v>27767</v>
      </c>
      <c r="B8376" s="1" t="str">
        <f>HYPERLINK("https://www.catalog.slsa.sa.gov.au/record=b2061419")</f>
        <v>https://www.catalog.slsa.sa.gov.au/record=b2061419</v>
      </c>
      <c r="C8376" s="1" t="str">
        <f>HYPERLINK("https://www.catalog.slsa.sa.gov.au/xrecord=b2061419")</f>
        <v>https://www.catalog.slsa.sa.gov.au/xrecord=b2061419</v>
      </c>
      <c r="D8376" t="s">
        <v>16831</v>
      </c>
      <c r="E8376" t="s">
        <v>24404</v>
      </c>
      <c r="F8376">
        <v>1961</v>
      </c>
      <c r="G8376" t="s">
        <v>16832</v>
      </c>
      <c r="H8376" t="s">
        <v>27768</v>
      </c>
      <c r="J8376" t="s">
        <v>21172</v>
      </c>
      <c r="K8376" s="2" t="str">
        <f>HYPERLINK("http://collections.slsa.sa.gov.au/mpcimg/15000/B14897.htm")</f>
        <v>http://collections.slsa.sa.gov.au/mpcimg/15000/B14897.htm</v>
      </c>
    </row>
    <row r="8377" spans="1:11" x14ac:dyDescent="0.25">
      <c r="A8377" t="s">
        <v>27769</v>
      </c>
      <c r="B8377" s="1" t="str">
        <f>HYPERLINK("https://www.catalog.slsa.sa.gov.au/record=b2061513")</f>
        <v>https://www.catalog.slsa.sa.gov.au/record=b2061513</v>
      </c>
      <c r="C8377" s="1" t="str">
        <f>HYPERLINK("https://www.catalog.slsa.sa.gov.au/xrecord=b2061513")</f>
        <v>https://www.catalog.slsa.sa.gov.au/xrecord=b2061513</v>
      </c>
      <c r="D8377" t="s">
        <v>16831</v>
      </c>
      <c r="E8377" t="s">
        <v>21232</v>
      </c>
      <c r="F8377">
        <v>1961</v>
      </c>
      <c r="G8377" t="s">
        <v>27310</v>
      </c>
      <c r="H8377" t="s">
        <v>27770</v>
      </c>
      <c r="J8377" t="s">
        <v>24413</v>
      </c>
      <c r="K8377" s="2" t="str">
        <f>HYPERLINK("http://collections.slsa.sa.gov.au/mpcimg/14500/B14473.htm")</f>
        <v>http://collections.slsa.sa.gov.au/mpcimg/14500/B14473.htm</v>
      </c>
    </row>
    <row r="8378" spans="1:11" x14ac:dyDescent="0.25">
      <c r="A8378" t="s">
        <v>27771</v>
      </c>
      <c r="B8378" s="1" t="str">
        <f>HYPERLINK("https://www.catalog.slsa.sa.gov.au/record=b2061568")</f>
        <v>https://www.catalog.slsa.sa.gov.au/record=b2061568</v>
      </c>
      <c r="C8378" s="1" t="str">
        <f>HYPERLINK("https://www.catalog.slsa.sa.gov.au/xrecord=b2061568")</f>
        <v>https://www.catalog.slsa.sa.gov.au/xrecord=b2061568</v>
      </c>
      <c r="D8378" t="s">
        <v>16831</v>
      </c>
      <c r="E8378" t="s">
        <v>24422</v>
      </c>
      <c r="F8378">
        <v>1961</v>
      </c>
      <c r="G8378" t="s">
        <v>25786</v>
      </c>
      <c r="H8378" t="s">
        <v>27772</v>
      </c>
      <c r="J8378" t="s">
        <v>25486</v>
      </c>
      <c r="K8378" s="2" t="str">
        <f>HYPERLINK("http://collections.slsa.sa.gov.au/mpcimg/14500/B14417.htm")</f>
        <v>http://collections.slsa.sa.gov.au/mpcimg/14500/B14417.htm</v>
      </c>
    </row>
    <row r="8379" spans="1:11" x14ac:dyDescent="0.25">
      <c r="A8379" t="s">
        <v>27773</v>
      </c>
      <c r="B8379" s="1" t="str">
        <f>HYPERLINK("https://www.catalog.slsa.sa.gov.au/record=b2061569")</f>
        <v>https://www.catalog.slsa.sa.gov.au/record=b2061569</v>
      </c>
      <c r="C8379" s="1" t="str">
        <f>HYPERLINK("https://www.catalog.slsa.sa.gov.au/xrecord=b2061569")</f>
        <v>https://www.catalog.slsa.sa.gov.au/xrecord=b2061569</v>
      </c>
      <c r="D8379" t="s">
        <v>16831</v>
      </c>
      <c r="E8379" t="s">
        <v>24422</v>
      </c>
      <c r="F8379">
        <v>1961</v>
      </c>
      <c r="G8379" t="s">
        <v>25786</v>
      </c>
      <c r="H8379" t="s">
        <v>27774</v>
      </c>
      <c r="J8379" t="s">
        <v>25486</v>
      </c>
      <c r="K8379" s="2" t="str">
        <f>HYPERLINK("http://collections.slsa.sa.gov.au/mpcimg/14500/B14418.htm")</f>
        <v>http://collections.slsa.sa.gov.au/mpcimg/14500/B14418.htm</v>
      </c>
    </row>
    <row r="8380" spans="1:11" x14ac:dyDescent="0.25">
      <c r="A8380" t="s">
        <v>27775</v>
      </c>
      <c r="B8380" s="1" t="str">
        <f>HYPERLINK("https://www.catalog.slsa.sa.gov.au/record=b2061854")</f>
        <v>https://www.catalog.slsa.sa.gov.au/record=b2061854</v>
      </c>
      <c r="C8380" s="1" t="str">
        <f>HYPERLINK("https://www.catalog.slsa.sa.gov.au/xrecord=b2061854")</f>
        <v>https://www.catalog.slsa.sa.gov.au/xrecord=b2061854</v>
      </c>
      <c r="D8380" t="s">
        <v>16831</v>
      </c>
      <c r="E8380" t="s">
        <v>21178</v>
      </c>
      <c r="F8380">
        <v>1961</v>
      </c>
      <c r="G8380" t="s">
        <v>16680</v>
      </c>
      <c r="H8380" t="s">
        <v>27776</v>
      </c>
      <c r="J8380" t="s">
        <v>26390</v>
      </c>
      <c r="K8380" s="2" t="str">
        <f>HYPERLINK("http://collections.slsa.sa.gov.au/mpcimg/14750/B14550.htm")</f>
        <v>http://collections.slsa.sa.gov.au/mpcimg/14750/B14550.htm</v>
      </c>
    </row>
    <row r="8381" spans="1:11" x14ac:dyDescent="0.25">
      <c r="A8381" t="s">
        <v>27777</v>
      </c>
      <c r="B8381" s="1" t="str">
        <f>HYPERLINK("https://www.catalog.slsa.sa.gov.au/record=b2061855")</f>
        <v>https://www.catalog.slsa.sa.gov.au/record=b2061855</v>
      </c>
      <c r="C8381" s="1" t="str">
        <f>HYPERLINK("https://www.catalog.slsa.sa.gov.au/xrecord=b2061855")</f>
        <v>https://www.catalog.slsa.sa.gov.au/xrecord=b2061855</v>
      </c>
      <c r="D8381" t="s">
        <v>16831</v>
      </c>
      <c r="E8381" t="s">
        <v>21178</v>
      </c>
      <c r="F8381">
        <v>1961</v>
      </c>
      <c r="G8381" t="s">
        <v>16680</v>
      </c>
      <c r="H8381" t="s">
        <v>27778</v>
      </c>
      <c r="J8381" t="s">
        <v>26390</v>
      </c>
      <c r="K8381" s="2" t="str">
        <f>HYPERLINK("http://collections.slsa.sa.gov.au/mpcimg/14750/B14551.htm")</f>
        <v>http://collections.slsa.sa.gov.au/mpcimg/14750/B14551.htm</v>
      </c>
    </row>
    <row r="8382" spans="1:11" x14ac:dyDescent="0.25">
      <c r="A8382" t="s">
        <v>27779</v>
      </c>
      <c r="B8382" s="1" t="str">
        <f>HYPERLINK("https://www.catalog.slsa.sa.gov.au/record=b2061856")</f>
        <v>https://www.catalog.slsa.sa.gov.au/record=b2061856</v>
      </c>
      <c r="C8382" s="1" t="str">
        <f>HYPERLINK("https://www.catalog.slsa.sa.gov.au/xrecord=b2061856")</f>
        <v>https://www.catalog.slsa.sa.gov.au/xrecord=b2061856</v>
      </c>
      <c r="D8382" t="s">
        <v>16831</v>
      </c>
      <c r="E8382" t="s">
        <v>21178</v>
      </c>
      <c r="F8382">
        <v>1961</v>
      </c>
      <c r="G8382" t="s">
        <v>16680</v>
      </c>
      <c r="H8382" t="s">
        <v>27780</v>
      </c>
      <c r="J8382" t="s">
        <v>26390</v>
      </c>
      <c r="K8382" s="2" t="str">
        <f>HYPERLINK("http://collections.slsa.sa.gov.au/mpcimg/14750/B14552.htm")</f>
        <v>http://collections.slsa.sa.gov.au/mpcimg/14750/B14552.htm</v>
      </c>
    </row>
    <row r="8383" spans="1:11" x14ac:dyDescent="0.25">
      <c r="A8383" t="s">
        <v>27781</v>
      </c>
      <c r="B8383" s="1" t="str">
        <f>HYPERLINK("https://www.catalog.slsa.sa.gov.au/record=b2062046")</f>
        <v>https://www.catalog.slsa.sa.gov.au/record=b2062046</v>
      </c>
      <c r="C8383" s="1" t="str">
        <f>HYPERLINK("https://www.catalog.slsa.sa.gov.au/xrecord=b2062046")</f>
        <v>https://www.catalog.slsa.sa.gov.au/xrecord=b2062046</v>
      </c>
      <c r="D8383" t="s">
        <v>16831</v>
      </c>
      <c r="E8383" t="s">
        <v>27782</v>
      </c>
      <c r="F8383">
        <v>1961</v>
      </c>
      <c r="G8383" t="s">
        <v>25786</v>
      </c>
      <c r="H8383" t="s">
        <v>27783</v>
      </c>
      <c r="J8383" t="s">
        <v>21218</v>
      </c>
      <c r="K8383" s="2" t="str">
        <f>HYPERLINK("http://collections.slsa.sa.gov.au/mpcimg/14500/B14419.htm")</f>
        <v>http://collections.slsa.sa.gov.au/mpcimg/14500/B14419.htm</v>
      </c>
    </row>
    <row r="8384" spans="1:11" x14ac:dyDescent="0.25">
      <c r="A8384" t="s">
        <v>27784</v>
      </c>
      <c r="B8384" s="1" t="str">
        <f>HYPERLINK("https://www.catalog.slsa.sa.gov.au/record=b2062400")</f>
        <v>https://www.catalog.slsa.sa.gov.au/record=b2062400</v>
      </c>
      <c r="C8384" s="1" t="str">
        <f>HYPERLINK("https://www.catalog.slsa.sa.gov.au/xrecord=b2062400")</f>
        <v>https://www.catalog.slsa.sa.gov.au/xrecord=b2062400</v>
      </c>
      <c r="D8384" t="s">
        <v>16831</v>
      </c>
      <c r="E8384" t="s">
        <v>21212</v>
      </c>
      <c r="F8384">
        <v>1961</v>
      </c>
      <c r="G8384" t="s">
        <v>16832</v>
      </c>
      <c r="H8384" t="s">
        <v>27785</v>
      </c>
      <c r="J8384" t="s">
        <v>26856</v>
      </c>
      <c r="K8384" s="2" t="str">
        <f>HYPERLINK("http://collections.slsa.sa.gov.au/mpcimg/15000/B14898.htm")</f>
        <v>http://collections.slsa.sa.gov.au/mpcimg/15000/B14898.htm</v>
      </c>
    </row>
    <row r="8385" spans="1:11" x14ac:dyDescent="0.25">
      <c r="A8385" t="s">
        <v>27786</v>
      </c>
      <c r="B8385" s="1" t="str">
        <f>HYPERLINK("https://www.catalog.slsa.sa.gov.au/record=b2062401")</f>
        <v>https://www.catalog.slsa.sa.gov.au/record=b2062401</v>
      </c>
      <c r="C8385" s="1" t="str">
        <f>HYPERLINK("https://www.catalog.slsa.sa.gov.au/xrecord=b2062401")</f>
        <v>https://www.catalog.slsa.sa.gov.au/xrecord=b2062401</v>
      </c>
      <c r="D8385" t="s">
        <v>16831</v>
      </c>
      <c r="E8385" t="s">
        <v>21212</v>
      </c>
      <c r="F8385">
        <v>1961</v>
      </c>
      <c r="G8385" t="s">
        <v>16832</v>
      </c>
      <c r="H8385" t="s">
        <v>27787</v>
      </c>
      <c r="J8385" t="s">
        <v>26856</v>
      </c>
      <c r="K8385" s="2" t="str">
        <f>HYPERLINK("http://collections.slsa.sa.gov.au/mpcimg/15000/B14899.htm")</f>
        <v>http://collections.slsa.sa.gov.au/mpcimg/15000/B14899.htm</v>
      </c>
    </row>
    <row r="8386" spans="1:11" x14ac:dyDescent="0.25">
      <c r="A8386" t="s">
        <v>27788</v>
      </c>
      <c r="B8386" s="1" t="str">
        <f>HYPERLINK("https://www.catalog.slsa.sa.gov.au/record=b2062402")</f>
        <v>https://www.catalog.slsa.sa.gov.au/record=b2062402</v>
      </c>
      <c r="C8386" s="1" t="str">
        <f>HYPERLINK("https://www.catalog.slsa.sa.gov.au/xrecord=b2062402")</f>
        <v>https://www.catalog.slsa.sa.gov.au/xrecord=b2062402</v>
      </c>
      <c r="D8386" t="s">
        <v>16831</v>
      </c>
      <c r="E8386" t="s">
        <v>21212</v>
      </c>
      <c r="F8386">
        <v>1961</v>
      </c>
      <c r="G8386" t="s">
        <v>16832</v>
      </c>
      <c r="H8386" t="s">
        <v>27789</v>
      </c>
      <c r="J8386" t="s">
        <v>26856</v>
      </c>
      <c r="K8386" s="2" t="str">
        <f>HYPERLINK("http://collections.slsa.sa.gov.au/mpcimg/15000/B14900.htm")</f>
        <v>http://collections.slsa.sa.gov.au/mpcimg/15000/B14900.htm</v>
      </c>
    </row>
    <row r="8387" spans="1:11" x14ac:dyDescent="0.25">
      <c r="A8387" t="s">
        <v>27790</v>
      </c>
      <c r="B8387" s="1" t="str">
        <f>HYPERLINK("https://www.catalog.slsa.sa.gov.au/record=b2062403")</f>
        <v>https://www.catalog.slsa.sa.gov.au/record=b2062403</v>
      </c>
      <c r="C8387" s="1" t="str">
        <f>HYPERLINK("https://www.catalog.slsa.sa.gov.au/xrecord=b2062403")</f>
        <v>https://www.catalog.slsa.sa.gov.au/xrecord=b2062403</v>
      </c>
      <c r="D8387" t="s">
        <v>16831</v>
      </c>
      <c r="E8387" t="s">
        <v>21212</v>
      </c>
      <c r="F8387">
        <v>1961</v>
      </c>
      <c r="G8387" t="s">
        <v>16832</v>
      </c>
      <c r="H8387" t="s">
        <v>27791</v>
      </c>
      <c r="J8387" t="s">
        <v>26856</v>
      </c>
      <c r="K8387" s="2" t="str">
        <f>HYPERLINK("http://collections.slsa.sa.gov.au/mpcimg/15000/B14901.htm")</f>
        <v>http://collections.slsa.sa.gov.au/mpcimg/15000/B14901.htm</v>
      </c>
    </row>
    <row r="8388" spans="1:11" x14ac:dyDescent="0.25">
      <c r="A8388" t="s">
        <v>27792</v>
      </c>
      <c r="B8388" s="1" t="str">
        <f>HYPERLINK("https://www.catalog.slsa.sa.gov.au/record=b2062423")</f>
        <v>https://www.catalog.slsa.sa.gov.au/record=b2062423</v>
      </c>
      <c r="C8388" s="1" t="str">
        <f>HYPERLINK("https://www.catalog.slsa.sa.gov.au/xrecord=b2062423")</f>
        <v>https://www.catalog.slsa.sa.gov.au/xrecord=b2062423</v>
      </c>
      <c r="D8388" t="s">
        <v>16831</v>
      </c>
      <c r="E8388" t="s">
        <v>21232</v>
      </c>
      <c r="F8388">
        <v>1961</v>
      </c>
      <c r="G8388" t="s">
        <v>27310</v>
      </c>
      <c r="H8388" t="s">
        <v>27793</v>
      </c>
      <c r="J8388" t="s">
        <v>24568</v>
      </c>
      <c r="K8388" s="2" t="str">
        <f>HYPERLINK("http://collections.slsa.sa.gov.au/mpcimg/14500/B14474.htm")</f>
        <v>http://collections.slsa.sa.gov.au/mpcimg/14500/B14474.htm</v>
      </c>
    </row>
    <row r="8389" spans="1:11" x14ac:dyDescent="0.25">
      <c r="A8389" t="s">
        <v>27794</v>
      </c>
      <c r="B8389" s="1" t="str">
        <f>HYPERLINK("https://www.catalog.slsa.sa.gov.au/record=b2062424")</f>
        <v>https://www.catalog.slsa.sa.gov.au/record=b2062424</v>
      </c>
      <c r="C8389" s="1" t="str">
        <f>HYPERLINK("https://www.catalog.slsa.sa.gov.au/xrecord=b2062424")</f>
        <v>https://www.catalog.slsa.sa.gov.au/xrecord=b2062424</v>
      </c>
      <c r="D8389" t="s">
        <v>16831</v>
      </c>
      <c r="E8389" t="s">
        <v>21232</v>
      </c>
      <c r="F8389">
        <v>1961</v>
      </c>
      <c r="G8389" t="s">
        <v>27310</v>
      </c>
      <c r="H8389" t="s">
        <v>27795</v>
      </c>
      <c r="J8389" t="s">
        <v>24568</v>
      </c>
      <c r="K8389" s="2" t="str">
        <f>HYPERLINK("http://collections.slsa.sa.gov.au/mpcimg/14500/B14475.htm")</f>
        <v>http://collections.slsa.sa.gov.au/mpcimg/14500/B14475.htm</v>
      </c>
    </row>
    <row r="8390" spans="1:11" x14ac:dyDescent="0.25">
      <c r="A8390" t="s">
        <v>27796</v>
      </c>
      <c r="B8390" s="1" t="str">
        <f>HYPERLINK("https://www.catalog.slsa.sa.gov.au/record=b2062604")</f>
        <v>https://www.catalog.slsa.sa.gov.au/record=b2062604</v>
      </c>
      <c r="C8390" s="1" t="str">
        <f>HYPERLINK("https://www.catalog.slsa.sa.gov.au/xrecord=b2062604")</f>
        <v>https://www.catalog.slsa.sa.gov.au/xrecord=b2062604</v>
      </c>
      <c r="D8390" t="s">
        <v>16831</v>
      </c>
      <c r="E8390" t="s">
        <v>27797</v>
      </c>
      <c r="F8390">
        <v>1961</v>
      </c>
      <c r="G8390" t="s">
        <v>16680</v>
      </c>
      <c r="H8390" t="s">
        <v>27798</v>
      </c>
      <c r="J8390" t="s">
        <v>26866</v>
      </c>
      <c r="K8390" s="2" t="str">
        <f>HYPERLINK("http://collections.slsa.sa.gov.au/mpcimg/14750/B14559.htm")</f>
        <v>http://collections.slsa.sa.gov.au/mpcimg/14750/B14559.htm</v>
      </c>
    </row>
    <row r="8391" spans="1:11" x14ac:dyDescent="0.25">
      <c r="A8391" t="s">
        <v>27799</v>
      </c>
      <c r="B8391" s="1" t="str">
        <f>HYPERLINK("https://www.catalog.slsa.sa.gov.au/record=b2062905")</f>
        <v>https://www.catalog.slsa.sa.gov.au/record=b2062905</v>
      </c>
      <c r="C8391" s="1" t="str">
        <f>HYPERLINK("https://www.catalog.slsa.sa.gov.au/xrecord=b2062905")</f>
        <v>https://www.catalog.slsa.sa.gov.au/xrecord=b2062905</v>
      </c>
      <c r="D8391" t="s">
        <v>16831</v>
      </c>
      <c r="E8391" t="s">
        <v>26468</v>
      </c>
      <c r="F8391">
        <v>1961</v>
      </c>
      <c r="G8391" t="s">
        <v>27747</v>
      </c>
      <c r="H8391" t="s">
        <v>27800</v>
      </c>
      <c r="J8391" t="s">
        <v>26889</v>
      </c>
      <c r="K8391" s="2" t="str">
        <f>HYPERLINK("http://collections.slsa.sa.gov.au/mpcimg/15000/B14841.htm")</f>
        <v>http://collections.slsa.sa.gov.au/mpcimg/15000/B14841.htm</v>
      </c>
    </row>
    <row r="8392" spans="1:11" x14ac:dyDescent="0.25">
      <c r="A8392" t="s">
        <v>27801</v>
      </c>
      <c r="B8392" s="1" t="str">
        <f>HYPERLINK("https://www.catalog.slsa.sa.gov.au/record=b2062921")</f>
        <v>https://www.catalog.slsa.sa.gov.au/record=b2062921</v>
      </c>
      <c r="C8392" s="1" t="str">
        <f>HYPERLINK("https://www.catalog.slsa.sa.gov.au/xrecord=b2062921")</f>
        <v>https://www.catalog.slsa.sa.gov.au/xrecord=b2062921</v>
      </c>
      <c r="D8392" t="s">
        <v>16831</v>
      </c>
      <c r="E8392" t="s">
        <v>27802</v>
      </c>
      <c r="F8392">
        <v>1961</v>
      </c>
      <c r="G8392" t="s">
        <v>27310</v>
      </c>
      <c r="H8392" t="s">
        <v>27803</v>
      </c>
      <c r="I8392" t="s">
        <v>27804</v>
      </c>
      <c r="J8392" t="s">
        <v>27805</v>
      </c>
      <c r="K8392" s="2" t="str">
        <f>HYPERLINK("http://collections.slsa.sa.gov.au/mpcimg/14500/B14471.htm")</f>
        <v>http://collections.slsa.sa.gov.au/mpcimg/14500/B14471.htm</v>
      </c>
    </row>
    <row r="8393" spans="1:11" x14ac:dyDescent="0.25">
      <c r="A8393" t="s">
        <v>27806</v>
      </c>
      <c r="B8393" s="1" t="str">
        <f>HYPERLINK("https://www.catalog.slsa.sa.gov.au/record=b2062922")</f>
        <v>https://www.catalog.slsa.sa.gov.au/record=b2062922</v>
      </c>
      <c r="C8393" s="1" t="str">
        <f>HYPERLINK("https://www.catalog.slsa.sa.gov.au/xrecord=b2062922")</f>
        <v>https://www.catalog.slsa.sa.gov.au/xrecord=b2062922</v>
      </c>
      <c r="D8393" t="s">
        <v>16831</v>
      </c>
      <c r="E8393" t="s">
        <v>27802</v>
      </c>
      <c r="F8393">
        <v>1961</v>
      </c>
      <c r="G8393" t="s">
        <v>27310</v>
      </c>
      <c r="H8393" t="s">
        <v>27807</v>
      </c>
      <c r="I8393" t="s">
        <v>27804</v>
      </c>
      <c r="J8393" t="s">
        <v>27805</v>
      </c>
      <c r="K8393" s="2" t="str">
        <f>HYPERLINK("http://collections.slsa.sa.gov.au/mpcimg/14500/B14472.htm")</f>
        <v>http://collections.slsa.sa.gov.au/mpcimg/14500/B14472.htm</v>
      </c>
    </row>
    <row r="8394" spans="1:11" x14ac:dyDescent="0.25">
      <c r="A8394" t="s">
        <v>27808</v>
      </c>
      <c r="B8394" s="1" t="str">
        <f>HYPERLINK("https://www.catalog.slsa.sa.gov.au/record=b2063073")</f>
        <v>https://www.catalog.slsa.sa.gov.au/record=b2063073</v>
      </c>
      <c r="C8394" s="1" t="str">
        <f>HYPERLINK("https://www.catalog.slsa.sa.gov.au/xrecord=b2063073")</f>
        <v>https://www.catalog.slsa.sa.gov.au/xrecord=b2063073</v>
      </c>
      <c r="D8394" t="s">
        <v>16831</v>
      </c>
      <c r="E8394" t="s">
        <v>21304</v>
      </c>
      <c r="F8394">
        <v>1961</v>
      </c>
      <c r="G8394" t="s">
        <v>16680</v>
      </c>
      <c r="H8394" t="s">
        <v>27809</v>
      </c>
      <c r="J8394" t="s">
        <v>27810</v>
      </c>
      <c r="K8394" s="2" t="str">
        <f>HYPERLINK("http://collections.slsa.sa.gov.au/mpcimg/14750/B14557.htm")</f>
        <v>http://collections.slsa.sa.gov.au/mpcimg/14750/B14557.htm</v>
      </c>
    </row>
    <row r="8395" spans="1:11" x14ac:dyDescent="0.25">
      <c r="A8395" t="s">
        <v>27811</v>
      </c>
      <c r="B8395" s="1" t="str">
        <f>HYPERLINK("https://www.catalog.slsa.sa.gov.au/record=b2063088")</f>
        <v>https://www.catalog.slsa.sa.gov.au/record=b2063088</v>
      </c>
      <c r="C8395" s="1" t="str">
        <f>HYPERLINK("https://www.catalog.slsa.sa.gov.au/xrecord=b2063088")</f>
        <v>https://www.catalog.slsa.sa.gov.au/xrecord=b2063088</v>
      </c>
      <c r="D8395" t="s">
        <v>16831</v>
      </c>
      <c r="E8395" t="s">
        <v>21304</v>
      </c>
      <c r="F8395">
        <v>1961</v>
      </c>
      <c r="G8395" t="s">
        <v>16832</v>
      </c>
      <c r="H8395" t="s">
        <v>27812</v>
      </c>
      <c r="J8395" t="s">
        <v>27813</v>
      </c>
      <c r="K8395" s="2" t="str">
        <f>HYPERLINK("http://collections.slsa.sa.gov.au/mpcimg/15000/B14888.htm")</f>
        <v>http://collections.slsa.sa.gov.au/mpcimg/15000/B14888.htm</v>
      </c>
    </row>
    <row r="8396" spans="1:11" x14ac:dyDescent="0.25">
      <c r="A8396" t="s">
        <v>27814</v>
      </c>
      <c r="B8396" s="1" t="str">
        <f>HYPERLINK("https://www.catalog.slsa.sa.gov.au/record=b2063089")</f>
        <v>https://www.catalog.slsa.sa.gov.au/record=b2063089</v>
      </c>
      <c r="C8396" s="1" t="str">
        <f>HYPERLINK("https://www.catalog.slsa.sa.gov.au/xrecord=b2063089")</f>
        <v>https://www.catalog.slsa.sa.gov.au/xrecord=b2063089</v>
      </c>
      <c r="D8396" t="s">
        <v>16831</v>
      </c>
      <c r="E8396" t="s">
        <v>21304</v>
      </c>
      <c r="F8396">
        <v>1961</v>
      </c>
      <c r="G8396" t="s">
        <v>16832</v>
      </c>
      <c r="H8396" t="s">
        <v>27815</v>
      </c>
      <c r="J8396" t="s">
        <v>27813</v>
      </c>
      <c r="K8396" s="2" t="str">
        <f>HYPERLINK("http://collections.slsa.sa.gov.au/mpcimg/15000/B14889.htm")</f>
        <v>http://collections.slsa.sa.gov.au/mpcimg/15000/B14889.htm</v>
      </c>
    </row>
    <row r="8397" spans="1:11" x14ac:dyDescent="0.25">
      <c r="A8397" t="s">
        <v>27816</v>
      </c>
      <c r="B8397" s="1" t="str">
        <f>HYPERLINK("https://www.catalog.slsa.sa.gov.au/record=b2063090")</f>
        <v>https://www.catalog.slsa.sa.gov.au/record=b2063090</v>
      </c>
      <c r="C8397" s="1" t="str">
        <f>HYPERLINK("https://www.catalog.slsa.sa.gov.au/xrecord=b2063090")</f>
        <v>https://www.catalog.slsa.sa.gov.au/xrecord=b2063090</v>
      </c>
      <c r="D8397" t="s">
        <v>16831</v>
      </c>
      <c r="E8397" t="s">
        <v>21304</v>
      </c>
      <c r="F8397">
        <v>1961</v>
      </c>
      <c r="G8397" t="s">
        <v>16832</v>
      </c>
      <c r="H8397" t="s">
        <v>27817</v>
      </c>
      <c r="J8397" t="s">
        <v>27813</v>
      </c>
      <c r="K8397" s="2" t="str">
        <f>HYPERLINK("http://collections.slsa.sa.gov.au/mpcimg/15000/B14890.htm")</f>
        <v>http://collections.slsa.sa.gov.au/mpcimg/15000/B14890.htm</v>
      </c>
    </row>
    <row r="8398" spans="1:11" x14ac:dyDescent="0.25">
      <c r="A8398" t="s">
        <v>27818</v>
      </c>
      <c r="B8398" s="1" t="str">
        <f>HYPERLINK("https://www.catalog.slsa.sa.gov.au/record=b2064425")</f>
        <v>https://www.catalog.slsa.sa.gov.au/record=b2064425</v>
      </c>
      <c r="C8398" s="1" t="str">
        <f>HYPERLINK("https://www.catalog.slsa.sa.gov.au/xrecord=b2064425")</f>
        <v>https://www.catalog.slsa.sa.gov.au/xrecord=b2064425</v>
      </c>
      <c r="D8398" t="s">
        <v>16831</v>
      </c>
      <c r="E8398" t="s">
        <v>27819</v>
      </c>
      <c r="F8398">
        <v>1961</v>
      </c>
      <c r="G8398" t="s">
        <v>16832</v>
      </c>
      <c r="H8398" t="s">
        <v>27820</v>
      </c>
      <c r="J8398" t="s">
        <v>27821</v>
      </c>
      <c r="K8398" s="2" t="str">
        <f>HYPERLINK("http://collections.slsa.sa.gov.au/mpcimg/15000/B14891.htm")</f>
        <v>http://collections.slsa.sa.gov.au/mpcimg/15000/B14891.htm</v>
      </c>
    </row>
    <row r="8399" spans="1:11" x14ac:dyDescent="0.25">
      <c r="A8399" t="s">
        <v>27822</v>
      </c>
      <c r="B8399" s="1" t="str">
        <f>HYPERLINK("https://www.catalog.slsa.sa.gov.au/record=b2064762")</f>
        <v>https://www.catalog.slsa.sa.gov.au/record=b2064762</v>
      </c>
      <c r="C8399" s="1" t="str">
        <f>HYPERLINK("https://www.catalog.slsa.sa.gov.au/xrecord=b2064762")</f>
        <v>https://www.catalog.slsa.sa.gov.au/xrecord=b2064762</v>
      </c>
      <c r="D8399" t="s">
        <v>16831</v>
      </c>
      <c r="E8399" t="s">
        <v>27546</v>
      </c>
      <c r="F8399">
        <v>1961</v>
      </c>
      <c r="G8399" t="s">
        <v>16680</v>
      </c>
      <c r="H8399" t="s">
        <v>27823</v>
      </c>
      <c r="J8399" t="s">
        <v>27548</v>
      </c>
      <c r="K8399" s="2" t="str">
        <f>HYPERLINK("http://collections.slsa.sa.gov.au/mpcimg/14750/B14553.htm")</f>
        <v>http://collections.slsa.sa.gov.au/mpcimg/14750/B14553.htm</v>
      </c>
    </row>
    <row r="8400" spans="1:11" x14ac:dyDescent="0.25">
      <c r="A8400" t="s">
        <v>27824</v>
      </c>
      <c r="B8400" s="1" t="str">
        <f>HYPERLINK("https://www.catalog.slsa.sa.gov.au/record=b2064763")</f>
        <v>https://www.catalog.slsa.sa.gov.au/record=b2064763</v>
      </c>
      <c r="C8400" s="1" t="str">
        <f>HYPERLINK("https://www.catalog.slsa.sa.gov.au/xrecord=b2064763")</f>
        <v>https://www.catalog.slsa.sa.gov.au/xrecord=b2064763</v>
      </c>
      <c r="D8400" t="s">
        <v>16831</v>
      </c>
      <c r="E8400" t="s">
        <v>26980</v>
      </c>
      <c r="F8400">
        <v>1961</v>
      </c>
      <c r="G8400" t="s">
        <v>16680</v>
      </c>
      <c r="H8400" t="s">
        <v>27825</v>
      </c>
      <c r="J8400" t="s">
        <v>27548</v>
      </c>
      <c r="K8400" s="2" t="str">
        <f>HYPERLINK("http://collections.slsa.sa.gov.au/mpcimg/14750/B14554.htm")</f>
        <v>http://collections.slsa.sa.gov.au/mpcimg/14750/B14554.htm</v>
      </c>
    </row>
    <row r="8401" spans="1:11" x14ac:dyDescent="0.25">
      <c r="A8401" t="s">
        <v>27826</v>
      </c>
      <c r="B8401" s="1" t="str">
        <f>HYPERLINK("https://www.catalog.slsa.sa.gov.au/record=b2065422")</f>
        <v>https://www.catalog.slsa.sa.gov.au/record=b2065422</v>
      </c>
      <c r="C8401" s="1" t="str">
        <f>HYPERLINK("https://www.catalog.slsa.sa.gov.au/xrecord=b2065422")</f>
        <v>https://www.catalog.slsa.sa.gov.au/xrecord=b2065422</v>
      </c>
      <c r="D8401" t="s">
        <v>16831</v>
      </c>
      <c r="E8401" t="s">
        <v>27827</v>
      </c>
      <c r="F8401">
        <v>1961</v>
      </c>
      <c r="G8401" t="s">
        <v>27310</v>
      </c>
      <c r="H8401" t="s">
        <v>27828</v>
      </c>
      <c r="I8401" t="s">
        <v>27829</v>
      </c>
      <c r="J8401" t="s">
        <v>27830</v>
      </c>
      <c r="K8401" s="2" t="str">
        <f>HYPERLINK("http://collections.slsa.sa.gov.au/mpcimg/14500/B14469.htm")</f>
        <v>http://collections.slsa.sa.gov.au/mpcimg/14500/B14469.htm</v>
      </c>
    </row>
    <row r="8402" spans="1:11" x14ac:dyDescent="0.25">
      <c r="A8402" t="s">
        <v>27831</v>
      </c>
      <c r="B8402" s="1" t="str">
        <f>HYPERLINK("https://www.catalog.slsa.sa.gov.au/record=b2065423")</f>
        <v>https://www.catalog.slsa.sa.gov.au/record=b2065423</v>
      </c>
      <c r="C8402" s="1" t="str">
        <f>HYPERLINK("https://www.catalog.slsa.sa.gov.au/xrecord=b2065423")</f>
        <v>https://www.catalog.slsa.sa.gov.au/xrecord=b2065423</v>
      </c>
      <c r="D8402" t="s">
        <v>16831</v>
      </c>
      <c r="E8402" t="s">
        <v>27827</v>
      </c>
      <c r="F8402">
        <v>1961</v>
      </c>
      <c r="G8402" t="s">
        <v>27310</v>
      </c>
      <c r="H8402" t="s">
        <v>27832</v>
      </c>
      <c r="I8402" t="s">
        <v>27833</v>
      </c>
      <c r="J8402" t="s">
        <v>27830</v>
      </c>
      <c r="K8402" s="2" t="str">
        <f>HYPERLINK("http://collections.slsa.sa.gov.au/mpcimg/14500/B14470.htm")</f>
        <v>http://collections.slsa.sa.gov.au/mpcimg/14500/B14470.htm</v>
      </c>
    </row>
    <row r="8403" spans="1:11" x14ac:dyDescent="0.25">
      <c r="A8403" t="s">
        <v>27834</v>
      </c>
      <c r="B8403" s="1" t="str">
        <f>HYPERLINK("https://www.catalog.slsa.sa.gov.au/record=b2083098")</f>
        <v>https://www.catalog.slsa.sa.gov.au/record=b2083098</v>
      </c>
      <c r="C8403" s="1" t="str">
        <f>HYPERLINK("https://www.catalog.slsa.sa.gov.au/xrecord=b2083098")</f>
        <v>https://www.catalog.slsa.sa.gov.au/xrecord=b2083098</v>
      </c>
      <c r="D8403" t="s">
        <v>3891</v>
      </c>
      <c r="E8403" t="s">
        <v>27835</v>
      </c>
      <c r="F8403">
        <v>1961</v>
      </c>
      <c r="G8403" t="s">
        <v>27836</v>
      </c>
      <c r="H8403" t="s">
        <v>27837</v>
      </c>
      <c r="I8403" t="s">
        <v>5707</v>
      </c>
      <c r="J8403" t="s">
        <v>2963</v>
      </c>
      <c r="K8403" s="2" t="str">
        <f>HYPERLINK("http://collections.slsa.sa.gov.au/mpcimg/61250/B61145.htm")</f>
        <v>http://collections.slsa.sa.gov.au/mpcimg/61250/B61145.htm</v>
      </c>
    </row>
    <row r="8404" spans="1:11" x14ac:dyDescent="0.25">
      <c r="A8404" t="s">
        <v>27838</v>
      </c>
      <c r="B8404" s="1" t="str">
        <f>HYPERLINK("https://www.catalog.slsa.sa.gov.au/record=b2100783")</f>
        <v>https://www.catalog.slsa.sa.gov.au/record=b2100783</v>
      </c>
      <c r="C8404" s="1" t="str">
        <f>HYPERLINK("https://www.catalog.slsa.sa.gov.au/xrecord=b2100783")</f>
        <v>https://www.catalog.slsa.sa.gov.au/xrecord=b2100783</v>
      </c>
      <c r="D8404" t="s">
        <v>16831</v>
      </c>
      <c r="E8404" t="s">
        <v>27839</v>
      </c>
      <c r="F8404">
        <v>1961</v>
      </c>
      <c r="G8404" t="s">
        <v>27840</v>
      </c>
      <c r="H8404" t="s">
        <v>27841</v>
      </c>
      <c r="I8404" t="s">
        <v>27842</v>
      </c>
      <c r="J8404" t="s">
        <v>27843</v>
      </c>
      <c r="K8404" s="2" t="str">
        <f>HYPERLINK("http://collections.slsa.sa.gov.au/mpcimg/63500/B63323_1.htm")</f>
        <v>http://collections.slsa.sa.gov.au/mpcimg/63500/B63323_1.htm</v>
      </c>
    </row>
    <row r="8405" spans="1:11" x14ac:dyDescent="0.25">
      <c r="A8405" t="s">
        <v>27844</v>
      </c>
      <c r="B8405" s="1" t="str">
        <f>HYPERLINK("https://www.catalog.slsa.sa.gov.au/record=b2100784")</f>
        <v>https://www.catalog.slsa.sa.gov.au/record=b2100784</v>
      </c>
      <c r="C8405" s="1" t="str">
        <f>HYPERLINK("https://www.catalog.slsa.sa.gov.au/xrecord=b2100784")</f>
        <v>https://www.catalog.slsa.sa.gov.au/xrecord=b2100784</v>
      </c>
      <c r="D8405" t="s">
        <v>16831</v>
      </c>
      <c r="E8405" t="s">
        <v>27839</v>
      </c>
      <c r="F8405">
        <v>1961</v>
      </c>
      <c r="G8405" t="s">
        <v>27845</v>
      </c>
      <c r="H8405" t="s">
        <v>27846</v>
      </c>
      <c r="I8405" t="s">
        <v>27842</v>
      </c>
      <c r="J8405" t="s">
        <v>27843</v>
      </c>
      <c r="K8405" s="2" t="str">
        <f>HYPERLINK("http://collections.slsa.sa.gov.au/mpcimg/63500/B63323_1a.htm")</f>
        <v>http://collections.slsa.sa.gov.au/mpcimg/63500/B63323_1a.htm</v>
      </c>
    </row>
    <row r="8406" spans="1:11" x14ac:dyDescent="0.25">
      <c r="A8406" t="s">
        <v>27847</v>
      </c>
      <c r="B8406" s="1" t="str">
        <f>HYPERLINK("https://www.catalog.slsa.sa.gov.au/record=b2100785")</f>
        <v>https://www.catalog.slsa.sa.gov.au/record=b2100785</v>
      </c>
      <c r="C8406" s="1" t="str">
        <f>HYPERLINK("https://www.catalog.slsa.sa.gov.au/xrecord=b2100785")</f>
        <v>https://www.catalog.slsa.sa.gov.au/xrecord=b2100785</v>
      </c>
      <c r="D8406" t="s">
        <v>16831</v>
      </c>
      <c r="E8406" t="s">
        <v>27839</v>
      </c>
      <c r="F8406">
        <v>1961</v>
      </c>
      <c r="G8406" t="s">
        <v>27845</v>
      </c>
      <c r="H8406" t="s">
        <v>27848</v>
      </c>
      <c r="I8406" t="s">
        <v>27842</v>
      </c>
      <c r="J8406" t="s">
        <v>27843</v>
      </c>
      <c r="K8406" s="2" t="str">
        <f>HYPERLINK("http://collections.slsa.sa.gov.au/mpcimg/63500/B63323_2.htm")</f>
        <v>http://collections.slsa.sa.gov.au/mpcimg/63500/B63323_2.htm</v>
      </c>
    </row>
    <row r="8407" spans="1:11" x14ac:dyDescent="0.25">
      <c r="A8407" t="s">
        <v>27849</v>
      </c>
      <c r="B8407" s="1" t="str">
        <f>HYPERLINK("https://www.catalog.slsa.sa.gov.au/record=b2100786")</f>
        <v>https://www.catalog.slsa.sa.gov.au/record=b2100786</v>
      </c>
      <c r="C8407" s="1" t="str">
        <f>HYPERLINK("https://www.catalog.slsa.sa.gov.au/xrecord=b2100786")</f>
        <v>https://www.catalog.slsa.sa.gov.au/xrecord=b2100786</v>
      </c>
      <c r="D8407" t="s">
        <v>16831</v>
      </c>
      <c r="E8407" t="s">
        <v>27850</v>
      </c>
      <c r="F8407">
        <v>1961</v>
      </c>
      <c r="G8407" t="s">
        <v>27851</v>
      </c>
      <c r="H8407" t="s">
        <v>27852</v>
      </c>
      <c r="I8407" t="s">
        <v>27853</v>
      </c>
      <c r="J8407" t="s">
        <v>27843</v>
      </c>
      <c r="K8407" s="2" t="str">
        <f>HYPERLINK("http://collections.slsa.sa.gov.au/mpcimg/63500/B63323_3.htm")</f>
        <v>http://collections.slsa.sa.gov.au/mpcimg/63500/B63323_3.htm</v>
      </c>
    </row>
    <row r="8408" spans="1:11" x14ac:dyDescent="0.25">
      <c r="A8408" t="s">
        <v>27854</v>
      </c>
      <c r="B8408" s="1" t="str">
        <f>HYPERLINK("https://www.catalog.slsa.sa.gov.au/record=b2100787")</f>
        <v>https://www.catalog.slsa.sa.gov.au/record=b2100787</v>
      </c>
      <c r="C8408" s="1" t="str">
        <f>HYPERLINK("https://www.catalog.slsa.sa.gov.au/xrecord=b2100787")</f>
        <v>https://www.catalog.slsa.sa.gov.au/xrecord=b2100787</v>
      </c>
      <c r="D8408" t="s">
        <v>16831</v>
      </c>
      <c r="E8408" t="s">
        <v>27850</v>
      </c>
      <c r="F8408">
        <v>1961</v>
      </c>
      <c r="G8408" t="s">
        <v>27855</v>
      </c>
      <c r="H8408" t="s">
        <v>27856</v>
      </c>
      <c r="I8408" t="s">
        <v>27853</v>
      </c>
      <c r="J8408" t="s">
        <v>27843</v>
      </c>
      <c r="K8408" s="2" t="str">
        <f>HYPERLINK("http://collections.slsa.sa.gov.au/mpcimg/63500/B63323_4.htm")</f>
        <v>http://collections.slsa.sa.gov.au/mpcimg/63500/B63323_4.htm</v>
      </c>
    </row>
    <row r="8409" spans="1:11" x14ac:dyDescent="0.25">
      <c r="A8409" t="s">
        <v>27857</v>
      </c>
      <c r="B8409" s="1" t="str">
        <f>HYPERLINK("https://www.catalog.slsa.sa.gov.au/record=b2100788")</f>
        <v>https://www.catalog.slsa.sa.gov.au/record=b2100788</v>
      </c>
      <c r="C8409" s="1" t="str">
        <f>HYPERLINK("https://www.catalog.slsa.sa.gov.au/xrecord=b2100788")</f>
        <v>https://www.catalog.slsa.sa.gov.au/xrecord=b2100788</v>
      </c>
      <c r="D8409" t="s">
        <v>16831</v>
      </c>
      <c r="E8409" t="s">
        <v>27858</v>
      </c>
      <c r="F8409">
        <v>1961</v>
      </c>
      <c r="G8409" t="s">
        <v>27859</v>
      </c>
      <c r="H8409" t="s">
        <v>27860</v>
      </c>
      <c r="I8409" t="s">
        <v>27861</v>
      </c>
      <c r="J8409" t="s">
        <v>27843</v>
      </c>
      <c r="K8409" s="2" t="str">
        <f>HYPERLINK("http://collections.slsa.sa.gov.au/mpcimg/63500/B63323_5.htm")</f>
        <v>http://collections.slsa.sa.gov.au/mpcimg/63500/B63323_5.htm</v>
      </c>
    </row>
    <row r="8410" spans="1:11" x14ac:dyDescent="0.25">
      <c r="A8410" t="s">
        <v>27862</v>
      </c>
      <c r="B8410" s="1" t="str">
        <f>HYPERLINK("https://www.catalog.slsa.sa.gov.au/record=b2100796")</f>
        <v>https://www.catalog.slsa.sa.gov.au/record=b2100796</v>
      </c>
      <c r="C8410" s="1" t="str">
        <f>HYPERLINK("https://www.catalog.slsa.sa.gov.au/xrecord=b2100796")</f>
        <v>https://www.catalog.slsa.sa.gov.au/xrecord=b2100796</v>
      </c>
      <c r="D8410" t="s">
        <v>16831</v>
      </c>
      <c r="E8410" t="s">
        <v>27863</v>
      </c>
      <c r="F8410">
        <v>1961</v>
      </c>
      <c r="G8410" t="s">
        <v>27864</v>
      </c>
      <c r="H8410" t="s">
        <v>27865</v>
      </c>
      <c r="I8410" t="s">
        <v>27866</v>
      </c>
      <c r="J8410" t="s">
        <v>27843</v>
      </c>
      <c r="K8410" s="2" t="str">
        <f>HYPERLINK("http://collections.slsa.sa.gov.au/mpcimg/63500/B63323_6.htm")</f>
        <v>http://collections.slsa.sa.gov.au/mpcimg/63500/B63323_6.htm</v>
      </c>
    </row>
    <row r="8411" spans="1:11" x14ac:dyDescent="0.25">
      <c r="A8411" t="s">
        <v>27867</v>
      </c>
      <c r="B8411" s="1" t="str">
        <f>HYPERLINK("https://www.catalog.slsa.sa.gov.au/record=b2100797")</f>
        <v>https://www.catalog.slsa.sa.gov.au/record=b2100797</v>
      </c>
      <c r="C8411" s="1" t="str">
        <f>HYPERLINK("https://www.catalog.slsa.sa.gov.au/xrecord=b2100797")</f>
        <v>https://www.catalog.slsa.sa.gov.au/xrecord=b2100797</v>
      </c>
      <c r="D8411" t="s">
        <v>16831</v>
      </c>
      <c r="E8411" t="s">
        <v>27863</v>
      </c>
      <c r="F8411">
        <v>1961</v>
      </c>
      <c r="G8411" t="s">
        <v>27868</v>
      </c>
      <c r="H8411" t="s">
        <v>27869</v>
      </c>
      <c r="I8411" t="s">
        <v>27866</v>
      </c>
      <c r="J8411" t="s">
        <v>27843</v>
      </c>
      <c r="K8411" s="2" t="str">
        <f>HYPERLINK("http://collections.slsa.sa.gov.au/mpcimg/63500/B63323_7.htm")</f>
        <v>http://collections.slsa.sa.gov.au/mpcimg/63500/B63323_7.htm</v>
      </c>
    </row>
    <row r="8412" spans="1:11" x14ac:dyDescent="0.25">
      <c r="A8412" t="s">
        <v>27870</v>
      </c>
      <c r="B8412" s="1" t="str">
        <f>HYPERLINK("https://www.catalog.slsa.sa.gov.au/record=b2100798")</f>
        <v>https://www.catalog.slsa.sa.gov.au/record=b2100798</v>
      </c>
      <c r="C8412" s="1" t="str">
        <f>HYPERLINK("https://www.catalog.slsa.sa.gov.au/xrecord=b2100798")</f>
        <v>https://www.catalog.slsa.sa.gov.au/xrecord=b2100798</v>
      </c>
      <c r="D8412" t="s">
        <v>16831</v>
      </c>
      <c r="E8412" t="s">
        <v>27863</v>
      </c>
      <c r="F8412">
        <v>1961</v>
      </c>
      <c r="G8412" t="s">
        <v>27871</v>
      </c>
      <c r="H8412" t="s">
        <v>27872</v>
      </c>
      <c r="I8412" t="s">
        <v>27866</v>
      </c>
      <c r="J8412" t="s">
        <v>27843</v>
      </c>
      <c r="K8412" s="2" t="str">
        <f>HYPERLINK("http://collections.slsa.sa.gov.au/mpcimg/63500/B63323_8.htm")</f>
        <v>http://collections.slsa.sa.gov.au/mpcimg/63500/B63323_8.htm</v>
      </c>
    </row>
    <row r="8413" spans="1:11" x14ac:dyDescent="0.25">
      <c r="A8413" t="s">
        <v>27873</v>
      </c>
      <c r="B8413" s="1" t="str">
        <f>HYPERLINK("https://www.catalog.slsa.sa.gov.au/record=b2100799")</f>
        <v>https://www.catalog.slsa.sa.gov.au/record=b2100799</v>
      </c>
      <c r="C8413" s="1" t="str">
        <f>HYPERLINK("https://www.catalog.slsa.sa.gov.au/xrecord=b2100799")</f>
        <v>https://www.catalog.slsa.sa.gov.au/xrecord=b2100799</v>
      </c>
      <c r="D8413" t="s">
        <v>16831</v>
      </c>
      <c r="E8413" t="s">
        <v>27863</v>
      </c>
      <c r="F8413">
        <v>1961</v>
      </c>
      <c r="G8413" t="s">
        <v>27874</v>
      </c>
      <c r="H8413" t="s">
        <v>27875</v>
      </c>
      <c r="I8413" t="s">
        <v>27866</v>
      </c>
      <c r="J8413" t="s">
        <v>27843</v>
      </c>
      <c r="K8413" s="2" t="str">
        <f>HYPERLINK("http://collections.slsa.sa.gov.au/mpcimg/63500/B63323_9.htm")</f>
        <v>http://collections.slsa.sa.gov.au/mpcimg/63500/B63323_9.htm</v>
      </c>
    </row>
    <row r="8414" spans="1:11" x14ac:dyDescent="0.25">
      <c r="A8414" t="s">
        <v>27876</v>
      </c>
      <c r="B8414" s="1" t="str">
        <f>HYPERLINK("https://www.catalog.slsa.sa.gov.au/record=b2100800")</f>
        <v>https://www.catalog.slsa.sa.gov.au/record=b2100800</v>
      </c>
      <c r="C8414" s="1" t="str">
        <f>HYPERLINK("https://www.catalog.slsa.sa.gov.au/xrecord=b2100800")</f>
        <v>https://www.catalog.slsa.sa.gov.au/xrecord=b2100800</v>
      </c>
      <c r="D8414" t="s">
        <v>16831</v>
      </c>
      <c r="E8414" t="s">
        <v>27863</v>
      </c>
      <c r="F8414">
        <v>1961</v>
      </c>
      <c r="G8414" t="s">
        <v>27877</v>
      </c>
      <c r="H8414" t="s">
        <v>27878</v>
      </c>
      <c r="I8414" t="s">
        <v>27866</v>
      </c>
      <c r="J8414" t="s">
        <v>27843</v>
      </c>
      <c r="K8414" s="2" t="str">
        <f>HYPERLINK("http://collections.slsa.sa.gov.au/mpcimg/63500/B63323_10.htm")</f>
        <v>http://collections.slsa.sa.gov.au/mpcimg/63500/B63323_10.htm</v>
      </c>
    </row>
    <row r="8415" spans="1:11" x14ac:dyDescent="0.25">
      <c r="A8415" t="s">
        <v>27879</v>
      </c>
      <c r="B8415" s="1" t="str">
        <f>HYPERLINK("https://www.catalog.slsa.sa.gov.au/record=b2100801")</f>
        <v>https://www.catalog.slsa.sa.gov.au/record=b2100801</v>
      </c>
      <c r="C8415" s="1" t="str">
        <f>HYPERLINK("https://www.catalog.slsa.sa.gov.au/xrecord=b2100801")</f>
        <v>https://www.catalog.slsa.sa.gov.au/xrecord=b2100801</v>
      </c>
      <c r="D8415" t="s">
        <v>16831</v>
      </c>
      <c r="E8415" t="s">
        <v>27880</v>
      </c>
      <c r="F8415">
        <v>1961</v>
      </c>
      <c r="G8415" t="s">
        <v>27881</v>
      </c>
      <c r="H8415" t="s">
        <v>27882</v>
      </c>
      <c r="I8415" t="s">
        <v>27883</v>
      </c>
      <c r="J8415" t="s">
        <v>27843</v>
      </c>
      <c r="K8415" s="2" t="str">
        <f>HYPERLINK("http://collections.slsa.sa.gov.au/mpcimg/63500/B63323_11.htm")</f>
        <v>http://collections.slsa.sa.gov.au/mpcimg/63500/B63323_11.htm</v>
      </c>
    </row>
    <row r="8416" spans="1:11" x14ac:dyDescent="0.25">
      <c r="A8416" t="s">
        <v>27884</v>
      </c>
      <c r="B8416" s="1" t="str">
        <f>HYPERLINK("https://www.catalog.slsa.sa.gov.au/record=b2100802")</f>
        <v>https://www.catalog.slsa.sa.gov.au/record=b2100802</v>
      </c>
      <c r="C8416" s="1" t="str">
        <f>HYPERLINK("https://www.catalog.slsa.sa.gov.au/xrecord=b2100802")</f>
        <v>https://www.catalog.slsa.sa.gov.au/xrecord=b2100802</v>
      </c>
      <c r="D8416" t="s">
        <v>16831</v>
      </c>
      <c r="E8416" t="s">
        <v>27880</v>
      </c>
      <c r="F8416">
        <v>1961</v>
      </c>
      <c r="G8416" t="s">
        <v>27885</v>
      </c>
      <c r="H8416" t="s">
        <v>27886</v>
      </c>
      <c r="I8416" t="s">
        <v>27883</v>
      </c>
      <c r="J8416" t="s">
        <v>27843</v>
      </c>
      <c r="K8416" s="2" t="str">
        <f>HYPERLINK("http://collections.slsa.sa.gov.au/mpcimg/63500/B63323_12.htm")</f>
        <v>http://collections.slsa.sa.gov.au/mpcimg/63500/B63323_12.htm</v>
      </c>
    </row>
    <row r="8417" spans="1:11" x14ac:dyDescent="0.25">
      <c r="A8417" t="s">
        <v>27887</v>
      </c>
      <c r="B8417" s="1" t="str">
        <f>HYPERLINK("https://www.catalog.slsa.sa.gov.au/record=b2100808")</f>
        <v>https://www.catalog.slsa.sa.gov.au/record=b2100808</v>
      </c>
      <c r="C8417" s="1" t="str">
        <f>HYPERLINK("https://www.catalog.slsa.sa.gov.au/xrecord=b2100808")</f>
        <v>https://www.catalog.slsa.sa.gov.au/xrecord=b2100808</v>
      </c>
      <c r="D8417" t="s">
        <v>16831</v>
      </c>
      <c r="E8417" t="s">
        <v>27888</v>
      </c>
      <c r="F8417">
        <v>1961</v>
      </c>
      <c r="G8417" t="s">
        <v>27877</v>
      </c>
      <c r="H8417" t="s">
        <v>27889</v>
      </c>
      <c r="I8417" t="s">
        <v>27890</v>
      </c>
      <c r="J8417" t="s">
        <v>27843</v>
      </c>
      <c r="K8417" s="2" t="str">
        <f>HYPERLINK("http://collections.slsa.sa.gov.au/mpcimg/63500/B63323_13.htm")</f>
        <v>http://collections.slsa.sa.gov.au/mpcimg/63500/B63323_13.htm</v>
      </c>
    </row>
    <row r="8418" spans="1:11" x14ac:dyDescent="0.25">
      <c r="A8418" t="s">
        <v>27891</v>
      </c>
      <c r="B8418" s="1" t="str">
        <f>HYPERLINK("https://www.catalog.slsa.sa.gov.au/record=b2100809")</f>
        <v>https://www.catalog.slsa.sa.gov.au/record=b2100809</v>
      </c>
      <c r="C8418" s="1" t="str">
        <f>HYPERLINK("https://www.catalog.slsa.sa.gov.au/xrecord=b2100809")</f>
        <v>https://www.catalog.slsa.sa.gov.au/xrecord=b2100809</v>
      </c>
      <c r="D8418" t="s">
        <v>16831</v>
      </c>
      <c r="E8418" t="s">
        <v>27888</v>
      </c>
      <c r="F8418">
        <v>1961</v>
      </c>
      <c r="G8418" t="s">
        <v>27892</v>
      </c>
      <c r="H8418" t="s">
        <v>27893</v>
      </c>
      <c r="I8418" t="s">
        <v>27890</v>
      </c>
      <c r="J8418" t="s">
        <v>27843</v>
      </c>
      <c r="K8418" s="2" t="str">
        <f>HYPERLINK("http://collections.slsa.sa.gov.au/mpcimg/63500/B63323_14.htm")</f>
        <v>http://collections.slsa.sa.gov.au/mpcimg/63500/B63323_14.htm</v>
      </c>
    </row>
    <row r="8419" spans="1:11" x14ac:dyDescent="0.25">
      <c r="A8419" t="s">
        <v>27894</v>
      </c>
      <c r="B8419" s="1" t="str">
        <f>HYPERLINK("https://www.catalog.slsa.sa.gov.au/record=b2100810")</f>
        <v>https://www.catalog.slsa.sa.gov.au/record=b2100810</v>
      </c>
      <c r="C8419" s="1" t="str">
        <f>HYPERLINK("https://www.catalog.slsa.sa.gov.au/xrecord=b2100810")</f>
        <v>https://www.catalog.slsa.sa.gov.au/xrecord=b2100810</v>
      </c>
      <c r="D8419" t="s">
        <v>16831</v>
      </c>
      <c r="E8419" t="s">
        <v>27895</v>
      </c>
      <c r="F8419">
        <v>1961</v>
      </c>
      <c r="G8419" t="s">
        <v>27877</v>
      </c>
      <c r="H8419" t="s">
        <v>27896</v>
      </c>
      <c r="I8419" t="s">
        <v>27897</v>
      </c>
      <c r="J8419" t="s">
        <v>27843</v>
      </c>
      <c r="K8419" s="2" t="str">
        <f>HYPERLINK("http://collections.slsa.sa.gov.au/mpcimg/63500/B63323_15.htm")</f>
        <v>http://collections.slsa.sa.gov.au/mpcimg/63500/B63323_15.htm</v>
      </c>
    </row>
    <row r="8420" spans="1:11" x14ac:dyDescent="0.25">
      <c r="A8420" t="s">
        <v>27898</v>
      </c>
      <c r="B8420" s="1" t="str">
        <f>HYPERLINK("https://www.catalog.slsa.sa.gov.au/record=b2100811")</f>
        <v>https://www.catalog.slsa.sa.gov.au/record=b2100811</v>
      </c>
      <c r="C8420" s="1" t="str">
        <f>HYPERLINK("https://www.catalog.slsa.sa.gov.au/xrecord=b2100811")</f>
        <v>https://www.catalog.slsa.sa.gov.au/xrecord=b2100811</v>
      </c>
      <c r="D8420" t="s">
        <v>16831</v>
      </c>
      <c r="E8420" t="s">
        <v>27888</v>
      </c>
      <c r="F8420">
        <v>1961</v>
      </c>
      <c r="G8420" t="s">
        <v>27899</v>
      </c>
      <c r="H8420" t="s">
        <v>27900</v>
      </c>
      <c r="I8420" t="s">
        <v>27890</v>
      </c>
      <c r="J8420" t="s">
        <v>27843</v>
      </c>
      <c r="K8420" s="2" t="str">
        <f>HYPERLINK("http://collections.slsa.sa.gov.au/mpcimg/63500/B63323_16.htm")</f>
        <v>http://collections.slsa.sa.gov.au/mpcimg/63500/B63323_16.htm</v>
      </c>
    </row>
    <row r="8421" spans="1:11" x14ac:dyDescent="0.25">
      <c r="A8421" t="s">
        <v>27901</v>
      </c>
      <c r="B8421" s="1" t="str">
        <f>HYPERLINK("https://www.catalog.slsa.sa.gov.au/record=b2100812")</f>
        <v>https://www.catalog.slsa.sa.gov.au/record=b2100812</v>
      </c>
      <c r="C8421" s="1" t="str">
        <f>HYPERLINK("https://www.catalog.slsa.sa.gov.au/xrecord=b2100812")</f>
        <v>https://www.catalog.slsa.sa.gov.au/xrecord=b2100812</v>
      </c>
      <c r="D8421" t="s">
        <v>16831</v>
      </c>
      <c r="E8421" t="s">
        <v>27902</v>
      </c>
      <c r="F8421">
        <v>1961</v>
      </c>
      <c r="G8421" t="s">
        <v>27903</v>
      </c>
      <c r="H8421" t="s">
        <v>27904</v>
      </c>
      <c r="I8421" t="s">
        <v>27905</v>
      </c>
      <c r="J8421" t="s">
        <v>27843</v>
      </c>
      <c r="K8421" s="2" t="str">
        <f>HYPERLINK("http://collections.slsa.sa.gov.au/mpcimg/63500/B63323_17.htm")</f>
        <v>http://collections.slsa.sa.gov.au/mpcimg/63500/B63323_17.htm</v>
      </c>
    </row>
    <row r="8422" spans="1:11" x14ac:dyDescent="0.25">
      <c r="A8422" t="s">
        <v>27906</v>
      </c>
      <c r="B8422" s="1" t="str">
        <f>HYPERLINK("https://www.catalog.slsa.sa.gov.au/record=b2100814")</f>
        <v>https://www.catalog.slsa.sa.gov.au/record=b2100814</v>
      </c>
      <c r="C8422" s="1" t="str">
        <f>HYPERLINK("https://www.catalog.slsa.sa.gov.au/xrecord=b2100814")</f>
        <v>https://www.catalog.slsa.sa.gov.au/xrecord=b2100814</v>
      </c>
      <c r="D8422" t="s">
        <v>16831</v>
      </c>
      <c r="E8422" t="s">
        <v>27907</v>
      </c>
      <c r="F8422">
        <v>1961</v>
      </c>
      <c r="G8422" t="s">
        <v>27908</v>
      </c>
      <c r="H8422" t="s">
        <v>27909</v>
      </c>
      <c r="I8422" t="s">
        <v>27910</v>
      </c>
      <c r="J8422" t="s">
        <v>27843</v>
      </c>
      <c r="K8422" s="2" t="str">
        <f>HYPERLINK("http://collections.slsa.sa.gov.au/mpcimg/63500/B63323_18.htm")</f>
        <v>http://collections.slsa.sa.gov.au/mpcimg/63500/B63323_18.htm</v>
      </c>
    </row>
    <row r="8423" spans="1:11" x14ac:dyDescent="0.25">
      <c r="A8423" t="s">
        <v>27911</v>
      </c>
      <c r="B8423" s="1" t="str">
        <f>HYPERLINK("https://www.catalog.slsa.sa.gov.au/record=b2100815")</f>
        <v>https://www.catalog.slsa.sa.gov.au/record=b2100815</v>
      </c>
      <c r="C8423" s="1" t="str">
        <f>HYPERLINK("https://www.catalog.slsa.sa.gov.au/xrecord=b2100815")</f>
        <v>https://www.catalog.slsa.sa.gov.au/xrecord=b2100815</v>
      </c>
      <c r="D8423" t="s">
        <v>16831</v>
      </c>
      <c r="E8423" t="s">
        <v>27907</v>
      </c>
      <c r="F8423">
        <v>1961</v>
      </c>
      <c r="G8423" t="s">
        <v>27871</v>
      </c>
      <c r="H8423" t="s">
        <v>27912</v>
      </c>
      <c r="I8423" t="s">
        <v>27910</v>
      </c>
      <c r="J8423" t="s">
        <v>27843</v>
      </c>
      <c r="K8423" s="2" t="str">
        <f>HYPERLINK("http://collections.slsa.sa.gov.au/mpcimg/63500/B63323_19.htm")</f>
        <v>http://collections.slsa.sa.gov.au/mpcimg/63500/B63323_19.htm</v>
      </c>
    </row>
    <row r="8424" spans="1:11" x14ac:dyDescent="0.25">
      <c r="A8424" t="s">
        <v>27913</v>
      </c>
      <c r="B8424" s="1" t="str">
        <f>HYPERLINK("https://www.catalog.slsa.sa.gov.au/record=b2100816")</f>
        <v>https://www.catalog.slsa.sa.gov.au/record=b2100816</v>
      </c>
      <c r="C8424" s="1" t="str">
        <f>HYPERLINK("https://www.catalog.slsa.sa.gov.au/xrecord=b2100816")</f>
        <v>https://www.catalog.slsa.sa.gov.au/xrecord=b2100816</v>
      </c>
      <c r="D8424" t="s">
        <v>16831</v>
      </c>
      <c r="E8424" t="s">
        <v>27914</v>
      </c>
      <c r="F8424">
        <v>1961</v>
      </c>
      <c r="G8424" t="s">
        <v>27908</v>
      </c>
      <c r="H8424" t="s">
        <v>27915</v>
      </c>
      <c r="I8424" t="s">
        <v>27916</v>
      </c>
      <c r="J8424" t="s">
        <v>27843</v>
      </c>
      <c r="K8424" s="2" t="str">
        <f>HYPERLINK("http://collections.slsa.sa.gov.au/mpcimg/63500/B63323_20.htm")</f>
        <v>http://collections.slsa.sa.gov.au/mpcimg/63500/B63323_20.htm</v>
      </c>
    </row>
    <row r="8425" spans="1:11" x14ac:dyDescent="0.25">
      <c r="A8425" t="s">
        <v>27917</v>
      </c>
      <c r="B8425" s="1" t="str">
        <f>HYPERLINK("https://www.catalog.slsa.sa.gov.au/record=b2100817")</f>
        <v>https://www.catalog.slsa.sa.gov.au/record=b2100817</v>
      </c>
      <c r="C8425" s="1" t="str">
        <f>HYPERLINK("https://www.catalog.slsa.sa.gov.au/xrecord=b2100817")</f>
        <v>https://www.catalog.slsa.sa.gov.au/xrecord=b2100817</v>
      </c>
      <c r="D8425" t="s">
        <v>16831</v>
      </c>
      <c r="E8425" t="s">
        <v>27918</v>
      </c>
      <c r="F8425">
        <v>1961</v>
      </c>
      <c r="G8425" t="s">
        <v>27919</v>
      </c>
      <c r="H8425" t="s">
        <v>27920</v>
      </c>
      <c r="I8425" t="s">
        <v>27921</v>
      </c>
      <c r="J8425" t="s">
        <v>27843</v>
      </c>
      <c r="K8425" s="2" t="str">
        <f>HYPERLINK("http://collections.slsa.sa.gov.au/mpcimg/63500/B63323_21.htm")</f>
        <v>http://collections.slsa.sa.gov.au/mpcimg/63500/B63323_21.htm</v>
      </c>
    </row>
    <row r="8426" spans="1:11" x14ac:dyDescent="0.25">
      <c r="A8426" t="s">
        <v>27922</v>
      </c>
      <c r="B8426" s="1" t="str">
        <f>HYPERLINK("https://www.catalog.slsa.sa.gov.au/record=b2100819")</f>
        <v>https://www.catalog.slsa.sa.gov.au/record=b2100819</v>
      </c>
      <c r="C8426" s="1" t="str">
        <f>HYPERLINK("https://www.catalog.slsa.sa.gov.au/xrecord=b2100819")</f>
        <v>https://www.catalog.slsa.sa.gov.au/xrecord=b2100819</v>
      </c>
      <c r="D8426" t="s">
        <v>16831</v>
      </c>
      <c r="E8426" t="s">
        <v>27918</v>
      </c>
      <c r="F8426">
        <v>1961</v>
      </c>
      <c r="G8426" t="s">
        <v>27885</v>
      </c>
      <c r="H8426" t="s">
        <v>27923</v>
      </c>
      <c r="I8426" t="s">
        <v>27921</v>
      </c>
      <c r="J8426" t="s">
        <v>27843</v>
      </c>
      <c r="K8426" s="2" t="str">
        <f>HYPERLINK("http://collections.slsa.sa.gov.au/mpcimg/63500/B63323_22.htm")</f>
        <v>http://collections.slsa.sa.gov.au/mpcimg/63500/B63323_22.htm</v>
      </c>
    </row>
    <row r="8427" spans="1:11" x14ac:dyDescent="0.25">
      <c r="A8427" t="s">
        <v>27924</v>
      </c>
      <c r="B8427" s="1" t="str">
        <f>HYPERLINK("https://www.catalog.slsa.sa.gov.au/record=b2100820")</f>
        <v>https://www.catalog.slsa.sa.gov.au/record=b2100820</v>
      </c>
      <c r="C8427" s="1" t="str">
        <f>HYPERLINK("https://www.catalog.slsa.sa.gov.au/xrecord=b2100820")</f>
        <v>https://www.catalog.slsa.sa.gov.au/xrecord=b2100820</v>
      </c>
      <c r="D8427" t="s">
        <v>16831</v>
      </c>
      <c r="E8427" t="s">
        <v>27918</v>
      </c>
      <c r="F8427">
        <v>1961</v>
      </c>
      <c r="G8427" t="s">
        <v>27892</v>
      </c>
      <c r="H8427" t="s">
        <v>27925</v>
      </c>
      <c r="I8427" t="s">
        <v>27921</v>
      </c>
      <c r="J8427" t="s">
        <v>27843</v>
      </c>
      <c r="K8427" s="2" t="str">
        <f>HYPERLINK("http://collections.slsa.sa.gov.au/mpcimg/63500/B63323_23.htm")</f>
        <v>http://collections.slsa.sa.gov.au/mpcimg/63500/B63323_23.htm</v>
      </c>
    </row>
    <row r="8428" spans="1:11" x14ac:dyDescent="0.25">
      <c r="A8428" t="s">
        <v>27926</v>
      </c>
      <c r="B8428" s="1" t="str">
        <f>HYPERLINK("https://www.catalog.slsa.sa.gov.au/record=b2100821")</f>
        <v>https://www.catalog.slsa.sa.gov.au/record=b2100821</v>
      </c>
      <c r="C8428" s="1" t="str">
        <f>HYPERLINK("https://www.catalog.slsa.sa.gov.au/xrecord=b2100821")</f>
        <v>https://www.catalog.slsa.sa.gov.au/xrecord=b2100821</v>
      </c>
      <c r="D8428" t="s">
        <v>16831</v>
      </c>
      <c r="E8428" t="s">
        <v>27918</v>
      </c>
      <c r="F8428">
        <v>1961</v>
      </c>
      <c r="G8428" t="s">
        <v>27885</v>
      </c>
      <c r="H8428" t="s">
        <v>27927</v>
      </c>
      <c r="I8428" t="s">
        <v>27921</v>
      </c>
      <c r="J8428" t="s">
        <v>27843</v>
      </c>
      <c r="K8428" s="2" t="str">
        <f>HYPERLINK("http://collections.slsa.sa.gov.au/mpcimg/63500/B63323_24.htm")</f>
        <v>http://collections.slsa.sa.gov.au/mpcimg/63500/B63323_24.htm</v>
      </c>
    </row>
    <row r="8429" spans="1:11" x14ac:dyDescent="0.25">
      <c r="A8429" t="s">
        <v>27928</v>
      </c>
      <c r="B8429" s="1" t="str">
        <f>HYPERLINK("https://www.catalog.slsa.sa.gov.au/record=b2100822")</f>
        <v>https://www.catalog.slsa.sa.gov.au/record=b2100822</v>
      </c>
      <c r="C8429" s="1" t="str">
        <f>HYPERLINK("https://www.catalog.slsa.sa.gov.au/xrecord=b2100822")</f>
        <v>https://www.catalog.slsa.sa.gov.au/xrecord=b2100822</v>
      </c>
      <c r="D8429" t="s">
        <v>16831</v>
      </c>
      <c r="E8429" t="s">
        <v>27839</v>
      </c>
      <c r="F8429">
        <v>1961</v>
      </c>
      <c r="G8429" t="s">
        <v>27845</v>
      </c>
      <c r="H8429" t="s">
        <v>27929</v>
      </c>
      <c r="I8429" t="s">
        <v>27842</v>
      </c>
      <c r="J8429" t="s">
        <v>27843</v>
      </c>
      <c r="K8429" s="2" t="str">
        <f>HYPERLINK("http://collections.slsa.sa.gov.au/mpcimg/63500/B63323_2a.htm")</f>
        <v>http://collections.slsa.sa.gov.au/mpcimg/63500/B63323_2a.htm</v>
      </c>
    </row>
    <row r="8430" spans="1:11" x14ac:dyDescent="0.25">
      <c r="A8430" t="s">
        <v>27930</v>
      </c>
      <c r="B8430" s="1" t="str">
        <f>HYPERLINK("https://www.catalog.slsa.sa.gov.au/record=b2100824")</f>
        <v>https://www.catalog.slsa.sa.gov.au/record=b2100824</v>
      </c>
      <c r="C8430" s="1" t="str">
        <f>HYPERLINK("https://www.catalog.slsa.sa.gov.au/xrecord=b2100824")</f>
        <v>https://www.catalog.slsa.sa.gov.au/xrecord=b2100824</v>
      </c>
      <c r="D8430" t="s">
        <v>16831</v>
      </c>
      <c r="E8430" t="s">
        <v>27839</v>
      </c>
      <c r="F8430">
        <v>1961</v>
      </c>
      <c r="G8430" t="s">
        <v>27845</v>
      </c>
      <c r="H8430" t="s">
        <v>27929</v>
      </c>
      <c r="I8430" t="s">
        <v>27842</v>
      </c>
      <c r="J8430" t="s">
        <v>27843</v>
      </c>
      <c r="K8430" s="2" t="str">
        <f>HYPERLINK("http://collections.slsa.sa.gov.au/mpcimg/63500/B63323_2b.htm")</f>
        <v>http://collections.slsa.sa.gov.au/mpcimg/63500/B63323_2b.htm</v>
      </c>
    </row>
    <row r="8431" spans="1:11" x14ac:dyDescent="0.25">
      <c r="A8431" t="s">
        <v>27931</v>
      </c>
      <c r="B8431" s="1" t="str">
        <f>HYPERLINK("https://www.catalog.slsa.sa.gov.au/record=b2100825")</f>
        <v>https://www.catalog.slsa.sa.gov.au/record=b2100825</v>
      </c>
      <c r="C8431" s="1" t="str">
        <f>HYPERLINK("https://www.catalog.slsa.sa.gov.au/xrecord=b2100825")</f>
        <v>https://www.catalog.slsa.sa.gov.au/xrecord=b2100825</v>
      </c>
      <c r="D8431" t="s">
        <v>16831</v>
      </c>
      <c r="E8431" t="s">
        <v>27850</v>
      </c>
      <c r="F8431">
        <v>1961</v>
      </c>
      <c r="G8431" t="s">
        <v>27845</v>
      </c>
      <c r="H8431" t="s">
        <v>27932</v>
      </c>
      <c r="I8431" t="s">
        <v>27853</v>
      </c>
      <c r="J8431" t="s">
        <v>27843</v>
      </c>
      <c r="K8431" s="2" t="str">
        <f>HYPERLINK("http://collections.slsa.sa.gov.au/mpcimg/63500/B63323_3a.htm")</f>
        <v>http://collections.slsa.sa.gov.au/mpcimg/63500/B63323_3a.htm</v>
      </c>
    </row>
    <row r="8432" spans="1:11" x14ac:dyDescent="0.25">
      <c r="A8432" t="s">
        <v>27933</v>
      </c>
      <c r="B8432" s="1" t="str">
        <f>HYPERLINK("https://www.catalog.slsa.sa.gov.au/record=b2100827")</f>
        <v>https://www.catalog.slsa.sa.gov.au/record=b2100827</v>
      </c>
      <c r="C8432" s="1" t="str">
        <f>HYPERLINK("https://www.catalog.slsa.sa.gov.au/xrecord=b2100827")</f>
        <v>https://www.catalog.slsa.sa.gov.au/xrecord=b2100827</v>
      </c>
      <c r="D8432" t="s">
        <v>16831</v>
      </c>
      <c r="E8432" t="s">
        <v>27850</v>
      </c>
      <c r="F8432">
        <v>1961</v>
      </c>
      <c r="G8432" t="s">
        <v>27845</v>
      </c>
      <c r="H8432" t="s">
        <v>27934</v>
      </c>
      <c r="I8432" t="s">
        <v>27853</v>
      </c>
      <c r="J8432" t="s">
        <v>27843</v>
      </c>
      <c r="K8432" s="2" t="str">
        <f>HYPERLINK("http://collections.slsa.sa.gov.au/mpcimg/63500/B63323_4a.htm")</f>
        <v>http://collections.slsa.sa.gov.au/mpcimg/63500/B63323_4a.htm</v>
      </c>
    </row>
    <row r="8433" spans="1:11" x14ac:dyDescent="0.25">
      <c r="A8433" t="s">
        <v>27935</v>
      </c>
      <c r="B8433" s="1" t="str">
        <f>HYPERLINK("https://www.catalog.slsa.sa.gov.au/record=b2100828")</f>
        <v>https://www.catalog.slsa.sa.gov.au/record=b2100828</v>
      </c>
      <c r="C8433" s="1" t="str">
        <f>HYPERLINK("https://www.catalog.slsa.sa.gov.au/xrecord=b2100828")</f>
        <v>https://www.catalog.slsa.sa.gov.au/xrecord=b2100828</v>
      </c>
      <c r="D8433" t="s">
        <v>16831</v>
      </c>
      <c r="E8433" t="s">
        <v>27858</v>
      </c>
      <c r="F8433">
        <v>1961</v>
      </c>
      <c r="G8433" t="s">
        <v>27845</v>
      </c>
      <c r="H8433" t="s">
        <v>27936</v>
      </c>
      <c r="I8433" t="s">
        <v>27861</v>
      </c>
      <c r="J8433" t="s">
        <v>27843</v>
      </c>
      <c r="K8433" s="2" t="str">
        <f>HYPERLINK("http://collections.slsa.sa.gov.au/mpcimg/63500/B63323_5a.htm")</f>
        <v>http://collections.slsa.sa.gov.au/mpcimg/63500/B63323_5a.htm</v>
      </c>
    </row>
    <row r="8434" spans="1:11" x14ac:dyDescent="0.25">
      <c r="A8434" t="s">
        <v>27937</v>
      </c>
      <c r="B8434" s="1" t="str">
        <f>HYPERLINK("https://www.catalog.slsa.sa.gov.au/record=b2100829")</f>
        <v>https://www.catalog.slsa.sa.gov.au/record=b2100829</v>
      </c>
      <c r="C8434" s="1" t="str">
        <f>HYPERLINK("https://www.catalog.slsa.sa.gov.au/xrecord=b2100829")</f>
        <v>https://www.catalog.slsa.sa.gov.au/xrecord=b2100829</v>
      </c>
      <c r="D8434" t="s">
        <v>16831</v>
      </c>
      <c r="E8434" t="s">
        <v>27863</v>
      </c>
      <c r="F8434">
        <v>1961</v>
      </c>
      <c r="G8434" t="s">
        <v>27845</v>
      </c>
      <c r="H8434" t="s">
        <v>27938</v>
      </c>
      <c r="I8434" t="s">
        <v>27866</v>
      </c>
      <c r="J8434" t="s">
        <v>27843</v>
      </c>
      <c r="K8434" s="2" t="str">
        <f>HYPERLINK("http://collections.slsa.sa.gov.au/mpcimg/63500/B63323_6a.htm")</f>
        <v>http://collections.slsa.sa.gov.au/mpcimg/63500/B63323_6a.htm</v>
      </c>
    </row>
    <row r="8435" spans="1:11" x14ac:dyDescent="0.25">
      <c r="A8435" t="s">
        <v>27939</v>
      </c>
      <c r="B8435" s="1" t="str">
        <f>HYPERLINK("https://www.catalog.slsa.sa.gov.au/record=b2100830")</f>
        <v>https://www.catalog.slsa.sa.gov.au/record=b2100830</v>
      </c>
      <c r="C8435" s="1" t="str">
        <f>HYPERLINK("https://www.catalog.slsa.sa.gov.au/xrecord=b2100830")</f>
        <v>https://www.catalog.slsa.sa.gov.au/xrecord=b2100830</v>
      </c>
      <c r="D8435" t="s">
        <v>16831</v>
      </c>
      <c r="E8435" t="s">
        <v>27863</v>
      </c>
      <c r="F8435">
        <v>1961</v>
      </c>
      <c r="G8435" t="s">
        <v>27845</v>
      </c>
      <c r="H8435" t="s">
        <v>27940</v>
      </c>
      <c r="I8435" t="s">
        <v>27866</v>
      </c>
      <c r="J8435" t="s">
        <v>27843</v>
      </c>
      <c r="K8435" s="2" t="str">
        <f>HYPERLINK("http://collections.slsa.sa.gov.au/mpcimg/63500/B63323_7a.htm")</f>
        <v>http://collections.slsa.sa.gov.au/mpcimg/63500/B63323_7a.htm</v>
      </c>
    </row>
    <row r="8436" spans="1:11" x14ac:dyDescent="0.25">
      <c r="A8436" t="s">
        <v>27941</v>
      </c>
      <c r="B8436" s="1" t="str">
        <f>HYPERLINK("https://www.catalog.slsa.sa.gov.au/record=b2100832")</f>
        <v>https://www.catalog.slsa.sa.gov.au/record=b2100832</v>
      </c>
      <c r="C8436" s="1" t="str">
        <f>HYPERLINK("https://www.catalog.slsa.sa.gov.au/xrecord=b2100832")</f>
        <v>https://www.catalog.slsa.sa.gov.au/xrecord=b2100832</v>
      </c>
      <c r="D8436" t="s">
        <v>16831</v>
      </c>
      <c r="E8436" t="s">
        <v>27863</v>
      </c>
      <c r="F8436">
        <v>1961</v>
      </c>
      <c r="G8436" t="s">
        <v>27845</v>
      </c>
      <c r="H8436" t="s">
        <v>27942</v>
      </c>
      <c r="I8436" t="s">
        <v>27866</v>
      </c>
      <c r="J8436" t="s">
        <v>27843</v>
      </c>
      <c r="K8436" s="2" t="str">
        <f>HYPERLINK("http://collections.slsa.sa.gov.au/mpcimg/63500/B63323_8a.htm")</f>
        <v>http://collections.slsa.sa.gov.au/mpcimg/63500/B63323_8a.htm</v>
      </c>
    </row>
    <row r="8437" spans="1:11" x14ac:dyDescent="0.25">
      <c r="A8437" t="s">
        <v>27943</v>
      </c>
      <c r="B8437" s="1" t="str">
        <f>HYPERLINK("https://www.catalog.slsa.sa.gov.au/record=b2100833")</f>
        <v>https://www.catalog.slsa.sa.gov.au/record=b2100833</v>
      </c>
      <c r="C8437" s="1" t="str">
        <f>HYPERLINK("https://www.catalog.slsa.sa.gov.au/xrecord=b2100833")</f>
        <v>https://www.catalog.slsa.sa.gov.au/xrecord=b2100833</v>
      </c>
      <c r="D8437" t="s">
        <v>16831</v>
      </c>
      <c r="E8437" t="s">
        <v>27863</v>
      </c>
      <c r="F8437">
        <v>1961</v>
      </c>
      <c r="G8437" t="s">
        <v>27845</v>
      </c>
      <c r="H8437" t="s">
        <v>27944</v>
      </c>
      <c r="I8437" t="s">
        <v>27866</v>
      </c>
      <c r="J8437" t="s">
        <v>27843</v>
      </c>
      <c r="K8437" s="2" t="str">
        <f>HYPERLINK("http://collections.slsa.sa.gov.au/mpcimg/63500/B63323_9a.htm")</f>
        <v>http://collections.slsa.sa.gov.au/mpcimg/63500/B63323_9a.htm</v>
      </c>
    </row>
    <row r="8438" spans="1:11" x14ac:dyDescent="0.25">
      <c r="A8438" t="s">
        <v>27945</v>
      </c>
      <c r="B8438" s="1" t="str">
        <f>HYPERLINK("https://www.catalog.slsa.sa.gov.au/record=b2100834")</f>
        <v>https://www.catalog.slsa.sa.gov.au/record=b2100834</v>
      </c>
      <c r="C8438" s="1" t="str">
        <f>HYPERLINK("https://www.catalog.slsa.sa.gov.au/xrecord=b2100834")</f>
        <v>https://www.catalog.slsa.sa.gov.au/xrecord=b2100834</v>
      </c>
      <c r="D8438" t="s">
        <v>16831</v>
      </c>
      <c r="E8438" t="s">
        <v>27863</v>
      </c>
      <c r="F8438">
        <v>1961</v>
      </c>
      <c r="G8438" t="s">
        <v>27845</v>
      </c>
      <c r="H8438" t="s">
        <v>27946</v>
      </c>
      <c r="I8438" t="s">
        <v>27866</v>
      </c>
      <c r="J8438" t="s">
        <v>27843</v>
      </c>
      <c r="K8438" s="2" t="str">
        <f>HYPERLINK("http://collections.slsa.sa.gov.au/mpcimg/63500/B63323_10a.htm")</f>
        <v>http://collections.slsa.sa.gov.au/mpcimg/63500/B63323_10a.htm</v>
      </c>
    </row>
    <row r="8439" spans="1:11" x14ac:dyDescent="0.25">
      <c r="A8439" t="s">
        <v>27947</v>
      </c>
      <c r="B8439" s="1" t="str">
        <f>HYPERLINK("https://www.catalog.slsa.sa.gov.au/record=b2100835")</f>
        <v>https://www.catalog.slsa.sa.gov.au/record=b2100835</v>
      </c>
      <c r="C8439" s="1" t="str">
        <f>HYPERLINK("https://www.catalog.slsa.sa.gov.au/xrecord=b2100835")</f>
        <v>https://www.catalog.slsa.sa.gov.au/xrecord=b2100835</v>
      </c>
      <c r="D8439" t="s">
        <v>16831</v>
      </c>
      <c r="E8439" t="s">
        <v>27880</v>
      </c>
      <c r="F8439">
        <v>1961</v>
      </c>
      <c r="G8439" t="s">
        <v>27845</v>
      </c>
      <c r="H8439" t="s">
        <v>27948</v>
      </c>
      <c r="I8439" t="s">
        <v>27883</v>
      </c>
      <c r="J8439" t="s">
        <v>27843</v>
      </c>
      <c r="K8439" s="2" t="str">
        <f>HYPERLINK("http://collections.slsa.sa.gov.au/mpcimg/63500/B63323_11a.htm")</f>
        <v>http://collections.slsa.sa.gov.au/mpcimg/63500/B63323_11a.htm</v>
      </c>
    </row>
    <row r="8440" spans="1:11" x14ac:dyDescent="0.25">
      <c r="A8440" t="s">
        <v>27949</v>
      </c>
      <c r="B8440" s="1" t="str">
        <f>HYPERLINK("https://www.catalog.slsa.sa.gov.au/record=b2100837")</f>
        <v>https://www.catalog.slsa.sa.gov.au/record=b2100837</v>
      </c>
      <c r="C8440" s="1" t="str">
        <f>HYPERLINK("https://www.catalog.slsa.sa.gov.au/xrecord=b2100837")</f>
        <v>https://www.catalog.slsa.sa.gov.au/xrecord=b2100837</v>
      </c>
      <c r="D8440" t="s">
        <v>16831</v>
      </c>
      <c r="E8440" t="s">
        <v>27880</v>
      </c>
      <c r="F8440">
        <v>1961</v>
      </c>
      <c r="G8440" t="s">
        <v>27845</v>
      </c>
      <c r="H8440" t="s">
        <v>27950</v>
      </c>
      <c r="I8440" t="s">
        <v>27883</v>
      </c>
      <c r="J8440" t="s">
        <v>27843</v>
      </c>
      <c r="K8440" s="2" t="str">
        <f>HYPERLINK("http://collections.slsa.sa.gov.au/mpcimg/63500/B63323_12a.htm")</f>
        <v>http://collections.slsa.sa.gov.au/mpcimg/63500/B63323_12a.htm</v>
      </c>
    </row>
    <row r="8441" spans="1:11" x14ac:dyDescent="0.25">
      <c r="A8441" t="s">
        <v>27951</v>
      </c>
      <c r="B8441" s="1" t="str">
        <f>HYPERLINK("https://www.catalog.slsa.sa.gov.au/record=b2100838")</f>
        <v>https://www.catalog.slsa.sa.gov.au/record=b2100838</v>
      </c>
      <c r="C8441" s="1" t="str">
        <f>HYPERLINK("https://www.catalog.slsa.sa.gov.au/xrecord=b2100838")</f>
        <v>https://www.catalog.slsa.sa.gov.au/xrecord=b2100838</v>
      </c>
      <c r="D8441" t="s">
        <v>16831</v>
      </c>
      <c r="E8441" t="s">
        <v>27888</v>
      </c>
      <c r="F8441">
        <v>1961</v>
      </c>
      <c r="G8441" t="s">
        <v>27845</v>
      </c>
      <c r="H8441" t="s">
        <v>27952</v>
      </c>
      <c r="I8441" t="s">
        <v>27890</v>
      </c>
      <c r="J8441" t="s">
        <v>27843</v>
      </c>
      <c r="K8441" s="2" t="str">
        <f>HYPERLINK("http://collections.slsa.sa.gov.au/mpcimg/63500/B63323_13a.htm")</f>
        <v>http://collections.slsa.sa.gov.au/mpcimg/63500/B63323_13a.htm</v>
      </c>
    </row>
    <row r="8442" spans="1:11" x14ac:dyDescent="0.25">
      <c r="A8442" t="s">
        <v>27953</v>
      </c>
      <c r="B8442" s="1" t="str">
        <f>HYPERLINK("https://www.catalog.slsa.sa.gov.au/record=b2100839")</f>
        <v>https://www.catalog.slsa.sa.gov.au/record=b2100839</v>
      </c>
      <c r="C8442" s="1" t="str">
        <f>HYPERLINK("https://www.catalog.slsa.sa.gov.au/xrecord=b2100839")</f>
        <v>https://www.catalog.slsa.sa.gov.au/xrecord=b2100839</v>
      </c>
      <c r="D8442" t="s">
        <v>16831</v>
      </c>
      <c r="E8442" t="s">
        <v>27888</v>
      </c>
      <c r="F8442">
        <v>1961</v>
      </c>
      <c r="G8442" t="s">
        <v>27845</v>
      </c>
      <c r="H8442" t="s">
        <v>27952</v>
      </c>
      <c r="I8442" t="s">
        <v>27890</v>
      </c>
      <c r="J8442" t="s">
        <v>27843</v>
      </c>
      <c r="K8442" s="2" t="str">
        <f>HYPERLINK("http://collections.slsa.sa.gov.au/mpcimg/63500/B63323_13b.htm")</f>
        <v>http://collections.slsa.sa.gov.au/mpcimg/63500/B63323_13b.htm</v>
      </c>
    </row>
    <row r="8443" spans="1:11" x14ac:dyDescent="0.25">
      <c r="A8443" t="s">
        <v>27954</v>
      </c>
      <c r="B8443" s="1" t="str">
        <f>HYPERLINK("https://www.catalog.slsa.sa.gov.au/record=b2100841")</f>
        <v>https://www.catalog.slsa.sa.gov.au/record=b2100841</v>
      </c>
      <c r="C8443" s="1" t="str">
        <f>HYPERLINK("https://www.catalog.slsa.sa.gov.au/xrecord=b2100841")</f>
        <v>https://www.catalog.slsa.sa.gov.au/xrecord=b2100841</v>
      </c>
      <c r="D8443" t="s">
        <v>16831</v>
      </c>
      <c r="E8443" t="s">
        <v>27888</v>
      </c>
      <c r="F8443">
        <v>1961</v>
      </c>
      <c r="G8443" t="s">
        <v>27845</v>
      </c>
      <c r="H8443" t="s">
        <v>27955</v>
      </c>
      <c r="I8443" t="s">
        <v>27890</v>
      </c>
      <c r="J8443" t="s">
        <v>27843</v>
      </c>
      <c r="K8443" s="2" t="str">
        <f>HYPERLINK("http://collections.slsa.sa.gov.au/mpcimg/63500/B63323_14a.htm")</f>
        <v>http://collections.slsa.sa.gov.au/mpcimg/63500/B63323_14a.htm</v>
      </c>
    </row>
    <row r="8444" spans="1:11" x14ac:dyDescent="0.25">
      <c r="A8444" t="s">
        <v>27956</v>
      </c>
      <c r="B8444" s="1" t="str">
        <f>HYPERLINK("https://www.catalog.slsa.sa.gov.au/record=b2100842")</f>
        <v>https://www.catalog.slsa.sa.gov.au/record=b2100842</v>
      </c>
      <c r="C8444" s="1" t="str">
        <f>HYPERLINK("https://www.catalog.slsa.sa.gov.au/xrecord=b2100842")</f>
        <v>https://www.catalog.slsa.sa.gov.au/xrecord=b2100842</v>
      </c>
      <c r="D8444" t="s">
        <v>16831</v>
      </c>
      <c r="E8444" t="s">
        <v>27895</v>
      </c>
      <c r="F8444">
        <v>1961</v>
      </c>
      <c r="G8444" t="s">
        <v>27845</v>
      </c>
      <c r="H8444" t="s">
        <v>27957</v>
      </c>
      <c r="I8444" t="s">
        <v>27897</v>
      </c>
      <c r="J8444" t="s">
        <v>27843</v>
      </c>
      <c r="K8444" s="2" t="str">
        <f>HYPERLINK("http://collections.slsa.sa.gov.au/mpcimg/63500/B63323_15a.htm")</f>
        <v>http://collections.slsa.sa.gov.au/mpcimg/63500/B63323_15a.htm</v>
      </c>
    </row>
    <row r="8445" spans="1:11" x14ac:dyDescent="0.25">
      <c r="A8445" t="s">
        <v>27958</v>
      </c>
      <c r="B8445" s="1" t="str">
        <f>HYPERLINK("https://www.catalog.slsa.sa.gov.au/record=b2100843")</f>
        <v>https://www.catalog.slsa.sa.gov.au/record=b2100843</v>
      </c>
      <c r="C8445" s="1" t="str">
        <f>HYPERLINK("https://www.catalog.slsa.sa.gov.au/xrecord=b2100843")</f>
        <v>https://www.catalog.slsa.sa.gov.au/xrecord=b2100843</v>
      </c>
      <c r="D8445" t="s">
        <v>16831</v>
      </c>
      <c r="E8445" t="s">
        <v>27888</v>
      </c>
      <c r="F8445">
        <v>1961</v>
      </c>
      <c r="G8445" t="s">
        <v>27845</v>
      </c>
      <c r="H8445" t="s">
        <v>27959</v>
      </c>
      <c r="I8445" t="s">
        <v>27890</v>
      </c>
      <c r="J8445" t="s">
        <v>27843</v>
      </c>
      <c r="K8445" s="2" t="str">
        <f>HYPERLINK("http://collections.slsa.sa.gov.au/mpcimg/63500/B63323_16a.htm")</f>
        <v>http://collections.slsa.sa.gov.au/mpcimg/63500/B63323_16a.htm</v>
      </c>
    </row>
    <row r="8446" spans="1:11" x14ac:dyDescent="0.25">
      <c r="A8446" t="s">
        <v>27960</v>
      </c>
      <c r="B8446" s="1" t="str">
        <f>HYPERLINK("https://www.catalog.slsa.sa.gov.au/record=b2100844")</f>
        <v>https://www.catalog.slsa.sa.gov.au/record=b2100844</v>
      </c>
      <c r="C8446" s="1" t="str">
        <f>HYPERLINK("https://www.catalog.slsa.sa.gov.au/xrecord=b2100844")</f>
        <v>https://www.catalog.slsa.sa.gov.au/xrecord=b2100844</v>
      </c>
      <c r="D8446" t="s">
        <v>16831</v>
      </c>
      <c r="E8446" t="s">
        <v>27902</v>
      </c>
      <c r="F8446">
        <v>1961</v>
      </c>
      <c r="G8446" t="s">
        <v>27845</v>
      </c>
      <c r="H8446" t="s">
        <v>27961</v>
      </c>
      <c r="I8446" t="s">
        <v>27905</v>
      </c>
      <c r="J8446" t="s">
        <v>27843</v>
      </c>
      <c r="K8446" s="2" t="str">
        <f>HYPERLINK("http://collections.slsa.sa.gov.au/mpcimg/63500/B63323_17a.htm")</f>
        <v>http://collections.slsa.sa.gov.au/mpcimg/63500/B63323_17a.htm</v>
      </c>
    </row>
    <row r="8447" spans="1:11" x14ac:dyDescent="0.25">
      <c r="A8447" t="s">
        <v>27962</v>
      </c>
      <c r="B8447" s="1" t="str">
        <f>HYPERLINK("https://www.catalog.slsa.sa.gov.au/record=b2100845")</f>
        <v>https://www.catalog.slsa.sa.gov.au/record=b2100845</v>
      </c>
      <c r="C8447" s="1" t="str">
        <f>HYPERLINK("https://www.catalog.slsa.sa.gov.au/xrecord=b2100845")</f>
        <v>https://www.catalog.slsa.sa.gov.au/xrecord=b2100845</v>
      </c>
      <c r="D8447" t="s">
        <v>16831</v>
      </c>
      <c r="E8447" t="s">
        <v>27907</v>
      </c>
      <c r="F8447">
        <v>1961</v>
      </c>
      <c r="G8447" t="s">
        <v>27845</v>
      </c>
      <c r="H8447" t="s">
        <v>27963</v>
      </c>
      <c r="I8447" t="s">
        <v>27910</v>
      </c>
      <c r="J8447" t="s">
        <v>27843</v>
      </c>
      <c r="K8447" s="2" t="str">
        <f>HYPERLINK("http://collections.slsa.sa.gov.au/mpcimg/63500/B63323_18a.htm")</f>
        <v>http://collections.slsa.sa.gov.au/mpcimg/63500/B63323_18a.htm</v>
      </c>
    </row>
    <row r="8448" spans="1:11" x14ac:dyDescent="0.25">
      <c r="A8448" t="s">
        <v>27964</v>
      </c>
      <c r="B8448" s="1" t="str">
        <f>HYPERLINK("https://www.catalog.slsa.sa.gov.au/record=b2100846")</f>
        <v>https://www.catalog.slsa.sa.gov.au/record=b2100846</v>
      </c>
      <c r="C8448" s="1" t="str">
        <f>HYPERLINK("https://www.catalog.slsa.sa.gov.au/xrecord=b2100846")</f>
        <v>https://www.catalog.slsa.sa.gov.au/xrecord=b2100846</v>
      </c>
      <c r="D8448" t="s">
        <v>16831</v>
      </c>
      <c r="E8448" t="s">
        <v>27907</v>
      </c>
      <c r="F8448">
        <v>1961</v>
      </c>
      <c r="G8448" t="s">
        <v>27845</v>
      </c>
      <c r="H8448" t="s">
        <v>27963</v>
      </c>
      <c r="I8448" t="s">
        <v>27910</v>
      </c>
      <c r="J8448" t="s">
        <v>27843</v>
      </c>
      <c r="K8448" s="2" t="str">
        <f>HYPERLINK("http://collections.slsa.sa.gov.au/mpcimg/63500/B63323_18b.htm")</f>
        <v>http://collections.slsa.sa.gov.au/mpcimg/63500/B63323_18b.htm</v>
      </c>
    </row>
    <row r="8449" spans="1:11" x14ac:dyDescent="0.25">
      <c r="A8449" t="s">
        <v>27965</v>
      </c>
      <c r="B8449" s="1" t="str">
        <f>HYPERLINK("https://www.catalog.slsa.sa.gov.au/record=b2100847")</f>
        <v>https://www.catalog.slsa.sa.gov.au/record=b2100847</v>
      </c>
      <c r="C8449" s="1" t="str">
        <f>HYPERLINK("https://www.catalog.slsa.sa.gov.au/xrecord=b2100847")</f>
        <v>https://www.catalog.slsa.sa.gov.au/xrecord=b2100847</v>
      </c>
      <c r="D8449" t="s">
        <v>16831</v>
      </c>
      <c r="E8449" t="s">
        <v>27907</v>
      </c>
      <c r="F8449">
        <v>1961</v>
      </c>
      <c r="G8449" t="s">
        <v>27845</v>
      </c>
      <c r="H8449" t="s">
        <v>27966</v>
      </c>
      <c r="I8449" t="s">
        <v>27910</v>
      </c>
      <c r="J8449" t="s">
        <v>27843</v>
      </c>
      <c r="K8449" s="2" t="str">
        <f>HYPERLINK("http://collections.slsa.sa.gov.au/mpcimg/63500/B63323_19a.htm")</f>
        <v>http://collections.slsa.sa.gov.au/mpcimg/63500/B63323_19a.htm</v>
      </c>
    </row>
    <row r="8450" spans="1:11" x14ac:dyDescent="0.25">
      <c r="A8450" t="s">
        <v>27967</v>
      </c>
      <c r="B8450" s="1" t="str">
        <f>HYPERLINK("https://www.catalog.slsa.sa.gov.au/record=b2100849")</f>
        <v>https://www.catalog.slsa.sa.gov.au/record=b2100849</v>
      </c>
      <c r="C8450" s="1" t="str">
        <f>HYPERLINK("https://www.catalog.slsa.sa.gov.au/xrecord=b2100849")</f>
        <v>https://www.catalog.slsa.sa.gov.au/xrecord=b2100849</v>
      </c>
      <c r="D8450" t="s">
        <v>16831</v>
      </c>
      <c r="E8450" t="s">
        <v>27918</v>
      </c>
      <c r="F8450">
        <v>1961</v>
      </c>
      <c r="G8450" t="s">
        <v>27845</v>
      </c>
      <c r="H8450" t="s">
        <v>27968</v>
      </c>
      <c r="I8450" t="s">
        <v>27921</v>
      </c>
      <c r="J8450" t="s">
        <v>27843</v>
      </c>
      <c r="K8450" s="2" t="str">
        <f>HYPERLINK("http://collections.slsa.sa.gov.au/mpcimg/63500/B63323_21a.htm")</f>
        <v>http://collections.slsa.sa.gov.au/mpcimg/63500/B63323_21a.htm</v>
      </c>
    </row>
    <row r="8451" spans="1:11" x14ac:dyDescent="0.25">
      <c r="A8451" t="s">
        <v>27969</v>
      </c>
      <c r="B8451" s="1" t="str">
        <f>HYPERLINK("https://www.catalog.slsa.sa.gov.au/record=b2100850")</f>
        <v>https://www.catalog.slsa.sa.gov.au/record=b2100850</v>
      </c>
      <c r="C8451" s="1" t="str">
        <f>HYPERLINK("https://www.catalog.slsa.sa.gov.au/xrecord=b2100850")</f>
        <v>https://www.catalog.slsa.sa.gov.au/xrecord=b2100850</v>
      </c>
      <c r="D8451" t="s">
        <v>16831</v>
      </c>
      <c r="E8451" t="s">
        <v>27914</v>
      </c>
      <c r="F8451">
        <v>1961</v>
      </c>
      <c r="G8451" t="s">
        <v>27845</v>
      </c>
      <c r="H8451" t="s">
        <v>27970</v>
      </c>
      <c r="I8451" t="s">
        <v>27916</v>
      </c>
      <c r="J8451" t="s">
        <v>27843</v>
      </c>
      <c r="K8451" s="2" t="str">
        <f>HYPERLINK("http://collections.slsa.sa.gov.au/mpcimg/63500/B63323_20a.htm")</f>
        <v>http://collections.slsa.sa.gov.au/mpcimg/63500/B63323_20a.htm</v>
      </c>
    </row>
    <row r="8452" spans="1:11" x14ac:dyDescent="0.25">
      <c r="A8452" t="s">
        <v>27971</v>
      </c>
      <c r="B8452" s="1" t="str">
        <f>HYPERLINK("https://www.catalog.slsa.sa.gov.au/record=b2100852")</f>
        <v>https://www.catalog.slsa.sa.gov.au/record=b2100852</v>
      </c>
      <c r="C8452" s="1" t="str">
        <f>HYPERLINK("https://www.catalog.slsa.sa.gov.au/xrecord=b2100852")</f>
        <v>https://www.catalog.slsa.sa.gov.au/xrecord=b2100852</v>
      </c>
      <c r="D8452" t="s">
        <v>16831</v>
      </c>
      <c r="E8452" t="s">
        <v>27918</v>
      </c>
      <c r="F8452">
        <v>1961</v>
      </c>
      <c r="G8452" t="s">
        <v>27845</v>
      </c>
      <c r="H8452" t="s">
        <v>27972</v>
      </c>
      <c r="I8452" t="s">
        <v>27921</v>
      </c>
      <c r="J8452" t="s">
        <v>27843</v>
      </c>
      <c r="K8452" s="2" t="str">
        <f>HYPERLINK("http://collections.slsa.sa.gov.au/mpcimg/63500/B63323_22a.htm")</f>
        <v>http://collections.slsa.sa.gov.au/mpcimg/63500/B63323_22a.htm</v>
      </c>
    </row>
    <row r="8453" spans="1:11" x14ac:dyDescent="0.25">
      <c r="A8453" t="s">
        <v>27973</v>
      </c>
      <c r="B8453" s="1" t="str">
        <f>HYPERLINK("https://www.catalog.slsa.sa.gov.au/record=b2100853")</f>
        <v>https://www.catalog.slsa.sa.gov.au/record=b2100853</v>
      </c>
      <c r="C8453" s="1" t="str">
        <f>HYPERLINK("https://www.catalog.slsa.sa.gov.au/xrecord=b2100853")</f>
        <v>https://www.catalog.slsa.sa.gov.au/xrecord=b2100853</v>
      </c>
      <c r="D8453" t="s">
        <v>16831</v>
      </c>
      <c r="E8453" t="s">
        <v>27918</v>
      </c>
      <c r="F8453">
        <v>1961</v>
      </c>
      <c r="G8453" t="s">
        <v>27845</v>
      </c>
      <c r="H8453" t="s">
        <v>27974</v>
      </c>
      <c r="I8453" t="s">
        <v>27921</v>
      </c>
      <c r="J8453" t="s">
        <v>27843</v>
      </c>
      <c r="K8453" s="2" t="str">
        <f>HYPERLINK("http://collections.slsa.sa.gov.au/mpcimg/63500/B63323_23a.htm")</f>
        <v>http://collections.slsa.sa.gov.au/mpcimg/63500/B63323_23a.htm</v>
      </c>
    </row>
    <row r="8454" spans="1:11" x14ac:dyDescent="0.25">
      <c r="A8454" t="s">
        <v>27975</v>
      </c>
      <c r="B8454" s="1" t="str">
        <f>HYPERLINK("https://www.catalog.slsa.sa.gov.au/record=b2100854")</f>
        <v>https://www.catalog.slsa.sa.gov.au/record=b2100854</v>
      </c>
      <c r="C8454" s="1" t="str">
        <f>HYPERLINK("https://www.catalog.slsa.sa.gov.au/xrecord=b2100854")</f>
        <v>https://www.catalog.slsa.sa.gov.au/xrecord=b2100854</v>
      </c>
      <c r="D8454" t="s">
        <v>16831</v>
      </c>
      <c r="E8454" t="s">
        <v>27918</v>
      </c>
      <c r="F8454">
        <v>1961</v>
      </c>
      <c r="G8454" t="s">
        <v>27845</v>
      </c>
      <c r="H8454" t="s">
        <v>27976</v>
      </c>
      <c r="I8454" t="s">
        <v>27921</v>
      </c>
      <c r="J8454" t="s">
        <v>27843</v>
      </c>
      <c r="K8454" s="2" t="str">
        <f>HYPERLINK("http://collections.slsa.sa.gov.au/mpcimg/63500/B63323_24a.htm")</f>
        <v>http://collections.slsa.sa.gov.au/mpcimg/63500/B63323_24a.htm</v>
      </c>
    </row>
    <row r="8455" spans="1:11" x14ac:dyDescent="0.25">
      <c r="A8455" t="s">
        <v>27977</v>
      </c>
      <c r="B8455" s="1" t="str">
        <f>HYPERLINK("https://www.catalog.slsa.sa.gov.au/record=b2843124")</f>
        <v>https://www.catalog.slsa.sa.gov.au/record=b2843124</v>
      </c>
      <c r="C8455" s="1" t="str">
        <f>HYPERLINK("https://www.catalog.slsa.sa.gov.au/xrecord=b2843124")</f>
        <v>https://www.catalog.slsa.sa.gov.au/xrecord=b2843124</v>
      </c>
      <c r="D8455" t="s">
        <v>16831</v>
      </c>
      <c r="E8455" t="s">
        <v>27978</v>
      </c>
      <c r="F8455">
        <v>1961</v>
      </c>
      <c r="G8455" t="s">
        <v>27979</v>
      </c>
      <c r="H8455" t="s">
        <v>27980</v>
      </c>
      <c r="I8455" t="s">
        <v>27981</v>
      </c>
      <c r="J8455" t="s">
        <v>27982</v>
      </c>
      <c r="K8455" s="2" t="str">
        <f>HYPERLINK("http://collections.slsa.sa.gov.au/mpcimg/72750/B72594.htm")</f>
        <v>http://collections.slsa.sa.gov.au/mpcimg/72750/B72594.htm</v>
      </c>
    </row>
    <row r="8456" spans="1:11" x14ac:dyDescent="0.25">
      <c r="A8456" t="s">
        <v>27983</v>
      </c>
      <c r="B8456" s="1" t="str">
        <f>HYPERLINK("https://www.catalog.slsa.sa.gov.au/record=b3017233")</f>
        <v>https://www.catalog.slsa.sa.gov.au/record=b3017233</v>
      </c>
      <c r="C8456" s="1" t="str">
        <f>HYPERLINK("https://www.catalog.slsa.sa.gov.au/xrecord=b3017233")</f>
        <v>https://www.catalog.slsa.sa.gov.au/xrecord=b3017233</v>
      </c>
      <c r="D8456" t="s">
        <v>18855</v>
      </c>
      <c r="E8456" t="s">
        <v>27984</v>
      </c>
      <c r="F8456">
        <v>1961</v>
      </c>
      <c r="G8456" t="s">
        <v>18858</v>
      </c>
      <c r="H8456" t="s">
        <v>27985</v>
      </c>
      <c r="I8456" t="s">
        <v>18868</v>
      </c>
      <c r="J8456" t="s">
        <v>2510</v>
      </c>
      <c r="K8456" s="2" t="str">
        <f>HYPERLINK("http://collections.slsa.sa.gov.au/resource/B+74130/8")</f>
        <v>http://collections.slsa.sa.gov.au/resource/B+74130/8</v>
      </c>
    </row>
    <row r="8457" spans="1:11" x14ac:dyDescent="0.25">
      <c r="A8457" t="s">
        <v>27986</v>
      </c>
      <c r="B8457" s="1" t="str">
        <f>HYPERLINK("https://www.catalog.slsa.sa.gov.au/record=b2054509")</f>
        <v>https://www.catalog.slsa.sa.gov.au/record=b2054509</v>
      </c>
      <c r="C8457" s="1" t="str">
        <f>HYPERLINK("https://www.catalog.slsa.sa.gov.au/xrecord=b2054509")</f>
        <v>https://www.catalog.slsa.sa.gov.au/xrecord=b2054509</v>
      </c>
      <c r="D8457" t="s">
        <v>16831</v>
      </c>
      <c r="E8457" t="s">
        <v>26285</v>
      </c>
      <c r="F8457">
        <v>1962</v>
      </c>
      <c r="G8457" t="s">
        <v>16680</v>
      </c>
      <c r="H8457" t="s">
        <v>27987</v>
      </c>
      <c r="J8457" t="s">
        <v>25229</v>
      </c>
      <c r="K8457" s="2" t="str">
        <f>HYPERLINK("http://collections.slsa.sa.gov.au/mpcimg/14500/B14494.htm")</f>
        <v>http://collections.slsa.sa.gov.au/mpcimg/14500/B14494.htm</v>
      </c>
    </row>
    <row r="8458" spans="1:11" x14ac:dyDescent="0.25">
      <c r="A8458" t="s">
        <v>27988</v>
      </c>
      <c r="B8458" s="1" t="str">
        <f>HYPERLINK("https://www.catalog.slsa.sa.gov.au/record=b2054819")</f>
        <v>https://www.catalog.slsa.sa.gov.au/record=b2054819</v>
      </c>
      <c r="C8458" s="1" t="str">
        <f>HYPERLINK("https://www.catalog.slsa.sa.gov.au/xrecord=b2054819")</f>
        <v>https://www.catalog.slsa.sa.gov.au/xrecord=b2054819</v>
      </c>
      <c r="D8458" t="s">
        <v>16831</v>
      </c>
      <c r="E8458" t="s">
        <v>20933</v>
      </c>
      <c r="F8458">
        <v>1962</v>
      </c>
      <c r="G8458" t="s">
        <v>16680</v>
      </c>
      <c r="H8458" t="s">
        <v>27989</v>
      </c>
      <c r="J8458" t="s">
        <v>27990</v>
      </c>
      <c r="K8458" s="2" t="str">
        <f>HYPERLINK("http://collections.slsa.sa.gov.au/mpcimg/14500/B14487.htm")</f>
        <v>http://collections.slsa.sa.gov.au/mpcimg/14500/B14487.htm</v>
      </c>
    </row>
    <row r="8459" spans="1:11" x14ac:dyDescent="0.25">
      <c r="A8459" t="s">
        <v>27991</v>
      </c>
      <c r="B8459" s="1" t="str">
        <f>HYPERLINK("https://www.catalog.slsa.sa.gov.au/record=b2054820")</f>
        <v>https://www.catalog.slsa.sa.gov.au/record=b2054820</v>
      </c>
      <c r="C8459" s="1" t="str">
        <f>HYPERLINK("https://www.catalog.slsa.sa.gov.au/xrecord=b2054820")</f>
        <v>https://www.catalog.slsa.sa.gov.au/xrecord=b2054820</v>
      </c>
      <c r="D8459" t="s">
        <v>16831</v>
      </c>
      <c r="E8459" t="s">
        <v>20933</v>
      </c>
      <c r="F8459">
        <v>1962</v>
      </c>
      <c r="G8459" t="s">
        <v>16680</v>
      </c>
      <c r="H8459" t="s">
        <v>27992</v>
      </c>
      <c r="J8459" t="s">
        <v>27990</v>
      </c>
      <c r="K8459" s="2" t="str">
        <f>HYPERLINK("http://collections.slsa.sa.gov.au/mpcimg/14750/B14514.htm")</f>
        <v>http://collections.slsa.sa.gov.au/mpcimg/14750/B14514.htm</v>
      </c>
    </row>
    <row r="8460" spans="1:11" x14ac:dyDescent="0.25">
      <c r="A8460" t="s">
        <v>27993</v>
      </c>
      <c r="B8460" s="1" t="str">
        <f>HYPERLINK("https://www.catalog.slsa.sa.gov.au/record=b2054851")</f>
        <v>https://www.catalog.slsa.sa.gov.au/record=b2054851</v>
      </c>
      <c r="C8460" s="1" t="str">
        <f>HYPERLINK("https://www.catalog.slsa.sa.gov.au/xrecord=b2054851")</f>
        <v>https://www.catalog.slsa.sa.gov.au/xrecord=b2054851</v>
      </c>
      <c r="D8460" t="s">
        <v>16831</v>
      </c>
      <c r="E8460" t="s">
        <v>20933</v>
      </c>
      <c r="F8460">
        <v>1962</v>
      </c>
      <c r="G8460" t="s">
        <v>27994</v>
      </c>
      <c r="H8460" t="s">
        <v>27995</v>
      </c>
      <c r="J8460" t="s">
        <v>23768</v>
      </c>
      <c r="K8460" s="2" t="str">
        <f>HYPERLINK("http://collections.slsa.sa.gov.au/mpcimg/14500/B14478.htm")</f>
        <v>http://collections.slsa.sa.gov.au/mpcimg/14500/B14478.htm</v>
      </c>
    </row>
    <row r="8461" spans="1:11" x14ac:dyDescent="0.25">
      <c r="A8461" t="s">
        <v>27996</v>
      </c>
      <c r="B8461" s="1" t="str">
        <f>HYPERLINK("https://www.catalog.slsa.sa.gov.au/record=b2054852")</f>
        <v>https://www.catalog.slsa.sa.gov.au/record=b2054852</v>
      </c>
      <c r="C8461" s="1" t="str">
        <f>HYPERLINK("https://www.catalog.slsa.sa.gov.au/xrecord=b2054852")</f>
        <v>https://www.catalog.slsa.sa.gov.au/xrecord=b2054852</v>
      </c>
      <c r="D8461" t="s">
        <v>16831</v>
      </c>
      <c r="E8461" t="s">
        <v>15201</v>
      </c>
      <c r="F8461">
        <v>1962</v>
      </c>
      <c r="G8461" t="s">
        <v>16680</v>
      </c>
      <c r="H8461" t="s">
        <v>27997</v>
      </c>
      <c r="J8461" t="s">
        <v>23768</v>
      </c>
      <c r="K8461" s="2" t="str">
        <f>HYPERLINK("http://collections.slsa.sa.gov.au/mpcimg/14500/B14498.htm")</f>
        <v>http://collections.slsa.sa.gov.au/mpcimg/14500/B14498.htm</v>
      </c>
    </row>
    <row r="8462" spans="1:11" x14ac:dyDescent="0.25">
      <c r="A8462" t="s">
        <v>27998</v>
      </c>
      <c r="B8462" s="1" t="str">
        <f>HYPERLINK("https://www.catalog.slsa.sa.gov.au/record=b2055112")</f>
        <v>https://www.catalog.slsa.sa.gov.au/record=b2055112</v>
      </c>
      <c r="C8462" s="1" t="str">
        <f>HYPERLINK("https://www.catalog.slsa.sa.gov.au/xrecord=b2055112")</f>
        <v>https://www.catalog.slsa.sa.gov.au/xrecord=b2055112</v>
      </c>
      <c r="D8462" t="s">
        <v>16831</v>
      </c>
      <c r="E8462" t="s">
        <v>16777</v>
      </c>
      <c r="F8462">
        <v>1962</v>
      </c>
      <c r="G8462" t="s">
        <v>16680</v>
      </c>
      <c r="H8462" t="s">
        <v>27999</v>
      </c>
      <c r="J8462" t="s">
        <v>22454</v>
      </c>
      <c r="K8462" s="2" t="str">
        <f>HYPERLINK("http://collections.slsa.sa.gov.au/mpcimg/14500/B14499.htm")</f>
        <v>http://collections.slsa.sa.gov.au/mpcimg/14500/B14499.htm</v>
      </c>
    </row>
    <row r="8463" spans="1:11" x14ac:dyDescent="0.25">
      <c r="A8463" t="s">
        <v>28000</v>
      </c>
      <c r="B8463" s="1" t="str">
        <f>HYPERLINK("https://www.catalog.slsa.sa.gov.au/record=b2055113")</f>
        <v>https://www.catalog.slsa.sa.gov.au/record=b2055113</v>
      </c>
      <c r="C8463" s="1" t="str">
        <f>HYPERLINK("https://www.catalog.slsa.sa.gov.au/xrecord=b2055113")</f>
        <v>https://www.catalog.slsa.sa.gov.au/xrecord=b2055113</v>
      </c>
      <c r="D8463" t="s">
        <v>16831</v>
      </c>
      <c r="E8463" t="s">
        <v>16777</v>
      </c>
      <c r="F8463">
        <v>1962</v>
      </c>
      <c r="G8463" t="s">
        <v>16680</v>
      </c>
      <c r="H8463" t="s">
        <v>28001</v>
      </c>
      <c r="J8463" t="s">
        <v>22454</v>
      </c>
      <c r="K8463" s="2" t="str">
        <f>HYPERLINK("http://collections.slsa.sa.gov.au/mpcimg/14500/B14500.htm")</f>
        <v>http://collections.slsa.sa.gov.au/mpcimg/14500/B14500.htm</v>
      </c>
    </row>
    <row r="8464" spans="1:11" x14ac:dyDescent="0.25">
      <c r="A8464" t="s">
        <v>28002</v>
      </c>
      <c r="B8464" s="1" t="str">
        <f>HYPERLINK("https://www.catalog.slsa.sa.gov.au/record=b2055217")</f>
        <v>https://www.catalog.slsa.sa.gov.au/record=b2055217</v>
      </c>
      <c r="C8464" s="1" t="str">
        <f>HYPERLINK("https://www.catalog.slsa.sa.gov.au/xrecord=b2055217")</f>
        <v>https://www.catalog.slsa.sa.gov.au/xrecord=b2055217</v>
      </c>
      <c r="D8464" t="s">
        <v>16831</v>
      </c>
      <c r="E8464" t="s">
        <v>16777</v>
      </c>
      <c r="F8464">
        <v>1962</v>
      </c>
      <c r="G8464" t="s">
        <v>16680</v>
      </c>
      <c r="H8464" t="s">
        <v>28003</v>
      </c>
      <c r="J8464" t="s">
        <v>26574</v>
      </c>
      <c r="K8464" s="2" t="str">
        <f>HYPERLINK("http://collections.slsa.sa.gov.au/mpcimg/14750/B14501.htm")</f>
        <v>http://collections.slsa.sa.gov.au/mpcimg/14750/B14501.htm</v>
      </c>
    </row>
    <row r="8465" spans="1:11" x14ac:dyDescent="0.25">
      <c r="A8465" t="s">
        <v>28004</v>
      </c>
      <c r="B8465" s="1" t="str">
        <f>HYPERLINK("https://www.catalog.slsa.sa.gov.au/record=b2055218")</f>
        <v>https://www.catalog.slsa.sa.gov.au/record=b2055218</v>
      </c>
      <c r="C8465" s="1" t="str">
        <f>HYPERLINK("https://www.catalog.slsa.sa.gov.au/xrecord=b2055218")</f>
        <v>https://www.catalog.slsa.sa.gov.au/xrecord=b2055218</v>
      </c>
      <c r="D8465" t="s">
        <v>16831</v>
      </c>
      <c r="E8465" t="s">
        <v>16777</v>
      </c>
      <c r="F8465">
        <v>1962</v>
      </c>
      <c r="G8465" t="s">
        <v>16680</v>
      </c>
      <c r="H8465" t="s">
        <v>28005</v>
      </c>
      <c r="J8465" t="s">
        <v>26574</v>
      </c>
      <c r="K8465" s="2" t="str">
        <f>HYPERLINK("http://collections.slsa.sa.gov.au/mpcimg/14750/B14502.htm")</f>
        <v>http://collections.slsa.sa.gov.au/mpcimg/14750/B14502.htm</v>
      </c>
    </row>
    <row r="8466" spans="1:11" x14ac:dyDescent="0.25">
      <c r="A8466" t="s">
        <v>28006</v>
      </c>
      <c r="B8466" s="1" t="str">
        <f>HYPERLINK("https://www.catalog.slsa.sa.gov.au/record=b2055700")</f>
        <v>https://www.catalog.slsa.sa.gov.au/record=b2055700</v>
      </c>
      <c r="C8466" s="1" t="str">
        <f>HYPERLINK("https://www.catalog.slsa.sa.gov.au/xrecord=b2055700")</f>
        <v>https://www.catalog.slsa.sa.gov.au/xrecord=b2055700</v>
      </c>
      <c r="D8466" t="s">
        <v>16831</v>
      </c>
      <c r="E8466" t="s">
        <v>28007</v>
      </c>
      <c r="F8466">
        <v>1962</v>
      </c>
      <c r="G8466" t="s">
        <v>16680</v>
      </c>
      <c r="H8466" t="s">
        <v>28008</v>
      </c>
      <c r="J8466" t="s">
        <v>25292</v>
      </c>
      <c r="K8466" s="2" t="str">
        <f>HYPERLINK("http://collections.slsa.sa.gov.au/mpcimg/14750/B14520.htm")</f>
        <v>http://collections.slsa.sa.gov.au/mpcimg/14750/B14520.htm</v>
      </c>
    </row>
    <row r="8467" spans="1:11" x14ac:dyDescent="0.25">
      <c r="A8467" t="s">
        <v>28009</v>
      </c>
      <c r="B8467" s="1" t="str">
        <f>HYPERLINK("https://www.catalog.slsa.sa.gov.au/record=b2056266")</f>
        <v>https://www.catalog.slsa.sa.gov.au/record=b2056266</v>
      </c>
      <c r="C8467" s="1" t="str">
        <f>HYPERLINK("https://www.catalog.slsa.sa.gov.au/xrecord=b2056266")</f>
        <v>https://www.catalog.slsa.sa.gov.au/xrecord=b2056266</v>
      </c>
      <c r="D8467" t="s">
        <v>16831</v>
      </c>
      <c r="E8467" t="s">
        <v>16777</v>
      </c>
      <c r="F8467">
        <v>1962</v>
      </c>
      <c r="G8467" t="s">
        <v>16680</v>
      </c>
      <c r="H8467" t="s">
        <v>28010</v>
      </c>
      <c r="J8467" t="s">
        <v>16775</v>
      </c>
      <c r="K8467" s="2" t="str">
        <f>HYPERLINK("http://collections.slsa.sa.gov.au/mpcimg/14500/B14488.htm")</f>
        <v>http://collections.slsa.sa.gov.au/mpcimg/14500/B14488.htm</v>
      </c>
    </row>
    <row r="8468" spans="1:11" x14ac:dyDescent="0.25">
      <c r="A8468" t="s">
        <v>28011</v>
      </c>
      <c r="B8468" s="1" t="str">
        <f>HYPERLINK("https://www.catalog.slsa.sa.gov.au/record=b2056268")</f>
        <v>https://www.catalog.slsa.sa.gov.au/record=b2056268</v>
      </c>
      <c r="C8468" s="1" t="str">
        <f>HYPERLINK("https://www.catalog.slsa.sa.gov.au/xrecord=b2056268")</f>
        <v>https://www.catalog.slsa.sa.gov.au/xrecord=b2056268</v>
      </c>
      <c r="D8468" t="s">
        <v>16831</v>
      </c>
      <c r="E8468" t="s">
        <v>16777</v>
      </c>
      <c r="F8468">
        <v>1962</v>
      </c>
      <c r="G8468" t="s">
        <v>16680</v>
      </c>
      <c r="H8468" t="s">
        <v>28012</v>
      </c>
      <c r="J8468" t="s">
        <v>16775</v>
      </c>
      <c r="K8468" s="2" t="str">
        <f>HYPERLINK("http://collections.slsa.sa.gov.au/mpcimg/14750/B14571.htm")</f>
        <v>http://collections.slsa.sa.gov.au/mpcimg/14750/B14571.htm</v>
      </c>
    </row>
    <row r="8469" spans="1:11" x14ac:dyDescent="0.25">
      <c r="A8469" t="s">
        <v>28013</v>
      </c>
      <c r="B8469" s="1" t="str">
        <f>HYPERLINK("https://www.catalog.slsa.sa.gov.au/record=b2056269")</f>
        <v>https://www.catalog.slsa.sa.gov.au/record=b2056269</v>
      </c>
      <c r="C8469" s="1" t="str">
        <f>HYPERLINK("https://www.catalog.slsa.sa.gov.au/xrecord=b2056269")</f>
        <v>https://www.catalog.slsa.sa.gov.au/xrecord=b2056269</v>
      </c>
      <c r="D8469" t="s">
        <v>16831</v>
      </c>
      <c r="E8469" t="s">
        <v>16777</v>
      </c>
      <c r="F8469">
        <v>1962</v>
      </c>
      <c r="G8469" t="s">
        <v>16680</v>
      </c>
      <c r="H8469" t="s">
        <v>28014</v>
      </c>
      <c r="J8469" t="s">
        <v>16775</v>
      </c>
      <c r="K8469" s="2" t="str">
        <f>HYPERLINK("http://collections.slsa.sa.gov.au/mpcimg/14750/B14572.htm")</f>
        <v>http://collections.slsa.sa.gov.au/mpcimg/14750/B14572.htm</v>
      </c>
    </row>
    <row r="8470" spans="1:11" x14ac:dyDescent="0.25">
      <c r="A8470" t="s">
        <v>28015</v>
      </c>
      <c r="B8470" s="1" t="str">
        <f>HYPERLINK("https://www.catalog.slsa.sa.gov.au/record=b2056270")</f>
        <v>https://www.catalog.slsa.sa.gov.au/record=b2056270</v>
      </c>
      <c r="C8470" s="1" t="str">
        <f>HYPERLINK("https://www.catalog.slsa.sa.gov.au/xrecord=b2056270")</f>
        <v>https://www.catalog.slsa.sa.gov.au/xrecord=b2056270</v>
      </c>
      <c r="D8470" t="s">
        <v>16831</v>
      </c>
      <c r="E8470" t="s">
        <v>16771</v>
      </c>
      <c r="F8470">
        <v>1962</v>
      </c>
      <c r="G8470" t="s">
        <v>16680</v>
      </c>
      <c r="H8470" t="s">
        <v>28016</v>
      </c>
      <c r="J8470" t="s">
        <v>16775</v>
      </c>
      <c r="K8470" s="2" t="str">
        <f>HYPERLINK("http://collections.slsa.sa.gov.au/mpcimg/14750/B14573.htm")</f>
        <v>http://collections.slsa.sa.gov.au/mpcimg/14750/B14573.htm</v>
      </c>
    </row>
    <row r="8471" spans="1:11" x14ac:dyDescent="0.25">
      <c r="A8471" t="s">
        <v>28017</v>
      </c>
      <c r="B8471" s="1" t="str">
        <f>HYPERLINK("https://www.catalog.slsa.sa.gov.au/record=b2056433")</f>
        <v>https://www.catalog.slsa.sa.gov.au/record=b2056433</v>
      </c>
      <c r="C8471" s="1" t="str">
        <f>HYPERLINK("https://www.catalog.slsa.sa.gov.au/xrecord=b2056433")</f>
        <v>https://www.catalog.slsa.sa.gov.au/xrecord=b2056433</v>
      </c>
      <c r="D8471" t="s">
        <v>16831</v>
      </c>
      <c r="E8471" t="s">
        <v>16777</v>
      </c>
      <c r="F8471">
        <v>1962</v>
      </c>
      <c r="G8471" t="s">
        <v>16680</v>
      </c>
      <c r="H8471" t="s">
        <v>28018</v>
      </c>
      <c r="J8471" t="s">
        <v>20914</v>
      </c>
      <c r="K8471" s="2" t="str">
        <f>HYPERLINK("http://collections.slsa.sa.gov.au/mpcimg/14750/B14577.htm")</f>
        <v>http://collections.slsa.sa.gov.au/mpcimg/14750/B14577.htm</v>
      </c>
    </row>
    <row r="8472" spans="1:11" x14ac:dyDescent="0.25">
      <c r="A8472" t="s">
        <v>28019</v>
      </c>
      <c r="B8472" s="1" t="str">
        <f>HYPERLINK("https://www.catalog.slsa.sa.gov.au/record=b2056434")</f>
        <v>https://www.catalog.slsa.sa.gov.au/record=b2056434</v>
      </c>
      <c r="C8472" s="1" t="str">
        <f>HYPERLINK("https://www.catalog.slsa.sa.gov.au/xrecord=b2056434")</f>
        <v>https://www.catalog.slsa.sa.gov.au/xrecord=b2056434</v>
      </c>
      <c r="D8472" t="s">
        <v>16831</v>
      </c>
      <c r="E8472" t="s">
        <v>16777</v>
      </c>
      <c r="F8472">
        <v>1962</v>
      </c>
      <c r="G8472" t="s">
        <v>16680</v>
      </c>
      <c r="H8472" t="s">
        <v>28020</v>
      </c>
      <c r="J8472" t="s">
        <v>20914</v>
      </c>
      <c r="K8472" s="2" t="str">
        <f>HYPERLINK("http://collections.slsa.sa.gov.au/mpcimg/14750/B14578.htm")</f>
        <v>http://collections.slsa.sa.gov.au/mpcimg/14750/B14578.htm</v>
      </c>
    </row>
    <row r="8473" spans="1:11" x14ac:dyDescent="0.25">
      <c r="A8473" t="s">
        <v>28021</v>
      </c>
      <c r="B8473" s="1" t="str">
        <f>HYPERLINK("https://www.catalog.slsa.sa.gov.au/record=b2056435")</f>
        <v>https://www.catalog.slsa.sa.gov.au/record=b2056435</v>
      </c>
      <c r="C8473" s="1" t="str">
        <f>HYPERLINK("https://www.catalog.slsa.sa.gov.au/xrecord=b2056435")</f>
        <v>https://www.catalog.slsa.sa.gov.au/xrecord=b2056435</v>
      </c>
      <c r="D8473" t="s">
        <v>16831</v>
      </c>
      <c r="E8473" t="s">
        <v>20933</v>
      </c>
      <c r="F8473">
        <v>1962</v>
      </c>
      <c r="G8473" t="s">
        <v>16680</v>
      </c>
      <c r="H8473" t="s">
        <v>28022</v>
      </c>
      <c r="J8473" t="s">
        <v>20914</v>
      </c>
      <c r="K8473" s="2" t="str">
        <f>HYPERLINK("http://collections.slsa.sa.gov.au/mpcimg/14750/B14585.htm")</f>
        <v>http://collections.slsa.sa.gov.au/mpcimg/14750/B14585.htm</v>
      </c>
    </row>
    <row r="8474" spans="1:11" x14ac:dyDescent="0.25">
      <c r="A8474" t="s">
        <v>28023</v>
      </c>
      <c r="B8474" s="1" t="str">
        <f>HYPERLINK("https://www.catalog.slsa.sa.gov.au/record=b2056436")</f>
        <v>https://www.catalog.slsa.sa.gov.au/record=b2056436</v>
      </c>
      <c r="C8474" s="1" t="str">
        <f>HYPERLINK("https://www.catalog.slsa.sa.gov.au/xrecord=b2056436")</f>
        <v>https://www.catalog.slsa.sa.gov.au/xrecord=b2056436</v>
      </c>
      <c r="D8474" t="s">
        <v>16831</v>
      </c>
      <c r="E8474" t="s">
        <v>20933</v>
      </c>
      <c r="F8474">
        <v>1962</v>
      </c>
      <c r="G8474" t="s">
        <v>16680</v>
      </c>
      <c r="H8474" t="s">
        <v>28024</v>
      </c>
      <c r="J8474" t="s">
        <v>20914</v>
      </c>
      <c r="K8474" s="2" t="str">
        <f>HYPERLINK("http://collections.slsa.sa.gov.au/mpcimg/14750/B14586.htm")</f>
        <v>http://collections.slsa.sa.gov.au/mpcimg/14750/B14586.htm</v>
      </c>
    </row>
    <row r="8475" spans="1:11" x14ac:dyDescent="0.25">
      <c r="A8475" t="s">
        <v>28025</v>
      </c>
      <c r="B8475" s="1" t="str">
        <f>HYPERLINK("https://www.catalog.slsa.sa.gov.au/record=b2057002")</f>
        <v>https://www.catalog.slsa.sa.gov.au/record=b2057002</v>
      </c>
      <c r="C8475" s="1" t="str">
        <f>HYPERLINK("https://www.catalog.slsa.sa.gov.au/xrecord=b2057002")</f>
        <v>https://www.catalog.slsa.sa.gov.au/xrecord=b2057002</v>
      </c>
      <c r="D8475" t="s">
        <v>16831</v>
      </c>
      <c r="E8475" t="s">
        <v>16791</v>
      </c>
      <c r="F8475">
        <v>1962</v>
      </c>
      <c r="G8475" t="s">
        <v>16680</v>
      </c>
      <c r="H8475" t="s">
        <v>28026</v>
      </c>
      <c r="J8475" t="s">
        <v>25324</v>
      </c>
      <c r="K8475" s="2" t="str">
        <f>HYPERLINK("http://collections.slsa.sa.gov.au/mpcimg/14750/B14545.htm")</f>
        <v>http://collections.slsa.sa.gov.au/mpcimg/14750/B14545.htm</v>
      </c>
    </row>
    <row r="8476" spans="1:11" x14ac:dyDescent="0.25">
      <c r="A8476" t="s">
        <v>28027</v>
      </c>
      <c r="B8476" s="1" t="str">
        <f>HYPERLINK("https://www.catalog.slsa.sa.gov.au/record=b2057185")</f>
        <v>https://www.catalog.slsa.sa.gov.au/record=b2057185</v>
      </c>
      <c r="C8476" s="1" t="str">
        <f>HYPERLINK("https://www.catalog.slsa.sa.gov.au/xrecord=b2057185")</f>
        <v>https://www.catalog.slsa.sa.gov.au/xrecord=b2057185</v>
      </c>
      <c r="D8476" t="s">
        <v>16831</v>
      </c>
      <c r="E8476" t="s">
        <v>16786</v>
      </c>
      <c r="F8476">
        <v>1962</v>
      </c>
      <c r="G8476" t="s">
        <v>16680</v>
      </c>
      <c r="H8476" t="s">
        <v>28028</v>
      </c>
      <c r="J8476" t="s">
        <v>22791</v>
      </c>
      <c r="K8476" s="2" t="str">
        <f>HYPERLINK("http://collections.slsa.sa.gov.au/mpcimg/14500/B14495.htm")</f>
        <v>http://collections.slsa.sa.gov.au/mpcimg/14500/B14495.htm</v>
      </c>
    </row>
    <row r="8477" spans="1:11" x14ac:dyDescent="0.25">
      <c r="A8477" t="s">
        <v>28029</v>
      </c>
      <c r="B8477" s="1" t="str">
        <f>HYPERLINK("https://www.catalog.slsa.sa.gov.au/record=b2057251")</f>
        <v>https://www.catalog.slsa.sa.gov.au/record=b2057251</v>
      </c>
      <c r="C8477" s="1" t="str">
        <f>HYPERLINK("https://www.catalog.slsa.sa.gov.au/xrecord=b2057251")</f>
        <v>https://www.catalog.slsa.sa.gov.au/xrecord=b2057251</v>
      </c>
      <c r="D8477" t="s">
        <v>16831</v>
      </c>
      <c r="E8477" t="s">
        <v>16786</v>
      </c>
      <c r="F8477">
        <v>1962</v>
      </c>
      <c r="G8477" t="s">
        <v>16680</v>
      </c>
      <c r="H8477" t="s">
        <v>28030</v>
      </c>
      <c r="J8477" t="s">
        <v>24044</v>
      </c>
      <c r="K8477" s="2" t="str">
        <f>HYPERLINK("http://collections.slsa.sa.gov.au/mpcimg/14500/B14497.htm")</f>
        <v>http://collections.slsa.sa.gov.au/mpcimg/14500/B14497.htm</v>
      </c>
    </row>
    <row r="8478" spans="1:11" x14ac:dyDescent="0.25">
      <c r="A8478" t="s">
        <v>28031</v>
      </c>
      <c r="B8478" s="1" t="str">
        <f>HYPERLINK("https://www.catalog.slsa.sa.gov.au/record=b2057264")</f>
        <v>https://www.catalog.slsa.sa.gov.au/record=b2057264</v>
      </c>
      <c r="C8478" s="1" t="str">
        <f>HYPERLINK("https://www.catalog.slsa.sa.gov.au/xrecord=b2057264")</f>
        <v>https://www.catalog.slsa.sa.gov.au/xrecord=b2057264</v>
      </c>
      <c r="D8478" t="s">
        <v>16831</v>
      </c>
      <c r="E8478" t="s">
        <v>16786</v>
      </c>
      <c r="F8478">
        <v>1962</v>
      </c>
      <c r="G8478" t="s">
        <v>16680</v>
      </c>
      <c r="H8478" t="s">
        <v>28032</v>
      </c>
      <c r="J8478" t="s">
        <v>28033</v>
      </c>
      <c r="K8478" s="2" t="str">
        <f>HYPERLINK("http://collections.slsa.sa.gov.au/mpcimg/14500/B14496.htm")</f>
        <v>http://collections.slsa.sa.gov.au/mpcimg/14500/B14496.htm</v>
      </c>
    </row>
    <row r="8479" spans="1:11" x14ac:dyDescent="0.25">
      <c r="A8479" t="s">
        <v>28034</v>
      </c>
      <c r="B8479" s="1" t="str">
        <f>HYPERLINK("https://www.catalog.slsa.sa.gov.au/record=b2058924")</f>
        <v>https://www.catalog.slsa.sa.gov.au/record=b2058924</v>
      </c>
      <c r="C8479" s="1" t="str">
        <f>HYPERLINK("https://www.catalog.slsa.sa.gov.au/xrecord=b2058924")</f>
        <v>https://www.catalog.slsa.sa.gov.au/xrecord=b2058924</v>
      </c>
      <c r="D8479" t="s">
        <v>16831</v>
      </c>
      <c r="E8479" t="s">
        <v>15191</v>
      </c>
      <c r="F8479">
        <v>1962</v>
      </c>
      <c r="G8479" t="s">
        <v>16680</v>
      </c>
      <c r="H8479" t="s">
        <v>28035</v>
      </c>
      <c r="J8479" t="s">
        <v>28036</v>
      </c>
      <c r="K8479" s="2" t="str">
        <f>HYPERLINK("http://collections.slsa.sa.gov.au/mpcimg/14750/B14579.htm")</f>
        <v>http://collections.slsa.sa.gov.au/mpcimg/14750/B14579.htm</v>
      </c>
    </row>
    <row r="8480" spans="1:11" x14ac:dyDescent="0.25">
      <c r="A8480" t="s">
        <v>28037</v>
      </c>
      <c r="B8480" s="1" t="str">
        <f>HYPERLINK("https://www.catalog.slsa.sa.gov.au/record=b2059254")</f>
        <v>https://www.catalog.slsa.sa.gov.au/record=b2059254</v>
      </c>
      <c r="C8480" s="1" t="str">
        <f>HYPERLINK("https://www.catalog.slsa.sa.gov.au/xrecord=b2059254")</f>
        <v>https://www.catalog.slsa.sa.gov.au/xrecord=b2059254</v>
      </c>
      <c r="D8480" t="s">
        <v>16831</v>
      </c>
      <c r="E8480" t="s">
        <v>28038</v>
      </c>
      <c r="F8480">
        <v>1962</v>
      </c>
      <c r="G8480" t="s">
        <v>16680</v>
      </c>
      <c r="H8480" t="s">
        <v>28039</v>
      </c>
      <c r="I8480" t="s">
        <v>17599</v>
      </c>
      <c r="J8480" t="s">
        <v>17600</v>
      </c>
      <c r="K8480" s="2" t="str">
        <f>HYPERLINK("http://collections.slsa.sa.gov.au/mpcimg/14750/B14506.htm")</f>
        <v>http://collections.slsa.sa.gov.au/mpcimg/14750/B14506.htm</v>
      </c>
    </row>
    <row r="8481" spans="1:11" x14ac:dyDescent="0.25">
      <c r="A8481" t="s">
        <v>28040</v>
      </c>
      <c r="B8481" s="1" t="str">
        <f>HYPERLINK("https://www.catalog.slsa.sa.gov.au/record=b2059255")</f>
        <v>https://www.catalog.slsa.sa.gov.au/record=b2059255</v>
      </c>
      <c r="C8481" s="1" t="str">
        <f>HYPERLINK("https://www.catalog.slsa.sa.gov.au/xrecord=b2059255")</f>
        <v>https://www.catalog.slsa.sa.gov.au/xrecord=b2059255</v>
      </c>
      <c r="D8481" t="s">
        <v>16831</v>
      </c>
      <c r="E8481" t="s">
        <v>28038</v>
      </c>
      <c r="F8481">
        <v>1962</v>
      </c>
      <c r="G8481" t="s">
        <v>16680</v>
      </c>
      <c r="H8481" t="s">
        <v>28041</v>
      </c>
      <c r="I8481" t="s">
        <v>17599</v>
      </c>
      <c r="J8481" t="s">
        <v>17600</v>
      </c>
      <c r="K8481" s="2" t="str">
        <f>HYPERLINK("http://collections.slsa.sa.gov.au/mpcimg/14750/B14507.htm")</f>
        <v>http://collections.slsa.sa.gov.au/mpcimg/14750/B14507.htm</v>
      </c>
    </row>
    <row r="8482" spans="1:11" x14ac:dyDescent="0.25">
      <c r="A8482" t="s">
        <v>28042</v>
      </c>
      <c r="B8482" s="1" t="str">
        <f>HYPERLINK("https://www.catalog.slsa.sa.gov.au/record=b2059256")</f>
        <v>https://www.catalog.slsa.sa.gov.au/record=b2059256</v>
      </c>
      <c r="C8482" s="1" t="str">
        <f>HYPERLINK("https://www.catalog.slsa.sa.gov.au/xrecord=b2059256")</f>
        <v>https://www.catalog.slsa.sa.gov.au/xrecord=b2059256</v>
      </c>
      <c r="D8482" t="s">
        <v>16831</v>
      </c>
      <c r="E8482" t="s">
        <v>28038</v>
      </c>
      <c r="F8482">
        <v>1962</v>
      </c>
      <c r="G8482" t="s">
        <v>16680</v>
      </c>
      <c r="H8482" t="s">
        <v>28043</v>
      </c>
      <c r="I8482" t="s">
        <v>17599</v>
      </c>
      <c r="J8482" t="s">
        <v>17600</v>
      </c>
      <c r="K8482" s="2" t="str">
        <f>HYPERLINK("http://collections.slsa.sa.gov.au/mpcimg/14750/B14508.htm")</f>
        <v>http://collections.slsa.sa.gov.au/mpcimg/14750/B14508.htm</v>
      </c>
    </row>
    <row r="8483" spans="1:11" x14ac:dyDescent="0.25">
      <c r="A8483" t="s">
        <v>28044</v>
      </c>
      <c r="B8483" s="1" t="str">
        <f>HYPERLINK("https://www.catalog.slsa.sa.gov.au/record=b2059296")</f>
        <v>https://www.catalog.slsa.sa.gov.au/record=b2059296</v>
      </c>
      <c r="C8483" s="1" t="str">
        <f>HYPERLINK("https://www.catalog.slsa.sa.gov.au/xrecord=b2059296")</f>
        <v>https://www.catalog.slsa.sa.gov.au/xrecord=b2059296</v>
      </c>
      <c r="D8483" t="s">
        <v>16831</v>
      </c>
      <c r="E8483" t="s">
        <v>28045</v>
      </c>
      <c r="F8483">
        <v>1962</v>
      </c>
      <c r="G8483" t="s">
        <v>16680</v>
      </c>
      <c r="H8483" t="s">
        <v>28046</v>
      </c>
      <c r="J8483" t="s">
        <v>22841</v>
      </c>
      <c r="K8483" s="2" t="str">
        <f>HYPERLINK("http://collections.slsa.sa.gov.au/mpcimg/14750/B14574.htm")</f>
        <v>http://collections.slsa.sa.gov.au/mpcimg/14750/B14574.htm</v>
      </c>
    </row>
    <row r="8484" spans="1:11" x14ac:dyDescent="0.25">
      <c r="A8484" t="s">
        <v>28047</v>
      </c>
      <c r="B8484" s="1" t="str">
        <f>HYPERLINK("https://www.catalog.slsa.sa.gov.au/record=b2059297")</f>
        <v>https://www.catalog.slsa.sa.gov.au/record=b2059297</v>
      </c>
      <c r="C8484" s="1" t="str">
        <f>HYPERLINK("https://www.catalog.slsa.sa.gov.au/xrecord=b2059297")</f>
        <v>https://www.catalog.slsa.sa.gov.au/xrecord=b2059297</v>
      </c>
      <c r="D8484" t="s">
        <v>16831</v>
      </c>
      <c r="E8484" t="s">
        <v>28048</v>
      </c>
      <c r="F8484">
        <v>1962</v>
      </c>
      <c r="G8484" t="s">
        <v>16680</v>
      </c>
      <c r="H8484" t="s">
        <v>28049</v>
      </c>
      <c r="J8484" t="s">
        <v>22841</v>
      </c>
      <c r="K8484" s="2" t="str">
        <f>HYPERLINK("http://collections.slsa.sa.gov.au/mpcimg/14750/B14575.htm")</f>
        <v>http://collections.slsa.sa.gov.au/mpcimg/14750/B14575.htm</v>
      </c>
    </row>
    <row r="8485" spans="1:11" x14ac:dyDescent="0.25">
      <c r="A8485" t="s">
        <v>28050</v>
      </c>
      <c r="B8485" s="1" t="str">
        <f>HYPERLINK("https://www.catalog.slsa.sa.gov.au/record=b2059298")</f>
        <v>https://www.catalog.slsa.sa.gov.au/record=b2059298</v>
      </c>
      <c r="C8485" s="1" t="str">
        <f>HYPERLINK("https://www.catalog.slsa.sa.gov.au/xrecord=b2059298")</f>
        <v>https://www.catalog.slsa.sa.gov.au/xrecord=b2059298</v>
      </c>
      <c r="D8485" t="s">
        <v>16831</v>
      </c>
      <c r="E8485" t="s">
        <v>28048</v>
      </c>
      <c r="F8485">
        <v>1962</v>
      </c>
      <c r="G8485" t="s">
        <v>16680</v>
      </c>
      <c r="H8485" t="s">
        <v>28051</v>
      </c>
      <c r="J8485" t="s">
        <v>22841</v>
      </c>
      <c r="K8485" s="2" t="str">
        <f>HYPERLINK("http://collections.slsa.sa.gov.au/mpcimg/14750/B14576.htm")</f>
        <v>http://collections.slsa.sa.gov.au/mpcimg/14750/B14576.htm</v>
      </c>
    </row>
    <row r="8486" spans="1:11" x14ac:dyDescent="0.25">
      <c r="A8486" t="s">
        <v>28052</v>
      </c>
      <c r="B8486" s="1" t="str">
        <f>HYPERLINK("https://www.catalog.slsa.sa.gov.au/record=b2059383")</f>
        <v>https://www.catalog.slsa.sa.gov.au/record=b2059383</v>
      </c>
      <c r="C8486" s="1" t="str">
        <f>HYPERLINK("https://www.catalog.slsa.sa.gov.au/xrecord=b2059383")</f>
        <v>https://www.catalog.slsa.sa.gov.au/xrecord=b2059383</v>
      </c>
      <c r="D8486" t="s">
        <v>16831</v>
      </c>
      <c r="E8486" t="s">
        <v>20096</v>
      </c>
      <c r="F8486">
        <v>1962</v>
      </c>
      <c r="G8486" t="s">
        <v>16680</v>
      </c>
      <c r="H8486" t="s">
        <v>28053</v>
      </c>
      <c r="J8486" t="s">
        <v>27742</v>
      </c>
      <c r="K8486" s="2" t="str">
        <f>HYPERLINK("http://collections.slsa.sa.gov.au/mpcimg/14500/B14493.htm")</f>
        <v>http://collections.slsa.sa.gov.au/mpcimg/14500/B14493.htm</v>
      </c>
    </row>
    <row r="8487" spans="1:11" x14ac:dyDescent="0.25">
      <c r="A8487" t="s">
        <v>28054</v>
      </c>
      <c r="B8487" s="1" t="str">
        <f>HYPERLINK("https://www.catalog.slsa.sa.gov.au/record=b2059501")</f>
        <v>https://www.catalog.slsa.sa.gov.au/record=b2059501</v>
      </c>
      <c r="C8487" s="1" t="str">
        <f>HYPERLINK("https://www.catalog.slsa.sa.gov.au/xrecord=b2059501")</f>
        <v>https://www.catalog.slsa.sa.gov.au/xrecord=b2059501</v>
      </c>
      <c r="D8487" t="s">
        <v>16831</v>
      </c>
      <c r="E8487" t="s">
        <v>20096</v>
      </c>
      <c r="F8487">
        <v>1962</v>
      </c>
      <c r="G8487" t="s">
        <v>16680</v>
      </c>
      <c r="H8487" t="s">
        <v>28055</v>
      </c>
      <c r="J8487" t="s">
        <v>24198</v>
      </c>
      <c r="K8487" s="2" t="str">
        <f>HYPERLINK("http://collections.slsa.sa.gov.au/mpcimg/14750/B14521.htm")</f>
        <v>http://collections.slsa.sa.gov.au/mpcimg/14750/B14521.htm</v>
      </c>
    </row>
    <row r="8488" spans="1:11" x14ac:dyDescent="0.25">
      <c r="A8488" t="s">
        <v>28056</v>
      </c>
      <c r="B8488" s="1" t="str">
        <f>HYPERLINK("https://www.catalog.slsa.sa.gov.au/record=b2059716")</f>
        <v>https://www.catalog.slsa.sa.gov.au/record=b2059716</v>
      </c>
      <c r="C8488" s="1" t="str">
        <f>HYPERLINK("https://www.catalog.slsa.sa.gov.au/xrecord=b2059716")</f>
        <v>https://www.catalog.slsa.sa.gov.au/xrecord=b2059716</v>
      </c>
      <c r="D8488" t="s">
        <v>16831</v>
      </c>
      <c r="E8488" t="s">
        <v>5365</v>
      </c>
      <c r="F8488">
        <v>1962</v>
      </c>
      <c r="G8488" t="s">
        <v>27994</v>
      </c>
      <c r="H8488" t="s">
        <v>28057</v>
      </c>
      <c r="J8488" t="s">
        <v>24243</v>
      </c>
      <c r="K8488" s="2" t="str">
        <f>HYPERLINK("http://collections.slsa.sa.gov.au/mpcimg/14500/B14477.htm")</f>
        <v>http://collections.slsa.sa.gov.au/mpcimg/14500/B14477.htm</v>
      </c>
    </row>
    <row r="8489" spans="1:11" x14ac:dyDescent="0.25">
      <c r="A8489" t="s">
        <v>28058</v>
      </c>
      <c r="B8489" s="1" t="str">
        <f>HYPERLINK("https://www.catalog.slsa.sa.gov.au/record=b2059717")</f>
        <v>https://www.catalog.slsa.sa.gov.au/record=b2059717</v>
      </c>
      <c r="C8489" s="1" t="str">
        <f>HYPERLINK("https://www.catalog.slsa.sa.gov.au/xrecord=b2059717")</f>
        <v>https://www.catalog.slsa.sa.gov.au/xrecord=b2059717</v>
      </c>
      <c r="D8489" t="s">
        <v>16831</v>
      </c>
      <c r="E8489" t="s">
        <v>5365</v>
      </c>
      <c r="F8489">
        <v>1962</v>
      </c>
      <c r="G8489" t="s">
        <v>27994</v>
      </c>
      <c r="H8489" t="s">
        <v>28059</v>
      </c>
      <c r="J8489" t="s">
        <v>24243</v>
      </c>
      <c r="K8489" s="2" t="str">
        <f>HYPERLINK("http://collections.slsa.sa.gov.au/mpcimg/14500/B14476.htm")</f>
        <v>http://collections.slsa.sa.gov.au/mpcimg/14500/B14476.htm</v>
      </c>
    </row>
    <row r="8490" spans="1:11" x14ac:dyDescent="0.25">
      <c r="A8490" t="s">
        <v>28060</v>
      </c>
      <c r="B8490" s="1" t="str">
        <f>HYPERLINK("https://www.catalog.slsa.sa.gov.au/record=b2059917")</f>
        <v>https://www.catalog.slsa.sa.gov.au/record=b2059917</v>
      </c>
      <c r="C8490" s="1" t="str">
        <f>HYPERLINK("https://www.catalog.slsa.sa.gov.au/xrecord=b2059917")</f>
        <v>https://www.catalog.slsa.sa.gov.au/xrecord=b2059917</v>
      </c>
      <c r="D8490" t="s">
        <v>16831</v>
      </c>
      <c r="E8490" t="s">
        <v>28061</v>
      </c>
      <c r="F8490">
        <v>1962</v>
      </c>
      <c r="G8490" t="s">
        <v>16680</v>
      </c>
      <c r="H8490" t="s">
        <v>28062</v>
      </c>
      <c r="J8490" t="s">
        <v>28063</v>
      </c>
      <c r="K8490" s="2" t="str">
        <f>HYPERLINK("http://collections.slsa.sa.gov.au/mpcimg/14500/B14489.htm")</f>
        <v>http://collections.slsa.sa.gov.au/mpcimg/14500/B14489.htm</v>
      </c>
    </row>
    <row r="8491" spans="1:11" x14ac:dyDescent="0.25">
      <c r="A8491" t="s">
        <v>28064</v>
      </c>
      <c r="B8491" s="1" t="str">
        <f>HYPERLINK("https://www.catalog.slsa.sa.gov.au/record=b2060219")</f>
        <v>https://www.catalog.slsa.sa.gov.au/record=b2060219</v>
      </c>
      <c r="C8491" s="1" t="str">
        <f>HYPERLINK("https://www.catalog.slsa.sa.gov.au/xrecord=b2060219")</f>
        <v>https://www.catalog.slsa.sa.gov.au/xrecord=b2060219</v>
      </c>
      <c r="D8491" t="s">
        <v>16831</v>
      </c>
      <c r="E8491" t="s">
        <v>21061</v>
      </c>
      <c r="F8491">
        <v>1962</v>
      </c>
      <c r="G8491" t="s">
        <v>16680</v>
      </c>
      <c r="H8491" t="s">
        <v>28065</v>
      </c>
      <c r="J8491" t="s">
        <v>24284</v>
      </c>
      <c r="K8491" s="2" t="str">
        <f>HYPERLINK("http://collections.slsa.sa.gov.au/mpcimg/14750/B14510.htm")</f>
        <v>http://collections.slsa.sa.gov.au/mpcimg/14750/B14510.htm</v>
      </c>
    </row>
    <row r="8492" spans="1:11" x14ac:dyDescent="0.25">
      <c r="A8492" t="s">
        <v>28066</v>
      </c>
      <c r="B8492" s="1" t="str">
        <f>HYPERLINK("https://www.catalog.slsa.sa.gov.au/record=b2060220")</f>
        <v>https://www.catalog.slsa.sa.gov.au/record=b2060220</v>
      </c>
      <c r="C8492" s="1" t="str">
        <f>HYPERLINK("https://www.catalog.slsa.sa.gov.au/xrecord=b2060220")</f>
        <v>https://www.catalog.slsa.sa.gov.au/xrecord=b2060220</v>
      </c>
      <c r="D8492" t="s">
        <v>16831</v>
      </c>
      <c r="E8492" t="s">
        <v>21061</v>
      </c>
      <c r="F8492">
        <v>1962</v>
      </c>
      <c r="G8492" t="s">
        <v>16680</v>
      </c>
      <c r="H8492" t="s">
        <v>28067</v>
      </c>
      <c r="J8492" t="s">
        <v>24284</v>
      </c>
      <c r="K8492" s="2" t="str">
        <f>HYPERLINK("http://collections.slsa.sa.gov.au/mpcimg/14750/B14511.htm")</f>
        <v>http://collections.slsa.sa.gov.au/mpcimg/14750/B14511.htm</v>
      </c>
    </row>
    <row r="8493" spans="1:11" x14ac:dyDescent="0.25">
      <c r="A8493" t="s">
        <v>28068</v>
      </c>
      <c r="B8493" s="1" t="str">
        <f>HYPERLINK("https://www.catalog.slsa.sa.gov.au/record=b2060434")</f>
        <v>https://www.catalog.slsa.sa.gov.au/record=b2060434</v>
      </c>
      <c r="C8493" s="1" t="str">
        <f>HYPERLINK("https://www.catalog.slsa.sa.gov.au/xrecord=b2060434")</f>
        <v>https://www.catalog.slsa.sa.gov.au/xrecord=b2060434</v>
      </c>
      <c r="D8493" t="s">
        <v>16831</v>
      </c>
      <c r="E8493" t="s">
        <v>28069</v>
      </c>
      <c r="F8493">
        <v>1962</v>
      </c>
      <c r="G8493" t="s">
        <v>16680</v>
      </c>
      <c r="H8493" t="s">
        <v>28070</v>
      </c>
      <c r="J8493" t="s">
        <v>24309</v>
      </c>
      <c r="K8493" s="2" t="str">
        <f>HYPERLINK("http://collections.slsa.sa.gov.au/mpcimg/14750/B14569.htm")</f>
        <v>http://collections.slsa.sa.gov.au/mpcimg/14750/B14569.htm</v>
      </c>
    </row>
    <row r="8494" spans="1:11" x14ac:dyDescent="0.25">
      <c r="A8494" t="s">
        <v>28071</v>
      </c>
      <c r="B8494" s="1" t="str">
        <f>HYPERLINK("https://www.catalog.slsa.sa.gov.au/record=b2060848")</f>
        <v>https://www.catalog.slsa.sa.gov.au/record=b2060848</v>
      </c>
      <c r="C8494" s="1" t="str">
        <f>HYPERLINK("https://www.catalog.slsa.sa.gov.au/xrecord=b2060848")</f>
        <v>https://www.catalog.slsa.sa.gov.au/xrecord=b2060848</v>
      </c>
      <c r="D8494" t="s">
        <v>16831</v>
      </c>
      <c r="E8494" t="s">
        <v>28072</v>
      </c>
      <c r="F8494">
        <v>1962</v>
      </c>
      <c r="G8494" t="s">
        <v>16680</v>
      </c>
      <c r="H8494" t="s">
        <v>28073</v>
      </c>
      <c r="J8494" t="s">
        <v>21109</v>
      </c>
      <c r="K8494" s="2" t="str">
        <f>HYPERLINK("http://collections.slsa.sa.gov.au/mpcimg/14750/B14533.htm")</f>
        <v>http://collections.slsa.sa.gov.au/mpcimg/14750/B14533.htm</v>
      </c>
    </row>
    <row r="8495" spans="1:11" x14ac:dyDescent="0.25">
      <c r="A8495" t="s">
        <v>28074</v>
      </c>
      <c r="B8495" s="1" t="str">
        <f>HYPERLINK("https://www.catalog.slsa.sa.gov.au/record=b2060849")</f>
        <v>https://www.catalog.slsa.sa.gov.au/record=b2060849</v>
      </c>
      <c r="C8495" s="1" t="str">
        <f>HYPERLINK("https://www.catalog.slsa.sa.gov.au/xrecord=b2060849")</f>
        <v>https://www.catalog.slsa.sa.gov.au/xrecord=b2060849</v>
      </c>
      <c r="D8495" t="s">
        <v>16831</v>
      </c>
      <c r="E8495" t="s">
        <v>28072</v>
      </c>
      <c r="F8495">
        <v>1962</v>
      </c>
      <c r="G8495" t="s">
        <v>16680</v>
      </c>
      <c r="H8495" t="s">
        <v>28075</v>
      </c>
      <c r="J8495" t="s">
        <v>21109</v>
      </c>
      <c r="K8495" s="2" t="str">
        <f>HYPERLINK("http://collections.slsa.sa.gov.au/mpcimg/14750/B14587.htm")</f>
        <v>http://collections.slsa.sa.gov.au/mpcimg/14750/B14587.htm</v>
      </c>
    </row>
    <row r="8496" spans="1:11" x14ac:dyDescent="0.25">
      <c r="A8496" t="s">
        <v>28076</v>
      </c>
      <c r="B8496" s="1" t="str">
        <f>HYPERLINK("https://www.catalog.slsa.sa.gov.au/record=b2061063")</f>
        <v>https://www.catalog.slsa.sa.gov.au/record=b2061063</v>
      </c>
      <c r="C8496" s="1" t="str">
        <f>HYPERLINK("https://www.catalog.slsa.sa.gov.au/xrecord=b2061063")</f>
        <v>https://www.catalog.slsa.sa.gov.au/xrecord=b2061063</v>
      </c>
      <c r="D8496" t="s">
        <v>16831</v>
      </c>
      <c r="E8496" t="s">
        <v>28077</v>
      </c>
      <c r="F8496">
        <v>1962</v>
      </c>
      <c r="G8496" t="s">
        <v>16680</v>
      </c>
      <c r="H8496" t="s">
        <v>28078</v>
      </c>
      <c r="J8496" t="s">
        <v>27764</v>
      </c>
      <c r="K8496" s="2" t="str">
        <f>HYPERLINK("http://collections.slsa.sa.gov.au/mpcimg/14750/B14594.htm")</f>
        <v>http://collections.slsa.sa.gov.au/mpcimg/14750/B14594.htm</v>
      </c>
    </row>
    <row r="8497" spans="1:11" x14ac:dyDescent="0.25">
      <c r="A8497" t="s">
        <v>28079</v>
      </c>
      <c r="B8497" s="1" t="str">
        <f>HYPERLINK("https://www.catalog.slsa.sa.gov.au/record=b2061064")</f>
        <v>https://www.catalog.slsa.sa.gov.au/record=b2061064</v>
      </c>
      <c r="C8497" s="1" t="str">
        <f>HYPERLINK("https://www.catalog.slsa.sa.gov.au/xrecord=b2061064")</f>
        <v>https://www.catalog.slsa.sa.gov.au/xrecord=b2061064</v>
      </c>
      <c r="D8497" t="s">
        <v>16831</v>
      </c>
      <c r="E8497" t="s">
        <v>28077</v>
      </c>
      <c r="F8497">
        <v>1962</v>
      </c>
      <c r="G8497" t="s">
        <v>16680</v>
      </c>
      <c r="H8497" t="s">
        <v>28080</v>
      </c>
      <c r="J8497" t="s">
        <v>27764</v>
      </c>
      <c r="K8497" s="2" t="str">
        <f>HYPERLINK("http://collections.slsa.sa.gov.au/mpcimg/14750/B14595.htm")</f>
        <v>http://collections.slsa.sa.gov.au/mpcimg/14750/B14595.htm</v>
      </c>
    </row>
    <row r="8498" spans="1:11" x14ac:dyDescent="0.25">
      <c r="A8498" t="s">
        <v>28081</v>
      </c>
      <c r="B8498" s="1" t="str">
        <f>HYPERLINK("https://www.catalog.slsa.sa.gov.au/record=b2061243")</f>
        <v>https://www.catalog.slsa.sa.gov.au/record=b2061243</v>
      </c>
      <c r="C8498" s="1" t="str">
        <f>HYPERLINK("https://www.catalog.slsa.sa.gov.au/xrecord=b2061243")</f>
        <v>https://www.catalog.slsa.sa.gov.au/xrecord=b2061243</v>
      </c>
      <c r="D8498" t="s">
        <v>16831</v>
      </c>
      <c r="E8498" t="s">
        <v>24439</v>
      </c>
      <c r="F8498">
        <v>1962</v>
      </c>
      <c r="G8498" t="s">
        <v>16680</v>
      </c>
      <c r="H8498" t="s">
        <v>28082</v>
      </c>
      <c r="J8498" t="s">
        <v>24391</v>
      </c>
      <c r="K8498" s="2" t="str">
        <f>HYPERLINK("http://collections.slsa.sa.gov.au/mpcimg/14750/B14570.htm")</f>
        <v>http://collections.slsa.sa.gov.au/mpcimg/14750/B14570.htm</v>
      </c>
    </row>
    <row r="8499" spans="1:11" x14ac:dyDescent="0.25">
      <c r="A8499" t="s">
        <v>28083</v>
      </c>
      <c r="B8499" s="1" t="str">
        <f>HYPERLINK("https://www.catalog.slsa.sa.gov.au/record=b2061367")</f>
        <v>https://www.catalog.slsa.sa.gov.au/record=b2061367</v>
      </c>
      <c r="C8499" s="1" t="str">
        <f>HYPERLINK("https://www.catalog.slsa.sa.gov.au/xrecord=b2061367")</f>
        <v>https://www.catalog.slsa.sa.gov.au/xrecord=b2061367</v>
      </c>
      <c r="D8499" t="s">
        <v>16831</v>
      </c>
      <c r="E8499" t="s">
        <v>21099</v>
      </c>
      <c r="F8499">
        <v>1962</v>
      </c>
      <c r="G8499" t="s">
        <v>16680</v>
      </c>
      <c r="H8499" t="s">
        <v>28084</v>
      </c>
      <c r="J8499" t="s">
        <v>22907</v>
      </c>
      <c r="K8499" s="2" t="str">
        <f>HYPERLINK("http://collections.slsa.sa.gov.au/mpcimg/14750/B14524.htm")</f>
        <v>http://collections.slsa.sa.gov.au/mpcimg/14750/B14524.htm</v>
      </c>
    </row>
    <row r="8500" spans="1:11" x14ac:dyDescent="0.25">
      <c r="A8500" t="s">
        <v>28085</v>
      </c>
      <c r="B8500" s="1" t="str">
        <f>HYPERLINK("https://www.catalog.slsa.sa.gov.au/record=b2061385")</f>
        <v>https://www.catalog.slsa.sa.gov.au/record=b2061385</v>
      </c>
      <c r="C8500" s="1" t="str">
        <f>HYPERLINK("https://www.catalog.slsa.sa.gov.au/xrecord=b2061385")</f>
        <v>https://www.catalog.slsa.sa.gov.au/xrecord=b2061385</v>
      </c>
      <c r="D8500" t="s">
        <v>16831</v>
      </c>
      <c r="E8500" t="s">
        <v>16827</v>
      </c>
      <c r="F8500">
        <v>1962</v>
      </c>
      <c r="G8500" t="s">
        <v>16680</v>
      </c>
      <c r="H8500" t="s">
        <v>28086</v>
      </c>
      <c r="J8500" t="s">
        <v>21157</v>
      </c>
      <c r="K8500" s="2" t="str">
        <f>HYPERLINK("http://collections.slsa.sa.gov.au/mpcimg/14750/B14525.htm")</f>
        <v>http://collections.slsa.sa.gov.au/mpcimg/14750/B14525.htm</v>
      </c>
    </row>
    <row r="8501" spans="1:11" x14ac:dyDescent="0.25">
      <c r="A8501" t="s">
        <v>28087</v>
      </c>
      <c r="B8501" s="1" t="str">
        <f>HYPERLINK("https://www.catalog.slsa.sa.gov.au/record=b2061451")</f>
        <v>https://www.catalog.slsa.sa.gov.au/record=b2061451</v>
      </c>
      <c r="C8501" s="1" t="str">
        <f>HYPERLINK("https://www.catalog.slsa.sa.gov.au/xrecord=b2061451")</f>
        <v>https://www.catalog.slsa.sa.gov.au/xrecord=b2061451</v>
      </c>
      <c r="D8501" t="s">
        <v>16831</v>
      </c>
      <c r="E8501" t="s">
        <v>28088</v>
      </c>
      <c r="F8501">
        <v>1962</v>
      </c>
      <c r="G8501" t="s">
        <v>16680</v>
      </c>
      <c r="H8501" t="s">
        <v>28089</v>
      </c>
      <c r="J8501" t="s">
        <v>28090</v>
      </c>
      <c r="K8501" s="2" t="str">
        <f>HYPERLINK("http://collections.slsa.sa.gov.au/mpcimg/14500/B14490.htm")</f>
        <v>http://collections.slsa.sa.gov.au/mpcimg/14500/B14490.htm</v>
      </c>
    </row>
    <row r="8502" spans="1:11" x14ac:dyDescent="0.25">
      <c r="A8502" t="s">
        <v>28091</v>
      </c>
      <c r="B8502" s="1" t="str">
        <f>HYPERLINK("https://www.catalog.slsa.sa.gov.au/record=b2061662")</f>
        <v>https://www.catalog.slsa.sa.gov.au/record=b2061662</v>
      </c>
      <c r="C8502" s="1" t="str">
        <f>HYPERLINK("https://www.catalog.slsa.sa.gov.au/xrecord=b2061662")</f>
        <v>https://www.catalog.slsa.sa.gov.au/xrecord=b2061662</v>
      </c>
      <c r="D8502" t="s">
        <v>16831</v>
      </c>
      <c r="E8502" t="s">
        <v>24455</v>
      </c>
      <c r="F8502">
        <v>1962</v>
      </c>
      <c r="G8502" t="s">
        <v>16680</v>
      </c>
      <c r="H8502" t="s">
        <v>28092</v>
      </c>
      <c r="J8502" t="s">
        <v>24453</v>
      </c>
      <c r="K8502" s="2" t="str">
        <f>HYPERLINK("http://collections.slsa.sa.gov.au/mpcimg/14500/B14491.htm")</f>
        <v>http://collections.slsa.sa.gov.au/mpcimg/14500/B14491.htm</v>
      </c>
    </row>
    <row r="8503" spans="1:11" x14ac:dyDescent="0.25">
      <c r="A8503" t="s">
        <v>28093</v>
      </c>
      <c r="B8503" s="1" t="str">
        <f>HYPERLINK("https://www.catalog.slsa.sa.gov.au/record=b2061883")</f>
        <v>https://www.catalog.slsa.sa.gov.au/record=b2061883</v>
      </c>
      <c r="C8503" s="1" t="str">
        <f>HYPERLINK("https://www.catalog.slsa.sa.gov.au/xrecord=b2061883")</f>
        <v>https://www.catalog.slsa.sa.gov.au/xrecord=b2061883</v>
      </c>
      <c r="D8503" t="s">
        <v>16831</v>
      </c>
      <c r="E8503" t="s">
        <v>28094</v>
      </c>
      <c r="F8503">
        <v>1962</v>
      </c>
      <c r="G8503" t="s">
        <v>16680</v>
      </c>
      <c r="H8503" t="s">
        <v>28095</v>
      </c>
      <c r="J8503" t="s">
        <v>26394</v>
      </c>
      <c r="K8503" s="2" t="str">
        <f>HYPERLINK("http://collections.slsa.sa.gov.au/mpcimg/14750/B14626.htm")</f>
        <v>http://collections.slsa.sa.gov.au/mpcimg/14750/B14626.htm</v>
      </c>
    </row>
    <row r="8504" spans="1:11" x14ac:dyDescent="0.25">
      <c r="A8504" t="s">
        <v>28096</v>
      </c>
      <c r="B8504" s="1" t="str">
        <f>HYPERLINK("https://www.catalog.slsa.sa.gov.au/record=b2061885")</f>
        <v>https://www.catalog.slsa.sa.gov.au/record=b2061885</v>
      </c>
      <c r="C8504" s="1" t="str">
        <f>HYPERLINK("https://www.catalog.slsa.sa.gov.au/xrecord=b2061885")</f>
        <v>https://www.catalog.slsa.sa.gov.au/xrecord=b2061885</v>
      </c>
      <c r="D8504" t="s">
        <v>16831</v>
      </c>
      <c r="E8504" t="s">
        <v>28094</v>
      </c>
      <c r="F8504">
        <v>1962</v>
      </c>
      <c r="G8504" t="s">
        <v>16680</v>
      </c>
      <c r="H8504" t="s">
        <v>28097</v>
      </c>
      <c r="J8504" t="s">
        <v>26394</v>
      </c>
      <c r="K8504" s="2" t="str">
        <f>HYPERLINK("http://collections.slsa.sa.gov.au/mpcimg/14750/B14628.htm")</f>
        <v>http://collections.slsa.sa.gov.au/mpcimg/14750/B14628.htm</v>
      </c>
    </row>
    <row r="8505" spans="1:11" x14ac:dyDescent="0.25">
      <c r="A8505" t="s">
        <v>28098</v>
      </c>
      <c r="B8505" s="1" t="str">
        <f>HYPERLINK("https://www.catalog.slsa.sa.gov.au/record=b2061886")</f>
        <v>https://www.catalog.slsa.sa.gov.au/record=b2061886</v>
      </c>
      <c r="C8505" s="1" t="str">
        <f>HYPERLINK("https://www.catalog.slsa.sa.gov.au/xrecord=b2061886")</f>
        <v>https://www.catalog.slsa.sa.gov.au/xrecord=b2061886</v>
      </c>
      <c r="D8505" t="s">
        <v>16831</v>
      </c>
      <c r="E8505" t="s">
        <v>26392</v>
      </c>
      <c r="F8505">
        <v>1962</v>
      </c>
      <c r="G8505" t="s">
        <v>16680</v>
      </c>
      <c r="H8505" t="s">
        <v>28099</v>
      </c>
      <c r="J8505" t="s">
        <v>26394</v>
      </c>
      <c r="K8505" s="2" t="str">
        <f>HYPERLINK("http://collections.slsa.sa.gov.au/mpcimg/14750/B14629.htm")</f>
        <v>http://collections.slsa.sa.gov.au/mpcimg/14750/B14629.htm</v>
      </c>
    </row>
    <row r="8506" spans="1:11" x14ac:dyDescent="0.25">
      <c r="A8506" t="s">
        <v>28100</v>
      </c>
      <c r="B8506" s="1" t="str">
        <f>HYPERLINK("https://www.catalog.slsa.sa.gov.au/record=b2061887")</f>
        <v>https://www.catalog.slsa.sa.gov.au/record=b2061887</v>
      </c>
      <c r="C8506" s="1" t="str">
        <f>HYPERLINK("https://www.catalog.slsa.sa.gov.au/xrecord=b2061887")</f>
        <v>https://www.catalog.slsa.sa.gov.au/xrecord=b2061887</v>
      </c>
      <c r="D8506" t="s">
        <v>16831</v>
      </c>
      <c r="E8506" t="s">
        <v>26392</v>
      </c>
      <c r="F8506">
        <v>1962</v>
      </c>
      <c r="G8506" t="s">
        <v>16680</v>
      </c>
      <c r="H8506" t="s">
        <v>28101</v>
      </c>
      <c r="J8506" t="s">
        <v>26394</v>
      </c>
      <c r="K8506" s="2" t="str">
        <f>HYPERLINK("http://collections.slsa.sa.gov.au/mpcimg/14750/B14630.htm")</f>
        <v>http://collections.slsa.sa.gov.au/mpcimg/14750/B14630.htm</v>
      </c>
    </row>
    <row r="8507" spans="1:11" x14ac:dyDescent="0.25">
      <c r="A8507" t="s">
        <v>28102</v>
      </c>
      <c r="B8507" s="1" t="str">
        <f>HYPERLINK("https://www.catalog.slsa.sa.gov.au/record=b2061972")</f>
        <v>https://www.catalog.slsa.sa.gov.au/record=b2061972</v>
      </c>
      <c r="C8507" s="1" t="str">
        <f>HYPERLINK("https://www.catalog.slsa.sa.gov.au/xrecord=b2061972")</f>
        <v>https://www.catalog.slsa.sa.gov.au/xrecord=b2061972</v>
      </c>
      <c r="D8507" t="s">
        <v>16831</v>
      </c>
      <c r="E8507" t="s">
        <v>25404</v>
      </c>
      <c r="F8507">
        <v>1962</v>
      </c>
      <c r="G8507" t="s">
        <v>16680</v>
      </c>
      <c r="H8507" t="s">
        <v>28103</v>
      </c>
      <c r="J8507" t="s">
        <v>28104</v>
      </c>
      <c r="K8507" s="2" t="str">
        <f>HYPERLINK("http://collections.slsa.sa.gov.au/mpcimg/14750/B14568.htm")</f>
        <v>http://collections.slsa.sa.gov.au/mpcimg/14750/B14568.htm</v>
      </c>
    </row>
    <row r="8508" spans="1:11" x14ac:dyDescent="0.25">
      <c r="A8508" t="s">
        <v>28105</v>
      </c>
      <c r="B8508" s="1" t="str">
        <f>HYPERLINK("https://www.catalog.slsa.sa.gov.au/record=b2062165")</f>
        <v>https://www.catalog.slsa.sa.gov.au/record=b2062165</v>
      </c>
      <c r="C8508" s="1" t="str">
        <f>HYPERLINK("https://www.catalog.slsa.sa.gov.au/xrecord=b2062165")</f>
        <v>https://www.catalog.slsa.sa.gov.au/xrecord=b2062165</v>
      </c>
      <c r="D8508" t="s">
        <v>16831</v>
      </c>
      <c r="E8508" t="s">
        <v>10268</v>
      </c>
      <c r="F8508">
        <v>1962</v>
      </c>
      <c r="G8508" t="s">
        <v>16680</v>
      </c>
      <c r="H8508" t="s">
        <v>28106</v>
      </c>
      <c r="J8508" t="s">
        <v>22920</v>
      </c>
      <c r="K8508" s="2" t="str">
        <f>HYPERLINK("http://collections.slsa.sa.gov.au/mpcimg/14750/B14588.htm")</f>
        <v>http://collections.slsa.sa.gov.au/mpcimg/14750/B14588.htm</v>
      </c>
    </row>
    <row r="8509" spans="1:11" x14ac:dyDescent="0.25">
      <c r="A8509" t="s">
        <v>28107</v>
      </c>
      <c r="B8509" s="1" t="str">
        <f>HYPERLINK("https://www.catalog.slsa.sa.gov.au/record=b2062201")</f>
        <v>https://www.catalog.slsa.sa.gov.au/record=b2062201</v>
      </c>
      <c r="C8509" s="1" t="str">
        <f>HYPERLINK("https://www.catalog.slsa.sa.gov.au/xrecord=b2062201")</f>
        <v>https://www.catalog.slsa.sa.gov.au/xrecord=b2062201</v>
      </c>
      <c r="D8509" t="s">
        <v>16831</v>
      </c>
      <c r="E8509" t="s">
        <v>10268</v>
      </c>
      <c r="F8509">
        <v>1962</v>
      </c>
      <c r="G8509" t="s">
        <v>16680</v>
      </c>
      <c r="H8509" t="s">
        <v>28108</v>
      </c>
      <c r="J8509" t="s">
        <v>22927</v>
      </c>
      <c r="K8509" s="2" t="str">
        <f>HYPERLINK("http://collections.slsa.sa.gov.au/mpcimg/14750/B14580.htm")</f>
        <v>http://collections.slsa.sa.gov.au/mpcimg/14750/B14580.htm</v>
      </c>
    </row>
    <row r="8510" spans="1:11" x14ac:dyDescent="0.25">
      <c r="A8510" t="s">
        <v>28109</v>
      </c>
      <c r="B8510" s="1" t="str">
        <f>HYPERLINK("https://www.catalog.slsa.sa.gov.au/record=b2062202")</f>
        <v>https://www.catalog.slsa.sa.gov.au/record=b2062202</v>
      </c>
      <c r="C8510" s="1" t="str">
        <f>HYPERLINK("https://www.catalog.slsa.sa.gov.au/xrecord=b2062202")</f>
        <v>https://www.catalog.slsa.sa.gov.au/xrecord=b2062202</v>
      </c>
      <c r="D8510" t="s">
        <v>16831</v>
      </c>
      <c r="E8510" t="s">
        <v>10268</v>
      </c>
      <c r="F8510">
        <v>1962</v>
      </c>
      <c r="G8510" t="s">
        <v>16680</v>
      </c>
      <c r="H8510" t="s">
        <v>28110</v>
      </c>
      <c r="J8510" t="s">
        <v>22927</v>
      </c>
      <c r="K8510" s="2" t="str">
        <f>HYPERLINK("http://collections.slsa.sa.gov.au/mpcimg/14750/B14581.htm")</f>
        <v>http://collections.slsa.sa.gov.au/mpcimg/14750/B14581.htm</v>
      </c>
    </row>
    <row r="8511" spans="1:11" x14ac:dyDescent="0.25">
      <c r="A8511" t="s">
        <v>28111</v>
      </c>
      <c r="B8511" s="1" t="str">
        <f>HYPERLINK("https://www.catalog.slsa.sa.gov.au/record=b2062463")</f>
        <v>https://www.catalog.slsa.sa.gov.au/record=b2062463</v>
      </c>
      <c r="C8511" s="1" t="str">
        <f>HYPERLINK("https://www.catalog.slsa.sa.gov.au/xrecord=b2062463")</f>
        <v>https://www.catalog.slsa.sa.gov.au/xrecord=b2062463</v>
      </c>
      <c r="D8511" t="s">
        <v>16831</v>
      </c>
      <c r="E8511" t="s">
        <v>28112</v>
      </c>
      <c r="F8511">
        <v>1962</v>
      </c>
      <c r="G8511" t="s">
        <v>16680</v>
      </c>
      <c r="H8511" t="s">
        <v>28113</v>
      </c>
      <c r="J8511" t="s">
        <v>24060</v>
      </c>
      <c r="K8511" s="2" t="str">
        <f>HYPERLINK("http://collections.slsa.sa.gov.au/mpcimg/14750/B14535.htm")</f>
        <v>http://collections.slsa.sa.gov.au/mpcimg/14750/B14535.htm</v>
      </c>
    </row>
    <row r="8512" spans="1:11" x14ac:dyDescent="0.25">
      <c r="A8512" t="s">
        <v>28114</v>
      </c>
      <c r="B8512" s="1" t="str">
        <f>HYPERLINK("https://www.catalog.slsa.sa.gov.au/record=b2062605")</f>
        <v>https://www.catalog.slsa.sa.gov.au/record=b2062605</v>
      </c>
      <c r="C8512" s="1" t="str">
        <f>HYPERLINK("https://www.catalog.slsa.sa.gov.au/xrecord=b2062605")</f>
        <v>https://www.catalog.slsa.sa.gov.au/xrecord=b2062605</v>
      </c>
      <c r="D8512" t="s">
        <v>16831</v>
      </c>
      <c r="E8512" t="s">
        <v>27797</v>
      </c>
      <c r="F8512">
        <v>1962</v>
      </c>
      <c r="G8512" t="s">
        <v>16680</v>
      </c>
      <c r="H8512" t="s">
        <v>28115</v>
      </c>
      <c r="J8512" t="s">
        <v>26866</v>
      </c>
      <c r="K8512" s="2" t="str">
        <f>HYPERLINK("http://collections.slsa.sa.gov.au/mpcimg/14750/B14590.htm")</f>
        <v>http://collections.slsa.sa.gov.au/mpcimg/14750/B14590.htm</v>
      </c>
    </row>
    <row r="8513" spans="1:11" x14ac:dyDescent="0.25">
      <c r="A8513" t="s">
        <v>28116</v>
      </c>
      <c r="B8513" s="1" t="str">
        <f>HYPERLINK("https://www.catalog.slsa.sa.gov.au/record=b2062903")</f>
        <v>https://www.catalog.slsa.sa.gov.au/record=b2062903</v>
      </c>
      <c r="C8513" s="1" t="str">
        <f>HYPERLINK("https://www.catalog.slsa.sa.gov.au/xrecord=b2062903")</f>
        <v>https://www.catalog.slsa.sa.gov.au/xrecord=b2062903</v>
      </c>
      <c r="D8513" t="s">
        <v>16831</v>
      </c>
      <c r="E8513" t="s">
        <v>26468</v>
      </c>
      <c r="F8513">
        <v>1962</v>
      </c>
      <c r="G8513" t="s">
        <v>16680</v>
      </c>
      <c r="H8513" t="s">
        <v>28117</v>
      </c>
      <c r="J8513" t="s">
        <v>26889</v>
      </c>
      <c r="K8513" s="2" t="str">
        <f>HYPERLINK("http://collections.slsa.sa.gov.au/mpcimg/14750/B14528.htm")</f>
        <v>http://collections.slsa.sa.gov.au/mpcimg/14750/B14528.htm</v>
      </c>
    </row>
    <row r="8514" spans="1:11" x14ac:dyDescent="0.25">
      <c r="A8514" t="s">
        <v>28118</v>
      </c>
      <c r="B8514" s="1" t="str">
        <f>HYPERLINK("https://www.catalog.slsa.sa.gov.au/record=b2062904")</f>
        <v>https://www.catalog.slsa.sa.gov.au/record=b2062904</v>
      </c>
      <c r="C8514" s="1" t="str">
        <f>HYPERLINK("https://www.catalog.slsa.sa.gov.au/xrecord=b2062904")</f>
        <v>https://www.catalog.slsa.sa.gov.au/xrecord=b2062904</v>
      </c>
      <c r="D8514" t="s">
        <v>16831</v>
      </c>
      <c r="E8514" t="s">
        <v>26468</v>
      </c>
      <c r="F8514">
        <v>1962</v>
      </c>
      <c r="G8514" t="s">
        <v>16680</v>
      </c>
      <c r="H8514" t="s">
        <v>28119</v>
      </c>
      <c r="J8514" t="s">
        <v>26889</v>
      </c>
      <c r="K8514" s="2" t="str">
        <f>HYPERLINK("http://collections.slsa.sa.gov.au/mpcimg/14750/B14598.htm")</f>
        <v>http://collections.slsa.sa.gov.au/mpcimg/14750/B14598.htm</v>
      </c>
    </row>
    <row r="8515" spans="1:11" x14ac:dyDescent="0.25">
      <c r="A8515" t="s">
        <v>28120</v>
      </c>
      <c r="B8515" s="1" t="str">
        <f>HYPERLINK("https://www.catalog.slsa.sa.gov.au/record=b2063166")</f>
        <v>https://www.catalog.slsa.sa.gov.au/record=b2063166</v>
      </c>
      <c r="C8515" s="1" t="str">
        <f>HYPERLINK("https://www.catalog.slsa.sa.gov.au/xrecord=b2063166")</f>
        <v>https://www.catalog.slsa.sa.gov.au/xrecord=b2063166</v>
      </c>
      <c r="D8515" t="s">
        <v>16831</v>
      </c>
      <c r="E8515" t="s">
        <v>24300</v>
      </c>
      <c r="F8515">
        <v>1962</v>
      </c>
      <c r="G8515" t="s">
        <v>16680</v>
      </c>
      <c r="H8515" t="s">
        <v>28121</v>
      </c>
      <c r="J8515" t="s">
        <v>21326</v>
      </c>
      <c r="K8515" s="2" t="str">
        <f>HYPERLINK("http://collections.slsa.sa.gov.au/mpcimg/14500/B14492.htm")</f>
        <v>http://collections.slsa.sa.gov.au/mpcimg/14500/B14492.htm</v>
      </c>
    </row>
    <row r="8516" spans="1:11" x14ac:dyDescent="0.25">
      <c r="A8516" t="s">
        <v>28122</v>
      </c>
      <c r="B8516" s="1" t="str">
        <f>HYPERLINK("https://www.catalog.slsa.sa.gov.au/record=b2064014")</f>
        <v>https://www.catalog.slsa.sa.gov.au/record=b2064014</v>
      </c>
      <c r="C8516" s="1" t="str">
        <f>HYPERLINK("https://www.catalog.slsa.sa.gov.au/xrecord=b2064014")</f>
        <v>https://www.catalog.slsa.sa.gov.au/xrecord=b2064014</v>
      </c>
      <c r="D8516" t="s">
        <v>16831</v>
      </c>
      <c r="E8516" t="s">
        <v>28123</v>
      </c>
      <c r="F8516">
        <v>1962</v>
      </c>
      <c r="G8516" t="s">
        <v>16680</v>
      </c>
      <c r="H8516" t="s">
        <v>28124</v>
      </c>
      <c r="J8516" t="s">
        <v>28125</v>
      </c>
      <c r="K8516" s="2" t="str">
        <f>HYPERLINK("http://collections.slsa.sa.gov.au/mpcimg/14500/B14483.htm")</f>
        <v>http://collections.slsa.sa.gov.au/mpcimg/14500/B14483.htm</v>
      </c>
    </row>
    <row r="8517" spans="1:11" x14ac:dyDescent="0.25">
      <c r="A8517" t="s">
        <v>28126</v>
      </c>
      <c r="B8517" s="1" t="str">
        <f>HYPERLINK("https://www.catalog.slsa.sa.gov.au/record=b2064267")</f>
        <v>https://www.catalog.slsa.sa.gov.au/record=b2064267</v>
      </c>
      <c r="C8517" s="1" t="str">
        <f>HYPERLINK("https://www.catalog.slsa.sa.gov.au/xrecord=b2064267")</f>
        <v>https://www.catalog.slsa.sa.gov.au/xrecord=b2064267</v>
      </c>
      <c r="D8517" t="s">
        <v>16831</v>
      </c>
      <c r="E8517" t="s">
        <v>28127</v>
      </c>
      <c r="F8517">
        <v>1962</v>
      </c>
      <c r="G8517" t="s">
        <v>16680</v>
      </c>
      <c r="H8517" t="s">
        <v>28128</v>
      </c>
      <c r="J8517" t="s">
        <v>28129</v>
      </c>
      <c r="K8517" s="2" t="str">
        <f>HYPERLINK("http://collections.slsa.sa.gov.au/mpcimg/14750/B14592.htm")</f>
        <v>http://collections.slsa.sa.gov.au/mpcimg/14750/B14592.htm</v>
      </c>
    </row>
    <row r="8518" spans="1:11" x14ac:dyDescent="0.25">
      <c r="A8518" t="s">
        <v>28130</v>
      </c>
      <c r="B8518" s="1" t="str">
        <f>HYPERLINK("https://www.catalog.slsa.sa.gov.au/record=b2064268")</f>
        <v>https://www.catalog.slsa.sa.gov.au/record=b2064268</v>
      </c>
      <c r="C8518" s="1" t="str">
        <f>HYPERLINK("https://www.catalog.slsa.sa.gov.au/xrecord=b2064268")</f>
        <v>https://www.catalog.slsa.sa.gov.au/xrecord=b2064268</v>
      </c>
      <c r="D8518" t="s">
        <v>16831</v>
      </c>
      <c r="E8518" t="s">
        <v>28127</v>
      </c>
      <c r="F8518">
        <v>1962</v>
      </c>
      <c r="G8518" t="s">
        <v>16680</v>
      </c>
      <c r="H8518" t="s">
        <v>28131</v>
      </c>
      <c r="J8518" t="s">
        <v>28129</v>
      </c>
      <c r="K8518" s="2" t="str">
        <f>HYPERLINK("http://collections.slsa.sa.gov.au/mpcimg/14750/B14593.htm")</f>
        <v>http://collections.slsa.sa.gov.au/mpcimg/14750/B14593.htm</v>
      </c>
    </row>
    <row r="8519" spans="1:11" x14ac:dyDescent="0.25">
      <c r="A8519" t="s">
        <v>28132</v>
      </c>
      <c r="B8519" s="1" t="str">
        <f>HYPERLINK("https://www.catalog.slsa.sa.gov.au/record=b2064298")</f>
        <v>https://www.catalog.slsa.sa.gov.au/record=b2064298</v>
      </c>
      <c r="C8519" s="1" t="str">
        <f>HYPERLINK("https://www.catalog.slsa.sa.gov.au/xrecord=b2064298")</f>
        <v>https://www.catalog.slsa.sa.gov.au/xrecord=b2064298</v>
      </c>
      <c r="D8519" t="s">
        <v>16831</v>
      </c>
      <c r="E8519" t="s">
        <v>25635</v>
      </c>
      <c r="F8519">
        <v>1962</v>
      </c>
      <c r="G8519" t="s">
        <v>16680</v>
      </c>
      <c r="H8519" t="s">
        <v>28133</v>
      </c>
      <c r="J8519" t="s">
        <v>28134</v>
      </c>
      <c r="K8519" s="2" t="str">
        <f>HYPERLINK("http://collections.slsa.sa.gov.au/mpcimg/14500/B14484.htm")</f>
        <v>http://collections.slsa.sa.gov.au/mpcimg/14500/B14484.htm</v>
      </c>
    </row>
    <row r="8520" spans="1:11" x14ac:dyDescent="0.25">
      <c r="A8520" t="s">
        <v>28135</v>
      </c>
      <c r="B8520" s="1" t="str">
        <f>HYPERLINK("https://www.catalog.slsa.sa.gov.au/record=b2064432")</f>
        <v>https://www.catalog.slsa.sa.gov.au/record=b2064432</v>
      </c>
      <c r="C8520" s="1" t="str">
        <f>HYPERLINK("https://www.catalog.slsa.sa.gov.au/xrecord=b2064432")</f>
        <v>https://www.catalog.slsa.sa.gov.au/xrecord=b2064432</v>
      </c>
      <c r="D8520" t="s">
        <v>16831</v>
      </c>
      <c r="E8520" t="s">
        <v>28136</v>
      </c>
      <c r="F8520">
        <v>1962</v>
      </c>
      <c r="G8520" t="s">
        <v>16680</v>
      </c>
      <c r="H8520" t="s">
        <v>28137</v>
      </c>
      <c r="J8520" t="s">
        <v>28138</v>
      </c>
      <c r="K8520" s="2" t="str">
        <f>HYPERLINK("http://collections.slsa.sa.gov.au/mpcimg/14750/B14612.htm")</f>
        <v>http://collections.slsa.sa.gov.au/mpcimg/14750/B14612.htm</v>
      </c>
    </row>
    <row r="8521" spans="1:11" x14ac:dyDescent="0.25">
      <c r="A8521" t="s">
        <v>28139</v>
      </c>
      <c r="B8521" s="1" t="str">
        <f>HYPERLINK("https://www.catalog.slsa.sa.gov.au/record=b2064764")</f>
        <v>https://www.catalog.slsa.sa.gov.au/record=b2064764</v>
      </c>
      <c r="C8521" s="1" t="str">
        <f>HYPERLINK("https://www.catalog.slsa.sa.gov.au/xrecord=b2064764")</f>
        <v>https://www.catalog.slsa.sa.gov.au/xrecord=b2064764</v>
      </c>
      <c r="D8521" t="s">
        <v>16831</v>
      </c>
      <c r="E8521" t="s">
        <v>27546</v>
      </c>
      <c r="F8521">
        <v>1962</v>
      </c>
      <c r="G8521" t="s">
        <v>16680</v>
      </c>
      <c r="H8521" t="s">
        <v>28140</v>
      </c>
      <c r="J8521" t="s">
        <v>27548</v>
      </c>
      <c r="K8521" s="2" t="str">
        <f>HYPERLINK("http://collections.slsa.sa.gov.au/mpcimg/14750/B14582.htm")</f>
        <v>http://collections.slsa.sa.gov.au/mpcimg/14750/B14582.htm</v>
      </c>
    </row>
    <row r="8522" spans="1:11" x14ac:dyDescent="0.25">
      <c r="A8522" t="s">
        <v>28141</v>
      </c>
      <c r="B8522" s="1" t="str">
        <f>HYPERLINK("https://www.catalog.slsa.sa.gov.au/record=b2064765")</f>
        <v>https://www.catalog.slsa.sa.gov.au/record=b2064765</v>
      </c>
      <c r="C8522" s="1" t="str">
        <f>HYPERLINK("https://www.catalog.slsa.sa.gov.au/xrecord=b2064765")</f>
        <v>https://www.catalog.slsa.sa.gov.au/xrecord=b2064765</v>
      </c>
      <c r="D8522" t="s">
        <v>16831</v>
      </c>
      <c r="E8522" t="s">
        <v>27546</v>
      </c>
      <c r="F8522">
        <v>1962</v>
      </c>
      <c r="G8522" t="s">
        <v>16680</v>
      </c>
      <c r="H8522" t="s">
        <v>28142</v>
      </c>
      <c r="J8522" t="s">
        <v>27548</v>
      </c>
      <c r="K8522" s="2" t="str">
        <f>HYPERLINK("http://collections.slsa.sa.gov.au/mpcimg/14750/B14583.htm")</f>
        <v>http://collections.slsa.sa.gov.au/mpcimg/14750/B14583.htm</v>
      </c>
    </row>
    <row r="8523" spans="1:11" x14ac:dyDescent="0.25">
      <c r="A8523" t="s">
        <v>28143</v>
      </c>
      <c r="B8523" s="1" t="str">
        <f>HYPERLINK("https://www.catalog.slsa.sa.gov.au/record=b2064766")</f>
        <v>https://www.catalog.slsa.sa.gov.au/record=b2064766</v>
      </c>
      <c r="C8523" s="1" t="str">
        <f>HYPERLINK("https://www.catalog.slsa.sa.gov.au/xrecord=b2064766")</f>
        <v>https://www.catalog.slsa.sa.gov.au/xrecord=b2064766</v>
      </c>
      <c r="D8523" t="s">
        <v>16831</v>
      </c>
      <c r="E8523" t="s">
        <v>26980</v>
      </c>
      <c r="F8523">
        <v>1962</v>
      </c>
      <c r="G8523" t="s">
        <v>16680</v>
      </c>
      <c r="H8523" t="s">
        <v>28144</v>
      </c>
      <c r="J8523" t="s">
        <v>27548</v>
      </c>
      <c r="K8523" s="2" t="str">
        <f>HYPERLINK("http://collections.slsa.sa.gov.au/mpcimg/14750/B14584.htm")</f>
        <v>http://collections.slsa.sa.gov.au/mpcimg/14750/B14584.htm</v>
      </c>
    </row>
    <row r="8524" spans="1:11" x14ac:dyDescent="0.25">
      <c r="A8524" t="s">
        <v>28145</v>
      </c>
      <c r="B8524" s="1" t="str">
        <f>HYPERLINK("https://www.catalog.slsa.sa.gov.au/record=b2067971")</f>
        <v>https://www.catalog.slsa.sa.gov.au/record=b2067971</v>
      </c>
      <c r="C8524" s="1" t="str">
        <f>HYPERLINK("https://www.catalog.slsa.sa.gov.au/xrecord=b2067971")</f>
        <v>https://www.catalog.slsa.sa.gov.au/xrecord=b2067971</v>
      </c>
      <c r="D8524" t="s">
        <v>16831</v>
      </c>
      <c r="E8524" t="s">
        <v>15656</v>
      </c>
      <c r="F8524">
        <v>1962</v>
      </c>
      <c r="G8524" t="s">
        <v>16680</v>
      </c>
      <c r="H8524" t="s">
        <v>28146</v>
      </c>
      <c r="J8524" t="s">
        <v>28147</v>
      </c>
      <c r="K8524" s="2" t="str">
        <f>HYPERLINK("http://collections.slsa.sa.gov.au/mpcimg/14500/B14485.htm")</f>
        <v>http://collections.slsa.sa.gov.au/mpcimg/14500/B14485.htm</v>
      </c>
    </row>
    <row r="8525" spans="1:11" x14ac:dyDescent="0.25">
      <c r="A8525" t="s">
        <v>28148</v>
      </c>
      <c r="B8525" s="1" t="str">
        <f>HYPERLINK("https://www.catalog.slsa.sa.gov.au/record=b2067972")</f>
        <v>https://www.catalog.slsa.sa.gov.au/record=b2067972</v>
      </c>
      <c r="C8525" s="1" t="str">
        <f>HYPERLINK("https://www.catalog.slsa.sa.gov.au/xrecord=b2067972")</f>
        <v>https://www.catalog.slsa.sa.gov.au/xrecord=b2067972</v>
      </c>
      <c r="D8525" t="s">
        <v>16831</v>
      </c>
      <c r="E8525" t="s">
        <v>15656</v>
      </c>
      <c r="F8525">
        <v>1962</v>
      </c>
      <c r="G8525" t="s">
        <v>15926</v>
      </c>
      <c r="H8525" t="s">
        <v>28149</v>
      </c>
      <c r="J8525" t="s">
        <v>28147</v>
      </c>
      <c r="K8525" s="2" t="str">
        <f>HYPERLINK("http://collections.slsa.sa.gov.au/mpcimg/15250/B15116.htm")</f>
        <v>http://collections.slsa.sa.gov.au/mpcimg/15250/B15116.htm</v>
      </c>
    </row>
    <row r="8526" spans="1:11" x14ac:dyDescent="0.25">
      <c r="A8526" t="s">
        <v>28150</v>
      </c>
      <c r="B8526" s="1" t="str">
        <f>HYPERLINK("https://www.catalog.slsa.sa.gov.au/record=b2067973")</f>
        <v>https://www.catalog.slsa.sa.gov.au/record=b2067973</v>
      </c>
      <c r="C8526" s="1" t="str">
        <f>HYPERLINK("https://www.catalog.slsa.sa.gov.au/xrecord=b2067973")</f>
        <v>https://www.catalog.slsa.sa.gov.au/xrecord=b2067973</v>
      </c>
      <c r="D8526" t="s">
        <v>16831</v>
      </c>
      <c r="E8526" t="s">
        <v>15656</v>
      </c>
      <c r="F8526">
        <v>1962</v>
      </c>
      <c r="G8526" t="s">
        <v>16680</v>
      </c>
      <c r="H8526" t="s">
        <v>28151</v>
      </c>
      <c r="J8526" t="s">
        <v>28147</v>
      </c>
      <c r="K8526" s="2" t="str">
        <f>HYPERLINK("http://collections.slsa.sa.gov.au/mpcimg/14500/B14486.htm")</f>
        <v>http://collections.slsa.sa.gov.au/mpcimg/14500/B14486.htm</v>
      </c>
    </row>
    <row r="8527" spans="1:11" x14ac:dyDescent="0.25">
      <c r="A8527" t="s">
        <v>28152</v>
      </c>
      <c r="B8527" s="1" t="str">
        <f>HYPERLINK("https://www.catalog.slsa.sa.gov.au/record=b2036984")</f>
        <v>https://www.catalog.slsa.sa.gov.au/record=b2036984</v>
      </c>
      <c r="C8527" s="1" t="str">
        <f>HYPERLINK("https://www.catalog.slsa.sa.gov.au/xrecord=b2036984")</f>
        <v>https://www.catalog.slsa.sa.gov.au/xrecord=b2036984</v>
      </c>
      <c r="D8527" t="s">
        <v>15039</v>
      </c>
      <c r="E8527" t="s">
        <v>28153</v>
      </c>
      <c r="F8527" t="s">
        <v>11903</v>
      </c>
      <c r="G8527" t="s">
        <v>28154</v>
      </c>
      <c r="H8527" t="s">
        <v>28155</v>
      </c>
      <c r="I8527" t="s">
        <v>28156</v>
      </c>
      <c r="J8527" t="s">
        <v>5399</v>
      </c>
      <c r="K8527" s="2" t="str">
        <f>HYPERLINK("http://collections.slsa.sa.gov.au/mpcimg/48750/B48575.htm")</f>
        <v>http://collections.slsa.sa.gov.au/mpcimg/48750/B48575.htm</v>
      </c>
    </row>
    <row r="8528" spans="1:11" x14ac:dyDescent="0.25">
      <c r="A8528" t="s">
        <v>28157</v>
      </c>
      <c r="B8528" s="1" t="str">
        <f>HYPERLINK("https://www.catalog.slsa.sa.gov.au/record=b2114487")</f>
        <v>https://www.catalog.slsa.sa.gov.au/record=b2114487</v>
      </c>
      <c r="C8528" s="1" t="str">
        <f>HYPERLINK("https://www.catalog.slsa.sa.gov.au/xrecord=b2114487")</f>
        <v>https://www.catalog.slsa.sa.gov.au/xrecord=b2114487</v>
      </c>
      <c r="E8528" t="s">
        <v>28158</v>
      </c>
      <c r="F8528" t="s">
        <v>11903</v>
      </c>
      <c r="G8528" t="s">
        <v>28159</v>
      </c>
      <c r="H8528" t="s">
        <v>28160</v>
      </c>
      <c r="I8528" t="s">
        <v>28161</v>
      </c>
      <c r="J8528" t="s">
        <v>14768</v>
      </c>
      <c r="K8528" s="2" t="str">
        <f>HYPERLINK("http://collections.slsa.sa.gov.au/mpcimg/69750/B69530_48.htm")</f>
        <v>http://collections.slsa.sa.gov.au/mpcimg/69750/B69530_48.htm</v>
      </c>
    </row>
    <row r="8529" spans="1:11" x14ac:dyDescent="0.25">
      <c r="A8529" t="s">
        <v>28162</v>
      </c>
      <c r="B8529" s="1" t="str">
        <f>HYPERLINK("https://www.catalog.slsa.sa.gov.au/record=b2054466")</f>
        <v>https://www.catalog.slsa.sa.gov.au/record=b2054466</v>
      </c>
      <c r="C8529" s="1" t="str">
        <f>HYPERLINK("https://www.catalog.slsa.sa.gov.au/xrecord=b2054466")</f>
        <v>https://www.catalog.slsa.sa.gov.au/xrecord=b2054466</v>
      </c>
      <c r="D8529" t="s">
        <v>16831</v>
      </c>
      <c r="E8529" t="s">
        <v>28163</v>
      </c>
      <c r="F8529">
        <v>1963</v>
      </c>
      <c r="G8529" t="s">
        <v>23958</v>
      </c>
      <c r="H8529" t="s">
        <v>28164</v>
      </c>
      <c r="I8529" t="s">
        <v>23972</v>
      </c>
      <c r="J8529" t="s">
        <v>23973</v>
      </c>
      <c r="K8529" s="2" t="str">
        <f>HYPERLINK("http://collections.slsa.sa.gov.au/mpcimg/15250/B15007.htm")</f>
        <v>http://collections.slsa.sa.gov.au/mpcimg/15250/B15007.htm</v>
      </c>
    </row>
    <row r="8530" spans="1:11" x14ac:dyDescent="0.25">
      <c r="A8530" t="s">
        <v>28165</v>
      </c>
      <c r="B8530" s="1" t="str">
        <f>HYPERLINK("https://www.catalog.slsa.sa.gov.au/record=b2054467")</f>
        <v>https://www.catalog.slsa.sa.gov.au/record=b2054467</v>
      </c>
      <c r="C8530" s="1" t="str">
        <f>HYPERLINK("https://www.catalog.slsa.sa.gov.au/xrecord=b2054467")</f>
        <v>https://www.catalog.slsa.sa.gov.au/xrecord=b2054467</v>
      </c>
      <c r="D8530" t="s">
        <v>16831</v>
      </c>
      <c r="E8530" t="s">
        <v>28163</v>
      </c>
      <c r="F8530">
        <v>1963</v>
      </c>
      <c r="G8530" t="s">
        <v>23958</v>
      </c>
      <c r="H8530" t="s">
        <v>28166</v>
      </c>
      <c r="I8530" t="s">
        <v>23972</v>
      </c>
      <c r="J8530" t="s">
        <v>23973</v>
      </c>
      <c r="K8530" s="2" t="str">
        <f>HYPERLINK("http://collections.slsa.sa.gov.au/mpcimg/15250/B15008.htm")</f>
        <v>http://collections.slsa.sa.gov.au/mpcimg/15250/B15008.htm</v>
      </c>
    </row>
    <row r="8531" spans="1:11" x14ac:dyDescent="0.25">
      <c r="A8531" t="s">
        <v>28167</v>
      </c>
      <c r="B8531" s="1" t="str">
        <f>HYPERLINK("https://www.catalog.slsa.sa.gov.au/record=b2055248")</f>
        <v>https://www.catalog.slsa.sa.gov.au/record=b2055248</v>
      </c>
      <c r="C8531" s="1" t="str">
        <f>HYPERLINK("https://www.catalog.slsa.sa.gov.au/xrecord=b2055248")</f>
        <v>https://www.catalog.slsa.sa.gov.au/xrecord=b2055248</v>
      </c>
      <c r="D8531" t="s">
        <v>16831</v>
      </c>
      <c r="E8531" t="s">
        <v>22732</v>
      </c>
      <c r="F8531">
        <v>1963</v>
      </c>
      <c r="G8531" t="s">
        <v>23958</v>
      </c>
      <c r="H8531" t="s">
        <v>28168</v>
      </c>
      <c r="J8531" t="s">
        <v>20897</v>
      </c>
      <c r="K8531" s="2" t="str">
        <f>HYPERLINK("http://collections.slsa.sa.gov.au/mpcimg/15250/B15005.htm")</f>
        <v>http://collections.slsa.sa.gov.au/mpcimg/15250/B15005.htm</v>
      </c>
    </row>
    <row r="8532" spans="1:11" x14ac:dyDescent="0.25">
      <c r="A8532" t="s">
        <v>28169</v>
      </c>
      <c r="B8532" s="1" t="str">
        <f>HYPERLINK("https://www.catalog.slsa.sa.gov.au/record=b2055701")</f>
        <v>https://www.catalog.slsa.sa.gov.au/record=b2055701</v>
      </c>
      <c r="C8532" s="1" t="str">
        <f>HYPERLINK("https://www.catalog.slsa.sa.gov.au/xrecord=b2055701")</f>
        <v>https://www.catalog.slsa.sa.gov.au/xrecord=b2055701</v>
      </c>
      <c r="D8532" t="s">
        <v>16831</v>
      </c>
      <c r="E8532" t="s">
        <v>20904</v>
      </c>
      <c r="F8532">
        <v>1963</v>
      </c>
      <c r="G8532" t="s">
        <v>28170</v>
      </c>
      <c r="H8532" t="s">
        <v>28171</v>
      </c>
      <c r="J8532" t="s">
        <v>25292</v>
      </c>
      <c r="K8532" s="2" t="str">
        <f>HYPERLINK("http://collections.slsa.sa.gov.au/mpcimg/15250/B15091.htm")</f>
        <v>http://collections.slsa.sa.gov.au/mpcimg/15250/B15091.htm</v>
      </c>
    </row>
    <row r="8533" spans="1:11" x14ac:dyDescent="0.25">
      <c r="A8533" t="s">
        <v>28172</v>
      </c>
      <c r="B8533" s="1" t="str">
        <f>HYPERLINK("https://www.catalog.slsa.sa.gov.au/record=b2055702")</f>
        <v>https://www.catalog.slsa.sa.gov.au/record=b2055702</v>
      </c>
      <c r="C8533" s="1" t="str">
        <f>HYPERLINK("https://www.catalog.slsa.sa.gov.au/xrecord=b2055702")</f>
        <v>https://www.catalog.slsa.sa.gov.au/xrecord=b2055702</v>
      </c>
      <c r="D8533" t="s">
        <v>16831</v>
      </c>
      <c r="E8533" t="s">
        <v>20904</v>
      </c>
      <c r="F8533">
        <v>1963</v>
      </c>
      <c r="G8533" t="s">
        <v>28170</v>
      </c>
      <c r="H8533" t="s">
        <v>28173</v>
      </c>
      <c r="J8533" t="s">
        <v>25292</v>
      </c>
      <c r="K8533" s="2" t="str">
        <f>HYPERLINK("http://collections.slsa.sa.gov.au/mpcimg/15250/B15092.htm")</f>
        <v>http://collections.slsa.sa.gov.au/mpcimg/15250/B15092.htm</v>
      </c>
    </row>
    <row r="8534" spans="1:11" x14ac:dyDescent="0.25">
      <c r="A8534" t="s">
        <v>28174</v>
      </c>
      <c r="B8534" s="1" t="str">
        <f>HYPERLINK("https://www.catalog.slsa.sa.gov.au/record=b2056947")</f>
        <v>https://www.catalog.slsa.sa.gov.au/record=b2056947</v>
      </c>
      <c r="C8534" s="1" t="str">
        <f>HYPERLINK("https://www.catalog.slsa.sa.gov.au/xrecord=b2056947")</f>
        <v>https://www.catalog.slsa.sa.gov.au/xrecord=b2056947</v>
      </c>
      <c r="D8534" t="s">
        <v>16831</v>
      </c>
      <c r="E8534" t="s">
        <v>28175</v>
      </c>
      <c r="F8534">
        <v>1963</v>
      </c>
      <c r="G8534" t="s">
        <v>16680</v>
      </c>
      <c r="H8534" t="s">
        <v>28176</v>
      </c>
      <c r="I8534" t="s">
        <v>28177</v>
      </c>
      <c r="J8534" t="s">
        <v>24031</v>
      </c>
      <c r="K8534" s="2" t="str">
        <f>HYPERLINK("http://collections.slsa.sa.gov.au/mpcimg/14750/B14631.htm")</f>
        <v>http://collections.slsa.sa.gov.au/mpcimg/14750/B14631.htm</v>
      </c>
    </row>
    <row r="8535" spans="1:11" x14ac:dyDescent="0.25">
      <c r="A8535" t="s">
        <v>28178</v>
      </c>
      <c r="B8535" s="1" t="str">
        <f>HYPERLINK("https://www.catalog.slsa.sa.gov.au/record=b2056948")</f>
        <v>https://www.catalog.slsa.sa.gov.au/record=b2056948</v>
      </c>
      <c r="C8535" s="1" t="str">
        <f>HYPERLINK("https://www.catalog.slsa.sa.gov.au/xrecord=b2056948")</f>
        <v>https://www.catalog.slsa.sa.gov.au/xrecord=b2056948</v>
      </c>
      <c r="D8535" t="s">
        <v>16831</v>
      </c>
      <c r="E8535" t="s">
        <v>25308</v>
      </c>
      <c r="F8535">
        <v>1963</v>
      </c>
      <c r="G8535" t="s">
        <v>23958</v>
      </c>
      <c r="H8535" t="s">
        <v>28179</v>
      </c>
      <c r="J8535" t="s">
        <v>24031</v>
      </c>
      <c r="K8535" s="2" t="str">
        <f>HYPERLINK("http://collections.slsa.sa.gov.au/mpcimg/15250/B15040.htm")</f>
        <v>http://collections.slsa.sa.gov.au/mpcimg/15250/B15040.htm</v>
      </c>
    </row>
    <row r="8536" spans="1:11" x14ac:dyDescent="0.25">
      <c r="A8536" t="s">
        <v>28180</v>
      </c>
      <c r="B8536" s="1" t="str">
        <f>HYPERLINK("https://www.catalog.slsa.sa.gov.au/record=b2057066")</f>
        <v>https://www.catalog.slsa.sa.gov.au/record=b2057066</v>
      </c>
      <c r="C8536" s="1" t="str">
        <f>HYPERLINK("https://www.catalog.slsa.sa.gov.au/xrecord=b2057066")</f>
        <v>https://www.catalog.slsa.sa.gov.au/xrecord=b2057066</v>
      </c>
      <c r="D8536" t="s">
        <v>16831</v>
      </c>
      <c r="E8536" t="s">
        <v>24033</v>
      </c>
      <c r="F8536">
        <v>1963</v>
      </c>
      <c r="G8536" t="s">
        <v>16680</v>
      </c>
      <c r="H8536" t="s">
        <v>28181</v>
      </c>
      <c r="J8536" t="s">
        <v>24035</v>
      </c>
      <c r="K8536" s="2" t="str">
        <f>HYPERLINK("http://collections.slsa.sa.gov.au/mpcimg/15000/B14761.htm")</f>
        <v>http://collections.slsa.sa.gov.au/mpcimg/15000/B14761.htm</v>
      </c>
    </row>
    <row r="8537" spans="1:11" x14ac:dyDescent="0.25">
      <c r="A8537" t="s">
        <v>28182</v>
      </c>
      <c r="B8537" s="1" t="str">
        <f>HYPERLINK("https://www.catalog.slsa.sa.gov.au/record=b2057067")</f>
        <v>https://www.catalog.slsa.sa.gov.au/record=b2057067</v>
      </c>
      <c r="C8537" s="1" t="str">
        <f>HYPERLINK("https://www.catalog.slsa.sa.gov.au/xrecord=b2057067")</f>
        <v>https://www.catalog.slsa.sa.gov.au/xrecord=b2057067</v>
      </c>
      <c r="D8537" t="s">
        <v>16831</v>
      </c>
      <c r="E8537" t="s">
        <v>28183</v>
      </c>
      <c r="F8537">
        <v>1963</v>
      </c>
      <c r="G8537" t="s">
        <v>16680</v>
      </c>
      <c r="H8537" t="s">
        <v>28184</v>
      </c>
      <c r="J8537" t="s">
        <v>24035</v>
      </c>
      <c r="K8537" s="2" t="str">
        <f>HYPERLINK("http://collections.slsa.sa.gov.au/mpcimg/15000/B14762.htm")</f>
        <v>http://collections.slsa.sa.gov.au/mpcimg/15000/B14762.htm</v>
      </c>
    </row>
    <row r="8538" spans="1:11" x14ac:dyDescent="0.25">
      <c r="A8538" t="s">
        <v>28185</v>
      </c>
      <c r="B8538" s="1" t="str">
        <f>HYPERLINK("https://www.catalog.slsa.sa.gov.au/record=b2057810")</f>
        <v>https://www.catalog.slsa.sa.gov.au/record=b2057810</v>
      </c>
      <c r="C8538" s="1" t="str">
        <f>HYPERLINK("https://www.catalog.slsa.sa.gov.au/xrecord=b2057810")</f>
        <v>https://www.catalog.slsa.sa.gov.au/xrecord=b2057810</v>
      </c>
      <c r="D8538" t="s">
        <v>16831</v>
      </c>
      <c r="E8538" t="s">
        <v>22822</v>
      </c>
      <c r="F8538">
        <v>1963</v>
      </c>
      <c r="G8538" t="s">
        <v>16680</v>
      </c>
      <c r="H8538" t="s">
        <v>28186</v>
      </c>
      <c r="J8538" t="s">
        <v>26634</v>
      </c>
      <c r="K8538" s="2" t="str">
        <f>HYPERLINK("http://collections.slsa.sa.gov.au/mpcimg/15000/B14862.htm")</f>
        <v>http://collections.slsa.sa.gov.au/mpcimg/15000/B14862.htm</v>
      </c>
    </row>
    <row r="8539" spans="1:11" x14ac:dyDescent="0.25">
      <c r="A8539" t="s">
        <v>28187</v>
      </c>
      <c r="B8539" s="1" t="str">
        <f>HYPERLINK("https://www.catalog.slsa.sa.gov.au/record=b2057811")</f>
        <v>https://www.catalog.slsa.sa.gov.au/record=b2057811</v>
      </c>
      <c r="C8539" s="1" t="str">
        <f>HYPERLINK("https://www.catalog.slsa.sa.gov.au/xrecord=b2057811")</f>
        <v>https://www.catalog.slsa.sa.gov.au/xrecord=b2057811</v>
      </c>
      <c r="D8539" t="s">
        <v>16831</v>
      </c>
      <c r="E8539" t="s">
        <v>22822</v>
      </c>
      <c r="F8539">
        <v>1963</v>
      </c>
      <c r="G8539" t="s">
        <v>16680</v>
      </c>
      <c r="H8539" t="s">
        <v>28188</v>
      </c>
      <c r="J8539" t="s">
        <v>26634</v>
      </c>
      <c r="K8539" s="2" t="str">
        <f>HYPERLINK("http://collections.slsa.sa.gov.au/mpcimg/15000/B14863.htm")</f>
        <v>http://collections.slsa.sa.gov.au/mpcimg/15000/B14863.htm</v>
      </c>
    </row>
    <row r="8540" spans="1:11" x14ac:dyDescent="0.25">
      <c r="A8540" t="s">
        <v>28189</v>
      </c>
      <c r="B8540" s="1" t="str">
        <f>HYPERLINK("https://www.catalog.slsa.sa.gov.au/record=b2057911")</f>
        <v>https://www.catalog.slsa.sa.gov.au/record=b2057911</v>
      </c>
      <c r="C8540" s="1" t="str">
        <f>HYPERLINK("https://www.catalog.slsa.sa.gov.au/xrecord=b2057911")</f>
        <v>https://www.catalog.slsa.sa.gov.au/xrecord=b2057911</v>
      </c>
      <c r="D8540" t="s">
        <v>16831</v>
      </c>
      <c r="E8540" t="s">
        <v>16796</v>
      </c>
      <c r="F8540">
        <v>1963</v>
      </c>
      <c r="G8540" t="s">
        <v>16680</v>
      </c>
      <c r="H8540" t="s">
        <v>28190</v>
      </c>
      <c r="J8540" t="s">
        <v>20962</v>
      </c>
      <c r="K8540" s="2" t="str">
        <f>HYPERLINK("http://collections.slsa.sa.gov.au/mpcimg/15000/B14859.htm")</f>
        <v>http://collections.slsa.sa.gov.au/mpcimg/15000/B14859.htm</v>
      </c>
    </row>
    <row r="8541" spans="1:11" x14ac:dyDescent="0.25">
      <c r="A8541" t="s">
        <v>28191</v>
      </c>
      <c r="B8541" s="1" t="str">
        <f>HYPERLINK("https://www.catalog.slsa.sa.gov.au/record=b2058146")</f>
        <v>https://www.catalog.slsa.sa.gov.au/record=b2058146</v>
      </c>
      <c r="C8541" s="1" t="str">
        <f>HYPERLINK("https://www.catalog.slsa.sa.gov.au/xrecord=b2058146")</f>
        <v>https://www.catalog.slsa.sa.gov.au/xrecord=b2058146</v>
      </c>
      <c r="D8541" t="s">
        <v>16831</v>
      </c>
      <c r="E8541" t="s">
        <v>16771</v>
      </c>
      <c r="F8541">
        <v>1963</v>
      </c>
      <c r="G8541" t="s">
        <v>16680</v>
      </c>
      <c r="H8541" t="s">
        <v>28192</v>
      </c>
      <c r="J8541" t="s">
        <v>16808</v>
      </c>
      <c r="K8541" s="2" t="str">
        <f>HYPERLINK("http://collections.slsa.sa.gov.au/mpcimg/15000/B14861.htm")</f>
        <v>http://collections.slsa.sa.gov.au/mpcimg/15000/B14861.htm</v>
      </c>
    </row>
    <row r="8542" spans="1:11" x14ac:dyDescent="0.25">
      <c r="A8542" t="s">
        <v>28193</v>
      </c>
      <c r="B8542" s="1" t="str">
        <f>HYPERLINK("https://www.catalog.slsa.sa.gov.au/record=b2058359")</f>
        <v>https://www.catalog.slsa.sa.gov.au/record=b2058359</v>
      </c>
      <c r="C8542" s="1" t="str">
        <f>HYPERLINK("https://www.catalog.slsa.sa.gov.au/xrecord=b2058359")</f>
        <v>https://www.catalog.slsa.sa.gov.au/xrecord=b2058359</v>
      </c>
      <c r="D8542" t="s">
        <v>16831</v>
      </c>
      <c r="E8542" t="s">
        <v>20970</v>
      </c>
      <c r="F8542">
        <v>1963</v>
      </c>
      <c r="G8542" t="s">
        <v>16680</v>
      </c>
      <c r="H8542" t="s">
        <v>28194</v>
      </c>
      <c r="J8542" t="s">
        <v>28195</v>
      </c>
      <c r="K8542" s="2" t="str">
        <f>HYPERLINK("http://collections.slsa.sa.gov.au/mpcimg/15000/B14853.htm")</f>
        <v>http://collections.slsa.sa.gov.au/mpcimg/15000/B14853.htm</v>
      </c>
    </row>
    <row r="8543" spans="1:11" x14ac:dyDescent="0.25">
      <c r="A8543" t="s">
        <v>28196</v>
      </c>
      <c r="B8543" s="1" t="str">
        <f>HYPERLINK("https://www.catalog.slsa.sa.gov.au/record=b2058360")</f>
        <v>https://www.catalog.slsa.sa.gov.au/record=b2058360</v>
      </c>
      <c r="C8543" s="1" t="str">
        <f>HYPERLINK("https://www.catalog.slsa.sa.gov.au/xrecord=b2058360")</f>
        <v>https://www.catalog.slsa.sa.gov.au/xrecord=b2058360</v>
      </c>
      <c r="D8543" t="s">
        <v>16831</v>
      </c>
      <c r="E8543" t="s">
        <v>20970</v>
      </c>
      <c r="F8543">
        <v>1963</v>
      </c>
      <c r="G8543" t="s">
        <v>16680</v>
      </c>
      <c r="H8543" t="s">
        <v>28194</v>
      </c>
      <c r="J8543" t="s">
        <v>28195</v>
      </c>
      <c r="K8543" s="2" t="str">
        <f>HYPERLINK("http://collections.slsa.sa.gov.au/mpcimg/15000/B14854.htm")</f>
        <v>http://collections.slsa.sa.gov.au/mpcimg/15000/B14854.htm</v>
      </c>
    </row>
    <row r="8544" spans="1:11" x14ac:dyDescent="0.25">
      <c r="A8544" t="s">
        <v>28197</v>
      </c>
      <c r="B8544" s="1" t="str">
        <f>HYPERLINK("https://www.catalog.slsa.sa.gov.au/record=b2058749")</f>
        <v>https://www.catalog.slsa.sa.gov.au/record=b2058749</v>
      </c>
      <c r="C8544" s="1" t="str">
        <f>HYPERLINK("https://www.catalog.slsa.sa.gov.au/xrecord=b2058749")</f>
        <v>https://www.catalog.slsa.sa.gov.au/xrecord=b2058749</v>
      </c>
      <c r="D8544" t="s">
        <v>16831</v>
      </c>
      <c r="E8544" t="s">
        <v>16796</v>
      </c>
      <c r="F8544">
        <v>1963</v>
      </c>
      <c r="G8544" t="s">
        <v>16680</v>
      </c>
      <c r="H8544" t="s">
        <v>28198</v>
      </c>
      <c r="J8544" t="s">
        <v>20994</v>
      </c>
      <c r="K8544" s="2" t="str">
        <f>HYPERLINK("http://collections.slsa.sa.gov.au/mpcimg/15000/B14883.htm")</f>
        <v>http://collections.slsa.sa.gov.au/mpcimg/15000/B14883.htm</v>
      </c>
    </row>
    <row r="8545" spans="1:11" x14ac:dyDescent="0.25">
      <c r="A8545" t="s">
        <v>28199</v>
      </c>
      <c r="B8545" s="1" t="str">
        <f>HYPERLINK("https://www.catalog.slsa.sa.gov.au/record=b2059087")</f>
        <v>https://www.catalog.slsa.sa.gov.au/record=b2059087</v>
      </c>
      <c r="C8545" s="1" t="str">
        <f>HYPERLINK("https://www.catalog.slsa.sa.gov.au/xrecord=b2059087")</f>
        <v>https://www.catalog.slsa.sa.gov.au/xrecord=b2059087</v>
      </c>
      <c r="D8545" t="s">
        <v>16831</v>
      </c>
      <c r="E8545" t="s">
        <v>15191</v>
      </c>
      <c r="F8545">
        <v>1963</v>
      </c>
      <c r="G8545" t="s">
        <v>16680</v>
      </c>
      <c r="H8545" t="s">
        <v>28200</v>
      </c>
      <c r="J8545" t="s">
        <v>21021</v>
      </c>
      <c r="K8545" s="2" t="str">
        <f>HYPERLINK("http://collections.slsa.sa.gov.au/mpcimg/15000/B14868.htm")</f>
        <v>http://collections.slsa.sa.gov.au/mpcimg/15000/B14868.htm</v>
      </c>
    </row>
    <row r="8546" spans="1:11" x14ac:dyDescent="0.25">
      <c r="A8546" t="s">
        <v>28201</v>
      </c>
      <c r="B8546" s="1" t="str">
        <f>HYPERLINK("https://www.catalog.slsa.sa.gov.au/record=b2059299")</f>
        <v>https://www.catalog.slsa.sa.gov.au/record=b2059299</v>
      </c>
      <c r="C8546" s="1" t="str">
        <f>HYPERLINK("https://www.catalog.slsa.sa.gov.au/xrecord=b2059299")</f>
        <v>https://www.catalog.slsa.sa.gov.au/xrecord=b2059299</v>
      </c>
      <c r="D8546" t="s">
        <v>16831</v>
      </c>
      <c r="E8546" t="s">
        <v>28202</v>
      </c>
      <c r="F8546">
        <v>1963</v>
      </c>
      <c r="G8546" t="s">
        <v>16680</v>
      </c>
      <c r="H8546" t="s">
        <v>28203</v>
      </c>
      <c r="J8546" t="s">
        <v>22841</v>
      </c>
      <c r="K8546" s="2" t="str">
        <f>HYPERLINK("http://collections.slsa.sa.gov.au/mpcimg/15000/B14872.htm")</f>
        <v>http://collections.slsa.sa.gov.au/mpcimg/15000/B14872.htm</v>
      </c>
    </row>
    <row r="8547" spans="1:11" x14ac:dyDescent="0.25">
      <c r="A8547" t="s">
        <v>28204</v>
      </c>
      <c r="B8547" s="1" t="str">
        <f>HYPERLINK("https://www.catalog.slsa.sa.gov.au/record=b2059365")</f>
        <v>https://www.catalog.slsa.sa.gov.au/record=b2059365</v>
      </c>
      <c r="C8547" s="1" t="str">
        <f>HYPERLINK("https://www.catalog.slsa.sa.gov.au/xrecord=b2059365")</f>
        <v>https://www.catalog.slsa.sa.gov.au/xrecord=b2059365</v>
      </c>
      <c r="D8547" t="s">
        <v>16831</v>
      </c>
      <c r="E8547" t="s">
        <v>20096</v>
      </c>
      <c r="F8547">
        <v>1963</v>
      </c>
      <c r="G8547" t="s">
        <v>16680</v>
      </c>
      <c r="H8547" t="s">
        <v>28205</v>
      </c>
      <c r="J8547" t="s">
        <v>27321</v>
      </c>
      <c r="K8547" s="2" t="str">
        <f>HYPERLINK("http://collections.slsa.sa.gov.au/mpcimg/15000/B14777.htm")</f>
        <v>http://collections.slsa.sa.gov.au/mpcimg/15000/B14777.htm</v>
      </c>
    </row>
    <row r="8548" spans="1:11" x14ac:dyDescent="0.25">
      <c r="A8548" t="s">
        <v>28206</v>
      </c>
      <c r="B8548" s="1" t="str">
        <f>HYPERLINK("https://www.catalog.slsa.sa.gov.au/record=b2059366")</f>
        <v>https://www.catalog.slsa.sa.gov.au/record=b2059366</v>
      </c>
      <c r="C8548" s="1" t="str">
        <f>HYPERLINK("https://www.catalog.slsa.sa.gov.au/xrecord=b2059366")</f>
        <v>https://www.catalog.slsa.sa.gov.au/xrecord=b2059366</v>
      </c>
      <c r="D8548" t="s">
        <v>16831</v>
      </c>
      <c r="E8548" t="s">
        <v>20096</v>
      </c>
      <c r="F8548">
        <v>1963</v>
      </c>
      <c r="G8548" t="s">
        <v>16680</v>
      </c>
      <c r="H8548" t="s">
        <v>28207</v>
      </c>
      <c r="J8548" t="s">
        <v>27321</v>
      </c>
      <c r="K8548" s="2" t="str">
        <f>HYPERLINK("http://collections.slsa.sa.gov.au/mpcimg/15000/B14778.htm")</f>
        <v>http://collections.slsa.sa.gov.au/mpcimg/15000/B14778.htm</v>
      </c>
    </row>
    <row r="8549" spans="1:11" x14ac:dyDescent="0.25">
      <c r="A8549" t="s">
        <v>28208</v>
      </c>
      <c r="B8549" s="1" t="str">
        <f>HYPERLINK("https://www.catalog.slsa.sa.gov.au/record=b2059452")</f>
        <v>https://www.catalog.slsa.sa.gov.au/record=b2059452</v>
      </c>
      <c r="C8549" s="1" t="str">
        <f>HYPERLINK("https://www.catalog.slsa.sa.gov.au/xrecord=b2059452")</f>
        <v>https://www.catalog.slsa.sa.gov.au/xrecord=b2059452</v>
      </c>
      <c r="D8549" t="s">
        <v>16831</v>
      </c>
      <c r="E8549" t="s">
        <v>20096</v>
      </c>
      <c r="F8549">
        <v>1963</v>
      </c>
      <c r="G8549" t="s">
        <v>16680</v>
      </c>
      <c r="H8549" t="s">
        <v>28209</v>
      </c>
      <c r="J8549" t="s">
        <v>24187</v>
      </c>
      <c r="K8549" s="2" t="str">
        <f>HYPERLINK("http://collections.slsa.sa.gov.au/mpcimg/15000/B14769.htm")</f>
        <v>http://collections.slsa.sa.gov.au/mpcimg/15000/B14769.htm</v>
      </c>
    </row>
    <row r="8550" spans="1:11" x14ac:dyDescent="0.25">
      <c r="A8550" t="s">
        <v>28210</v>
      </c>
      <c r="B8550" s="1" t="str">
        <f>HYPERLINK("https://www.catalog.slsa.sa.gov.au/record=b2059643")</f>
        <v>https://www.catalog.slsa.sa.gov.au/record=b2059643</v>
      </c>
      <c r="C8550" s="1" t="str">
        <f>HYPERLINK("https://www.catalog.slsa.sa.gov.au/xrecord=b2059643")</f>
        <v>https://www.catalog.slsa.sa.gov.au/xrecord=b2059643</v>
      </c>
      <c r="D8550" t="s">
        <v>16831</v>
      </c>
      <c r="E8550" t="s">
        <v>28211</v>
      </c>
      <c r="F8550">
        <v>1963</v>
      </c>
      <c r="G8550" t="s">
        <v>16792</v>
      </c>
      <c r="H8550" t="s">
        <v>28212</v>
      </c>
      <c r="J8550" t="s">
        <v>22854</v>
      </c>
      <c r="K8550" s="2" t="str">
        <f>HYPERLINK("http://collections.slsa.sa.gov.au/mpcimg/15500/B15296.htm")</f>
        <v>http://collections.slsa.sa.gov.au/mpcimg/15500/B15296.htm</v>
      </c>
    </row>
    <row r="8551" spans="1:11" x14ac:dyDescent="0.25">
      <c r="A8551" t="s">
        <v>28213</v>
      </c>
      <c r="B8551" s="1" t="str">
        <f>HYPERLINK("https://www.catalog.slsa.sa.gov.au/record=b2059718")</f>
        <v>https://www.catalog.slsa.sa.gov.au/record=b2059718</v>
      </c>
      <c r="C8551" s="1" t="str">
        <f>HYPERLINK("https://www.catalog.slsa.sa.gov.au/xrecord=b2059718")</f>
        <v>https://www.catalog.slsa.sa.gov.au/xrecord=b2059718</v>
      </c>
      <c r="D8551" t="s">
        <v>16831</v>
      </c>
      <c r="E8551" t="s">
        <v>15191</v>
      </c>
      <c r="F8551">
        <v>1963</v>
      </c>
      <c r="G8551" t="s">
        <v>28170</v>
      </c>
      <c r="H8551" t="s">
        <v>28214</v>
      </c>
      <c r="J8551" t="s">
        <v>24243</v>
      </c>
      <c r="K8551" s="2" t="str">
        <f>HYPERLINK("http://collections.slsa.sa.gov.au/mpcimg/15250/B15102.htm")</f>
        <v>http://collections.slsa.sa.gov.au/mpcimg/15250/B15102.htm</v>
      </c>
    </row>
    <row r="8552" spans="1:11" x14ac:dyDescent="0.25">
      <c r="A8552" t="s">
        <v>28215</v>
      </c>
      <c r="B8552" s="1" t="str">
        <f>HYPERLINK("https://www.catalog.slsa.sa.gov.au/record=b2059862")</f>
        <v>https://www.catalog.slsa.sa.gov.au/record=b2059862</v>
      </c>
      <c r="C8552" s="1" t="str">
        <f>HYPERLINK("https://www.catalog.slsa.sa.gov.au/xrecord=b2059862")</f>
        <v>https://www.catalog.slsa.sa.gov.au/xrecord=b2059862</v>
      </c>
      <c r="D8552" t="s">
        <v>16831</v>
      </c>
      <c r="E8552" t="s">
        <v>28216</v>
      </c>
      <c r="F8552">
        <v>1963</v>
      </c>
      <c r="G8552" t="s">
        <v>16792</v>
      </c>
      <c r="H8552" t="s">
        <v>28217</v>
      </c>
      <c r="I8552" t="s">
        <v>28218</v>
      </c>
      <c r="J8552" t="s">
        <v>25398</v>
      </c>
      <c r="K8552" s="2" t="str">
        <f>HYPERLINK("http://collections.slsa.sa.gov.au/mpcimg/15500/B15307.htm")</f>
        <v>http://collections.slsa.sa.gov.au/mpcimg/15500/B15307.htm</v>
      </c>
    </row>
    <row r="8553" spans="1:11" x14ac:dyDescent="0.25">
      <c r="A8553" t="s">
        <v>28219</v>
      </c>
      <c r="B8553" s="1" t="str">
        <f>HYPERLINK("https://www.catalog.slsa.sa.gov.au/record=b2059870")</f>
        <v>https://www.catalog.slsa.sa.gov.au/record=b2059870</v>
      </c>
      <c r="C8553" s="1" t="str">
        <f>HYPERLINK("https://www.catalog.slsa.sa.gov.au/xrecord=b2059870")</f>
        <v>https://www.catalog.slsa.sa.gov.au/xrecord=b2059870</v>
      </c>
      <c r="D8553" t="s">
        <v>16831</v>
      </c>
      <c r="E8553" t="s">
        <v>15191</v>
      </c>
      <c r="F8553">
        <v>1963</v>
      </c>
      <c r="G8553" t="s">
        <v>16680</v>
      </c>
      <c r="H8553" t="s">
        <v>28220</v>
      </c>
      <c r="J8553" t="s">
        <v>25924</v>
      </c>
      <c r="K8553" s="2" t="str">
        <f>HYPERLINK("http://collections.slsa.sa.gov.au/mpcimg/14750/B14640.htm")</f>
        <v>http://collections.slsa.sa.gov.au/mpcimg/14750/B14640.htm</v>
      </c>
    </row>
    <row r="8554" spans="1:11" x14ac:dyDescent="0.25">
      <c r="A8554" t="s">
        <v>28221</v>
      </c>
      <c r="B8554" s="1" t="str">
        <f>HYPERLINK("https://www.catalog.slsa.sa.gov.au/record=b2059871")</f>
        <v>https://www.catalog.slsa.sa.gov.au/record=b2059871</v>
      </c>
      <c r="C8554" s="1" t="str">
        <f>HYPERLINK("https://www.catalog.slsa.sa.gov.au/xrecord=b2059871")</f>
        <v>https://www.catalog.slsa.sa.gov.au/xrecord=b2059871</v>
      </c>
      <c r="D8554" t="s">
        <v>16831</v>
      </c>
      <c r="E8554" t="s">
        <v>15191</v>
      </c>
      <c r="F8554">
        <v>1963</v>
      </c>
      <c r="G8554" t="s">
        <v>16680</v>
      </c>
      <c r="H8554" t="s">
        <v>28222</v>
      </c>
      <c r="J8554" t="s">
        <v>25924</v>
      </c>
      <c r="K8554" s="2" t="str">
        <f>HYPERLINK("http://collections.slsa.sa.gov.au/mpcimg/14750/B14641.htm")</f>
        <v>http://collections.slsa.sa.gov.au/mpcimg/14750/B14641.htm</v>
      </c>
    </row>
    <row r="8555" spans="1:11" x14ac:dyDescent="0.25">
      <c r="A8555" t="s">
        <v>28223</v>
      </c>
      <c r="B8555" s="1" t="str">
        <f>HYPERLINK("https://www.catalog.slsa.sa.gov.au/record=b2060123")</f>
        <v>https://www.catalog.slsa.sa.gov.au/record=b2060123</v>
      </c>
      <c r="C8555" s="1" t="str">
        <f>HYPERLINK("https://www.catalog.slsa.sa.gov.au/xrecord=b2060123")</f>
        <v>https://www.catalog.slsa.sa.gov.au/xrecord=b2060123</v>
      </c>
      <c r="D8555" t="s">
        <v>16831</v>
      </c>
      <c r="E8555" t="s">
        <v>17132</v>
      </c>
      <c r="F8555">
        <v>1963</v>
      </c>
      <c r="G8555" t="s">
        <v>23958</v>
      </c>
      <c r="H8555" t="s">
        <v>28224</v>
      </c>
      <c r="J8555" t="s">
        <v>21063</v>
      </c>
      <c r="K8555" s="2" t="str">
        <f>HYPERLINK("http://collections.slsa.sa.gov.au/mpcimg/15250/B15010.htm")</f>
        <v>http://collections.slsa.sa.gov.au/mpcimg/15250/B15010.htm</v>
      </c>
    </row>
    <row r="8556" spans="1:11" x14ac:dyDescent="0.25">
      <c r="A8556" t="s">
        <v>28225</v>
      </c>
      <c r="B8556" s="1" t="str">
        <f>HYPERLINK("https://www.catalog.slsa.sa.gov.au/record=b2060157")</f>
        <v>https://www.catalog.slsa.sa.gov.au/record=b2060157</v>
      </c>
      <c r="C8556" s="1" t="str">
        <f>HYPERLINK("https://www.catalog.slsa.sa.gov.au/xrecord=b2060157")</f>
        <v>https://www.catalog.slsa.sa.gov.au/xrecord=b2060157</v>
      </c>
      <c r="D8556" t="s">
        <v>16831</v>
      </c>
      <c r="E8556" t="s">
        <v>24227</v>
      </c>
      <c r="F8556">
        <v>1963</v>
      </c>
      <c r="G8556" t="s">
        <v>28170</v>
      </c>
      <c r="H8556" t="s">
        <v>28226</v>
      </c>
      <c r="J8556" t="s">
        <v>26330</v>
      </c>
      <c r="K8556" s="2" t="str">
        <f>HYPERLINK("http://collections.slsa.sa.gov.au/mpcimg/15250/B15101.htm")</f>
        <v>http://collections.slsa.sa.gov.au/mpcimg/15250/B15101.htm</v>
      </c>
    </row>
    <row r="8557" spans="1:11" x14ac:dyDescent="0.25">
      <c r="A8557" t="s">
        <v>28227</v>
      </c>
      <c r="B8557" s="1" t="str">
        <f>HYPERLINK("https://www.catalog.slsa.sa.gov.au/record=b2060158")</f>
        <v>https://www.catalog.slsa.sa.gov.au/record=b2060158</v>
      </c>
      <c r="C8557" s="1" t="str">
        <f>HYPERLINK("https://www.catalog.slsa.sa.gov.au/xrecord=b2060158")</f>
        <v>https://www.catalog.slsa.sa.gov.au/xrecord=b2060158</v>
      </c>
      <c r="D8557" t="s">
        <v>16831</v>
      </c>
      <c r="E8557" t="s">
        <v>21061</v>
      </c>
      <c r="F8557">
        <v>1963</v>
      </c>
      <c r="G8557" t="s">
        <v>16792</v>
      </c>
      <c r="H8557" t="s">
        <v>28228</v>
      </c>
      <c r="I8557" t="s">
        <v>28229</v>
      </c>
      <c r="J8557" t="s">
        <v>26330</v>
      </c>
      <c r="K8557" s="2" t="str">
        <f>HYPERLINK("http://collections.slsa.sa.gov.au/mpcimg/15500/B15297.htm")</f>
        <v>http://collections.slsa.sa.gov.au/mpcimg/15500/B15297.htm</v>
      </c>
    </row>
    <row r="8558" spans="1:11" x14ac:dyDescent="0.25">
      <c r="A8558" t="s">
        <v>28230</v>
      </c>
      <c r="B8558" s="1" t="str">
        <f>HYPERLINK("https://www.catalog.slsa.sa.gov.au/record=b2060221")</f>
        <v>https://www.catalog.slsa.sa.gov.au/record=b2060221</v>
      </c>
      <c r="C8558" s="1" t="str">
        <f>HYPERLINK("https://www.catalog.slsa.sa.gov.au/xrecord=b2060221")</f>
        <v>https://www.catalog.slsa.sa.gov.au/xrecord=b2060221</v>
      </c>
      <c r="D8558" t="s">
        <v>16831</v>
      </c>
      <c r="E8558" t="s">
        <v>28231</v>
      </c>
      <c r="F8558">
        <v>1963</v>
      </c>
      <c r="G8558" t="s">
        <v>28170</v>
      </c>
      <c r="H8558" t="s">
        <v>28232</v>
      </c>
      <c r="J8558" t="s">
        <v>24284</v>
      </c>
      <c r="K8558" s="2" t="str">
        <f>HYPERLINK("http://collections.slsa.sa.gov.au/mpcimg/15250/B15084.htm")</f>
        <v>http://collections.slsa.sa.gov.au/mpcimg/15250/B15084.htm</v>
      </c>
    </row>
    <row r="8559" spans="1:11" x14ac:dyDescent="0.25">
      <c r="A8559" t="s">
        <v>28233</v>
      </c>
      <c r="B8559" s="1" t="str">
        <f>HYPERLINK("https://www.catalog.slsa.sa.gov.au/record=b2060796")</f>
        <v>https://www.catalog.slsa.sa.gov.au/record=b2060796</v>
      </c>
      <c r="C8559" s="1" t="str">
        <f>HYPERLINK("https://www.catalog.slsa.sa.gov.au/xrecord=b2060796")</f>
        <v>https://www.catalog.slsa.sa.gov.au/xrecord=b2060796</v>
      </c>
      <c r="D8559" t="s">
        <v>16831</v>
      </c>
      <c r="E8559" t="s">
        <v>24638</v>
      </c>
      <c r="F8559">
        <v>1963</v>
      </c>
      <c r="G8559" t="s">
        <v>23958</v>
      </c>
      <c r="H8559" t="s">
        <v>28234</v>
      </c>
      <c r="J8559" t="s">
        <v>25975</v>
      </c>
      <c r="K8559" s="2" t="str">
        <f>HYPERLINK("http://collections.slsa.sa.gov.au/mpcimg/15250/B15027.htm")</f>
        <v>http://collections.slsa.sa.gov.au/mpcimg/15250/B15027.htm</v>
      </c>
    </row>
    <row r="8560" spans="1:11" x14ac:dyDescent="0.25">
      <c r="A8560" t="s">
        <v>28235</v>
      </c>
      <c r="B8560" s="1" t="str">
        <f>HYPERLINK("https://www.catalog.slsa.sa.gov.au/record=b2060805")</f>
        <v>https://www.catalog.slsa.sa.gov.au/record=b2060805</v>
      </c>
      <c r="C8560" s="1" t="str">
        <f>HYPERLINK("https://www.catalog.slsa.sa.gov.au/xrecord=b2060805")</f>
        <v>https://www.catalog.slsa.sa.gov.au/xrecord=b2060805</v>
      </c>
      <c r="D8560" t="s">
        <v>16831</v>
      </c>
      <c r="E8560" t="s">
        <v>21099</v>
      </c>
      <c r="F8560">
        <v>1963</v>
      </c>
      <c r="G8560" t="s">
        <v>16680</v>
      </c>
      <c r="H8560" t="s">
        <v>28236</v>
      </c>
      <c r="J8560" t="s">
        <v>27144</v>
      </c>
      <c r="K8560" s="2" t="str">
        <f>HYPERLINK("http://collections.slsa.sa.gov.au/mpcimg/15000/B14752.htm")</f>
        <v>http://collections.slsa.sa.gov.au/mpcimg/15000/B14752.htm</v>
      </c>
    </row>
    <row r="8561" spans="1:11" x14ac:dyDescent="0.25">
      <c r="A8561" t="s">
        <v>28237</v>
      </c>
      <c r="B8561" s="1" t="str">
        <f>HYPERLINK("https://www.catalog.slsa.sa.gov.au/record=b2060806")</f>
        <v>https://www.catalog.slsa.sa.gov.au/record=b2060806</v>
      </c>
      <c r="C8561" s="1" t="str">
        <f>HYPERLINK("https://www.catalog.slsa.sa.gov.au/xrecord=b2060806")</f>
        <v>https://www.catalog.slsa.sa.gov.au/xrecord=b2060806</v>
      </c>
      <c r="D8561" t="s">
        <v>16831</v>
      </c>
      <c r="E8561" t="s">
        <v>21099</v>
      </c>
      <c r="F8561">
        <v>1963</v>
      </c>
      <c r="G8561" t="s">
        <v>16680</v>
      </c>
      <c r="H8561" t="s">
        <v>28238</v>
      </c>
      <c r="J8561" t="s">
        <v>27144</v>
      </c>
      <c r="K8561" s="2" t="str">
        <f>HYPERLINK("http://collections.slsa.sa.gov.au/mpcimg/15000/B14753.htm")</f>
        <v>http://collections.slsa.sa.gov.au/mpcimg/15000/B14753.htm</v>
      </c>
    </row>
    <row r="8562" spans="1:11" x14ac:dyDescent="0.25">
      <c r="A8562" t="s">
        <v>28239</v>
      </c>
      <c r="B8562" s="1" t="str">
        <f>HYPERLINK("https://www.catalog.slsa.sa.gov.au/record=b2061215")</f>
        <v>https://www.catalog.slsa.sa.gov.au/record=b2061215</v>
      </c>
      <c r="C8562" s="1" t="str">
        <f>HYPERLINK("https://www.catalog.slsa.sa.gov.au/xrecord=b2061215")</f>
        <v>https://www.catalog.slsa.sa.gov.au/xrecord=b2061215</v>
      </c>
      <c r="D8562" t="s">
        <v>16831</v>
      </c>
      <c r="E8562" t="s">
        <v>21118</v>
      </c>
      <c r="F8562">
        <v>1963</v>
      </c>
      <c r="G8562" t="s">
        <v>16680</v>
      </c>
      <c r="H8562" t="s">
        <v>28240</v>
      </c>
      <c r="J8562" t="s">
        <v>25991</v>
      </c>
      <c r="K8562" s="2" t="str">
        <f>HYPERLINK("http://collections.slsa.sa.gov.au/mpcimg/15000/B14885.htm")</f>
        <v>http://collections.slsa.sa.gov.au/mpcimg/15000/B14885.htm</v>
      </c>
    </row>
    <row r="8563" spans="1:11" x14ac:dyDescent="0.25">
      <c r="A8563" t="s">
        <v>28241</v>
      </c>
      <c r="B8563" s="1" t="str">
        <f>HYPERLINK("https://www.catalog.slsa.sa.gov.au/record=b2061441")</f>
        <v>https://www.catalog.slsa.sa.gov.au/record=b2061441</v>
      </c>
      <c r="C8563" s="1" t="str">
        <f>HYPERLINK("https://www.catalog.slsa.sa.gov.au/xrecord=b2061441")</f>
        <v>https://www.catalog.slsa.sa.gov.au/xrecord=b2061441</v>
      </c>
      <c r="D8563" t="s">
        <v>16831</v>
      </c>
      <c r="E8563" t="s">
        <v>25471</v>
      </c>
      <c r="F8563">
        <v>1963</v>
      </c>
      <c r="G8563" t="s">
        <v>16680</v>
      </c>
      <c r="H8563" t="s">
        <v>28242</v>
      </c>
      <c r="J8563" t="s">
        <v>28243</v>
      </c>
      <c r="K8563" s="2" t="str">
        <f>HYPERLINK("http://collections.slsa.sa.gov.au/mpcimg/15000/B14857.htm")</f>
        <v>http://collections.slsa.sa.gov.au/mpcimg/15000/B14857.htm</v>
      </c>
    </row>
    <row r="8564" spans="1:11" x14ac:dyDescent="0.25">
      <c r="A8564" t="s">
        <v>28244</v>
      </c>
      <c r="B8564" s="1" t="str">
        <f>HYPERLINK("https://www.catalog.slsa.sa.gov.au/record=b2061444")</f>
        <v>https://www.catalog.slsa.sa.gov.au/record=b2061444</v>
      </c>
      <c r="C8564" s="1" t="str">
        <f>HYPERLINK("https://www.catalog.slsa.sa.gov.au/xrecord=b2061444")</f>
        <v>https://www.catalog.slsa.sa.gov.au/xrecord=b2061444</v>
      </c>
      <c r="D8564" t="s">
        <v>16831</v>
      </c>
      <c r="E8564" t="s">
        <v>21099</v>
      </c>
      <c r="F8564">
        <v>1963</v>
      </c>
      <c r="G8564" t="s">
        <v>16680</v>
      </c>
      <c r="H8564" t="s">
        <v>28245</v>
      </c>
      <c r="J8564" t="s">
        <v>28243</v>
      </c>
      <c r="K8564" s="2" t="str">
        <f>HYPERLINK("http://collections.slsa.sa.gov.au/mpcimg/15000/B14858.htm")</f>
        <v>http://collections.slsa.sa.gov.au/mpcimg/15000/B14858.htm</v>
      </c>
    </row>
    <row r="8565" spans="1:11" x14ac:dyDescent="0.25">
      <c r="A8565" t="s">
        <v>28246</v>
      </c>
      <c r="B8565" s="1" t="str">
        <f>HYPERLINK("https://www.catalog.slsa.sa.gov.au/record=b2061493")</f>
        <v>https://www.catalog.slsa.sa.gov.au/record=b2061493</v>
      </c>
      <c r="C8565" s="1" t="str">
        <f>HYPERLINK("https://www.catalog.slsa.sa.gov.au/xrecord=b2061493")</f>
        <v>https://www.catalog.slsa.sa.gov.au/xrecord=b2061493</v>
      </c>
      <c r="D8565" t="s">
        <v>16831</v>
      </c>
      <c r="E8565" t="s">
        <v>21178</v>
      </c>
      <c r="F8565">
        <v>1963</v>
      </c>
      <c r="G8565" t="s">
        <v>16680</v>
      </c>
      <c r="H8565" t="s">
        <v>28247</v>
      </c>
      <c r="J8565" t="s">
        <v>21180</v>
      </c>
      <c r="K8565" s="2" t="str">
        <f>HYPERLINK("http://collections.slsa.sa.gov.au/mpcimg/15000/B14869.htm")</f>
        <v>http://collections.slsa.sa.gov.au/mpcimg/15000/B14869.htm</v>
      </c>
    </row>
    <row r="8566" spans="1:11" x14ac:dyDescent="0.25">
      <c r="A8566" t="s">
        <v>28248</v>
      </c>
      <c r="B8566" s="1" t="str">
        <f>HYPERLINK("https://www.catalog.slsa.sa.gov.au/record=b2061494")</f>
        <v>https://www.catalog.slsa.sa.gov.au/record=b2061494</v>
      </c>
      <c r="C8566" s="1" t="str">
        <f>HYPERLINK("https://www.catalog.slsa.sa.gov.au/xrecord=b2061494")</f>
        <v>https://www.catalog.slsa.sa.gov.au/xrecord=b2061494</v>
      </c>
      <c r="D8566" t="s">
        <v>16831</v>
      </c>
      <c r="E8566" t="s">
        <v>21178</v>
      </c>
      <c r="F8566">
        <v>1963</v>
      </c>
      <c r="G8566" t="s">
        <v>16680</v>
      </c>
      <c r="H8566" t="s">
        <v>28249</v>
      </c>
      <c r="J8566" t="s">
        <v>21180</v>
      </c>
      <c r="K8566" s="2" t="str">
        <f>HYPERLINK("http://collections.slsa.sa.gov.au/mpcimg/15000/B14870.htm")</f>
        <v>http://collections.slsa.sa.gov.au/mpcimg/15000/B14870.htm</v>
      </c>
    </row>
    <row r="8567" spans="1:11" x14ac:dyDescent="0.25">
      <c r="A8567" t="s">
        <v>28250</v>
      </c>
      <c r="B8567" s="1" t="str">
        <f>HYPERLINK("https://www.catalog.slsa.sa.gov.au/record=b2061506")</f>
        <v>https://www.catalog.slsa.sa.gov.au/record=b2061506</v>
      </c>
      <c r="C8567" s="1" t="str">
        <f>HYPERLINK("https://www.catalog.slsa.sa.gov.au/xrecord=b2061506")</f>
        <v>https://www.catalog.slsa.sa.gov.au/xrecord=b2061506</v>
      </c>
      <c r="D8567" t="s">
        <v>16831</v>
      </c>
      <c r="E8567" t="s">
        <v>21232</v>
      </c>
      <c r="F8567">
        <v>1963</v>
      </c>
      <c r="G8567" t="s">
        <v>16674</v>
      </c>
      <c r="H8567" t="s">
        <v>28251</v>
      </c>
      <c r="J8567" t="s">
        <v>26753</v>
      </c>
      <c r="K8567" s="2" t="str">
        <f>HYPERLINK("http://collections.slsa.sa.gov.au/mpcimg/15500/B15301.htm")</f>
        <v>http://collections.slsa.sa.gov.au/mpcimg/15500/B15301.htm</v>
      </c>
    </row>
    <row r="8568" spans="1:11" x14ac:dyDescent="0.25">
      <c r="A8568" t="s">
        <v>28252</v>
      </c>
      <c r="B8568" s="1" t="str">
        <f>HYPERLINK("https://www.catalog.slsa.sa.gov.au/record=b2061514")</f>
        <v>https://www.catalog.slsa.sa.gov.au/record=b2061514</v>
      </c>
      <c r="C8568" s="1" t="str">
        <f>HYPERLINK("https://www.catalog.slsa.sa.gov.au/xrecord=b2061514")</f>
        <v>https://www.catalog.slsa.sa.gov.au/xrecord=b2061514</v>
      </c>
      <c r="D8568" t="s">
        <v>16831</v>
      </c>
      <c r="E8568" t="s">
        <v>24422</v>
      </c>
      <c r="F8568">
        <v>1963</v>
      </c>
      <c r="G8568" t="s">
        <v>23958</v>
      </c>
      <c r="H8568" t="s">
        <v>28253</v>
      </c>
      <c r="J8568" t="s">
        <v>24413</v>
      </c>
      <c r="K8568" s="2" t="str">
        <f>HYPERLINK("http://collections.slsa.sa.gov.au/mpcimg/15250/B15020.htm")</f>
        <v>http://collections.slsa.sa.gov.au/mpcimg/15250/B15020.htm</v>
      </c>
    </row>
    <row r="8569" spans="1:11" x14ac:dyDescent="0.25">
      <c r="A8569" t="s">
        <v>28254</v>
      </c>
      <c r="B8569" s="1" t="str">
        <f>HYPERLINK("https://www.catalog.slsa.sa.gov.au/record=b2061643")</f>
        <v>https://www.catalog.slsa.sa.gov.au/record=b2061643</v>
      </c>
      <c r="C8569" s="1" t="str">
        <f>HYPERLINK("https://www.catalog.slsa.sa.gov.au/xrecord=b2061643")</f>
        <v>https://www.catalog.slsa.sa.gov.au/xrecord=b2061643</v>
      </c>
      <c r="D8569" t="s">
        <v>16831</v>
      </c>
      <c r="E8569" t="s">
        <v>28255</v>
      </c>
      <c r="F8569">
        <v>1963</v>
      </c>
      <c r="G8569" t="s">
        <v>16680</v>
      </c>
      <c r="H8569" t="s">
        <v>28256</v>
      </c>
      <c r="J8569" t="s">
        <v>24447</v>
      </c>
      <c r="K8569" s="2" t="str">
        <f>HYPERLINK("http://collections.slsa.sa.gov.au/mpcimg/15000/B14855.htm")</f>
        <v>http://collections.slsa.sa.gov.au/mpcimg/15000/B14855.htm</v>
      </c>
    </row>
    <row r="8570" spans="1:11" x14ac:dyDescent="0.25">
      <c r="A8570" t="s">
        <v>28257</v>
      </c>
      <c r="B8570" s="1" t="str">
        <f>HYPERLINK("https://www.catalog.slsa.sa.gov.au/record=b2061645")</f>
        <v>https://www.catalog.slsa.sa.gov.au/record=b2061645</v>
      </c>
      <c r="C8570" s="1" t="str">
        <f>HYPERLINK("https://www.catalog.slsa.sa.gov.au/xrecord=b2061645")</f>
        <v>https://www.catalog.slsa.sa.gov.au/xrecord=b2061645</v>
      </c>
      <c r="D8570" t="s">
        <v>16831</v>
      </c>
      <c r="E8570" t="s">
        <v>24451</v>
      </c>
      <c r="F8570">
        <v>1963</v>
      </c>
      <c r="G8570" t="s">
        <v>16680</v>
      </c>
      <c r="H8570" t="s">
        <v>28258</v>
      </c>
      <c r="J8570" t="s">
        <v>24447</v>
      </c>
      <c r="K8570" s="2" t="str">
        <f>HYPERLINK("http://collections.slsa.sa.gov.au/mpcimg/15000/B14856.htm")</f>
        <v>http://collections.slsa.sa.gov.au/mpcimg/15000/B14856.htm</v>
      </c>
    </row>
    <row r="8571" spans="1:11" x14ac:dyDescent="0.25">
      <c r="A8571" t="s">
        <v>28259</v>
      </c>
      <c r="B8571" s="1" t="str">
        <f>HYPERLINK("https://www.catalog.slsa.sa.gov.au/record=b2061834")</f>
        <v>https://www.catalog.slsa.sa.gov.au/record=b2061834</v>
      </c>
      <c r="C8571" s="1" t="str">
        <f>HYPERLINK("https://www.catalog.slsa.sa.gov.au/xrecord=b2061834")</f>
        <v>https://www.catalog.slsa.sa.gov.au/xrecord=b2061834</v>
      </c>
      <c r="D8571" t="s">
        <v>16831</v>
      </c>
      <c r="E8571" t="s">
        <v>28260</v>
      </c>
      <c r="F8571">
        <v>1963</v>
      </c>
      <c r="G8571" t="s">
        <v>22795</v>
      </c>
      <c r="H8571" t="s">
        <v>28261</v>
      </c>
      <c r="J8571" t="s">
        <v>21206</v>
      </c>
      <c r="K8571" s="2" t="str">
        <f>HYPERLINK("http://collections.slsa.sa.gov.au/mpcimg/15000/B14997.htm")</f>
        <v>http://collections.slsa.sa.gov.au/mpcimg/15000/B14997.htm</v>
      </c>
    </row>
    <row r="8572" spans="1:11" x14ac:dyDescent="0.25">
      <c r="A8572" t="s">
        <v>28262</v>
      </c>
      <c r="B8572" s="1" t="str">
        <f>HYPERLINK("https://www.catalog.slsa.sa.gov.au/record=b2061848")</f>
        <v>https://www.catalog.slsa.sa.gov.au/record=b2061848</v>
      </c>
      <c r="C8572" s="1" t="str">
        <f>HYPERLINK("https://www.catalog.slsa.sa.gov.au/xrecord=b2061848")</f>
        <v>https://www.catalog.slsa.sa.gov.au/xrecord=b2061848</v>
      </c>
      <c r="D8572" t="s">
        <v>16831</v>
      </c>
      <c r="E8572" t="s">
        <v>28263</v>
      </c>
      <c r="F8572">
        <v>1963</v>
      </c>
      <c r="G8572" t="s">
        <v>23958</v>
      </c>
      <c r="H8572" t="s">
        <v>28264</v>
      </c>
      <c r="J8572" t="s">
        <v>25510</v>
      </c>
      <c r="K8572" s="2" t="str">
        <f>HYPERLINK("http://collections.slsa.sa.gov.au/mpcimg/15250/B15029.htm")</f>
        <v>http://collections.slsa.sa.gov.au/mpcimg/15250/B15029.htm</v>
      </c>
    </row>
    <row r="8573" spans="1:11" x14ac:dyDescent="0.25">
      <c r="A8573" t="s">
        <v>28265</v>
      </c>
      <c r="B8573" s="1" t="str">
        <f>HYPERLINK("https://www.catalog.slsa.sa.gov.au/record=b2061857")</f>
        <v>https://www.catalog.slsa.sa.gov.au/record=b2061857</v>
      </c>
      <c r="C8573" s="1" t="str">
        <f>HYPERLINK("https://www.catalog.slsa.sa.gov.au/xrecord=b2061857")</f>
        <v>https://www.catalog.slsa.sa.gov.au/xrecord=b2061857</v>
      </c>
      <c r="D8573" t="s">
        <v>16831</v>
      </c>
      <c r="E8573" t="s">
        <v>28266</v>
      </c>
      <c r="F8573">
        <v>1963</v>
      </c>
      <c r="G8573" t="s">
        <v>23958</v>
      </c>
      <c r="H8573" t="s">
        <v>28267</v>
      </c>
      <c r="J8573" t="s">
        <v>26390</v>
      </c>
      <c r="K8573" s="2" t="str">
        <f>HYPERLINK("http://collections.slsa.sa.gov.au/mpcimg/15250/B15053.htm")</f>
        <v>http://collections.slsa.sa.gov.au/mpcimg/15250/B15053.htm</v>
      </c>
    </row>
    <row r="8574" spans="1:11" x14ac:dyDescent="0.25">
      <c r="A8574" t="s">
        <v>28268</v>
      </c>
      <c r="B8574" s="1" t="str">
        <f>HYPERLINK("https://www.catalog.slsa.sa.gov.au/record=b2061858")</f>
        <v>https://www.catalog.slsa.sa.gov.au/record=b2061858</v>
      </c>
      <c r="C8574" s="1" t="str">
        <f>HYPERLINK("https://www.catalog.slsa.sa.gov.au/xrecord=b2061858")</f>
        <v>https://www.catalog.slsa.sa.gov.au/xrecord=b2061858</v>
      </c>
      <c r="D8574" t="s">
        <v>16831</v>
      </c>
      <c r="E8574" t="s">
        <v>26388</v>
      </c>
      <c r="F8574">
        <v>1963</v>
      </c>
      <c r="G8574" t="s">
        <v>23958</v>
      </c>
      <c r="H8574" t="s">
        <v>28269</v>
      </c>
      <c r="J8574" t="s">
        <v>26390</v>
      </c>
      <c r="K8574" s="2" t="str">
        <f>HYPERLINK("http://collections.slsa.sa.gov.au/mpcimg/15250/B15054.htm")</f>
        <v>http://collections.slsa.sa.gov.au/mpcimg/15250/B15054.htm</v>
      </c>
    </row>
    <row r="8575" spans="1:11" x14ac:dyDescent="0.25">
      <c r="A8575" t="s">
        <v>28270</v>
      </c>
      <c r="B8575" s="1" t="str">
        <f>HYPERLINK("https://www.catalog.slsa.sa.gov.au/record=b2061867")</f>
        <v>https://www.catalog.slsa.sa.gov.au/record=b2061867</v>
      </c>
      <c r="C8575" s="1" t="str">
        <f>HYPERLINK("https://www.catalog.slsa.sa.gov.au/xrecord=b2061867")</f>
        <v>https://www.catalog.slsa.sa.gov.au/xrecord=b2061867</v>
      </c>
      <c r="D8575" t="s">
        <v>16831</v>
      </c>
      <c r="E8575" t="s">
        <v>21208</v>
      </c>
      <c r="F8575">
        <v>1963</v>
      </c>
      <c r="G8575" t="s">
        <v>16680</v>
      </c>
      <c r="H8575" t="s">
        <v>28271</v>
      </c>
      <c r="J8575" t="s">
        <v>21210</v>
      </c>
      <c r="K8575" s="2" t="str">
        <f>HYPERLINK("http://collections.slsa.sa.gov.au/mpcimg/15000/B14877.htm")</f>
        <v>http://collections.slsa.sa.gov.au/mpcimg/15000/B14877.htm</v>
      </c>
    </row>
    <row r="8576" spans="1:11" x14ac:dyDescent="0.25">
      <c r="A8576" t="s">
        <v>28272</v>
      </c>
      <c r="B8576" s="1" t="str">
        <f>HYPERLINK("https://www.catalog.slsa.sa.gov.au/record=b2061868")</f>
        <v>https://www.catalog.slsa.sa.gov.au/record=b2061868</v>
      </c>
      <c r="C8576" s="1" t="str">
        <f>HYPERLINK("https://www.catalog.slsa.sa.gov.au/xrecord=b2061868")</f>
        <v>https://www.catalog.slsa.sa.gov.au/xrecord=b2061868</v>
      </c>
      <c r="D8576" t="s">
        <v>16831</v>
      </c>
      <c r="E8576" t="s">
        <v>21208</v>
      </c>
      <c r="F8576">
        <v>1963</v>
      </c>
      <c r="G8576" t="s">
        <v>16680</v>
      </c>
      <c r="H8576" t="s">
        <v>28273</v>
      </c>
      <c r="J8576" t="s">
        <v>21210</v>
      </c>
      <c r="K8576" s="2" t="str">
        <f>HYPERLINK("http://collections.slsa.sa.gov.au/mpcimg/15000/B14878.htm")</f>
        <v>http://collections.slsa.sa.gov.au/mpcimg/15000/B14878.htm</v>
      </c>
    </row>
    <row r="8577" spans="1:11" x14ac:dyDescent="0.25">
      <c r="A8577" t="s">
        <v>28274</v>
      </c>
      <c r="B8577" s="1" t="str">
        <f>HYPERLINK("https://www.catalog.slsa.sa.gov.au/record=b2061869")</f>
        <v>https://www.catalog.slsa.sa.gov.au/record=b2061869</v>
      </c>
      <c r="C8577" s="1" t="str">
        <f>HYPERLINK("https://www.catalog.slsa.sa.gov.au/xrecord=b2061869")</f>
        <v>https://www.catalog.slsa.sa.gov.au/xrecord=b2061869</v>
      </c>
      <c r="D8577" t="s">
        <v>16831</v>
      </c>
      <c r="E8577" t="s">
        <v>26042</v>
      </c>
      <c r="F8577">
        <v>1963</v>
      </c>
      <c r="G8577" t="s">
        <v>16680</v>
      </c>
      <c r="H8577" t="s">
        <v>28275</v>
      </c>
      <c r="J8577" t="s">
        <v>21210</v>
      </c>
      <c r="K8577" s="2" t="str">
        <f>HYPERLINK("http://collections.slsa.sa.gov.au/mpcimg/15000/B14879.htm")</f>
        <v>http://collections.slsa.sa.gov.au/mpcimg/15000/B14879.htm</v>
      </c>
    </row>
    <row r="8578" spans="1:11" x14ac:dyDescent="0.25">
      <c r="A8578" t="s">
        <v>28276</v>
      </c>
      <c r="B8578" s="1" t="str">
        <f>HYPERLINK("https://www.catalog.slsa.sa.gov.au/record=b2061870")</f>
        <v>https://www.catalog.slsa.sa.gov.au/record=b2061870</v>
      </c>
      <c r="C8578" s="1" t="str">
        <f>HYPERLINK("https://www.catalog.slsa.sa.gov.au/xrecord=b2061870")</f>
        <v>https://www.catalog.slsa.sa.gov.au/xrecord=b2061870</v>
      </c>
      <c r="D8578" t="s">
        <v>16831</v>
      </c>
      <c r="E8578" t="s">
        <v>26042</v>
      </c>
      <c r="F8578">
        <v>1963</v>
      </c>
      <c r="G8578" t="s">
        <v>16680</v>
      </c>
      <c r="H8578" t="s">
        <v>28275</v>
      </c>
      <c r="J8578" t="s">
        <v>21210</v>
      </c>
      <c r="K8578" s="2" t="str">
        <f>HYPERLINK("http://collections.slsa.sa.gov.au/mpcimg/15000/B14880.htm")</f>
        <v>http://collections.slsa.sa.gov.au/mpcimg/15000/B14880.htm</v>
      </c>
    </row>
    <row r="8579" spans="1:11" x14ac:dyDescent="0.25">
      <c r="A8579" t="s">
        <v>28277</v>
      </c>
      <c r="B8579" s="1" t="str">
        <f>HYPERLINK("https://www.catalog.slsa.sa.gov.au/record=b2061921")</f>
        <v>https://www.catalog.slsa.sa.gov.au/record=b2061921</v>
      </c>
      <c r="C8579" s="1" t="str">
        <f>HYPERLINK("https://www.catalog.slsa.sa.gov.au/xrecord=b2061921")</f>
        <v>https://www.catalog.slsa.sa.gov.au/xrecord=b2061921</v>
      </c>
      <c r="D8579" t="s">
        <v>16831</v>
      </c>
      <c r="E8579" t="s">
        <v>28278</v>
      </c>
      <c r="F8579">
        <v>1963</v>
      </c>
      <c r="G8579" t="s">
        <v>23958</v>
      </c>
      <c r="H8579" t="s">
        <v>28279</v>
      </c>
      <c r="J8579" t="s">
        <v>25532</v>
      </c>
      <c r="K8579" s="2" t="str">
        <f>HYPERLINK("http://collections.slsa.sa.gov.au/mpcimg/15250/B15048.htm")</f>
        <v>http://collections.slsa.sa.gov.au/mpcimg/15250/B15048.htm</v>
      </c>
    </row>
    <row r="8580" spans="1:11" x14ac:dyDescent="0.25">
      <c r="A8580" t="s">
        <v>28280</v>
      </c>
      <c r="B8580" s="1" t="str">
        <f>HYPERLINK("https://www.catalog.slsa.sa.gov.au/record=b2061926")</f>
        <v>https://www.catalog.slsa.sa.gov.au/record=b2061926</v>
      </c>
      <c r="C8580" s="1" t="str">
        <f>HYPERLINK("https://www.catalog.slsa.sa.gov.au/xrecord=b2061926")</f>
        <v>https://www.catalog.slsa.sa.gov.au/xrecord=b2061926</v>
      </c>
      <c r="D8580" t="s">
        <v>16831</v>
      </c>
      <c r="E8580" t="s">
        <v>24499</v>
      </c>
      <c r="F8580">
        <v>1963</v>
      </c>
      <c r="G8580" t="s">
        <v>16680</v>
      </c>
      <c r="H8580" t="s">
        <v>28281</v>
      </c>
      <c r="J8580" t="s">
        <v>25536</v>
      </c>
      <c r="K8580" s="2" t="str">
        <f>HYPERLINK("http://collections.slsa.sa.gov.au/mpcimg/15000/B14865.htm")</f>
        <v>http://collections.slsa.sa.gov.au/mpcimg/15000/B14865.htm</v>
      </c>
    </row>
    <row r="8581" spans="1:11" x14ac:dyDescent="0.25">
      <c r="A8581" t="s">
        <v>28282</v>
      </c>
      <c r="B8581" s="1" t="str">
        <f>HYPERLINK("https://www.catalog.slsa.sa.gov.au/record=b2061927")</f>
        <v>https://www.catalog.slsa.sa.gov.au/record=b2061927</v>
      </c>
      <c r="C8581" s="1" t="str">
        <f>HYPERLINK("https://www.catalog.slsa.sa.gov.au/xrecord=b2061927")</f>
        <v>https://www.catalog.slsa.sa.gov.au/xrecord=b2061927</v>
      </c>
      <c r="D8581" t="s">
        <v>16831</v>
      </c>
      <c r="E8581" t="s">
        <v>28283</v>
      </c>
      <c r="F8581">
        <v>1963</v>
      </c>
      <c r="G8581" t="s">
        <v>16680</v>
      </c>
      <c r="H8581" t="s">
        <v>28284</v>
      </c>
      <c r="J8581" t="s">
        <v>25536</v>
      </c>
      <c r="K8581" s="2" t="str">
        <f>HYPERLINK("http://collections.slsa.sa.gov.au/mpcimg/15000/B14866.htm")</f>
        <v>http://collections.slsa.sa.gov.au/mpcimg/15000/B14866.htm</v>
      </c>
    </row>
    <row r="8582" spans="1:11" x14ac:dyDescent="0.25">
      <c r="A8582" t="s">
        <v>28285</v>
      </c>
      <c r="B8582" s="1" t="str">
        <f>HYPERLINK("https://www.catalog.slsa.sa.gov.au/record=b2061964")</f>
        <v>https://www.catalog.slsa.sa.gov.au/record=b2061964</v>
      </c>
      <c r="C8582" s="1" t="str">
        <f>HYPERLINK("https://www.catalog.slsa.sa.gov.au/xrecord=b2061964")</f>
        <v>https://www.catalog.slsa.sa.gov.au/xrecord=b2061964</v>
      </c>
      <c r="D8582" t="s">
        <v>16831</v>
      </c>
      <c r="E8582" t="s">
        <v>25404</v>
      </c>
      <c r="F8582">
        <v>1963</v>
      </c>
      <c r="G8582" t="s">
        <v>16792</v>
      </c>
      <c r="H8582" t="s">
        <v>28286</v>
      </c>
      <c r="J8582" t="s">
        <v>26038</v>
      </c>
      <c r="K8582" s="2" t="str">
        <f>HYPERLINK("http://collections.slsa.sa.gov.au/mpcimg/15500/B15300.htm")</f>
        <v>http://collections.slsa.sa.gov.au/mpcimg/15500/B15300.htm</v>
      </c>
    </row>
    <row r="8583" spans="1:11" x14ac:dyDescent="0.25">
      <c r="A8583" t="s">
        <v>28287</v>
      </c>
      <c r="B8583" s="1" t="str">
        <f>HYPERLINK("https://www.catalog.slsa.sa.gov.au/record=b2062014")</f>
        <v>https://www.catalog.slsa.sa.gov.au/record=b2062014</v>
      </c>
      <c r="C8583" s="1" t="str">
        <f>HYPERLINK("https://www.catalog.slsa.sa.gov.au/xrecord=b2062014")</f>
        <v>https://www.catalog.slsa.sa.gov.au/xrecord=b2062014</v>
      </c>
      <c r="D8583" t="s">
        <v>16831</v>
      </c>
      <c r="E8583" t="s">
        <v>28288</v>
      </c>
      <c r="F8583">
        <v>1963</v>
      </c>
      <c r="G8583" t="s">
        <v>16680</v>
      </c>
      <c r="H8583" t="s">
        <v>28289</v>
      </c>
      <c r="J8583" t="s">
        <v>26401</v>
      </c>
      <c r="K8583" s="2" t="str">
        <f>HYPERLINK("http://collections.slsa.sa.gov.au/mpcimg/15000/B14860.htm")</f>
        <v>http://collections.slsa.sa.gov.au/mpcimg/15000/B14860.htm</v>
      </c>
    </row>
    <row r="8584" spans="1:11" x14ac:dyDescent="0.25">
      <c r="A8584" t="s">
        <v>28290</v>
      </c>
      <c r="B8584" s="1" t="str">
        <f>HYPERLINK("https://www.catalog.slsa.sa.gov.au/record=b2062087")</f>
        <v>https://www.catalog.slsa.sa.gov.au/record=b2062087</v>
      </c>
      <c r="C8584" s="1" t="str">
        <f>HYPERLINK("https://www.catalog.slsa.sa.gov.au/xrecord=b2062087")</f>
        <v>https://www.catalog.slsa.sa.gov.au/xrecord=b2062087</v>
      </c>
      <c r="D8584" t="s">
        <v>16831</v>
      </c>
      <c r="E8584" t="s">
        <v>26042</v>
      </c>
      <c r="F8584">
        <v>1963</v>
      </c>
      <c r="G8584" t="s">
        <v>16680</v>
      </c>
      <c r="H8584" t="s">
        <v>28291</v>
      </c>
      <c r="J8584" t="s">
        <v>24514</v>
      </c>
      <c r="K8584" s="2" t="str">
        <f>HYPERLINK("http://collections.slsa.sa.gov.au/mpcimg/15000/B14876.htm")</f>
        <v>http://collections.slsa.sa.gov.au/mpcimg/15000/B14876.htm</v>
      </c>
    </row>
    <row r="8585" spans="1:11" x14ac:dyDescent="0.25">
      <c r="A8585" t="s">
        <v>28292</v>
      </c>
      <c r="B8585" s="1" t="str">
        <f>HYPERLINK("https://www.catalog.slsa.sa.gov.au/record=b2062124")</f>
        <v>https://www.catalog.slsa.sa.gov.au/record=b2062124</v>
      </c>
      <c r="C8585" s="1" t="str">
        <f>HYPERLINK("https://www.catalog.slsa.sa.gov.au/xrecord=b2062124")</f>
        <v>https://www.catalog.slsa.sa.gov.au/xrecord=b2062124</v>
      </c>
      <c r="D8585" t="s">
        <v>16831</v>
      </c>
      <c r="E8585" t="s">
        <v>10268</v>
      </c>
      <c r="F8585">
        <v>1963</v>
      </c>
      <c r="G8585" t="s">
        <v>16680</v>
      </c>
      <c r="H8585" t="s">
        <v>28293</v>
      </c>
      <c r="J8585" t="s">
        <v>21224</v>
      </c>
      <c r="K8585" s="2" t="str">
        <f>HYPERLINK("http://collections.slsa.sa.gov.au/mpcimg/15000/B14875.htm")</f>
        <v>http://collections.slsa.sa.gov.au/mpcimg/15000/B14875.htm</v>
      </c>
    </row>
    <row r="8586" spans="1:11" x14ac:dyDescent="0.25">
      <c r="A8586" t="s">
        <v>28294</v>
      </c>
      <c r="B8586" s="1" t="str">
        <f>HYPERLINK("https://www.catalog.slsa.sa.gov.au/record=b2062166")</f>
        <v>https://www.catalog.slsa.sa.gov.au/record=b2062166</v>
      </c>
      <c r="C8586" s="1" t="str">
        <f>HYPERLINK("https://www.catalog.slsa.sa.gov.au/xrecord=b2062166")</f>
        <v>https://www.catalog.slsa.sa.gov.au/xrecord=b2062166</v>
      </c>
      <c r="D8586" t="s">
        <v>16831</v>
      </c>
      <c r="E8586" t="s">
        <v>10268</v>
      </c>
      <c r="F8586">
        <v>1963</v>
      </c>
      <c r="G8586" t="s">
        <v>16680</v>
      </c>
      <c r="H8586" t="s">
        <v>28295</v>
      </c>
      <c r="J8586" t="s">
        <v>22920</v>
      </c>
      <c r="K8586" s="2" t="str">
        <f>HYPERLINK("http://collections.slsa.sa.gov.au/mpcimg/14750/B14589.htm")</f>
        <v>http://collections.slsa.sa.gov.au/mpcimg/14750/B14589.htm</v>
      </c>
    </row>
    <row r="8587" spans="1:11" x14ac:dyDescent="0.25">
      <c r="A8587" t="s">
        <v>28296</v>
      </c>
      <c r="B8587" s="1" t="str">
        <f>HYPERLINK("https://www.catalog.slsa.sa.gov.au/record=b2062368")</f>
        <v>https://www.catalog.slsa.sa.gov.au/record=b2062368</v>
      </c>
      <c r="C8587" s="1" t="str">
        <f>HYPERLINK("https://www.catalog.slsa.sa.gov.au/xrecord=b2062368")</f>
        <v>https://www.catalog.slsa.sa.gov.au/xrecord=b2062368</v>
      </c>
      <c r="D8587" t="s">
        <v>16831</v>
      </c>
      <c r="E8587" t="s">
        <v>28297</v>
      </c>
      <c r="F8587">
        <v>1963</v>
      </c>
      <c r="G8587" t="s">
        <v>16680</v>
      </c>
      <c r="H8587" t="s">
        <v>28298</v>
      </c>
      <c r="J8587" t="s">
        <v>24561</v>
      </c>
      <c r="K8587" s="2" t="str">
        <f>HYPERLINK("http://collections.slsa.sa.gov.au/mpcimg/15000/B14881.htm")</f>
        <v>http://collections.slsa.sa.gov.au/mpcimg/15000/B14881.htm</v>
      </c>
    </row>
    <row r="8588" spans="1:11" x14ac:dyDescent="0.25">
      <c r="A8588" t="s">
        <v>28299</v>
      </c>
      <c r="B8588" s="1" t="str">
        <f>HYPERLINK("https://www.catalog.slsa.sa.gov.au/record=b2062369")</f>
        <v>https://www.catalog.slsa.sa.gov.au/record=b2062369</v>
      </c>
      <c r="C8588" s="1" t="str">
        <f>HYPERLINK("https://www.catalog.slsa.sa.gov.au/xrecord=b2062369")</f>
        <v>https://www.catalog.slsa.sa.gov.au/xrecord=b2062369</v>
      </c>
      <c r="D8588" t="s">
        <v>16831</v>
      </c>
      <c r="E8588" t="s">
        <v>28297</v>
      </c>
      <c r="F8588">
        <v>1963</v>
      </c>
      <c r="G8588" t="s">
        <v>16680</v>
      </c>
      <c r="H8588" t="s">
        <v>28300</v>
      </c>
      <c r="J8588" t="s">
        <v>24561</v>
      </c>
      <c r="K8588" s="2" t="str">
        <f>HYPERLINK("http://collections.slsa.sa.gov.au/mpcimg/15000/B14882.htm")</f>
        <v>http://collections.slsa.sa.gov.au/mpcimg/15000/B14882.htm</v>
      </c>
    </row>
    <row r="8589" spans="1:11" x14ac:dyDescent="0.25">
      <c r="A8589" t="s">
        <v>28301</v>
      </c>
      <c r="B8589" s="1" t="str">
        <f>HYPERLINK("https://www.catalog.slsa.sa.gov.au/record=b2062554")</f>
        <v>https://www.catalog.slsa.sa.gov.au/record=b2062554</v>
      </c>
      <c r="C8589" s="1" t="str">
        <f>HYPERLINK("https://www.catalog.slsa.sa.gov.au/xrecord=b2062554")</f>
        <v>https://www.catalog.slsa.sa.gov.au/xrecord=b2062554</v>
      </c>
      <c r="D8589" t="s">
        <v>16831</v>
      </c>
      <c r="E8589" t="s">
        <v>28302</v>
      </c>
      <c r="F8589">
        <v>1963</v>
      </c>
      <c r="G8589" t="s">
        <v>16680</v>
      </c>
      <c r="H8589" t="s">
        <v>28303</v>
      </c>
      <c r="J8589" t="s">
        <v>21241</v>
      </c>
      <c r="K8589" s="2" t="str">
        <f>HYPERLINK("http://collections.slsa.sa.gov.au/mpcimg/15000/B14782.htm")</f>
        <v>http://collections.slsa.sa.gov.au/mpcimg/15000/B14782.htm</v>
      </c>
    </row>
    <row r="8590" spans="1:11" x14ac:dyDescent="0.25">
      <c r="A8590" t="s">
        <v>28304</v>
      </c>
      <c r="B8590" s="1" t="str">
        <f>HYPERLINK("https://www.catalog.slsa.sa.gov.au/record=b2062780")</f>
        <v>https://www.catalog.slsa.sa.gov.au/record=b2062780</v>
      </c>
      <c r="C8590" s="1" t="str">
        <f>HYPERLINK("https://www.catalog.slsa.sa.gov.au/xrecord=b2062780")</f>
        <v>https://www.catalog.slsa.sa.gov.au/xrecord=b2062780</v>
      </c>
      <c r="D8590" t="s">
        <v>16831</v>
      </c>
      <c r="E8590" t="s">
        <v>21250</v>
      </c>
      <c r="F8590">
        <v>1963</v>
      </c>
      <c r="G8590" t="s">
        <v>16680</v>
      </c>
      <c r="H8590" t="s">
        <v>28305</v>
      </c>
      <c r="J8590" t="s">
        <v>26445</v>
      </c>
      <c r="K8590" s="2" t="str">
        <f>HYPERLINK("http://collections.slsa.sa.gov.au/mpcimg/15000/B14864.htm")</f>
        <v>http://collections.slsa.sa.gov.au/mpcimg/15000/B14864.htm</v>
      </c>
    </row>
    <row r="8591" spans="1:11" x14ac:dyDescent="0.25">
      <c r="A8591" t="s">
        <v>28306</v>
      </c>
      <c r="B8591" s="1" t="str">
        <f>HYPERLINK("https://www.catalog.slsa.sa.gov.au/record=b2062826")</f>
        <v>https://www.catalog.slsa.sa.gov.au/record=b2062826</v>
      </c>
      <c r="C8591" s="1" t="str">
        <f>HYPERLINK("https://www.catalog.slsa.sa.gov.au/xrecord=b2062826")</f>
        <v>https://www.catalog.slsa.sa.gov.au/xrecord=b2062826</v>
      </c>
      <c r="D8591" t="s">
        <v>16831</v>
      </c>
      <c r="E8591" t="s">
        <v>21250</v>
      </c>
      <c r="F8591">
        <v>1963</v>
      </c>
      <c r="G8591" t="s">
        <v>16680</v>
      </c>
      <c r="H8591" t="s">
        <v>28307</v>
      </c>
      <c r="J8591" t="s">
        <v>21265</v>
      </c>
      <c r="K8591" s="2" t="str">
        <f>HYPERLINK("http://collections.slsa.sa.gov.au/mpcimg/15000/B14867.htm")</f>
        <v>http://collections.slsa.sa.gov.au/mpcimg/15000/B14867.htm</v>
      </c>
    </row>
    <row r="8592" spans="1:11" x14ac:dyDescent="0.25">
      <c r="A8592" t="s">
        <v>28308</v>
      </c>
      <c r="B8592" s="1" t="str">
        <f>HYPERLINK("https://www.catalog.slsa.sa.gov.au/record=b2062827")</f>
        <v>https://www.catalog.slsa.sa.gov.au/record=b2062827</v>
      </c>
      <c r="C8592" s="1" t="str">
        <f>HYPERLINK("https://www.catalog.slsa.sa.gov.au/xrecord=b2062827")</f>
        <v>https://www.catalog.slsa.sa.gov.au/xrecord=b2062827</v>
      </c>
      <c r="D8592" t="s">
        <v>16831</v>
      </c>
      <c r="E8592" t="s">
        <v>28309</v>
      </c>
      <c r="F8592">
        <v>1963</v>
      </c>
      <c r="G8592" t="s">
        <v>23958</v>
      </c>
      <c r="H8592" t="s">
        <v>28310</v>
      </c>
      <c r="J8592" t="s">
        <v>21265</v>
      </c>
      <c r="K8592" s="2" t="str">
        <f>HYPERLINK("http://collections.slsa.sa.gov.au/mpcimg/15250/B15003.htm")</f>
        <v>http://collections.slsa.sa.gov.au/mpcimg/15250/B15003.htm</v>
      </c>
    </row>
    <row r="8593" spans="1:11" x14ac:dyDescent="0.25">
      <c r="A8593" t="s">
        <v>28311</v>
      </c>
      <c r="B8593" s="1" t="str">
        <f>HYPERLINK("https://www.catalog.slsa.sa.gov.au/record=b2062837")</f>
        <v>https://www.catalog.slsa.sa.gov.au/record=b2062837</v>
      </c>
      <c r="C8593" s="1" t="str">
        <f>HYPERLINK("https://www.catalog.slsa.sa.gov.au/xrecord=b2062837")</f>
        <v>https://www.catalog.slsa.sa.gov.au/xrecord=b2062837</v>
      </c>
      <c r="D8593" t="s">
        <v>16831</v>
      </c>
      <c r="E8593" t="s">
        <v>21250</v>
      </c>
      <c r="F8593">
        <v>1963</v>
      </c>
      <c r="G8593" t="s">
        <v>16680</v>
      </c>
      <c r="H8593" t="s">
        <v>28312</v>
      </c>
      <c r="J8593" t="s">
        <v>21269</v>
      </c>
      <c r="K8593" s="2" t="str">
        <f>HYPERLINK("http://collections.slsa.sa.gov.au/mpcimg/15000/B14756.htm")</f>
        <v>http://collections.slsa.sa.gov.au/mpcimg/15000/B14756.htm</v>
      </c>
    </row>
    <row r="8594" spans="1:11" x14ac:dyDescent="0.25">
      <c r="A8594" t="s">
        <v>28313</v>
      </c>
      <c r="B8594" s="1" t="str">
        <f>HYPERLINK("https://www.catalog.slsa.sa.gov.au/record=b2062838")</f>
        <v>https://www.catalog.slsa.sa.gov.au/record=b2062838</v>
      </c>
      <c r="C8594" s="1" t="str">
        <f>HYPERLINK("https://www.catalog.slsa.sa.gov.au/xrecord=b2062838")</f>
        <v>https://www.catalog.slsa.sa.gov.au/xrecord=b2062838</v>
      </c>
      <c r="D8594" t="s">
        <v>16831</v>
      </c>
      <c r="E8594" t="s">
        <v>21250</v>
      </c>
      <c r="F8594">
        <v>1963</v>
      </c>
      <c r="G8594" t="s">
        <v>16680</v>
      </c>
      <c r="H8594" t="s">
        <v>28314</v>
      </c>
      <c r="J8594" t="s">
        <v>21269</v>
      </c>
      <c r="K8594" s="2" t="str">
        <f>HYPERLINK("http://collections.slsa.sa.gov.au/mpcimg/15000/B14772.htm")</f>
        <v>http://collections.slsa.sa.gov.au/mpcimg/15000/B14772.htm</v>
      </c>
    </row>
    <row r="8595" spans="1:11" x14ac:dyDescent="0.25">
      <c r="A8595" t="s">
        <v>28315</v>
      </c>
      <c r="B8595" s="1" t="str">
        <f>HYPERLINK("https://www.catalog.slsa.sa.gov.au/record=b2062923")</f>
        <v>https://www.catalog.slsa.sa.gov.au/record=b2062923</v>
      </c>
      <c r="C8595" s="1" t="str">
        <f>HYPERLINK("https://www.catalog.slsa.sa.gov.au/xrecord=b2062923")</f>
        <v>https://www.catalog.slsa.sa.gov.au/xrecord=b2062923</v>
      </c>
      <c r="D8595" t="s">
        <v>16831</v>
      </c>
      <c r="E8595" t="s">
        <v>28316</v>
      </c>
      <c r="F8595">
        <v>1963</v>
      </c>
      <c r="G8595" t="s">
        <v>16674</v>
      </c>
      <c r="H8595" t="s">
        <v>28317</v>
      </c>
      <c r="J8595" t="s">
        <v>27805</v>
      </c>
      <c r="K8595" s="2" t="str">
        <f>HYPERLINK("http://collections.slsa.sa.gov.au/mpcimg/15000/B14996.htm")</f>
        <v>http://collections.slsa.sa.gov.au/mpcimg/15000/B14996.htm</v>
      </c>
    </row>
    <row r="8596" spans="1:11" x14ac:dyDescent="0.25">
      <c r="A8596" t="s">
        <v>28318</v>
      </c>
      <c r="B8596" s="1" t="str">
        <f>HYPERLINK("https://www.catalog.slsa.sa.gov.au/record=b2063018")</f>
        <v>https://www.catalog.slsa.sa.gov.au/record=b2063018</v>
      </c>
      <c r="C8596" s="1" t="str">
        <f>HYPERLINK("https://www.catalog.slsa.sa.gov.au/xrecord=b2063018")</f>
        <v>https://www.catalog.slsa.sa.gov.au/xrecord=b2063018</v>
      </c>
      <c r="D8596" t="s">
        <v>16831</v>
      </c>
      <c r="E8596" t="s">
        <v>21304</v>
      </c>
      <c r="F8596">
        <v>1963</v>
      </c>
      <c r="G8596" t="s">
        <v>16680</v>
      </c>
      <c r="H8596" t="s">
        <v>28319</v>
      </c>
      <c r="J8596" t="s">
        <v>24648</v>
      </c>
      <c r="K8596" s="2" t="str">
        <f>HYPERLINK("http://collections.slsa.sa.gov.au/mpcimg/15000/B14775.htm")</f>
        <v>http://collections.slsa.sa.gov.au/mpcimg/15000/B14775.htm</v>
      </c>
    </row>
    <row r="8597" spans="1:11" x14ac:dyDescent="0.25">
      <c r="A8597" t="s">
        <v>28320</v>
      </c>
      <c r="B8597" s="1" t="str">
        <f>HYPERLINK("https://www.catalog.slsa.sa.gov.au/record=b2063019")</f>
        <v>https://www.catalog.slsa.sa.gov.au/record=b2063019</v>
      </c>
      <c r="C8597" s="1" t="str">
        <f>HYPERLINK("https://www.catalog.slsa.sa.gov.au/xrecord=b2063019")</f>
        <v>https://www.catalog.slsa.sa.gov.au/xrecord=b2063019</v>
      </c>
      <c r="D8597" t="s">
        <v>16831</v>
      </c>
      <c r="E8597" t="s">
        <v>21304</v>
      </c>
      <c r="F8597">
        <v>1963</v>
      </c>
      <c r="G8597" t="s">
        <v>16680</v>
      </c>
      <c r="H8597" t="s">
        <v>28321</v>
      </c>
      <c r="J8597" t="s">
        <v>28322</v>
      </c>
      <c r="K8597" s="2" t="str">
        <f>HYPERLINK("http://collections.slsa.sa.gov.au/mpcimg/15000/B14776.htm")</f>
        <v>http://collections.slsa.sa.gov.au/mpcimg/15000/B14776.htm</v>
      </c>
    </row>
    <row r="8598" spans="1:11" x14ac:dyDescent="0.25">
      <c r="A8598" t="s">
        <v>28323</v>
      </c>
      <c r="B8598" s="1" t="str">
        <f>HYPERLINK("https://www.catalog.slsa.sa.gov.au/record=b2063047")</f>
        <v>https://www.catalog.slsa.sa.gov.au/record=b2063047</v>
      </c>
      <c r="C8598" s="1" t="str">
        <f>HYPERLINK("https://www.catalog.slsa.sa.gov.au/xrecord=b2063047")</f>
        <v>https://www.catalog.slsa.sa.gov.au/xrecord=b2063047</v>
      </c>
      <c r="D8598" t="s">
        <v>16831</v>
      </c>
      <c r="E8598" t="s">
        <v>21304</v>
      </c>
      <c r="F8598">
        <v>1963</v>
      </c>
      <c r="G8598" t="s">
        <v>28170</v>
      </c>
      <c r="H8598" t="s">
        <v>28324</v>
      </c>
      <c r="J8598" t="s">
        <v>28325</v>
      </c>
      <c r="K8598" s="2" t="str">
        <f>HYPERLINK("http://collections.slsa.sa.gov.au/mpcimg/15250/B15099.htm")</f>
        <v>http://collections.slsa.sa.gov.au/mpcimg/15250/B15099.htm</v>
      </c>
    </row>
    <row r="8599" spans="1:11" x14ac:dyDescent="0.25">
      <c r="A8599" t="s">
        <v>28326</v>
      </c>
      <c r="B8599" s="1" t="str">
        <f>HYPERLINK("https://www.catalog.slsa.sa.gov.au/record=b2063826")</f>
        <v>https://www.catalog.slsa.sa.gov.au/record=b2063826</v>
      </c>
      <c r="C8599" s="1" t="str">
        <f>HYPERLINK("https://www.catalog.slsa.sa.gov.au/xrecord=b2063826")</f>
        <v>https://www.catalog.slsa.sa.gov.au/xrecord=b2063826</v>
      </c>
      <c r="D8599" t="s">
        <v>16831</v>
      </c>
      <c r="E8599" t="s">
        <v>28327</v>
      </c>
      <c r="F8599">
        <v>1963</v>
      </c>
      <c r="G8599" t="s">
        <v>23958</v>
      </c>
      <c r="H8599" t="s">
        <v>28328</v>
      </c>
      <c r="J8599" t="s">
        <v>26940</v>
      </c>
      <c r="K8599" s="2" t="str">
        <f>HYPERLINK("http://collections.slsa.sa.gov.au/mpcimg/15000/B14998.htm")</f>
        <v>http://collections.slsa.sa.gov.au/mpcimg/15000/B14998.htm</v>
      </c>
    </row>
    <row r="8600" spans="1:11" x14ac:dyDescent="0.25">
      <c r="A8600" t="s">
        <v>28329</v>
      </c>
      <c r="B8600" s="1" t="str">
        <f>HYPERLINK("https://www.catalog.slsa.sa.gov.au/record=b2063927")</f>
        <v>https://www.catalog.slsa.sa.gov.au/record=b2063927</v>
      </c>
      <c r="C8600" s="1" t="str">
        <f>HYPERLINK("https://www.catalog.slsa.sa.gov.au/xrecord=b2063927")</f>
        <v>https://www.catalog.slsa.sa.gov.au/xrecord=b2063927</v>
      </c>
      <c r="D8600" t="s">
        <v>16831</v>
      </c>
      <c r="E8600" t="s">
        <v>26135</v>
      </c>
      <c r="F8600">
        <v>1963</v>
      </c>
      <c r="G8600" t="s">
        <v>16680</v>
      </c>
      <c r="H8600" t="s">
        <v>28330</v>
      </c>
      <c r="J8600" t="s">
        <v>28331</v>
      </c>
      <c r="K8600" s="2" t="str">
        <f>HYPERLINK("http://collections.slsa.sa.gov.au/mpcimg/15000/B14884.htm")</f>
        <v>http://collections.slsa.sa.gov.au/mpcimg/15000/B14884.htm</v>
      </c>
    </row>
    <row r="8601" spans="1:11" x14ac:dyDescent="0.25">
      <c r="A8601" t="s">
        <v>28332</v>
      </c>
      <c r="B8601" s="1" t="str">
        <f>HYPERLINK("https://www.catalog.slsa.sa.gov.au/record=b2064489")</f>
        <v>https://www.catalog.slsa.sa.gov.au/record=b2064489</v>
      </c>
      <c r="C8601" s="1" t="str">
        <f>HYPERLINK("https://www.catalog.slsa.sa.gov.au/xrecord=b2064489")</f>
        <v>https://www.catalog.slsa.sa.gov.au/xrecord=b2064489</v>
      </c>
      <c r="D8601" t="s">
        <v>16831</v>
      </c>
      <c r="E8601" t="s">
        <v>28333</v>
      </c>
      <c r="F8601">
        <v>1963</v>
      </c>
      <c r="G8601" t="s">
        <v>16680</v>
      </c>
      <c r="H8601" t="s">
        <v>28334</v>
      </c>
      <c r="J8601" t="s">
        <v>24725</v>
      </c>
      <c r="K8601" s="2" t="str">
        <f>HYPERLINK("http://collections.slsa.sa.gov.au/mpcimg/15000/B14874.htm")</f>
        <v>http://collections.slsa.sa.gov.au/mpcimg/15000/B14874.htm</v>
      </c>
    </row>
    <row r="8602" spans="1:11" x14ac:dyDescent="0.25">
      <c r="A8602" t="s">
        <v>28335</v>
      </c>
      <c r="B8602" s="1" t="str">
        <f>HYPERLINK("https://www.catalog.slsa.sa.gov.au/record=b2064507")</f>
        <v>https://www.catalog.slsa.sa.gov.au/record=b2064507</v>
      </c>
      <c r="C8602" s="1" t="str">
        <f>HYPERLINK("https://www.catalog.slsa.sa.gov.au/xrecord=b2064507")</f>
        <v>https://www.catalog.slsa.sa.gov.au/xrecord=b2064507</v>
      </c>
      <c r="D8602" t="s">
        <v>16831</v>
      </c>
      <c r="E8602" t="s">
        <v>26509</v>
      </c>
      <c r="F8602">
        <v>1963</v>
      </c>
      <c r="G8602" t="s">
        <v>16680</v>
      </c>
      <c r="H8602" t="s">
        <v>28336</v>
      </c>
      <c r="J8602" t="s">
        <v>28337</v>
      </c>
      <c r="K8602" s="2" t="str">
        <f>HYPERLINK("http://collections.slsa.sa.gov.au/mpcimg/15000/B14871.htm")</f>
        <v>http://collections.slsa.sa.gov.au/mpcimg/15000/B14871.htm</v>
      </c>
    </row>
    <row r="8603" spans="1:11" x14ac:dyDescent="0.25">
      <c r="A8603" t="s">
        <v>28338</v>
      </c>
      <c r="B8603" s="1" t="str">
        <f>HYPERLINK("https://www.catalog.slsa.sa.gov.au/record=b2064508")</f>
        <v>https://www.catalog.slsa.sa.gov.au/record=b2064508</v>
      </c>
      <c r="C8603" s="1" t="str">
        <f>HYPERLINK("https://www.catalog.slsa.sa.gov.au/xrecord=b2064508")</f>
        <v>https://www.catalog.slsa.sa.gov.au/xrecord=b2064508</v>
      </c>
      <c r="D8603" t="s">
        <v>16831</v>
      </c>
      <c r="E8603" t="s">
        <v>26509</v>
      </c>
      <c r="F8603">
        <v>1963</v>
      </c>
      <c r="G8603" t="s">
        <v>16680</v>
      </c>
      <c r="H8603" t="s">
        <v>28339</v>
      </c>
      <c r="J8603" t="s">
        <v>28337</v>
      </c>
      <c r="K8603" s="2" t="str">
        <f>HYPERLINK("http://collections.slsa.sa.gov.au/mpcimg/15000/B14873.htm")</f>
        <v>http://collections.slsa.sa.gov.au/mpcimg/15000/B14873.htm</v>
      </c>
    </row>
    <row r="8604" spans="1:11" x14ac:dyDescent="0.25">
      <c r="A8604" t="s">
        <v>28340</v>
      </c>
      <c r="B8604" s="1" t="str">
        <f>HYPERLINK("https://www.catalog.slsa.sa.gov.au/record=b2064614")</f>
        <v>https://www.catalog.slsa.sa.gov.au/record=b2064614</v>
      </c>
      <c r="C8604" s="1" t="str">
        <f>HYPERLINK("https://www.catalog.slsa.sa.gov.au/xrecord=b2064614")</f>
        <v>https://www.catalog.slsa.sa.gov.au/xrecord=b2064614</v>
      </c>
      <c r="D8604" t="s">
        <v>16831</v>
      </c>
      <c r="E8604" t="s">
        <v>26509</v>
      </c>
      <c r="F8604">
        <v>1963</v>
      </c>
      <c r="G8604" t="s">
        <v>16680</v>
      </c>
      <c r="H8604" t="s">
        <v>28341</v>
      </c>
      <c r="J8604" t="s">
        <v>28342</v>
      </c>
      <c r="K8604" s="2" t="str">
        <f>HYPERLINK("http://collections.slsa.sa.gov.au/mpcimg/15000/B14852.htm")</f>
        <v>http://collections.slsa.sa.gov.au/mpcimg/15000/B14852.htm</v>
      </c>
    </row>
    <row r="8605" spans="1:11" x14ac:dyDescent="0.25">
      <c r="A8605" t="s">
        <v>28343</v>
      </c>
      <c r="B8605" s="1" t="str">
        <f>HYPERLINK("https://www.catalog.slsa.sa.gov.au/record=b2022536")</f>
        <v>https://www.catalog.slsa.sa.gov.au/record=b2022536</v>
      </c>
      <c r="C8605" s="1" t="str">
        <f>HYPERLINK("https://www.catalog.slsa.sa.gov.au/xrecord=b2022536")</f>
        <v>https://www.catalog.slsa.sa.gov.au/xrecord=b2022536</v>
      </c>
      <c r="E8605" t="s">
        <v>27595</v>
      </c>
      <c r="F8605" t="s">
        <v>12274</v>
      </c>
      <c r="G8605" t="s">
        <v>27596</v>
      </c>
      <c r="H8605" t="s">
        <v>28344</v>
      </c>
      <c r="J8605" t="s">
        <v>27598</v>
      </c>
      <c r="K8605" s="2" t="str">
        <f>HYPERLINK("http://collections.slsa.sa.gov.au/mpcimg/17750/B17703.htm")</f>
        <v>http://collections.slsa.sa.gov.au/mpcimg/17750/B17703.htm</v>
      </c>
    </row>
    <row r="8606" spans="1:11" x14ac:dyDescent="0.25">
      <c r="A8606" t="s">
        <v>28345</v>
      </c>
      <c r="B8606" s="1" t="str">
        <f>HYPERLINK("https://www.catalog.slsa.sa.gov.au/record=b3017399")</f>
        <v>https://www.catalog.slsa.sa.gov.au/record=b3017399</v>
      </c>
      <c r="C8606" s="1" t="str">
        <f>HYPERLINK("https://www.catalog.slsa.sa.gov.au/xrecord=b3017399")</f>
        <v>https://www.catalog.slsa.sa.gov.au/xrecord=b3017399</v>
      </c>
      <c r="D8606" t="s">
        <v>18855</v>
      </c>
      <c r="E8606" t="s">
        <v>28346</v>
      </c>
      <c r="F8606" t="s">
        <v>28347</v>
      </c>
      <c r="G8606" t="s">
        <v>28348</v>
      </c>
      <c r="H8606" t="s">
        <v>28349</v>
      </c>
      <c r="I8606" t="s">
        <v>18868</v>
      </c>
      <c r="J8606" t="s">
        <v>2510</v>
      </c>
      <c r="K8606" s="2" t="str">
        <f>HYPERLINK("http://collections.slsa.sa.gov.au/resource/B+74130/20")</f>
        <v>http://collections.slsa.sa.gov.au/resource/B+74130/20</v>
      </c>
    </row>
    <row r="8607" spans="1:11" x14ac:dyDescent="0.25">
      <c r="A8607" t="s">
        <v>28350</v>
      </c>
      <c r="B8607" s="1" t="str">
        <f>HYPERLINK("https://www.catalog.slsa.sa.gov.au/record=b3017384")</f>
        <v>https://www.catalog.slsa.sa.gov.au/record=b3017384</v>
      </c>
      <c r="C8607" s="1" t="str">
        <f>HYPERLINK("https://www.catalog.slsa.sa.gov.au/xrecord=b3017384")</f>
        <v>https://www.catalog.slsa.sa.gov.au/xrecord=b3017384</v>
      </c>
      <c r="D8607" t="s">
        <v>18855</v>
      </c>
      <c r="E8607" t="s">
        <v>28351</v>
      </c>
      <c r="F8607" t="s">
        <v>28352</v>
      </c>
      <c r="G8607" t="s">
        <v>28353</v>
      </c>
      <c r="H8607" t="s">
        <v>28354</v>
      </c>
      <c r="I8607" t="s">
        <v>18860</v>
      </c>
      <c r="J8607" t="s">
        <v>2510</v>
      </c>
      <c r="K8607" s="2" t="str">
        <f>HYPERLINK("http://collections.slsa.sa.gov.au/resource/B+74130/10")</f>
        <v>http://collections.slsa.sa.gov.au/resource/B+74130/10</v>
      </c>
    </row>
    <row r="8608" spans="1:11" x14ac:dyDescent="0.25">
      <c r="A8608" t="s">
        <v>28355</v>
      </c>
      <c r="B8608" s="1" t="str">
        <f>HYPERLINK("https://www.catalog.slsa.sa.gov.au/record=b3017388")</f>
        <v>https://www.catalog.slsa.sa.gov.au/record=b3017388</v>
      </c>
      <c r="C8608" s="1" t="str">
        <f>HYPERLINK("https://www.catalog.slsa.sa.gov.au/xrecord=b3017388")</f>
        <v>https://www.catalog.slsa.sa.gov.au/xrecord=b3017388</v>
      </c>
      <c r="D8608" t="s">
        <v>18855</v>
      </c>
      <c r="E8608" t="s">
        <v>28356</v>
      </c>
      <c r="F8608" t="s">
        <v>28357</v>
      </c>
      <c r="G8608" t="s">
        <v>28358</v>
      </c>
      <c r="H8608" t="s">
        <v>28359</v>
      </c>
      <c r="I8608" t="s">
        <v>18868</v>
      </c>
      <c r="J8608" t="s">
        <v>2510</v>
      </c>
      <c r="K8608" s="2" t="str">
        <f>HYPERLINK("http://collections.slsa.sa.gov.au/resource/B+74130/11")</f>
        <v>http://collections.slsa.sa.gov.au/resource/B+74130/11</v>
      </c>
    </row>
    <row r="8609" spans="1:11" x14ac:dyDescent="0.25">
      <c r="A8609" t="s">
        <v>28360</v>
      </c>
      <c r="B8609" s="1" t="str">
        <f>HYPERLINK("https://www.catalog.slsa.sa.gov.au/record=b3017391")</f>
        <v>https://www.catalog.slsa.sa.gov.au/record=b3017391</v>
      </c>
      <c r="C8609" s="1" t="str">
        <f>HYPERLINK("https://www.catalog.slsa.sa.gov.au/xrecord=b3017391")</f>
        <v>https://www.catalog.slsa.sa.gov.au/xrecord=b3017391</v>
      </c>
      <c r="D8609" t="s">
        <v>18855</v>
      </c>
      <c r="E8609" t="s">
        <v>28361</v>
      </c>
      <c r="F8609" t="s">
        <v>28357</v>
      </c>
      <c r="G8609" t="s">
        <v>28353</v>
      </c>
      <c r="H8609" t="s">
        <v>28362</v>
      </c>
      <c r="I8609" t="s">
        <v>18868</v>
      </c>
      <c r="J8609" t="s">
        <v>2510</v>
      </c>
      <c r="K8609" s="2" t="str">
        <f>HYPERLINK("http://collections.slsa.sa.gov.au/resource/B+74130/12")</f>
        <v>http://collections.slsa.sa.gov.au/resource/B+74130/12</v>
      </c>
    </row>
    <row r="8610" spans="1:11" x14ac:dyDescent="0.25">
      <c r="A8610" t="s">
        <v>28363</v>
      </c>
      <c r="B8610" s="1" t="str">
        <f>HYPERLINK("https://www.catalog.slsa.sa.gov.au/record=b2054715")</f>
        <v>https://www.catalog.slsa.sa.gov.au/record=b2054715</v>
      </c>
      <c r="C8610" s="1" t="str">
        <f>HYPERLINK("https://www.catalog.slsa.sa.gov.au/xrecord=b2054715")</f>
        <v>https://www.catalog.slsa.sa.gov.au/xrecord=b2054715</v>
      </c>
      <c r="D8610" t="s">
        <v>16831</v>
      </c>
      <c r="E8610" t="s">
        <v>16771</v>
      </c>
      <c r="F8610">
        <v>1964</v>
      </c>
      <c r="G8610" t="s">
        <v>16792</v>
      </c>
      <c r="H8610" t="s">
        <v>28364</v>
      </c>
      <c r="J8610" t="s">
        <v>17113</v>
      </c>
      <c r="K8610" s="2" t="str">
        <f>HYPERLINK("http://collections.slsa.sa.gov.au/mpcimg/15500/B15417.htm")</f>
        <v>http://collections.slsa.sa.gov.au/mpcimg/15500/B15417.htm</v>
      </c>
    </row>
    <row r="8611" spans="1:11" x14ac:dyDescent="0.25">
      <c r="A8611" t="s">
        <v>28365</v>
      </c>
      <c r="B8611" s="1" t="str">
        <f>HYPERLINK("https://www.catalog.slsa.sa.gov.au/record=b2055249")</f>
        <v>https://www.catalog.slsa.sa.gov.au/record=b2055249</v>
      </c>
      <c r="C8611" s="1" t="str">
        <f>HYPERLINK("https://www.catalog.slsa.sa.gov.au/xrecord=b2055249")</f>
        <v>https://www.catalog.slsa.sa.gov.au/xrecord=b2055249</v>
      </c>
      <c r="D8611" t="s">
        <v>16831</v>
      </c>
      <c r="E8611" t="s">
        <v>16777</v>
      </c>
      <c r="F8611">
        <v>1964</v>
      </c>
      <c r="G8611" t="s">
        <v>16792</v>
      </c>
      <c r="H8611" t="s">
        <v>28366</v>
      </c>
      <c r="J8611" t="s">
        <v>20897</v>
      </c>
      <c r="K8611" s="2" t="str">
        <f>HYPERLINK("http://collections.slsa.sa.gov.au/mpcimg/15500/B15422.htm")</f>
        <v>http://collections.slsa.sa.gov.au/mpcimg/15500/B15422.htm</v>
      </c>
    </row>
    <row r="8612" spans="1:11" x14ac:dyDescent="0.25">
      <c r="A8612" t="s">
        <v>28367</v>
      </c>
      <c r="B8612" s="1" t="str">
        <f>HYPERLINK("https://www.catalog.slsa.sa.gov.au/record=b2055250")</f>
        <v>https://www.catalog.slsa.sa.gov.au/record=b2055250</v>
      </c>
      <c r="C8612" s="1" t="str">
        <f>HYPERLINK("https://www.catalog.slsa.sa.gov.au/xrecord=b2055250")</f>
        <v>https://www.catalog.slsa.sa.gov.au/xrecord=b2055250</v>
      </c>
      <c r="D8612" t="s">
        <v>16831</v>
      </c>
      <c r="E8612" t="s">
        <v>16777</v>
      </c>
      <c r="F8612">
        <v>1964</v>
      </c>
      <c r="G8612" t="s">
        <v>16792</v>
      </c>
      <c r="H8612" t="s">
        <v>28366</v>
      </c>
      <c r="J8612" t="s">
        <v>20897</v>
      </c>
      <c r="K8612" s="2" t="str">
        <f>HYPERLINK("http://collections.slsa.sa.gov.au/mpcimg/15500/B15423.htm")</f>
        <v>http://collections.slsa.sa.gov.au/mpcimg/15500/B15423.htm</v>
      </c>
    </row>
    <row r="8613" spans="1:11" x14ac:dyDescent="0.25">
      <c r="A8613" t="s">
        <v>28368</v>
      </c>
      <c r="B8613" s="1" t="str">
        <f>HYPERLINK("https://www.catalog.slsa.sa.gov.au/record=b2056487")</f>
        <v>https://www.catalog.slsa.sa.gov.au/record=b2056487</v>
      </c>
      <c r="C8613" s="1" t="str">
        <f>HYPERLINK("https://www.catalog.slsa.sa.gov.au/xrecord=b2056487")</f>
        <v>https://www.catalog.slsa.sa.gov.au/xrecord=b2056487</v>
      </c>
      <c r="D8613" t="s">
        <v>16831</v>
      </c>
      <c r="E8613" t="s">
        <v>28369</v>
      </c>
      <c r="F8613">
        <v>1964</v>
      </c>
      <c r="G8613" t="s">
        <v>16792</v>
      </c>
      <c r="H8613" t="s">
        <v>28370</v>
      </c>
      <c r="I8613" t="s">
        <v>28371</v>
      </c>
      <c r="J8613" t="s">
        <v>17605</v>
      </c>
      <c r="K8613" s="2" t="str">
        <f>HYPERLINK("http://collections.slsa.sa.gov.au/mpcimg/15500/B15320.htm")</f>
        <v>http://collections.slsa.sa.gov.au/mpcimg/15500/B15320.htm</v>
      </c>
    </row>
    <row r="8614" spans="1:11" x14ac:dyDescent="0.25">
      <c r="A8614" t="s">
        <v>28372</v>
      </c>
      <c r="B8614" s="1" t="str">
        <f>HYPERLINK("https://www.catalog.slsa.sa.gov.au/record=b2057041")</f>
        <v>https://www.catalog.slsa.sa.gov.au/record=b2057041</v>
      </c>
      <c r="C8614" s="1" t="str">
        <f>HYPERLINK("https://www.catalog.slsa.sa.gov.au/xrecord=b2057041")</f>
        <v>https://www.catalog.slsa.sa.gov.au/xrecord=b2057041</v>
      </c>
      <c r="D8614" t="s">
        <v>16831</v>
      </c>
      <c r="E8614" t="s">
        <v>20933</v>
      </c>
      <c r="F8614">
        <v>1964</v>
      </c>
      <c r="G8614" t="s">
        <v>28373</v>
      </c>
      <c r="H8614" t="s">
        <v>28374</v>
      </c>
      <c r="J8614" t="s">
        <v>20935</v>
      </c>
      <c r="K8614" s="2" t="str">
        <f>HYPERLINK("http://collections.slsa.sa.gov.au/mpcimg/15750/B15569.htm")</f>
        <v>http://collections.slsa.sa.gov.au/mpcimg/15750/B15569.htm</v>
      </c>
    </row>
    <row r="8615" spans="1:11" x14ac:dyDescent="0.25">
      <c r="A8615" t="s">
        <v>28375</v>
      </c>
      <c r="B8615" s="1" t="str">
        <f>HYPERLINK("https://www.catalog.slsa.sa.gov.au/record=b2057068")</f>
        <v>https://www.catalog.slsa.sa.gov.au/record=b2057068</v>
      </c>
      <c r="C8615" s="1" t="str">
        <f>HYPERLINK("https://www.catalog.slsa.sa.gov.au/xrecord=b2057068")</f>
        <v>https://www.catalog.slsa.sa.gov.au/xrecord=b2057068</v>
      </c>
      <c r="D8615" t="s">
        <v>16831</v>
      </c>
      <c r="E8615" t="s">
        <v>24033</v>
      </c>
      <c r="F8615">
        <v>1964</v>
      </c>
      <c r="G8615" t="s">
        <v>16792</v>
      </c>
      <c r="H8615" t="s">
        <v>28376</v>
      </c>
      <c r="J8615" t="s">
        <v>24035</v>
      </c>
      <c r="K8615" s="2" t="str">
        <f>HYPERLINK("http://collections.slsa.sa.gov.au/mpcimg/15500/B15400.htm")</f>
        <v>http://collections.slsa.sa.gov.au/mpcimg/15500/B15400.htm</v>
      </c>
    </row>
    <row r="8616" spans="1:11" x14ac:dyDescent="0.25">
      <c r="A8616" t="s">
        <v>28377</v>
      </c>
      <c r="B8616" s="1" t="str">
        <f>HYPERLINK("https://www.catalog.slsa.sa.gov.au/record=b2057265")</f>
        <v>https://www.catalog.slsa.sa.gov.au/record=b2057265</v>
      </c>
      <c r="C8616" s="1" t="str">
        <f>HYPERLINK("https://www.catalog.slsa.sa.gov.au/xrecord=b2057265")</f>
        <v>https://www.catalog.slsa.sa.gov.au/xrecord=b2057265</v>
      </c>
      <c r="D8616" t="s">
        <v>16831</v>
      </c>
      <c r="E8616" t="s">
        <v>28378</v>
      </c>
      <c r="F8616">
        <v>1964</v>
      </c>
      <c r="G8616" t="s">
        <v>16792</v>
      </c>
      <c r="H8616" t="s">
        <v>28379</v>
      </c>
      <c r="J8616" t="s">
        <v>28033</v>
      </c>
      <c r="K8616" s="2" t="str">
        <f>HYPERLINK("http://collections.slsa.sa.gov.au/mpcimg/15500/B15418.htm")</f>
        <v>http://collections.slsa.sa.gov.au/mpcimg/15500/B15418.htm</v>
      </c>
    </row>
    <row r="8617" spans="1:11" x14ac:dyDescent="0.25">
      <c r="A8617" t="s">
        <v>28380</v>
      </c>
      <c r="B8617" s="1" t="str">
        <f>HYPERLINK("https://www.catalog.slsa.sa.gov.au/record=b2058302")</f>
        <v>https://www.catalog.slsa.sa.gov.au/record=b2058302</v>
      </c>
      <c r="C8617" s="1" t="str">
        <f>HYPERLINK("https://www.catalog.slsa.sa.gov.au/xrecord=b2058302")</f>
        <v>https://www.catalog.slsa.sa.gov.au/xrecord=b2058302</v>
      </c>
      <c r="D8617" t="s">
        <v>16831</v>
      </c>
      <c r="E8617" t="s">
        <v>20974</v>
      </c>
      <c r="F8617">
        <v>1964</v>
      </c>
      <c r="G8617" t="s">
        <v>16792</v>
      </c>
      <c r="H8617" t="s">
        <v>28381</v>
      </c>
      <c r="J8617" t="s">
        <v>20972</v>
      </c>
      <c r="K8617" s="2" t="str">
        <f>HYPERLINK("http://collections.slsa.sa.gov.au/mpcimg/15500/B15411.htm")</f>
        <v>http://collections.slsa.sa.gov.au/mpcimg/15500/B15411.htm</v>
      </c>
    </row>
    <row r="8618" spans="1:11" x14ac:dyDescent="0.25">
      <c r="A8618" t="s">
        <v>28382</v>
      </c>
      <c r="B8618" s="1" t="str">
        <f>HYPERLINK("https://www.catalog.slsa.sa.gov.au/record=b2058303")</f>
        <v>https://www.catalog.slsa.sa.gov.au/record=b2058303</v>
      </c>
      <c r="C8618" s="1" t="str">
        <f>HYPERLINK("https://www.catalog.slsa.sa.gov.au/xrecord=b2058303")</f>
        <v>https://www.catalog.slsa.sa.gov.au/xrecord=b2058303</v>
      </c>
      <c r="D8618" t="s">
        <v>16831</v>
      </c>
      <c r="E8618" t="s">
        <v>20974</v>
      </c>
      <c r="F8618">
        <v>1964</v>
      </c>
      <c r="G8618" t="s">
        <v>16792</v>
      </c>
      <c r="H8618" t="s">
        <v>28381</v>
      </c>
      <c r="J8618" t="s">
        <v>20972</v>
      </c>
      <c r="K8618" s="2" t="str">
        <f>HYPERLINK("http://collections.slsa.sa.gov.au/mpcimg/15500/B15412.htm")</f>
        <v>http://collections.slsa.sa.gov.au/mpcimg/15500/B15412.htm</v>
      </c>
    </row>
    <row r="8619" spans="1:11" x14ac:dyDescent="0.25">
      <c r="A8619" t="s">
        <v>28383</v>
      </c>
      <c r="B8619" s="1" t="str">
        <f>HYPERLINK("https://www.catalog.slsa.sa.gov.au/record=b2058304")</f>
        <v>https://www.catalog.slsa.sa.gov.au/record=b2058304</v>
      </c>
      <c r="C8619" s="1" t="str">
        <f>HYPERLINK("https://www.catalog.slsa.sa.gov.au/xrecord=b2058304")</f>
        <v>https://www.catalog.slsa.sa.gov.au/xrecord=b2058304</v>
      </c>
      <c r="D8619" t="s">
        <v>16831</v>
      </c>
      <c r="E8619" t="s">
        <v>20974</v>
      </c>
      <c r="F8619">
        <v>1964</v>
      </c>
      <c r="G8619" t="s">
        <v>16792</v>
      </c>
      <c r="H8619" t="s">
        <v>28381</v>
      </c>
      <c r="J8619" t="s">
        <v>20972</v>
      </c>
      <c r="K8619" s="2" t="str">
        <f>HYPERLINK("http://collections.slsa.sa.gov.au/mpcimg/15500/B15413.htm")</f>
        <v>http://collections.slsa.sa.gov.au/mpcimg/15500/B15413.htm</v>
      </c>
    </row>
    <row r="8620" spans="1:11" x14ac:dyDescent="0.25">
      <c r="A8620" t="s">
        <v>28384</v>
      </c>
      <c r="B8620" s="1" t="str">
        <f>HYPERLINK("https://www.catalog.slsa.sa.gov.au/record=b2058330")</f>
        <v>https://www.catalog.slsa.sa.gov.au/record=b2058330</v>
      </c>
      <c r="C8620" s="1" t="str">
        <f>HYPERLINK("https://www.catalog.slsa.sa.gov.au/xrecord=b2058330")</f>
        <v>https://www.catalog.slsa.sa.gov.au/xrecord=b2058330</v>
      </c>
      <c r="D8620" t="s">
        <v>16831</v>
      </c>
      <c r="E8620" t="s">
        <v>20970</v>
      </c>
      <c r="F8620">
        <v>1964</v>
      </c>
      <c r="G8620" t="s">
        <v>16792</v>
      </c>
      <c r="H8620" t="s">
        <v>28385</v>
      </c>
      <c r="J8620" t="s">
        <v>22818</v>
      </c>
      <c r="K8620" s="2" t="str">
        <f>HYPERLINK("http://collections.slsa.sa.gov.au/mpcimg/15500/B15278.htm")</f>
        <v>http://collections.slsa.sa.gov.au/mpcimg/15500/B15278.htm</v>
      </c>
    </row>
    <row r="8621" spans="1:11" x14ac:dyDescent="0.25">
      <c r="A8621" t="s">
        <v>28386</v>
      </c>
      <c r="B8621" s="1" t="str">
        <f>HYPERLINK("https://www.catalog.slsa.sa.gov.au/record=b2058672")</f>
        <v>https://www.catalog.slsa.sa.gov.au/record=b2058672</v>
      </c>
      <c r="C8621" s="1" t="str">
        <f>HYPERLINK("https://www.catalog.slsa.sa.gov.au/xrecord=b2058672")</f>
        <v>https://www.catalog.slsa.sa.gov.au/xrecord=b2058672</v>
      </c>
      <c r="D8621" t="s">
        <v>16831</v>
      </c>
      <c r="E8621" t="s">
        <v>16796</v>
      </c>
      <c r="F8621">
        <v>1964</v>
      </c>
      <c r="G8621" t="s">
        <v>16792</v>
      </c>
      <c r="H8621" t="s">
        <v>28387</v>
      </c>
      <c r="J8621" t="s">
        <v>28388</v>
      </c>
      <c r="K8621" s="2" t="str">
        <f>HYPERLINK("http://collections.slsa.sa.gov.au/mpcimg/15500/B15408.htm")</f>
        <v>http://collections.slsa.sa.gov.au/mpcimg/15500/B15408.htm</v>
      </c>
    </row>
    <row r="8622" spans="1:11" x14ac:dyDescent="0.25">
      <c r="A8622" t="s">
        <v>28389</v>
      </c>
      <c r="B8622" s="1" t="str">
        <f>HYPERLINK("https://www.catalog.slsa.sa.gov.au/record=b2058673")</f>
        <v>https://www.catalog.slsa.sa.gov.au/record=b2058673</v>
      </c>
      <c r="C8622" s="1" t="str">
        <f>HYPERLINK("https://www.catalog.slsa.sa.gov.au/xrecord=b2058673")</f>
        <v>https://www.catalog.slsa.sa.gov.au/xrecord=b2058673</v>
      </c>
      <c r="D8622" t="s">
        <v>16831</v>
      </c>
      <c r="E8622" t="s">
        <v>16796</v>
      </c>
      <c r="F8622">
        <v>1964</v>
      </c>
      <c r="G8622" t="s">
        <v>16674</v>
      </c>
      <c r="H8622" t="s">
        <v>28387</v>
      </c>
      <c r="J8622" t="s">
        <v>28388</v>
      </c>
      <c r="K8622" s="2" t="str">
        <f>HYPERLINK("http://collections.slsa.sa.gov.au/mpcimg/15500/B15409.htm")</f>
        <v>http://collections.slsa.sa.gov.au/mpcimg/15500/B15409.htm</v>
      </c>
    </row>
    <row r="8623" spans="1:11" x14ac:dyDescent="0.25">
      <c r="A8623" t="s">
        <v>28390</v>
      </c>
      <c r="B8623" s="1" t="str">
        <f>HYPERLINK("https://www.catalog.slsa.sa.gov.au/record=b2058674")</f>
        <v>https://www.catalog.slsa.sa.gov.au/record=b2058674</v>
      </c>
      <c r="C8623" s="1" t="str">
        <f>HYPERLINK("https://www.catalog.slsa.sa.gov.au/xrecord=b2058674")</f>
        <v>https://www.catalog.slsa.sa.gov.au/xrecord=b2058674</v>
      </c>
      <c r="D8623" t="s">
        <v>16831</v>
      </c>
      <c r="E8623" t="s">
        <v>16796</v>
      </c>
      <c r="F8623">
        <v>1964</v>
      </c>
      <c r="G8623" t="s">
        <v>16792</v>
      </c>
      <c r="H8623" t="s">
        <v>28391</v>
      </c>
      <c r="J8623" t="s">
        <v>28388</v>
      </c>
      <c r="K8623" s="2" t="str">
        <f>HYPERLINK("http://collections.slsa.sa.gov.au/mpcimg/15500/B15410.htm")</f>
        <v>http://collections.slsa.sa.gov.au/mpcimg/15500/B15410.htm</v>
      </c>
    </row>
    <row r="8624" spans="1:11" x14ac:dyDescent="0.25">
      <c r="A8624" t="s">
        <v>28392</v>
      </c>
      <c r="B8624" s="1" t="str">
        <f>HYPERLINK("https://www.catalog.slsa.sa.gov.au/record=b2058827")</f>
        <v>https://www.catalog.slsa.sa.gov.au/record=b2058827</v>
      </c>
      <c r="C8624" s="1" t="str">
        <f>HYPERLINK("https://www.catalog.slsa.sa.gov.au/xrecord=b2058827")</f>
        <v>https://www.catalog.slsa.sa.gov.au/xrecord=b2058827</v>
      </c>
      <c r="D8624" t="s">
        <v>16831</v>
      </c>
      <c r="E8624" t="s">
        <v>16796</v>
      </c>
      <c r="F8624">
        <v>1964</v>
      </c>
      <c r="G8624" t="s">
        <v>16792</v>
      </c>
      <c r="H8624" t="s">
        <v>28393</v>
      </c>
      <c r="J8624" t="s">
        <v>21000</v>
      </c>
      <c r="K8624" s="2" t="str">
        <f>HYPERLINK("http://collections.slsa.sa.gov.au/mpcimg/15500/B15405.htm")</f>
        <v>http://collections.slsa.sa.gov.au/mpcimg/15500/B15405.htm</v>
      </c>
    </row>
    <row r="8625" spans="1:11" x14ac:dyDescent="0.25">
      <c r="A8625" t="s">
        <v>28394</v>
      </c>
      <c r="B8625" s="1" t="str">
        <f>HYPERLINK("https://www.catalog.slsa.sa.gov.au/record=b2059494")</f>
        <v>https://www.catalog.slsa.sa.gov.au/record=b2059494</v>
      </c>
      <c r="C8625" s="1" t="str">
        <f>HYPERLINK("https://www.catalog.slsa.sa.gov.au/xrecord=b2059494")</f>
        <v>https://www.catalog.slsa.sa.gov.au/xrecord=b2059494</v>
      </c>
      <c r="D8625" t="s">
        <v>16831</v>
      </c>
      <c r="E8625" t="s">
        <v>20096</v>
      </c>
      <c r="F8625">
        <v>1964</v>
      </c>
      <c r="G8625" t="s">
        <v>28373</v>
      </c>
      <c r="H8625" t="s">
        <v>28395</v>
      </c>
      <c r="J8625" t="s">
        <v>22844</v>
      </c>
      <c r="K8625" s="2" t="str">
        <f>HYPERLINK("http://collections.slsa.sa.gov.au/mpcimg/15750/B15710.htm")</f>
        <v>http://collections.slsa.sa.gov.au/mpcimg/15750/B15710.htm</v>
      </c>
    </row>
    <row r="8626" spans="1:11" x14ac:dyDescent="0.25">
      <c r="A8626" t="s">
        <v>28396</v>
      </c>
      <c r="B8626" s="1" t="str">
        <f>HYPERLINK("https://www.catalog.slsa.sa.gov.au/record=b2059590")</f>
        <v>https://www.catalog.slsa.sa.gov.au/record=b2059590</v>
      </c>
      <c r="C8626" s="1" t="str">
        <f>HYPERLINK("https://www.catalog.slsa.sa.gov.au/xrecord=b2059590")</f>
        <v>https://www.catalog.slsa.sa.gov.au/xrecord=b2059590</v>
      </c>
      <c r="D8626" t="s">
        <v>16831</v>
      </c>
      <c r="E8626" t="s">
        <v>20096</v>
      </c>
      <c r="F8626">
        <v>1964</v>
      </c>
      <c r="G8626" t="s">
        <v>28373</v>
      </c>
      <c r="H8626" t="s">
        <v>28397</v>
      </c>
      <c r="J8626" t="s">
        <v>25390</v>
      </c>
      <c r="K8626" s="2" t="str">
        <f>HYPERLINK("http://collections.slsa.sa.gov.au/mpcimg/15750/B15568.htm")</f>
        <v>http://collections.slsa.sa.gov.au/mpcimg/15750/B15568.htm</v>
      </c>
    </row>
    <row r="8627" spans="1:11" x14ac:dyDescent="0.25">
      <c r="A8627" t="s">
        <v>28398</v>
      </c>
      <c r="B8627" s="1" t="str">
        <f>HYPERLINK("https://www.catalog.slsa.sa.gov.au/record=b2059642")</f>
        <v>https://www.catalog.slsa.sa.gov.au/record=b2059642</v>
      </c>
      <c r="C8627" s="1" t="str">
        <f>HYPERLINK("https://www.catalog.slsa.sa.gov.au/xrecord=b2059642")</f>
        <v>https://www.catalog.slsa.sa.gov.au/xrecord=b2059642</v>
      </c>
      <c r="D8627" t="s">
        <v>16831</v>
      </c>
      <c r="E8627" t="s">
        <v>28399</v>
      </c>
      <c r="F8627">
        <v>1964</v>
      </c>
      <c r="G8627" t="s">
        <v>16792</v>
      </c>
      <c r="H8627" t="s">
        <v>28400</v>
      </c>
      <c r="J8627" t="s">
        <v>22854</v>
      </c>
      <c r="K8627" s="2" t="str">
        <f>HYPERLINK("http://collections.slsa.sa.gov.au/mpcimg/15500/B15295.htm")</f>
        <v>http://collections.slsa.sa.gov.au/mpcimg/15500/B15295.htm</v>
      </c>
    </row>
    <row r="8628" spans="1:11" x14ac:dyDescent="0.25">
      <c r="A8628" t="s">
        <v>28401</v>
      </c>
      <c r="B8628" s="1" t="str">
        <f>HYPERLINK("https://www.catalog.slsa.sa.gov.au/record=b2059719")</f>
        <v>https://www.catalog.slsa.sa.gov.au/record=b2059719</v>
      </c>
      <c r="C8628" s="1" t="str">
        <f>HYPERLINK("https://www.catalog.slsa.sa.gov.au/xrecord=b2059719")</f>
        <v>https://www.catalog.slsa.sa.gov.au/xrecord=b2059719</v>
      </c>
      <c r="D8628" t="s">
        <v>16831</v>
      </c>
      <c r="E8628" t="s">
        <v>5365</v>
      </c>
      <c r="F8628">
        <v>1964</v>
      </c>
      <c r="G8628" t="s">
        <v>28373</v>
      </c>
      <c r="H8628" t="s">
        <v>28402</v>
      </c>
      <c r="J8628" t="s">
        <v>24243</v>
      </c>
      <c r="K8628" s="2" t="str">
        <f>HYPERLINK("http://collections.slsa.sa.gov.au/mpcimg/15750/B15680.htm")</f>
        <v>http://collections.slsa.sa.gov.au/mpcimg/15750/B15680.htm</v>
      </c>
    </row>
    <row r="8629" spans="1:11" x14ac:dyDescent="0.25">
      <c r="A8629" t="s">
        <v>28403</v>
      </c>
      <c r="B8629" s="1" t="str">
        <f>HYPERLINK("https://www.catalog.slsa.sa.gov.au/record=b2059720")</f>
        <v>https://www.catalog.slsa.sa.gov.au/record=b2059720</v>
      </c>
      <c r="C8629" s="1" t="str">
        <f>HYPERLINK("https://www.catalog.slsa.sa.gov.au/xrecord=b2059720")</f>
        <v>https://www.catalog.slsa.sa.gov.au/xrecord=b2059720</v>
      </c>
      <c r="D8629" t="s">
        <v>16831</v>
      </c>
      <c r="E8629" t="s">
        <v>5365</v>
      </c>
      <c r="F8629">
        <v>1964</v>
      </c>
      <c r="G8629" t="s">
        <v>28373</v>
      </c>
      <c r="H8629" t="s">
        <v>28404</v>
      </c>
      <c r="J8629" t="s">
        <v>24243</v>
      </c>
      <c r="K8629" s="2" t="str">
        <f>HYPERLINK("http://collections.slsa.sa.gov.au/mpcimg/15750/B15681.htm")</f>
        <v>http://collections.slsa.sa.gov.au/mpcimg/15750/B15681.htm</v>
      </c>
    </row>
    <row r="8630" spans="1:11" x14ac:dyDescent="0.25">
      <c r="A8630" t="s">
        <v>28405</v>
      </c>
      <c r="B8630" s="1" t="str">
        <f>HYPERLINK("https://www.catalog.slsa.sa.gov.au/record=b2059721")</f>
        <v>https://www.catalog.slsa.sa.gov.au/record=b2059721</v>
      </c>
      <c r="C8630" s="1" t="str">
        <f>HYPERLINK("https://www.catalog.slsa.sa.gov.au/xrecord=b2059721")</f>
        <v>https://www.catalog.slsa.sa.gov.au/xrecord=b2059721</v>
      </c>
      <c r="D8630" t="s">
        <v>16831</v>
      </c>
      <c r="E8630" t="s">
        <v>5365</v>
      </c>
      <c r="F8630">
        <v>1964</v>
      </c>
      <c r="G8630" t="s">
        <v>28373</v>
      </c>
      <c r="H8630" t="s">
        <v>28404</v>
      </c>
      <c r="J8630" t="s">
        <v>24243</v>
      </c>
      <c r="K8630" s="2" t="str">
        <f>HYPERLINK("http://collections.slsa.sa.gov.au/mpcimg/15750/B15682.htm")</f>
        <v>http://collections.slsa.sa.gov.au/mpcimg/15750/B15682.htm</v>
      </c>
    </row>
    <row r="8631" spans="1:11" x14ac:dyDescent="0.25">
      <c r="A8631" t="s">
        <v>28406</v>
      </c>
      <c r="B8631" s="1" t="str">
        <f>HYPERLINK("https://www.catalog.slsa.sa.gov.au/record=b2059722")</f>
        <v>https://www.catalog.slsa.sa.gov.au/record=b2059722</v>
      </c>
      <c r="C8631" s="1" t="str">
        <f>HYPERLINK("https://www.catalog.slsa.sa.gov.au/xrecord=b2059722")</f>
        <v>https://www.catalog.slsa.sa.gov.au/xrecord=b2059722</v>
      </c>
      <c r="D8631" t="s">
        <v>16831</v>
      </c>
      <c r="E8631" t="s">
        <v>5365</v>
      </c>
      <c r="F8631">
        <v>1964</v>
      </c>
      <c r="G8631" t="s">
        <v>28373</v>
      </c>
      <c r="H8631" t="s">
        <v>28407</v>
      </c>
      <c r="J8631" t="s">
        <v>24243</v>
      </c>
      <c r="K8631" s="2" t="str">
        <f>HYPERLINK("http://collections.slsa.sa.gov.au/mpcimg/15750/B15683.htm")</f>
        <v>http://collections.slsa.sa.gov.au/mpcimg/15750/B15683.htm</v>
      </c>
    </row>
    <row r="8632" spans="1:11" x14ac:dyDescent="0.25">
      <c r="A8632" t="s">
        <v>28408</v>
      </c>
      <c r="B8632" s="1" t="str">
        <f>HYPERLINK("https://www.catalog.slsa.sa.gov.au/record=b2059723")</f>
        <v>https://www.catalog.slsa.sa.gov.au/record=b2059723</v>
      </c>
      <c r="C8632" s="1" t="str">
        <f>HYPERLINK("https://www.catalog.slsa.sa.gov.au/xrecord=b2059723")</f>
        <v>https://www.catalog.slsa.sa.gov.au/xrecord=b2059723</v>
      </c>
      <c r="D8632" t="s">
        <v>16831</v>
      </c>
      <c r="E8632" t="s">
        <v>5365</v>
      </c>
      <c r="F8632">
        <v>1964</v>
      </c>
      <c r="G8632" t="s">
        <v>28373</v>
      </c>
      <c r="H8632" t="s">
        <v>28409</v>
      </c>
      <c r="J8632" t="s">
        <v>24243</v>
      </c>
      <c r="K8632" s="2" t="str">
        <f>HYPERLINK("http://collections.slsa.sa.gov.au/mpcimg/15750/B15685.htm")</f>
        <v>http://collections.slsa.sa.gov.au/mpcimg/15750/B15685.htm</v>
      </c>
    </row>
    <row r="8633" spans="1:11" x14ac:dyDescent="0.25">
      <c r="A8633" t="s">
        <v>28410</v>
      </c>
      <c r="B8633" s="1" t="str">
        <f>HYPERLINK("https://www.catalog.slsa.sa.gov.au/record=b2059724")</f>
        <v>https://www.catalog.slsa.sa.gov.au/record=b2059724</v>
      </c>
      <c r="C8633" s="1" t="str">
        <f>HYPERLINK("https://www.catalog.slsa.sa.gov.au/xrecord=b2059724")</f>
        <v>https://www.catalog.slsa.sa.gov.au/xrecord=b2059724</v>
      </c>
      <c r="D8633" t="s">
        <v>16831</v>
      </c>
      <c r="E8633" t="s">
        <v>5365</v>
      </c>
      <c r="F8633">
        <v>1964</v>
      </c>
      <c r="G8633" t="s">
        <v>28373</v>
      </c>
      <c r="H8633" t="s">
        <v>28411</v>
      </c>
      <c r="J8633" t="s">
        <v>24243</v>
      </c>
      <c r="K8633" s="2" t="str">
        <f>HYPERLINK("http://collections.slsa.sa.gov.au/mpcimg/15750/B15684.htm")</f>
        <v>http://collections.slsa.sa.gov.au/mpcimg/15750/B15684.htm</v>
      </c>
    </row>
    <row r="8634" spans="1:11" x14ac:dyDescent="0.25">
      <c r="A8634" t="s">
        <v>28412</v>
      </c>
      <c r="B8634" s="1" t="str">
        <f>HYPERLINK("https://www.catalog.slsa.sa.gov.au/record=b2059725")</f>
        <v>https://www.catalog.slsa.sa.gov.au/record=b2059725</v>
      </c>
      <c r="C8634" s="1" t="str">
        <f>HYPERLINK("https://www.catalog.slsa.sa.gov.au/xrecord=b2059725")</f>
        <v>https://www.catalog.slsa.sa.gov.au/xrecord=b2059725</v>
      </c>
      <c r="D8634" t="s">
        <v>16831</v>
      </c>
      <c r="E8634" t="s">
        <v>5365</v>
      </c>
      <c r="F8634">
        <v>1964</v>
      </c>
      <c r="G8634" t="s">
        <v>28373</v>
      </c>
      <c r="H8634" t="s">
        <v>28413</v>
      </c>
      <c r="J8634" t="s">
        <v>24243</v>
      </c>
      <c r="K8634" s="2" t="str">
        <f>HYPERLINK("http://collections.slsa.sa.gov.au/mpcimg/15750/B15687.htm")</f>
        <v>http://collections.slsa.sa.gov.au/mpcimg/15750/B15687.htm</v>
      </c>
    </row>
    <row r="8635" spans="1:11" x14ac:dyDescent="0.25">
      <c r="A8635" t="s">
        <v>28414</v>
      </c>
      <c r="B8635" s="1" t="str">
        <f>HYPERLINK("https://www.catalog.slsa.sa.gov.au/record=b2059726")</f>
        <v>https://www.catalog.slsa.sa.gov.au/record=b2059726</v>
      </c>
      <c r="C8635" s="1" t="str">
        <f>HYPERLINK("https://www.catalog.slsa.sa.gov.au/xrecord=b2059726")</f>
        <v>https://www.catalog.slsa.sa.gov.au/xrecord=b2059726</v>
      </c>
      <c r="D8635" t="s">
        <v>16831</v>
      </c>
      <c r="E8635" t="s">
        <v>5365</v>
      </c>
      <c r="F8635">
        <v>1964</v>
      </c>
      <c r="G8635" t="s">
        <v>28373</v>
      </c>
      <c r="H8635" t="s">
        <v>28413</v>
      </c>
      <c r="J8635" t="s">
        <v>24243</v>
      </c>
      <c r="K8635" s="2" t="str">
        <f>HYPERLINK("http://collections.slsa.sa.gov.au/mpcimg/15750/B15686.htm")</f>
        <v>http://collections.slsa.sa.gov.au/mpcimg/15750/B15686.htm</v>
      </c>
    </row>
    <row r="8636" spans="1:11" x14ac:dyDescent="0.25">
      <c r="A8636" t="s">
        <v>28415</v>
      </c>
      <c r="B8636" s="1" t="str">
        <f>HYPERLINK("https://www.catalog.slsa.sa.gov.au/record=b2059727")</f>
        <v>https://www.catalog.slsa.sa.gov.au/record=b2059727</v>
      </c>
      <c r="C8636" s="1" t="str">
        <f>HYPERLINK("https://www.catalog.slsa.sa.gov.au/xrecord=b2059727")</f>
        <v>https://www.catalog.slsa.sa.gov.au/xrecord=b2059727</v>
      </c>
      <c r="D8636" t="s">
        <v>16831</v>
      </c>
      <c r="E8636" t="s">
        <v>5365</v>
      </c>
      <c r="F8636">
        <v>1964</v>
      </c>
      <c r="G8636" t="s">
        <v>28373</v>
      </c>
      <c r="H8636" t="s">
        <v>28413</v>
      </c>
      <c r="J8636" t="s">
        <v>24243</v>
      </c>
      <c r="K8636" s="2" t="str">
        <f>HYPERLINK("http://collections.slsa.sa.gov.au/mpcimg/15750/B15689.htm")</f>
        <v>http://collections.slsa.sa.gov.au/mpcimg/15750/B15689.htm</v>
      </c>
    </row>
    <row r="8637" spans="1:11" x14ac:dyDescent="0.25">
      <c r="A8637" t="s">
        <v>28416</v>
      </c>
      <c r="B8637" s="1" t="str">
        <f>HYPERLINK("https://www.catalog.slsa.sa.gov.au/record=b2059728")</f>
        <v>https://www.catalog.slsa.sa.gov.au/record=b2059728</v>
      </c>
      <c r="C8637" s="1" t="str">
        <f>HYPERLINK("https://www.catalog.slsa.sa.gov.au/xrecord=b2059728")</f>
        <v>https://www.catalog.slsa.sa.gov.au/xrecord=b2059728</v>
      </c>
      <c r="D8637" t="s">
        <v>16831</v>
      </c>
      <c r="E8637" t="s">
        <v>5365</v>
      </c>
      <c r="F8637">
        <v>1964</v>
      </c>
      <c r="G8637" t="s">
        <v>28373</v>
      </c>
      <c r="H8637" t="s">
        <v>28417</v>
      </c>
      <c r="J8637" t="s">
        <v>24243</v>
      </c>
      <c r="K8637" s="2" t="str">
        <f>HYPERLINK("http://collections.slsa.sa.gov.au/mpcimg/15750/B15688.htm")</f>
        <v>http://collections.slsa.sa.gov.au/mpcimg/15750/B15688.htm</v>
      </c>
    </row>
    <row r="8638" spans="1:11" x14ac:dyDescent="0.25">
      <c r="A8638" t="s">
        <v>28418</v>
      </c>
      <c r="B8638" s="1" t="str">
        <f>HYPERLINK("https://www.catalog.slsa.sa.gov.au/record=b2059889")</f>
        <v>https://www.catalog.slsa.sa.gov.au/record=b2059889</v>
      </c>
      <c r="C8638" s="1" t="str">
        <f>HYPERLINK("https://www.catalog.slsa.sa.gov.au/xrecord=b2059889")</f>
        <v>https://www.catalog.slsa.sa.gov.au/xrecord=b2059889</v>
      </c>
      <c r="D8638" t="s">
        <v>16831</v>
      </c>
      <c r="E8638" t="s">
        <v>15191</v>
      </c>
      <c r="F8638">
        <v>1964</v>
      </c>
      <c r="G8638" t="s">
        <v>16792</v>
      </c>
      <c r="H8638" t="s">
        <v>28419</v>
      </c>
      <c r="J8638" t="s">
        <v>21044</v>
      </c>
      <c r="K8638" s="2" t="str">
        <f>HYPERLINK("http://collections.slsa.sa.gov.au/mpcimg/15500/B15293.htm")</f>
        <v>http://collections.slsa.sa.gov.au/mpcimg/15500/B15293.htm</v>
      </c>
    </row>
    <row r="8639" spans="1:11" x14ac:dyDescent="0.25">
      <c r="A8639" t="s">
        <v>28420</v>
      </c>
      <c r="B8639" s="1" t="str">
        <f>HYPERLINK("https://www.catalog.slsa.sa.gov.au/record=b2059890")</f>
        <v>https://www.catalog.slsa.sa.gov.au/record=b2059890</v>
      </c>
      <c r="C8639" s="1" t="str">
        <f>HYPERLINK("https://www.catalog.slsa.sa.gov.au/xrecord=b2059890")</f>
        <v>https://www.catalog.slsa.sa.gov.au/xrecord=b2059890</v>
      </c>
      <c r="D8639" t="s">
        <v>16831</v>
      </c>
      <c r="E8639" t="s">
        <v>21232</v>
      </c>
      <c r="F8639">
        <v>1964</v>
      </c>
      <c r="G8639" t="s">
        <v>16792</v>
      </c>
      <c r="H8639" t="s">
        <v>28421</v>
      </c>
      <c r="J8639" t="s">
        <v>21044</v>
      </c>
      <c r="K8639" s="2" t="str">
        <f>HYPERLINK("http://collections.slsa.sa.gov.au/mpcimg/15500/B15414.htm")</f>
        <v>http://collections.slsa.sa.gov.au/mpcimg/15500/B15414.htm</v>
      </c>
    </row>
    <row r="8640" spans="1:11" x14ac:dyDescent="0.25">
      <c r="A8640" t="s">
        <v>28422</v>
      </c>
      <c r="B8640" s="1" t="str">
        <f>HYPERLINK("https://www.catalog.slsa.sa.gov.au/record=b2060222")</f>
        <v>https://www.catalog.slsa.sa.gov.au/record=b2060222</v>
      </c>
      <c r="C8640" s="1" t="str">
        <f>HYPERLINK("https://www.catalog.slsa.sa.gov.au/xrecord=b2060222")</f>
        <v>https://www.catalog.slsa.sa.gov.au/xrecord=b2060222</v>
      </c>
      <c r="D8640" t="s">
        <v>16831</v>
      </c>
      <c r="E8640" t="s">
        <v>22149</v>
      </c>
      <c r="F8640">
        <v>1964</v>
      </c>
      <c r="G8640" t="s">
        <v>16792</v>
      </c>
      <c r="H8640" t="s">
        <v>28423</v>
      </c>
      <c r="J8640" t="s">
        <v>24284</v>
      </c>
      <c r="K8640" s="2" t="str">
        <f>HYPERLINK("http://collections.slsa.sa.gov.au/mpcimg/15500/B15302.htm")</f>
        <v>http://collections.slsa.sa.gov.au/mpcimg/15500/B15302.htm</v>
      </c>
    </row>
    <row r="8641" spans="1:11" x14ac:dyDescent="0.25">
      <c r="A8641" t="s">
        <v>28424</v>
      </c>
      <c r="B8641" s="1" t="str">
        <f>HYPERLINK("https://www.catalog.slsa.sa.gov.au/record=b2060223")</f>
        <v>https://www.catalog.slsa.sa.gov.au/record=b2060223</v>
      </c>
      <c r="C8641" s="1" t="str">
        <f>HYPERLINK("https://www.catalog.slsa.sa.gov.au/xrecord=b2060223")</f>
        <v>https://www.catalog.slsa.sa.gov.au/xrecord=b2060223</v>
      </c>
      <c r="D8641" t="s">
        <v>16831</v>
      </c>
      <c r="E8641" t="s">
        <v>22149</v>
      </c>
      <c r="F8641">
        <v>1964</v>
      </c>
      <c r="G8641" t="s">
        <v>16792</v>
      </c>
      <c r="H8641" t="s">
        <v>28425</v>
      </c>
      <c r="J8641" t="s">
        <v>24284</v>
      </c>
      <c r="K8641" s="2" t="str">
        <f>HYPERLINK("http://collections.slsa.sa.gov.au/mpcimg/15500/B15303.htm")</f>
        <v>http://collections.slsa.sa.gov.au/mpcimg/15500/B15303.htm</v>
      </c>
    </row>
    <row r="8642" spans="1:11" x14ac:dyDescent="0.25">
      <c r="A8642" t="s">
        <v>28426</v>
      </c>
      <c r="B8642" s="1" t="str">
        <f>HYPERLINK("https://www.catalog.slsa.sa.gov.au/record=b2060790")</f>
        <v>https://www.catalog.slsa.sa.gov.au/record=b2060790</v>
      </c>
      <c r="C8642" s="1" t="str">
        <f>HYPERLINK("https://www.catalog.slsa.sa.gov.au/xrecord=b2060790")</f>
        <v>https://www.catalog.slsa.sa.gov.au/xrecord=b2060790</v>
      </c>
      <c r="D8642" t="s">
        <v>16831</v>
      </c>
      <c r="E8642" t="s">
        <v>21232</v>
      </c>
      <c r="F8642">
        <v>1964</v>
      </c>
      <c r="G8642" t="s">
        <v>28373</v>
      </c>
      <c r="H8642" t="s">
        <v>28427</v>
      </c>
      <c r="J8642" t="s">
        <v>22878</v>
      </c>
      <c r="K8642" s="2" t="str">
        <f>HYPERLINK("http://collections.slsa.sa.gov.au/mpcimg/15750/B15558.htm")</f>
        <v>http://collections.slsa.sa.gov.au/mpcimg/15750/B15558.htm</v>
      </c>
    </row>
    <row r="8643" spans="1:11" x14ac:dyDescent="0.25">
      <c r="A8643" t="s">
        <v>28428</v>
      </c>
      <c r="B8643" s="1" t="str">
        <f>HYPERLINK("https://www.catalog.slsa.sa.gov.au/record=b2061050")</f>
        <v>https://www.catalog.slsa.sa.gov.au/record=b2061050</v>
      </c>
      <c r="C8643" s="1" t="str">
        <f>HYPERLINK("https://www.catalog.slsa.sa.gov.au/xrecord=b2061050")</f>
        <v>https://www.catalog.slsa.sa.gov.au/xrecord=b2061050</v>
      </c>
      <c r="D8643" t="s">
        <v>16831</v>
      </c>
      <c r="E8643" t="s">
        <v>24362</v>
      </c>
      <c r="F8643">
        <v>1964</v>
      </c>
      <c r="G8643" t="s">
        <v>16792</v>
      </c>
      <c r="H8643" t="s">
        <v>28429</v>
      </c>
      <c r="J8643" t="s">
        <v>24364</v>
      </c>
      <c r="K8643" s="2" t="str">
        <f>HYPERLINK("http://collections.slsa.sa.gov.au/mpcimg/15500/B15277.htm")</f>
        <v>http://collections.slsa.sa.gov.au/mpcimg/15500/B15277.htm</v>
      </c>
    </row>
    <row r="8644" spans="1:11" x14ac:dyDescent="0.25">
      <c r="A8644" t="s">
        <v>28430</v>
      </c>
      <c r="B8644" s="1" t="str">
        <f>HYPERLINK("https://www.catalog.slsa.sa.gov.au/record=b2061157")</f>
        <v>https://www.catalog.slsa.sa.gov.au/record=b2061157</v>
      </c>
      <c r="C8644" s="1" t="str">
        <f>HYPERLINK("https://www.catalog.slsa.sa.gov.au/xrecord=b2061157")</f>
        <v>https://www.catalog.slsa.sa.gov.au/xrecord=b2061157</v>
      </c>
      <c r="D8644" t="s">
        <v>16831</v>
      </c>
      <c r="E8644" t="s">
        <v>21118</v>
      </c>
      <c r="F8644">
        <v>1964</v>
      </c>
      <c r="G8644" t="s">
        <v>16792</v>
      </c>
      <c r="H8644" t="s">
        <v>28431</v>
      </c>
      <c r="J8644" t="s">
        <v>21146</v>
      </c>
      <c r="K8644" s="2" t="str">
        <f>HYPERLINK("http://collections.slsa.sa.gov.au/mpcimg/15500/B15407.htm")</f>
        <v>http://collections.slsa.sa.gov.au/mpcimg/15500/B15407.htm</v>
      </c>
    </row>
    <row r="8645" spans="1:11" x14ac:dyDescent="0.25">
      <c r="A8645" t="s">
        <v>28432</v>
      </c>
      <c r="B8645" s="1" t="str">
        <f>HYPERLINK("https://www.catalog.slsa.sa.gov.au/record=b2061369")</f>
        <v>https://www.catalog.slsa.sa.gov.au/record=b2061369</v>
      </c>
      <c r="C8645" s="1" t="str">
        <f>HYPERLINK("https://www.catalog.slsa.sa.gov.au/xrecord=b2061369")</f>
        <v>https://www.catalog.slsa.sa.gov.au/xrecord=b2061369</v>
      </c>
      <c r="D8645" t="s">
        <v>16831</v>
      </c>
      <c r="E8645" t="s">
        <v>21099</v>
      </c>
      <c r="F8645">
        <v>1964</v>
      </c>
      <c r="G8645" t="s">
        <v>28373</v>
      </c>
      <c r="H8645" t="s">
        <v>28433</v>
      </c>
      <c r="J8645" t="s">
        <v>28434</v>
      </c>
      <c r="K8645" s="2" t="str">
        <f>HYPERLINK("http://collections.slsa.sa.gov.au/mpcimg/15750/B15556.htm")</f>
        <v>http://collections.slsa.sa.gov.au/mpcimg/15750/B15556.htm</v>
      </c>
    </row>
    <row r="8646" spans="1:11" x14ac:dyDescent="0.25">
      <c r="A8646" t="s">
        <v>28435</v>
      </c>
      <c r="B8646" s="1" t="str">
        <f>HYPERLINK("https://www.catalog.slsa.sa.gov.au/record=b2061370")</f>
        <v>https://www.catalog.slsa.sa.gov.au/record=b2061370</v>
      </c>
      <c r="C8646" s="1" t="str">
        <f>HYPERLINK("https://www.catalog.slsa.sa.gov.au/xrecord=b2061370")</f>
        <v>https://www.catalog.slsa.sa.gov.au/xrecord=b2061370</v>
      </c>
      <c r="D8646" t="s">
        <v>16831</v>
      </c>
      <c r="E8646" t="s">
        <v>21099</v>
      </c>
      <c r="F8646">
        <v>1964</v>
      </c>
      <c r="G8646" t="s">
        <v>28373</v>
      </c>
      <c r="H8646" t="s">
        <v>28436</v>
      </c>
      <c r="J8646" t="s">
        <v>28434</v>
      </c>
      <c r="K8646" s="2" t="str">
        <f>HYPERLINK("http://collections.slsa.sa.gov.au/mpcimg/15750/B15557.htm")</f>
        <v>http://collections.slsa.sa.gov.au/mpcimg/15750/B15557.htm</v>
      </c>
    </row>
    <row r="8647" spans="1:11" x14ac:dyDescent="0.25">
      <c r="A8647" t="s">
        <v>28437</v>
      </c>
      <c r="B8647" s="1" t="str">
        <f>HYPERLINK("https://www.catalog.slsa.sa.gov.au/record=b2061392")</f>
        <v>https://www.catalog.slsa.sa.gov.au/record=b2061392</v>
      </c>
      <c r="C8647" s="1" t="str">
        <f>HYPERLINK("https://www.catalog.slsa.sa.gov.au/xrecord=b2061392")</f>
        <v>https://www.catalog.slsa.sa.gov.au/xrecord=b2061392</v>
      </c>
      <c r="D8647" t="s">
        <v>16831</v>
      </c>
      <c r="E8647" t="s">
        <v>21099</v>
      </c>
      <c r="F8647">
        <v>1964</v>
      </c>
      <c r="G8647" t="s">
        <v>16792</v>
      </c>
      <c r="H8647" t="s">
        <v>28438</v>
      </c>
      <c r="J8647" t="s">
        <v>21160</v>
      </c>
      <c r="K8647" s="2" t="str">
        <f>HYPERLINK("http://collections.slsa.sa.gov.au/mpcimg/15500/B15401.htm")</f>
        <v>http://collections.slsa.sa.gov.au/mpcimg/15500/B15401.htm</v>
      </c>
    </row>
    <row r="8648" spans="1:11" x14ac:dyDescent="0.25">
      <c r="A8648" t="s">
        <v>28439</v>
      </c>
      <c r="B8648" s="1" t="str">
        <f>HYPERLINK("https://www.catalog.slsa.sa.gov.au/record=b2061408")</f>
        <v>https://www.catalog.slsa.sa.gov.au/record=b2061408</v>
      </c>
      <c r="C8648" s="1" t="str">
        <f>HYPERLINK("https://www.catalog.slsa.sa.gov.au/xrecord=b2061408")</f>
        <v>https://www.catalog.slsa.sa.gov.au/xrecord=b2061408</v>
      </c>
      <c r="D8648" t="s">
        <v>16831</v>
      </c>
      <c r="E8648" t="s">
        <v>21099</v>
      </c>
      <c r="F8648">
        <v>1964</v>
      </c>
      <c r="G8648" t="s">
        <v>16792</v>
      </c>
      <c r="H8648" t="s">
        <v>28440</v>
      </c>
      <c r="J8648" t="s">
        <v>24402</v>
      </c>
      <c r="K8648" s="2" t="str">
        <f>HYPERLINK("http://collections.slsa.sa.gov.au/mpcimg/15500/B15288.htm")</f>
        <v>http://collections.slsa.sa.gov.au/mpcimg/15500/B15288.htm</v>
      </c>
    </row>
    <row r="8649" spans="1:11" x14ac:dyDescent="0.25">
      <c r="A8649" t="s">
        <v>28441</v>
      </c>
      <c r="B8649" s="1" t="str">
        <f>HYPERLINK("https://www.catalog.slsa.sa.gov.au/record=b2061457")</f>
        <v>https://www.catalog.slsa.sa.gov.au/record=b2061457</v>
      </c>
      <c r="C8649" s="1" t="str">
        <f>HYPERLINK("https://www.catalog.slsa.sa.gov.au/xrecord=b2061457")</f>
        <v>https://www.catalog.slsa.sa.gov.au/xrecord=b2061457</v>
      </c>
      <c r="D8649" t="s">
        <v>16831</v>
      </c>
      <c r="E8649" t="s">
        <v>28442</v>
      </c>
      <c r="F8649">
        <v>1964</v>
      </c>
      <c r="G8649" t="s">
        <v>28373</v>
      </c>
      <c r="H8649" t="s">
        <v>28443</v>
      </c>
      <c r="J8649" t="s">
        <v>28444</v>
      </c>
      <c r="K8649" s="2" t="str">
        <f>HYPERLINK("http://collections.slsa.sa.gov.au/mpcimg/15750/B15706.htm")</f>
        <v>http://collections.slsa.sa.gov.au/mpcimg/15750/B15706.htm</v>
      </c>
    </row>
    <row r="8650" spans="1:11" x14ac:dyDescent="0.25">
      <c r="A8650" t="s">
        <v>28445</v>
      </c>
      <c r="B8650" s="1" t="str">
        <f>HYPERLINK("https://www.catalog.slsa.sa.gov.au/record=b2061501")</f>
        <v>https://www.catalog.slsa.sa.gov.au/record=b2061501</v>
      </c>
      <c r="C8650" s="1" t="str">
        <f>HYPERLINK("https://www.catalog.slsa.sa.gov.au/xrecord=b2061501")</f>
        <v>https://www.catalog.slsa.sa.gov.au/xrecord=b2061501</v>
      </c>
      <c r="D8650" t="s">
        <v>16831</v>
      </c>
      <c r="E8650" t="s">
        <v>21178</v>
      </c>
      <c r="F8650">
        <v>1964</v>
      </c>
      <c r="G8650" t="s">
        <v>16674</v>
      </c>
      <c r="H8650" t="s">
        <v>28446</v>
      </c>
      <c r="J8650" t="s">
        <v>28447</v>
      </c>
      <c r="K8650" s="2" t="str">
        <f>HYPERLINK("http://collections.slsa.sa.gov.au/mpcimg/15500/B15304.htm")</f>
        <v>http://collections.slsa.sa.gov.au/mpcimg/15500/B15304.htm</v>
      </c>
    </row>
    <row r="8651" spans="1:11" x14ac:dyDescent="0.25">
      <c r="A8651" t="s">
        <v>28448</v>
      </c>
      <c r="B8651" s="1" t="str">
        <f>HYPERLINK("https://www.catalog.slsa.sa.gov.au/record=b2061692")</f>
        <v>https://www.catalog.slsa.sa.gov.au/record=b2061692</v>
      </c>
      <c r="C8651" s="1" t="str">
        <f>HYPERLINK("https://www.catalog.slsa.sa.gov.au/xrecord=b2061692")</f>
        <v>https://www.catalog.slsa.sa.gov.au/xrecord=b2061692</v>
      </c>
      <c r="D8651" t="s">
        <v>16831</v>
      </c>
      <c r="E8651" t="s">
        <v>24451</v>
      </c>
      <c r="F8651">
        <v>1964</v>
      </c>
      <c r="G8651" t="s">
        <v>16674</v>
      </c>
      <c r="H8651" t="s">
        <v>28449</v>
      </c>
      <c r="J8651" t="s">
        <v>26022</v>
      </c>
      <c r="K8651" s="2" t="str">
        <f>HYPERLINK("http://collections.slsa.sa.gov.au/mpcimg/15500/B15415.htm")</f>
        <v>http://collections.slsa.sa.gov.au/mpcimg/15500/B15415.htm</v>
      </c>
    </row>
    <row r="8652" spans="1:11" x14ac:dyDescent="0.25">
      <c r="A8652" t="s">
        <v>28450</v>
      </c>
      <c r="B8652" s="1" t="str">
        <f>HYPERLINK("https://www.catalog.slsa.sa.gov.au/record=b2061796")</f>
        <v>https://www.catalog.slsa.sa.gov.au/record=b2061796</v>
      </c>
      <c r="C8652" s="1" t="str">
        <f>HYPERLINK("https://www.catalog.slsa.sa.gov.au/xrecord=b2061796")</f>
        <v>https://www.catalog.slsa.sa.gov.au/xrecord=b2061796</v>
      </c>
      <c r="D8652" t="s">
        <v>16831</v>
      </c>
      <c r="E8652" t="s">
        <v>28451</v>
      </c>
      <c r="F8652">
        <v>1964</v>
      </c>
      <c r="G8652" t="s">
        <v>16792</v>
      </c>
      <c r="H8652" t="s">
        <v>28452</v>
      </c>
      <c r="J8652" t="s">
        <v>26384</v>
      </c>
      <c r="K8652" s="2" t="str">
        <f>HYPERLINK("http://collections.slsa.sa.gov.au/mpcimg/15500/B15406.htm")</f>
        <v>http://collections.slsa.sa.gov.au/mpcimg/15500/B15406.htm</v>
      </c>
    </row>
    <row r="8653" spans="1:11" x14ac:dyDescent="0.25">
      <c r="A8653" t="s">
        <v>28453</v>
      </c>
      <c r="B8653" s="1" t="str">
        <f>HYPERLINK("https://www.catalog.slsa.sa.gov.au/record=b2061835")</f>
        <v>https://www.catalog.slsa.sa.gov.au/record=b2061835</v>
      </c>
      <c r="C8653" s="1" t="str">
        <f>HYPERLINK("https://www.catalog.slsa.sa.gov.au/xrecord=b2061835")</f>
        <v>https://www.catalog.slsa.sa.gov.au/xrecord=b2061835</v>
      </c>
      <c r="D8653" t="s">
        <v>16831</v>
      </c>
      <c r="E8653" t="s">
        <v>16771</v>
      </c>
      <c r="F8653">
        <v>1964</v>
      </c>
      <c r="G8653" t="s">
        <v>28373</v>
      </c>
      <c r="H8653" t="s">
        <v>28454</v>
      </c>
      <c r="J8653" t="s">
        <v>21206</v>
      </c>
      <c r="K8653" s="2" t="str">
        <f>HYPERLINK("http://collections.slsa.sa.gov.au/mpcimg/15750/B15617.htm")</f>
        <v>http://collections.slsa.sa.gov.au/mpcimg/15750/B15617.htm</v>
      </c>
    </row>
    <row r="8654" spans="1:11" x14ac:dyDescent="0.25">
      <c r="A8654" t="s">
        <v>28455</v>
      </c>
      <c r="B8654" s="1" t="str">
        <f>HYPERLINK("https://www.catalog.slsa.sa.gov.au/record=b2061859")</f>
        <v>https://www.catalog.slsa.sa.gov.au/record=b2061859</v>
      </c>
      <c r="C8654" s="1" t="str">
        <f>HYPERLINK("https://www.catalog.slsa.sa.gov.au/xrecord=b2061859")</f>
        <v>https://www.catalog.slsa.sa.gov.au/xrecord=b2061859</v>
      </c>
      <c r="D8654" t="s">
        <v>16831</v>
      </c>
      <c r="E8654" t="s">
        <v>21178</v>
      </c>
      <c r="F8654">
        <v>1964</v>
      </c>
      <c r="G8654" t="s">
        <v>28373</v>
      </c>
      <c r="H8654" t="s">
        <v>28456</v>
      </c>
      <c r="J8654" t="s">
        <v>26390</v>
      </c>
      <c r="K8654" s="2" t="str">
        <f>HYPERLINK("http://collections.slsa.sa.gov.au/mpcimg/15750/B15694.htm")</f>
        <v>http://collections.slsa.sa.gov.au/mpcimg/15750/B15694.htm</v>
      </c>
    </row>
    <row r="8655" spans="1:11" x14ac:dyDescent="0.25">
      <c r="A8655" t="s">
        <v>28457</v>
      </c>
      <c r="B8655" s="1" t="str">
        <f>HYPERLINK("https://www.catalog.slsa.sa.gov.au/record=b2061908")</f>
        <v>https://www.catalog.slsa.sa.gov.au/record=b2061908</v>
      </c>
      <c r="C8655" s="1" t="str">
        <f>HYPERLINK("https://www.catalog.slsa.sa.gov.au/xrecord=b2061908")</f>
        <v>https://www.catalog.slsa.sa.gov.au/xrecord=b2061908</v>
      </c>
      <c r="D8655" t="s">
        <v>16831</v>
      </c>
      <c r="E8655" t="s">
        <v>21208</v>
      </c>
      <c r="F8655">
        <v>1964</v>
      </c>
      <c r="G8655" t="s">
        <v>16792</v>
      </c>
      <c r="H8655" t="s">
        <v>28458</v>
      </c>
      <c r="J8655" t="s">
        <v>28459</v>
      </c>
      <c r="K8655" s="2" t="str">
        <f>HYPERLINK("http://collections.slsa.sa.gov.au/mpcimg/15500/B15281.htm")</f>
        <v>http://collections.slsa.sa.gov.au/mpcimg/15500/B15281.htm</v>
      </c>
    </row>
    <row r="8656" spans="1:11" x14ac:dyDescent="0.25">
      <c r="A8656" t="s">
        <v>28460</v>
      </c>
      <c r="B8656" s="1" t="str">
        <f>HYPERLINK("https://www.catalog.slsa.sa.gov.au/record=b2061914")</f>
        <v>https://www.catalog.slsa.sa.gov.au/record=b2061914</v>
      </c>
      <c r="C8656" s="1" t="str">
        <f>HYPERLINK("https://www.catalog.slsa.sa.gov.au/xrecord=b2061914")</f>
        <v>https://www.catalog.slsa.sa.gov.au/xrecord=b2061914</v>
      </c>
      <c r="D8656" t="s">
        <v>16831</v>
      </c>
      <c r="E8656" t="s">
        <v>21208</v>
      </c>
      <c r="F8656">
        <v>1964</v>
      </c>
      <c r="G8656" t="s">
        <v>16792</v>
      </c>
      <c r="H8656" t="s">
        <v>28461</v>
      </c>
      <c r="J8656" t="s">
        <v>24501</v>
      </c>
      <c r="K8656" s="2" t="str">
        <f>HYPERLINK("http://collections.slsa.sa.gov.au/mpcimg/15500/B15294.htm")</f>
        <v>http://collections.slsa.sa.gov.au/mpcimg/15500/B15294.htm</v>
      </c>
    </row>
    <row r="8657" spans="1:11" x14ac:dyDescent="0.25">
      <c r="A8657" t="s">
        <v>28462</v>
      </c>
      <c r="B8657" s="1" t="str">
        <f>HYPERLINK("https://www.catalog.slsa.sa.gov.au/record=b2061919")</f>
        <v>https://www.catalog.slsa.sa.gov.au/record=b2061919</v>
      </c>
      <c r="C8657" s="1" t="str">
        <f>HYPERLINK("https://www.catalog.slsa.sa.gov.au/xrecord=b2061919")</f>
        <v>https://www.catalog.slsa.sa.gov.au/xrecord=b2061919</v>
      </c>
      <c r="D8657" t="s">
        <v>16831</v>
      </c>
      <c r="E8657" t="s">
        <v>28463</v>
      </c>
      <c r="F8657">
        <v>1964</v>
      </c>
      <c r="G8657" t="s">
        <v>28373</v>
      </c>
      <c r="H8657" t="s">
        <v>28464</v>
      </c>
      <c r="J8657" t="s">
        <v>28465</v>
      </c>
      <c r="K8657" s="2" t="str">
        <f>HYPERLINK("http://collections.slsa.sa.gov.au/mpcimg/15750/B15571.htm")</f>
        <v>http://collections.slsa.sa.gov.au/mpcimg/15750/B15571.htm</v>
      </c>
    </row>
    <row r="8658" spans="1:11" x14ac:dyDescent="0.25">
      <c r="A8658" t="s">
        <v>28466</v>
      </c>
      <c r="B8658" s="1" t="str">
        <f>HYPERLINK("https://www.catalog.slsa.sa.gov.au/record=b2062215")</f>
        <v>https://www.catalog.slsa.sa.gov.au/record=b2062215</v>
      </c>
      <c r="C8658" s="1" t="str">
        <f>HYPERLINK("https://www.catalog.slsa.sa.gov.au/xrecord=b2062215")</f>
        <v>https://www.catalog.slsa.sa.gov.au/xrecord=b2062215</v>
      </c>
      <c r="D8658" t="s">
        <v>16831</v>
      </c>
      <c r="E8658" t="s">
        <v>10268</v>
      </c>
      <c r="F8658">
        <v>1964</v>
      </c>
      <c r="G8658" t="s">
        <v>16792</v>
      </c>
      <c r="H8658" t="s">
        <v>28467</v>
      </c>
      <c r="J8658" t="s">
        <v>24542</v>
      </c>
      <c r="K8658" s="2" t="str">
        <f>HYPERLINK("http://collections.slsa.sa.gov.au/mpcimg/15500/B15279.htm")</f>
        <v>http://collections.slsa.sa.gov.au/mpcimg/15500/B15279.htm</v>
      </c>
    </row>
    <row r="8659" spans="1:11" x14ac:dyDescent="0.25">
      <c r="A8659" t="s">
        <v>28468</v>
      </c>
      <c r="B8659" s="1" t="str">
        <f>HYPERLINK("https://www.catalog.slsa.sa.gov.au/record=b2062223")</f>
        <v>https://www.catalog.slsa.sa.gov.au/record=b2062223</v>
      </c>
      <c r="C8659" s="1" t="str">
        <f>HYPERLINK("https://www.catalog.slsa.sa.gov.au/xrecord=b2062223")</f>
        <v>https://www.catalog.slsa.sa.gov.au/xrecord=b2062223</v>
      </c>
      <c r="D8659" t="s">
        <v>16831</v>
      </c>
      <c r="E8659" t="s">
        <v>10268</v>
      </c>
      <c r="F8659">
        <v>1964</v>
      </c>
      <c r="G8659" t="s">
        <v>16792</v>
      </c>
      <c r="H8659" t="s">
        <v>28469</v>
      </c>
      <c r="J8659" t="s">
        <v>28470</v>
      </c>
      <c r="K8659" s="2" t="str">
        <f>HYPERLINK("http://collections.slsa.sa.gov.au/mpcimg/15500/B15283.htm")</f>
        <v>http://collections.slsa.sa.gov.au/mpcimg/15500/B15283.htm</v>
      </c>
    </row>
    <row r="8660" spans="1:11" x14ac:dyDescent="0.25">
      <c r="A8660" t="s">
        <v>28471</v>
      </c>
      <c r="B8660" s="1" t="str">
        <f>HYPERLINK("https://www.catalog.slsa.sa.gov.au/record=b2062225")</f>
        <v>https://www.catalog.slsa.sa.gov.au/record=b2062225</v>
      </c>
      <c r="C8660" s="1" t="str">
        <f>HYPERLINK("https://www.catalog.slsa.sa.gov.au/xrecord=b2062225")</f>
        <v>https://www.catalog.slsa.sa.gov.au/xrecord=b2062225</v>
      </c>
      <c r="D8660" t="s">
        <v>16831</v>
      </c>
      <c r="E8660" t="s">
        <v>10268</v>
      </c>
      <c r="F8660">
        <v>1964</v>
      </c>
      <c r="G8660" t="s">
        <v>16792</v>
      </c>
      <c r="H8660" t="s">
        <v>28472</v>
      </c>
      <c r="J8660" t="s">
        <v>28470</v>
      </c>
      <c r="K8660" s="2" t="str">
        <f>HYPERLINK("http://collections.slsa.sa.gov.au/mpcimg/15500/B15420.htm")</f>
        <v>http://collections.slsa.sa.gov.au/mpcimg/15500/B15420.htm</v>
      </c>
    </row>
    <row r="8661" spans="1:11" x14ac:dyDescent="0.25">
      <c r="A8661" t="s">
        <v>28473</v>
      </c>
      <c r="B8661" s="1" t="str">
        <f>HYPERLINK("https://www.catalog.slsa.sa.gov.au/record=b2062473")</f>
        <v>https://www.catalog.slsa.sa.gov.au/record=b2062473</v>
      </c>
      <c r="C8661" s="1" t="str">
        <f>HYPERLINK("https://www.catalog.slsa.sa.gov.au/xrecord=b2062473")</f>
        <v>https://www.catalog.slsa.sa.gov.au/xrecord=b2062473</v>
      </c>
      <c r="D8661" t="s">
        <v>16831</v>
      </c>
      <c r="E8661" t="s">
        <v>20970</v>
      </c>
      <c r="F8661">
        <v>1964</v>
      </c>
      <c r="G8661" t="s">
        <v>28373</v>
      </c>
      <c r="H8661" t="s">
        <v>28474</v>
      </c>
      <c r="J8661" t="s">
        <v>24126</v>
      </c>
      <c r="K8661" s="2" t="str">
        <f>HYPERLINK("http://collections.slsa.sa.gov.au/mpcimg/15750/B15552.htm")</f>
        <v>http://collections.slsa.sa.gov.au/mpcimg/15750/B15552.htm</v>
      </c>
    </row>
    <row r="8662" spans="1:11" x14ac:dyDescent="0.25">
      <c r="A8662" t="s">
        <v>28475</v>
      </c>
      <c r="B8662" s="1" t="str">
        <f>HYPERLINK("https://www.catalog.slsa.sa.gov.au/record=b2062741")</f>
        <v>https://www.catalog.slsa.sa.gov.au/record=b2062741</v>
      </c>
      <c r="C8662" s="1" t="str">
        <f>HYPERLINK("https://www.catalog.slsa.sa.gov.au/xrecord=b2062741")</f>
        <v>https://www.catalog.slsa.sa.gov.au/xrecord=b2062741</v>
      </c>
      <c r="D8662" t="s">
        <v>16831</v>
      </c>
      <c r="E8662" t="s">
        <v>21250</v>
      </c>
      <c r="F8662">
        <v>1964</v>
      </c>
      <c r="G8662" t="s">
        <v>28373</v>
      </c>
      <c r="H8662" t="s">
        <v>28476</v>
      </c>
      <c r="J8662" t="s">
        <v>28477</v>
      </c>
      <c r="K8662" s="2" t="str">
        <f>HYPERLINK("http://collections.slsa.sa.gov.au/mpcimg/15750/B15704.htm")</f>
        <v>http://collections.slsa.sa.gov.au/mpcimg/15750/B15704.htm</v>
      </c>
    </row>
    <row r="8663" spans="1:11" x14ac:dyDescent="0.25">
      <c r="A8663" t="s">
        <v>28478</v>
      </c>
      <c r="B8663" s="1" t="str">
        <f>HYPERLINK("https://www.catalog.slsa.sa.gov.au/record=b2062769")</f>
        <v>https://www.catalog.slsa.sa.gov.au/record=b2062769</v>
      </c>
      <c r="C8663" s="1" t="str">
        <f>HYPERLINK("https://www.catalog.slsa.sa.gov.au/xrecord=b2062769")</f>
        <v>https://www.catalog.slsa.sa.gov.au/xrecord=b2062769</v>
      </c>
      <c r="D8663" t="s">
        <v>16831</v>
      </c>
      <c r="E8663" t="s">
        <v>24300</v>
      </c>
      <c r="F8663">
        <v>1964</v>
      </c>
      <c r="G8663" t="s">
        <v>16674</v>
      </c>
      <c r="H8663" t="s">
        <v>28479</v>
      </c>
      <c r="J8663" t="s">
        <v>24622</v>
      </c>
      <c r="K8663" s="2" t="str">
        <f>HYPERLINK("http://collections.slsa.sa.gov.au/mpcimg/15500/B15403.htm")</f>
        <v>http://collections.slsa.sa.gov.au/mpcimg/15500/B15403.htm</v>
      </c>
    </row>
    <row r="8664" spans="1:11" x14ac:dyDescent="0.25">
      <c r="A8664" t="s">
        <v>28480</v>
      </c>
      <c r="B8664" s="1" t="str">
        <f>HYPERLINK("https://www.catalog.slsa.sa.gov.au/record=b2062807")</f>
        <v>https://www.catalog.slsa.sa.gov.au/record=b2062807</v>
      </c>
      <c r="C8664" s="1" t="str">
        <f>HYPERLINK("https://www.catalog.slsa.sa.gov.au/xrecord=b2062807")</f>
        <v>https://www.catalog.slsa.sa.gov.au/xrecord=b2062807</v>
      </c>
      <c r="D8664" t="s">
        <v>16831</v>
      </c>
      <c r="E8664" t="s">
        <v>21250</v>
      </c>
      <c r="F8664">
        <v>1964</v>
      </c>
      <c r="G8664" t="s">
        <v>16674</v>
      </c>
      <c r="H8664" t="s">
        <v>28481</v>
      </c>
      <c r="J8664" t="s">
        <v>22956</v>
      </c>
      <c r="K8664" s="2" t="str">
        <f>HYPERLINK("http://collections.slsa.sa.gov.au/mpcimg/15500/B15416.htm")</f>
        <v>http://collections.slsa.sa.gov.au/mpcimg/15500/B15416.htm</v>
      </c>
    </row>
    <row r="8665" spans="1:11" x14ac:dyDescent="0.25">
      <c r="A8665" t="s">
        <v>28482</v>
      </c>
      <c r="B8665" s="1" t="str">
        <f>HYPERLINK("https://www.catalog.slsa.sa.gov.au/record=b2062828")</f>
        <v>https://www.catalog.slsa.sa.gov.au/record=b2062828</v>
      </c>
      <c r="C8665" s="1" t="str">
        <f>HYPERLINK("https://www.catalog.slsa.sa.gov.au/xrecord=b2062828")</f>
        <v>https://www.catalog.slsa.sa.gov.au/xrecord=b2062828</v>
      </c>
      <c r="D8665" t="s">
        <v>16831</v>
      </c>
      <c r="E8665" t="s">
        <v>28483</v>
      </c>
      <c r="F8665">
        <v>1964</v>
      </c>
      <c r="G8665" t="s">
        <v>16792</v>
      </c>
      <c r="H8665" t="s">
        <v>28484</v>
      </c>
      <c r="J8665" t="s">
        <v>21265</v>
      </c>
      <c r="K8665" s="2" t="str">
        <f>HYPERLINK("http://collections.slsa.sa.gov.au/mpcimg/15500/B15291.htm")</f>
        <v>http://collections.slsa.sa.gov.au/mpcimg/15500/B15291.htm</v>
      </c>
    </row>
    <row r="8666" spans="1:11" x14ac:dyDescent="0.25">
      <c r="A8666" t="s">
        <v>28485</v>
      </c>
      <c r="B8666" s="1" t="str">
        <f>HYPERLINK("https://www.catalog.slsa.sa.gov.au/record=b2062829")</f>
        <v>https://www.catalog.slsa.sa.gov.au/record=b2062829</v>
      </c>
      <c r="C8666" s="1" t="str">
        <f>HYPERLINK("https://www.catalog.slsa.sa.gov.au/xrecord=b2062829")</f>
        <v>https://www.catalog.slsa.sa.gov.au/xrecord=b2062829</v>
      </c>
      <c r="D8666" t="s">
        <v>16831</v>
      </c>
      <c r="E8666" t="s">
        <v>28483</v>
      </c>
      <c r="F8666">
        <v>1964</v>
      </c>
      <c r="G8666" t="s">
        <v>16792</v>
      </c>
      <c r="H8666" t="s">
        <v>28486</v>
      </c>
      <c r="J8666" t="s">
        <v>21265</v>
      </c>
      <c r="K8666" s="2" t="str">
        <f>HYPERLINK("http://collections.slsa.sa.gov.au/mpcimg/15500/B15292.htm")</f>
        <v>http://collections.slsa.sa.gov.au/mpcimg/15500/B15292.htm</v>
      </c>
    </row>
    <row r="8667" spans="1:11" x14ac:dyDescent="0.25">
      <c r="A8667" t="s">
        <v>28487</v>
      </c>
      <c r="B8667" s="1" t="str">
        <f>HYPERLINK("https://www.catalog.slsa.sa.gov.au/record=b2062915")</f>
        <v>https://www.catalog.slsa.sa.gov.au/record=b2062915</v>
      </c>
      <c r="C8667" s="1" t="str">
        <f>HYPERLINK("https://www.catalog.slsa.sa.gov.au/xrecord=b2062915")</f>
        <v>https://www.catalog.slsa.sa.gov.au/xrecord=b2062915</v>
      </c>
      <c r="D8667" t="s">
        <v>16831</v>
      </c>
      <c r="E8667" t="s">
        <v>21277</v>
      </c>
      <c r="F8667">
        <v>1964</v>
      </c>
      <c r="G8667" t="s">
        <v>28373</v>
      </c>
      <c r="H8667" t="s">
        <v>28488</v>
      </c>
      <c r="J8667" t="s">
        <v>28489</v>
      </c>
      <c r="K8667" s="2" t="str">
        <f>HYPERLINK("http://collections.slsa.sa.gov.au/mpcimg/15750/B15567.htm")</f>
        <v>http://collections.slsa.sa.gov.au/mpcimg/15750/B15567.htm</v>
      </c>
    </row>
    <row r="8668" spans="1:11" x14ac:dyDescent="0.25">
      <c r="A8668" t="s">
        <v>28490</v>
      </c>
      <c r="B8668" s="1" t="str">
        <f>HYPERLINK("https://www.catalog.slsa.sa.gov.au/record=b2062980")</f>
        <v>https://www.catalog.slsa.sa.gov.au/record=b2062980</v>
      </c>
      <c r="C8668" s="1" t="str">
        <f>HYPERLINK("https://www.catalog.slsa.sa.gov.au/xrecord=b2062980")</f>
        <v>https://www.catalog.slsa.sa.gov.au/xrecord=b2062980</v>
      </c>
      <c r="D8668" t="s">
        <v>16831</v>
      </c>
      <c r="E8668" t="s">
        <v>21304</v>
      </c>
      <c r="F8668">
        <v>1964</v>
      </c>
      <c r="G8668" t="s">
        <v>28373</v>
      </c>
      <c r="H8668" t="s">
        <v>28491</v>
      </c>
      <c r="J8668" t="s">
        <v>28492</v>
      </c>
      <c r="K8668" s="2" t="str">
        <f>HYPERLINK("http://collections.slsa.sa.gov.au/mpcimg/15750/B15690.htm")</f>
        <v>http://collections.slsa.sa.gov.au/mpcimg/15750/B15690.htm</v>
      </c>
    </row>
    <row r="8669" spans="1:11" x14ac:dyDescent="0.25">
      <c r="A8669" t="s">
        <v>28493</v>
      </c>
      <c r="B8669" s="1" t="str">
        <f>HYPERLINK("https://www.catalog.slsa.sa.gov.au/record=b2062982")</f>
        <v>https://www.catalog.slsa.sa.gov.au/record=b2062982</v>
      </c>
      <c r="C8669" s="1" t="str">
        <f>HYPERLINK("https://www.catalog.slsa.sa.gov.au/xrecord=b2062982")</f>
        <v>https://www.catalog.slsa.sa.gov.au/xrecord=b2062982</v>
      </c>
      <c r="D8669" t="s">
        <v>16831</v>
      </c>
      <c r="E8669" t="s">
        <v>21304</v>
      </c>
      <c r="F8669">
        <v>1964</v>
      </c>
      <c r="G8669" t="s">
        <v>28373</v>
      </c>
      <c r="H8669" t="s">
        <v>28494</v>
      </c>
      <c r="J8669" t="s">
        <v>28492</v>
      </c>
      <c r="K8669" s="2" t="str">
        <f>HYPERLINK("http://collections.slsa.sa.gov.au/mpcimg/15750/B15691.htm")</f>
        <v>http://collections.slsa.sa.gov.au/mpcimg/15750/B15691.htm</v>
      </c>
    </row>
    <row r="8670" spans="1:11" x14ac:dyDescent="0.25">
      <c r="A8670" t="s">
        <v>28495</v>
      </c>
      <c r="B8670" s="1" t="str">
        <f>HYPERLINK("https://www.catalog.slsa.sa.gov.au/record=b2063065")</f>
        <v>https://www.catalog.slsa.sa.gov.au/record=b2063065</v>
      </c>
      <c r="C8670" s="1" t="str">
        <f>HYPERLINK("https://www.catalog.slsa.sa.gov.au/xrecord=b2063065")</f>
        <v>https://www.catalog.slsa.sa.gov.au/xrecord=b2063065</v>
      </c>
      <c r="D8670" t="s">
        <v>16831</v>
      </c>
      <c r="E8670" t="s">
        <v>21304</v>
      </c>
      <c r="F8670">
        <v>1964</v>
      </c>
      <c r="G8670" t="s">
        <v>28373</v>
      </c>
      <c r="H8670" t="s">
        <v>28496</v>
      </c>
      <c r="J8670" t="s">
        <v>21311</v>
      </c>
      <c r="K8670" s="2" t="str">
        <f>HYPERLINK("http://collections.slsa.sa.gov.au/mpcimg/15750/B15611.htm")</f>
        <v>http://collections.slsa.sa.gov.au/mpcimg/15750/B15611.htm</v>
      </c>
    </row>
    <row r="8671" spans="1:11" x14ac:dyDescent="0.25">
      <c r="A8671" t="s">
        <v>28497</v>
      </c>
      <c r="B8671" s="1" t="str">
        <f>HYPERLINK("https://www.catalog.slsa.sa.gov.au/record=b2063066")</f>
        <v>https://www.catalog.slsa.sa.gov.au/record=b2063066</v>
      </c>
      <c r="C8671" s="1" t="str">
        <f>HYPERLINK("https://www.catalog.slsa.sa.gov.au/xrecord=b2063066")</f>
        <v>https://www.catalog.slsa.sa.gov.au/xrecord=b2063066</v>
      </c>
      <c r="D8671" t="s">
        <v>16831</v>
      </c>
      <c r="E8671" t="s">
        <v>21304</v>
      </c>
      <c r="F8671">
        <v>1964</v>
      </c>
      <c r="G8671" t="s">
        <v>28373</v>
      </c>
      <c r="H8671" t="s">
        <v>28498</v>
      </c>
      <c r="J8671" t="s">
        <v>21311</v>
      </c>
      <c r="K8671" s="2" t="str">
        <f>HYPERLINK("http://collections.slsa.sa.gov.au/mpcimg/15750/B15612.htm")</f>
        <v>http://collections.slsa.sa.gov.au/mpcimg/15750/B15612.htm</v>
      </c>
    </row>
    <row r="8672" spans="1:11" x14ac:dyDescent="0.25">
      <c r="A8672" t="s">
        <v>28499</v>
      </c>
      <c r="B8672" s="1" t="str">
        <f>HYPERLINK("https://www.catalog.slsa.sa.gov.au/record=b2063095")</f>
        <v>https://www.catalog.slsa.sa.gov.au/record=b2063095</v>
      </c>
      <c r="C8672" s="1" t="str">
        <f>HYPERLINK("https://www.catalog.slsa.sa.gov.au/xrecord=b2063095")</f>
        <v>https://www.catalog.slsa.sa.gov.au/xrecord=b2063095</v>
      </c>
      <c r="D8672" t="s">
        <v>16831</v>
      </c>
      <c r="E8672" t="s">
        <v>27797</v>
      </c>
      <c r="F8672">
        <v>1964</v>
      </c>
      <c r="G8672" t="s">
        <v>16792</v>
      </c>
      <c r="H8672" t="s">
        <v>28500</v>
      </c>
      <c r="J8672" t="s">
        <v>28501</v>
      </c>
      <c r="K8672" s="2" t="str">
        <f>HYPERLINK("http://collections.slsa.sa.gov.au/mpcimg/15500/B15298.htm")</f>
        <v>http://collections.slsa.sa.gov.au/mpcimg/15500/B15298.htm</v>
      </c>
    </row>
    <row r="8673" spans="1:11" x14ac:dyDescent="0.25">
      <c r="A8673" t="s">
        <v>28502</v>
      </c>
      <c r="B8673" s="1" t="str">
        <f>HYPERLINK("https://www.catalog.slsa.sa.gov.au/record=b2063096")</f>
        <v>https://www.catalog.slsa.sa.gov.au/record=b2063096</v>
      </c>
      <c r="C8673" s="1" t="str">
        <f>HYPERLINK("https://www.catalog.slsa.sa.gov.au/xrecord=b2063096")</f>
        <v>https://www.catalog.slsa.sa.gov.au/xrecord=b2063096</v>
      </c>
      <c r="D8673" t="s">
        <v>16831</v>
      </c>
      <c r="E8673" t="s">
        <v>27797</v>
      </c>
      <c r="F8673">
        <v>1964</v>
      </c>
      <c r="G8673" t="s">
        <v>16792</v>
      </c>
      <c r="H8673" t="s">
        <v>28503</v>
      </c>
      <c r="J8673" t="s">
        <v>28501</v>
      </c>
      <c r="K8673" s="2" t="str">
        <f>HYPERLINK("http://collections.slsa.sa.gov.au/mpcimg/15500/B15299.htm")</f>
        <v>http://collections.slsa.sa.gov.au/mpcimg/15500/B15299.htm</v>
      </c>
    </row>
    <row r="8674" spans="1:11" x14ac:dyDescent="0.25">
      <c r="A8674" t="s">
        <v>28504</v>
      </c>
      <c r="B8674" s="1" t="str">
        <f>HYPERLINK("https://www.catalog.slsa.sa.gov.au/record=b2063200")</f>
        <v>https://www.catalog.slsa.sa.gov.au/record=b2063200</v>
      </c>
      <c r="C8674" s="1" t="str">
        <f>HYPERLINK("https://www.catalog.slsa.sa.gov.au/xrecord=b2063200")</f>
        <v>https://www.catalog.slsa.sa.gov.au/xrecord=b2063200</v>
      </c>
      <c r="D8674" t="s">
        <v>16831</v>
      </c>
      <c r="E8674" t="s">
        <v>21304</v>
      </c>
      <c r="F8674">
        <v>1964</v>
      </c>
      <c r="G8674" t="s">
        <v>16792</v>
      </c>
      <c r="H8674" t="s">
        <v>28505</v>
      </c>
      <c r="J8674" t="s">
        <v>28506</v>
      </c>
      <c r="K8674" s="2" t="str">
        <f>HYPERLINK("http://collections.slsa.sa.gov.au/mpcimg/15500/B15282.htm")</f>
        <v>http://collections.slsa.sa.gov.au/mpcimg/15500/B15282.htm</v>
      </c>
    </row>
    <row r="8675" spans="1:11" x14ac:dyDescent="0.25">
      <c r="A8675" t="s">
        <v>28507</v>
      </c>
      <c r="B8675" s="1" t="str">
        <f>HYPERLINK("https://www.catalog.slsa.sa.gov.au/record=b2063628")</f>
        <v>https://www.catalog.slsa.sa.gov.au/record=b2063628</v>
      </c>
      <c r="C8675" s="1" t="str">
        <f>HYPERLINK("https://www.catalog.slsa.sa.gov.au/xrecord=b2063628")</f>
        <v>https://www.catalog.slsa.sa.gov.au/xrecord=b2063628</v>
      </c>
      <c r="D8675" t="s">
        <v>16831</v>
      </c>
      <c r="E8675" t="s">
        <v>25643</v>
      </c>
      <c r="F8675">
        <v>1964</v>
      </c>
      <c r="G8675" t="s">
        <v>16792</v>
      </c>
      <c r="H8675" t="s">
        <v>28508</v>
      </c>
      <c r="J8675" t="s">
        <v>24687</v>
      </c>
      <c r="K8675" s="2" t="str">
        <f>HYPERLINK("http://collections.slsa.sa.gov.au/mpcimg/15500/B15421.htm")</f>
        <v>http://collections.slsa.sa.gov.au/mpcimg/15500/B15421.htm</v>
      </c>
    </row>
    <row r="8676" spans="1:11" x14ac:dyDescent="0.25">
      <c r="A8676" t="s">
        <v>28509</v>
      </c>
      <c r="B8676" s="1" t="str">
        <f>HYPERLINK("https://www.catalog.slsa.sa.gov.au/record=b2063947")</f>
        <v>https://www.catalog.slsa.sa.gov.au/record=b2063947</v>
      </c>
      <c r="C8676" s="1" t="str">
        <f>HYPERLINK("https://www.catalog.slsa.sa.gov.au/xrecord=b2063947")</f>
        <v>https://www.catalog.slsa.sa.gov.au/xrecord=b2063947</v>
      </c>
      <c r="D8676" t="s">
        <v>16831</v>
      </c>
      <c r="E8676" t="s">
        <v>28510</v>
      </c>
      <c r="F8676">
        <v>1964</v>
      </c>
      <c r="G8676" t="s">
        <v>16792</v>
      </c>
      <c r="H8676" t="s">
        <v>28511</v>
      </c>
      <c r="J8676" t="s">
        <v>28512</v>
      </c>
      <c r="K8676" s="2" t="str">
        <f>HYPERLINK("http://collections.slsa.sa.gov.au/mpcimg/15500/B15284.htm")</f>
        <v>http://collections.slsa.sa.gov.au/mpcimg/15500/B15284.htm</v>
      </c>
    </row>
    <row r="8677" spans="1:11" x14ac:dyDescent="0.25">
      <c r="A8677" t="s">
        <v>28513</v>
      </c>
      <c r="B8677" s="1" t="str">
        <f>HYPERLINK("https://www.catalog.slsa.sa.gov.au/record=b2064080")</f>
        <v>https://www.catalog.slsa.sa.gov.au/record=b2064080</v>
      </c>
      <c r="C8677" s="1" t="str">
        <f>HYPERLINK("https://www.catalog.slsa.sa.gov.au/xrecord=b2064080")</f>
        <v>https://www.catalog.slsa.sa.gov.au/xrecord=b2064080</v>
      </c>
      <c r="D8677" t="s">
        <v>16831</v>
      </c>
      <c r="E8677" t="s">
        <v>25622</v>
      </c>
      <c r="F8677">
        <v>1964</v>
      </c>
      <c r="G8677" t="s">
        <v>28373</v>
      </c>
      <c r="H8677" t="s">
        <v>28514</v>
      </c>
      <c r="J8677" t="s">
        <v>28515</v>
      </c>
      <c r="K8677" s="2" t="str">
        <f>HYPERLINK("http://collections.slsa.sa.gov.au/mpcimg/15750/B15692.htm")</f>
        <v>http://collections.slsa.sa.gov.au/mpcimg/15750/B15692.htm</v>
      </c>
    </row>
    <row r="8678" spans="1:11" x14ac:dyDescent="0.25">
      <c r="A8678" t="s">
        <v>28516</v>
      </c>
      <c r="B8678" s="1" t="str">
        <f>HYPERLINK("https://www.catalog.slsa.sa.gov.au/record=b2064258")</f>
        <v>https://www.catalog.slsa.sa.gov.au/record=b2064258</v>
      </c>
      <c r="C8678" s="1" t="str">
        <f>HYPERLINK("https://www.catalog.slsa.sa.gov.au/xrecord=b2064258")</f>
        <v>https://www.catalog.slsa.sa.gov.au/xrecord=b2064258</v>
      </c>
      <c r="D8678" t="s">
        <v>16831</v>
      </c>
      <c r="E8678" t="s">
        <v>28517</v>
      </c>
      <c r="F8678">
        <v>1964</v>
      </c>
      <c r="G8678" t="s">
        <v>16792</v>
      </c>
      <c r="H8678" t="s">
        <v>28518</v>
      </c>
      <c r="J8678" t="s">
        <v>28519</v>
      </c>
      <c r="K8678" s="2" t="str">
        <f>HYPERLINK("http://collections.slsa.sa.gov.au/mpcimg/15500/B15285.htm")</f>
        <v>http://collections.slsa.sa.gov.au/mpcimg/15500/B15285.htm</v>
      </c>
    </row>
    <row r="8679" spans="1:11" x14ac:dyDescent="0.25">
      <c r="A8679" t="s">
        <v>28520</v>
      </c>
      <c r="B8679" s="1" t="str">
        <f>HYPERLINK("https://www.catalog.slsa.sa.gov.au/record=b2064269")</f>
        <v>https://www.catalog.slsa.sa.gov.au/record=b2064269</v>
      </c>
      <c r="C8679" s="1" t="str">
        <f>HYPERLINK("https://www.catalog.slsa.sa.gov.au/xrecord=b2064269")</f>
        <v>https://www.catalog.slsa.sa.gov.au/xrecord=b2064269</v>
      </c>
      <c r="D8679" t="s">
        <v>16831</v>
      </c>
      <c r="E8679" t="s">
        <v>28127</v>
      </c>
      <c r="F8679">
        <v>1964</v>
      </c>
      <c r="G8679" t="s">
        <v>16792</v>
      </c>
      <c r="H8679" t="s">
        <v>28521</v>
      </c>
      <c r="J8679" t="s">
        <v>28129</v>
      </c>
      <c r="K8679" s="2" t="str">
        <f>HYPERLINK("http://collections.slsa.sa.gov.au/mpcimg/15500/B15402.htm")</f>
        <v>http://collections.slsa.sa.gov.au/mpcimg/15500/B15402.htm</v>
      </c>
    </row>
    <row r="8680" spans="1:11" x14ac:dyDescent="0.25">
      <c r="A8680" t="s">
        <v>28522</v>
      </c>
      <c r="B8680" s="1" t="str">
        <f>HYPERLINK("https://www.catalog.slsa.sa.gov.au/record=b2064321")</f>
        <v>https://www.catalog.slsa.sa.gov.au/record=b2064321</v>
      </c>
      <c r="C8680" s="1" t="str">
        <f>HYPERLINK("https://www.catalog.slsa.sa.gov.au/xrecord=b2064321")</f>
        <v>https://www.catalog.slsa.sa.gov.au/xrecord=b2064321</v>
      </c>
      <c r="D8680" t="s">
        <v>16831</v>
      </c>
      <c r="E8680" t="s">
        <v>26503</v>
      </c>
      <c r="F8680">
        <v>1964</v>
      </c>
      <c r="G8680" t="s">
        <v>16792</v>
      </c>
      <c r="H8680" t="s">
        <v>28523</v>
      </c>
      <c r="J8680" t="s">
        <v>26505</v>
      </c>
      <c r="K8680" s="2" t="str">
        <f>HYPERLINK("http://collections.slsa.sa.gov.au/mpcimg/15500/B15286.htm")</f>
        <v>http://collections.slsa.sa.gov.au/mpcimg/15500/B15286.htm</v>
      </c>
    </row>
    <row r="8681" spans="1:11" x14ac:dyDescent="0.25">
      <c r="A8681" t="s">
        <v>28524</v>
      </c>
      <c r="B8681" s="1" t="str">
        <f>HYPERLINK("https://www.catalog.slsa.sa.gov.au/record=b2064806")</f>
        <v>https://www.catalog.slsa.sa.gov.au/record=b2064806</v>
      </c>
      <c r="C8681" s="1" t="str">
        <f>HYPERLINK("https://www.catalog.slsa.sa.gov.au/xrecord=b2064806")</f>
        <v>https://www.catalog.slsa.sa.gov.au/xrecord=b2064806</v>
      </c>
      <c r="D8681" t="s">
        <v>16831</v>
      </c>
      <c r="E8681" t="s">
        <v>26980</v>
      </c>
      <c r="F8681">
        <v>1964</v>
      </c>
      <c r="G8681" t="s">
        <v>16792</v>
      </c>
      <c r="H8681" t="s">
        <v>28525</v>
      </c>
      <c r="J8681" t="s">
        <v>28526</v>
      </c>
      <c r="K8681" s="2" t="str">
        <f>HYPERLINK("http://collections.slsa.sa.gov.au/mpcimg/15500/B15315.htm")</f>
        <v>http://collections.slsa.sa.gov.au/mpcimg/15500/B15315.htm</v>
      </c>
    </row>
    <row r="8682" spans="1:11" x14ac:dyDescent="0.25">
      <c r="A8682" t="s">
        <v>28527</v>
      </c>
      <c r="B8682" s="1" t="str">
        <f>HYPERLINK("https://www.catalog.slsa.sa.gov.au/record=b2064807")</f>
        <v>https://www.catalog.slsa.sa.gov.au/record=b2064807</v>
      </c>
      <c r="C8682" s="1" t="str">
        <f>HYPERLINK("https://www.catalog.slsa.sa.gov.au/xrecord=b2064807")</f>
        <v>https://www.catalog.slsa.sa.gov.au/xrecord=b2064807</v>
      </c>
      <c r="D8682" t="s">
        <v>16831</v>
      </c>
      <c r="E8682" t="s">
        <v>26980</v>
      </c>
      <c r="F8682">
        <v>1964</v>
      </c>
      <c r="G8682" t="s">
        <v>16792</v>
      </c>
      <c r="H8682" t="s">
        <v>28528</v>
      </c>
      <c r="J8682" t="s">
        <v>28526</v>
      </c>
      <c r="K8682" s="2" t="str">
        <f>HYPERLINK("http://collections.slsa.sa.gov.au/mpcimg/15500/B15316.htm")</f>
        <v>http://collections.slsa.sa.gov.au/mpcimg/15500/B15316.htm</v>
      </c>
    </row>
    <row r="8683" spans="1:11" x14ac:dyDescent="0.25">
      <c r="A8683" t="s">
        <v>28529</v>
      </c>
      <c r="B8683" s="1" t="str">
        <f>HYPERLINK("https://www.catalog.slsa.sa.gov.au/record=b2065199")</f>
        <v>https://www.catalog.slsa.sa.gov.au/record=b2065199</v>
      </c>
      <c r="C8683" s="1" t="str">
        <f>HYPERLINK("https://www.catalog.slsa.sa.gov.au/xrecord=b2065199")</f>
        <v>https://www.catalog.slsa.sa.gov.au/xrecord=b2065199</v>
      </c>
      <c r="D8683" t="s">
        <v>16831</v>
      </c>
      <c r="E8683" t="s">
        <v>26988</v>
      </c>
      <c r="F8683">
        <v>1964</v>
      </c>
      <c r="G8683" t="s">
        <v>28373</v>
      </c>
      <c r="H8683" t="s">
        <v>28530</v>
      </c>
      <c r="I8683" t="s">
        <v>28531</v>
      </c>
      <c r="J8683" t="s">
        <v>26991</v>
      </c>
      <c r="K8683" s="2" t="str">
        <f>HYPERLINK("http://collections.slsa.sa.gov.au/mpcimg/15750/B15581.htm")</f>
        <v>http://collections.slsa.sa.gov.au/mpcimg/15750/B15581.htm</v>
      </c>
    </row>
    <row r="8684" spans="1:11" x14ac:dyDescent="0.25">
      <c r="A8684" t="s">
        <v>28532</v>
      </c>
      <c r="B8684" s="1" t="str">
        <f>HYPERLINK("https://www.catalog.slsa.sa.gov.au/record=b2065200")</f>
        <v>https://www.catalog.slsa.sa.gov.au/record=b2065200</v>
      </c>
      <c r="C8684" s="1" t="str">
        <f>HYPERLINK("https://www.catalog.slsa.sa.gov.au/xrecord=b2065200")</f>
        <v>https://www.catalog.slsa.sa.gov.au/xrecord=b2065200</v>
      </c>
      <c r="D8684" t="s">
        <v>16831</v>
      </c>
      <c r="E8684" t="s">
        <v>26988</v>
      </c>
      <c r="F8684">
        <v>1964</v>
      </c>
      <c r="G8684" t="s">
        <v>28373</v>
      </c>
      <c r="H8684" t="s">
        <v>28530</v>
      </c>
      <c r="I8684" t="s">
        <v>26990</v>
      </c>
      <c r="J8684" t="s">
        <v>26991</v>
      </c>
      <c r="K8684" s="2" t="str">
        <f>HYPERLINK("http://collections.slsa.sa.gov.au/mpcimg/15750/B15582.htm")</f>
        <v>http://collections.slsa.sa.gov.au/mpcimg/15750/B15582.htm</v>
      </c>
    </row>
    <row r="8685" spans="1:11" x14ac:dyDescent="0.25">
      <c r="A8685" t="s">
        <v>28533</v>
      </c>
      <c r="B8685" s="1" t="str">
        <f>HYPERLINK("https://www.catalog.slsa.sa.gov.au/record=b2065201")</f>
        <v>https://www.catalog.slsa.sa.gov.au/record=b2065201</v>
      </c>
      <c r="C8685" s="1" t="str">
        <f>HYPERLINK("https://www.catalog.slsa.sa.gov.au/xrecord=b2065201")</f>
        <v>https://www.catalog.slsa.sa.gov.au/xrecord=b2065201</v>
      </c>
      <c r="D8685" t="s">
        <v>16831</v>
      </c>
      <c r="E8685" t="s">
        <v>26988</v>
      </c>
      <c r="F8685">
        <v>1964</v>
      </c>
      <c r="G8685" t="s">
        <v>28373</v>
      </c>
      <c r="H8685" t="s">
        <v>28534</v>
      </c>
      <c r="I8685" t="s">
        <v>26990</v>
      </c>
      <c r="J8685" t="s">
        <v>26991</v>
      </c>
      <c r="K8685" s="2" t="str">
        <f>HYPERLINK("http://collections.slsa.sa.gov.au/mpcimg/15750/B15583.htm")</f>
        <v>http://collections.slsa.sa.gov.au/mpcimg/15750/B15583.htm</v>
      </c>
    </row>
    <row r="8686" spans="1:11" x14ac:dyDescent="0.25">
      <c r="A8686" t="s">
        <v>28535</v>
      </c>
      <c r="B8686" s="1" t="str">
        <f>HYPERLINK("https://www.catalog.slsa.sa.gov.au/record=b2066579")</f>
        <v>https://www.catalog.slsa.sa.gov.au/record=b2066579</v>
      </c>
      <c r="C8686" s="1" t="str">
        <f>HYPERLINK("https://www.catalog.slsa.sa.gov.au/xrecord=b2066579")</f>
        <v>https://www.catalog.slsa.sa.gov.au/xrecord=b2066579</v>
      </c>
      <c r="D8686" t="s">
        <v>16831</v>
      </c>
      <c r="E8686" t="s">
        <v>15636</v>
      </c>
      <c r="F8686">
        <v>1964</v>
      </c>
      <c r="G8686" t="s">
        <v>28373</v>
      </c>
      <c r="H8686" t="s">
        <v>28536</v>
      </c>
      <c r="I8686" t="s">
        <v>16865</v>
      </c>
      <c r="J8686" t="s">
        <v>24751</v>
      </c>
      <c r="K8686" s="2" t="str">
        <f>HYPERLINK("http://collections.slsa.sa.gov.au/mpcimg/15750/B15514.htm")</f>
        <v>http://collections.slsa.sa.gov.au/mpcimg/15750/B15514.htm</v>
      </c>
    </row>
    <row r="8687" spans="1:11" x14ac:dyDescent="0.25">
      <c r="A8687" t="s">
        <v>28537</v>
      </c>
      <c r="B8687" s="1" t="str">
        <f>HYPERLINK("https://www.catalog.slsa.sa.gov.au/record=b2066580")</f>
        <v>https://www.catalog.slsa.sa.gov.au/record=b2066580</v>
      </c>
      <c r="C8687" s="1" t="str">
        <f>HYPERLINK("https://www.catalog.slsa.sa.gov.au/xrecord=b2066580")</f>
        <v>https://www.catalog.slsa.sa.gov.au/xrecord=b2066580</v>
      </c>
      <c r="D8687" t="s">
        <v>16831</v>
      </c>
      <c r="E8687" t="s">
        <v>15636</v>
      </c>
      <c r="F8687">
        <v>1964</v>
      </c>
      <c r="G8687" t="s">
        <v>28373</v>
      </c>
      <c r="H8687" t="s">
        <v>28538</v>
      </c>
      <c r="I8687" t="s">
        <v>16865</v>
      </c>
      <c r="J8687" t="s">
        <v>24751</v>
      </c>
      <c r="K8687" s="2" t="str">
        <f>HYPERLINK("http://collections.slsa.sa.gov.au/mpcimg/15750/B15515.htm")</f>
        <v>http://collections.slsa.sa.gov.au/mpcimg/15750/B15515.htm</v>
      </c>
    </row>
    <row r="8688" spans="1:11" x14ac:dyDescent="0.25">
      <c r="A8688" t="s">
        <v>28539</v>
      </c>
      <c r="B8688" s="1" t="str">
        <f>HYPERLINK("https://www.catalog.slsa.sa.gov.au/record=b2067211")</f>
        <v>https://www.catalog.slsa.sa.gov.au/record=b2067211</v>
      </c>
      <c r="C8688" s="1" t="str">
        <f>HYPERLINK("https://www.catalog.slsa.sa.gov.au/xrecord=b2067211")</f>
        <v>https://www.catalog.slsa.sa.gov.au/xrecord=b2067211</v>
      </c>
      <c r="D8688" t="s">
        <v>16831</v>
      </c>
      <c r="E8688" t="s">
        <v>16862</v>
      </c>
      <c r="F8688">
        <v>1964</v>
      </c>
      <c r="G8688" t="s">
        <v>16792</v>
      </c>
      <c r="H8688" t="s">
        <v>28540</v>
      </c>
      <c r="I8688" t="s">
        <v>16865</v>
      </c>
      <c r="J8688" t="s">
        <v>16866</v>
      </c>
      <c r="K8688" s="2" t="str">
        <f>HYPERLINK("http://collections.slsa.sa.gov.au/mpcimg/15500/B15379.htm")</f>
        <v>http://collections.slsa.sa.gov.au/mpcimg/15500/B15379.htm</v>
      </c>
    </row>
    <row r="8689" spans="1:11" x14ac:dyDescent="0.25">
      <c r="A8689" t="s">
        <v>28541</v>
      </c>
      <c r="B8689" s="1" t="str">
        <f>HYPERLINK("https://www.catalog.slsa.sa.gov.au/record=b2067212")</f>
        <v>https://www.catalog.slsa.sa.gov.au/record=b2067212</v>
      </c>
      <c r="C8689" s="1" t="str">
        <f>HYPERLINK("https://www.catalog.slsa.sa.gov.au/xrecord=b2067212")</f>
        <v>https://www.catalog.slsa.sa.gov.au/xrecord=b2067212</v>
      </c>
      <c r="D8689" t="s">
        <v>16831</v>
      </c>
      <c r="E8689" t="s">
        <v>16862</v>
      </c>
      <c r="F8689">
        <v>1964</v>
      </c>
      <c r="G8689" t="s">
        <v>16792</v>
      </c>
      <c r="H8689" t="s">
        <v>28540</v>
      </c>
      <c r="I8689" t="s">
        <v>16865</v>
      </c>
      <c r="J8689" t="s">
        <v>16866</v>
      </c>
      <c r="K8689" s="2" t="str">
        <f>HYPERLINK("http://collections.slsa.sa.gov.au/mpcimg/15500/B15380.htm")</f>
        <v>http://collections.slsa.sa.gov.au/mpcimg/15500/B15380.htm</v>
      </c>
    </row>
    <row r="8690" spans="1:11" x14ac:dyDescent="0.25">
      <c r="A8690" t="s">
        <v>28542</v>
      </c>
      <c r="B8690" s="1" t="str">
        <f>HYPERLINK("https://www.catalog.slsa.sa.gov.au/record=b2067213")</f>
        <v>https://www.catalog.slsa.sa.gov.au/record=b2067213</v>
      </c>
      <c r="C8690" s="1" t="str">
        <f>HYPERLINK("https://www.catalog.slsa.sa.gov.au/xrecord=b2067213")</f>
        <v>https://www.catalog.slsa.sa.gov.au/xrecord=b2067213</v>
      </c>
      <c r="D8690" t="s">
        <v>16831</v>
      </c>
      <c r="E8690" t="s">
        <v>16862</v>
      </c>
      <c r="F8690">
        <v>1964</v>
      </c>
      <c r="G8690" t="s">
        <v>16792</v>
      </c>
      <c r="H8690" t="s">
        <v>28540</v>
      </c>
      <c r="I8690" t="s">
        <v>16865</v>
      </c>
      <c r="J8690" t="s">
        <v>16866</v>
      </c>
      <c r="K8690" s="2" t="str">
        <f>HYPERLINK("http://collections.slsa.sa.gov.au/mpcimg/15500/B15381.htm")</f>
        <v>http://collections.slsa.sa.gov.au/mpcimg/15500/B15381.htm</v>
      </c>
    </row>
    <row r="8691" spans="1:11" x14ac:dyDescent="0.25">
      <c r="A8691" t="s">
        <v>28543</v>
      </c>
      <c r="B8691" s="1" t="str">
        <f>HYPERLINK("https://www.catalog.slsa.sa.gov.au/record=b2067215")</f>
        <v>https://www.catalog.slsa.sa.gov.au/record=b2067215</v>
      </c>
      <c r="C8691" s="1" t="str">
        <f>HYPERLINK("https://www.catalog.slsa.sa.gov.au/xrecord=b2067215")</f>
        <v>https://www.catalog.slsa.sa.gov.au/xrecord=b2067215</v>
      </c>
      <c r="D8691" t="s">
        <v>16831</v>
      </c>
      <c r="E8691" t="s">
        <v>16862</v>
      </c>
      <c r="F8691">
        <v>1964</v>
      </c>
      <c r="G8691" t="s">
        <v>16792</v>
      </c>
      <c r="H8691" t="s">
        <v>28544</v>
      </c>
      <c r="I8691" t="s">
        <v>16865</v>
      </c>
      <c r="J8691" t="s">
        <v>16866</v>
      </c>
      <c r="K8691" s="2" t="str">
        <f>HYPERLINK("http://collections.slsa.sa.gov.au/mpcimg/15500/B15383.htm")</f>
        <v>http://collections.slsa.sa.gov.au/mpcimg/15500/B15383.htm</v>
      </c>
    </row>
    <row r="8692" spans="1:11" x14ac:dyDescent="0.25">
      <c r="A8692" t="s">
        <v>28545</v>
      </c>
      <c r="B8692" s="1" t="str">
        <f>HYPERLINK("https://www.catalog.slsa.sa.gov.au/record=b2067216")</f>
        <v>https://www.catalog.slsa.sa.gov.au/record=b2067216</v>
      </c>
      <c r="C8692" s="1" t="str">
        <f>HYPERLINK("https://www.catalog.slsa.sa.gov.au/xrecord=b2067216")</f>
        <v>https://www.catalog.slsa.sa.gov.au/xrecord=b2067216</v>
      </c>
      <c r="D8692" t="s">
        <v>16831</v>
      </c>
      <c r="E8692" t="s">
        <v>16862</v>
      </c>
      <c r="F8692">
        <v>1964</v>
      </c>
      <c r="G8692" t="s">
        <v>16792</v>
      </c>
      <c r="H8692" t="s">
        <v>28544</v>
      </c>
      <c r="I8692" t="s">
        <v>16865</v>
      </c>
      <c r="J8692" t="s">
        <v>16866</v>
      </c>
      <c r="K8692" s="2" t="str">
        <f>HYPERLINK("http://collections.slsa.sa.gov.au/mpcimg/15500/B15384.htm")</f>
        <v>http://collections.slsa.sa.gov.au/mpcimg/15500/B15384.htm</v>
      </c>
    </row>
    <row r="8693" spans="1:11" x14ac:dyDescent="0.25">
      <c r="A8693" t="s">
        <v>28546</v>
      </c>
      <c r="B8693" s="1" t="str">
        <f>HYPERLINK("https://www.catalog.slsa.sa.gov.au/record=b2068233")</f>
        <v>https://www.catalog.slsa.sa.gov.au/record=b2068233</v>
      </c>
      <c r="C8693" s="1" t="str">
        <f>HYPERLINK("https://www.catalog.slsa.sa.gov.au/xrecord=b2068233")</f>
        <v>https://www.catalog.slsa.sa.gov.au/xrecord=b2068233</v>
      </c>
      <c r="D8693" t="s">
        <v>16831</v>
      </c>
      <c r="E8693" t="s">
        <v>16880</v>
      </c>
      <c r="F8693">
        <v>1964</v>
      </c>
      <c r="G8693" t="s">
        <v>16792</v>
      </c>
      <c r="H8693" t="s">
        <v>28547</v>
      </c>
      <c r="J8693" t="s">
        <v>16883</v>
      </c>
      <c r="K8693" s="2" t="str">
        <f>HYPERLINK("http://collections.slsa.sa.gov.au/mpcimg/15500/B15280.htm")</f>
        <v>http://collections.slsa.sa.gov.au/mpcimg/15500/B15280.htm</v>
      </c>
    </row>
    <row r="8694" spans="1:11" x14ac:dyDescent="0.25">
      <c r="A8694" t="s">
        <v>28548</v>
      </c>
      <c r="B8694" s="1" t="str">
        <f>HYPERLINK("https://www.catalog.slsa.sa.gov.au/record=b2908897")</f>
        <v>https://www.catalog.slsa.sa.gov.au/record=b2908897</v>
      </c>
      <c r="C8694" s="1" t="str">
        <f>HYPERLINK("https://www.catalog.slsa.sa.gov.au/xrecord=b2908897")</f>
        <v>https://www.catalog.slsa.sa.gov.au/xrecord=b2908897</v>
      </c>
      <c r="E8694" t="s">
        <v>28549</v>
      </c>
      <c r="F8694">
        <v>1964</v>
      </c>
      <c r="G8694" t="s">
        <v>27688</v>
      </c>
      <c r="H8694" t="s">
        <v>28550</v>
      </c>
      <c r="I8694" t="s">
        <v>28551</v>
      </c>
      <c r="J8694" t="s">
        <v>2510</v>
      </c>
      <c r="K8694" s="2" t="str">
        <f>HYPERLINK("http://collections.slsa.sa.gov.au/resource/B+72834/58")</f>
        <v>http://collections.slsa.sa.gov.au/resource/B+72834/58</v>
      </c>
    </row>
    <row r="8695" spans="1:11" x14ac:dyDescent="0.25">
      <c r="A8695" t="s">
        <v>28552</v>
      </c>
      <c r="B8695" s="1" t="str">
        <f>HYPERLINK("https://www.catalog.slsa.sa.gov.au/record=b2955008")</f>
        <v>https://www.catalog.slsa.sa.gov.au/record=b2955008</v>
      </c>
      <c r="C8695" s="1" t="str">
        <f>HYPERLINK("https://www.catalog.slsa.sa.gov.au/xrecord=b2955008")</f>
        <v>https://www.catalog.slsa.sa.gov.au/xrecord=b2955008</v>
      </c>
      <c r="E8695" t="s">
        <v>28553</v>
      </c>
      <c r="F8695" t="s">
        <v>12596</v>
      </c>
      <c r="G8695" t="s">
        <v>28554</v>
      </c>
      <c r="H8695" t="s">
        <v>28555</v>
      </c>
      <c r="J8695" t="s">
        <v>2510</v>
      </c>
      <c r="K8695" s="2" t="str">
        <f>HYPERLINK("http://collections.slsa.sa.gov.au/resource/B+73755/12")</f>
        <v>http://collections.slsa.sa.gov.au/resource/B+73755/12</v>
      </c>
    </row>
    <row r="8696" spans="1:11" x14ac:dyDescent="0.25">
      <c r="A8696" t="s">
        <v>28556</v>
      </c>
      <c r="B8696" s="1" t="str">
        <f>HYPERLINK("https://www.catalog.slsa.sa.gov.au/record=b2955009")</f>
        <v>https://www.catalog.slsa.sa.gov.au/record=b2955009</v>
      </c>
      <c r="C8696" s="1" t="str">
        <f>HYPERLINK("https://www.catalog.slsa.sa.gov.au/xrecord=b2955009")</f>
        <v>https://www.catalog.slsa.sa.gov.au/xrecord=b2955009</v>
      </c>
      <c r="E8696" t="s">
        <v>28557</v>
      </c>
      <c r="F8696" t="s">
        <v>12596</v>
      </c>
      <c r="G8696" t="s">
        <v>28558</v>
      </c>
      <c r="H8696" t="s">
        <v>28559</v>
      </c>
      <c r="I8696" t="s">
        <v>28560</v>
      </c>
      <c r="J8696" t="s">
        <v>2510</v>
      </c>
      <c r="K8696" s="2" t="str">
        <f>HYPERLINK("http://collections.slsa.sa.gov.au/resource/B+73755/13")</f>
        <v>http://collections.slsa.sa.gov.au/resource/B+73755/13</v>
      </c>
    </row>
    <row r="8697" spans="1:11" x14ac:dyDescent="0.25">
      <c r="A8697" t="s">
        <v>28561</v>
      </c>
      <c r="B8697" s="1" t="str">
        <f>HYPERLINK("https://www.catalog.slsa.sa.gov.au/record=b3025452")</f>
        <v>https://www.catalog.slsa.sa.gov.au/record=b3025452</v>
      </c>
      <c r="C8697" s="1" t="str">
        <f>HYPERLINK("https://www.catalog.slsa.sa.gov.au/xrecord=b3025452")</f>
        <v>https://www.catalog.slsa.sa.gov.au/xrecord=b3025452</v>
      </c>
      <c r="E8697" t="s">
        <v>28562</v>
      </c>
      <c r="F8697" t="s">
        <v>28563</v>
      </c>
      <c r="G8697" t="s">
        <v>28564</v>
      </c>
      <c r="H8697" t="s">
        <v>28565</v>
      </c>
      <c r="I8697" t="s">
        <v>28566</v>
      </c>
      <c r="K8697" s="2" t="str">
        <f>HYPERLINK("http://collections.slsa.sa.gov.au/resource/B+57604")</f>
        <v>http://collections.slsa.sa.gov.au/resource/B+57604</v>
      </c>
    </row>
    <row r="8698" spans="1:11" x14ac:dyDescent="0.25">
      <c r="A8698" t="s">
        <v>28567</v>
      </c>
      <c r="B8698" s="1" t="str">
        <f>HYPERLINK("https://www.catalog.slsa.sa.gov.au/record=b2025116")</f>
        <v>https://www.catalog.slsa.sa.gov.au/record=b2025116</v>
      </c>
      <c r="C8698" s="1" t="str">
        <f>HYPERLINK("https://www.catalog.slsa.sa.gov.au/xrecord=b2025116")</f>
        <v>https://www.catalog.slsa.sa.gov.au/xrecord=b2025116</v>
      </c>
      <c r="D8698" t="s">
        <v>16831</v>
      </c>
      <c r="E8698" t="s">
        <v>28568</v>
      </c>
      <c r="F8698">
        <v>1965</v>
      </c>
      <c r="G8698" t="s">
        <v>28569</v>
      </c>
      <c r="H8698" t="s">
        <v>28570</v>
      </c>
      <c r="I8698" t="s">
        <v>28571</v>
      </c>
      <c r="J8698" t="s">
        <v>23016</v>
      </c>
      <c r="K8698" s="2" t="str">
        <f>HYPERLINK("http://collections.slsa.sa.gov.au/mpcimg/16250/B16166_8.htm")</f>
        <v>http://collections.slsa.sa.gov.au/mpcimg/16250/B16166_8.htm</v>
      </c>
    </row>
    <row r="8699" spans="1:11" x14ac:dyDescent="0.25">
      <c r="A8699" t="s">
        <v>28572</v>
      </c>
      <c r="B8699" s="1" t="str">
        <f>HYPERLINK("https://www.catalog.slsa.sa.gov.au/record=b2025117")</f>
        <v>https://www.catalog.slsa.sa.gov.au/record=b2025117</v>
      </c>
      <c r="C8699" s="1" t="str">
        <f>HYPERLINK("https://www.catalog.slsa.sa.gov.au/xrecord=b2025117")</f>
        <v>https://www.catalog.slsa.sa.gov.au/xrecord=b2025117</v>
      </c>
      <c r="D8699" t="s">
        <v>16831</v>
      </c>
      <c r="E8699" t="s">
        <v>28568</v>
      </c>
      <c r="F8699">
        <v>1965</v>
      </c>
      <c r="G8699" t="s">
        <v>28373</v>
      </c>
      <c r="H8699" t="s">
        <v>28570</v>
      </c>
      <c r="I8699" t="s">
        <v>28571</v>
      </c>
      <c r="J8699" t="s">
        <v>23016</v>
      </c>
      <c r="K8699" s="2" t="str">
        <f>HYPERLINK("http://collections.slsa.sa.gov.au/mpcimg/16250/B16166_9.htm")</f>
        <v>http://collections.slsa.sa.gov.au/mpcimg/16250/B16166_9.htm</v>
      </c>
    </row>
    <row r="8700" spans="1:11" x14ac:dyDescent="0.25">
      <c r="A8700" t="s">
        <v>28573</v>
      </c>
      <c r="B8700" s="1" t="str">
        <f>HYPERLINK("https://www.catalog.slsa.sa.gov.au/record=b2025118")</f>
        <v>https://www.catalog.slsa.sa.gov.au/record=b2025118</v>
      </c>
      <c r="C8700" s="1" t="str">
        <f>HYPERLINK("https://www.catalog.slsa.sa.gov.au/xrecord=b2025118")</f>
        <v>https://www.catalog.slsa.sa.gov.au/xrecord=b2025118</v>
      </c>
      <c r="D8700" t="s">
        <v>16831</v>
      </c>
      <c r="E8700" t="s">
        <v>28568</v>
      </c>
      <c r="F8700">
        <v>1965</v>
      </c>
      <c r="H8700" t="s">
        <v>28570</v>
      </c>
      <c r="I8700" t="s">
        <v>28571</v>
      </c>
      <c r="J8700" t="s">
        <v>23016</v>
      </c>
      <c r="K8700" s="2" t="str">
        <f>HYPERLINK("http://collections.slsa.sa.gov.au/mpcimg/16250/B16166_10.htm")</f>
        <v>http://collections.slsa.sa.gov.au/mpcimg/16250/B16166_10.htm</v>
      </c>
    </row>
    <row r="8701" spans="1:11" x14ac:dyDescent="0.25">
      <c r="A8701" t="s">
        <v>28574</v>
      </c>
      <c r="B8701" s="1" t="str">
        <f>HYPERLINK("https://www.catalog.slsa.sa.gov.au/record=b2025119")</f>
        <v>https://www.catalog.slsa.sa.gov.au/record=b2025119</v>
      </c>
      <c r="C8701" s="1" t="str">
        <f>HYPERLINK("https://www.catalog.slsa.sa.gov.au/xrecord=b2025119")</f>
        <v>https://www.catalog.slsa.sa.gov.au/xrecord=b2025119</v>
      </c>
      <c r="D8701" t="s">
        <v>16831</v>
      </c>
      <c r="E8701" t="s">
        <v>28568</v>
      </c>
      <c r="F8701">
        <v>1965</v>
      </c>
      <c r="G8701" t="s">
        <v>28373</v>
      </c>
      <c r="H8701" t="s">
        <v>28570</v>
      </c>
      <c r="I8701" t="s">
        <v>28571</v>
      </c>
      <c r="J8701" t="s">
        <v>23016</v>
      </c>
      <c r="K8701" s="2" t="str">
        <f>HYPERLINK("http://collections.slsa.sa.gov.au/mpcimg/16250/B16166_11.htm")</f>
        <v>http://collections.slsa.sa.gov.au/mpcimg/16250/B16166_11.htm</v>
      </c>
    </row>
    <row r="8702" spans="1:11" x14ac:dyDescent="0.25">
      <c r="A8702" t="s">
        <v>28575</v>
      </c>
      <c r="B8702" s="1" t="str">
        <f>HYPERLINK("https://www.catalog.slsa.sa.gov.au/record=b2025120")</f>
        <v>https://www.catalog.slsa.sa.gov.au/record=b2025120</v>
      </c>
      <c r="C8702" s="1" t="str">
        <f>HYPERLINK("https://www.catalog.slsa.sa.gov.au/xrecord=b2025120")</f>
        <v>https://www.catalog.slsa.sa.gov.au/xrecord=b2025120</v>
      </c>
      <c r="D8702" t="s">
        <v>16831</v>
      </c>
      <c r="E8702" t="s">
        <v>28568</v>
      </c>
      <c r="F8702">
        <v>1965</v>
      </c>
      <c r="G8702" t="s">
        <v>28373</v>
      </c>
      <c r="H8702" t="s">
        <v>28570</v>
      </c>
      <c r="I8702" t="s">
        <v>28571</v>
      </c>
      <c r="J8702" t="s">
        <v>23016</v>
      </c>
      <c r="K8702" s="2" t="str">
        <f>HYPERLINK("http://collections.slsa.sa.gov.au/mpcimg/16250/B16166_12.htm")</f>
        <v>http://collections.slsa.sa.gov.au/mpcimg/16250/B16166_12.htm</v>
      </c>
    </row>
    <row r="8703" spans="1:11" x14ac:dyDescent="0.25">
      <c r="A8703" t="s">
        <v>28576</v>
      </c>
      <c r="B8703" s="1" t="str">
        <f>HYPERLINK("https://www.catalog.slsa.sa.gov.au/record=b2025121")</f>
        <v>https://www.catalog.slsa.sa.gov.au/record=b2025121</v>
      </c>
      <c r="C8703" s="1" t="str">
        <f>HYPERLINK("https://www.catalog.slsa.sa.gov.au/xrecord=b2025121")</f>
        <v>https://www.catalog.slsa.sa.gov.au/xrecord=b2025121</v>
      </c>
      <c r="D8703" t="s">
        <v>16831</v>
      </c>
      <c r="E8703" t="s">
        <v>28568</v>
      </c>
      <c r="F8703">
        <v>1965</v>
      </c>
      <c r="G8703" t="s">
        <v>28373</v>
      </c>
      <c r="H8703" t="s">
        <v>28570</v>
      </c>
      <c r="I8703" t="s">
        <v>28571</v>
      </c>
      <c r="J8703" t="s">
        <v>23016</v>
      </c>
      <c r="K8703" s="2" t="str">
        <f>HYPERLINK("http://collections.slsa.sa.gov.au/mpcimg/16250/B16166_13.htm")</f>
        <v>http://collections.slsa.sa.gov.au/mpcimg/16250/B16166_13.htm</v>
      </c>
    </row>
    <row r="8704" spans="1:11" x14ac:dyDescent="0.25">
      <c r="A8704" t="s">
        <v>28577</v>
      </c>
      <c r="B8704" s="1" t="str">
        <f>HYPERLINK("https://www.catalog.slsa.sa.gov.au/record=b2025122")</f>
        <v>https://www.catalog.slsa.sa.gov.au/record=b2025122</v>
      </c>
      <c r="C8704" s="1" t="str">
        <f>HYPERLINK("https://www.catalog.slsa.sa.gov.au/xrecord=b2025122")</f>
        <v>https://www.catalog.slsa.sa.gov.au/xrecord=b2025122</v>
      </c>
      <c r="D8704" t="s">
        <v>16831</v>
      </c>
      <c r="E8704" t="s">
        <v>28568</v>
      </c>
      <c r="F8704">
        <v>1965</v>
      </c>
      <c r="G8704" t="s">
        <v>28373</v>
      </c>
      <c r="H8704" t="s">
        <v>28570</v>
      </c>
      <c r="I8704" t="s">
        <v>28571</v>
      </c>
      <c r="J8704" t="s">
        <v>23016</v>
      </c>
      <c r="K8704" s="2" t="str">
        <f>HYPERLINK("http://collections.slsa.sa.gov.au/mpcimg/16250/B16166_14.htm")</f>
        <v>http://collections.slsa.sa.gov.au/mpcimg/16250/B16166_14.htm</v>
      </c>
    </row>
    <row r="8705" spans="1:11" x14ac:dyDescent="0.25">
      <c r="A8705" t="s">
        <v>28578</v>
      </c>
      <c r="B8705" s="1" t="str">
        <f>HYPERLINK("https://www.catalog.slsa.sa.gov.au/record=b2025123")</f>
        <v>https://www.catalog.slsa.sa.gov.au/record=b2025123</v>
      </c>
      <c r="C8705" s="1" t="str">
        <f>HYPERLINK("https://www.catalog.slsa.sa.gov.au/xrecord=b2025123")</f>
        <v>https://www.catalog.slsa.sa.gov.au/xrecord=b2025123</v>
      </c>
      <c r="D8705" t="s">
        <v>16831</v>
      </c>
      <c r="E8705" t="s">
        <v>28568</v>
      </c>
      <c r="F8705">
        <v>1965</v>
      </c>
      <c r="G8705" t="s">
        <v>28373</v>
      </c>
      <c r="H8705" t="s">
        <v>28570</v>
      </c>
      <c r="I8705" t="s">
        <v>28571</v>
      </c>
      <c r="J8705" t="s">
        <v>23016</v>
      </c>
      <c r="K8705" s="2" t="str">
        <f>HYPERLINK("http://collections.slsa.sa.gov.au/mpcimg/16250/B16166_15.htm")</f>
        <v>http://collections.slsa.sa.gov.au/mpcimg/16250/B16166_15.htm</v>
      </c>
    </row>
    <row r="8706" spans="1:11" x14ac:dyDescent="0.25">
      <c r="A8706" t="s">
        <v>28579</v>
      </c>
      <c r="B8706" s="1" t="str">
        <f>HYPERLINK("https://www.catalog.slsa.sa.gov.au/record=b2025124")</f>
        <v>https://www.catalog.slsa.sa.gov.au/record=b2025124</v>
      </c>
      <c r="C8706" s="1" t="str">
        <f>HYPERLINK("https://www.catalog.slsa.sa.gov.au/xrecord=b2025124")</f>
        <v>https://www.catalog.slsa.sa.gov.au/xrecord=b2025124</v>
      </c>
      <c r="D8706" t="s">
        <v>16831</v>
      </c>
      <c r="E8706" t="s">
        <v>28568</v>
      </c>
      <c r="F8706">
        <v>1965</v>
      </c>
      <c r="G8706" t="s">
        <v>28373</v>
      </c>
      <c r="H8706" t="s">
        <v>28570</v>
      </c>
      <c r="I8706" t="s">
        <v>28571</v>
      </c>
      <c r="J8706" t="s">
        <v>23016</v>
      </c>
      <c r="K8706" s="2" t="str">
        <f>HYPERLINK("http://collections.slsa.sa.gov.au/mpcimg/16250/B16166_16.htm")</f>
        <v>http://collections.slsa.sa.gov.au/mpcimg/16250/B16166_16.htm</v>
      </c>
    </row>
    <row r="8707" spans="1:11" x14ac:dyDescent="0.25">
      <c r="A8707" t="s">
        <v>28580</v>
      </c>
      <c r="B8707" s="1" t="str">
        <f>HYPERLINK("https://www.catalog.slsa.sa.gov.au/record=b2025125")</f>
        <v>https://www.catalog.slsa.sa.gov.au/record=b2025125</v>
      </c>
      <c r="C8707" s="1" t="str">
        <f>HYPERLINK("https://www.catalog.slsa.sa.gov.au/xrecord=b2025125")</f>
        <v>https://www.catalog.slsa.sa.gov.au/xrecord=b2025125</v>
      </c>
      <c r="D8707" t="s">
        <v>16831</v>
      </c>
      <c r="E8707" t="s">
        <v>28568</v>
      </c>
      <c r="F8707">
        <v>1965</v>
      </c>
      <c r="G8707" t="s">
        <v>28373</v>
      </c>
      <c r="H8707" t="s">
        <v>28570</v>
      </c>
      <c r="I8707" t="s">
        <v>28571</v>
      </c>
      <c r="J8707" t="s">
        <v>23016</v>
      </c>
      <c r="K8707" s="2" t="str">
        <f>HYPERLINK("http://collections.slsa.sa.gov.au/mpcimg/16250/B16166_17.htm")</f>
        <v>http://collections.slsa.sa.gov.au/mpcimg/16250/B16166_17.htm</v>
      </c>
    </row>
    <row r="8708" spans="1:11" x14ac:dyDescent="0.25">
      <c r="A8708" t="s">
        <v>28581</v>
      </c>
      <c r="B8708" s="1" t="str">
        <f>HYPERLINK("https://www.catalog.slsa.sa.gov.au/record=b2025126")</f>
        <v>https://www.catalog.slsa.sa.gov.au/record=b2025126</v>
      </c>
      <c r="C8708" s="1" t="str">
        <f>HYPERLINK("https://www.catalog.slsa.sa.gov.au/xrecord=b2025126")</f>
        <v>https://www.catalog.slsa.sa.gov.au/xrecord=b2025126</v>
      </c>
      <c r="D8708" t="s">
        <v>16831</v>
      </c>
      <c r="E8708" t="s">
        <v>28568</v>
      </c>
      <c r="F8708">
        <v>1965</v>
      </c>
      <c r="G8708" t="s">
        <v>28373</v>
      </c>
      <c r="H8708" t="s">
        <v>28582</v>
      </c>
      <c r="I8708" t="s">
        <v>28571</v>
      </c>
      <c r="J8708" t="s">
        <v>23016</v>
      </c>
      <c r="K8708" s="2" t="str">
        <f>HYPERLINK("http://collections.slsa.sa.gov.au/mpcimg/16250/B16166_18.htm")</f>
        <v>http://collections.slsa.sa.gov.au/mpcimg/16250/B16166_18.htm</v>
      </c>
    </row>
    <row r="8709" spans="1:11" x14ac:dyDescent="0.25">
      <c r="A8709" t="s">
        <v>28583</v>
      </c>
      <c r="B8709" s="1" t="str">
        <f>HYPERLINK("https://www.catalog.slsa.sa.gov.au/record=b2025127")</f>
        <v>https://www.catalog.slsa.sa.gov.au/record=b2025127</v>
      </c>
      <c r="C8709" s="1" t="str">
        <f>HYPERLINK("https://www.catalog.slsa.sa.gov.au/xrecord=b2025127")</f>
        <v>https://www.catalog.slsa.sa.gov.au/xrecord=b2025127</v>
      </c>
      <c r="D8709" t="s">
        <v>16831</v>
      </c>
      <c r="E8709" t="s">
        <v>28568</v>
      </c>
      <c r="F8709">
        <v>1965</v>
      </c>
      <c r="G8709" t="s">
        <v>28373</v>
      </c>
      <c r="H8709" t="s">
        <v>28584</v>
      </c>
      <c r="I8709" t="s">
        <v>28585</v>
      </c>
      <c r="J8709" t="s">
        <v>23016</v>
      </c>
      <c r="K8709" s="2" t="str">
        <f>HYPERLINK("http://collections.slsa.sa.gov.au/mpcimg/16250/B16166_19.htm")</f>
        <v>http://collections.slsa.sa.gov.au/mpcimg/16250/B16166_19.htm</v>
      </c>
    </row>
    <row r="8710" spans="1:11" x14ac:dyDescent="0.25">
      <c r="A8710" t="s">
        <v>28586</v>
      </c>
      <c r="B8710" s="1" t="str">
        <f>HYPERLINK("https://www.catalog.slsa.sa.gov.au/record=b2025128")</f>
        <v>https://www.catalog.slsa.sa.gov.au/record=b2025128</v>
      </c>
      <c r="C8710" s="1" t="str">
        <f>HYPERLINK("https://www.catalog.slsa.sa.gov.au/xrecord=b2025128")</f>
        <v>https://www.catalog.slsa.sa.gov.au/xrecord=b2025128</v>
      </c>
      <c r="D8710" t="s">
        <v>16831</v>
      </c>
      <c r="E8710" t="s">
        <v>28568</v>
      </c>
      <c r="F8710">
        <v>1965</v>
      </c>
      <c r="G8710" t="s">
        <v>28373</v>
      </c>
      <c r="H8710" t="s">
        <v>28587</v>
      </c>
      <c r="I8710" t="s">
        <v>28585</v>
      </c>
      <c r="J8710" t="s">
        <v>23016</v>
      </c>
      <c r="K8710" s="2" t="str">
        <f>HYPERLINK("http://collections.slsa.sa.gov.au/mpcimg/16250/B16166_20.htm")</f>
        <v>http://collections.slsa.sa.gov.au/mpcimg/16250/B16166_20.htm</v>
      </c>
    </row>
    <row r="8711" spans="1:11" x14ac:dyDescent="0.25">
      <c r="A8711" t="s">
        <v>28588</v>
      </c>
      <c r="B8711" s="1" t="str">
        <f>HYPERLINK("https://www.catalog.slsa.sa.gov.au/record=b2025129")</f>
        <v>https://www.catalog.slsa.sa.gov.au/record=b2025129</v>
      </c>
      <c r="C8711" s="1" t="str">
        <f>HYPERLINK("https://www.catalog.slsa.sa.gov.au/xrecord=b2025129")</f>
        <v>https://www.catalog.slsa.sa.gov.au/xrecord=b2025129</v>
      </c>
      <c r="D8711" t="s">
        <v>16831</v>
      </c>
      <c r="E8711" t="s">
        <v>28568</v>
      </c>
      <c r="F8711">
        <v>1965</v>
      </c>
      <c r="G8711" t="s">
        <v>28373</v>
      </c>
      <c r="H8711" t="s">
        <v>28587</v>
      </c>
      <c r="I8711" t="s">
        <v>28585</v>
      </c>
      <c r="J8711" t="s">
        <v>23016</v>
      </c>
      <c r="K8711" s="2" t="str">
        <f>HYPERLINK("http://collections.slsa.sa.gov.au/mpcimg/16250/B16166_21.htm")</f>
        <v>http://collections.slsa.sa.gov.au/mpcimg/16250/B16166_21.htm</v>
      </c>
    </row>
    <row r="8712" spans="1:11" x14ac:dyDescent="0.25">
      <c r="A8712" t="s">
        <v>28589</v>
      </c>
      <c r="B8712" s="1" t="str">
        <f>HYPERLINK("https://www.catalog.slsa.sa.gov.au/record=b2025130")</f>
        <v>https://www.catalog.slsa.sa.gov.au/record=b2025130</v>
      </c>
      <c r="C8712" s="1" t="str">
        <f>HYPERLINK("https://www.catalog.slsa.sa.gov.au/xrecord=b2025130")</f>
        <v>https://www.catalog.slsa.sa.gov.au/xrecord=b2025130</v>
      </c>
      <c r="D8712" t="s">
        <v>16831</v>
      </c>
      <c r="E8712" t="s">
        <v>28568</v>
      </c>
      <c r="F8712">
        <v>1965</v>
      </c>
      <c r="G8712" t="s">
        <v>28373</v>
      </c>
      <c r="H8712" t="s">
        <v>28590</v>
      </c>
      <c r="I8712" t="s">
        <v>28571</v>
      </c>
      <c r="J8712" t="s">
        <v>23016</v>
      </c>
      <c r="K8712" s="2" t="str">
        <f>HYPERLINK("http://collections.slsa.sa.gov.au/mpcimg/16250/B16166_22.htm")</f>
        <v>http://collections.slsa.sa.gov.au/mpcimg/16250/B16166_22.htm</v>
      </c>
    </row>
    <row r="8713" spans="1:11" x14ac:dyDescent="0.25">
      <c r="A8713" t="s">
        <v>28591</v>
      </c>
      <c r="B8713" s="1" t="str">
        <f>HYPERLINK("https://www.catalog.slsa.sa.gov.au/record=b2025131")</f>
        <v>https://www.catalog.slsa.sa.gov.au/record=b2025131</v>
      </c>
      <c r="C8713" s="1" t="str">
        <f>HYPERLINK("https://www.catalog.slsa.sa.gov.au/xrecord=b2025131")</f>
        <v>https://www.catalog.slsa.sa.gov.au/xrecord=b2025131</v>
      </c>
      <c r="D8713" t="s">
        <v>16831</v>
      </c>
      <c r="E8713" t="s">
        <v>28568</v>
      </c>
      <c r="F8713">
        <v>1965</v>
      </c>
      <c r="G8713" t="s">
        <v>28373</v>
      </c>
      <c r="H8713" t="s">
        <v>28587</v>
      </c>
      <c r="I8713" t="s">
        <v>28592</v>
      </c>
      <c r="J8713" t="s">
        <v>23016</v>
      </c>
      <c r="K8713" s="2" t="str">
        <f>HYPERLINK("http://collections.slsa.sa.gov.au/mpcimg/16250/B16166_23.htm")</f>
        <v>http://collections.slsa.sa.gov.au/mpcimg/16250/B16166_23.htm</v>
      </c>
    </row>
    <row r="8714" spans="1:11" x14ac:dyDescent="0.25">
      <c r="A8714" t="s">
        <v>28593</v>
      </c>
      <c r="B8714" s="1" t="str">
        <f>HYPERLINK("https://www.catalog.slsa.sa.gov.au/record=b2025132")</f>
        <v>https://www.catalog.slsa.sa.gov.au/record=b2025132</v>
      </c>
      <c r="C8714" s="1" t="str">
        <f>HYPERLINK("https://www.catalog.slsa.sa.gov.au/xrecord=b2025132")</f>
        <v>https://www.catalog.slsa.sa.gov.au/xrecord=b2025132</v>
      </c>
      <c r="D8714" t="s">
        <v>16831</v>
      </c>
      <c r="E8714" t="s">
        <v>28568</v>
      </c>
      <c r="F8714">
        <v>1965</v>
      </c>
      <c r="G8714" t="s">
        <v>28373</v>
      </c>
      <c r="H8714" t="s">
        <v>28590</v>
      </c>
      <c r="I8714" t="s">
        <v>28571</v>
      </c>
      <c r="J8714" t="s">
        <v>23016</v>
      </c>
      <c r="K8714" s="2" t="str">
        <f>HYPERLINK("http://collections.slsa.sa.gov.au/mpcimg/16250/B16166_24.htm")</f>
        <v>http://collections.slsa.sa.gov.au/mpcimg/16250/B16166_24.htm</v>
      </c>
    </row>
    <row r="8715" spans="1:11" x14ac:dyDescent="0.25">
      <c r="A8715" t="s">
        <v>28594</v>
      </c>
      <c r="B8715" s="1" t="str">
        <f>HYPERLINK("https://www.catalog.slsa.sa.gov.au/record=b2025133")</f>
        <v>https://www.catalog.slsa.sa.gov.au/record=b2025133</v>
      </c>
      <c r="C8715" s="1" t="str">
        <f>HYPERLINK("https://www.catalog.slsa.sa.gov.au/xrecord=b2025133")</f>
        <v>https://www.catalog.slsa.sa.gov.au/xrecord=b2025133</v>
      </c>
      <c r="D8715" t="s">
        <v>16831</v>
      </c>
      <c r="E8715" t="s">
        <v>28568</v>
      </c>
      <c r="F8715">
        <v>1965</v>
      </c>
      <c r="G8715" t="s">
        <v>28373</v>
      </c>
      <c r="H8715" t="s">
        <v>28570</v>
      </c>
      <c r="I8715" t="s">
        <v>28571</v>
      </c>
      <c r="J8715" t="s">
        <v>23016</v>
      </c>
      <c r="K8715" s="2" t="str">
        <f>HYPERLINK("http://collections.slsa.sa.gov.au/mpcimg/16250/B16166_25.htm")</f>
        <v>http://collections.slsa.sa.gov.au/mpcimg/16250/B16166_25.htm</v>
      </c>
    </row>
    <row r="8716" spans="1:11" x14ac:dyDescent="0.25">
      <c r="A8716" t="s">
        <v>28595</v>
      </c>
      <c r="B8716" s="1" t="str">
        <f>HYPERLINK("https://www.catalog.slsa.sa.gov.au/record=b2054468")</f>
        <v>https://www.catalog.slsa.sa.gov.au/record=b2054468</v>
      </c>
      <c r="C8716" s="1" t="str">
        <f>HYPERLINK("https://www.catalog.slsa.sa.gov.au/xrecord=b2054468")</f>
        <v>https://www.catalog.slsa.sa.gov.au/xrecord=b2054468</v>
      </c>
      <c r="D8716" t="s">
        <v>16831</v>
      </c>
      <c r="E8716" t="s">
        <v>23970</v>
      </c>
      <c r="F8716">
        <v>1965</v>
      </c>
      <c r="G8716" t="s">
        <v>28596</v>
      </c>
      <c r="H8716" t="s">
        <v>28597</v>
      </c>
      <c r="I8716" t="s">
        <v>23972</v>
      </c>
      <c r="J8716" t="s">
        <v>23973</v>
      </c>
      <c r="K8716" s="2" t="str">
        <f>HYPERLINK("http://collections.slsa.sa.gov.au/mpcimg/16000/B15939.htm")</f>
        <v>http://collections.slsa.sa.gov.au/mpcimg/16000/B15939.htm</v>
      </c>
    </row>
    <row r="8717" spans="1:11" x14ac:dyDescent="0.25">
      <c r="A8717" t="s">
        <v>28598</v>
      </c>
      <c r="B8717" s="1" t="str">
        <f>HYPERLINK("https://www.catalog.slsa.sa.gov.au/record=b2054480")</f>
        <v>https://www.catalog.slsa.sa.gov.au/record=b2054480</v>
      </c>
      <c r="C8717" s="1" t="str">
        <f>HYPERLINK("https://www.catalog.slsa.sa.gov.au/xrecord=b2054480")</f>
        <v>https://www.catalog.slsa.sa.gov.au/xrecord=b2054480</v>
      </c>
      <c r="D8717" t="s">
        <v>16831</v>
      </c>
      <c r="E8717" t="s">
        <v>28599</v>
      </c>
      <c r="F8717">
        <v>1965</v>
      </c>
      <c r="G8717" t="s">
        <v>28596</v>
      </c>
      <c r="H8717" t="s">
        <v>28600</v>
      </c>
      <c r="J8717" t="s">
        <v>20875</v>
      </c>
      <c r="K8717" s="2" t="str">
        <f>HYPERLINK("http://collections.slsa.sa.gov.au/mpcimg/15750/B15718.htm")</f>
        <v>http://collections.slsa.sa.gov.au/mpcimg/15750/B15718.htm</v>
      </c>
    </row>
    <row r="8718" spans="1:11" x14ac:dyDescent="0.25">
      <c r="A8718" t="s">
        <v>28601</v>
      </c>
      <c r="B8718" s="1" t="str">
        <f>HYPERLINK("https://www.catalog.slsa.sa.gov.au/record=b2054485")</f>
        <v>https://www.catalog.slsa.sa.gov.au/record=b2054485</v>
      </c>
      <c r="C8718" s="1" t="str">
        <f>HYPERLINK("https://www.catalog.slsa.sa.gov.au/xrecord=b2054485")</f>
        <v>https://www.catalog.slsa.sa.gov.au/xrecord=b2054485</v>
      </c>
      <c r="D8718" t="s">
        <v>16831</v>
      </c>
      <c r="E8718" t="s">
        <v>28602</v>
      </c>
      <c r="F8718">
        <v>1965</v>
      </c>
      <c r="G8718" t="s">
        <v>28596</v>
      </c>
      <c r="H8718" t="s">
        <v>28603</v>
      </c>
      <c r="I8718" t="s">
        <v>28604</v>
      </c>
      <c r="J8718" t="s">
        <v>20875</v>
      </c>
      <c r="K8718" s="2" t="str">
        <f>HYPERLINK("http://collections.slsa.sa.gov.au/mpcimg/15750/B15719.htm")</f>
        <v>http://collections.slsa.sa.gov.au/mpcimg/15750/B15719.htm</v>
      </c>
    </row>
    <row r="8719" spans="1:11" x14ac:dyDescent="0.25">
      <c r="A8719" t="s">
        <v>28605</v>
      </c>
      <c r="B8719" s="1" t="str">
        <f>HYPERLINK("https://www.catalog.slsa.sa.gov.au/record=b2054523")</f>
        <v>https://www.catalog.slsa.sa.gov.au/record=b2054523</v>
      </c>
      <c r="C8719" s="1" t="str">
        <f>HYPERLINK("https://www.catalog.slsa.sa.gov.au/xrecord=b2054523")</f>
        <v>https://www.catalog.slsa.sa.gov.au/xrecord=b2054523</v>
      </c>
      <c r="D8719" t="s">
        <v>16831</v>
      </c>
      <c r="E8719" t="s">
        <v>28606</v>
      </c>
      <c r="F8719">
        <v>1965</v>
      </c>
      <c r="G8719" t="s">
        <v>28596</v>
      </c>
      <c r="H8719" t="s">
        <v>28607</v>
      </c>
      <c r="J8719" t="s">
        <v>28608</v>
      </c>
      <c r="K8719" s="2" t="str">
        <f>HYPERLINK("http://collections.slsa.sa.gov.au/mpcimg/16250/B16209.htm")</f>
        <v>http://collections.slsa.sa.gov.au/mpcimg/16250/B16209.htm</v>
      </c>
    </row>
    <row r="8720" spans="1:11" x14ac:dyDescent="0.25">
      <c r="A8720" t="s">
        <v>28609</v>
      </c>
      <c r="B8720" s="1" t="str">
        <f>HYPERLINK("https://www.catalog.slsa.sa.gov.au/record=b2054627")</f>
        <v>https://www.catalog.slsa.sa.gov.au/record=b2054627</v>
      </c>
      <c r="C8720" s="1" t="str">
        <f>HYPERLINK("https://www.catalog.slsa.sa.gov.au/xrecord=b2054627")</f>
        <v>https://www.catalog.slsa.sa.gov.au/xrecord=b2054627</v>
      </c>
      <c r="D8720" t="s">
        <v>16831</v>
      </c>
      <c r="E8720" t="s">
        <v>28610</v>
      </c>
      <c r="F8720">
        <v>1965</v>
      </c>
      <c r="G8720" t="s">
        <v>28373</v>
      </c>
      <c r="H8720" t="s">
        <v>28611</v>
      </c>
      <c r="J8720" t="s">
        <v>24862</v>
      </c>
      <c r="K8720" s="2" t="str">
        <f>HYPERLINK("http://collections.slsa.sa.gov.au/mpcimg/16250/B16197.htm")</f>
        <v>http://collections.slsa.sa.gov.au/mpcimg/16250/B16197.htm</v>
      </c>
    </row>
    <row r="8721" spans="1:11" x14ac:dyDescent="0.25">
      <c r="A8721" t="s">
        <v>28612</v>
      </c>
      <c r="B8721" s="1" t="str">
        <f>HYPERLINK("https://www.catalog.slsa.sa.gov.au/record=b2054628")</f>
        <v>https://www.catalog.slsa.sa.gov.au/record=b2054628</v>
      </c>
      <c r="C8721" s="1" t="str">
        <f>HYPERLINK("https://www.catalog.slsa.sa.gov.au/xrecord=b2054628")</f>
        <v>https://www.catalog.slsa.sa.gov.au/xrecord=b2054628</v>
      </c>
      <c r="D8721" t="s">
        <v>16831</v>
      </c>
      <c r="E8721" t="s">
        <v>16771</v>
      </c>
      <c r="F8721">
        <v>1965</v>
      </c>
      <c r="G8721" t="s">
        <v>28373</v>
      </c>
      <c r="H8721" t="s">
        <v>28613</v>
      </c>
      <c r="J8721" t="s">
        <v>24862</v>
      </c>
      <c r="K8721" s="2" t="str">
        <f>HYPERLINK("http://collections.slsa.sa.gov.au/mpcimg/16250/B16198.htm")</f>
        <v>http://collections.slsa.sa.gov.au/mpcimg/16250/B16198.htm</v>
      </c>
    </row>
    <row r="8722" spans="1:11" x14ac:dyDescent="0.25">
      <c r="A8722" t="s">
        <v>28614</v>
      </c>
      <c r="B8722" s="1" t="str">
        <f>HYPERLINK("https://www.catalog.slsa.sa.gov.au/record=b2054629")</f>
        <v>https://www.catalog.slsa.sa.gov.au/record=b2054629</v>
      </c>
      <c r="C8722" s="1" t="str">
        <f>HYPERLINK("https://www.catalog.slsa.sa.gov.au/xrecord=b2054629")</f>
        <v>https://www.catalog.slsa.sa.gov.au/xrecord=b2054629</v>
      </c>
      <c r="D8722" t="s">
        <v>16831</v>
      </c>
      <c r="E8722" t="s">
        <v>23765</v>
      </c>
      <c r="F8722">
        <v>1965</v>
      </c>
      <c r="G8722" t="s">
        <v>28373</v>
      </c>
      <c r="H8722" t="s">
        <v>28615</v>
      </c>
      <c r="J8722" t="s">
        <v>24862</v>
      </c>
      <c r="K8722" s="2" t="str">
        <f>HYPERLINK("http://collections.slsa.sa.gov.au/mpcimg/16250/B16199.htm")</f>
        <v>http://collections.slsa.sa.gov.au/mpcimg/16250/B16199.htm</v>
      </c>
    </row>
    <row r="8723" spans="1:11" x14ac:dyDescent="0.25">
      <c r="A8723" t="s">
        <v>28616</v>
      </c>
      <c r="B8723" s="1" t="str">
        <f>HYPERLINK("https://www.catalog.slsa.sa.gov.au/record=b2055643")</f>
        <v>https://www.catalog.slsa.sa.gov.au/record=b2055643</v>
      </c>
      <c r="C8723" s="1" t="str">
        <f>HYPERLINK("https://www.catalog.slsa.sa.gov.au/xrecord=b2055643")</f>
        <v>https://www.catalog.slsa.sa.gov.au/xrecord=b2055643</v>
      </c>
      <c r="D8723" t="s">
        <v>16831</v>
      </c>
      <c r="E8723" t="s">
        <v>28610</v>
      </c>
      <c r="F8723">
        <v>1965</v>
      </c>
      <c r="G8723" t="s">
        <v>28373</v>
      </c>
      <c r="H8723" t="s">
        <v>28617</v>
      </c>
      <c r="J8723" t="s">
        <v>16769</v>
      </c>
      <c r="K8723" s="2" t="str">
        <f>HYPERLINK("http://collections.slsa.sa.gov.au/mpcimg/16250/B16200.htm")</f>
        <v>http://collections.slsa.sa.gov.au/mpcimg/16250/B16200.htm</v>
      </c>
    </row>
    <row r="8724" spans="1:11" x14ac:dyDescent="0.25">
      <c r="A8724" t="s">
        <v>28618</v>
      </c>
      <c r="B8724" s="1" t="str">
        <f>HYPERLINK("https://www.catalog.slsa.sa.gov.au/record=b2055644")</f>
        <v>https://www.catalog.slsa.sa.gov.au/record=b2055644</v>
      </c>
      <c r="C8724" s="1" t="str">
        <f>HYPERLINK("https://www.catalog.slsa.sa.gov.au/xrecord=b2055644")</f>
        <v>https://www.catalog.slsa.sa.gov.au/xrecord=b2055644</v>
      </c>
      <c r="D8724" t="s">
        <v>16831</v>
      </c>
      <c r="E8724" t="s">
        <v>28610</v>
      </c>
      <c r="F8724">
        <v>1965</v>
      </c>
      <c r="G8724" t="s">
        <v>16674</v>
      </c>
      <c r="H8724" t="s">
        <v>28619</v>
      </c>
      <c r="J8724" t="s">
        <v>16769</v>
      </c>
      <c r="K8724" s="2" t="str">
        <f>HYPERLINK("http://collections.slsa.sa.gov.au/mpcimg/16250/B16201.htm")</f>
        <v>http://collections.slsa.sa.gov.au/mpcimg/16250/B16201.htm</v>
      </c>
    </row>
    <row r="8725" spans="1:11" x14ac:dyDescent="0.25">
      <c r="A8725" t="s">
        <v>28620</v>
      </c>
      <c r="B8725" s="1" t="str">
        <f>HYPERLINK("https://www.catalog.slsa.sa.gov.au/record=b2059482")</f>
        <v>https://www.catalog.slsa.sa.gov.au/record=b2059482</v>
      </c>
      <c r="C8725" s="1" t="str">
        <f>HYPERLINK("https://www.catalog.slsa.sa.gov.au/xrecord=b2059482")</f>
        <v>https://www.catalog.slsa.sa.gov.au/xrecord=b2059482</v>
      </c>
      <c r="D8725" t="s">
        <v>16831</v>
      </c>
      <c r="E8725" t="s">
        <v>20096</v>
      </c>
      <c r="F8725">
        <v>1965</v>
      </c>
      <c r="G8725" t="s">
        <v>28373</v>
      </c>
      <c r="H8725" t="s">
        <v>28621</v>
      </c>
      <c r="J8725" t="s">
        <v>25908</v>
      </c>
      <c r="K8725" s="2" t="str">
        <f>HYPERLINK("http://collections.slsa.sa.gov.au/mpcimg/16250/B16128.htm")</f>
        <v>http://collections.slsa.sa.gov.au/mpcimg/16250/B16128.htm</v>
      </c>
    </row>
    <row r="8726" spans="1:11" x14ac:dyDescent="0.25">
      <c r="A8726" t="s">
        <v>28622</v>
      </c>
      <c r="B8726" s="1" t="str">
        <f>HYPERLINK("https://www.catalog.slsa.sa.gov.au/record=b2059483")</f>
        <v>https://www.catalog.slsa.sa.gov.au/record=b2059483</v>
      </c>
      <c r="C8726" s="1" t="str">
        <f>HYPERLINK("https://www.catalog.slsa.sa.gov.au/xrecord=b2059483")</f>
        <v>https://www.catalog.slsa.sa.gov.au/xrecord=b2059483</v>
      </c>
      <c r="D8726" t="s">
        <v>16831</v>
      </c>
      <c r="E8726" t="s">
        <v>20096</v>
      </c>
      <c r="F8726">
        <v>1965</v>
      </c>
      <c r="G8726" t="s">
        <v>28373</v>
      </c>
      <c r="H8726" t="s">
        <v>28623</v>
      </c>
      <c r="J8726" t="s">
        <v>24193</v>
      </c>
      <c r="K8726" s="2" t="str">
        <f>HYPERLINK("http://collections.slsa.sa.gov.au/mpcimg/16250/B16202.htm")</f>
        <v>http://collections.slsa.sa.gov.au/mpcimg/16250/B16202.htm</v>
      </c>
    </row>
    <row r="8727" spans="1:11" x14ac:dyDescent="0.25">
      <c r="A8727" t="s">
        <v>28624</v>
      </c>
      <c r="B8727" s="1" t="str">
        <f>HYPERLINK("https://www.catalog.slsa.sa.gov.au/record=b2059644")</f>
        <v>https://www.catalog.slsa.sa.gov.au/record=b2059644</v>
      </c>
      <c r="C8727" s="1" t="str">
        <f>HYPERLINK("https://www.catalog.slsa.sa.gov.au/xrecord=b2059644")</f>
        <v>https://www.catalog.slsa.sa.gov.au/xrecord=b2059644</v>
      </c>
      <c r="D8727" t="s">
        <v>16831</v>
      </c>
      <c r="E8727" t="s">
        <v>28625</v>
      </c>
      <c r="F8727">
        <v>1965</v>
      </c>
      <c r="G8727" t="s">
        <v>28373</v>
      </c>
      <c r="H8727" t="s">
        <v>28626</v>
      </c>
      <c r="J8727" t="s">
        <v>22854</v>
      </c>
      <c r="K8727" s="2" t="str">
        <f>HYPERLINK("http://collections.slsa.sa.gov.au/mpcimg/16000/B15933.htm")</f>
        <v>http://collections.slsa.sa.gov.au/mpcimg/16000/B15933.htm</v>
      </c>
    </row>
    <row r="8728" spans="1:11" x14ac:dyDescent="0.25">
      <c r="A8728" t="s">
        <v>28627</v>
      </c>
      <c r="B8728" s="1" t="str">
        <f>HYPERLINK("https://www.catalog.slsa.sa.gov.au/record=b2059645")</f>
        <v>https://www.catalog.slsa.sa.gov.au/record=b2059645</v>
      </c>
      <c r="C8728" s="1" t="str">
        <f>HYPERLINK("https://www.catalog.slsa.sa.gov.au/xrecord=b2059645")</f>
        <v>https://www.catalog.slsa.sa.gov.au/xrecord=b2059645</v>
      </c>
      <c r="D8728" t="s">
        <v>16831</v>
      </c>
      <c r="E8728" t="s">
        <v>28625</v>
      </c>
      <c r="F8728">
        <v>1965</v>
      </c>
      <c r="G8728" t="s">
        <v>28373</v>
      </c>
      <c r="H8728" t="s">
        <v>28628</v>
      </c>
      <c r="J8728" t="s">
        <v>22854</v>
      </c>
      <c r="K8728" s="2" t="str">
        <f>HYPERLINK("http://collections.slsa.sa.gov.au/mpcimg/16000/B15932.htm")</f>
        <v>http://collections.slsa.sa.gov.au/mpcimg/16000/B15932.htm</v>
      </c>
    </row>
    <row r="8729" spans="1:11" x14ac:dyDescent="0.25">
      <c r="A8729" t="s">
        <v>28629</v>
      </c>
      <c r="B8729" s="1" t="str">
        <f>HYPERLINK("https://www.catalog.slsa.sa.gov.au/record=b2059739")</f>
        <v>https://www.catalog.slsa.sa.gov.au/record=b2059739</v>
      </c>
      <c r="C8729" s="1" t="str">
        <f>HYPERLINK("https://www.catalog.slsa.sa.gov.au/xrecord=b2059739")</f>
        <v>https://www.catalog.slsa.sa.gov.au/xrecord=b2059739</v>
      </c>
      <c r="D8729" t="s">
        <v>16831</v>
      </c>
      <c r="E8729" t="s">
        <v>20933</v>
      </c>
      <c r="F8729">
        <v>1965</v>
      </c>
      <c r="G8729" t="s">
        <v>28373</v>
      </c>
      <c r="H8729" t="s">
        <v>28630</v>
      </c>
      <c r="J8729" t="s">
        <v>21029</v>
      </c>
      <c r="K8729" s="2" t="str">
        <f>HYPERLINK("http://collections.slsa.sa.gov.au/mpcimg/16250/B16139.htm")</f>
        <v>http://collections.slsa.sa.gov.au/mpcimg/16250/B16139.htm</v>
      </c>
    </row>
    <row r="8730" spans="1:11" x14ac:dyDescent="0.25">
      <c r="A8730" t="s">
        <v>28631</v>
      </c>
      <c r="B8730" s="1" t="str">
        <f>HYPERLINK("https://www.catalog.slsa.sa.gov.au/record=b2059863")</f>
        <v>https://www.catalog.slsa.sa.gov.au/record=b2059863</v>
      </c>
      <c r="C8730" s="1" t="str">
        <f>HYPERLINK("https://www.catalog.slsa.sa.gov.au/xrecord=b2059863")</f>
        <v>https://www.catalog.slsa.sa.gov.au/xrecord=b2059863</v>
      </c>
      <c r="D8730" t="s">
        <v>16831</v>
      </c>
      <c r="E8730" t="s">
        <v>22862</v>
      </c>
      <c r="F8730">
        <v>1965</v>
      </c>
      <c r="G8730" t="s">
        <v>28632</v>
      </c>
      <c r="H8730" t="s">
        <v>28633</v>
      </c>
      <c r="J8730" t="s">
        <v>25398</v>
      </c>
      <c r="K8730" s="2" t="str">
        <f>HYPERLINK("http://collections.slsa.sa.gov.au/mpcimg/16250/B16132.htm")</f>
        <v>http://collections.slsa.sa.gov.au/mpcimg/16250/B16132.htm</v>
      </c>
    </row>
    <row r="8731" spans="1:11" x14ac:dyDescent="0.25">
      <c r="A8731" t="s">
        <v>28634</v>
      </c>
      <c r="B8731" s="1" t="str">
        <f>HYPERLINK("https://www.catalog.slsa.sa.gov.au/record=b2060124")</f>
        <v>https://www.catalog.slsa.sa.gov.au/record=b2060124</v>
      </c>
      <c r="C8731" s="1" t="str">
        <f>HYPERLINK("https://www.catalog.slsa.sa.gov.au/xrecord=b2060124")</f>
        <v>https://www.catalog.slsa.sa.gov.au/xrecord=b2060124</v>
      </c>
      <c r="D8731" t="s">
        <v>16831</v>
      </c>
      <c r="E8731" t="s">
        <v>5365</v>
      </c>
      <c r="F8731">
        <v>1965</v>
      </c>
      <c r="G8731" t="s">
        <v>28373</v>
      </c>
      <c r="H8731" t="s">
        <v>28635</v>
      </c>
      <c r="J8731" t="s">
        <v>21063</v>
      </c>
      <c r="K8731" s="2" t="str">
        <f>HYPERLINK("http://collections.slsa.sa.gov.au/mpcimg/16250/B16170.htm")</f>
        <v>http://collections.slsa.sa.gov.au/mpcimg/16250/B16170.htm</v>
      </c>
    </row>
    <row r="8732" spans="1:11" x14ac:dyDescent="0.25">
      <c r="A8732" t="s">
        <v>28636</v>
      </c>
      <c r="B8732" s="1" t="str">
        <f>HYPERLINK("https://www.catalog.slsa.sa.gov.au/record=b2060584")</f>
        <v>https://www.catalog.slsa.sa.gov.au/record=b2060584</v>
      </c>
      <c r="C8732" s="1" t="str">
        <f>HYPERLINK("https://www.catalog.slsa.sa.gov.au/xrecord=b2060584")</f>
        <v>https://www.catalog.slsa.sa.gov.au/xrecord=b2060584</v>
      </c>
      <c r="D8732" t="s">
        <v>16831</v>
      </c>
      <c r="E8732" t="s">
        <v>20100</v>
      </c>
      <c r="F8732">
        <v>1965</v>
      </c>
      <c r="G8732" t="s">
        <v>28373</v>
      </c>
      <c r="H8732" t="s">
        <v>28637</v>
      </c>
      <c r="J8732" t="s">
        <v>25964</v>
      </c>
      <c r="K8732" s="2" t="str">
        <f>HYPERLINK("http://collections.slsa.sa.gov.au/mpcimg/16250/B16140_1.htm")</f>
        <v>http://collections.slsa.sa.gov.au/mpcimg/16250/B16140_1.htm</v>
      </c>
    </row>
    <row r="8733" spans="1:11" x14ac:dyDescent="0.25">
      <c r="A8733" t="s">
        <v>28638</v>
      </c>
      <c r="B8733" s="1" t="str">
        <f>HYPERLINK("https://www.catalog.slsa.sa.gov.au/record=b2060585")</f>
        <v>https://www.catalog.slsa.sa.gov.au/record=b2060585</v>
      </c>
      <c r="C8733" s="1" t="str">
        <f>HYPERLINK("https://www.catalog.slsa.sa.gov.au/xrecord=b2060585")</f>
        <v>https://www.catalog.slsa.sa.gov.au/xrecord=b2060585</v>
      </c>
      <c r="D8733" t="s">
        <v>16831</v>
      </c>
      <c r="E8733" t="s">
        <v>20100</v>
      </c>
      <c r="F8733">
        <v>1965</v>
      </c>
      <c r="G8733" t="s">
        <v>28373</v>
      </c>
      <c r="H8733" t="s">
        <v>28637</v>
      </c>
      <c r="J8733" t="s">
        <v>25964</v>
      </c>
      <c r="K8733" s="2" t="str">
        <f>HYPERLINK("http://collections.slsa.sa.gov.au/mpcimg/16250/B16140_2.htm")</f>
        <v>http://collections.slsa.sa.gov.au/mpcimg/16250/B16140_2.htm</v>
      </c>
    </row>
    <row r="8734" spans="1:11" x14ac:dyDescent="0.25">
      <c r="A8734" t="s">
        <v>28639</v>
      </c>
      <c r="B8734" s="1" t="str">
        <f>HYPERLINK("https://www.catalog.slsa.sa.gov.au/record=b2060586")</f>
        <v>https://www.catalog.slsa.sa.gov.au/record=b2060586</v>
      </c>
      <c r="C8734" s="1" t="str">
        <f>HYPERLINK("https://www.catalog.slsa.sa.gov.au/xrecord=b2060586")</f>
        <v>https://www.catalog.slsa.sa.gov.au/xrecord=b2060586</v>
      </c>
      <c r="D8734" t="s">
        <v>16831</v>
      </c>
      <c r="E8734" t="s">
        <v>20100</v>
      </c>
      <c r="F8734">
        <v>1965</v>
      </c>
      <c r="G8734" t="s">
        <v>28373</v>
      </c>
      <c r="H8734" t="s">
        <v>28637</v>
      </c>
      <c r="J8734" t="s">
        <v>25964</v>
      </c>
      <c r="K8734" s="2" t="str">
        <f>HYPERLINK("http://collections.slsa.sa.gov.au/mpcimg/16250/B16140_3.htm")</f>
        <v>http://collections.slsa.sa.gov.au/mpcimg/16250/B16140_3.htm</v>
      </c>
    </row>
    <row r="8735" spans="1:11" x14ac:dyDescent="0.25">
      <c r="A8735" t="s">
        <v>28640</v>
      </c>
      <c r="B8735" s="1" t="str">
        <f>HYPERLINK("https://www.catalog.slsa.sa.gov.au/record=b2060820")</f>
        <v>https://www.catalog.slsa.sa.gov.au/record=b2060820</v>
      </c>
      <c r="C8735" s="1" t="str">
        <f>HYPERLINK("https://www.catalog.slsa.sa.gov.au/xrecord=b2060820")</f>
        <v>https://www.catalog.slsa.sa.gov.au/xrecord=b2060820</v>
      </c>
      <c r="D8735" t="s">
        <v>16831</v>
      </c>
      <c r="E8735" t="s">
        <v>21232</v>
      </c>
      <c r="F8735">
        <v>1965</v>
      </c>
      <c r="G8735" t="s">
        <v>28373</v>
      </c>
      <c r="H8735" t="s">
        <v>28641</v>
      </c>
      <c r="J8735" t="s">
        <v>28642</v>
      </c>
      <c r="K8735" s="2" t="str">
        <f>HYPERLINK("http://collections.slsa.sa.gov.au/mpcimg/16250/B16130.htm")</f>
        <v>http://collections.slsa.sa.gov.au/mpcimg/16250/B16130.htm</v>
      </c>
    </row>
    <row r="8736" spans="1:11" x14ac:dyDescent="0.25">
      <c r="A8736" t="s">
        <v>28643</v>
      </c>
      <c r="B8736" s="1" t="str">
        <f>HYPERLINK("https://www.catalog.slsa.sa.gov.au/record=b2060821")</f>
        <v>https://www.catalog.slsa.sa.gov.au/record=b2060821</v>
      </c>
      <c r="C8736" s="1" t="str">
        <f>HYPERLINK("https://www.catalog.slsa.sa.gov.au/xrecord=b2060821")</f>
        <v>https://www.catalog.slsa.sa.gov.au/xrecord=b2060821</v>
      </c>
      <c r="D8736" t="s">
        <v>16831</v>
      </c>
      <c r="E8736" t="s">
        <v>21232</v>
      </c>
      <c r="F8736">
        <v>1965</v>
      </c>
      <c r="G8736" t="s">
        <v>28373</v>
      </c>
      <c r="H8736" t="s">
        <v>28644</v>
      </c>
      <c r="J8736" t="s">
        <v>28642</v>
      </c>
      <c r="K8736" s="2" t="str">
        <f>HYPERLINK("http://collections.slsa.sa.gov.au/mpcimg/16250/B16131.htm")</f>
        <v>http://collections.slsa.sa.gov.au/mpcimg/16250/B16131.htm</v>
      </c>
    </row>
    <row r="8737" spans="1:11" x14ac:dyDescent="0.25">
      <c r="A8737" t="s">
        <v>28645</v>
      </c>
      <c r="B8737" s="1" t="str">
        <f>HYPERLINK("https://www.catalog.slsa.sa.gov.au/record=b2061386")</f>
        <v>https://www.catalog.slsa.sa.gov.au/record=b2061386</v>
      </c>
      <c r="C8737" s="1" t="str">
        <f>HYPERLINK("https://www.catalog.slsa.sa.gov.au/xrecord=b2061386")</f>
        <v>https://www.catalog.slsa.sa.gov.au/xrecord=b2061386</v>
      </c>
      <c r="D8737" t="s">
        <v>16831</v>
      </c>
      <c r="E8737" t="s">
        <v>16827</v>
      </c>
      <c r="F8737">
        <v>1965</v>
      </c>
      <c r="G8737" t="s">
        <v>28373</v>
      </c>
      <c r="H8737" t="s">
        <v>28646</v>
      </c>
      <c r="J8737" t="s">
        <v>21157</v>
      </c>
      <c r="K8737" s="2" t="str">
        <f>HYPERLINK("http://collections.slsa.sa.gov.au/mpcimg/16250/B16152.htm")</f>
        <v>http://collections.slsa.sa.gov.au/mpcimg/16250/B16152.htm</v>
      </c>
    </row>
    <row r="8738" spans="1:11" x14ac:dyDescent="0.25">
      <c r="A8738" t="s">
        <v>28647</v>
      </c>
      <c r="B8738" s="1" t="str">
        <f>HYPERLINK("https://www.catalog.slsa.sa.gov.au/record=b2061445")</f>
        <v>https://www.catalog.slsa.sa.gov.au/record=b2061445</v>
      </c>
      <c r="C8738" s="1" t="str">
        <f>HYPERLINK("https://www.catalog.slsa.sa.gov.au/xrecord=b2061445")</f>
        <v>https://www.catalog.slsa.sa.gov.au/xrecord=b2061445</v>
      </c>
      <c r="D8738" t="s">
        <v>16831</v>
      </c>
      <c r="E8738" t="s">
        <v>25471</v>
      </c>
      <c r="F8738">
        <v>1965</v>
      </c>
      <c r="G8738" t="s">
        <v>28648</v>
      </c>
      <c r="H8738" t="s">
        <v>28649</v>
      </c>
      <c r="J8738" t="s">
        <v>28243</v>
      </c>
      <c r="K8738" s="2" t="str">
        <f>HYPERLINK("http://collections.slsa.sa.gov.au/mpcimg/16750/B16523.htm")</f>
        <v>http://collections.slsa.sa.gov.au/mpcimg/16750/B16523.htm</v>
      </c>
    </row>
    <row r="8739" spans="1:11" x14ac:dyDescent="0.25">
      <c r="A8739" t="s">
        <v>28650</v>
      </c>
      <c r="B8739" s="1" t="str">
        <f>HYPERLINK("https://www.catalog.slsa.sa.gov.au/record=b2061518")</f>
        <v>https://www.catalog.slsa.sa.gov.au/record=b2061518</v>
      </c>
      <c r="C8739" s="1" t="str">
        <f>HYPERLINK("https://www.catalog.slsa.sa.gov.au/xrecord=b2061518")</f>
        <v>https://www.catalog.slsa.sa.gov.au/xrecord=b2061518</v>
      </c>
      <c r="D8739" t="s">
        <v>16831</v>
      </c>
      <c r="E8739" t="s">
        <v>28651</v>
      </c>
      <c r="F8739">
        <v>1965</v>
      </c>
      <c r="G8739" t="s">
        <v>28652</v>
      </c>
      <c r="H8739" t="s">
        <v>28653</v>
      </c>
      <c r="J8739" t="s">
        <v>28654</v>
      </c>
      <c r="K8739" s="2" t="str">
        <f>HYPERLINK("http://collections.slsa.sa.gov.au/mpcimg/16000/B15926.htm")</f>
        <v>http://collections.slsa.sa.gov.au/mpcimg/16000/B15926.htm</v>
      </c>
    </row>
    <row r="8740" spans="1:11" x14ac:dyDescent="0.25">
      <c r="A8740" t="s">
        <v>28655</v>
      </c>
      <c r="B8740" s="1" t="str">
        <f>HYPERLINK("https://www.catalog.slsa.sa.gov.au/record=b2061902")</f>
        <v>https://www.catalog.slsa.sa.gov.au/record=b2061902</v>
      </c>
      <c r="C8740" s="1" t="str">
        <f>HYPERLINK("https://www.catalog.slsa.sa.gov.au/xrecord=b2061902")</f>
        <v>https://www.catalog.slsa.sa.gov.au/xrecord=b2061902</v>
      </c>
      <c r="D8740" t="s">
        <v>16831</v>
      </c>
      <c r="E8740" t="s">
        <v>21208</v>
      </c>
      <c r="F8740">
        <v>1965</v>
      </c>
      <c r="G8740" t="s">
        <v>28373</v>
      </c>
      <c r="H8740" t="s">
        <v>28656</v>
      </c>
      <c r="J8740" t="s">
        <v>25525</v>
      </c>
      <c r="K8740" s="2" t="str">
        <f>HYPERLINK("http://collections.slsa.sa.gov.au/mpcimg/16000/B15904.htm")</f>
        <v>http://collections.slsa.sa.gov.au/mpcimg/16000/B15904.htm</v>
      </c>
    </row>
    <row r="8741" spans="1:11" x14ac:dyDescent="0.25">
      <c r="A8741" t="s">
        <v>28657</v>
      </c>
      <c r="B8741" s="1" t="str">
        <f>HYPERLINK("https://www.catalog.slsa.sa.gov.au/record=b2061929")</f>
        <v>https://www.catalog.slsa.sa.gov.au/record=b2061929</v>
      </c>
      <c r="C8741" s="1" t="str">
        <f>HYPERLINK("https://www.catalog.slsa.sa.gov.au/xrecord=b2061929")</f>
        <v>https://www.catalog.slsa.sa.gov.au/xrecord=b2061929</v>
      </c>
      <c r="D8741" t="s">
        <v>16831</v>
      </c>
      <c r="E8741" t="s">
        <v>28283</v>
      </c>
      <c r="F8741">
        <v>1965</v>
      </c>
      <c r="G8741" t="s">
        <v>16674</v>
      </c>
      <c r="H8741" t="s">
        <v>28658</v>
      </c>
      <c r="J8741" t="s">
        <v>25536</v>
      </c>
      <c r="K8741" s="2" t="str">
        <f>HYPERLINK("http://collections.slsa.sa.gov.au/mpcimg/16250/B16135.htm")</f>
        <v>http://collections.slsa.sa.gov.au/mpcimg/16250/B16135.htm</v>
      </c>
    </row>
    <row r="8742" spans="1:11" x14ac:dyDescent="0.25">
      <c r="A8742" t="s">
        <v>28659</v>
      </c>
      <c r="B8742" s="1" t="str">
        <f>HYPERLINK("https://www.catalog.slsa.sa.gov.au/record=b2061943")</f>
        <v>https://www.catalog.slsa.sa.gov.au/record=b2061943</v>
      </c>
      <c r="C8742" s="1" t="str">
        <f>HYPERLINK("https://www.catalog.slsa.sa.gov.au/xrecord=b2061943")</f>
        <v>https://www.catalog.slsa.sa.gov.au/xrecord=b2061943</v>
      </c>
      <c r="D8742" t="s">
        <v>16831</v>
      </c>
      <c r="E8742" t="s">
        <v>21178</v>
      </c>
      <c r="F8742">
        <v>1965</v>
      </c>
      <c r="G8742" t="s">
        <v>28652</v>
      </c>
      <c r="H8742" t="s">
        <v>28660</v>
      </c>
      <c r="J8742" t="s">
        <v>28661</v>
      </c>
      <c r="K8742" s="2" t="str">
        <f>HYPERLINK("http://collections.slsa.sa.gov.au/mpcimg/16000/B15923.htm")</f>
        <v>http://collections.slsa.sa.gov.au/mpcimg/16000/B15923.htm</v>
      </c>
    </row>
    <row r="8743" spans="1:11" x14ac:dyDescent="0.25">
      <c r="A8743" t="s">
        <v>28662</v>
      </c>
      <c r="B8743" s="1" t="str">
        <f>HYPERLINK("https://www.catalog.slsa.sa.gov.au/record=b2061953")</f>
        <v>https://www.catalog.slsa.sa.gov.au/record=b2061953</v>
      </c>
      <c r="C8743" s="1" t="str">
        <f>HYPERLINK("https://www.catalog.slsa.sa.gov.au/xrecord=b2061953")</f>
        <v>https://www.catalog.slsa.sa.gov.au/xrecord=b2061953</v>
      </c>
      <c r="D8743" t="s">
        <v>16831</v>
      </c>
      <c r="E8743" t="s">
        <v>21208</v>
      </c>
      <c r="F8743">
        <v>1965</v>
      </c>
      <c r="G8743" t="s">
        <v>16674</v>
      </c>
      <c r="H8743" t="s">
        <v>28663</v>
      </c>
      <c r="J8743" t="s">
        <v>26800</v>
      </c>
      <c r="K8743" s="2" t="str">
        <f>HYPERLINK("http://collections.slsa.sa.gov.au/mpcimg/16000/B15913.htm")</f>
        <v>http://collections.slsa.sa.gov.au/mpcimg/16000/B15913.htm</v>
      </c>
    </row>
    <row r="8744" spans="1:11" x14ac:dyDescent="0.25">
      <c r="A8744" t="s">
        <v>28664</v>
      </c>
      <c r="B8744" s="1" t="str">
        <f>HYPERLINK("https://www.catalog.slsa.sa.gov.au/record=b2061954")</f>
        <v>https://www.catalog.slsa.sa.gov.au/record=b2061954</v>
      </c>
      <c r="C8744" s="1" t="str">
        <f>HYPERLINK("https://www.catalog.slsa.sa.gov.au/xrecord=b2061954")</f>
        <v>https://www.catalog.slsa.sa.gov.au/xrecord=b2061954</v>
      </c>
      <c r="D8744" t="s">
        <v>16831</v>
      </c>
      <c r="E8744" t="s">
        <v>21208</v>
      </c>
      <c r="F8744">
        <v>1965</v>
      </c>
      <c r="G8744" t="s">
        <v>28652</v>
      </c>
      <c r="H8744" t="s">
        <v>28665</v>
      </c>
      <c r="J8744" t="s">
        <v>26800</v>
      </c>
      <c r="K8744" s="2" t="str">
        <f>HYPERLINK("http://collections.slsa.sa.gov.au/mpcimg/16000/B15927.htm")</f>
        <v>http://collections.slsa.sa.gov.au/mpcimg/16000/B15927.htm</v>
      </c>
    </row>
    <row r="8745" spans="1:11" x14ac:dyDescent="0.25">
      <c r="A8745" t="s">
        <v>28666</v>
      </c>
      <c r="B8745" s="1" t="str">
        <f>HYPERLINK("https://www.catalog.slsa.sa.gov.au/record=b2061955")</f>
        <v>https://www.catalog.slsa.sa.gov.au/record=b2061955</v>
      </c>
      <c r="C8745" s="1" t="str">
        <f>HYPERLINK("https://www.catalog.slsa.sa.gov.au/xrecord=b2061955")</f>
        <v>https://www.catalog.slsa.sa.gov.au/xrecord=b2061955</v>
      </c>
      <c r="D8745" t="s">
        <v>16831</v>
      </c>
      <c r="E8745" t="s">
        <v>21208</v>
      </c>
      <c r="F8745">
        <v>1965</v>
      </c>
      <c r="G8745" t="s">
        <v>16674</v>
      </c>
      <c r="H8745" t="s">
        <v>28667</v>
      </c>
      <c r="J8745" t="s">
        <v>26800</v>
      </c>
      <c r="K8745" s="2" t="str">
        <f>HYPERLINK("http://collections.slsa.sa.gov.au/mpcimg/16250/B16141.htm")</f>
        <v>http://collections.slsa.sa.gov.au/mpcimg/16250/B16141.htm</v>
      </c>
    </row>
    <row r="8746" spans="1:11" x14ac:dyDescent="0.25">
      <c r="A8746" t="s">
        <v>28668</v>
      </c>
      <c r="B8746" s="1" t="str">
        <f>HYPERLINK("https://www.catalog.slsa.sa.gov.au/record=b2061956")</f>
        <v>https://www.catalog.slsa.sa.gov.au/record=b2061956</v>
      </c>
      <c r="C8746" s="1" t="str">
        <f>HYPERLINK("https://www.catalog.slsa.sa.gov.au/xrecord=b2061956")</f>
        <v>https://www.catalog.slsa.sa.gov.au/xrecord=b2061956</v>
      </c>
      <c r="D8746" t="s">
        <v>16831</v>
      </c>
      <c r="E8746" t="s">
        <v>21208</v>
      </c>
      <c r="F8746">
        <v>1965</v>
      </c>
      <c r="G8746" t="s">
        <v>28373</v>
      </c>
      <c r="H8746" t="s">
        <v>28669</v>
      </c>
      <c r="J8746" t="s">
        <v>26800</v>
      </c>
      <c r="K8746" s="2" t="str">
        <f>HYPERLINK("http://collections.slsa.sa.gov.au/mpcimg/16250/B16142.htm")</f>
        <v>http://collections.slsa.sa.gov.au/mpcimg/16250/B16142.htm</v>
      </c>
    </row>
    <row r="8747" spans="1:11" x14ac:dyDescent="0.25">
      <c r="A8747" t="s">
        <v>28670</v>
      </c>
      <c r="B8747" s="1" t="str">
        <f>HYPERLINK("https://www.catalog.slsa.sa.gov.au/record=b2061957")</f>
        <v>https://www.catalog.slsa.sa.gov.au/record=b2061957</v>
      </c>
      <c r="C8747" s="1" t="str">
        <f>HYPERLINK("https://www.catalog.slsa.sa.gov.au/xrecord=b2061957")</f>
        <v>https://www.catalog.slsa.sa.gov.au/xrecord=b2061957</v>
      </c>
      <c r="D8747" t="s">
        <v>16831</v>
      </c>
      <c r="E8747" t="s">
        <v>21208</v>
      </c>
      <c r="F8747">
        <v>1965</v>
      </c>
      <c r="G8747" t="s">
        <v>28373</v>
      </c>
      <c r="H8747" t="s">
        <v>28671</v>
      </c>
      <c r="J8747" t="s">
        <v>26800</v>
      </c>
      <c r="K8747" s="2" t="str">
        <f>HYPERLINK("http://collections.slsa.sa.gov.au/mpcimg/16250/B16188.htm")</f>
        <v>http://collections.slsa.sa.gov.au/mpcimg/16250/B16188.htm</v>
      </c>
    </row>
    <row r="8748" spans="1:11" x14ac:dyDescent="0.25">
      <c r="A8748" t="s">
        <v>28672</v>
      </c>
      <c r="B8748" s="1" t="str">
        <f>HYPERLINK("https://www.catalog.slsa.sa.gov.au/record=b2061958")</f>
        <v>https://www.catalog.slsa.sa.gov.au/record=b2061958</v>
      </c>
      <c r="C8748" s="1" t="str">
        <f>HYPERLINK("https://www.catalog.slsa.sa.gov.au/xrecord=b2061958")</f>
        <v>https://www.catalog.slsa.sa.gov.au/xrecord=b2061958</v>
      </c>
      <c r="D8748" t="s">
        <v>16831</v>
      </c>
      <c r="E8748" t="s">
        <v>21208</v>
      </c>
      <c r="F8748">
        <v>1965</v>
      </c>
      <c r="G8748" t="s">
        <v>28373</v>
      </c>
      <c r="H8748" t="s">
        <v>28673</v>
      </c>
      <c r="J8748" t="s">
        <v>26800</v>
      </c>
      <c r="K8748" s="2" t="str">
        <f>HYPERLINK("http://collections.slsa.sa.gov.au/mpcimg/16250/B16189.htm")</f>
        <v>http://collections.slsa.sa.gov.au/mpcimg/16250/B16189.htm</v>
      </c>
    </row>
    <row r="8749" spans="1:11" x14ac:dyDescent="0.25">
      <c r="A8749" t="s">
        <v>28674</v>
      </c>
      <c r="B8749" s="1" t="str">
        <f>HYPERLINK("https://www.catalog.slsa.sa.gov.au/record=b2062815")</f>
        <v>https://www.catalog.slsa.sa.gov.au/record=b2062815</v>
      </c>
      <c r="C8749" s="1" t="str">
        <f>HYPERLINK("https://www.catalog.slsa.sa.gov.au/xrecord=b2062815")</f>
        <v>https://www.catalog.slsa.sa.gov.au/xrecord=b2062815</v>
      </c>
      <c r="D8749" t="s">
        <v>16831</v>
      </c>
      <c r="E8749" t="s">
        <v>21250</v>
      </c>
      <c r="F8749">
        <v>1965</v>
      </c>
      <c r="G8749" t="s">
        <v>28373</v>
      </c>
      <c r="H8749" t="s">
        <v>28675</v>
      </c>
      <c r="J8749" t="s">
        <v>28676</v>
      </c>
      <c r="K8749" s="2" t="str">
        <f>HYPERLINK("http://collections.slsa.sa.gov.au/mpcimg/16250/B16123.htm")</f>
        <v>http://collections.slsa.sa.gov.au/mpcimg/16250/B16123.htm</v>
      </c>
    </row>
    <row r="8750" spans="1:11" x14ac:dyDescent="0.25">
      <c r="A8750" t="s">
        <v>28677</v>
      </c>
      <c r="B8750" s="1" t="str">
        <f>HYPERLINK("https://www.catalog.slsa.sa.gov.au/record=b2062879")</f>
        <v>https://www.catalog.slsa.sa.gov.au/record=b2062879</v>
      </c>
      <c r="C8750" s="1" t="str">
        <f>HYPERLINK("https://www.catalog.slsa.sa.gov.au/xrecord=b2062879")</f>
        <v>https://www.catalog.slsa.sa.gov.au/xrecord=b2062879</v>
      </c>
      <c r="D8750" t="s">
        <v>16831</v>
      </c>
      <c r="E8750" t="s">
        <v>21236</v>
      </c>
      <c r="F8750">
        <v>1965</v>
      </c>
      <c r="G8750" t="s">
        <v>28373</v>
      </c>
      <c r="H8750" t="s">
        <v>28678</v>
      </c>
      <c r="J8750" t="s">
        <v>26456</v>
      </c>
      <c r="K8750" s="2" t="str">
        <f>HYPERLINK("http://collections.slsa.sa.gov.au/mpcimg/15750/B15725.htm")</f>
        <v>http://collections.slsa.sa.gov.au/mpcimg/15750/B15725.htm</v>
      </c>
    </row>
    <row r="8751" spans="1:11" x14ac:dyDescent="0.25">
      <c r="A8751" t="s">
        <v>28679</v>
      </c>
      <c r="B8751" s="1" t="str">
        <f>HYPERLINK("https://www.catalog.slsa.sa.gov.au/record=b2062907")</f>
        <v>https://www.catalog.slsa.sa.gov.au/record=b2062907</v>
      </c>
      <c r="C8751" s="1" t="str">
        <f>HYPERLINK("https://www.catalog.slsa.sa.gov.au/xrecord=b2062907")</f>
        <v>https://www.catalog.slsa.sa.gov.au/xrecord=b2062907</v>
      </c>
      <c r="D8751" t="s">
        <v>16831</v>
      </c>
      <c r="E8751" t="s">
        <v>21277</v>
      </c>
      <c r="F8751">
        <v>1965</v>
      </c>
      <c r="G8751" t="s">
        <v>28373</v>
      </c>
      <c r="H8751" t="s">
        <v>28680</v>
      </c>
      <c r="J8751" t="s">
        <v>28681</v>
      </c>
      <c r="K8751" s="2" t="str">
        <f>HYPERLINK("http://collections.slsa.sa.gov.au/mpcimg/16250/B16117.htm")</f>
        <v>http://collections.slsa.sa.gov.au/mpcimg/16250/B16117.htm</v>
      </c>
    </row>
    <row r="8752" spans="1:11" x14ac:dyDescent="0.25">
      <c r="A8752" t="s">
        <v>28682</v>
      </c>
      <c r="B8752" s="1" t="str">
        <f>HYPERLINK("https://www.catalog.slsa.sa.gov.au/record=b2062909")</f>
        <v>https://www.catalog.slsa.sa.gov.au/record=b2062909</v>
      </c>
      <c r="C8752" s="1" t="str">
        <f>HYPERLINK("https://www.catalog.slsa.sa.gov.au/xrecord=b2062909")</f>
        <v>https://www.catalog.slsa.sa.gov.au/xrecord=b2062909</v>
      </c>
      <c r="D8752" t="s">
        <v>16831</v>
      </c>
      <c r="E8752" t="s">
        <v>21277</v>
      </c>
      <c r="F8752">
        <v>1965</v>
      </c>
      <c r="G8752" t="s">
        <v>28373</v>
      </c>
      <c r="H8752" t="s">
        <v>28683</v>
      </c>
      <c r="J8752" t="s">
        <v>26118</v>
      </c>
      <c r="K8752" s="2" t="str">
        <f>HYPERLINK("http://collections.slsa.sa.gov.au/mpcimg/16250/B16118.htm")</f>
        <v>http://collections.slsa.sa.gov.au/mpcimg/16250/B16118.htm</v>
      </c>
    </row>
    <row r="8753" spans="1:11" x14ac:dyDescent="0.25">
      <c r="A8753" t="s">
        <v>28684</v>
      </c>
      <c r="B8753" s="1" t="str">
        <f>HYPERLINK("https://www.catalog.slsa.sa.gov.au/record=b2062932")</f>
        <v>https://www.catalog.slsa.sa.gov.au/record=b2062932</v>
      </c>
      <c r="C8753" s="1" t="str">
        <f>HYPERLINK("https://www.catalog.slsa.sa.gov.au/xrecord=b2062932")</f>
        <v>https://www.catalog.slsa.sa.gov.au/xrecord=b2062932</v>
      </c>
      <c r="D8753" t="s">
        <v>16831</v>
      </c>
      <c r="E8753" t="s">
        <v>25538</v>
      </c>
      <c r="F8753">
        <v>1965</v>
      </c>
      <c r="G8753" t="s">
        <v>28373</v>
      </c>
      <c r="H8753" t="s">
        <v>28685</v>
      </c>
      <c r="J8753" t="s">
        <v>21291</v>
      </c>
      <c r="K8753" s="2" t="str">
        <f>HYPERLINK("http://collections.slsa.sa.gov.au/mpcimg/16250/B16143.htm")</f>
        <v>http://collections.slsa.sa.gov.au/mpcimg/16250/B16143.htm</v>
      </c>
    </row>
    <row r="8754" spans="1:11" x14ac:dyDescent="0.25">
      <c r="A8754" t="s">
        <v>28686</v>
      </c>
      <c r="B8754" s="1" t="str">
        <f>HYPERLINK("https://www.catalog.slsa.sa.gov.au/record=b2062943")</f>
        <v>https://www.catalog.slsa.sa.gov.au/record=b2062943</v>
      </c>
      <c r="C8754" s="1" t="str">
        <f>HYPERLINK("https://www.catalog.slsa.sa.gov.au/xrecord=b2062943")</f>
        <v>https://www.catalog.slsa.sa.gov.au/xrecord=b2062943</v>
      </c>
      <c r="D8754" t="s">
        <v>16831</v>
      </c>
      <c r="E8754" t="s">
        <v>21236</v>
      </c>
      <c r="F8754">
        <v>1965</v>
      </c>
      <c r="G8754" t="s">
        <v>28373</v>
      </c>
      <c r="H8754" t="s">
        <v>28687</v>
      </c>
      <c r="J8754" t="s">
        <v>24642</v>
      </c>
      <c r="K8754" s="2" t="str">
        <f>HYPERLINK("http://collections.slsa.sa.gov.au/mpcimg/16000/B15941.htm")</f>
        <v>http://collections.slsa.sa.gov.au/mpcimg/16000/B15941.htm</v>
      </c>
    </row>
    <row r="8755" spans="1:11" x14ac:dyDescent="0.25">
      <c r="A8755" t="s">
        <v>28688</v>
      </c>
      <c r="B8755" s="1" t="str">
        <f>HYPERLINK("https://www.catalog.slsa.sa.gov.au/record=b2062944")</f>
        <v>https://www.catalog.slsa.sa.gov.au/record=b2062944</v>
      </c>
      <c r="C8755" s="1" t="str">
        <f>HYPERLINK("https://www.catalog.slsa.sa.gov.au/xrecord=b2062944")</f>
        <v>https://www.catalog.slsa.sa.gov.au/xrecord=b2062944</v>
      </c>
      <c r="D8755" t="s">
        <v>16831</v>
      </c>
      <c r="E8755" t="s">
        <v>21236</v>
      </c>
      <c r="F8755">
        <v>1965</v>
      </c>
      <c r="G8755" t="s">
        <v>28373</v>
      </c>
      <c r="H8755" t="s">
        <v>28689</v>
      </c>
      <c r="J8755" t="s">
        <v>24642</v>
      </c>
      <c r="K8755" s="2" t="str">
        <f>HYPERLINK("http://collections.slsa.sa.gov.au/mpcimg/16000/B15942.htm")</f>
        <v>http://collections.slsa.sa.gov.au/mpcimg/16000/B15942.htm</v>
      </c>
    </row>
    <row r="8756" spans="1:11" x14ac:dyDescent="0.25">
      <c r="A8756" t="s">
        <v>28690</v>
      </c>
      <c r="B8756" s="1" t="str">
        <f>HYPERLINK("https://www.catalog.slsa.sa.gov.au/record=b2062970")</f>
        <v>https://www.catalog.slsa.sa.gov.au/record=b2062970</v>
      </c>
      <c r="C8756" s="1" t="str">
        <f>HYPERLINK("https://www.catalog.slsa.sa.gov.au/xrecord=b2062970")</f>
        <v>https://www.catalog.slsa.sa.gov.au/xrecord=b2062970</v>
      </c>
      <c r="D8756" t="s">
        <v>16831</v>
      </c>
      <c r="E8756" t="s">
        <v>28691</v>
      </c>
      <c r="F8756">
        <v>1965</v>
      </c>
      <c r="G8756" t="s">
        <v>28373</v>
      </c>
      <c r="H8756" t="s">
        <v>28692</v>
      </c>
      <c r="J8756" t="s">
        <v>26463</v>
      </c>
      <c r="K8756" s="2" t="str">
        <f>HYPERLINK("http://collections.slsa.sa.gov.au/mpcimg/16250/B16124.htm")</f>
        <v>http://collections.slsa.sa.gov.au/mpcimg/16250/B16124.htm</v>
      </c>
    </row>
    <row r="8757" spans="1:11" x14ac:dyDescent="0.25">
      <c r="A8757" t="s">
        <v>28693</v>
      </c>
      <c r="B8757" s="1" t="str">
        <f>HYPERLINK("https://www.catalog.slsa.sa.gov.au/record=b2062981")</f>
        <v>https://www.catalog.slsa.sa.gov.au/record=b2062981</v>
      </c>
      <c r="C8757" s="1" t="str">
        <f>HYPERLINK("https://www.catalog.slsa.sa.gov.au/xrecord=b2062981")</f>
        <v>https://www.catalog.slsa.sa.gov.au/xrecord=b2062981</v>
      </c>
      <c r="D8757" t="s">
        <v>16831</v>
      </c>
      <c r="E8757" t="s">
        <v>21304</v>
      </c>
      <c r="F8757">
        <v>1965</v>
      </c>
      <c r="G8757" t="s">
        <v>28373</v>
      </c>
      <c r="H8757" t="s">
        <v>28694</v>
      </c>
      <c r="J8757" t="s">
        <v>28492</v>
      </c>
      <c r="K8757" s="2" t="str">
        <f>HYPERLINK("http://collections.slsa.sa.gov.au/mpcimg/16000/B15938.htm")</f>
        <v>http://collections.slsa.sa.gov.au/mpcimg/16000/B15938.htm</v>
      </c>
    </row>
    <row r="8758" spans="1:11" x14ac:dyDescent="0.25">
      <c r="A8758" t="s">
        <v>28695</v>
      </c>
      <c r="B8758" s="1" t="str">
        <f>HYPERLINK("https://www.catalog.slsa.sa.gov.au/record=b2062992")</f>
        <v>https://www.catalog.slsa.sa.gov.au/record=b2062992</v>
      </c>
      <c r="C8758" s="1" t="str">
        <f>HYPERLINK("https://www.catalog.slsa.sa.gov.au/xrecord=b2062992")</f>
        <v>https://www.catalog.slsa.sa.gov.au/xrecord=b2062992</v>
      </c>
      <c r="D8758" t="s">
        <v>16831</v>
      </c>
      <c r="E8758" t="s">
        <v>21304</v>
      </c>
      <c r="F8758">
        <v>1965</v>
      </c>
      <c r="G8758" t="s">
        <v>28373</v>
      </c>
      <c r="H8758" t="s">
        <v>28696</v>
      </c>
      <c r="J8758" t="s">
        <v>21298</v>
      </c>
      <c r="K8758" s="2" t="str">
        <f>HYPERLINK("http://collections.slsa.sa.gov.au/mpcimg/16250/B16210.htm")</f>
        <v>http://collections.slsa.sa.gov.au/mpcimg/16250/B16210.htm</v>
      </c>
    </row>
    <row r="8759" spans="1:11" x14ac:dyDescent="0.25">
      <c r="A8759" t="s">
        <v>28697</v>
      </c>
      <c r="B8759" s="1" t="str">
        <f>HYPERLINK("https://www.catalog.slsa.sa.gov.au/record=b2062993")</f>
        <v>https://www.catalog.slsa.sa.gov.au/record=b2062993</v>
      </c>
      <c r="C8759" s="1" t="str">
        <f>HYPERLINK("https://www.catalog.slsa.sa.gov.au/xrecord=b2062993")</f>
        <v>https://www.catalog.slsa.sa.gov.au/xrecord=b2062993</v>
      </c>
      <c r="D8759" t="s">
        <v>16831</v>
      </c>
      <c r="E8759" t="s">
        <v>21304</v>
      </c>
      <c r="F8759">
        <v>1965</v>
      </c>
      <c r="G8759" t="s">
        <v>16674</v>
      </c>
      <c r="H8759" t="s">
        <v>28698</v>
      </c>
      <c r="J8759" t="s">
        <v>21298</v>
      </c>
      <c r="K8759" s="2" t="str">
        <f>HYPERLINK("http://collections.slsa.sa.gov.au/mpcimg/16250/B16211.htm")</f>
        <v>http://collections.slsa.sa.gov.au/mpcimg/16250/B16211.htm</v>
      </c>
    </row>
    <row r="8760" spans="1:11" x14ac:dyDescent="0.25">
      <c r="A8760" t="s">
        <v>28699</v>
      </c>
      <c r="B8760" s="1" t="str">
        <f>HYPERLINK("https://www.catalog.slsa.sa.gov.au/record=b2062994")</f>
        <v>https://www.catalog.slsa.sa.gov.au/record=b2062994</v>
      </c>
      <c r="C8760" s="1" t="str">
        <f>HYPERLINK("https://www.catalog.slsa.sa.gov.au/xrecord=b2062994")</f>
        <v>https://www.catalog.slsa.sa.gov.au/xrecord=b2062994</v>
      </c>
      <c r="D8760" t="s">
        <v>16831</v>
      </c>
      <c r="E8760" t="s">
        <v>21304</v>
      </c>
      <c r="F8760">
        <v>1965</v>
      </c>
      <c r="G8760" t="s">
        <v>28373</v>
      </c>
      <c r="H8760" t="s">
        <v>28698</v>
      </c>
      <c r="J8760" t="s">
        <v>21298</v>
      </c>
      <c r="K8760" s="2" t="str">
        <f>HYPERLINK("http://collections.slsa.sa.gov.au/mpcimg/16250/B16212.htm")</f>
        <v>http://collections.slsa.sa.gov.au/mpcimg/16250/B16212.htm</v>
      </c>
    </row>
    <row r="8761" spans="1:11" x14ac:dyDescent="0.25">
      <c r="A8761" t="s">
        <v>28700</v>
      </c>
      <c r="B8761" s="1" t="str">
        <f>HYPERLINK("https://www.catalog.slsa.sa.gov.au/record=b2062995")</f>
        <v>https://www.catalog.slsa.sa.gov.au/record=b2062995</v>
      </c>
      <c r="C8761" s="1" t="str">
        <f>HYPERLINK("https://www.catalog.slsa.sa.gov.au/xrecord=b2062995")</f>
        <v>https://www.catalog.slsa.sa.gov.au/xrecord=b2062995</v>
      </c>
      <c r="D8761" t="s">
        <v>16831</v>
      </c>
      <c r="E8761" t="s">
        <v>21304</v>
      </c>
      <c r="F8761">
        <v>1965</v>
      </c>
      <c r="G8761" t="s">
        <v>28373</v>
      </c>
      <c r="H8761" t="s">
        <v>28698</v>
      </c>
      <c r="J8761" t="s">
        <v>21298</v>
      </c>
      <c r="K8761" s="2" t="str">
        <f>HYPERLINK("http://collections.slsa.sa.gov.au/mpcimg/16250/B16213.htm")</f>
        <v>http://collections.slsa.sa.gov.au/mpcimg/16250/B16213.htm</v>
      </c>
    </row>
    <row r="8762" spans="1:11" x14ac:dyDescent="0.25">
      <c r="A8762" t="s">
        <v>28701</v>
      </c>
      <c r="B8762" s="1" t="str">
        <f>HYPERLINK("https://www.catalog.slsa.sa.gov.au/record=b2063001")</f>
        <v>https://www.catalog.slsa.sa.gov.au/record=b2063001</v>
      </c>
      <c r="C8762" s="1" t="str">
        <f>HYPERLINK("https://www.catalog.slsa.sa.gov.au/xrecord=b2063001")</f>
        <v>https://www.catalog.slsa.sa.gov.au/xrecord=b2063001</v>
      </c>
      <c r="D8762" t="s">
        <v>16831</v>
      </c>
      <c r="E8762" t="s">
        <v>21304</v>
      </c>
      <c r="F8762">
        <v>1965</v>
      </c>
      <c r="G8762" t="s">
        <v>28373</v>
      </c>
      <c r="H8762" t="s">
        <v>28702</v>
      </c>
      <c r="J8762" t="s">
        <v>25597</v>
      </c>
      <c r="K8762" s="2" t="str">
        <f>HYPERLINK("http://collections.slsa.sa.gov.au/mpcimg/16250/B16175.htm")</f>
        <v>http://collections.slsa.sa.gov.au/mpcimg/16250/B16175.htm</v>
      </c>
    </row>
    <row r="8763" spans="1:11" x14ac:dyDescent="0.25">
      <c r="A8763" t="s">
        <v>28703</v>
      </c>
      <c r="B8763" s="1" t="str">
        <f>HYPERLINK("https://www.catalog.slsa.sa.gov.au/record=b2063082")</f>
        <v>https://www.catalog.slsa.sa.gov.au/record=b2063082</v>
      </c>
      <c r="C8763" s="1" t="str">
        <f>HYPERLINK("https://www.catalog.slsa.sa.gov.au/xrecord=b2063082")</f>
        <v>https://www.catalog.slsa.sa.gov.au/xrecord=b2063082</v>
      </c>
      <c r="D8763" t="s">
        <v>16831</v>
      </c>
      <c r="E8763" t="s">
        <v>28704</v>
      </c>
      <c r="F8763">
        <v>1965</v>
      </c>
      <c r="G8763" t="s">
        <v>28373</v>
      </c>
      <c r="H8763" t="s">
        <v>28705</v>
      </c>
      <c r="J8763" t="s">
        <v>24661</v>
      </c>
      <c r="K8763" s="2" t="str">
        <f>HYPERLINK("http://collections.slsa.sa.gov.au/mpcimg/16000/B15930.htm")</f>
        <v>http://collections.slsa.sa.gov.au/mpcimg/16000/B15930.htm</v>
      </c>
    </row>
    <row r="8764" spans="1:11" x14ac:dyDescent="0.25">
      <c r="A8764" t="s">
        <v>28706</v>
      </c>
      <c r="B8764" s="1" t="str">
        <f>HYPERLINK("https://www.catalog.slsa.sa.gov.au/record=b2063083")</f>
        <v>https://www.catalog.slsa.sa.gov.au/record=b2063083</v>
      </c>
      <c r="C8764" s="1" t="str">
        <f>HYPERLINK("https://www.catalog.slsa.sa.gov.au/xrecord=b2063083")</f>
        <v>https://www.catalog.slsa.sa.gov.au/xrecord=b2063083</v>
      </c>
      <c r="D8764" t="s">
        <v>16831</v>
      </c>
      <c r="E8764" t="s">
        <v>28704</v>
      </c>
      <c r="F8764">
        <v>1965</v>
      </c>
      <c r="G8764" t="s">
        <v>28373</v>
      </c>
      <c r="H8764" t="s">
        <v>28705</v>
      </c>
      <c r="J8764" t="s">
        <v>24661</v>
      </c>
      <c r="K8764" s="2" t="str">
        <f>HYPERLINK("http://collections.slsa.sa.gov.au/mpcimg/16000/B15931.htm")</f>
        <v>http://collections.slsa.sa.gov.au/mpcimg/16000/B15931.htm</v>
      </c>
    </row>
    <row r="8765" spans="1:11" x14ac:dyDescent="0.25">
      <c r="A8765" t="s">
        <v>28707</v>
      </c>
      <c r="B8765" s="1" t="str">
        <f>HYPERLINK("https://www.catalog.slsa.sa.gov.au/record=b2064060")</f>
        <v>https://www.catalog.slsa.sa.gov.au/record=b2064060</v>
      </c>
      <c r="C8765" s="1" t="str">
        <f>HYPERLINK("https://www.catalog.slsa.sa.gov.au/xrecord=b2064060")</f>
        <v>https://www.catalog.slsa.sa.gov.au/xrecord=b2064060</v>
      </c>
      <c r="D8765" t="s">
        <v>16831</v>
      </c>
      <c r="E8765" t="s">
        <v>28708</v>
      </c>
      <c r="F8765">
        <v>1965</v>
      </c>
      <c r="G8765" t="s">
        <v>28373</v>
      </c>
      <c r="H8765" t="s">
        <v>28709</v>
      </c>
      <c r="J8765" t="s">
        <v>28710</v>
      </c>
      <c r="K8765" s="2" t="str">
        <f>HYPERLINK("http://collections.slsa.sa.gov.au/mpcimg/16250/B16085.htm")</f>
        <v>http://collections.slsa.sa.gov.au/mpcimg/16250/B16085.htm</v>
      </c>
    </row>
    <row r="8766" spans="1:11" x14ac:dyDescent="0.25">
      <c r="A8766" t="s">
        <v>28711</v>
      </c>
      <c r="B8766" s="1" t="str">
        <f>HYPERLINK("https://www.catalog.slsa.sa.gov.au/record=b2064061")</f>
        <v>https://www.catalog.slsa.sa.gov.au/record=b2064061</v>
      </c>
      <c r="C8766" s="1" t="str">
        <f>HYPERLINK("https://www.catalog.slsa.sa.gov.au/xrecord=b2064061")</f>
        <v>https://www.catalog.slsa.sa.gov.au/xrecord=b2064061</v>
      </c>
      <c r="D8766" t="s">
        <v>16831</v>
      </c>
      <c r="E8766" t="s">
        <v>28708</v>
      </c>
      <c r="F8766">
        <v>1965</v>
      </c>
      <c r="G8766" t="s">
        <v>28373</v>
      </c>
      <c r="H8766" t="s">
        <v>28712</v>
      </c>
      <c r="J8766" t="s">
        <v>28710</v>
      </c>
      <c r="K8766" s="2" t="str">
        <f>HYPERLINK("http://collections.slsa.sa.gov.au/mpcimg/16250/B16086.htm")</f>
        <v>http://collections.slsa.sa.gov.au/mpcimg/16250/B16086.htm</v>
      </c>
    </row>
    <row r="8767" spans="1:11" x14ac:dyDescent="0.25">
      <c r="A8767" t="s">
        <v>28713</v>
      </c>
      <c r="B8767" s="1" t="str">
        <f>HYPERLINK("https://www.catalog.slsa.sa.gov.au/record=b2064803")</f>
        <v>https://www.catalog.slsa.sa.gov.au/record=b2064803</v>
      </c>
      <c r="C8767" s="1" t="str">
        <f>HYPERLINK("https://www.catalog.slsa.sa.gov.au/xrecord=b2064803")</f>
        <v>https://www.catalog.slsa.sa.gov.au/xrecord=b2064803</v>
      </c>
      <c r="D8767" t="s">
        <v>16831</v>
      </c>
      <c r="E8767" t="s">
        <v>27546</v>
      </c>
      <c r="F8767">
        <v>1965</v>
      </c>
      <c r="G8767" t="s">
        <v>16674</v>
      </c>
      <c r="H8767" t="s">
        <v>28714</v>
      </c>
      <c r="J8767" t="s">
        <v>27556</v>
      </c>
      <c r="K8767" s="2" t="str">
        <f>HYPERLINK("http://collections.slsa.sa.gov.au/mpcimg/16250/B16194.htm")</f>
        <v>http://collections.slsa.sa.gov.au/mpcimg/16250/B16194.htm</v>
      </c>
    </row>
    <row r="8768" spans="1:11" x14ac:dyDescent="0.25">
      <c r="A8768" t="s">
        <v>28715</v>
      </c>
      <c r="B8768" s="1" t="str">
        <f>HYPERLINK("https://www.catalog.slsa.sa.gov.au/record=b2065206")</f>
        <v>https://www.catalog.slsa.sa.gov.au/record=b2065206</v>
      </c>
      <c r="C8768" s="1" t="str">
        <f>HYPERLINK("https://www.catalog.slsa.sa.gov.au/xrecord=b2065206")</f>
        <v>https://www.catalog.slsa.sa.gov.au/xrecord=b2065206</v>
      </c>
      <c r="D8768" t="s">
        <v>16831</v>
      </c>
      <c r="E8768" t="s">
        <v>21343</v>
      </c>
      <c r="F8768">
        <v>1965</v>
      </c>
      <c r="G8768" t="s">
        <v>28373</v>
      </c>
      <c r="H8768" t="s">
        <v>28716</v>
      </c>
      <c r="J8768" t="s">
        <v>21346</v>
      </c>
      <c r="K8768" s="2" t="str">
        <f>HYPERLINK("http://collections.slsa.sa.gov.au/mpcimg/16250/B16167.htm")</f>
        <v>http://collections.slsa.sa.gov.au/mpcimg/16250/B16167.htm</v>
      </c>
    </row>
    <row r="8769" spans="1:11" x14ac:dyDescent="0.25">
      <c r="A8769" t="s">
        <v>28717</v>
      </c>
      <c r="B8769" s="1" t="str">
        <f>HYPERLINK("https://www.catalog.slsa.sa.gov.au/record=b2065207")</f>
        <v>https://www.catalog.slsa.sa.gov.au/record=b2065207</v>
      </c>
      <c r="C8769" s="1" t="str">
        <f>HYPERLINK("https://www.catalog.slsa.sa.gov.au/xrecord=b2065207")</f>
        <v>https://www.catalog.slsa.sa.gov.au/xrecord=b2065207</v>
      </c>
      <c r="D8769" t="s">
        <v>16831</v>
      </c>
      <c r="E8769" t="s">
        <v>21343</v>
      </c>
      <c r="F8769">
        <v>1965</v>
      </c>
      <c r="G8769" t="s">
        <v>28373</v>
      </c>
      <c r="H8769" t="s">
        <v>28716</v>
      </c>
      <c r="J8769" t="s">
        <v>21346</v>
      </c>
      <c r="K8769" s="2" t="str">
        <f>HYPERLINK("http://collections.slsa.sa.gov.au/mpcimg/16250/B16168.htm")</f>
        <v>http://collections.slsa.sa.gov.au/mpcimg/16250/B16168.htm</v>
      </c>
    </row>
    <row r="8770" spans="1:11" x14ac:dyDescent="0.25">
      <c r="A8770" t="s">
        <v>28718</v>
      </c>
      <c r="B8770" s="1" t="str">
        <f>HYPERLINK("https://www.catalog.slsa.sa.gov.au/record=b2019185")</f>
        <v>https://www.catalog.slsa.sa.gov.au/record=b2019185</v>
      </c>
      <c r="C8770" s="1" t="str">
        <f>HYPERLINK("https://www.catalog.slsa.sa.gov.au/xrecord=b2019185")</f>
        <v>https://www.catalog.slsa.sa.gov.au/xrecord=b2019185</v>
      </c>
      <c r="D8770" t="s">
        <v>15039</v>
      </c>
      <c r="E8770" t="s">
        <v>28719</v>
      </c>
      <c r="F8770" t="s">
        <v>12919</v>
      </c>
      <c r="G8770" t="s">
        <v>28720</v>
      </c>
      <c r="H8770" t="s">
        <v>28721</v>
      </c>
      <c r="I8770" t="s">
        <v>28722</v>
      </c>
      <c r="J8770" t="s">
        <v>28723</v>
      </c>
      <c r="K8770" s="2" t="str">
        <f>HYPERLINK("http://collections.slsa.sa.gov.au/mpcimg/48750/B48557.htm")</f>
        <v>http://collections.slsa.sa.gov.au/mpcimg/48750/B48557.htm</v>
      </c>
    </row>
    <row r="8771" spans="1:11" x14ac:dyDescent="0.25">
      <c r="A8771" t="s">
        <v>28724</v>
      </c>
      <c r="B8771" s="1" t="str">
        <f>HYPERLINK("https://www.catalog.slsa.sa.gov.au/record=b2054626")</f>
        <v>https://www.catalog.slsa.sa.gov.au/record=b2054626</v>
      </c>
      <c r="C8771" s="1" t="str">
        <f>HYPERLINK("https://www.catalog.slsa.sa.gov.au/xrecord=b2054626")</f>
        <v>https://www.catalog.slsa.sa.gov.au/xrecord=b2054626</v>
      </c>
      <c r="D8771" t="s">
        <v>16831</v>
      </c>
      <c r="E8771" t="s">
        <v>16771</v>
      </c>
      <c r="F8771" t="s">
        <v>12919</v>
      </c>
      <c r="G8771" t="s">
        <v>16674</v>
      </c>
      <c r="H8771" t="s">
        <v>28725</v>
      </c>
      <c r="I8771" t="s">
        <v>28726</v>
      </c>
      <c r="J8771" t="s">
        <v>24862</v>
      </c>
      <c r="K8771" s="2" t="str">
        <f>HYPERLINK("http://collections.slsa.sa.gov.au/mpcimg/16250/B16196.htm")</f>
        <v>http://collections.slsa.sa.gov.au/mpcimg/16250/B16196.htm</v>
      </c>
    </row>
    <row r="8772" spans="1:11" x14ac:dyDescent="0.25">
      <c r="A8772" t="s">
        <v>28727</v>
      </c>
      <c r="B8772" s="1" t="str">
        <f>HYPERLINK("https://www.catalog.slsa.sa.gov.au/record=b2064071")</f>
        <v>https://www.catalog.slsa.sa.gov.au/record=b2064071</v>
      </c>
      <c r="C8772" s="1" t="str">
        <f>HYPERLINK("https://www.catalog.slsa.sa.gov.au/xrecord=b2064071")</f>
        <v>https://www.catalog.slsa.sa.gov.au/xrecord=b2064071</v>
      </c>
      <c r="D8772" t="s">
        <v>16831</v>
      </c>
      <c r="E8772" t="s">
        <v>27650</v>
      </c>
      <c r="F8772" t="s">
        <v>12919</v>
      </c>
      <c r="G8772" t="s">
        <v>14809</v>
      </c>
      <c r="H8772" t="s">
        <v>28728</v>
      </c>
      <c r="I8772" t="s">
        <v>28729</v>
      </c>
      <c r="J8772" t="s">
        <v>27653</v>
      </c>
      <c r="K8772" s="2" t="str">
        <f>HYPERLINK("http://collections.slsa.sa.gov.au/mpcimg/38250/B38020.htm")</f>
        <v>http://collections.slsa.sa.gov.au/mpcimg/38250/B38020.htm</v>
      </c>
    </row>
    <row r="8773" spans="1:11" x14ac:dyDescent="0.25">
      <c r="A8773" t="s">
        <v>28730</v>
      </c>
      <c r="B8773" s="1" t="str">
        <f>HYPERLINK("https://www.catalog.slsa.sa.gov.au/record=b2064072")</f>
        <v>https://www.catalog.slsa.sa.gov.au/record=b2064072</v>
      </c>
      <c r="C8773" s="1" t="str">
        <f>HYPERLINK("https://www.catalog.slsa.sa.gov.au/xrecord=b2064072")</f>
        <v>https://www.catalog.slsa.sa.gov.au/xrecord=b2064072</v>
      </c>
      <c r="D8773" t="s">
        <v>16831</v>
      </c>
      <c r="E8773" t="s">
        <v>27650</v>
      </c>
      <c r="F8773" t="s">
        <v>12919</v>
      </c>
      <c r="G8773" t="s">
        <v>15147</v>
      </c>
      <c r="H8773" t="s">
        <v>28731</v>
      </c>
      <c r="I8773" t="s">
        <v>28732</v>
      </c>
      <c r="J8773" t="s">
        <v>27653</v>
      </c>
      <c r="K8773" s="2" t="str">
        <f>HYPERLINK("http://collections.slsa.sa.gov.au/mpcimg/38250/B38021.htm")</f>
        <v>http://collections.slsa.sa.gov.au/mpcimg/38250/B38021.htm</v>
      </c>
    </row>
    <row r="8774" spans="1:11" x14ac:dyDescent="0.25">
      <c r="A8774" t="s">
        <v>28733</v>
      </c>
      <c r="B8774" s="1" t="str">
        <f>HYPERLINK("https://www.catalog.slsa.sa.gov.au/record=b2064073")</f>
        <v>https://www.catalog.slsa.sa.gov.au/record=b2064073</v>
      </c>
      <c r="C8774" s="1" t="str">
        <f>HYPERLINK("https://www.catalog.slsa.sa.gov.au/xrecord=b2064073")</f>
        <v>https://www.catalog.slsa.sa.gov.au/xrecord=b2064073</v>
      </c>
      <c r="D8774" t="s">
        <v>16831</v>
      </c>
      <c r="E8774" t="s">
        <v>27650</v>
      </c>
      <c r="F8774" t="s">
        <v>12919</v>
      </c>
      <c r="G8774" t="s">
        <v>15147</v>
      </c>
      <c r="H8774" t="s">
        <v>28731</v>
      </c>
      <c r="I8774" t="s">
        <v>28734</v>
      </c>
      <c r="J8774" t="s">
        <v>27653</v>
      </c>
      <c r="K8774" s="2" t="str">
        <f>HYPERLINK("http://collections.slsa.sa.gov.au/mpcimg/38250/B38022.htm")</f>
        <v>http://collections.slsa.sa.gov.au/mpcimg/38250/B38022.htm</v>
      </c>
    </row>
    <row r="8775" spans="1:11" x14ac:dyDescent="0.25">
      <c r="A8775" t="s">
        <v>28735</v>
      </c>
      <c r="B8775" s="1" t="str">
        <f>HYPERLINK("https://www.catalog.slsa.sa.gov.au/record=b2064074")</f>
        <v>https://www.catalog.slsa.sa.gov.au/record=b2064074</v>
      </c>
      <c r="C8775" s="1" t="str">
        <f>HYPERLINK("https://www.catalog.slsa.sa.gov.au/xrecord=b2064074")</f>
        <v>https://www.catalog.slsa.sa.gov.au/xrecord=b2064074</v>
      </c>
      <c r="D8775" t="s">
        <v>16831</v>
      </c>
      <c r="E8775" t="s">
        <v>27650</v>
      </c>
      <c r="F8775" t="s">
        <v>12919</v>
      </c>
      <c r="G8775" t="s">
        <v>15147</v>
      </c>
      <c r="H8775" t="s">
        <v>28736</v>
      </c>
      <c r="I8775" t="s">
        <v>28734</v>
      </c>
      <c r="J8775" t="s">
        <v>27653</v>
      </c>
      <c r="K8775" s="2" t="str">
        <f>HYPERLINK("http://collections.slsa.sa.gov.au/mpcimg/38250/B38024.htm")</f>
        <v>http://collections.slsa.sa.gov.au/mpcimg/38250/B38024.htm</v>
      </c>
    </row>
    <row r="8776" spans="1:11" x14ac:dyDescent="0.25">
      <c r="A8776" t="s">
        <v>28737</v>
      </c>
      <c r="B8776" s="1" t="str">
        <f>HYPERLINK("https://www.catalog.slsa.sa.gov.au/record=b2925357")</f>
        <v>https://www.catalog.slsa.sa.gov.au/record=b2925357</v>
      </c>
      <c r="C8776" s="1" t="str">
        <f>HYPERLINK("https://www.catalog.slsa.sa.gov.au/xrecord=b2925357")</f>
        <v>https://www.catalog.slsa.sa.gov.au/xrecord=b2925357</v>
      </c>
      <c r="D8776" t="s">
        <v>28738</v>
      </c>
      <c r="E8776" t="s">
        <v>28739</v>
      </c>
      <c r="F8776" t="s">
        <v>28740</v>
      </c>
      <c r="G8776" t="s">
        <v>28741</v>
      </c>
      <c r="H8776" t="s">
        <v>28742</v>
      </c>
      <c r="I8776" t="s">
        <v>28743</v>
      </c>
      <c r="J8776" t="s">
        <v>2510</v>
      </c>
      <c r="K8776" s="2" t="str">
        <f>HYPERLINK("http://collections.slsa.sa.gov.au/mpcimg/73250/B73245.htm")</f>
        <v>http://collections.slsa.sa.gov.au/mpcimg/73250/B73245.htm</v>
      </c>
    </row>
    <row r="8777" spans="1:11" x14ac:dyDescent="0.25">
      <c r="A8777" t="s">
        <v>28744</v>
      </c>
      <c r="B8777" s="1" t="str">
        <f>HYPERLINK("https://www.catalog.slsa.sa.gov.au/record=b2022986")</f>
        <v>https://www.catalog.slsa.sa.gov.au/record=b2022986</v>
      </c>
      <c r="C8777" s="1" t="str">
        <f>HYPERLINK("https://www.catalog.slsa.sa.gov.au/xrecord=b2022986")</f>
        <v>https://www.catalog.slsa.sa.gov.au/xrecord=b2022986</v>
      </c>
      <c r="D8777" t="s">
        <v>28745</v>
      </c>
      <c r="E8777" t="s">
        <v>28746</v>
      </c>
      <c r="F8777">
        <v>1966</v>
      </c>
      <c r="G8777" t="s">
        <v>28747</v>
      </c>
      <c r="H8777" t="s">
        <v>28748</v>
      </c>
      <c r="I8777" t="s">
        <v>28749</v>
      </c>
      <c r="J8777" t="s">
        <v>28750</v>
      </c>
      <c r="K8777" s="2" t="str">
        <f>HYPERLINK("http://collections.slsa.sa.gov.au/mpcimg/49750/B49748.htm")</f>
        <v>http://collections.slsa.sa.gov.au/mpcimg/49750/B49748.htm</v>
      </c>
    </row>
    <row r="8778" spans="1:11" x14ac:dyDescent="0.25">
      <c r="A8778" t="s">
        <v>28751</v>
      </c>
      <c r="B8778" s="1" t="str">
        <f>HYPERLINK("https://www.catalog.slsa.sa.gov.au/record=b2022987")</f>
        <v>https://www.catalog.slsa.sa.gov.au/record=b2022987</v>
      </c>
      <c r="C8778" s="1" t="str">
        <f>HYPERLINK("https://www.catalog.slsa.sa.gov.au/xrecord=b2022987")</f>
        <v>https://www.catalog.slsa.sa.gov.au/xrecord=b2022987</v>
      </c>
      <c r="D8778" t="s">
        <v>28745</v>
      </c>
      <c r="E8778" t="s">
        <v>28746</v>
      </c>
      <c r="F8778">
        <v>1966</v>
      </c>
      <c r="G8778" t="s">
        <v>28752</v>
      </c>
      <c r="H8778" t="s">
        <v>28753</v>
      </c>
      <c r="I8778" t="s">
        <v>28754</v>
      </c>
      <c r="J8778" t="s">
        <v>28750</v>
      </c>
      <c r="K8778" s="2" t="str">
        <f>HYPERLINK("http://collections.slsa.sa.gov.au/mpcimg/49750/B49749.htm")</f>
        <v>http://collections.slsa.sa.gov.au/mpcimg/49750/B49749.htm</v>
      </c>
    </row>
    <row r="8779" spans="1:11" x14ac:dyDescent="0.25">
      <c r="A8779" t="s">
        <v>28755</v>
      </c>
      <c r="B8779" s="1" t="str">
        <f>HYPERLINK("https://www.catalog.slsa.sa.gov.au/record=b2054524")</f>
        <v>https://www.catalog.slsa.sa.gov.au/record=b2054524</v>
      </c>
      <c r="C8779" s="1" t="str">
        <f>HYPERLINK("https://www.catalog.slsa.sa.gov.au/xrecord=b2054524")</f>
        <v>https://www.catalog.slsa.sa.gov.au/xrecord=b2054524</v>
      </c>
      <c r="D8779" t="s">
        <v>16831</v>
      </c>
      <c r="E8779" t="s">
        <v>28202</v>
      </c>
      <c r="F8779">
        <v>1966</v>
      </c>
      <c r="G8779" t="s">
        <v>14771</v>
      </c>
      <c r="H8779" t="s">
        <v>28756</v>
      </c>
      <c r="J8779" t="s">
        <v>28608</v>
      </c>
      <c r="K8779" s="2" t="str">
        <f>HYPERLINK("http://collections.slsa.sa.gov.au/mpcimg/17000/B16856.htm")</f>
        <v>http://collections.slsa.sa.gov.au/mpcimg/17000/B16856.htm</v>
      </c>
    </row>
    <row r="8780" spans="1:11" x14ac:dyDescent="0.25">
      <c r="A8780" t="s">
        <v>28757</v>
      </c>
      <c r="B8780" s="1" t="str">
        <f>HYPERLINK("https://www.catalog.slsa.sa.gov.au/record=b2054525")</f>
        <v>https://www.catalog.slsa.sa.gov.au/record=b2054525</v>
      </c>
      <c r="C8780" s="1" t="str">
        <f>HYPERLINK("https://www.catalog.slsa.sa.gov.au/xrecord=b2054525")</f>
        <v>https://www.catalog.slsa.sa.gov.au/xrecord=b2054525</v>
      </c>
      <c r="D8780" t="s">
        <v>16831</v>
      </c>
      <c r="E8780" t="s">
        <v>28758</v>
      </c>
      <c r="F8780">
        <v>1966</v>
      </c>
      <c r="G8780" t="s">
        <v>14771</v>
      </c>
      <c r="H8780" t="s">
        <v>28759</v>
      </c>
      <c r="J8780" t="s">
        <v>28608</v>
      </c>
      <c r="K8780" s="2" t="str">
        <f>HYPERLINK("http://collections.slsa.sa.gov.au/mpcimg/17000/B16857.htm")</f>
        <v>http://collections.slsa.sa.gov.au/mpcimg/17000/B16857.htm</v>
      </c>
    </row>
    <row r="8781" spans="1:11" x14ac:dyDescent="0.25">
      <c r="A8781" t="s">
        <v>28760</v>
      </c>
      <c r="B8781" s="1" t="str">
        <f>HYPERLINK("https://www.catalog.slsa.sa.gov.au/record=b2054526")</f>
        <v>https://www.catalog.slsa.sa.gov.au/record=b2054526</v>
      </c>
      <c r="C8781" s="1" t="str">
        <f>HYPERLINK("https://www.catalog.slsa.sa.gov.au/xrecord=b2054526")</f>
        <v>https://www.catalog.slsa.sa.gov.au/xrecord=b2054526</v>
      </c>
      <c r="D8781" t="s">
        <v>16831</v>
      </c>
      <c r="E8781" t="s">
        <v>28761</v>
      </c>
      <c r="F8781">
        <v>1966</v>
      </c>
      <c r="G8781" t="s">
        <v>14771</v>
      </c>
      <c r="H8781" t="s">
        <v>28762</v>
      </c>
      <c r="J8781" t="s">
        <v>28608</v>
      </c>
      <c r="K8781" s="2" t="str">
        <f>HYPERLINK("http://collections.slsa.sa.gov.au/mpcimg/17000/B16858.htm")</f>
        <v>http://collections.slsa.sa.gov.au/mpcimg/17000/B16858.htm</v>
      </c>
    </row>
    <row r="8782" spans="1:11" x14ac:dyDescent="0.25">
      <c r="A8782" t="s">
        <v>28763</v>
      </c>
      <c r="B8782" s="1" t="str">
        <f>HYPERLINK("https://www.catalog.slsa.sa.gov.au/record=b2054527")</f>
        <v>https://www.catalog.slsa.sa.gov.au/record=b2054527</v>
      </c>
      <c r="C8782" s="1" t="str">
        <f>HYPERLINK("https://www.catalog.slsa.sa.gov.au/xrecord=b2054527")</f>
        <v>https://www.catalog.slsa.sa.gov.au/xrecord=b2054527</v>
      </c>
      <c r="D8782" t="s">
        <v>16831</v>
      </c>
      <c r="E8782" t="s">
        <v>28764</v>
      </c>
      <c r="F8782">
        <v>1966</v>
      </c>
      <c r="G8782" t="s">
        <v>14771</v>
      </c>
      <c r="H8782" t="s">
        <v>28765</v>
      </c>
      <c r="J8782" t="s">
        <v>28766</v>
      </c>
      <c r="K8782" s="2" t="str">
        <f>HYPERLINK("http://collections.slsa.sa.gov.au/mpcimg/17000/B16859.htm")</f>
        <v>http://collections.slsa.sa.gov.au/mpcimg/17000/B16859.htm</v>
      </c>
    </row>
    <row r="8783" spans="1:11" x14ac:dyDescent="0.25">
      <c r="A8783" t="s">
        <v>28767</v>
      </c>
      <c r="B8783" s="1" t="str">
        <f>HYPERLINK("https://www.catalog.slsa.sa.gov.au/record=b2054528")</f>
        <v>https://www.catalog.slsa.sa.gov.au/record=b2054528</v>
      </c>
      <c r="C8783" s="1" t="str">
        <f>HYPERLINK("https://www.catalog.slsa.sa.gov.au/xrecord=b2054528")</f>
        <v>https://www.catalog.slsa.sa.gov.au/xrecord=b2054528</v>
      </c>
      <c r="D8783" t="s">
        <v>16831</v>
      </c>
      <c r="E8783" t="s">
        <v>28768</v>
      </c>
      <c r="F8783">
        <v>1966</v>
      </c>
      <c r="G8783" t="s">
        <v>14771</v>
      </c>
      <c r="H8783" t="s">
        <v>28769</v>
      </c>
      <c r="J8783" t="s">
        <v>28608</v>
      </c>
      <c r="K8783" s="2" t="str">
        <f>HYPERLINK("http://collections.slsa.sa.gov.au/mpcimg/17000/B16860.htm")</f>
        <v>http://collections.slsa.sa.gov.au/mpcimg/17000/B16860.htm</v>
      </c>
    </row>
    <row r="8784" spans="1:11" x14ac:dyDescent="0.25">
      <c r="A8784" t="s">
        <v>28770</v>
      </c>
      <c r="B8784" s="1" t="str">
        <f>HYPERLINK("https://www.catalog.slsa.sa.gov.au/record=b2055252")</f>
        <v>https://www.catalog.slsa.sa.gov.au/record=b2055252</v>
      </c>
      <c r="C8784" s="1" t="str">
        <f>HYPERLINK("https://www.catalog.slsa.sa.gov.au/xrecord=b2055252")</f>
        <v>https://www.catalog.slsa.sa.gov.au/xrecord=b2055252</v>
      </c>
      <c r="D8784" t="s">
        <v>16831</v>
      </c>
      <c r="E8784" t="s">
        <v>16777</v>
      </c>
      <c r="F8784">
        <v>1966</v>
      </c>
      <c r="G8784" t="s">
        <v>16886</v>
      </c>
      <c r="H8784" t="s">
        <v>28771</v>
      </c>
      <c r="J8784" t="s">
        <v>20897</v>
      </c>
      <c r="K8784" s="2" t="str">
        <f>HYPERLINK("http://collections.slsa.sa.gov.au/mpcimg/16500/B16368.htm")</f>
        <v>http://collections.slsa.sa.gov.au/mpcimg/16500/B16368.htm</v>
      </c>
    </row>
    <row r="8785" spans="1:11" x14ac:dyDescent="0.25">
      <c r="A8785" t="s">
        <v>28772</v>
      </c>
      <c r="B8785" s="1" t="str">
        <f>HYPERLINK("https://www.catalog.slsa.sa.gov.au/record=b2055253")</f>
        <v>https://www.catalog.slsa.sa.gov.au/record=b2055253</v>
      </c>
      <c r="C8785" s="1" t="str">
        <f>HYPERLINK("https://www.catalog.slsa.sa.gov.au/xrecord=b2055253")</f>
        <v>https://www.catalog.slsa.sa.gov.au/xrecord=b2055253</v>
      </c>
      <c r="D8785" t="s">
        <v>16831</v>
      </c>
      <c r="E8785" t="s">
        <v>16777</v>
      </c>
      <c r="F8785">
        <v>1966</v>
      </c>
      <c r="G8785" t="s">
        <v>16886</v>
      </c>
      <c r="H8785" t="s">
        <v>28771</v>
      </c>
      <c r="J8785" t="s">
        <v>20897</v>
      </c>
      <c r="K8785" s="2" t="str">
        <f>HYPERLINK("http://collections.slsa.sa.gov.au/mpcimg/16500/B16369.htm")</f>
        <v>http://collections.slsa.sa.gov.au/mpcimg/16500/B16369.htm</v>
      </c>
    </row>
    <row r="8786" spans="1:11" x14ac:dyDescent="0.25">
      <c r="A8786" t="s">
        <v>28773</v>
      </c>
      <c r="B8786" s="1" t="str">
        <f>HYPERLINK("https://www.catalog.slsa.sa.gov.au/record=b2055254")</f>
        <v>https://www.catalog.slsa.sa.gov.au/record=b2055254</v>
      </c>
      <c r="C8786" s="1" t="str">
        <f>HYPERLINK("https://www.catalog.slsa.sa.gov.au/xrecord=b2055254")</f>
        <v>https://www.catalog.slsa.sa.gov.au/xrecord=b2055254</v>
      </c>
      <c r="D8786" t="s">
        <v>16831</v>
      </c>
      <c r="E8786" t="s">
        <v>28774</v>
      </c>
      <c r="F8786">
        <v>1966</v>
      </c>
      <c r="G8786" t="s">
        <v>16886</v>
      </c>
      <c r="H8786" t="s">
        <v>28775</v>
      </c>
      <c r="J8786" t="s">
        <v>20897</v>
      </c>
      <c r="K8786" s="2" t="str">
        <f>HYPERLINK("http://collections.slsa.sa.gov.au/mpcimg/16500/B16375.htm")</f>
        <v>http://collections.slsa.sa.gov.au/mpcimg/16500/B16375.htm</v>
      </c>
    </row>
    <row r="8787" spans="1:11" x14ac:dyDescent="0.25">
      <c r="A8787" t="s">
        <v>28776</v>
      </c>
      <c r="B8787" s="1" t="str">
        <f>HYPERLINK("https://www.catalog.slsa.sa.gov.au/record=b2055255")</f>
        <v>https://www.catalog.slsa.sa.gov.au/record=b2055255</v>
      </c>
      <c r="C8787" s="1" t="str">
        <f>HYPERLINK("https://www.catalog.slsa.sa.gov.au/xrecord=b2055255")</f>
        <v>https://www.catalog.slsa.sa.gov.au/xrecord=b2055255</v>
      </c>
      <c r="D8787" t="s">
        <v>16831</v>
      </c>
      <c r="E8787" t="s">
        <v>28774</v>
      </c>
      <c r="F8787">
        <v>1966</v>
      </c>
      <c r="G8787" t="s">
        <v>16886</v>
      </c>
      <c r="H8787" t="s">
        <v>28777</v>
      </c>
      <c r="J8787" t="s">
        <v>20897</v>
      </c>
      <c r="K8787" s="2" t="str">
        <f>HYPERLINK("http://collections.slsa.sa.gov.au/mpcimg/16500/B16376.htm")</f>
        <v>http://collections.slsa.sa.gov.au/mpcimg/16500/B16376.htm</v>
      </c>
    </row>
    <row r="8788" spans="1:11" x14ac:dyDescent="0.25">
      <c r="A8788" t="s">
        <v>28778</v>
      </c>
      <c r="B8788" s="1" t="str">
        <f>HYPERLINK("https://www.catalog.slsa.sa.gov.au/record=b2055256")</f>
        <v>https://www.catalog.slsa.sa.gov.au/record=b2055256</v>
      </c>
      <c r="C8788" s="1" t="str">
        <f>HYPERLINK("https://www.catalog.slsa.sa.gov.au/xrecord=b2055256")</f>
        <v>https://www.catalog.slsa.sa.gov.au/xrecord=b2055256</v>
      </c>
      <c r="D8788" t="s">
        <v>16831</v>
      </c>
      <c r="E8788" t="s">
        <v>16777</v>
      </c>
      <c r="F8788">
        <v>1966</v>
      </c>
      <c r="G8788" t="s">
        <v>14771</v>
      </c>
      <c r="H8788" t="s">
        <v>28779</v>
      </c>
      <c r="J8788" t="s">
        <v>20897</v>
      </c>
      <c r="K8788" s="2" t="str">
        <f>HYPERLINK("http://collections.slsa.sa.gov.au/mpcimg/17000/B16796.htm")</f>
        <v>http://collections.slsa.sa.gov.au/mpcimg/17000/B16796.htm</v>
      </c>
    </row>
    <row r="8789" spans="1:11" x14ac:dyDescent="0.25">
      <c r="A8789" t="s">
        <v>28780</v>
      </c>
      <c r="B8789" s="1" t="str">
        <f>HYPERLINK("https://www.catalog.slsa.sa.gov.au/record=b2055703")</f>
        <v>https://www.catalog.slsa.sa.gov.au/record=b2055703</v>
      </c>
      <c r="C8789" s="1" t="str">
        <f>HYPERLINK("https://www.catalog.slsa.sa.gov.au/xrecord=b2055703")</f>
        <v>https://www.catalog.slsa.sa.gov.au/xrecord=b2055703</v>
      </c>
      <c r="D8789" t="s">
        <v>16831</v>
      </c>
      <c r="E8789" t="s">
        <v>20904</v>
      </c>
      <c r="F8789">
        <v>1966</v>
      </c>
      <c r="G8789" t="s">
        <v>16886</v>
      </c>
      <c r="H8789" t="s">
        <v>28781</v>
      </c>
      <c r="J8789" t="s">
        <v>25292</v>
      </c>
      <c r="K8789" s="2" t="str">
        <f>HYPERLINK("http://collections.slsa.sa.gov.au/mpcimg/16500/B16354.htm")</f>
        <v>http://collections.slsa.sa.gov.au/mpcimg/16500/B16354.htm</v>
      </c>
    </row>
    <row r="8790" spans="1:11" x14ac:dyDescent="0.25">
      <c r="A8790" t="s">
        <v>28782</v>
      </c>
      <c r="B8790" s="1" t="str">
        <f>HYPERLINK("https://www.catalog.slsa.sa.gov.au/record=b2056439")</f>
        <v>https://www.catalog.slsa.sa.gov.au/record=b2056439</v>
      </c>
      <c r="C8790" s="1" t="str">
        <f>HYPERLINK("https://www.catalog.slsa.sa.gov.au/xrecord=b2056439")</f>
        <v>https://www.catalog.slsa.sa.gov.au/xrecord=b2056439</v>
      </c>
      <c r="D8790" t="s">
        <v>16831</v>
      </c>
      <c r="E8790" t="s">
        <v>16777</v>
      </c>
      <c r="F8790">
        <v>1966</v>
      </c>
      <c r="G8790" t="s">
        <v>16886</v>
      </c>
      <c r="H8790" t="s">
        <v>28783</v>
      </c>
      <c r="J8790" t="s">
        <v>20914</v>
      </c>
      <c r="K8790" s="2" t="str">
        <f>HYPERLINK("http://collections.slsa.sa.gov.au/mpcimg/16500/B16363.htm")</f>
        <v>http://collections.slsa.sa.gov.au/mpcimg/16500/B16363.htm</v>
      </c>
    </row>
    <row r="8791" spans="1:11" x14ac:dyDescent="0.25">
      <c r="A8791" t="s">
        <v>28784</v>
      </c>
      <c r="B8791" s="1" t="str">
        <f>HYPERLINK("https://www.catalog.slsa.sa.gov.au/record=b2056969")</f>
        <v>https://www.catalog.slsa.sa.gov.au/record=b2056969</v>
      </c>
      <c r="C8791" s="1" t="str">
        <f>HYPERLINK("https://www.catalog.slsa.sa.gov.au/xrecord=b2056969")</f>
        <v>https://www.catalog.slsa.sa.gov.au/xrecord=b2056969</v>
      </c>
      <c r="D8791" t="s">
        <v>16831</v>
      </c>
      <c r="E8791" t="s">
        <v>16791</v>
      </c>
      <c r="F8791">
        <v>1966</v>
      </c>
      <c r="G8791" t="s">
        <v>16176</v>
      </c>
      <c r="H8791" t="s">
        <v>28785</v>
      </c>
      <c r="J8791" t="s">
        <v>24031</v>
      </c>
      <c r="K8791" s="2" t="str">
        <f>HYPERLINK("http://collections.slsa.sa.gov.au/mpcimg/24250/B24208.htm")</f>
        <v>http://collections.slsa.sa.gov.au/mpcimg/24250/B24208.htm</v>
      </c>
    </row>
    <row r="8792" spans="1:11" x14ac:dyDescent="0.25">
      <c r="A8792" t="s">
        <v>28786</v>
      </c>
      <c r="B8792" s="1" t="str">
        <f>HYPERLINK("https://www.catalog.slsa.sa.gov.au/record=b2056980")</f>
        <v>https://www.catalog.slsa.sa.gov.au/record=b2056980</v>
      </c>
      <c r="C8792" s="1" t="str">
        <f>HYPERLINK("https://www.catalog.slsa.sa.gov.au/xrecord=b2056980")</f>
        <v>https://www.catalog.slsa.sa.gov.au/xrecord=b2056980</v>
      </c>
      <c r="D8792" t="s">
        <v>16831</v>
      </c>
      <c r="E8792" t="s">
        <v>16791</v>
      </c>
      <c r="F8792">
        <v>1966</v>
      </c>
      <c r="G8792" t="s">
        <v>14771</v>
      </c>
      <c r="H8792" t="s">
        <v>28787</v>
      </c>
      <c r="J8792" t="s">
        <v>28788</v>
      </c>
      <c r="K8792" s="2" t="str">
        <f>HYPERLINK("http://collections.slsa.sa.gov.au/mpcimg/17000/B16808.htm")</f>
        <v>http://collections.slsa.sa.gov.au/mpcimg/17000/B16808.htm</v>
      </c>
    </row>
    <row r="8793" spans="1:11" x14ac:dyDescent="0.25">
      <c r="A8793" t="s">
        <v>28789</v>
      </c>
      <c r="B8793" s="1" t="str">
        <f>HYPERLINK("https://www.catalog.slsa.sa.gov.au/record=b2056981")</f>
        <v>https://www.catalog.slsa.sa.gov.au/record=b2056981</v>
      </c>
      <c r="C8793" s="1" t="str">
        <f>HYPERLINK("https://www.catalog.slsa.sa.gov.au/xrecord=b2056981")</f>
        <v>https://www.catalog.slsa.sa.gov.au/xrecord=b2056981</v>
      </c>
      <c r="D8793" t="s">
        <v>16831</v>
      </c>
      <c r="E8793" t="s">
        <v>16791</v>
      </c>
      <c r="F8793">
        <v>1966</v>
      </c>
      <c r="G8793" t="s">
        <v>14771</v>
      </c>
      <c r="H8793" t="s">
        <v>28787</v>
      </c>
      <c r="J8793" t="s">
        <v>28788</v>
      </c>
      <c r="K8793" s="2" t="str">
        <f>HYPERLINK("http://collections.slsa.sa.gov.au/mpcimg/17000/B16809.htm")</f>
        <v>http://collections.slsa.sa.gov.au/mpcimg/17000/B16809.htm</v>
      </c>
    </row>
    <row r="8794" spans="1:11" x14ac:dyDescent="0.25">
      <c r="A8794" t="s">
        <v>28790</v>
      </c>
      <c r="B8794" s="1" t="str">
        <f>HYPERLINK("https://www.catalog.slsa.sa.gov.au/record=b2056982")</f>
        <v>https://www.catalog.slsa.sa.gov.au/record=b2056982</v>
      </c>
      <c r="C8794" s="1" t="str">
        <f>HYPERLINK("https://www.catalog.slsa.sa.gov.au/xrecord=b2056982")</f>
        <v>https://www.catalog.slsa.sa.gov.au/xrecord=b2056982</v>
      </c>
      <c r="D8794" t="s">
        <v>16831</v>
      </c>
      <c r="E8794" t="s">
        <v>16791</v>
      </c>
      <c r="F8794">
        <v>1966</v>
      </c>
      <c r="G8794" t="s">
        <v>14771</v>
      </c>
      <c r="H8794" t="s">
        <v>28791</v>
      </c>
      <c r="J8794" t="s">
        <v>28788</v>
      </c>
      <c r="K8794" s="2" t="str">
        <f>HYPERLINK("http://collections.slsa.sa.gov.au/mpcimg/17000/B16815.htm")</f>
        <v>http://collections.slsa.sa.gov.au/mpcimg/17000/B16815.htm</v>
      </c>
    </row>
    <row r="8795" spans="1:11" x14ac:dyDescent="0.25">
      <c r="A8795" t="s">
        <v>28792</v>
      </c>
      <c r="B8795" s="1" t="str">
        <f>HYPERLINK("https://www.catalog.slsa.sa.gov.au/record=b2059367")</f>
        <v>https://www.catalog.slsa.sa.gov.au/record=b2059367</v>
      </c>
      <c r="C8795" s="1" t="str">
        <f>HYPERLINK("https://www.catalog.slsa.sa.gov.au/xrecord=b2059367")</f>
        <v>https://www.catalog.slsa.sa.gov.au/xrecord=b2059367</v>
      </c>
      <c r="D8795" t="s">
        <v>16831</v>
      </c>
      <c r="E8795" t="s">
        <v>28793</v>
      </c>
      <c r="F8795">
        <v>1966</v>
      </c>
      <c r="G8795" t="s">
        <v>16886</v>
      </c>
      <c r="H8795" t="s">
        <v>28794</v>
      </c>
      <c r="J8795" t="s">
        <v>27321</v>
      </c>
      <c r="K8795" s="2" t="str">
        <f>HYPERLINK("http://collections.slsa.sa.gov.au/mpcimg/16500/B16371.htm")</f>
        <v>http://collections.slsa.sa.gov.au/mpcimg/16500/B16371.htm</v>
      </c>
    </row>
    <row r="8796" spans="1:11" x14ac:dyDescent="0.25">
      <c r="A8796" t="s">
        <v>28795</v>
      </c>
      <c r="B8796" s="1" t="str">
        <f>HYPERLINK("https://www.catalog.slsa.sa.gov.au/record=b2059444")</f>
        <v>https://www.catalog.slsa.sa.gov.au/record=b2059444</v>
      </c>
      <c r="C8796" s="1" t="str">
        <f>HYPERLINK("https://www.catalog.slsa.sa.gov.au/xrecord=b2059444")</f>
        <v>https://www.catalog.slsa.sa.gov.au/xrecord=b2059444</v>
      </c>
      <c r="D8796" t="s">
        <v>16831</v>
      </c>
      <c r="E8796" t="s">
        <v>20096</v>
      </c>
      <c r="F8796">
        <v>1966</v>
      </c>
      <c r="G8796" t="s">
        <v>14771</v>
      </c>
      <c r="H8796" t="s">
        <v>28796</v>
      </c>
      <c r="J8796" t="s">
        <v>25899</v>
      </c>
      <c r="K8796" s="2" t="str">
        <f>HYPERLINK("http://collections.slsa.sa.gov.au/mpcimg/17000/B16793.htm")</f>
        <v>http://collections.slsa.sa.gov.au/mpcimg/17000/B16793.htm</v>
      </c>
    </row>
    <row r="8797" spans="1:11" x14ac:dyDescent="0.25">
      <c r="A8797" t="s">
        <v>28797</v>
      </c>
      <c r="B8797" s="1" t="str">
        <f>HYPERLINK("https://www.catalog.slsa.sa.gov.au/record=b2059510")</f>
        <v>https://www.catalog.slsa.sa.gov.au/record=b2059510</v>
      </c>
      <c r="C8797" s="1" t="str">
        <f>HYPERLINK("https://www.catalog.slsa.sa.gov.au/xrecord=b2059510")</f>
        <v>https://www.catalog.slsa.sa.gov.au/xrecord=b2059510</v>
      </c>
      <c r="D8797" t="s">
        <v>16831</v>
      </c>
      <c r="E8797" t="s">
        <v>20096</v>
      </c>
      <c r="F8797">
        <v>1966</v>
      </c>
      <c r="G8797" t="s">
        <v>28373</v>
      </c>
      <c r="H8797" t="s">
        <v>28798</v>
      </c>
      <c r="J8797" t="s">
        <v>24206</v>
      </c>
      <c r="K8797" s="2" t="str">
        <f>HYPERLINK("http://collections.slsa.sa.gov.au/mpcimg/16250/B16165.htm")</f>
        <v>http://collections.slsa.sa.gov.au/mpcimg/16250/B16165.htm</v>
      </c>
    </row>
    <row r="8798" spans="1:11" x14ac:dyDescent="0.25">
      <c r="A8798" t="s">
        <v>28799</v>
      </c>
      <c r="B8798" s="1" t="str">
        <f>HYPERLINK("https://www.catalog.slsa.sa.gov.au/record=b2059523")</f>
        <v>https://www.catalog.slsa.sa.gov.au/record=b2059523</v>
      </c>
      <c r="C8798" s="1" t="str">
        <f>HYPERLINK("https://www.catalog.slsa.sa.gov.au/xrecord=b2059523")</f>
        <v>https://www.catalog.slsa.sa.gov.au/xrecord=b2059523</v>
      </c>
      <c r="D8798" t="s">
        <v>16831</v>
      </c>
      <c r="E8798" t="s">
        <v>28800</v>
      </c>
      <c r="F8798">
        <v>1966</v>
      </c>
      <c r="G8798" t="s">
        <v>16886</v>
      </c>
      <c r="H8798" t="s">
        <v>28801</v>
      </c>
      <c r="J8798" t="s">
        <v>22847</v>
      </c>
      <c r="K8798" s="2" t="str">
        <f>HYPERLINK("http://collections.slsa.sa.gov.au/mpcimg/16500/B16365.htm")</f>
        <v>http://collections.slsa.sa.gov.au/mpcimg/16500/B16365.htm</v>
      </c>
    </row>
    <row r="8799" spans="1:11" x14ac:dyDescent="0.25">
      <c r="A8799" t="s">
        <v>28802</v>
      </c>
      <c r="B8799" s="1" t="str">
        <f>HYPERLINK("https://www.catalog.slsa.sa.gov.au/record=b2060150")</f>
        <v>https://www.catalog.slsa.sa.gov.au/record=b2060150</v>
      </c>
      <c r="C8799" s="1" t="str">
        <f>HYPERLINK("https://www.catalog.slsa.sa.gov.au/xrecord=b2060150")</f>
        <v>https://www.catalog.slsa.sa.gov.au/xrecord=b2060150</v>
      </c>
      <c r="D8799" t="s">
        <v>16831</v>
      </c>
      <c r="E8799" t="s">
        <v>21061</v>
      </c>
      <c r="F8799">
        <v>1966</v>
      </c>
      <c r="G8799" t="s">
        <v>14771</v>
      </c>
      <c r="H8799" t="s">
        <v>28803</v>
      </c>
      <c r="J8799" t="s">
        <v>25416</v>
      </c>
      <c r="K8799" s="2" t="str">
        <f>HYPERLINK("http://collections.slsa.sa.gov.au/mpcimg/17000/B16804.htm")</f>
        <v>http://collections.slsa.sa.gov.au/mpcimg/17000/B16804.htm</v>
      </c>
    </row>
    <row r="8800" spans="1:11" x14ac:dyDescent="0.25">
      <c r="A8800" t="s">
        <v>28804</v>
      </c>
      <c r="B8800" s="1" t="str">
        <f>HYPERLINK("https://www.catalog.slsa.sa.gov.au/record=b2060256")</f>
        <v>https://www.catalog.slsa.sa.gov.au/record=b2060256</v>
      </c>
      <c r="C8800" s="1" t="str">
        <f>HYPERLINK("https://www.catalog.slsa.sa.gov.au/xrecord=b2060256")</f>
        <v>https://www.catalog.slsa.sa.gov.au/xrecord=b2060256</v>
      </c>
      <c r="D8800" t="s">
        <v>16831</v>
      </c>
      <c r="E8800" t="s">
        <v>21061</v>
      </c>
      <c r="F8800">
        <v>1966</v>
      </c>
      <c r="G8800" t="s">
        <v>14771</v>
      </c>
      <c r="H8800" t="s">
        <v>28805</v>
      </c>
      <c r="J8800" t="s">
        <v>24287</v>
      </c>
      <c r="K8800" s="2" t="str">
        <f>HYPERLINK("http://collections.slsa.sa.gov.au/mpcimg/17000/B16820.htm")</f>
        <v>http://collections.slsa.sa.gov.au/mpcimg/17000/B16820.htm</v>
      </c>
    </row>
    <row r="8801" spans="1:11" x14ac:dyDescent="0.25">
      <c r="A8801" t="s">
        <v>28806</v>
      </c>
      <c r="B8801" s="1" t="str">
        <f>HYPERLINK("https://www.catalog.slsa.sa.gov.au/record=b2060257")</f>
        <v>https://www.catalog.slsa.sa.gov.au/record=b2060257</v>
      </c>
      <c r="C8801" s="1" t="str">
        <f>HYPERLINK("https://www.catalog.slsa.sa.gov.au/xrecord=b2060257")</f>
        <v>https://www.catalog.slsa.sa.gov.au/xrecord=b2060257</v>
      </c>
      <c r="D8801" t="s">
        <v>16831</v>
      </c>
      <c r="E8801" t="s">
        <v>21061</v>
      </c>
      <c r="F8801">
        <v>1966</v>
      </c>
      <c r="G8801" t="s">
        <v>14771</v>
      </c>
      <c r="H8801" t="s">
        <v>28807</v>
      </c>
      <c r="J8801" t="s">
        <v>24287</v>
      </c>
      <c r="K8801" s="2" t="str">
        <f>HYPERLINK("http://collections.slsa.sa.gov.au/mpcimg/17000/B16821.htm")</f>
        <v>http://collections.slsa.sa.gov.au/mpcimg/17000/B16821.htm</v>
      </c>
    </row>
    <row r="8802" spans="1:11" x14ac:dyDescent="0.25">
      <c r="A8802" t="s">
        <v>28808</v>
      </c>
      <c r="B8802" s="1" t="str">
        <f>HYPERLINK("https://www.catalog.slsa.sa.gov.au/record=b2060825")</f>
        <v>https://www.catalog.slsa.sa.gov.au/record=b2060825</v>
      </c>
      <c r="C8802" s="1" t="str">
        <f>HYPERLINK("https://www.catalog.slsa.sa.gov.au/xrecord=b2060825")</f>
        <v>https://www.catalog.slsa.sa.gov.au/xrecord=b2060825</v>
      </c>
      <c r="D8802" t="s">
        <v>16831</v>
      </c>
      <c r="E8802" t="s">
        <v>21099</v>
      </c>
      <c r="F8802">
        <v>1966</v>
      </c>
      <c r="G8802" t="s">
        <v>14771</v>
      </c>
      <c r="H8802" t="s">
        <v>28809</v>
      </c>
      <c r="J8802" t="s">
        <v>28810</v>
      </c>
      <c r="K8802" s="2" t="str">
        <f>HYPERLINK("http://collections.slsa.sa.gov.au/mpcimg/17000/B16816.htm")</f>
        <v>http://collections.slsa.sa.gov.au/mpcimg/17000/B16816.htm</v>
      </c>
    </row>
    <row r="8803" spans="1:11" x14ac:dyDescent="0.25">
      <c r="A8803" t="s">
        <v>28811</v>
      </c>
      <c r="B8803" s="1" t="str">
        <f>HYPERLINK("https://www.catalog.slsa.sa.gov.au/record=b2061452")</f>
        <v>https://www.catalog.slsa.sa.gov.au/record=b2061452</v>
      </c>
      <c r="C8803" s="1" t="str">
        <f>HYPERLINK("https://www.catalog.slsa.sa.gov.au/xrecord=b2061452")</f>
        <v>https://www.catalog.slsa.sa.gov.au/xrecord=b2061452</v>
      </c>
      <c r="D8803" t="s">
        <v>16831</v>
      </c>
      <c r="E8803" t="s">
        <v>25471</v>
      </c>
      <c r="F8803">
        <v>1966</v>
      </c>
      <c r="G8803" t="s">
        <v>28373</v>
      </c>
      <c r="H8803" t="s">
        <v>28812</v>
      </c>
      <c r="J8803" t="s">
        <v>28090</v>
      </c>
      <c r="K8803" s="2" t="str">
        <f>HYPERLINK("http://collections.slsa.sa.gov.au/mpcimg/16250/B16162.htm")</f>
        <v>http://collections.slsa.sa.gov.au/mpcimg/16250/B16162.htm</v>
      </c>
    </row>
    <row r="8804" spans="1:11" x14ac:dyDescent="0.25">
      <c r="A8804" t="s">
        <v>28813</v>
      </c>
      <c r="B8804" s="1" t="str">
        <f>HYPERLINK("https://www.catalog.slsa.sa.gov.au/record=b2061481")</f>
        <v>https://www.catalog.slsa.sa.gov.au/record=b2061481</v>
      </c>
      <c r="C8804" s="1" t="str">
        <f>HYPERLINK("https://www.catalog.slsa.sa.gov.au/xrecord=b2061481")</f>
        <v>https://www.catalog.slsa.sa.gov.au/xrecord=b2061481</v>
      </c>
      <c r="D8804" t="s">
        <v>16831</v>
      </c>
      <c r="E8804" t="s">
        <v>21178</v>
      </c>
      <c r="F8804">
        <v>1966</v>
      </c>
      <c r="G8804" t="s">
        <v>16886</v>
      </c>
      <c r="H8804" t="s">
        <v>28814</v>
      </c>
      <c r="J8804" t="s">
        <v>22914</v>
      </c>
      <c r="K8804" s="2" t="str">
        <f>HYPERLINK("http://collections.slsa.sa.gov.au/mpcimg/16500/B16335.htm")</f>
        <v>http://collections.slsa.sa.gov.au/mpcimg/16500/B16335.htm</v>
      </c>
    </row>
    <row r="8805" spans="1:11" x14ac:dyDescent="0.25">
      <c r="A8805" t="s">
        <v>28815</v>
      </c>
      <c r="B8805" s="1" t="str">
        <f>HYPERLINK("https://www.catalog.slsa.sa.gov.au/record=b2061482")</f>
        <v>https://www.catalog.slsa.sa.gov.au/record=b2061482</v>
      </c>
      <c r="C8805" s="1" t="str">
        <f>HYPERLINK("https://www.catalog.slsa.sa.gov.au/xrecord=b2061482")</f>
        <v>https://www.catalog.slsa.sa.gov.au/xrecord=b2061482</v>
      </c>
      <c r="D8805" t="s">
        <v>16831</v>
      </c>
      <c r="E8805" t="s">
        <v>21178</v>
      </c>
      <c r="F8805">
        <v>1966</v>
      </c>
      <c r="G8805" t="s">
        <v>16886</v>
      </c>
      <c r="H8805" t="s">
        <v>28816</v>
      </c>
      <c r="J8805" t="s">
        <v>22914</v>
      </c>
      <c r="K8805" s="2" t="str">
        <f>HYPERLINK("http://collections.slsa.sa.gov.au/mpcimg/16500/B16336.htm")</f>
        <v>http://collections.slsa.sa.gov.au/mpcimg/16500/B16336.htm</v>
      </c>
    </row>
    <row r="8806" spans="1:11" x14ac:dyDescent="0.25">
      <c r="A8806" t="s">
        <v>28817</v>
      </c>
      <c r="B8806" s="1" t="str">
        <f>HYPERLINK("https://www.catalog.slsa.sa.gov.au/record=b2061483")</f>
        <v>https://www.catalog.slsa.sa.gov.au/record=b2061483</v>
      </c>
      <c r="C8806" s="1" t="str">
        <f>HYPERLINK("https://www.catalog.slsa.sa.gov.au/xrecord=b2061483")</f>
        <v>https://www.catalog.slsa.sa.gov.au/xrecord=b2061483</v>
      </c>
      <c r="D8806" t="s">
        <v>16831</v>
      </c>
      <c r="E8806" t="s">
        <v>21178</v>
      </c>
      <c r="F8806">
        <v>1966</v>
      </c>
      <c r="G8806" t="s">
        <v>16886</v>
      </c>
      <c r="H8806" t="s">
        <v>28816</v>
      </c>
      <c r="J8806" t="s">
        <v>22914</v>
      </c>
      <c r="K8806" s="2" t="str">
        <f>HYPERLINK("http://collections.slsa.sa.gov.au/mpcimg/16500/B16337.htm")</f>
        <v>http://collections.slsa.sa.gov.au/mpcimg/16500/B16337.htm</v>
      </c>
    </row>
    <row r="8807" spans="1:11" x14ac:dyDescent="0.25">
      <c r="A8807" t="s">
        <v>28818</v>
      </c>
      <c r="B8807" s="1" t="str">
        <f>HYPERLINK("https://www.catalog.slsa.sa.gov.au/record=b2061484")</f>
        <v>https://www.catalog.slsa.sa.gov.au/record=b2061484</v>
      </c>
      <c r="C8807" s="1" t="str">
        <f>HYPERLINK("https://www.catalog.slsa.sa.gov.au/xrecord=b2061484")</f>
        <v>https://www.catalog.slsa.sa.gov.au/xrecord=b2061484</v>
      </c>
      <c r="D8807" t="s">
        <v>16831</v>
      </c>
      <c r="E8807" t="s">
        <v>21178</v>
      </c>
      <c r="F8807">
        <v>1966</v>
      </c>
      <c r="G8807" t="s">
        <v>16886</v>
      </c>
      <c r="H8807" t="s">
        <v>28814</v>
      </c>
      <c r="J8807" t="s">
        <v>22914</v>
      </c>
      <c r="K8807" s="2" t="str">
        <f>HYPERLINK("http://collections.slsa.sa.gov.au/mpcimg/16500/B16338.htm")</f>
        <v>http://collections.slsa.sa.gov.au/mpcimg/16500/B16338.htm</v>
      </c>
    </row>
    <row r="8808" spans="1:11" x14ac:dyDescent="0.25">
      <c r="A8808" t="s">
        <v>28819</v>
      </c>
      <c r="B8808" s="1" t="str">
        <f>HYPERLINK("https://www.catalog.slsa.sa.gov.au/record=b2061486")</f>
        <v>https://www.catalog.slsa.sa.gov.au/record=b2061486</v>
      </c>
      <c r="C8808" s="1" t="str">
        <f>HYPERLINK("https://www.catalog.slsa.sa.gov.au/xrecord=b2061486")</f>
        <v>https://www.catalog.slsa.sa.gov.au/xrecord=b2061486</v>
      </c>
      <c r="D8808" t="s">
        <v>16831</v>
      </c>
      <c r="E8808" t="s">
        <v>21178</v>
      </c>
      <c r="F8808">
        <v>1966</v>
      </c>
      <c r="G8808" t="s">
        <v>16886</v>
      </c>
      <c r="H8808" t="s">
        <v>28820</v>
      </c>
      <c r="J8808" t="s">
        <v>22914</v>
      </c>
      <c r="K8808" s="2" t="str">
        <f>HYPERLINK("http://collections.slsa.sa.gov.au/mpcimg/16500/B16340.htm")</f>
        <v>http://collections.slsa.sa.gov.au/mpcimg/16500/B16340.htm</v>
      </c>
    </row>
    <row r="8809" spans="1:11" x14ac:dyDescent="0.25">
      <c r="A8809" t="s">
        <v>28821</v>
      </c>
      <c r="B8809" s="1" t="str">
        <f>HYPERLINK("https://www.catalog.slsa.sa.gov.au/record=b2061519")</f>
        <v>https://www.catalog.slsa.sa.gov.au/record=b2061519</v>
      </c>
      <c r="C8809" s="1" t="str">
        <f>HYPERLINK("https://www.catalog.slsa.sa.gov.au/xrecord=b2061519")</f>
        <v>https://www.catalog.slsa.sa.gov.au/xrecord=b2061519</v>
      </c>
      <c r="D8809" t="s">
        <v>16831</v>
      </c>
      <c r="E8809" t="s">
        <v>24404</v>
      </c>
      <c r="F8809">
        <v>1966</v>
      </c>
      <c r="G8809" t="s">
        <v>14771</v>
      </c>
      <c r="H8809" t="s">
        <v>28822</v>
      </c>
      <c r="J8809" t="s">
        <v>28654</v>
      </c>
      <c r="K8809" s="2" t="str">
        <f>HYPERLINK("http://collections.slsa.sa.gov.au/mpcimg/17000/B16824.htm")</f>
        <v>http://collections.slsa.sa.gov.au/mpcimg/17000/B16824.htm</v>
      </c>
    </row>
    <row r="8810" spans="1:11" x14ac:dyDescent="0.25">
      <c r="A8810" t="s">
        <v>28823</v>
      </c>
      <c r="B8810" s="1" t="str">
        <f>HYPERLINK("https://www.catalog.slsa.sa.gov.au/record=b2061520")</f>
        <v>https://www.catalog.slsa.sa.gov.au/record=b2061520</v>
      </c>
      <c r="C8810" s="1" t="str">
        <f>HYPERLINK("https://www.catalog.slsa.sa.gov.au/xrecord=b2061520")</f>
        <v>https://www.catalog.slsa.sa.gov.au/xrecord=b2061520</v>
      </c>
      <c r="D8810" t="s">
        <v>16831</v>
      </c>
      <c r="E8810" t="s">
        <v>28651</v>
      </c>
      <c r="F8810">
        <v>1966</v>
      </c>
      <c r="G8810" t="s">
        <v>14771</v>
      </c>
      <c r="H8810" t="s">
        <v>28824</v>
      </c>
      <c r="J8810" t="s">
        <v>28654</v>
      </c>
      <c r="K8810" s="2" t="str">
        <f>HYPERLINK("http://collections.slsa.sa.gov.au/mpcimg/17000/B16825.htm")</f>
        <v>http://collections.slsa.sa.gov.au/mpcimg/17000/B16825.htm</v>
      </c>
    </row>
    <row r="8811" spans="1:11" x14ac:dyDescent="0.25">
      <c r="A8811" t="s">
        <v>28825</v>
      </c>
      <c r="B8811" s="1" t="str">
        <f>HYPERLINK("https://www.catalog.slsa.sa.gov.au/record=b2061903")</f>
        <v>https://www.catalog.slsa.sa.gov.au/record=b2061903</v>
      </c>
      <c r="C8811" s="1" t="str">
        <f>HYPERLINK("https://www.catalog.slsa.sa.gov.au/xrecord=b2061903")</f>
        <v>https://www.catalog.slsa.sa.gov.au/xrecord=b2061903</v>
      </c>
      <c r="D8811" t="s">
        <v>16831</v>
      </c>
      <c r="E8811" t="s">
        <v>21208</v>
      </c>
      <c r="F8811">
        <v>1966</v>
      </c>
      <c r="G8811" t="s">
        <v>16886</v>
      </c>
      <c r="H8811" t="s">
        <v>28826</v>
      </c>
      <c r="J8811" t="s">
        <v>25525</v>
      </c>
      <c r="K8811" s="2" t="str">
        <f>HYPERLINK("http://collections.slsa.sa.gov.au/mpcimg/16500/B16380.htm")</f>
        <v>http://collections.slsa.sa.gov.au/mpcimg/16500/B16380.htm</v>
      </c>
    </row>
    <row r="8812" spans="1:11" x14ac:dyDescent="0.25">
      <c r="A8812" t="s">
        <v>28827</v>
      </c>
      <c r="B8812" s="1" t="str">
        <f>HYPERLINK("https://www.catalog.slsa.sa.gov.au/record=b2062479")</f>
        <v>https://www.catalog.slsa.sa.gov.au/record=b2062479</v>
      </c>
      <c r="C8812" s="1" t="str">
        <f>HYPERLINK("https://www.catalog.slsa.sa.gov.au/xrecord=b2062479")</f>
        <v>https://www.catalog.slsa.sa.gov.au/xrecord=b2062479</v>
      </c>
      <c r="D8812" t="s">
        <v>16831</v>
      </c>
      <c r="E8812" t="s">
        <v>28828</v>
      </c>
      <c r="F8812">
        <v>1966</v>
      </c>
      <c r="G8812" t="s">
        <v>16886</v>
      </c>
      <c r="H8812" t="s">
        <v>28829</v>
      </c>
      <c r="J8812" t="s">
        <v>28830</v>
      </c>
      <c r="K8812" s="2" t="str">
        <f>HYPERLINK("http://collections.slsa.sa.gov.au/mpcimg/16500/B16370.htm")</f>
        <v>http://collections.slsa.sa.gov.au/mpcimg/16500/B16370.htm</v>
      </c>
    </row>
    <row r="8813" spans="1:11" x14ac:dyDescent="0.25">
      <c r="A8813" t="s">
        <v>28831</v>
      </c>
      <c r="B8813" s="1" t="str">
        <f>HYPERLINK("https://www.catalog.slsa.sa.gov.au/record=b2062760")</f>
        <v>https://www.catalog.slsa.sa.gov.au/record=b2062760</v>
      </c>
      <c r="C8813" s="1" t="str">
        <f>HYPERLINK("https://www.catalog.slsa.sa.gov.au/xrecord=b2062760")</f>
        <v>https://www.catalog.slsa.sa.gov.au/xrecord=b2062760</v>
      </c>
      <c r="D8813" t="s">
        <v>16831</v>
      </c>
      <c r="E8813" t="s">
        <v>21250</v>
      </c>
      <c r="F8813">
        <v>1966</v>
      </c>
      <c r="G8813" t="s">
        <v>14771</v>
      </c>
      <c r="H8813" t="s">
        <v>28832</v>
      </c>
      <c r="J8813" t="s">
        <v>28833</v>
      </c>
      <c r="K8813" s="2" t="str">
        <f>HYPERLINK("http://collections.slsa.sa.gov.au/mpcimg/17000/B16826.htm")</f>
        <v>http://collections.slsa.sa.gov.au/mpcimg/17000/B16826.htm</v>
      </c>
    </row>
    <row r="8814" spans="1:11" x14ac:dyDescent="0.25">
      <c r="A8814" t="s">
        <v>28834</v>
      </c>
      <c r="B8814" s="1" t="str">
        <f>HYPERLINK("https://www.catalog.slsa.sa.gov.au/record=b2062808")</f>
        <v>https://www.catalog.slsa.sa.gov.au/record=b2062808</v>
      </c>
      <c r="C8814" s="1" t="str">
        <f>HYPERLINK("https://www.catalog.slsa.sa.gov.au/xrecord=b2062808")</f>
        <v>https://www.catalog.slsa.sa.gov.au/xrecord=b2062808</v>
      </c>
      <c r="D8814" t="s">
        <v>16831</v>
      </c>
      <c r="E8814" t="s">
        <v>21250</v>
      </c>
      <c r="F8814">
        <v>1966</v>
      </c>
      <c r="G8814" t="s">
        <v>16886</v>
      </c>
      <c r="H8814" t="s">
        <v>28835</v>
      </c>
      <c r="J8814" t="s">
        <v>22956</v>
      </c>
      <c r="K8814" s="2" t="str">
        <f>HYPERLINK("http://collections.slsa.sa.gov.au/mpcimg/16500/B16381.htm")</f>
        <v>http://collections.slsa.sa.gov.au/mpcimg/16500/B16381.htm</v>
      </c>
    </row>
    <row r="8815" spans="1:11" x14ac:dyDescent="0.25">
      <c r="A8815" t="s">
        <v>28836</v>
      </c>
      <c r="B8815" s="1" t="str">
        <f>HYPERLINK("https://www.catalog.slsa.sa.gov.au/record=b2062822")</f>
        <v>https://www.catalog.slsa.sa.gov.au/record=b2062822</v>
      </c>
      <c r="C8815" s="1" t="str">
        <f>HYPERLINK("https://www.catalog.slsa.sa.gov.au/xrecord=b2062822")</f>
        <v>https://www.catalog.slsa.sa.gov.au/xrecord=b2062822</v>
      </c>
      <c r="D8815" t="s">
        <v>16831</v>
      </c>
      <c r="E8815" t="s">
        <v>28837</v>
      </c>
      <c r="F8815">
        <v>1966</v>
      </c>
      <c r="G8815" t="s">
        <v>14771</v>
      </c>
      <c r="H8815" t="s">
        <v>28838</v>
      </c>
      <c r="J8815" t="s">
        <v>21262</v>
      </c>
      <c r="K8815" s="2" t="str">
        <f>HYPERLINK("http://collections.slsa.sa.gov.au/mpcimg/17000/B16853.htm")</f>
        <v>http://collections.slsa.sa.gov.au/mpcimg/17000/B16853.htm</v>
      </c>
    </row>
    <row r="8816" spans="1:11" x14ac:dyDescent="0.25">
      <c r="A8816" t="s">
        <v>28839</v>
      </c>
      <c r="B8816" s="1" t="str">
        <f>HYPERLINK("https://www.catalog.slsa.sa.gov.au/record=b2063712")</f>
        <v>https://www.catalog.slsa.sa.gov.au/record=b2063712</v>
      </c>
      <c r="C8816" s="1" t="str">
        <f>HYPERLINK("https://www.catalog.slsa.sa.gov.au/xrecord=b2063712")</f>
        <v>https://www.catalog.slsa.sa.gov.au/xrecord=b2063712</v>
      </c>
      <c r="D8816" t="s">
        <v>16831</v>
      </c>
      <c r="E8816" t="s">
        <v>28840</v>
      </c>
      <c r="F8816">
        <v>1966</v>
      </c>
      <c r="G8816" t="s">
        <v>16886</v>
      </c>
      <c r="H8816" t="s">
        <v>28841</v>
      </c>
      <c r="I8816" t="s">
        <v>22447</v>
      </c>
      <c r="J8816" t="s">
        <v>28842</v>
      </c>
      <c r="K8816" s="2" t="str">
        <f>HYPERLINK("http://collections.slsa.sa.gov.au/mpcimg/16500/B16346.htm")</f>
        <v>http://collections.slsa.sa.gov.au/mpcimg/16500/B16346.htm</v>
      </c>
    </row>
    <row r="8817" spans="1:11" x14ac:dyDescent="0.25">
      <c r="A8817" t="s">
        <v>28843</v>
      </c>
      <c r="B8817" s="1" t="str">
        <f>HYPERLINK("https://www.catalog.slsa.sa.gov.au/record=b2063713")</f>
        <v>https://www.catalog.slsa.sa.gov.au/record=b2063713</v>
      </c>
      <c r="C8817" s="1" t="str">
        <f>HYPERLINK("https://www.catalog.slsa.sa.gov.au/xrecord=b2063713")</f>
        <v>https://www.catalog.slsa.sa.gov.au/xrecord=b2063713</v>
      </c>
      <c r="D8817" t="s">
        <v>16831</v>
      </c>
      <c r="E8817" t="s">
        <v>28840</v>
      </c>
      <c r="F8817">
        <v>1966</v>
      </c>
      <c r="G8817" t="s">
        <v>16886</v>
      </c>
      <c r="H8817" t="s">
        <v>28844</v>
      </c>
      <c r="I8817" t="s">
        <v>22447</v>
      </c>
      <c r="J8817" t="s">
        <v>28842</v>
      </c>
      <c r="K8817" s="2" t="str">
        <f>HYPERLINK("http://collections.slsa.sa.gov.au/mpcimg/16500/B16347.htm")</f>
        <v>http://collections.slsa.sa.gov.au/mpcimg/16500/B16347.htm</v>
      </c>
    </row>
    <row r="8818" spans="1:11" x14ac:dyDescent="0.25">
      <c r="A8818" t="s">
        <v>28845</v>
      </c>
      <c r="B8818" s="1" t="str">
        <f>HYPERLINK("https://www.catalog.slsa.sa.gov.au/record=b2063714")</f>
        <v>https://www.catalog.slsa.sa.gov.au/record=b2063714</v>
      </c>
      <c r="C8818" s="1" t="str">
        <f>HYPERLINK("https://www.catalog.slsa.sa.gov.au/xrecord=b2063714")</f>
        <v>https://www.catalog.slsa.sa.gov.au/xrecord=b2063714</v>
      </c>
      <c r="D8818" t="s">
        <v>16831</v>
      </c>
      <c r="E8818" t="s">
        <v>28840</v>
      </c>
      <c r="F8818">
        <v>1966</v>
      </c>
      <c r="G8818" t="s">
        <v>16886</v>
      </c>
      <c r="H8818" t="s">
        <v>28846</v>
      </c>
      <c r="J8818" t="s">
        <v>28842</v>
      </c>
      <c r="K8818" s="2" t="str">
        <f>HYPERLINK("http://collections.slsa.sa.gov.au/mpcimg/16500/B16348.htm")</f>
        <v>http://collections.slsa.sa.gov.au/mpcimg/16500/B16348.htm</v>
      </c>
    </row>
    <row r="8819" spans="1:11" x14ac:dyDescent="0.25">
      <c r="A8819" t="s">
        <v>28847</v>
      </c>
      <c r="B8819" s="1" t="str">
        <f>HYPERLINK("https://www.catalog.slsa.sa.gov.au/record=b2063715")</f>
        <v>https://www.catalog.slsa.sa.gov.au/record=b2063715</v>
      </c>
      <c r="C8819" s="1" t="str">
        <f>HYPERLINK("https://www.catalog.slsa.sa.gov.au/xrecord=b2063715")</f>
        <v>https://www.catalog.slsa.sa.gov.au/xrecord=b2063715</v>
      </c>
      <c r="D8819" t="s">
        <v>16831</v>
      </c>
      <c r="E8819" t="s">
        <v>28840</v>
      </c>
      <c r="F8819">
        <v>1966</v>
      </c>
      <c r="G8819" t="s">
        <v>16886</v>
      </c>
      <c r="H8819" t="s">
        <v>28844</v>
      </c>
      <c r="J8819" t="s">
        <v>28842</v>
      </c>
      <c r="K8819" s="2" t="str">
        <f>HYPERLINK("http://collections.slsa.sa.gov.au/mpcimg/16500/B16349.htm")</f>
        <v>http://collections.slsa.sa.gov.au/mpcimg/16500/B16349.htm</v>
      </c>
    </row>
    <row r="8820" spans="1:11" x14ac:dyDescent="0.25">
      <c r="A8820" t="s">
        <v>28848</v>
      </c>
      <c r="B8820" s="1" t="str">
        <f>HYPERLINK("https://www.catalog.slsa.sa.gov.au/record=b2063716")</f>
        <v>https://www.catalog.slsa.sa.gov.au/record=b2063716</v>
      </c>
      <c r="C8820" s="1" t="str">
        <f>HYPERLINK("https://www.catalog.slsa.sa.gov.au/xrecord=b2063716")</f>
        <v>https://www.catalog.slsa.sa.gov.au/xrecord=b2063716</v>
      </c>
      <c r="D8820" t="s">
        <v>16831</v>
      </c>
      <c r="E8820" t="s">
        <v>28840</v>
      </c>
      <c r="F8820">
        <v>1966</v>
      </c>
      <c r="G8820" t="s">
        <v>16886</v>
      </c>
      <c r="H8820" t="s">
        <v>28849</v>
      </c>
      <c r="I8820" t="s">
        <v>22447</v>
      </c>
      <c r="J8820" t="s">
        <v>28842</v>
      </c>
      <c r="K8820" s="2" t="str">
        <f>HYPERLINK("http://collections.slsa.sa.gov.au/mpcimg/16500/B16350.htm")</f>
        <v>http://collections.slsa.sa.gov.au/mpcimg/16500/B16350.htm</v>
      </c>
    </row>
    <row r="8821" spans="1:11" x14ac:dyDescent="0.25">
      <c r="A8821" t="s">
        <v>28850</v>
      </c>
      <c r="B8821" s="1" t="str">
        <f>HYPERLINK("https://www.catalog.slsa.sa.gov.au/record=b2063717")</f>
        <v>https://www.catalog.slsa.sa.gov.au/record=b2063717</v>
      </c>
      <c r="C8821" s="1" t="str">
        <f>HYPERLINK("https://www.catalog.slsa.sa.gov.au/xrecord=b2063717")</f>
        <v>https://www.catalog.slsa.sa.gov.au/xrecord=b2063717</v>
      </c>
      <c r="D8821" t="s">
        <v>16831</v>
      </c>
      <c r="E8821" t="s">
        <v>28851</v>
      </c>
      <c r="F8821">
        <v>1966</v>
      </c>
      <c r="G8821" t="s">
        <v>16886</v>
      </c>
      <c r="H8821" t="s">
        <v>28852</v>
      </c>
      <c r="J8821" t="s">
        <v>28842</v>
      </c>
      <c r="K8821" s="2" t="str">
        <f>HYPERLINK("http://collections.slsa.sa.gov.au/mpcimg/16500/B16351.htm")</f>
        <v>http://collections.slsa.sa.gov.au/mpcimg/16500/B16351.htm</v>
      </c>
    </row>
    <row r="8822" spans="1:11" x14ac:dyDescent="0.25">
      <c r="A8822" t="s">
        <v>28853</v>
      </c>
      <c r="B8822" s="1" t="str">
        <f>HYPERLINK("https://www.catalog.slsa.sa.gov.au/record=b2063718")</f>
        <v>https://www.catalog.slsa.sa.gov.au/record=b2063718</v>
      </c>
      <c r="C8822" s="1" t="str">
        <f>HYPERLINK("https://www.catalog.slsa.sa.gov.au/xrecord=b2063718")</f>
        <v>https://www.catalog.slsa.sa.gov.au/xrecord=b2063718</v>
      </c>
      <c r="D8822" t="s">
        <v>16831</v>
      </c>
      <c r="E8822" t="s">
        <v>28840</v>
      </c>
      <c r="F8822">
        <v>1966</v>
      </c>
      <c r="G8822" t="s">
        <v>16886</v>
      </c>
      <c r="H8822" t="s">
        <v>28849</v>
      </c>
      <c r="I8822" t="s">
        <v>22447</v>
      </c>
      <c r="J8822" t="s">
        <v>28842</v>
      </c>
      <c r="K8822" s="2" t="str">
        <f>HYPERLINK("http://collections.slsa.sa.gov.au/mpcimg/16500/B16352.htm")</f>
        <v>http://collections.slsa.sa.gov.au/mpcimg/16500/B16352.htm</v>
      </c>
    </row>
    <row r="8823" spans="1:11" x14ac:dyDescent="0.25">
      <c r="A8823" t="s">
        <v>28854</v>
      </c>
      <c r="B8823" s="1" t="str">
        <f>HYPERLINK("https://www.catalog.slsa.sa.gov.au/record=b2064052")</f>
        <v>https://www.catalog.slsa.sa.gov.au/record=b2064052</v>
      </c>
      <c r="C8823" s="1" t="str">
        <f>HYPERLINK("https://www.catalog.slsa.sa.gov.au/xrecord=b2064052")</f>
        <v>https://www.catalog.slsa.sa.gov.au/xrecord=b2064052</v>
      </c>
      <c r="D8823" t="s">
        <v>16831</v>
      </c>
      <c r="E8823" t="s">
        <v>25643</v>
      </c>
      <c r="F8823">
        <v>1966</v>
      </c>
      <c r="G8823" t="s">
        <v>14771</v>
      </c>
      <c r="H8823" t="s">
        <v>28855</v>
      </c>
      <c r="J8823" t="s">
        <v>26491</v>
      </c>
      <c r="K8823" s="2" t="str">
        <f>HYPERLINK("http://collections.slsa.sa.gov.au/mpcimg/17000/B16798.htm")</f>
        <v>http://collections.slsa.sa.gov.au/mpcimg/17000/B16798.htm</v>
      </c>
    </row>
    <row r="8824" spans="1:11" x14ac:dyDescent="0.25">
      <c r="A8824" t="s">
        <v>28856</v>
      </c>
      <c r="B8824" s="1" t="str">
        <f>HYPERLINK("https://www.catalog.slsa.sa.gov.au/record=b2955010")</f>
        <v>https://www.catalog.slsa.sa.gov.au/record=b2955010</v>
      </c>
      <c r="C8824" s="1" t="str">
        <f>HYPERLINK("https://www.catalog.slsa.sa.gov.au/xrecord=b2955010")</f>
        <v>https://www.catalog.slsa.sa.gov.au/xrecord=b2955010</v>
      </c>
      <c r="E8824" t="s">
        <v>28857</v>
      </c>
      <c r="F8824">
        <v>1966</v>
      </c>
      <c r="G8824" t="s">
        <v>28858</v>
      </c>
      <c r="H8824" t="s">
        <v>28859</v>
      </c>
      <c r="I8824" t="s">
        <v>28860</v>
      </c>
      <c r="J8824" t="s">
        <v>2510</v>
      </c>
      <c r="K8824" s="2" t="str">
        <f>HYPERLINK("http://collections.slsa.sa.gov.au/resource/B+73755/14")</f>
        <v>http://collections.slsa.sa.gov.au/resource/B+73755/14</v>
      </c>
    </row>
    <row r="8825" spans="1:11" x14ac:dyDescent="0.25">
      <c r="A8825" t="s">
        <v>28861</v>
      </c>
      <c r="B8825" s="1" t="str">
        <f>HYPERLINK("https://www.catalog.slsa.sa.gov.au/record=b2024874")</f>
        <v>https://www.catalog.slsa.sa.gov.au/record=b2024874</v>
      </c>
      <c r="C8825" s="1" t="str">
        <f>HYPERLINK("https://www.catalog.slsa.sa.gov.au/xrecord=b2024874")</f>
        <v>https://www.catalog.slsa.sa.gov.au/xrecord=b2024874</v>
      </c>
      <c r="D8825" t="s">
        <v>28745</v>
      </c>
      <c r="E8825" t="s">
        <v>28862</v>
      </c>
      <c r="F8825">
        <v>1967</v>
      </c>
      <c r="G8825" t="s">
        <v>15031</v>
      </c>
      <c r="H8825" t="s">
        <v>28863</v>
      </c>
      <c r="I8825" t="s">
        <v>28864</v>
      </c>
      <c r="J8825" t="s">
        <v>28865</v>
      </c>
      <c r="K8825" s="2" t="str">
        <f>HYPERLINK("http://collections.slsa.sa.gov.au/mpcimg/52750/B52731.htm")</f>
        <v>http://collections.slsa.sa.gov.au/mpcimg/52750/B52731.htm</v>
      </c>
    </row>
    <row r="8826" spans="1:11" x14ac:dyDescent="0.25">
      <c r="A8826" t="s">
        <v>28866</v>
      </c>
      <c r="B8826" s="1" t="str">
        <f>HYPERLINK("https://www.catalog.slsa.sa.gov.au/record=b2054493")</f>
        <v>https://www.catalog.slsa.sa.gov.au/record=b2054493</v>
      </c>
      <c r="C8826" s="1" t="str">
        <f>HYPERLINK("https://www.catalog.slsa.sa.gov.au/xrecord=b2054493")</f>
        <v>https://www.catalog.slsa.sa.gov.au/xrecord=b2054493</v>
      </c>
      <c r="D8826" t="s">
        <v>16831</v>
      </c>
      <c r="E8826" t="s">
        <v>22712</v>
      </c>
      <c r="F8826">
        <v>1967</v>
      </c>
      <c r="G8826" t="s">
        <v>14771</v>
      </c>
      <c r="H8826" t="s">
        <v>28867</v>
      </c>
      <c r="J8826" t="s">
        <v>22714</v>
      </c>
      <c r="K8826" s="2" t="str">
        <f>HYPERLINK("http://collections.slsa.sa.gov.au/mpcimg/19000/B18816_1.htm")</f>
        <v>http://collections.slsa.sa.gov.au/mpcimg/19000/B18816_1.htm</v>
      </c>
    </row>
    <row r="8827" spans="1:11" x14ac:dyDescent="0.25">
      <c r="A8827" t="s">
        <v>28868</v>
      </c>
      <c r="B8827" s="1" t="str">
        <f>HYPERLINK("https://www.catalog.slsa.sa.gov.au/record=b2054494")</f>
        <v>https://www.catalog.slsa.sa.gov.au/record=b2054494</v>
      </c>
      <c r="C8827" s="1" t="str">
        <f>HYPERLINK("https://www.catalog.slsa.sa.gov.au/xrecord=b2054494")</f>
        <v>https://www.catalog.slsa.sa.gov.au/xrecord=b2054494</v>
      </c>
      <c r="D8827" t="s">
        <v>16831</v>
      </c>
      <c r="E8827" t="s">
        <v>22712</v>
      </c>
      <c r="F8827">
        <v>1967</v>
      </c>
      <c r="G8827" t="s">
        <v>14771</v>
      </c>
      <c r="H8827" t="s">
        <v>28869</v>
      </c>
      <c r="J8827" t="s">
        <v>22714</v>
      </c>
      <c r="K8827" s="2" t="str">
        <f>HYPERLINK("http://collections.slsa.sa.gov.au/mpcimg/19000/B18816_2.htm")</f>
        <v>http://collections.slsa.sa.gov.au/mpcimg/19000/B18816_2.htm</v>
      </c>
    </row>
    <row r="8828" spans="1:11" x14ac:dyDescent="0.25">
      <c r="A8828" t="s">
        <v>28870</v>
      </c>
      <c r="B8828" s="1" t="str">
        <f>HYPERLINK("https://www.catalog.slsa.sa.gov.au/record=b2054517")</f>
        <v>https://www.catalog.slsa.sa.gov.au/record=b2054517</v>
      </c>
      <c r="C8828" s="1" t="str">
        <f>HYPERLINK("https://www.catalog.slsa.sa.gov.au/xrecord=b2054517")</f>
        <v>https://www.catalog.slsa.sa.gov.au/xrecord=b2054517</v>
      </c>
      <c r="D8828" t="s">
        <v>16831</v>
      </c>
      <c r="E8828" t="s">
        <v>28202</v>
      </c>
      <c r="F8828">
        <v>1967</v>
      </c>
      <c r="G8828" t="s">
        <v>28871</v>
      </c>
      <c r="H8828" t="s">
        <v>28872</v>
      </c>
      <c r="J8828" t="s">
        <v>28873</v>
      </c>
      <c r="K8828" s="2" t="str">
        <f>HYPERLINK("http://collections.slsa.sa.gov.au/mpcimg/17250/B17065.htm")</f>
        <v>http://collections.slsa.sa.gov.au/mpcimg/17250/B17065.htm</v>
      </c>
    </row>
    <row r="8829" spans="1:11" x14ac:dyDescent="0.25">
      <c r="A8829" t="s">
        <v>28874</v>
      </c>
      <c r="B8829" s="1" t="str">
        <f>HYPERLINK("https://www.catalog.slsa.sa.gov.au/record=b2054529")</f>
        <v>https://www.catalog.slsa.sa.gov.au/record=b2054529</v>
      </c>
      <c r="C8829" s="1" t="str">
        <f>HYPERLINK("https://www.catalog.slsa.sa.gov.au/xrecord=b2054529")</f>
        <v>https://www.catalog.slsa.sa.gov.au/xrecord=b2054529</v>
      </c>
      <c r="D8829" t="s">
        <v>16831</v>
      </c>
      <c r="E8829" t="s">
        <v>28875</v>
      </c>
      <c r="F8829">
        <v>1967</v>
      </c>
      <c r="G8829" t="s">
        <v>28871</v>
      </c>
      <c r="H8829" t="s">
        <v>28876</v>
      </c>
      <c r="J8829" t="s">
        <v>28608</v>
      </c>
      <c r="K8829" s="2" t="str">
        <f>HYPERLINK("http://collections.slsa.sa.gov.au/mpcimg/17250/B17066.htm")</f>
        <v>http://collections.slsa.sa.gov.au/mpcimg/17250/B17066.htm</v>
      </c>
    </row>
    <row r="8830" spans="1:11" x14ac:dyDescent="0.25">
      <c r="A8830" t="s">
        <v>28877</v>
      </c>
      <c r="B8830" s="1" t="str">
        <f>HYPERLINK("https://www.catalog.slsa.sa.gov.au/record=b2054530")</f>
        <v>https://www.catalog.slsa.sa.gov.au/record=b2054530</v>
      </c>
      <c r="C8830" s="1" t="str">
        <f>HYPERLINK("https://www.catalog.slsa.sa.gov.au/xrecord=b2054530")</f>
        <v>https://www.catalog.slsa.sa.gov.au/xrecord=b2054530</v>
      </c>
      <c r="D8830" t="s">
        <v>16831</v>
      </c>
      <c r="E8830" t="s">
        <v>28878</v>
      </c>
      <c r="F8830">
        <v>1967</v>
      </c>
      <c r="G8830" t="s">
        <v>28871</v>
      </c>
      <c r="H8830" t="s">
        <v>28879</v>
      </c>
      <c r="J8830" t="s">
        <v>28608</v>
      </c>
      <c r="K8830" s="2" t="str">
        <f>HYPERLINK("http://collections.slsa.sa.gov.au/mpcimg/17250/B17067.htm")</f>
        <v>http://collections.slsa.sa.gov.au/mpcimg/17250/B17067.htm</v>
      </c>
    </row>
    <row r="8831" spans="1:11" x14ac:dyDescent="0.25">
      <c r="A8831" t="s">
        <v>28880</v>
      </c>
      <c r="B8831" s="1" t="str">
        <f>HYPERLINK("https://www.catalog.slsa.sa.gov.au/record=b2054531")</f>
        <v>https://www.catalog.slsa.sa.gov.au/record=b2054531</v>
      </c>
      <c r="C8831" s="1" t="str">
        <f>HYPERLINK("https://www.catalog.slsa.sa.gov.au/xrecord=b2054531")</f>
        <v>https://www.catalog.slsa.sa.gov.au/xrecord=b2054531</v>
      </c>
      <c r="D8831" t="s">
        <v>16831</v>
      </c>
      <c r="E8831" t="s">
        <v>28878</v>
      </c>
      <c r="F8831">
        <v>1967</v>
      </c>
      <c r="G8831" t="s">
        <v>28871</v>
      </c>
      <c r="H8831" t="s">
        <v>28881</v>
      </c>
      <c r="J8831" t="s">
        <v>28608</v>
      </c>
      <c r="K8831" s="2" t="str">
        <f>HYPERLINK("http://collections.slsa.sa.gov.au/mpcimg/17250/B17068.htm")</f>
        <v>http://collections.slsa.sa.gov.au/mpcimg/17250/B17068.htm</v>
      </c>
    </row>
    <row r="8832" spans="1:11" x14ac:dyDescent="0.25">
      <c r="A8832" t="s">
        <v>28882</v>
      </c>
      <c r="B8832" s="1" t="str">
        <f>HYPERLINK("https://www.catalog.slsa.sa.gov.au/record=b2054532")</f>
        <v>https://www.catalog.slsa.sa.gov.au/record=b2054532</v>
      </c>
      <c r="C8832" s="1" t="str">
        <f>HYPERLINK("https://www.catalog.slsa.sa.gov.au/xrecord=b2054532")</f>
        <v>https://www.catalog.slsa.sa.gov.au/xrecord=b2054532</v>
      </c>
      <c r="D8832" t="s">
        <v>16831</v>
      </c>
      <c r="E8832" t="s">
        <v>28878</v>
      </c>
      <c r="F8832">
        <v>1967</v>
      </c>
      <c r="G8832" t="s">
        <v>28871</v>
      </c>
      <c r="H8832" t="s">
        <v>28883</v>
      </c>
      <c r="J8832" t="s">
        <v>28608</v>
      </c>
      <c r="K8832" s="2" t="str">
        <f>HYPERLINK("http://collections.slsa.sa.gov.au/mpcimg/17250/B17069.htm")</f>
        <v>http://collections.slsa.sa.gov.au/mpcimg/17250/B17069.htm</v>
      </c>
    </row>
    <row r="8833" spans="1:11" x14ac:dyDescent="0.25">
      <c r="A8833" t="s">
        <v>28884</v>
      </c>
      <c r="B8833" s="1" t="str">
        <f>HYPERLINK("https://www.catalog.slsa.sa.gov.au/record=b2054533")</f>
        <v>https://www.catalog.slsa.sa.gov.au/record=b2054533</v>
      </c>
      <c r="C8833" s="1" t="str">
        <f>HYPERLINK("https://www.catalog.slsa.sa.gov.au/xrecord=b2054533")</f>
        <v>https://www.catalog.slsa.sa.gov.au/xrecord=b2054533</v>
      </c>
      <c r="D8833" t="s">
        <v>16831</v>
      </c>
      <c r="E8833" t="s">
        <v>28878</v>
      </c>
      <c r="F8833">
        <v>1967</v>
      </c>
      <c r="G8833" t="s">
        <v>28871</v>
      </c>
      <c r="H8833" t="s">
        <v>28885</v>
      </c>
      <c r="J8833" t="s">
        <v>28608</v>
      </c>
      <c r="K8833" s="2" t="str">
        <f>HYPERLINK("http://collections.slsa.sa.gov.au/mpcimg/17250/B17070.htm")</f>
        <v>http://collections.slsa.sa.gov.au/mpcimg/17250/B17070.htm</v>
      </c>
    </row>
    <row r="8834" spans="1:11" x14ac:dyDescent="0.25">
      <c r="A8834" t="s">
        <v>28886</v>
      </c>
      <c r="B8834" s="1" t="str">
        <f>HYPERLINK("https://www.catalog.slsa.sa.gov.au/record=b2054534")</f>
        <v>https://www.catalog.slsa.sa.gov.au/record=b2054534</v>
      </c>
      <c r="C8834" s="1" t="str">
        <f>HYPERLINK("https://www.catalog.slsa.sa.gov.au/xrecord=b2054534")</f>
        <v>https://www.catalog.slsa.sa.gov.au/xrecord=b2054534</v>
      </c>
      <c r="D8834" t="s">
        <v>16831</v>
      </c>
      <c r="E8834" t="s">
        <v>28878</v>
      </c>
      <c r="F8834">
        <v>1967</v>
      </c>
      <c r="G8834" t="s">
        <v>28871</v>
      </c>
      <c r="H8834" t="s">
        <v>28879</v>
      </c>
      <c r="J8834" t="s">
        <v>28608</v>
      </c>
      <c r="K8834" s="2" t="str">
        <f>HYPERLINK("http://collections.slsa.sa.gov.au/mpcimg/17250/B17071.htm")</f>
        <v>http://collections.slsa.sa.gov.au/mpcimg/17250/B17071.htm</v>
      </c>
    </row>
    <row r="8835" spans="1:11" x14ac:dyDescent="0.25">
      <c r="A8835" t="s">
        <v>28887</v>
      </c>
      <c r="B8835" s="1" t="str">
        <f>HYPERLINK("https://www.catalog.slsa.sa.gov.au/record=b2054535")</f>
        <v>https://www.catalog.slsa.sa.gov.au/record=b2054535</v>
      </c>
      <c r="C8835" s="1" t="str">
        <f>HYPERLINK("https://www.catalog.slsa.sa.gov.au/xrecord=b2054535")</f>
        <v>https://www.catalog.slsa.sa.gov.au/xrecord=b2054535</v>
      </c>
      <c r="D8835" t="s">
        <v>16831</v>
      </c>
      <c r="E8835" t="s">
        <v>28878</v>
      </c>
      <c r="F8835">
        <v>1967</v>
      </c>
      <c r="G8835" t="s">
        <v>28871</v>
      </c>
      <c r="H8835" t="s">
        <v>28879</v>
      </c>
      <c r="J8835" t="s">
        <v>28608</v>
      </c>
      <c r="K8835" s="2" t="str">
        <f>HYPERLINK("http://collections.slsa.sa.gov.au/mpcimg/17250/B17072.htm")</f>
        <v>http://collections.slsa.sa.gov.au/mpcimg/17250/B17072.htm</v>
      </c>
    </row>
    <row r="8836" spans="1:11" x14ac:dyDescent="0.25">
      <c r="A8836" t="s">
        <v>28888</v>
      </c>
      <c r="B8836" s="1" t="str">
        <f>HYPERLINK("https://www.catalog.slsa.sa.gov.au/record=b2054536")</f>
        <v>https://www.catalog.slsa.sa.gov.au/record=b2054536</v>
      </c>
      <c r="C8836" s="1" t="str">
        <f>HYPERLINK("https://www.catalog.slsa.sa.gov.au/xrecord=b2054536")</f>
        <v>https://www.catalog.slsa.sa.gov.au/xrecord=b2054536</v>
      </c>
      <c r="D8836" t="s">
        <v>16831</v>
      </c>
      <c r="E8836" t="s">
        <v>28878</v>
      </c>
      <c r="F8836">
        <v>1967</v>
      </c>
      <c r="G8836" t="s">
        <v>28871</v>
      </c>
      <c r="H8836" t="s">
        <v>28879</v>
      </c>
      <c r="J8836" t="s">
        <v>28608</v>
      </c>
      <c r="K8836" s="2" t="str">
        <f>HYPERLINK("http://collections.slsa.sa.gov.au/mpcimg/17250/B17073.htm")</f>
        <v>http://collections.slsa.sa.gov.au/mpcimg/17250/B17073.htm</v>
      </c>
    </row>
    <row r="8837" spans="1:11" x14ac:dyDescent="0.25">
      <c r="A8837" t="s">
        <v>28889</v>
      </c>
      <c r="B8837" s="1" t="str">
        <f>HYPERLINK("https://www.catalog.slsa.sa.gov.au/record=b2055646")</f>
        <v>https://www.catalog.slsa.sa.gov.au/record=b2055646</v>
      </c>
      <c r="C8837" s="1" t="str">
        <f>HYPERLINK("https://www.catalog.slsa.sa.gov.au/xrecord=b2055646")</f>
        <v>https://www.catalog.slsa.sa.gov.au/xrecord=b2055646</v>
      </c>
      <c r="D8837" t="s">
        <v>16831</v>
      </c>
      <c r="E8837" t="s">
        <v>16771</v>
      </c>
      <c r="F8837">
        <v>1967</v>
      </c>
      <c r="G8837" t="s">
        <v>28890</v>
      </c>
      <c r="H8837" t="s">
        <v>28891</v>
      </c>
      <c r="J8837" t="s">
        <v>16769</v>
      </c>
      <c r="K8837" s="2" t="str">
        <f>HYPERLINK("http://collections.slsa.sa.gov.au/mpcimg/17250/B17038.htm")</f>
        <v>http://collections.slsa.sa.gov.au/mpcimg/17250/B17038.htm</v>
      </c>
    </row>
    <row r="8838" spans="1:11" x14ac:dyDescent="0.25">
      <c r="A8838" t="s">
        <v>28892</v>
      </c>
      <c r="B8838" s="1" t="str">
        <f>HYPERLINK("https://www.catalog.slsa.sa.gov.au/record=b2055647")</f>
        <v>https://www.catalog.slsa.sa.gov.au/record=b2055647</v>
      </c>
      <c r="C8838" s="1" t="str">
        <f>HYPERLINK("https://www.catalog.slsa.sa.gov.au/xrecord=b2055647")</f>
        <v>https://www.catalog.slsa.sa.gov.au/xrecord=b2055647</v>
      </c>
      <c r="D8838" t="s">
        <v>16831</v>
      </c>
      <c r="E8838" t="s">
        <v>20904</v>
      </c>
      <c r="F8838">
        <v>1967</v>
      </c>
      <c r="G8838" t="s">
        <v>28890</v>
      </c>
      <c r="H8838" t="s">
        <v>28893</v>
      </c>
      <c r="J8838" t="s">
        <v>16769</v>
      </c>
      <c r="K8838" s="2" t="str">
        <f>HYPERLINK("http://collections.slsa.sa.gov.au/mpcimg/17250/B17039.htm")</f>
        <v>http://collections.slsa.sa.gov.au/mpcimg/17250/B17039.htm</v>
      </c>
    </row>
    <row r="8839" spans="1:11" x14ac:dyDescent="0.25">
      <c r="A8839" t="s">
        <v>28894</v>
      </c>
      <c r="B8839" s="1" t="str">
        <f>HYPERLINK("https://www.catalog.slsa.sa.gov.au/record=b2055648")</f>
        <v>https://www.catalog.slsa.sa.gov.au/record=b2055648</v>
      </c>
      <c r="C8839" s="1" t="str">
        <f>HYPERLINK("https://www.catalog.slsa.sa.gov.au/xrecord=b2055648")</f>
        <v>https://www.catalog.slsa.sa.gov.au/xrecord=b2055648</v>
      </c>
      <c r="D8839" t="s">
        <v>16831</v>
      </c>
      <c r="E8839" t="s">
        <v>28610</v>
      </c>
      <c r="F8839">
        <v>1967</v>
      </c>
      <c r="G8839" t="s">
        <v>28890</v>
      </c>
      <c r="H8839" t="s">
        <v>28895</v>
      </c>
      <c r="J8839" t="s">
        <v>16769</v>
      </c>
      <c r="K8839" s="2" t="str">
        <f>HYPERLINK("http://collections.slsa.sa.gov.au/mpcimg/17250/B17040.htm")</f>
        <v>http://collections.slsa.sa.gov.au/mpcimg/17250/B17040.htm</v>
      </c>
    </row>
    <row r="8840" spans="1:11" x14ac:dyDescent="0.25">
      <c r="A8840" t="s">
        <v>28896</v>
      </c>
      <c r="B8840" s="1" t="str">
        <f>HYPERLINK("https://www.catalog.slsa.sa.gov.au/record=b2057070")</f>
        <v>https://www.catalog.slsa.sa.gov.au/record=b2057070</v>
      </c>
      <c r="C8840" s="1" t="str">
        <f>HYPERLINK("https://www.catalog.slsa.sa.gov.au/xrecord=b2057070")</f>
        <v>https://www.catalog.slsa.sa.gov.au/xrecord=b2057070</v>
      </c>
      <c r="D8840" t="s">
        <v>16831</v>
      </c>
      <c r="E8840" t="s">
        <v>16791</v>
      </c>
      <c r="F8840">
        <v>1967</v>
      </c>
      <c r="G8840" t="s">
        <v>14771</v>
      </c>
      <c r="H8840" t="s">
        <v>28897</v>
      </c>
      <c r="J8840" t="s">
        <v>24035</v>
      </c>
      <c r="K8840" s="2" t="str">
        <f>HYPERLINK("http://collections.slsa.sa.gov.au/mpcimg/19000/B18815.htm")</f>
        <v>http://collections.slsa.sa.gov.au/mpcimg/19000/B18815.htm</v>
      </c>
    </row>
    <row r="8841" spans="1:11" x14ac:dyDescent="0.25">
      <c r="A8841" t="s">
        <v>28898</v>
      </c>
      <c r="B8841" s="1" t="str">
        <f>HYPERLINK("https://www.catalog.slsa.sa.gov.au/record=b2057280")</f>
        <v>https://www.catalog.slsa.sa.gov.au/record=b2057280</v>
      </c>
      <c r="C8841" s="1" t="str">
        <f>HYPERLINK("https://www.catalog.slsa.sa.gov.au/xrecord=b2057280")</f>
        <v>https://www.catalog.slsa.sa.gov.au/xrecord=b2057280</v>
      </c>
      <c r="D8841" t="s">
        <v>16831</v>
      </c>
      <c r="E8841" t="s">
        <v>16786</v>
      </c>
      <c r="F8841">
        <v>1967</v>
      </c>
      <c r="G8841" t="s">
        <v>14771</v>
      </c>
      <c r="H8841" t="s">
        <v>28899</v>
      </c>
      <c r="J8841" t="s">
        <v>28900</v>
      </c>
      <c r="K8841" s="2" t="str">
        <f>HYPERLINK("http://collections.slsa.sa.gov.au/mpcimg/17750/B17634.htm")</f>
        <v>http://collections.slsa.sa.gov.au/mpcimg/17750/B17634.htm</v>
      </c>
    </row>
    <row r="8842" spans="1:11" x14ac:dyDescent="0.25">
      <c r="A8842" t="s">
        <v>28901</v>
      </c>
      <c r="B8842" s="1" t="str">
        <f>HYPERLINK("https://www.catalog.slsa.sa.gov.au/record=b2058074")</f>
        <v>https://www.catalog.slsa.sa.gov.au/record=b2058074</v>
      </c>
      <c r="C8842" s="1" t="str">
        <f>HYPERLINK("https://www.catalog.slsa.sa.gov.au/xrecord=b2058074")</f>
        <v>https://www.catalog.slsa.sa.gov.au/xrecord=b2058074</v>
      </c>
      <c r="D8842" t="s">
        <v>16831</v>
      </c>
      <c r="E8842" t="s">
        <v>16771</v>
      </c>
      <c r="F8842">
        <v>1967</v>
      </c>
      <c r="G8842" t="s">
        <v>14771</v>
      </c>
      <c r="H8842" t="s">
        <v>28902</v>
      </c>
      <c r="J8842" t="s">
        <v>16803</v>
      </c>
      <c r="K8842" s="2" t="str">
        <f>HYPERLINK("http://collections.slsa.sa.gov.au/mpcimg/17750/B17605.htm")</f>
        <v>http://collections.slsa.sa.gov.au/mpcimg/17750/B17605.htm</v>
      </c>
    </row>
    <row r="8843" spans="1:11" x14ac:dyDescent="0.25">
      <c r="A8843" t="s">
        <v>28903</v>
      </c>
      <c r="B8843" s="1" t="str">
        <f>HYPERLINK("https://www.catalog.slsa.sa.gov.au/record=b2058149")</f>
        <v>https://www.catalog.slsa.sa.gov.au/record=b2058149</v>
      </c>
      <c r="C8843" s="1" t="str">
        <f>HYPERLINK("https://www.catalog.slsa.sa.gov.au/xrecord=b2058149")</f>
        <v>https://www.catalog.slsa.sa.gov.au/xrecord=b2058149</v>
      </c>
      <c r="D8843" t="s">
        <v>16831</v>
      </c>
      <c r="E8843" t="s">
        <v>16771</v>
      </c>
      <c r="F8843">
        <v>1967</v>
      </c>
      <c r="G8843" t="s">
        <v>14771</v>
      </c>
      <c r="H8843" t="s">
        <v>28904</v>
      </c>
      <c r="J8843" t="s">
        <v>16808</v>
      </c>
      <c r="K8843" s="2" t="str">
        <f>HYPERLINK("http://collections.slsa.sa.gov.au/mpcimg/17750/B17633.htm")</f>
        <v>http://collections.slsa.sa.gov.au/mpcimg/17750/B17633.htm</v>
      </c>
    </row>
    <row r="8844" spans="1:11" x14ac:dyDescent="0.25">
      <c r="A8844" t="s">
        <v>28905</v>
      </c>
      <c r="B8844" s="1" t="str">
        <f>HYPERLINK("https://www.catalog.slsa.sa.gov.au/record=b2058428")</f>
        <v>https://www.catalog.slsa.sa.gov.au/record=b2058428</v>
      </c>
      <c r="C8844" s="1" t="str">
        <f>HYPERLINK("https://www.catalog.slsa.sa.gov.au/xrecord=b2058428")</f>
        <v>https://www.catalog.slsa.sa.gov.au/xrecord=b2058428</v>
      </c>
      <c r="D8844" t="s">
        <v>16831</v>
      </c>
      <c r="E8844" t="s">
        <v>20970</v>
      </c>
      <c r="F8844">
        <v>1967</v>
      </c>
      <c r="G8844" t="s">
        <v>14771</v>
      </c>
      <c r="H8844" t="s">
        <v>28906</v>
      </c>
      <c r="J8844" t="s">
        <v>27102</v>
      </c>
      <c r="K8844" s="2" t="str">
        <f>HYPERLINK("http://collections.slsa.sa.gov.au/mpcimg/17750/B17613_1.htm")</f>
        <v>http://collections.slsa.sa.gov.au/mpcimg/17750/B17613_1.htm</v>
      </c>
    </row>
    <row r="8845" spans="1:11" x14ac:dyDescent="0.25">
      <c r="A8845" t="s">
        <v>28907</v>
      </c>
      <c r="B8845" s="1" t="str">
        <f>HYPERLINK("https://www.catalog.slsa.sa.gov.au/record=b2058429")</f>
        <v>https://www.catalog.slsa.sa.gov.au/record=b2058429</v>
      </c>
      <c r="C8845" s="1" t="str">
        <f>HYPERLINK("https://www.catalog.slsa.sa.gov.au/xrecord=b2058429")</f>
        <v>https://www.catalog.slsa.sa.gov.au/xrecord=b2058429</v>
      </c>
      <c r="D8845" t="s">
        <v>16831</v>
      </c>
      <c r="E8845" t="s">
        <v>20970</v>
      </c>
      <c r="F8845">
        <v>1967</v>
      </c>
      <c r="G8845" t="s">
        <v>14771</v>
      </c>
      <c r="H8845" t="s">
        <v>28908</v>
      </c>
      <c r="J8845" t="s">
        <v>27102</v>
      </c>
      <c r="K8845" s="2" t="str">
        <f>HYPERLINK("http://collections.slsa.sa.gov.au/mpcimg/17750/B17613_2.htm")</f>
        <v>http://collections.slsa.sa.gov.au/mpcimg/17750/B17613_2.htm</v>
      </c>
    </row>
    <row r="8846" spans="1:11" x14ac:dyDescent="0.25">
      <c r="A8846" t="s">
        <v>28909</v>
      </c>
      <c r="B8846" s="1" t="str">
        <f>HYPERLINK("https://www.catalog.slsa.sa.gov.au/record=b2058430")</f>
        <v>https://www.catalog.slsa.sa.gov.au/record=b2058430</v>
      </c>
      <c r="C8846" s="1" t="str">
        <f>HYPERLINK("https://www.catalog.slsa.sa.gov.au/xrecord=b2058430")</f>
        <v>https://www.catalog.slsa.sa.gov.au/xrecord=b2058430</v>
      </c>
      <c r="D8846" t="s">
        <v>16831</v>
      </c>
      <c r="E8846" t="s">
        <v>20970</v>
      </c>
      <c r="F8846">
        <v>1967</v>
      </c>
      <c r="G8846" t="s">
        <v>14771</v>
      </c>
      <c r="H8846" t="s">
        <v>28908</v>
      </c>
      <c r="J8846" t="s">
        <v>27102</v>
      </c>
      <c r="K8846" s="2" t="str">
        <f>HYPERLINK("http://collections.slsa.sa.gov.au/mpcimg/17750/B17613_3.htm")</f>
        <v>http://collections.slsa.sa.gov.au/mpcimg/17750/B17613_3.htm</v>
      </c>
    </row>
    <row r="8847" spans="1:11" x14ac:dyDescent="0.25">
      <c r="A8847" t="s">
        <v>28910</v>
      </c>
      <c r="B8847" s="1" t="str">
        <f>HYPERLINK("https://www.catalog.slsa.sa.gov.au/record=b2059453")</f>
        <v>https://www.catalog.slsa.sa.gov.au/record=b2059453</v>
      </c>
      <c r="C8847" s="1" t="str">
        <f>HYPERLINK("https://www.catalog.slsa.sa.gov.au/xrecord=b2059453")</f>
        <v>https://www.catalog.slsa.sa.gov.au/xrecord=b2059453</v>
      </c>
      <c r="D8847" t="s">
        <v>16831</v>
      </c>
      <c r="E8847" t="s">
        <v>20096</v>
      </c>
      <c r="F8847">
        <v>1967</v>
      </c>
      <c r="G8847" t="s">
        <v>14771</v>
      </c>
      <c r="H8847" t="s">
        <v>28911</v>
      </c>
      <c r="J8847" t="s">
        <v>24187</v>
      </c>
      <c r="K8847" s="2" t="str">
        <f>HYPERLINK("http://collections.slsa.sa.gov.au/mpcimg/17750/B17615.htm")</f>
        <v>http://collections.slsa.sa.gov.au/mpcimg/17750/B17615.htm</v>
      </c>
    </row>
    <row r="8848" spans="1:11" x14ac:dyDescent="0.25">
      <c r="A8848" t="s">
        <v>28912</v>
      </c>
      <c r="B8848" s="1" t="str">
        <f>HYPERLINK("https://www.catalog.slsa.sa.gov.au/record=b2059503")</f>
        <v>https://www.catalog.slsa.sa.gov.au/record=b2059503</v>
      </c>
      <c r="C8848" s="1" t="str">
        <f>HYPERLINK("https://www.catalog.slsa.sa.gov.au/xrecord=b2059503")</f>
        <v>https://www.catalog.slsa.sa.gov.au/xrecord=b2059503</v>
      </c>
      <c r="D8848" t="s">
        <v>16831</v>
      </c>
      <c r="E8848" t="s">
        <v>20096</v>
      </c>
      <c r="F8848">
        <v>1967</v>
      </c>
      <c r="G8848" t="s">
        <v>14771</v>
      </c>
      <c r="H8848" t="s">
        <v>28913</v>
      </c>
      <c r="J8848" t="s">
        <v>24198</v>
      </c>
      <c r="K8848" s="2" t="str">
        <f>HYPERLINK("http://collections.slsa.sa.gov.au/mpcimg/17750/B17604.htm")</f>
        <v>http://collections.slsa.sa.gov.au/mpcimg/17750/B17604.htm</v>
      </c>
    </row>
    <row r="8849" spans="1:11" x14ac:dyDescent="0.25">
      <c r="A8849" t="s">
        <v>28914</v>
      </c>
      <c r="B8849" s="1" t="str">
        <f>HYPERLINK("https://www.catalog.slsa.sa.gov.au/record=b2059511")</f>
        <v>https://www.catalog.slsa.sa.gov.au/record=b2059511</v>
      </c>
      <c r="C8849" s="1" t="str">
        <f>HYPERLINK("https://www.catalog.slsa.sa.gov.au/xrecord=b2059511")</f>
        <v>https://www.catalog.slsa.sa.gov.au/xrecord=b2059511</v>
      </c>
      <c r="D8849" t="s">
        <v>16831</v>
      </c>
      <c r="E8849" t="s">
        <v>20096</v>
      </c>
      <c r="F8849">
        <v>1967</v>
      </c>
      <c r="G8849" t="s">
        <v>28890</v>
      </c>
      <c r="H8849" t="s">
        <v>28915</v>
      </c>
      <c r="J8849" t="s">
        <v>24206</v>
      </c>
      <c r="K8849" s="2" t="str">
        <f>HYPERLINK("http://collections.slsa.sa.gov.au/mpcimg/17250/B17033.htm")</f>
        <v>http://collections.slsa.sa.gov.au/mpcimg/17250/B17033.htm</v>
      </c>
    </row>
    <row r="8850" spans="1:11" x14ac:dyDescent="0.25">
      <c r="A8850" t="s">
        <v>28916</v>
      </c>
      <c r="B8850" s="1" t="str">
        <f>HYPERLINK("https://www.catalog.slsa.sa.gov.au/record=b2059524")</f>
        <v>https://www.catalog.slsa.sa.gov.au/record=b2059524</v>
      </c>
      <c r="C8850" s="1" t="str">
        <f>HYPERLINK("https://www.catalog.slsa.sa.gov.au/xrecord=b2059524")</f>
        <v>https://www.catalog.slsa.sa.gov.au/xrecord=b2059524</v>
      </c>
      <c r="D8850" t="s">
        <v>16831</v>
      </c>
      <c r="E8850" t="s">
        <v>28917</v>
      </c>
      <c r="F8850">
        <v>1967</v>
      </c>
      <c r="G8850" t="s">
        <v>28890</v>
      </c>
      <c r="H8850" t="s">
        <v>28918</v>
      </c>
      <c r="J8850" t="s">
        <v>22847</v>
      </c>
      <c r="K8850" s="2" t="str">
        <f>HYPERLINK("http://collections.slsa.sa.gov.au/mpcimg/17250/B17032.htm")</f>
        <v>http://collections.slsa.sa.gov.au/mpcimg/17250/B17032.htm</v>
      </c>
    </row>
    <row r="8851" spans="1:11" x14ac:dyDescent="0.25">
      <c r="A8851" t="s">
        <v>28919</v>
      </c>
      <c r="B8851" s="1" t="str">
        <f>HYPERLINK("https://www.catalog.slsa.sa.gov.au/record=b2059525")</f>
        <v>https://www.catalog.slsa.sa.gov.au/record=b2059525</v>
      </c>
      <c r="C8851" s="1" t="str">
        <f>HYPERLINK("https://www.catalog.slsa.sa.gov.au/xrecord=b2059525")</f>
        <v>https://www.catalog.slsa.sa.gov.au/xrecord=b2059525</v>
      </c>
      <c r="D8851" t="s">
        <v>16831</v>
      </c>
      <c r="E8851" t="s">
        <v>28917</v>
      </c>
      <c r="F8851">
        <v>1967</v>
      </c>
      <c r="G8851" t="s">
        <v>28890</v>
      </c>
      <c r="H8851" t="s">
        <v>28918</v>
      </c>
      <c r="J8851" t="s">
        <v>22847</v>
      </c>
      <c r="K8851" s="2" t="str">
        <f>HYPERLINK("http://collections.slsa.sa.gov.au/mpcimg/17250/B17034.htm")</f>
        <v>http://collections.slsa.sa.gov.au/mpcimg/17250/B17034.htm</v>
      </c>
    </row>
    <row r="8852" spans="1:11" x14ac:dyDescent="0.25">
      <c r="A8852" t="s">
        <v>28920</v>
      </c>
      <c r="B8852" s="1" t="str">
        <f>HYPERLINK("https://www.catalog.slsa.sa.gov.au/record=b2059591")</f>
        <v>https://www.catalog.slsa.sa.gov.au/record=b2059591</v>
      </c>
      <c r="C8852" s="1" t="str">
        <f>HYPERLINK("https://www.catalog.slsa.sa.gov.au/xrecord=b2059591")</f>
        <v>https://www.catalog.slsa.sa.gov.au/xrecord=b2059591</v>
      </c>
      <c r="D8852" t="s">
        <v>16831</v>
      </c>
      <c r="E8852" t="s">
        <v>22149</v>
      </c>
      <c r="F8852">
        <v>1967</v>
      </c>
      <c r="G8852" t="s">
        <v>14771</v>
      </c>
      <c r="H8852" t="s">
        <v>28921</v>
      </c>
      <c r="J8852" t="s">
        <v>25390</v>
      </c>
      <c r="K8852" s="2" t="str">
        <f>HYPERLINK("http://collections.slsa.sa.gov.au/mpcimg/17750/B17670.htm")</f>
        <v>http://collections.slsa.sa.gov.au/mpcimg/17750/B17670.htm</v>
      </c>
    </row>
    <row r="8853" spans="1:11" x14ac:dyDescent="0.25">
      <c r="A8853" t="s">
        <v>28922</v>
      </c>
      <c r="B8853" s="1" t="str">
        <f>HYPERLINK("https://www.catalog.slsa.sa.gov.au/record=b2059892")</f>
        <v>https://www.catalog.slsa.sa.gov.au/record=b2059892</v>
      </c>
      <c r="C8853" s="1" t="str">
        <f>HYPERLINK("https://www.catalog.slsa.sa.gov.au/xrecord=b2059892")</f>
        <v>https://www.catalog.slsa.sa.gov.au/xrecord=b2059892</v>
      </c>
      <c r="D8853" t="s">
        <v>16831</v>
      </c>
      <c r="E8853" t="s">
        <v>15191</v>
      </c>
      <c r="F8853">
        <v>1967</v>
      </c>
      <c r="G8853" t="s">
        <v>16674</v>
      </c>
      <c r="H8853" t="s">
        <v>28923</v>
      </c>
      <c r="J8853" t="s">
        <v>21044</v>
      </c>
      <c r="K8853" s="2" t="str">
        <f>HYPERLINK("http://collections.slsa.sa.gov.au/mpcimg/19000/B18877.htm")</f>
        <v>http://collections.slsa.sa.gov.au/mpcimg/19000/B18877.htm</v>
      </c>
    </row>
    <row r="8854" spans="1:11" x14ac:dyDescent="0.25">
      <c r="A8854" t="s">
        <v>28924</v>
      </c>
      <c r="B8854" s="1" t="str">
        <f>HYPERLINK("https://www.catalog.slsa.sa.gov.au/record=b2060159")</f>
        <v>https://www.catalog.slsa.sa.gov.au/record=b2060159</v>
      </c>
      <c r="C8854" s="1" t="str">
        <f>HYPERLINK("https://www.catalog.slsa.sa.gov.au/xrecord=b2060159")</f>
        <v>https://www.catalog.slsa.sa.gov.au/xrecord=b2060159</v>
      </c>
      <c r="D8854" t="s">
        <v>16831</v>
      </c>
      <c r="E8854" t="s">
        <v>21061</v>
      </c>
      <c r="F8854">
        <v>1967</v>
      </c>
      <c r="G8854" t="s">
        <v>14771</v>
      </c>
      <c r="H8854" t="s">
        <v>28925</v>
      </c>
      <c r="J8854" t="s">
        <v>26330</v>
      </c>
      <c r="K8854" s="2" t="str">
        <f>HYPERLINK("http://collections.slsa.sa.gov.au/mpcimg/17750/B17612.htm")</f>
        <v>http://collections.slsa.sa.gov.au/mpcimg/17750/B17612.htm</v>
      </c>
    </row>
    <row r="8855" spans="1:11" x14ac:dyDescent="0.25">
      <c r="A8855" t="s">
        <v>28926</v>
      </c>
      <c r="B8855" s="1" t="str">
        <f>HYPERLINK("https://www.catalog.slsa.sa.gov.au/record=b2060435")</f>
        <v>https://www.catalog.slsa.sa.gov.au/record=b2060435</v>
      </c>
      <c r="C8855" s="1" t="str">
        <f>HYPERLINK("https://www.catalog.slsa.sa.gov.au/xrecord=b2060435")</f>
        <v>https://www.catalog.slsa.sa.gov.au/xrecord=b2060435</v>
      </c>
      <c r="D8855" t="s">
        <v>16831</v>
      </c>
      <c r="E8855" t="s">
        <v>28927</v>
      </c>
      <c r="F8855">
        <v>1967</v>
      </c>
      <c r="G8855" t="s">
        <v>14771</v>
      </c>
      <c r="H8855" t="s">
        <v>28928</v>
      </c>
      <c r="J8855" t="s">
        <v>21078</v>
      </c>
      <c r="K8855" s="2" t="str">
        <f>HYPERLINK("http://collections.slsa.sa.gov.au/mpcimg/17750/B17614.htm")</f>
        <v>http://collections.slsa.sa.gov.au/mpcimg/17750/B17614.htm</v>
      </c>
    </row>
    <row r="8856" spans="1:11" x14ac:dyDescent="0.25">
      <c r="A8856" t="s">
        <v>28929</v>
      </c>
      <c r="B8856" s="1" t="str">
        <f>HYPERLINK("https://www.catalog.slsa.sa.gov.au/record=b2060946")</f>
        <v>https://www.catalog.slsa.sa.gov.au/record=b2060946</v>
      </c>
      <c r="C8856" s="1" t="str">
        <f>HYPERLINK("https://www.catalog.slsa.sa.gov.au/xrecord=b2060946")</f>
        <v>https://www.catalog.slsa.sa.gov.au/xrecord=b2060946</v>
      </c>
      <c r="D8856" t="s">
        <v>16831</v>
      </c>
      <c r="E8856" t="s">
        <v>28930</v>
      </c>
      <c r="F8856">
        <v>1967</v>
      </c>
      <c r="G8856" t="s">
        <v>14771</v>
      </c>
      <c r="H8856" t="s">
        <v>28931</v>
      </c>
      <c r="J8856" t="s">
        <v>2573</v>
      </c>
      <c r="K8856" s="2" t="str">
        <f>HYPERLINK("http://collections.slsa.sa.gov.au/mpcimg/17750/B17607.htm")</f>
        <v>http://collections.slsa.sa.gov.au/mpcimg/17750/B17607.htm</v>
      </c>
    </row>
    <row r="8857" spans="1:11" x14ac:dyDescent="0.25">
      <c r="A8857" t="s">
        <v>28932</v>
      </c>
      <c r="B8857" s="1" t="str">
        <f>HYPERLINK("https://www.catalog.slsa.sa.gov.au/record=b2060947")</f>
        <v>https://www.catalog.slsa.sa.gov.au/record=b2060947</v>
      </c>
      <c r="C8857" s="1" t="str">
        <f>HYPERLINK("https://www.catalog.slsa.sa.gov.au/xrecord=b2060947")</f>
        <v>https://www.catalog.slsa.sa.gov.au/xrecord=b2060947</v>
      </c>
      <c r="D8857" t="s">
        <v>16831</v>
      </c>
      <c r="E8857" t="s">
        <v>21118</v>
      </c>
      <c r="F8857">
        <v>1967</v>
      </c>
      <c r="G8857" t="s">
        <v>14771</v>
      </c>
      <c r="H8857" t="s">
        <v>28933</v>
      </c>
      <c r="J8857" t="s">
        <v>2573</v>
      </c>
      <c r="K8857" s="2" t="str">
        <f>HYPERLINK("http://collections.slsa.sa.gov.au/mpcimg/17750/B17608_1.htm")</f>
        <v>http://collections.slsa.sa.gov.au/mpcimg/17750/B17608_1.htm</v>
      </c>
    </row>
    <row r="8858" spans="1:11" x14ac:dyDescent="0.25">
      <c r="A8858" t="s">
        <v>28934</v>
      </c>
      <c r="B8858" s="1" t="str">
        <f>HYPERLINK("https://www.catalog.slsa.sa.gov.au/record=b2060948")</f>
        <v>https://www.catalog.slsa.sa.gov.au/record=b2060948</v>
      </c>
      <c r="C8858" s="1" t="str">
        <f>HYPERLINK("https://www.catalog.slsa.sa.gov.au/xrecord=b2060948")</f>
        <v>https://www.catalog.slsa.sa.gov.au/xrecord=b2060948</v>
      </c>
      <c r="D8858" t="s">
        <v>16831</v>
      </c>
      <c r="E8858" t="s">
        <v>21118</v>
      </c>
      <c r="F8858">
        <v>1967</v>
      </c>
      <c r="G8858" t="s">
        <v>14771</v>
      </c>
      <c r="H8858" t="s">
        <v>28933</v>
      </c>
      <c r="J8858" t="s">
        <v>2573</v>
      </c>
      <c r="K8858" s="2" t="str">
        <f>HYPERLINK("http://collections.slsa.sa.gov.au/mpcimg/17750/B17608_2.htm")</f>
        <v>http://collections.slsa.sa.gov.au/mpcimg/17750/B17608_2.htm</v>
      </c>
    </row>
    <row r="8859" spans="1:11" x14ac:dyDescent="0.25">
      <c r="A8859" t="s">
        <v>28935</v>
      </c>
      <c r="B8859" s="1" t="str">
        <f>HYPERLINK("https://www.catalog.slsa.sa.gov.au/record=b2060949")</f>
        <v>https://www.catalog.slsa.sa.gov.au/record=b2060949</v>
      </c>
      <c r="C8859" s="1" t="str">
        <f>HYPERLINK("https://www.catalog.slsa.sa.gov.au/xrecord=b2060949")</f>
        <v>https://www.catalog.slsa.sa.gov.au/xrecord=b2060949</v>
      </c>
      <c r="D8859" t="s">
        <v>16831</v>
      </c>
      <c r="E8859" t="s">
        <v>21118</v>
      </c>
      <c r="F8859">
        <v>1967</v>
      </c>
      <c r="G8859" t="s">
        <v>14771</v>
      </c>
      <c r="H8859" t="s">
        <v>28933</v>
      </c>
      <c r="J8859" t="s">
        <v>2573</v>
      </c>
      <c r="K8859" s="2" t="str">
        <f>HYPERLINK("http://collections.slsa.sa.gov.au/mpcimg/17750/B17608_3.htm")</f>
        <v>http://collections.slsa.sa.gov.au/mpcimg/17750/B17608_3.htm</v>
      </c>
    </row>
    <row r="8860" spans="1:11" x14ac:dyDescent="0.25">
      <c r="A8860" t="s">
        <v>28936</v>
      </c>
      <c r="B8860" s="1" t="str">
        <f>HYPERLINK("https://www.catalog.slsa.sa.gov.au/record=b2060950")</f>
        <v>https://www.catalog.slsa.sa.gov.au/record=b2060950</v>
      </c>
      <c r="C8860" s="1" t="str">
        <f>HYPERLINK("https://www.catalog.slsa.sa.gov.au/xrecord=b2060950")</f>
        <v>https://www.catalog.slsa.sa.gov.au/xrecord=b2060950</v>
      </c>
      <c r="D8860" t="s">
        <v>16831</v>
      </c>
      <c r="E8860" t="s">
        <v>5365</v>
      </c>
      <c r="F8860">
        <v>1967</v>
      </c>
      <c r="G8860" t="s">
        <v>14771</v>
      </c>
      <c r="H8860" t="s">
        <v>28937</v>
      </c>
      <c r="J8860" t="s">
        <v>2573</v>
      </c>
      <c r="K8860" s="2" t="str">
        <f>HYPERLINK("http://collections.slsa.sa.gov.au/mpcimg/17750/B17609_1.htm")</f>
        <v>http://collections.slsa.sa.gov.au/mpcimg/17750/B17609_1.htm</v>
      </c>
    </row>
    <row r="8861" spans="1:11" x14ac:dyDescent="0.25">
      <c r="A8861" t="s">
        <v>28938</v>
      </c>
      <c r="B8861" s="1" t="str">
        <f>HYPERLINK("https://www.catalog.slsa.sa.gov.au/record=b2060951")</f>
        <v>https://www.catalog.slsa.sa.gov.au/record=b2060951</v>
      </c>
      <c r="C8861" s="1" t="str">
        <f>HYPERLINK("https://www.catalog.slsa.sa.gov.au/xrecord=b2060951")</f>
        <v>https://www.catalog.slsa.sa.gov.au/xrecord=b2060951</v>
      </c>
      <c r="D8861" t="s">
        <v>16831</v>
      </c>
      <c r="E8861" t="s">
        <v>5365</v>
      </c>
      <c r="F8861">
        <v>1967</v>
      </c>
      <c r="G8861" t="s">
        <v>14771</v>
      </c>
      <c r="H8861" t="s">
        <v>28937</v>
      </c>
      <c r="J8861" t="s">
        <v>2573</v>
      </c>
      <c r="K8861" s="2" t="str">
        <f>HYPERLINK("http://collections.slsa.sa.gov.au/mpcimg/17750/B17609_2.htm")</f>
        <v>http://collections.slsa.sa.gov.au/mpcimg/17750/B17609_2.htm</v>
      </c>
    </row>
    <row r="8862" spans="1:11" x14ac:dyDescent="0.25">
      <c r="A8862" t="s">
        <v>28939</v>
      </c>
      <c r="B8862" s="1" t="str">
        <f>HYPERLINK("https://www.catalog.slsa.sa.gov.au/record=b2060952")</f>
        <v>https://www.catalog.slsa.sa.gov.au/record=b2060952</v>
      </c>
      <c r="C8862" s="1" t="str">
        <f>HYPERLINK("https://www.catalog.slsa.sa.gov.au/xrecord=b2060952")</f>
        <v>https://www.catalog.slsa.sa.gov.au/xrecord=b2060952</v>
      </c>
      <c r="D8862" t="s">
        <v>16831</v>
      </c>
      <c r="E8862" t="s">
        <v>5365</v>
      </c>
      <c r="F8862">
        <v>1967</v>
      </c>
      <c r="G8862" t="s">
        <v>14771</v>
      </c>
      <c r="H8862" t="s">
        <v>28940</v>
      </c>
      <c r="J8862" t="s">
        <v>2573</v>
      </c>
      <c r="K8862" s="2" t="str">
        <f>HYPERLINK("http://collections.slsa.sa.gov.au/mpcimg/17750/B17609_3.htm")</f>
        <v>http://collections.slsa.sa.gov.au/mpcimg/17750/B17609_3.htm</v>
      </c>
    </row>
    <row r="8863" spans="1:11" x14ac:dyDescent="0.25">
      <c r="A8863" t="s">
        <v>28941</v>
      </c>
      <c r="B8863" s="1" t="str">
        <f>HYPERLINK("https://www.catalog.slsa.sa.gov.au/record=b2061375")</f>
        <v>https://www.catalog.slsa.sa.gov.au/record=b2061375</v>
      </c>
      <c r="C8863" s="1" t="str">
        <f>HYPERLINK("https://www.catalog.slsa.sa.gov.au/xrecord=b2061375")</f>
        <v>https://www.catalog.slsa.sa.gov.au/xrecord=b2061375</v>
      </c>
      <c r="D8863" t="s">
        <v>16831</v>
      </c>
      <c r="E8863" t="s">
        <v>21099</v>
      </c>
      <c r="F8863">
        <v>1967</v>
      </c>
      <c r="G8863" t="s">
        <v>28890</v>
      </c>
      <c r="H8863" t="s">
        <v>28942</v>
      </c>
      <c r="J8863" t="s">
        <v>24397</v>
      </c>
      <c r="K8863" s="2" t="str">
        <f>HYPERLINK("http://collections.slsa.sa.gov.au/mpcimg/17250/B17048.htm")</f>
        <v>http://collections.slsa.sa.gov.au/mpcimg/17250/B17048.htm</v>
      </c>
    </row>
    <row r="8864" spans="1:11" x14ac:dyDescent="0.25">
      <c r="A8864" t="s">
        <v>28943</v>
      </c>
      <c r="B8864" s="1" t="str">
        <f>HYPERLINK("https://www.catalog.slsa.sa.gov.au/record=b2061376")</f>
        <v>https://www.catalog.slsa.sa.gov.au/record=b2061376</v>
      </c>
      <c r="C8864" s="1" t="str">
        <f>HYPERLINK("https://www.catalog.slsa.sa.gov.au/xrecord=b2061376")</f>
        <v>https://www.catalog.slsa.sa.gov.au/xrecord=b2061376</v>
      </c>
      <c r="D8864" t="s">
        <v>16831</v>
      </c>
      <c r="E8864" t="s">
        <v>16827</v>
      </c>
      <c r="F8864">
        <v>1967</v>
      </c>
      <c r="G8864" t="s">
        <v>28890</v>
      </c>
      <c r="H8864" t="s">
        <v>28944</v>
      </c>
      <c r="J8864" t="s">
        <v>24397</v>
      </c>
      <c r="K8864" s="2" t="str">
        <f>HYPERLINK("http://collections.slsa.sa.gov.au/mpcimg/17250/B17049.htm")</f>
        <v>http://collections.slsa.sa.gov.au/mpcimg/17250/B17049.htm</v>
      </c>
    </row>
    <row r="8865" spans="1:11" x14ac:dyDescent="0.25">
      <c r="A8865" t="s">
        <v>28945</v>
      </c>
      <c r="B8865" s="1" t="str">
        <f>HYPERLINK("https://www.catalog.slsa.sa.gov.au/record=b2061398")</f>
        <v>https://www.catalog.slsa.sa.gov.au/record=b2061398</v>
      </c>
      <c r="C8865" s="1" t="str">
        <f>HYPERLINK("https://www.catalog.slsa.sa.gov.au/xrecord=b2061398")</f>
        <v>https://www.catalog.slsa.sa.gov.au/xrecord=b2061398</v>
      </c>
      <c r="D8865" t="s">
        <v>16831</v>
      </c>
      <c r="E8865" t="s">
        <v>21099</v>
      </c>
      <c r="F8865">
        <v>1967</v>
      </c>
      <c r="G8865" t="s">
        <v>14771</v>
      </c>
      <c r="H8865" t="s">
        <v>28946</v>
      </c>
      <c r="J8865" t="s">
        <v>21163</v>
      </c>
      <c r="K8865" s="2" t="str">
        <f>HYPERLINK("http://collections.slsa.sa.gov.au/mpcimg/17750/B17671.htm")</f>
        <v>http://collections.slsa.sa.gov.au/mpcimg/17750/B17671.htm</v>
      </c>
    </row>
    <row r="8866" spans="1:11" x14ac:dyDescent="0.25">
      <c r="A8866" t="s">
        <v>28947</v>
      </c>
      <c r="B8866" s="1" t="str">
        <f>HYPERLINK("https://www.catalog.slsa.sa.gov.au/record=b2061545")</f>
        <v>https://www.catalog.slsa.sa.gov.au/record=b2061545</v>
      </c>
      <c r="C8866" s="1" t="str">
        <f>HYPERLINK("https://www.catalog.slsa.sa.gov.au/xrecord=b2061545")</f>
        <v>https://www.catalog.slsa.sa.gov.au/xrecord=b2061545</v>
      </c>
      <c r="D8866" t="s">
        <v>16831</v>
      </c>
      <c r="E8866" t="s">
        <v>21178</v>
      </c>
      <c r="F8866">
        <v>1967</v>
      </c>
      <c r="G8866" t="s">
        <v>14771</v>
      </c>
      <c r="H8866" t="s">
        <v>28948</v>
      </c>
      <c r="J8866" t="s">
        <v>26012</v>
      </c>
      <c r="K8866" s="2" t="str">
        <f>HYPERLINK("http://collections.slsa.sa.gov.au/mpcimg/17000/B16830.htm")</f>
        <v>http://collections.slsa.sa.gov.au/mpcimg/17000/B16830.htm</v>
      </c>
    </row>
    <row r="8867" spans="1:11" x14ac:dyDescent="0.25">
      <c r="A8867" t="s">
        <v>28949</v>
      </c>
      <c r="B8867" s="1" t="str">
        <f>HYPERLINK("https://www.catalog.slsa.sa.gov.au/record=b2061614")</f>
        <v>https://www.catalog.slsa.sa.gov.au/record=b2061614</v>
      </c>
      <c r="C8867" s="1" t="str">
        <f>HYPERLINK("https://www.catalog.slsa.sa.gov.au/xrecord=b2061614")</f>
        <v>https://www.catalog.slsa.sa.gov.au/xrecord=b2061614</v>
      </c>
      <c r="D8867" t="s">
        <v>16831</v>
      </c>
      <c r="E8867" t="s">
        <v>24451</v>
      </c>
      <c r="F8867">
        <v>1967</v>
      </c>
      <c r="G8867" t="s">
        <v>14771</v>
      </c>
      <c r="H8867" t="s">
        <v>28950</v>
      </c>
      <c r="J8867" t="s">
        <v>21200</v>
      </c>
      <c r="K8867" s="2" t="str">
        <f>HYPERLINK("http://collections.slsa.sa.gov.au/mpcimg/17750/B17673_1.htm")</f>
        <v>http://collections.slsa.sa.gov.au/mpcimg/17750/B17673_1.htm</v>
      </c>
    </row>
    <row r="8868" spans="1:11" x14ac:dyDescent="0.25">
      <c r="A8868" t="s">
        <v>28951</v>
      </c>
      <c r="B8868" s="1" t="str">
        <f>HYPERLINK("https://www.catalog.slsa.sa.gov.au/record=b2061615")</f>
        <v>https://www.catalog.slsa.sa.gov.au/record=b2061615</v>
      </c>
      <c r="C8868" s="1" t="str">
        <f>HYPERLINK("https://www.catalog.slsa.sa.gov.au/xrecord=b2061615")</f>
        <v>https://www.catalog.slsa.sa.gov.au/xrecord=b2061615</v>
      </c>
      <c r="D8868" t="s">
        <v>16831</v>
      </c>
      <c r="E8868" t="s">
        <v>24451</v>
      </c>
      <c r="F8868">
        <v>1967</v>
      </c>
      <c r="G8868" t="s">
        <v>14771</v>
      </c>
      <c r="H8868" t="s">
        <v>28952</v>
      </c>
      <c r="J8868" t="s">
        <v>21200</v>
      </c>
      <c r="K8868" s="2" t="str">
        <f>HYPERLINK("http://collections.slsa.sa.gov.au/mpcimg/17750/B17673_2.htm")</f>
        <v>http://collections.slsa.sa.gov.au/mpcimg/17750/B17673_2.htm</v>
      </c>
    </row>
    <row r="8869" spans="1:11" x14ac:dyDescent="0.25">
      <c r="A8869" t="s">
        <v>28953</v>
      </c>
      <c r="B8869" s="1" t="str">
        <f>HYPERLINK("https://www.catalog.slsa.sa.gov.au/record=b2061616")</f>
        <v>https://www.catalog.slsa.sa.gov.au/record=b2061616</v>
      </c>
      <c r="C8869" s="1" t="str">
        <f>HYPERLINK("https://www.catalog.slsa.sa.gov.au/xrecord=b2061616")</f>
        <v>https://www.catalog.slsa.sa.gov.au/xrecord=b2061616</v>
      </c>
      <c r="D8869" t="s">
        <v>16831</v>
      </c>
      <c r="E8869" t="s">
        <v>24451</v>
      </c>
      <c r="F8869">
        <v>1967</v>
      </c>
      <c r="G8869" t="s">
        <v>14771</v>
      </c>
      <c r="H8869" t="s">
        <v>28952</v>
      </c>
      <c r="J8869" t="s">
        <v>21200</v>
      </c>
      <c r="K8869" s="2" t="str">
        <f>HYPERLINK("http://collections.slsa.sa.gov.au/mpcimg/17750/B17673_3.htm")</f>
        <v>http://collections.slsa.sa.gov.au/mpcimg/17750/B17673_3.htm</v>
      </c>
    </row>
    <row r="8870" spans="1:11" x14ac:dyDescent="0.25">
      <c r="A8870" t="s">
        <v>28954</v>
      </c>
      <c r="B8870" s="1" t="str">
        <f>HYPERLINK("https://www.catalog.slsa.sa.gov.au/record=b2061715")</f>
        <v>https://www.catalog.slsa.sa.gov.au/record=b2061715</v>
      </c>
      <c r="C8870" s="1" t="str">
        <f>HYPERLINK("https://www.catalog.slsa.sa.gov.au/xrecord=b2061715")</f>
        <v>https://www.catalog.slsa.sa.gov.au/xrecord=b2061715</v>
      </c>
      <c r="D8870" t="s">
        <v>16831</v>
      </c>
      <c r="E8870" t="s">
        <v>24451</v>
      </c>
      <c r="F8870">
        <v>1967</v>
      </c>
      <c r="G8870" t="s">
        <v>14771</v>
      </c>
      <c r="H8870" t="s">
        <v>28955</v>
      </c>
      <c r="J8870" t="s">
        <v>27405</v>
      </c>
      <c r="K8870" s="2" t="str">
        <f>HYPERLINK("http://collections.slsa.sa.gov.au/mpcimg/17750/B17626.htm")</f>
        <v>http://collections.slsa.sa.gov.au/mpcimg/17750/B17626.htm</v>
      </c>
    </row>
    <row r="8871" spans="1:11" x14ac:dyDescent="0.25">
      <c r="A8871" t="s">
        <v>28956</v>
      </c>
      <c r="B8871" s="1" t="str">
        <f>HYPERLINK("https://www.catalog.slsa.sa.gov.au/record=b2061785")</f>
        <v>https://www.catalog.slsa.sa.gov.au/record=b2061785</v>
      </c>
      <c r="C8871" s="1" t="str">
        <f>HYPERLINK("https://www.catalog.slsa.sa.gov.au/xrecord=b2061785")</f>
        <v>https://www.catalog.slsa.sa.gov.au/xrecord=b2061785</v>
      </c>
      <c r="D8871" t="s">
        <v>16831</v>
      </c>
      <c r="E8871" t="s">
        <v>24451</v>
      </c>
      <c r="F8871">
        <v>1967</v>
      </c>
      <c r="G8871" t="s">
        <v>14771</v>
      </c>
      <c r="H8871" t="s">
        <v>28957</v>
      </c>
      <c r="J8871" t="s">
        <v>25501</v>
      </c>
      <c r="K8871" s="2" t="str">
        <f>HYPERLINK("http://collections.slsa.sa.gov.au/mpcimg/17750/B17668.htm")</f>
        <v>http://collections.slsa.sa.gov.au/mpcimg/17750/B17668.htm</v>
      </c>
    </row>
    <row r="8872" spans="1:11" x14ac:dyDescent="0.25">
      <c r="A8872" t="s">
        <v>28958</v>
      </c>
      <c r="B8872" s="1" t="str">
        <f>HYPERLINK("https://www.catalog.slsa.sa.gov.au/record=b2062015")</f>
        <v>https://www.catalog.slsa.sa.gov.au/record=b2062015</v>
      </c>
      <c r="C8872" s="1" t="str">
        <f>HYPERLINK("https://www.catalog.slsa.sa.gov.au/xrecord=b2062015")</f>
        <v>https://www.catalog.slsa.sa.gov.au/xrecord=b2062015</v>
      </c>
      <c r="D8872" t="s">
        <v>16831</v>
      </c>
      <c r="E8872" t="s">
        <v>24509</v>
      </c>
      <c r="F8872">
        <v>1967</v>
      </c>
      <c r="G8872" t="s">
        <v>28959</v>
      </c>
      <c r="H8872" t="s">
        <v>28960</v>
      </c>
      <c r="I8872" t="s">
        <v>24177</v>
      </c>
      <c r="J8872" t="s">
        <v>26401</v>
      </c>
      <c r="K8872" s="2" t="str">
        <f>HYPERLINK("http://collections.slsa.sa.gov.au/mpcimg/17250/B17047.htm")</f>
        <v>http://collections.slsa.sa.gov.au/mpcimg/17250/B17047.htm</v>
      </c>
    </row>
    <row r="8873" spans="1:11" x14ac:dyDescent="0.25">
      <c r="A8873" t="s">
        <v>28961</v>
      </c>
      <c r="B8873" s="1" t="str">
        <f>HYPERLINK("https://www.catalog.slsa.sa.gov.au/record=b2062102")</f>
        <v>https://www.catalog.slsa.sa.gov.au/record=b2062102</v>
      </c>
      <c r="C8873" s="1" t="str">
        <f>HYPERLINK("https://www.catalog.slsa.sa.gov.au/xrecord=b2062102")</f>
        <v>https://www.catalog.slsa.sa.gov.au/xrecord=b2062102</v>
      </c>
      <c r="D8873" t="s">
        <v>16831</v>
      </c>
      <c r="E8873" t="s">
        <v>21212</v>
      </c>
      <c r="F8873">
        <v>1967</v>
      </c>
      <c r="G8873" t="s">
        <v>14771</v>
      </c>
      <c r="H8873" t="s">
        <v>28962</v>
      </c>
      <c r="J8873" t="s">
        <v>26818</v>
      </c>
      <c r="K8873" s="2" t="str">
        <f>HYPERLINK("http://collections.slsa.sa.gov.au/mpcimg/19000/B18817.htm")</f>
        <v>http://collections.slsa.sa.gov.au/mpcimg/19000/B18817.htm</v>
      </c>
    </row>
    <row r="8874" spans="1:11" x14ac:dyDescent="0.25">
      <c r="A8874" t="s">
        <v>28963</v>
      </c>
      <c r="B8874" s="1" t="str">
        <f>HYPERLINK("https://www.catalog.slsa.sa.gov.au/record=b2062188")</f>
        <v>https://www.catalog.slsa.sa.gov.au/record=b2062188</v>
      </c>
      <c r="C8874" s="1" t="str">
        <f>HYPERLINK("https://www.catalog.slsa.sa.gov.au/xrecord=b2062188")</f>
        <v>https://www.catalog.slsa.sa.gov.au/xrecord=b2062188</v>
      </c>
      <c r="D8874" t="s">
        <v>16831</v>
      </c>
      <c r="E8874" t="s">
        <v>10268</v>
      </c>
      <c r="F8874">
        <v>1967</v>
      </c>
      <c r="G8874" t="s">
        <v>14771</v>
      </c>
      <c r="H8874" t="s">
        <v>28964</v>
      </c>
      <c r="J8874" t="s">
        <v>24539</v>
      </c>
      <c r="K8874" s="2" t="str">
        <f>HYPERLINK("http://collections.slsa.sa.gov.au/mpcimg/19000/B18813.htm")</f>
        <v>http://collections.slsa.sa.gov.au/mpcimg/19000/B18813.htm</v>
      </c>
    </row>
    <row r="8875" spans="1:11" x14ac:dyDescent="0.25">
      <c r="A8875" t="s">
        <v>28965</v>
      </c>
      <c r="B8875" s="1" t="str">
        <f>HYPERLINK("https://www.catalog.slsa.sa.gov.au/record=b2062243")</f>
        <v>https://www.catalog.slsa.sa.gov.au/record=b2062243</v>
      </c>
      <c r="C8875" s="1" t="str">
        <f>HYPERLINK("https://www.catalog.slsa.sa.gov.au/xrecord=b2062243")</f>
        <v>https://www.catalog.slsa.sa.gov.au/xrecord=b2062243</v>
      </c>
      <c r="D8875" t="s">
        <v>16831</v>
      </c>
      <c r="E8875" t="s">
        <v>10268</v>
      </c>
      <c r="F8875">
        <v>1967</v>
      </c>
      <c r="G8875" t="s">
        <v>14771</v>
      </c>
      <c r="H8875" t="s">
        <v>28966</v>
      </c>
      <c r="J8875" t="s">
        <v>22932</v>
      </c>
      <c r="K8875" s="2" t="str">
        <f>HYPERLINK("http://collections.slsa.sa.gov.au/mpcimg/17750/B17669.htm")</f>
        <v>http://collections.slsa.sa.gov.au/mpcimg/17750/B17669.htm</v>
      </c>
    </row>
    <row r="8876" spans="1:11" x14ac:dyDescent="0.25">
      <c r="A8876" t="s">
        <v>28967</v>
      </c>
      <c r="B8876" s="1" t="str">
        <f>HYPERLINK("https://www.catalog.slsa.sa.gov.au/record=b2062429")</f>
        <v>https://www.catalog.slsa.sa.gov.au/record=b2062429</v>
      </c>
      <c r="C8876" s="1" t="str">
        <f>HYPERLINK("https://www.catalog.slsa.sa.gov.au/xrecord=b2062429")</f>
        <v>https://www.catalog.slsa.sa.gov.au/xrecord=b2062429</v>
      </c>
      <c r="D8876" t="s">
        <v>16831</v>
      </c>
      <c r="E8876" t="s">
        <v>21212</v>
      </c>
      <c r="F8876">
        <v>1967</v>
      </c>
      <c r="G8876" t="s">
        <v>14771</v>
      </c>
      <c r="H8876" t="s">
        <v>28968</v>
      </c>
      <c r="J8876" t="s">
        <v>28969</v>
      </c>
      <c r="K8876" s="2" t="str">
        <f>HYPERLINK("http://collections.slsa.sa.gov.au/mpcimg/17750/B17630_1.htm")</f>
        <v>http://collections.slsa.sa.gov.au/mpcimg/17750/B17630_1.htm</v>
      </c>
    </row>
    <row r="8877" spans="1:11" x14ac:dyDescent="0.25">
      <c r="A8877" t="s">
        <v>28970</v>
      </c>
      <c r="B8877" s="1" t="str">
        <f>HYPERLINK("https://www.catalog.slsa.sa.gov.au/record=b2062430")</f>
        <v>https://www.catalog.slsa.sa.gov.au/record=b2062430</v>
      </c>
      <c r="C8877" s="1" t="str">
        <f>HYPERLINK("https://www.catalog.slsa.sa.gov.au/xrecord=b2062430")</f>
        <v>https://www.catalog.slsa.sa.gov.au/xrecord=b2062430</v>
      </c>
      <c r="D8877" t="s">
        <v>16831</v>
      </c>
      <c r="E8877" t="s">
        <v>21212</v>
      </c>
      <c r="F8877">
        <v>1967</v>
      </c>
      <c r="G8877" t="s">
        <v>14771</v>
      </c>
      <c r="H8877" t="s">
        <v>28971</v>
      </c>
      <c r="J8877" t="s">
        <v>28969</v>
      </c>
      <c r="K8877" s="2" t="str">
        <f>HYPERLINK("http://collections.slsa.sa.gov.au/mpcimg/17750/B17630_2.htm")</f>
        <v>http://collections.slsa.sa.gov.au/mpcimg/17750/B17630_2.htm</v>
      </c>
    </row>
    <row r="8878" spans="1:11" x14ac:dyDescent="0.25">
      <c r="A8878" t="s">
        <v>28972</v>
      </c>
      <c r="B8878" s="1" t="str">
        <f>HYPERLINK("https://www.catalog.slsa.sa.gov.au/record=b2062555")</f>
        <v>https://www.catalog.slsa.sa.gov.au/record=b2062555</v>
      </c>
      <c r="C8878" s="1" t="str">
        <f>HYPERLINK("https://www.catalog.slsa.sa.gov.au/xrecord=b2062555")</f>
        <v>https://www.catalog.slsa.sa.gov.au/xrecord=b2062555</v>
      </c>
      <c r="D8878" t="s">
        <v>16831</v>
      </c>
      <c r="E8878" t="s">
        <v>21236</v>
      </c>
      <c r="F8878">
        <v>1967</v>
      </c>
      <c r="G8878" t="s">
        <v>14771</v>
      </c>
      <c r="H8878" t="s">
        <v>28973</v>
      </c>
      <c r="J8878" t="s">
        <v>21241</v>
      </c>
      <c r="K8878" s="2" t="str">
        <f>HYPERLINK("http://collections.slsa.sa.gov.au/mpcimg/17750/B17624_1.htm")</f>
        <v>http://collections.slsa.sa.gov.au/mpcimg/17750/B17624_1.htm</v>
      </c>
    </row>
    <row r="8879" spans="1:11" x14ac:dyDescent="0.25">
      <c r="A8879" t="s">
        <v>28974</v>
      </c>
      <c r="B8879" s="1" t="str">
        <f>HYPERLINK("https://www.catalog.slsa.sa.gov.au/record=b2062556")</f>
        <v>https://www.catalog.slsa.sa.gov.au/record=b2062556</v>
      </c>
      <c r="C8879" s="1" t="str">
        <f>HYPERLINK("https://www.catalog.slsa.sa.gov.au/xrecord=b2062556")</f>
        <v>https://www.catalog.slsa.sa.gov.au/xrecord=b2062556</v>
      </c>
      <c r="D8879" t="s">
        <v>16831</v>
      </c>
      <c r="E8879" t="s">
        <v>21236</v>
      </c>
      <c r="F8879">
        <v>1967</v>
      </c>
      <c r="G8879" t="s">
        <v>14771</v>
      </c>
      <c r="H8879" t="s">
        <v>28973</v>
      </c>
      <c r="J8879" t="s">
        <v>21241</v>
      </c>
      <c r="K8879" s="2" t="str">
        <f>HYPERLINK("http://collections.slsa.sa.gov.au/mpcimg/17750/B17624_2.htm")</f>
        <v>http://collections.slsa.sa.gov.au/mpcimg/17750/B17624_2.htm</v>
      </c>
    </row>
    <row r="8880" spans="1:11" x14ac:dyDescent="0.25">
      <c r="A8880" t="s">
        <v>28975</v>
      </c>
      <c r="B8880" s="1" t="str">
        <f>HYPERLINK("https://www.catalog.slsa.sa.gov.au/record=b2062583")</f>
        <v>https://www.catalog.slsa.sa.gov.au/record=b2062583</v>
      </c>
      <c r="C8880" s="1" t="str">
        <f>HYPERLINK("https://www.catalog.slsa.sa.gov.au/xrecord=b2062583")</f>
        <v>https://www.catalog.slsa.sa.gov.au/xrecord=b2062583</v>
      </c>
      <c r="D8880" t="s">
        <v>16831</v>
      </c>
      <c r="E8880" t="s">
        <v>21236</v>
      </c>
      <c r="F8880">
        <v>1967</v>
      </c>
      <c r="G8880" t="s">
        <v>14771</v>
      </c>
      <c r="H8880" t="s">
        <v>28976</v>
      </c>
      <c r="J8880" t="s">
        <v>25564</v>
      </c>
      <c r="K8880" s="2" t="str">
        <f>HYPERLINK("http://collections.slsa.sa.gov.au/mpcimg/17750/B17672_1.htm")</f>
        <v>http://collections.slsa.sa.gov.au/mpcimg/17750/B17672_1.htm</v>
      </c>
    </row>
    <row r="8881" spans="1:11" x14ac:dyDescent="0.25">
      <c r="A8881" t="s">
        <v>28977</v>
      </c>
      <c r="B8881" s="1" t="str">
        <f>HYPERLINK("https://www.catalog.slsa.sa.gov.au/record=b2062584")</f>
        <v>https://www.catalog.slsa.sa.gov.au/record=b2062584</v>
      </c>
      <c r="C8881" s="1" t="str">
        <f>HYPERLINK("https://www.catalog.slsa.sa.gov.au/xrecord=b2062584")</f>
        <v>https://www.catalog.slsa.sa.gov.au/xrecord=b2062584</v>
      </c>
      <c r="D8881" t="s">
        <v>16831</v>
      </c>
      <c r="E8881" t="s">
        <v>21236</v>
      </c>
      <c r="F8881">
        <v>1967</v>
      </c>
      <c r="G8881" t="s">
        <v>14771</v>
      </c>
      <c r="H8881" t="s">
        <v>28976</v>
      </c>
      <c r="J8881" t="s">
        <v>25564</v>
      </c>
      <c r="K8881" s="2" t="str">
        <f>HYPERLINK("http://collections.slsa.sa.gov.au/mpcimg/17750/B17672_2.htm")</f>
        <v>http://collections.slsa.sa.gov.au/mpcimg/17750/B17672_2.htm</v>
      </c>
    </row>
    <row r="8882" spans="1:11" x14ac:dyDescent="0.25">
      <c r="A8882" t="s">
        <v>28978</v>
      </c>
      <c r="B8882" s="1" t="str">
        <f>HYPERLINK("https://www.catalog.slsa.sa.gov.au/record=b2062761")</f>
        <v>https://www.catalog.slsa.sa.gov.au/record=b2062761</v>
      </c>
      <c r="C8882" s="1" t="str">
        <f>HYPERLINK("https://www.catalog.slsa.sa.gov.au/xrecord=b2062761")</f>
        <v>https://www.catalog.slsa.sa.gov.au/xrecord=b2062761</v>
      </c>
      <c r="D8882" t="s">
        <v>16831</v>
      </c>
      <c r="E8882" t="s">
        <v>21250</v>
      </c>
      <c r="F8882">
        <v>1967</v>
      </c>
      <c r="G8882" t="s">
        <v>14771</v>
      </c>
      <c r="H8882" t="s">
        <v>28979</v>
      </c>
      <c r="J8882" t="s">
        <v>28833</v>
      </c>
      <c r="K8882" s="2" t="str">
        <f>HYPERLINK("http://collections.slsa.sa.gov.au/mpcimg/17750/B17629_1.htm")</f>
        <v>http://collections.slsa.sa.gov.au/mpcimg/17750/B17629_1.htm</v>
      </c>
    </row>
    <row r="8883" spans="1:11" x14ac:dyDescent="0.25">
      <c r="A8883" t="s">
        <v>28980</v>
      </c>
      <c r="B8883" s="1" t="str">
        <f>HYPERLINK("https://www.catalog.slsa.sa.gov.au/record=b2062762")</f>
        <v>https://www.catalog.slsa.sa.gov.au/record=b2062762</v>
      </c>
      <c r="C8883" s="1" t="str">
        <f>HYPERLINK("https://www.catalog.slsa.sa.gov.au/xrecord=b2062762")</f>
        <v>https://www.catalog.slsa.sa.gov.au/xrecord=b2062762</v>
      </c>
      <c r="D8883" t="s">
        <v>16831</v>
      </c>
      <c r="E8883" t="s">
        <v>21250</v>
      </c>
      <c r="F8883">
        <v>1967</v>
      </c>
      <c r="G8883" t="s">
        <v>14771</v>
      </c>
      <c r="H8883" t="s">
        <v>28979</v>
      </c>
      <c r="J8883" t="s">
        <v>28833</v>
      </c>
      <c r="K8883" s="2" t="str">
        <f>HYPERLINK("http://collections.slsa.sa.gov.au/mpcimg/17750/B17629_2.htm")</f>
        <v>http://collections.slsa.sa.gov.au/mpcimg/17750/B17629_2.htm</v>
      </c>
    </row>
    <row r="8884" spans="1:11" x14ac:dyDescent="0.25">
      <c r="A8884" t="s">
        <v>28981</v>
      </c>
      <c r="B8884" s="1" t="str">
        <f>HYPERLINK("https://www.catalog.slsa.sa.gov.au/record=b2062771")</f>
        <v>https://www.catalog.slsa.sa.gov.au/record=b2062771</v>
      </c>
      <c r="C8884" s="1" t="str">
        <f>HYPERLINK("https://www.catalog.slsa.sa.gov.au/xrecord=b2062771")</f>
        <v>https://www.catalog.slsa.sa.gov.au/xrecord=b2062771</v>
      </c>
      <c r="D8884" t="s">
        <v>16831</v>
      </c>
      <c r="E8884" t="s">
        <v>21250</v>
      </c>
      <c r="F8884">
        <v>1967</v>
      </c>
      <c r="G8884" t="s">
        <v>14771</v>
      </c>
      <c r="H8884" t="s">
        <v>28982</v>
      </c>
      <c r="J8884" t="s">
        <v>24622</v>
      </c>
      <c r="K8884" s="2" t="str">
        <f>HYPERLINK("http://collections.slsa.sa.gov.au/mpcimg/17750/B17628.htm")</f>
        <v>http://collections.slsa.sa.gov.au/mpcimg/17750/B17628.htm</v>
      </c>
    </row>
    <row r="8885" spans="1:11" x14ac:dyDescent="0.25">
      <c r="A8885" t="s">
        <v>28983</v>
      </c>
      <c r="B8885" s="1" t="str">
        <f>HYPERLINK("https://www.catalog.slsa.sa.gov.au/record=b2062880")</f>
        <v>https://www.catalog.slsa.sa.gov.au/record=b2062880</v>
      </c>
      <c r="C8885" s="1" t="str">
        <f>HYPERLINK("https://www.catalog.slsa.sa.gov.au/xrecord=b2062880")</f>
        <v>https://www.catalog.slsa.sa.gov.au/xrecord=b2062880</v>
      </c>
      <c r="D8885" t="s">
        <v>16831</v>
      </c>
      <c r="E8885" t="s">
        <v>28984</v>
      </c>
      <c r="F8885">
        <v>1967</v>
      </c>
      <c r="G8885" t="s">
        <v>14771</v>
      </c>
      <c r="H8885" t="s">
        <v>28985</v>
      </c>
      <c r="J8885" t="s">
        <v>26456</v>
      </c>
      <c r="K8885" s="2" t="str">
        <f>HYPERLINK("http://collections.slsa.sa.gov.au/mpcimg/17750/B17627_1.htm")</f>
        <v>http://collections.slsa.sa.gov.au/mpcimg/17750/B17627_1.htm</v>
      </c>
    </row>
    <row r="8886" spans="1:11" x14ac:dyDescent="0.25">
      <c r="A8886" t="s">
        <v>28986</v>
      </c>
      <c r="B8886" s="1" t="str">
        <f>HYPERLINK("https://www.catalog.slsa.sa.gov.au/record=b2062881")</f>
        <v>https://www.catalog.slsa.sa.gov.au/record=b2062881</v>
      </c>
      <c r="C8886" s="1" t="str">
        <f>HYPERLINK("https://www.catalog.slsa.sa.gov.au/xrecord=b2062881")</f>
        <v>https://www.catalog.slsa.sa.gov.au/xrecord=b2062881</v>
      </c>
      <c r="D8886" t="s">
        <v>16831</v>
      </c>
      <c r="E8886" t="s">
        <v>28984</v>
      </c>
      <c r="F8886">
        <v>1967</v>
      </c>
      <c r="G8886" t="s">
        <v>14809</v>
      </c>
      <c r="H8886" t="s">
        <v>28987</v>
      </c>
      <c r="J8886" t="s">
        <v>26456</v>
      </c>
      <c r="K8886" s="2" t="str">
        <f>HYPERLINK("http://collections.slsa.sa.gov.au/mpcimg/17750/B17627_2.htm")</f>
        <v>http://collections.slsa.sa.gov.au/mpcimg/17750/B17627_2.htm</v>
      </c>
    </row>
    <row r="8887" spans="1:11" x14ac:dyDescent="0.25">
      <c r="A8887" t="s">
        <v>28988</v>
      </c>
      <c r="B8887" s="1" t="str">
        <f>HYPERLINK("https://www.catalog.slsa.sa.gov.au/record=b2062899")</f>
        <v>https://www.catalog.slsa.sa.gov.au/record=b2062899</v>
      </c>
      <c r="C8887" s="1" t="str">
        <f>HYPERLINK("https://www.catalog.slsa.sa.gov.au/xrecord=b2062899")</f>
        <v>https://www.catalog.slsa.sa.gov.au/xrecord=b2062899</v>
      </c>
      <c r="D8887" t="s">
        <v>16831</v>
      </c>
      <c r="E8887" t="s">
        <v>21277</v>
      </c>
      <c r="F8887">
        <v>1967</v>
      </c>
      <c r="G8887" t="s">
        <v>14771</v>
      </c>
      <c r="H8887" t="s">
        <v>28989</v>
      </c>
      <c r="J8887" t="s">
        <v>22159</v>
      </c>
      <c r="K8887" s="2" t="str">
        <f>HYPERLINK("http://collections.slsa.sa.gov.au/mpcimg/17750/B17625.htm")</f>
        <v>http://collections.slsa.sa.gov.au/mpcimg/17750/B17625.htm</v>
      </c>
    </row>
    <row r="8888" spans="1:11" x14ac:dyDescent="0.25">
      <c r="A8888" t="s">
        <v>28990</v>
      </c>
      <c r="B8888" s="1" t="str">
        <f>HYPERLINK("https://www.catalog.slsa.sa.gov.au/record=b2063014")</f>
        <v>https://www.catalog.slsa.sa.gov.au/record=b2063014</v>
      </c>
      <c r="C8888" s="1" t="str">
        <f>HYPERLINK("https://www.catalog.slsa.sa.gov.au/xrecord=b2063014")</f>
        <v>https://www.catalog.slsa.sa.gov.au/xrecord=b2063014</v>
      </c>
      <c r="D8888" t="s">
        <v>16831</v>
      </c>
      <c r="E8888" t="s">
        <v>21304</v>
      </c>
      <c r="F8888">
        <v>1967</v>
      </c>
      <c r="G8888" t="s">
        <v>28890</v>
      </c>
      <c r="H8888" t="s">
        <v>28991</v>
      </c>
      <c r="J8888" t="s">
        <v>21306</v>
      </c>
      <c r="K8888" s="2" t="str">
        <f>HYPERLINK("http://collections.slsa.sa.gov.au/mpcimg/17250/B17046.htm")</f>
        <v>http://collections.slsa.sa.gov.au/mpcimg/17250/B17046.htm</v>
      </c>
    </row>
    <row r="8889" spans="1:11" x14ac:dyDescent="0.25">
      <c r="A8889" t="s">
        <v>28992</v>
      </c>
      <c r="B8889" s="1" t="str">
        <f>HYPERLINK("https://www.catalog.slsa.sa.gov.au/record=b2063360")</f>
        <v>https://www.catalog.slsa.sa.gov.au/record=b2063360</v>
      </c>
      <c r="C8889" s="1" t="str">
        <f>HYPERLINK("https://www.catalog.slsa.sa.gov.au/xrecord=b2063360")</f>
        <v>https://www.catalog.slsa.sa.gov.au/xrecord=b2063360</v>
      </c>
      <c r="D8889" t="s">
        <v>16831</v>
      </c>
      <c r="E8889" t="s">
        <v>25599</v>
      </c>
      <c r="F8889">
        <v>1967</v>
      </c>
      <c r="G8889" t="s">
        <v>14771</v>
      </c>
      <c r="H8889" t="s">
        <v>28993</v>
      </c>
      <c r="J8889" t="s">
        <v>28994</v>
      </c>
      <c r="K8889" s="2" t="str">
        <f>HYPERLINK("http://collections.slsa.sa.gov.au/mpcimg/17750/B17667_1.htm")</f>
        <v>http://collections.slsa.sa.gov.au/mpcimg/17750/B17667_1.htm</v>
      </c>
    </row>
    <row r="8890" spans="1:11" x14ac:dyDescent="0.25">
      <c r="A8890" t="s">
        <v>28995</v>
      </c>
      <c r="B8890" s="1" t="str">
        <f>HYPERLINK("https://www.catalog.slsa.sa.gov.au/record=b2063361")</f>
        <v>https://www.catalog.slsa.sa.gov.au/record=b2063361</v>
      </c>
      <c r="C8890" s="1" t="str">
        <f>HYPERLINK("https://www.catalog.slsa.sa.gov.au/xrecord=b2063361")</f>
        <v>https://www.catalog.slsa.sa.gov.au/xrecord=b2063361</v>
      </c>
      <c r="D8890" t="s">
        <v>16831</v>
      </c>
      <c r="E8890" t="s">
        <v>25599</v>
      </c>
      <c r="F8890">
        <v>1967</v>
      </c>
      <c r="G8890" t="s">
        <v>14771</v>
      </c>
      <c r="H8890" t="s">
        <v>28996</v>
      </c>
      <c r="J8890" t="s">
        <v>28994</v>
      </c>
      <c r="K8890" s="2" t="str">
        <f>HYPERLINK("http://collections.slsa.sa.gov.au/mpcimg/17750/B17667_2.htm")</f>
        <v>http://collections.slsa.sa.gov.au/mpcimg/17750/B17667_2.htm</v>
      </c>
    </row>
    <row r="8891" spans="1:11" x14ac:dyDescent="0.25">
      <c r="A8891" t="s">
        <v>28997</v>
      </c>
      <c r="B8891" s="1" t="str">
        <f>HYPERLINK("https://www.catalog.slsa.sa.gov.au/record=b2063362")</f>
        <v>https://www.catalog.slsa.sa.gov.au/record=b2063362</v>
      </c>
      <c r="C8891" s="1" t="str">
        <f>HYPERLINK("https://www.catalog.slsa.sa.gov.au/xrecord=b2063362")</f>
        <v>https://www.catalog.slsa.sa.gov.au/xrecord=b2063362</v>
      </c>
      <c r="D8891" t="s">
        <v>16831</v>
      </c>
      <c r="E8891" t="s">
        <v>25599</v>
      </c>
      <c r="F8891">
        <v>1967</v>
      </c>
      <c r="G8891" t="s">
        <v>14771</v>
      </c>
      <c r="H8891" t="s">
        <v>28998</v>
      </c>
      <c r="J8891" t="s">
        <v>28994</v>
      </c>
      <c r="K8891" s="2" t="str">
        <f>HYPERLINK("http://collections.slsa.sa.gov.au/mpcimg/17750/B17667_3.htm")</f>
        <v>http://collections.slsa.sa.gov.au/mpcimg/17750/B17667_3.htm</v>
      </c>
    </row>
    <row r="8892" spans="1:11" x14ac:dyDescent="0.25">
      <c r="A8892" t="s">
        <v>28999</v>
      </c>
      <c r="B8892" s="1" t="str">
        <f>HYPERLINK("https://www.catalog.slsa.sa.gov.au/record=b2063467")</f>
        <v>https://www.catalog.slsa.sa.gov.au/record=b2063467</v>
      </c>
      <c r="C8892" s="1" t="str">
        <f>HYPERLINK("https://www.catalog.slsa.sa.gov.au/xrecord=b2063467")</f>
        <v>https://www.catalog.slsa.sa.gov.au/xrecord=b2063467</v>
      </c>
      <c r="D8892" t="s">
        <v>16831</v>
      </c>
      <c r="E8892" t="s">
        <v>17735</v>
      </c>
      <c r="F8892">
        <v>1967</v>
      </c>
      <c r="G8892" t="s">
        <v>14771</v>
      </c>
      <c r="H8892" t="s">
        <v>29000</v>
      </c>
      <c r="J8892" t="s">
        <v>29001</v>
      </c>
      <c r="K8892" s="2" t="str">
        <f>HYPERLINK("http://collections.slsa.sa.gov.au/mpcimg/17750/B17616.htm")</f>
        <v>http://collections.slsa.sa.gov.au/mpcimg/17750/B17616.htm</v>
      </c>
    </row>
    <row r="8893" spans="1:11" x14ac:dyDescent="0.25">
      <c r="A8893" t="s">
        <v>29002</v>
      </c>
      <c r="B8893" s="1" t="str">
        <f>HYPERLINK("https://www.catalog.slsa.sa.gov.au/record=b2063726")</f>
        <v>https://www.catalog.slsa.sa.gov.au/record=b2063726</v>
      </c>
      <c r="C8893" s="1" t="str">
        <f>HYPERLINK("https://www.catalog.slsa.sa.gov.au/xrecord=b2063726")</f>
        <v>https://www.catalog.slsa.sa.gov.au/xrecord=b2063726</v>
      </c>
      <c r="D8893" t="s">
        <v>16831</v>
      </c>
      <c r="E8893" t="s">
        <v>26486</v>
      </c>
      <c r="F8893">
        <v>1967</v>
      </c>
      <c r="G8893" t="s">
        <v>14771</v>
      </c>
      <c r="H8893" t="s">
        <v>29003</v>
      </c>
      <c r="J8893" t="s">
        <v>29004</v>
      </c>
      <c r="K8893" s="2" t="str">
        <f>HYPERLINK("http://collections.slsa.sa.gov.au/mpcimg/17750/B17683_1.htm")</f>
        <v>http://collections.slsa.sa.gov.au/mpcimg/17750/B17683_1.htm</v>
      </c>
    </row>
    <row r="8894" spans="1:11" x14ac:dyDescent="0.25">
      <c r="A8894" t="s">
        <v>29005</v>
      </c>
      <c r="B8894" s="1" t="str">
        <f>HYPERLINK("https://www.catalog.slsa.sa.gov.au/record=b2063727")</f>
        <v>https://www.catalog.slsa.sa.gov.au/record=b2063727</v>
      </c>
      <c r="C8894" s="1" t="str">
        <f>HYPERLINK("https://www.catalog.slsa.sa.gov.au/xrecord=b2063727")</f>
        <v>https://www.catalog.slsa.sa.gov.au/xrecord=b2063727</v>
      </c>
      <c r="D8894" t="s">
        <v>16831</v>
      </c>
      <c r="E8894" t="s">
        <v>26486</v>
      </c>
      <c r="F8894">
        <v>1967</v>
      </c>
      <c r="G8894" t="s">
        <v>14771</v>
      </c>
      <c r="H8894" t="s">
        <v>29006</v>
      </c>
      <c r="J8894" t="s">
        <v>29004</v>
      </c>
      <c r="K8894" s="2" t="str">
        <f>HYPERLINK("http://collections.slsa.sa.gov.au/mpcimg/17750/B17683_2.htm")</f>
        <v>http://collections.slsa.sa.gov.au/mpcimg/17750/B17683_2.htm</v>
      </c>
    </row>
    <row r="8895" spans="1:11" x14ac:dyDescent="0.25">
      <c r="A8895" t="s">
        <v>29007</v>
      </c>
      <c r="B8895" s="1" t="str">
        <f>HYPERLINK("https://www.catalog.slsa.sa.gov.au/record=b2063728")</f>
        <v>https://www.catalog.slsa.sa.gov.au/record=b2063728</v>
      </c>
      <c r="C8895" s="1" t="str">
        <f>HYPERLINK("https://www.catalog.slsa.sa.gov.au/xrecord=b2063728")</f>
        <v>https://www.catalog.slsa.sa.gov.au/xrecord=b2063728</v>
      </c>
      <c r="D8895" t="s">
        <v>16831</v>
      </c>
      <c r="E8895" t="s">
        <v>26486</v>
      </c>
      <c r="F8895">
        <v>1967</v>
      </c>
      <c r="G8895" t="s">
        <v>14771</v>
      </c>
      <c r="H8895" t="s">
        <v>29006</v>
      </c>
      <c r="J8895" t="s">
        <v>29004</v>
      </c>
      <c r="K8895" s="2" t="str">
        <f>HYPERLINK("http://collections.slsa.sa.gov.au/mpcimg/17750/B17683_3.htm")</f>
        <v>http://collections.slsa.sa.gov.au/mpcimg/17750/B17683_3.htm</v>
      </c>
    </row>
    <row r="8896" spans="1:11" x14ac:dyDescent="0.25">
      <c r="A8896" t="s">
        <v>29008</v>
      </c>
      <c r="B8896" s="1" t="str">
        <f>HYPERLINK("https://www.catalog.slsa.sa.gov.au/record=b2063764")</f>
        <v>https://www.catalog.slsa.sa.gov.au/record=b2063764</v>
      </c>
      <c r="C8896" s="1" t="str">
        <f>HYPERLINK("https://www.catalog.slsa.sa.gov.au/xrecord=b2063764")</f>
        <v>https://www.catalog.slsa.sa.gov.au/xrecord=b2063764</v>
      </c>
      <c r="D8896" t="s">
        <v>16831</v>
      </c>
      <c r="E8896" t="s">
        <v>26486</v>
      </c>
      <c r="F8896">
        <v>1967</v>
      </c>
      <c r="G8896" t="s">
        <v>14771</v>
      </c>
      <c r="H8896" t="s">
        <v>29009</v>
      </c>
      <c r="J8896" t="s">
        <v>29010</v>
      </c>
      <c r="K8896" s="2" t="str">
        <f>HYPERLINK("http://collections.slsa.sa.gov.au/mpcimg/17750/B17631_1.htm")</f>
        <v>http://collections.slsa.sa.gov.au/mpcimg/17750/B17631_1.htm</v>
      </c>
    </row>
    <row r="8897" spans="1:11" x14ac:dyDescent="0.25">
      <c r="A8897" t="s">
        <v>29011</v>
      </c>
      <c r="B8897" s="1" t="str">
        <f>HYPERLINK("https://www.catalog.slsa.sa.gov.au/record=b2063765")</f>
        <v>https://www.catalog.slsa.sa.gov.au/record=b2063765</v>
      </c>
      <c r="C8897" s="1" t="str">
        <f>HYPERLINK("https://www.catalog.slsa.sa.gov.au/xrecord=b2063765")</f>
        <v>https://www.catalog.slsa.sa.gov.au/xrecord=b2063765</v>
      </c>
      <c r="D8897" t="s">
        <v>16831</v>
      </c>
      <c r="E8897" t="s">
        <v>26486</v>
      </c>
      <c r="F8897">
        <v>1967</v>
      </c>
      <c r="G8897" t="s">
        <v>14771</v>
      </c>
      <c r="H8897" t="s">
        <v>29012</v>
      </c>
      <c r="J8897" t="s">
        <v>29010</v>
      </c>
      <c r="K8897" s="2" t="str">
        <f>HYPERLINK("http://collections.slsa.sa.gov.au/mpcimg/17750/B17631_2.htm")</f>
        <v>http://collections.slsa.sa.gov.au/mpcimg/17750/B17631_2.htm</v>
      </c>
    </row>
    <row r="8898" spans="1:11" x14ac:dyDescent="0.25">
      <c r="A8898" t="s">
        <v>29013</v>
      </c>
      <c r="B8898" s="1" t="str">
        <f>HYPERLINK("https://www.catalog.slsa.sa.gov.au/record=b2064045")</f>
        <v>https://www.catalog.slsa.sa.gov.au/record=b2064045</v>
      </c>
      <c r="C8898" s="1" t="str">
        <f>HYPERLINK("https://www.catalog.slsa.sa.gov.au/xrecord=b2064045")</f>
        <v>https://www.catalog.slsa.sa.gov.au/xrecord=b2064045</v>
      </c>
      <c r="D8898" t="s">
        <v>16831</v>
      </c>
      <c r="E8898" t="s">
        <v>29014</v>
      </c>
      <c r="F8898">
        <v>1967</v>
      </c>
      <c r="G8898" t="s">
        <v>14771</v>
      </c>
      <c r="H8898" t="s">
        <v>29015</v>
      </c>
      <c r="J8898" t="s">
        <v>29016</v>
      </c>
      <c r="K8898" s="2" t="str">
        <f>HYPERLINK("http://collections.slsa.sa.gov.au/mpcimg/17000/B16846_8.htm")</f>
        <v>http://collections.slsa.sa.gov.au/mpcimg/17000/B16846_8.htm</v>
      </c>
    </row>
    <row r="8899" spans="1:11" x14ac:dyDescent="0.25">
      <c r="A8899" t="s">
        <v>29017</v>
      </c>
      <c r="B8899" s="1" t="str">
        <f>HYPERLINK("https://www.catalog.slsa.sa.gov.au/record=b2064046")</f>
        <v>https://www.catalog.slsa.sa.gov.au/record=b2064046</v>
      </c>
      <c r="C8899" s="1" t="str">
        <f>HYPERLINK("https://www.catalog.slsa.sa.gov.au/xrecord=b2064046")</f>
        <v>https://www.catalog.slsa.sa.gov.au/xrecord=b2064046</v>
      </c>
      <c r="D8899" t="s">
        <v>16831</v>
      </c>
      <c r="E8899" t="s">
        <v>29018</v>
      </c>
      <c r="F8899">
        <v>1967</v>
      </c>
      <c r="G8899" t="s">
        <v>14771</v>
      </c>
      <c r="H8899" t="s">
        <v>29019</v>
      </c>
      <c r="J8899" t="s">
        <v>29016</v>
      </c>
      <c r="K8899" s="2" t="str">
        <f>HYPERLINK("http://collections.slsa.sa.gov.au/mpcimg/17000/B16846_9.htm")</f>
        <v>http://collections.slsa.sa.gov.au/mpcimg/17000/B16846_9.htm</v>
      </c>
    </row>
    <row r="8900" spans="1:11" x14ac:dyDescent="0.25">
      <c r="A8900" t="s">
        <v>29020</v>
      </c>
      <c r="B8900" s="1" t="str">
        <f>HYPERLINK("https://www.catalog.slsa.sa.gov.au/record=b2064053")</f>
        <v>https://www.catalog.slsa.sa.gov.au/record=b2064053</v>
      </c>
      <c r="C8900" s="1" t="str">
        <f>HYPERLINK("https://www.catalog.slsa.sa.gov.au/xrecord=b2064053")</f>
        <v>https://www.catalog.slsa.sa.gov.au/xrecord=b2064053</v>
      </c>
      <c r="D8900" t="s">
        <v>16831</v>
      </c>
      <c r="E8900" t="s">
        <v>25643</v>
      </c>
      <c r="F8900">
        <v>1967</v>
      </c>
      <c r="G8900" t="s">
        <v>14771</v>
      </c>
      <c r="H8900" t="s">
        <v>29021</v>
      </c>
      <c r="J8900" t="s">
        <v>26491</v>
      </c>
      <c r="K8900" s="2" t="str">
        <f>HYPERLINK("http://collections.slsa.sa.gov.au/mpcimg/17000/B16846_3.htm")</f>
        <v>http://collections.slsa.sa.gov.au/mpcimg/17000/B16846_3.htm</v>
      </c>
    </row>
    <row r="8901" spans="1:11" x14ac:dyDescent="0.25">
      <c r="A8901" t="s">
        <v>29022</v>
      </c>
      <c r="B8901" s="1" t="str">
        <f>HYPERLINK("https://www.catalog.slsa.sa.gov.au/record=b2064055")</f>
        <v>https://www.catalog.slsa.sa.gov.au/record=b2064055</v>
      </c>
      <c r="C8901" s="1" t="str">
        <f>HYPERLINK("https://www.catalog.slsa.sa.gov.au/xrecord=b2064055")</f>
        <v>https://www.catalog.slsa.sa.gov.au/xrecord=b2064055</v>
      </c>
      <c r="D8901" t="s">
        <v>16831</v>
      </c>
      <c r="E8901" t="s">
        <v>29014</v>
      </c>
      <c r="F8901">
        <v>1967</v>
      </c>
      <c r="G8901" t="s">
        <v>14771</v>
      </c>
      <c r="H8901" t="s">
        <v>29023</v>
      </c>
      <c r="J8901" t="s">
        <v>26491</v>
      </c>
      <c r="K8901" s="2" t="str">
        <f>HYPERLINK("http://collections.slsa.sa.gov.au/mpcimg/17000/B16846_5.htm")</f>
        <v>http://collections.slsa.sa.gov.au/mpcimg/17000/B16846_5.htm</v>
      </c>
    </row>
    <row r="8902" spans="1:11" x14ac:dyDescent="0.25">
      <c r="A8902" t="s">
        <v>29024</v>
      </c>
      <c r="B8902" s="1" t="str">
        <f>HYPERLINK("https://www.catalog.slsa.sa.gov.au/record=b2064069")</f>
        <v>https://www.catalog.slsa.sa.gov.au/record=b2064069</v>
      </c>
      <c r="C8902" s="1" t="str">
        <f>HYPERLINK("https://www.catalog.slsa.sa.gov.au/xrecord=b2064069")</f>
        <v>https://www.catalog.slsa.sa.gov.au/xrecord=b2064069</v>
      </c>
      <c r="D8902" t="s">
        <v>16831</v>
      </c>
      <c r="E8902" t="s">
        <v>26948</v>
      </c>
      <c r="F8902">
        <v>1967</v>
      </c>
      <c r="G8902" t="s">
        <v>14771</v>
      </c>
      <c r="H8902" t="s">
        <v>29025</v>
      </c>
      <c r="J8902" t="s">
        <v>27653</v>
      </c>
      <c r="K8902" s="2" t="str">
        <f>HYPERLINK("http://collections.slsa.sa.gov.au/mpcimg/17000/B16834.htm")</f>
        <v>http://collections.slsa.sa.gov.au/mpcimg/17000/B16834.htm</v>
      </c>
    </row>
    <row r="8903" spans="1:11" x14ac:dyDescent="0.25">
      <c r="A8903" t="s">
        <v>29026</v>
      </c>
      <c r="B8903" s="1" t="str">
        <f>HYPERLINK("https://www.catalog.slsa.sa.gov.au/record=b2064070")</f>
        <v>https://www.catalog.slsa.sa.gov.au/record=b2064070</v>
      </c>
      <c r="C8903" s="1" t="str">
        <f>HYPERLINK("https://www.catalog.slsa.sa.gov.au/xrecord=b2064070")</f>
        <v>https://www.catalog.slsa.sa.gov.au/xrecord=b2064070</v>
      </c>
      <c r="D8903" t="s">
        <v>16831</v>
      </c>
      <c r="E8903" t="s">
        <v>26948</v>
      </c>
      <c r="F8903">
        <v>1967</v>
      </c>
      <c r="G8903" t="s">
        <v>14771</v>
      </c>
      <c r="H8903" t="s">
        <v>29027</v>
      </c>
      <c r="J8903" t="s">
        <v>27653</v>
      </c>
      <c r="K8903" s="2" t="str">
        <f>HYPERLINK("http://collections.slsa.sa.gov.au/mpcimg/17000/B16835.htm")</f>
        <v>http://collections.slsa.sa.gov.au/mpcimg/17000/B16835.htm</v>
      </c>
    </row>
    <row r="8904" spans="1:11" x14ac:dyDescent="0.25">
      <c r="A8904" t="s">
        <v>29028</v>
      </c>
      <c r="B8904" s="1" t="str">
        <f>HYPERLINK("https://www.catalog.slsa.sa.gov.au/record=b2064381")</f>
        <v>https://www.catalog.slsa.sa.gov.au/record=b2064381</v>
      </c>
      <c r="C8904" s="1" t="str">
        <f>HYPERLINK("https://www.catalog.slsa.sa.gov.au/xrecord=b2064381")</f>
        <v>https://www.catalog.slsa.sa.gov.au/xrecord=b2064381</v>
      </c>
      <c r="D8904" t="s">
        <v>16831</v>
      </c>
      <c r="E8904" t="s">
        <v>29029</v>
      </c>
      <c r="F8904">
        <v>1967</v>
      </c>
      <c r="G8904" t="s">
        <v>14771</v>
      </c>
      <c r="H8904" t="s">
        <v>29030</v>
      </c>
      <c r="J8904" t="s">
        <v>29031</v>
      </c>
      <c r="K8904" s="2" t="str">
        <f>HYPERLINK("http://collections.slsa.sa.gov.au/mpcimg/17750/B17610_1.htm")</f>
        <v>http://collections.slsa.sa.gov.au/mpcimg/17750/B17610_1.htm</v>
      </c>
    </row>
    <row r="8905" spans="1:11" x14ac:dyDescent="0.25">
      <c r="A8905" t="s">
        <v>29032</v>
      </c>
      <c r="B8905" s="1" t="str">
        <f>HYPERLINK("https://www.catalog.slsa.sa.gov.au/record=b2064382")</f>
        <v>https://www.catalog.slsa.sa.gov.au/record=b2064382</v>
      </c>
      <c r="C8905" s="1" t="str">
        <f>HYPERLINK("https://www.catalog.slsa.sa.gov.au/xrecord=b2064382")</f>
        <v>https://www.catalog.slsa.sa.gov.au/xrecord=b2064382</v>
      </c>
      <c r="D8905" t="s">
        <v>16831</v>
      </c>
      <c r="E8905" t="s">
        <v>29029</v>
      </c>
      <c r="F8905">
        <v>1967</v>
      </c>
      <c r="G8905" t="s">
        <v>14771</v>
      </c>
      <c r="H8905" t="s">
        <v>29030</v>
      </c>
      <c r="J8905" t="s">
        <v>29031</v>
      </c>
      <c r="K8905" s="2" t="str">
        <f>HYPERLINK("http://collections.slsa.sa.gov.au/mpcimg/17750/B17610_2.htm")</f>
        <v>http://collections.slsa.sa.gov.au/mpcimg/17750/B17610_2.htm</v>
      </c>
    </row>
    <row r="8906" spans="1:11" x14ac:dyDescent="0.25">
      <c r="A8906" t="s">
        <v>29033</v>
      </c>
      <c r="B8906" s="1" t="str">
        <f>HYPERLINK("https://www.catalog.slsa.sa.gov.au/record=b2064530")</f>
        <v>https://www.catalog.slsa.sa.gov.au/record=b2064530</v>
      </c>
      <c r="C8906" s="1" t="str">
        <f>HYPERLINK("https://www.catalog.slsa.sa.gov.au/xrecord=b2064530")</f>
        <v>https://www.catalog.slsa.sa.gov.au/xrecord=b2064530</v>
      </c>
      <c r="D8906" t="s">
        <v>16831</v>
      </c>
      <c r="E8906" t="s">
        <v>26509</v>
      </c>
      <c r="F8906">
        <v>1967</v>
      </c>
      <c r="G8906" t="s">
        <v>14771</v>
      </c>
      <c r="H8906" t="s">
        <v>29034</v>
      </c>
      <c r="J8906" t="s">
        <v>29035</v>
      </c>
      <c r="K8906" s="2" t="str">
        <f>HYPERLINK("http://collections.slsa.sa.gov.au/mpcimg/17750/B17606_1.htm")</f>
        <v>http://collections.slsa.sa.gov.au/mpcimg/17750/B17606_1.htm</v>
      </c>
    </row>
    <row r="8907" spans="1:11" x14ac:dyDescent="0.25">
      <c r="A8907" t="s">
        <v>29036</v>
      </c>
      <c r="B8907" s="1" t="str">
        <f>HYPERLINK("https://www.catalog.slsa.sa.gov.au/record=b2064531")</f>
        <v>https://www.catalog.slsa.sa.gov.au/record=b2064531</v>
      </c>
      <c r="C8907" s="1" t="str">
        <f>HYPERLINK("https://www.catalog.slsa.sa.gov.au/xrecord=b2064531")</f>
        <v>https://www.catalog.slsa.sa.gov.au/xrecord=b2064531</v>
      </c>
      <c r="D8907" t="s">
        <v>16831</v>
      </c>
      <c r="E8907" t="s">
        <v>26509</v>
      </c>
      <c r="F8907">
        <v>1967</v>
      </c>
      <c r="G8907" t="s">
        <v>14771</v>
      </c>
      <c r="H8907" t="s">
        <v>29034</v>
      </c>
      <c r="J8907" t="s">
        <v>29035</v>
      </c>
      <c r="K8907" s="2" t="str">
        <f>HYPERLINK("http://collections.slsa.sa.gov.au/mpcimg/17750/B17606_2.htm")</f>
        <v>http://collections.slsa.sa.gov.au/mpcimg/17750/B17606_2.htm</v>
      </c>
    </row>
    <row r="8908" spans="1:11" x14ac:dyDescent="0.25">
      <c r="A8908" t="s">
        <v>29037</v>
      </c>
      <c r="B8908" s="1" t="str">
        <f>HYPERLINK("https://www.catalog.slsa.sa.gov.au/record=b2064532")</f>
        <v>https://www.catalog.slsa.sa.gov.au/record=b2064532</v>
      </c>
      <c r="C8908" s="1" t="str">
        <f>HYPERLINK("https://www.catalog.slsa.sa.gov.au/xrecord=b2064532")</f>
        <v>https://www.catalog.slsa.sa.gov.au/xrecord=b2064532</v>
      </c>
      <c r="D8908" t="s">
        <v>16831</v>
      </c>
      <c r="E8908" t="s">
        <v>26509</v>
      </c>
      <c r="F8908">
        <v>1967</v>
      </c>
      <c r="G8908" t="s">
        <v>14771</v>
      </c>
      <c r="H8908" t="s">
        <v>29038</v>
      </c>
      <c r="J8908" t="s">
        <v>29035</v>
      </c>
      <c r="K8908" s="2" t="str">
        <f>HYPERLINK("http://collections.slsa.sa.gov.au/mpcimg/17750/B17606_3.htm")</f>
        <v>http://collections.slsa.sa.gov.au/mpcimg/17750/B17606_3.htm</v>
      </c>
    </row>
    <row r="8909" spans="1:11" x14ac:dyDescent="0.25">
      <c r="A8909" t="s">
        <v>29039</v>
      </c>
      <c r="B8909" s="1" t="str">
        <f>HYPERLINK("https://www.catalog.slsa.sa.gov.au/record=b2064534")</f>
        <v>https://www.catalog.slsa.sa.gov.au/record=b2064534</v>
      </c>
      <c r="C8909" s="1" t="str">
        <f>HYPERLINK("https://www.catalog.slsa.sa.gov.au/xrecord=b2064534")</f>
        <v>https://www.catalog.slsa.sa.gov.au/xrecord=b2064534</v>
      </c>
      <c r="D8909" t="s">
        <v>16831</v>
      </c>
      <c r="E8909" t="s">
        <v>29040</v>
      </c>
      <c r="F8909">
        <v>1967</v>
      </c>
      <c r="G8909" t="s">
        <v>14771</v>
      </c>
      <c r="H8909" t="s">
        <v>29041</v>
      </c>
      <c r="J8909" t="s">
        <v>29035</v>
      </c>
      <c r="K8909" s="2" t="str">
        <f>HYPERLINK("http://collections.slsa.sa.gov.au/mpcimg/17750/B17606_4.htm")</f>
        <v>http://collections.slsa.sa.gov.au/mpcimg/17750/B17606_4.htm</v>
      </c>
    </row>
    <row r="8910" spans="1:11" x14ac:dyDescent="0.25">
      <c r="A8910" t="s">
        <v>29042</v>
      </c>
      <c r="B8910" s="1" t="str">
        <f>HYPERLINK("https://www.catalog.slsa.sa.gov.au/record=b2064535")</f>
        <v>https://www.catalog.slsa.sa.gov.au/record=b2064535</v>
      </c>
      <c r="C8910" s="1" t="str">
        <f>HYPERLINK("https://www.catalog.slsa.sa.gov.au/xrecord=b2064535")</f>
        <v>https://www.catalog.slsa.sa.gov.au/xrecord=b2064535</v>
      </c>
      <c r="D8910" t="s">
        <v>16831</v>
      </c>
      <c r="E8910" t="s">
        <v>29040</v>
      </c>
      <c r="F8910">
        <v>1967</v>
      </c>
      <c r="G8910" t="s">
        <v>14771</v>
      </c>
      <c r="H8910" t="s">
        <v>29043</v>
      </c>
      <c r="J8910" t="s">
        <v>29035</v>
      </c>
      <c r="K8910" s="2" t="str">
        <f>HYPERLINK("http://collections.slsa.sa.gov.au/mpcimg/17750/B17606_5.htm")</f>
        <v>http://collections.slsa.sa.gov.au/mpcimg/17750/B17606_5.htm</v>
      </c>
    </row>
    <row r="8911" spans="1:11" x14ac:dyDescent="0.25">
      <c r="A8911" t="s">
        <v>29044</v>
      </c>
      <c r="B8911" s="1" t="str">
        <f>HYPERLINK("https://www.catalog.slsa.sa.gov.au/record=b2064587")</f>
        <v>https://www.catalog.slsa.sa.gov.au/record=b2064587</v>
      </c>
      <c r="C8911" s="1" t="str">
        <f>HYPERLINK("https://www.catalog.slsa.sa.gov.au/xrecord=b2064587")</f>
        <v>https://www.catalog.slsa.sa.gov.au/xrecord=b2064587</v>
      </c>
      <c r="D8911" t="s">
        <v>16831</v>
      </c>
      <c r="E8911" t="s">
        <v>26509</v>
      </c>
      <c r="F8911">
        <v>1967</v>
      </c>
      <c r="G8911" t="s">
        <v>14771</v>
      </c>
      <c r="H8911" t="s">
        <v>29045</v>
      </c>
      <c r="J8911" t="s">
        <v>27540</v>
      </c>
      <c r="K8911" s="2" t="str">
        <f>HYPERLINK("http://collections.slsa.sa.gov.au/mpcimg/17750/B17611.htm")</f>
        <v>http://collections.slsa.sa.gov.au/mpcimg/17750/B17611.htm</v>
      </c>
    </row>
    <row r="8912" spans="1:11" x14ac:dyDescent="0.25">
      <c r="A8912" t="s">
        <v>29046</v>
      </c>
      <c r="B8912" s="1" t="str">
        <f>HYPERLINK("https://www.catalog.slsa.sa.gov.au/record=b2064649")</f>
        <v>https://www.catalog.slsa.sa.gov.au/record=b2064649</v>
      </c>
      <c r="C8912" s="1" t="str">
        <f>HYPERLINK("https://www.catalog.slsa.sa.gov.au/xrecord=b2064649")</f>
        <v>https://www.catalog.slsa.sa.gov.au/xrecord=b2064649</v>
      </c>
      <c r="D8912" t="s">
        <v>16831</v>
      </c>
      <c r="E8912" t="s">
        <v>26509</v>
      </c>
      <c r="F8912">
        <v>1967</v>
      </c>
      <c r="G8912" t="s">
        <v>14771</v>
      </c>
      <c r="H8912" t="s">
        <v>29047</v>
      </c>
      <c r="J8912" t="s">
        <v>29048</v>
      </c>
      <c r="K8912" s="2" t="str">
        <f>HYPERLINK("http://collections.slsa.sa.gov.au/mpcimg/17750/B17632.htm")</f>
        <v>http://collections.slsa.sa.gov.au/mpcimg/17750/B17632.htm</v>
      </c>
    </row>
    <row r="8913" spans="1:11" x14ac:dyDescent="0.25">
      <c r="A8913" t="s">
        <v>29049</v>
      </c>
      <c r="B8913" s="1" t="str">
        <f>HYPERLINK("https://www.catalog.slsa.sa.gov.au/record=b2051203")</f>
        <v>https://www.catalog.slsa.sa.gov.au/record=b2051203</v>
      </c>
      <c r="C8913" s="1" t="str">
        <f>HYPERLINK("https://www.catalog.slsa.sa.gov.au/xrecord=b2051203")</f>
        <v>https://www.catalog.slsa.sa.gov.au/xrecord=b2051203</v>
      </c>
      <c r="D8913" t="s">
        <v>16831</v>
      </c>
      <c r="E8913" t="s">
        <v>29050</v>
      </c>
      <c r="F8913">
        <v>1968</v>
      </c>
      <c r="G8913" t="s">
        <v>29051</v>
      </c>
      <c r="H8913" t="s">
        <v>29052</v>
      </c>
      <c r="I8913" t="s">
        <v>29053</v>
      </c>
      <c r="J8913" t="s">
        <v>2510</v>
      </c>
      <c r="K8913" s="2" t="str">
        <f>HYPERLINK("http://collections.slsa.sa.gov.au/mpcimg/18250/B18131_1.htm")</f>
        <v>http://collections.slsa.sa.gov.au/mpcimg/18250/B18131_1.htm</v>
      </c>
    </row>
    <row r="8914" spans="1:11" x14ac:dyDescent="0.25">
      <c r="A8914" t="s">
        <v>29054</v>
      </c>
      <c r="B8914" s="1" t="str">
        <f>HYPERLINK("https://www.catalog.slsa.sa.gov.au/record=b2051204")</f>
        <v>https://www.catalog.slsa.sa.gov.au/record=b2051204</v>
      </c>
      <c r="C8914" s="1" t="str">
        <f>HYPERLINK("https://www.catalog.slsa.sa.gov.au/xrecord=b2051204")</f>
        <v>https://www.catalog.slsa.sa.gov.au/xrecord=b2051204</v>
      </c>
      <c r="D8914" t="s">
        <v>16831</v>
      </c>
      <c r="E8914" t="s">
        <v>29050</v>
      </c>
      <c r="F8914">
        <v>1968</v>
      </c>
      <c r="G8914" t="s">
        <v>29051</v>
      </c>
      <c r="H8914" t="s">
        <v>29055</v>
      </c>
      <c r="I8914" t="s">
        <v>29053</v>
      </c>
      <c r="J8914" t="s">
        <v>2510</v>
      </c>
      <c r="K8914" s="2" t="str">
        <f>HYPERLINK("http://collections.slsa.sa.gov.au/mpcimg/18250/B18131_2.htm")</f>
        <v>http://collections.slsa.sa.gov.au/mpcimg/18250/B18131_2.htm</v>
      </c>
    </row>
    <row r="8915" spans="1:11" x14ac:dyDescent="0.25">
      <c r="A8915" t="s">
        <v>29056</v>
      </c>
      <c r="B8915" s="1" t="str">
        <f>HYPERLINK("https://www.catalog.slsa.sa.gov.au/record=b2051205")</f>
        <v>https://www.catalog.slsa.sa.gov.au/record=b2051205</v>
      </c>
      <c r="C8915" s="1" t="str">
        <f>HYPERLINK("https://www.catalog.slsa.sa.gov.au/xrecord=b2051205")</f>
        <v>https://www.catalog.slsa.sa.gov.au/xrecord=b2051205</v>
      </c>
      <c r="D8915" t="s">
        <v>16831</v>
      </c>
      <c r="E8915" t="s">
        <v>29050</v>
      </c>
      <c r="F8915">
        <v>1968</v>
      </c>
      <c r="G8915" t="s">
        <v>29051</v>
      </c>
      <c r="H8915" t="s">
        <v>29057</v>
      </c>
      <c r="I8915" t="s">
        <v>29053</v>
      </c>
      <c r="J8915" t="s">
        <v>2510</v>
      </c>
      <c r="K8915" s="2" t="str">
        <f>HYPERLINK("http://collections.slsa.sa.gov.au/mpcimg/18250/B18131_3.htm")</f>
        <v>http://collections.slsa.sa.gov.au/mpcimg/18250/B18131_3.htm</v>
      </c>
    </row>
    <row r="8916" spans="1:11" x14ac:dyDescent="0.25">
      <c r="A8916" t="s">
        <v>29058</v>
      </c>
      <c r="B8916" s="1" t="str">
        <f>HYPERLINK("https://www.catalog.slsa.sa.gov.au/record=b2051206")</f>
        <v>https://www.catalog.slsa.sa.gov.au/record=b2051206</v>
      </c>
      <c r="C8916" s="1" t="str">
        <f>HYPERLINK("https://www.catalog.slsa.sa.gov.au/xrecord=b2051206")</f>
        <v>https://www.catalog.slsa.sa.gov.au/xrecord=b2051206</v>
      </c>
      <c r="D8916" t="s">
        <v>16831</v>
      </c>
      <c r="E8916" t="s">
        <v>29059</v>
      </c>
      <c r="F8916">
        <v>1968</v>
      </c>
      <c r="G8916" t="s">
        <v>29051</v>
      </c>
      <c r="H8916" t="s">
        <v>29055</v>
      </c>
      <c r="I8916" t="s">
        <v>29053</v>
      </c>
      <c r="J8916" t="s">
        <v>2510</v>
      </c>
      <c r="K8916" s="2" t="str">
        <f>HYPERLINK("http://collections.slsa.sa.gov.au/mpcimg/18250/B18131_4.htm")</f>
        <v>http://collections.slsa.sa.gov.au/mpcimg/18250/B18131_4.htm</v>
      </c>
    </row>
    <row r="8917" spans="1:11" x14ac:dyDescent="0.25">
      <c r="A8917" t="s">
        <v>29060</v>
      </c>
      <c r="B8917" s="1" t="str">
        <f>HYPERLINK("https://www.catalog.slsa.sa.gov.au/record=b2054861")</f>
        <v>https://www.catalog.slsa.sa.gov.au/record=b2054861</v>
      </c>
      <c r="C8917" s="1" t="str">
        <f>HYPERLINK("https://www.catalog.slsa.sa.gov.au/xrecord=b2054861")</f>
        <v>https://www.catalog.slsa.sa.gov.au/xrecord=b2054861</v>
      </c>
      <c r="D8917" t="s">
        <v>16831</v>
      </c>
      <c r="E8917" t="s">
        <v>15201</v>
      </c>
      <c r="F8917">
        <v>1968</v>
      </c>
      <c r="G8917" t="s">
        <v>15164</v>
      </c>
      <c r="H8917" t="s">
        <v>29061</v>
      </c>
      <c r="J8917" t="s">
        <v>23768</v>
      </c>
      <c r="K8917" s="2" t="str">
        <f>HYPERLINK("http://collections.slsa.sa.gov.au/mpcimg/18250/B18177.htm")</f>
        <v>http://collections.slsa.sa.gov.au/mpcimg/18250/B18177.htm</v>
      </c>
    </row>
    <row r="8918" spans="1:11" x14ac:dyDescent="0.25">
      <c r="A8918" t="s">
        <v>29062</v>
      </c>
      <c r="B8918" s="1" t="str">
        <f>HYPERLINK("https://www.catalog.slsa.sa.gov.au/record=b2055558")</f>
        <v>https://www.catalog.slsa.sa.gov.au/record=b2055558</v>
      </c>
      <c r="C8918" s="1" t="str">
        <f>HYPERLINK("https://www.catalog.slsa.sa.gov.au/xrecord=b2055558")</f>
        <v>https://www.catalog.slsa.sa.gov.au/xrecord=b2055558</v>
      </c>
      <c r="D8918" t="s">
        <v>16831</v>
      </c>
      <c r="E8918" t="s">
        <v>16771</v>
      </c>
      <c r="F8918">
        <v>1968</v>
      </c>
      <c r="G8918" t="s">
        <v>14771</v>
      </c>
      <c r="H8918" t="s">
        <v>29063</v>
      </c>
      <c r="J8918" t="s">
        <v>17577</v>
      </c>
      <c r="K8918" s="2" t="str">
        <f>HYPERLINK("http://collections.slsa.sa.gov.au/mpcimg/18000/B17957_1.htm")</f>
        <v>http://collections.slsa.sa.gov.au/mpcimg/18000/B17957_1.htm</v>
      </c>
    </row>
    <row r="8919" spans="1:11" x14ac:dyDescent="0.25">
      <c r="A8919" t="s">
        <v>29064</v>
      </c>
      <c r="B8919" s="1" t="str">
        <f>HYPERLINK("https://www.catalog.slsa.sa.gov.au/record=b2055559")</f>
        <v>https://www.catalog.slsa.sa.gov.au/record=b2055559</v>
      </c>
      <c r="C8919" s="1" t="str">
        <f>HYPERLINK("https://www.catalog.slsa.sa.gov.au/xrecord=b2055559")</f>
        <v>https://www.catalog.slsa.sa.gov.au/xrecord=b2055559</v>
      </c>
      <c r="D8919" t="s">
        <v>16831</v>
      </c>
      <c r="E8919" t="s">
        <v>16771</v>
      </c>
      <c r="F8919">
        <v>1968</v>
      </c>
      <c r="G8919" t="s">
        <v>14771</v>
      </c>
      <c r="H8919" t="s">
        <v>29065</v>
      </c>
      <c r="J8919" t="s">
        <v>17577</v>
      </c>
      <c r="K8919" s="2" t="str">
        <f>HYPERLINK("http://collections.slsa.sa.gov.au/mpcimg/18000/B17957_2.htm")</f>
        <v>http://collections.slsa.sa.gov.au/mpcimg/18000/B17957_2.htm</v>
      </c>
    </row>
    <row r="8920" spans="1:11" x14ac:dyDescent="0.25">
      <c r="A8920" t="s">
        <v>29066</v>
      </c>
      <c r="B8920" s="1" t="str">
        <f>HYPERLINK("https://www.catalog.slsa.sa.gov.au/record=b2055995")</f>
        <v>https://www.catalog.slsa.sa.gov.au/record=b2055995</v>
      </c>
      <c r="C8920" s="1" t="str">
        <f>HYPERLINK("https://www.catalog.slsa.sa.gov.au/xrecord=b2055995")</f>
        <v>https://www.catalog.slsa.sa.gov.au/xrecord=b2055995</v>
      </c>
      <c r="D8920" t="s">
        <v>16831</v>
      </c>
      <c r="E8920" t="s">
        <v>20904</v>
      </c>
      <c r="F8920">
        <v>1968</v>
      </c>
      <c r="G8920" t="s">
        <v>15164</v>
      </c>
      <c r="H8920" t="s">
        <v>29067</v>
      </c>
      <c r="J8920" t="s">
        <v>20910</v>
      </c>
      <c r="K8920" s="2" t="str">
        <f>HYPERLINK("http://collections.slsa.sa.gov.au/mpcimg/18250/B18124_1.htm")</f>
        <v>http://collections.slsa.sa.gov.au/mpcimg/18250/B18124_1.htm</v>
      </c>
    </row>
    <row r="8921" spans="1:11" x14ac:dyDescent="0.25">
      <c r="A8921" t="s">
        <v>29068</v>
      </c>
      <c r="B8921" s="1" t="str">
        <f>HYPERLINK("https://www.catalog.slsa.sa.gov.au/record=b2055996")</f>
        <v>https://www.catalog.slsa.sa.gov.au/record=b2055996</v>
      </c>
      <c r="C8921" s="1" t="str">
        <f>HYPERLINK("https://www.catalog.slsa.sa.gov.au/xrecord=b2055996")</f>
        <v>https://www.catalog.slsa.sa.gov.au/xrecord=b2055996</v>
      </c>
      <c r="D8921" t="s">
        <v>16831</v>
      </c>
      <c r="E8921" t="s">
        <v>20904</v>
      </c>
      <c r="F8921">
        <v>1968</v>
      </c>
      <c r="G8921" t="s">
        <v>15164</v>
      </c>
      <c r="H8921" t="s">
        <v>29067</v>
      </c>
      <c r="J8921" t="s">
        <v>20910</v>
      </c>
      <c r="K8921" s="2" t="str">
        <f>HYPERLINK("http://collections.slsa.sa.gov.au/mpcimg/18250/B18124_2.htm")</f>
        <v>http://collections.slsa.sa.gov.au/mpcimg/18250/B18124_2.htm</v>
      </c>
    </row>
    <row r="8922" spans="1:11" x14ac:dyDescent="0.25">
      <c r="A8922" t="s">
        <v>29069</v>
      </c>
      <c r="B8922" s="1" t="str">
        <f>HYPERLINK("https://www.catalog.slsa.sa.gov.au/record=b2056987")</f>
        <v>https://www.catalog.slsa.sa.gov.au/record=b2056987</v>
      </c>
      <c r="C8922" s="1" t="str">
        <f>HYPERLINK("https://www.catalog.slsa.sa.gov.au/xrecord=b2056987")</f>
        <v>https://www.catalog.slsa.sa.gov.au/xrecord=b2056987</v>
      </c>
      <c r="D8922" t="s">
        <v>16831</v>
      </c>
      <c r="E8922" t="s">
        <v>29070</v>
      </c>
      <c r="F8922">
        <v>1968</v>
      </c>
      <c r="G8922" t="s">
        <v>14809</v>
      </c>
      <c r="H8922" t="s">
        <v>28787</v>
      </c>
      <c r="J8922" t="s">
        <v>28788</v>
      </c>
      <c r="K8922" s="2" t="str">
        <f>HYPERLINK("http://collections.slsa.sa.gov.au/mpcimg/39000/B38767.htm")</f>
        <v>http://collections.slsa.sa.gov.au/mpcimg/39000/B38767.htm</v>
      </c>
    </row>
    <row r="8923" spans="1:11" x14ac:dyDescent="0.25">
      <c r="A8923" t="s">
        <v>29071</v>
      </c>
      <c r="B8923" s="1" t="str">
        <f>HYPERLINK("https://www.catalog.slsa.sa.gov.au/record=b2057003")</f>
        <v>https://www.catalog.slsa.sa.gov.au/record=b2057003</v>
      </c>
      <c r="C8923" s="1" t="str">
        <f>HYPERLINK("https://www.catalog.slsa.sa.gov.au/xrecord=b2057003")</f>
        <v>https://www.catalog.slsa.sa.gov.au/xrecord=b2057003</v>
      </c>
      <c r="D8923" t="s">
        <v>16831</v>
      </c>
      <c r="E8923" t="s">
        <v>20933</v>
      </c>
      <c r="F8923">
        <v>1968</v>
      </c>
      <c r="G8923" t="s">
        <v>15164</v>
      </c>
      <c r="H8923" t="s">
        <v>29072</v>
      </c>
      <c r="J8923" t="s">
        <v>25324</v>
      </c>
      <c r="K8923" s="2" t="str">
        <f>HYPERLINK("http://collections.slsa.sa.gov.au/mpcimg/18250/B18112.htm")</f>
        <v>http://collections.slsa.sa.gov.au/mpcimg/18250/B18112.htm</v>
      </c>
    </row>
    <row r="8924" spans="1:11" x14ac:dyDescent="0.25">
      <c r="A8924" t="s">
        <v>29073</v>
      </c>
      <c r="B8924" s="1" t="str">
        <f>HYPERLINK("https://www.catalog.slsa.sa.gov.au/record=b2057017")</f>
        <v>https://www.catalog.slsa.sa.gov.au/record=b2057017</v>
      </c>
      <c r="C8924" s="1" t="str">
        <f>HYPERLINK("https://www.catalog.slsa.sa.gov.au/xrecord=b2057017")</f>
        <v>https://www.catalog.slsa.sa.gov.au/xrecord=b2057017</v>
      </c>
      <c r="D8924" t="s">
        <v>16831</v>
      </c>
      <c r="E8924" t="s">
        <v>29074</v>
      </c>
      <c r="F8924">
        <v>1968</v>
      </c>
      <c r="G8924" t="s">
        <v>14809</v>
      </c>
      <c r="H8924" t="s">
        <v>29075</v>
      </c>
      <c r="J8924" t="s">
        <v>25324</v>
      </c>
      <c r="K8924" s="2" t="str">
        <f>HYPERLINK("http://collections.slsa.sa.gov.au/mpcimg/39000/B38768.htm")</f>
        <v>http://collections.slsa.sa.gov.au/mpcimg/39000/B38768.htm</v>
      </c>
    </row>
    <row r="8925" spans="1:11" x14ac:dyDescent="0.25">
      <c r="A8925" t="s">
        <v>29076</v>
      </c>
      <c r="B8925" s="1" t="str">
        <f>HYPERLINK("https://www.catalog.slsa.sa.gov.au/record=b2057188")</f>
        <v>https://www.catalog.slsa.sa.gov.au/record=b2057188</v>
      </c>
      <c r="C8925" s="1" t="str">
        <f>HYPERLINK("https://www.catalog.slsa.sa.gov.au/xrecord=b2057188")</f>
        <v>https://www.catalog.slsa.sa.gov.au/xrecord=b2057188</v>
      </c>
      <c r="D8925" t="s">
        <v>16831</v>
      </c>
      <c r="E8925" t="s">
        <v>16771</v>
      </c>
      <c r="F8925">
        <v>1968</v>
      </c>
      <c r="G8925" t="s">
        <v>14771</v>
      </c>
      <c r="H8925" t="s">
        <v>29077</v>
      </c>
      <c r="J8925" t="s">
        <v>22791</v>
      </c>
      <c r="K8925" s="2" t="str">
        <f>HYPERLINK("http://collections.slsa.sa.gov.au/mpcimg/18000/B17854.htm")</f>
        <v>http://collections.slsa.sa.gov.au/mpcimg/18000/B17854.htm</v>
      </c>
    </row>
    <row r="8926" spans="1:11" x14ac:dyDescent="0.25">
      <c r="A8926" t="s">
        <v>29078</v>
      </c>
      <c r="B8926" s="1" t="str">
        <f>HYPERLINK("https://www.catalog.slsa.sa.gov.au/record=b2059277")</f>
        <v>https://www.catalog.slsa.sa.gov.au/record=b2059277</v>
      </c>
      <c r="C8926" s="1" t="str">
        <f>HYPERLINK("https://www.catalog.slsa.sa.gov.au/xrecord=b2059277")</f>
        <v>https://www.catalog.slsa.sa.gov.au/xrecord=b2059277</v>
      </c>
      <c r="D8926" t="s">
        <v>16831</v>
      </c>
      <c r="E8926" t="s">
        <v>28202</v>
      </c>
      <c r="F8926">
        <v>1968</v>
      </c>
      <c r="G8926" t="s">
        <v>15164</v>
      </c>
      <c r="H8926" t="s">
        <v>29079</v>
      </c>
      <c r="J8926" t="s">
        <v>22837</v>
      </c>
      <c r="K8926" s="2" t="str">
        <f>HYPERLINK("http://collections.slsa.sa.gov.au/mpcimg/18250/B18111_1.htm")</f>
        <v>http://collections.slsa.sa.gov.au/mpcimg/18250/B18111_1.htm</v>
      </c>
    </row>
    <row r="8927" spans="1:11" x14ac:dyDescent="0.25">
      <c r="A8927" t="s">
        <v>29080</v>
      </c>
      <c r="B8927" s="1" t="str">
        <f>HYPERLINK("https://www.catalog.slsa.sa.gov.au/record=b2059278")</f>
        <v>https://www.catalog.slsa.sa.gov.au/record=b2059278</v>
      </c>
      <c r="C8927" s="1" t="str">
        <f>HYPERLINK("https://www.catalog.slsa.sa.gov.au/xrecord=b2059278")</f>
        <v>https://www.catalog.slsa.sa.gov.au/xrecord=b2059278</v>
      </c>
      <c r="D8927" t="s">
        <v>16831</v>
      </c>
      <c r="E8927" t="s">
        <v>28202</v>
      </c>
      <c r="F8927">
        <v>1968</v>
      </c>
      <c r="G8927" t="s">
        <v>15164</v>
      </c>
      <c r="H8927" t="s">
        <v>29081</v>
      </c>
      <c r="J8927" t="s">
        <v>22837</v>
      </c>
      <c r="K8927" s="2" t="str">
        <f>HYPERLINK("http://collections.slsa.sa.gov.au/mpcimg/18250/B18111_2.htm")</f>
        <v>http://collections.slsa.sa.gov.au/mpcimg/18250/B18111_2.htm</v>
      </c>
    </row>
    <row r="8928" spans="1:11" x14ac:dyDescent="0.25">
      <c r="A8928" t="s">
        <v>29082</v>
      </c>
      <c r="B8928" s="1" t="str">
        <f>HYPERLINK("https://www.catalog.slsa.sa.gov.au/record=b2059471")</f>
        <v>https://www.catalog.slsa.sa.gov.au/record=b2059471</v>
      </c>
      <c r="C8928" s="1" t="str">
        <f>HYPERLINK("https://www.catalog.slsa.sa.gov.au/xrecord=b2059471")</f>
        <v>https://www.catalog.slsa.sa.gov.au/xrecord=b2059471</v>
      </c>
      <c r="D8928" t="s">
        <v>16831</v>
      </c>
      <c r="E8928" t="s">
        <v>29083</v>
      </c>
      <c r="F8928">
        <v>1968</v>
      </c>
      <c r="G8928" t="s">
        <v>14771</v>
      </c>
      <c r="H8928" t="s">
        <v>29084</v>
      </c>
      <c r="I8928" t="s">
        <v>29085</v>
      </c>
      <c r="J8928" t="s">
        <v>29086</v>
      </c>
      <c r="K8928" s="2" t="str">
        <f>HYPERLINK("http://collections.slsa.sa.gov.au/mpcimg/18000/B17797_1.htm")</f>
        <v>http://collections.slsa.sa.gov.au/mpcimg/18000/B17797_1.htm</v>
      </c>
    </row>
    <row r="8929" spans="1:11" x14ac:dyDescent="0.25">
      <c r="A8929" t="s">
        <v>29087</v>
      </c>
      <c r="B8929" s="1" t="str">
        <f>HYPERLINK("https://www.catalog.slsa.sa.gov.au/record=b2059472")</f>
        <v>https://www.catalog.slsa.sa.gov.au/record=b2059472</v>
      </c>
      <c r="C8929" s="1" t="str">
        <f>HYPERLINK("https://www.catalog.slsa.sa.gov.au/xrecord=b2059472")</f>
        <v>https://www.catalog.slsa.sa.gov.au/xrecord=b2059472</v>
      </c>
      <c r="D8929" t="s">
        <v>16831</v>
      </c>
      <c r="E8929" t="s">
        <v>29088</v>
      </c>
      <c r="F8929">
        <v>1968</v>
      </c>
      <c r="G8929" t="s">
        <v>14771</v>
      </c>
      <c r="H8929" t="s">
        <v>29084</v>
      </c>
      <c r="I8929" t="s">
        <v>29085</v>
      </c>
      <c r="J8929" t="s">
        <v>29086</v>
      </c>
      <c r="K8929" s="2" t="str">
        <f>HYPERLINK("http://collections.slsa.sa.gov.au/mpcimg/18000/B17797_2.htm")</f>
        <v>http://collections.slsa.sa.gov.au/mpcimg/18000/B17797_2.htm</v>
      </c>
    </row>
    <row r="8930" spans="1:11" x14ac:dyDescent="0.25">
      <c r="A8930" t="s">
        <v>29089</v>
      </c>
      <c r="B8930" s="1" t="str">
        <f>HYPERLINK("https://www.catalog.slsa.sa.gov.au/record=b2059966")</f>
        <v>https://www.catalog.slsa.sa.gov.au/record=b2059966</v>
      </c>
      <c r="C8930" s="1" t="str">
        <f>HYPERLINK("https://www.catalog.slsa.sa.gov.au/xrecord=b2059966")</f>
        <v>https://www.catalog.slsa.sa.gov.au/xrecord=b2059966</v>
      </c>
      <c r="D8930" t="s">
        <v>16831</v>
      </c>
      <c r="E8930" t="s">
        <v>20100</v>
      </c>
      <c r="F8930">
        <v>1968</v>
      </c>
      <c r="G8930" t="s">
        <v>14771</v>
      </c>
      <c r="H8930" t="s">
        <v>29090</v>
      </c>
      <c r="J8930" t="s">
        <v>21055</v>
      </c>
      <c r="K8930" s="2" t="str">
        <f>HYPERLINK("http://collections.slsa.sa.gov.au/mpcimg/18000/B17954.htm")</f>
        <v>http://collections.slsa.sa.gov.au/mpcimg/18000/B17954.htm</v>
      </c>
    </row>
    <row r="8931" spans="1:11" x14ac:dyDescent="0.25">
      <c r="A8931" t="s">
        <v>29091</v>
      </c>
      <c r="B8931" s="1" t="str">
        <f>HYPERLINK("https://www.catalog.slsa.sa.gov.au/record=b2060436")</f>
        <v>https://www.catalog.slsa.sa.gov.au/record=b2060436</v>
      </c>
      <c r="C8931" s="1" t="str">
        <f>HYPERLINK("https://www.catalog.slsa.sa.gov.au/xrecord=b2060436")</f>
        <v>https://www.catalog.slsa.sa.gov.au/xrecord=b2060436</v>
      </c>
      <c r="D8931" t="s">
        <v>16831</v>
      </c>
      <c r="E8931" t="s">
        <v>29092</v>
      </c>
      <c r="F8931">
        <v>1968</v>
      </c>
      <c r="G8931" t="s">
        <v>14771</v>
      </c>
      <c r="H8931" t="s">
        <v>29093</v>
      </c>
      <c r="J8931" t="s">
        <v>24309</v>
      </c>
      <c r="K8931" s="2" t="str">
        <f>HYPERLINK("http://collections.slsa.sa.gov.au/mpcimg/18000/B17956_1.htm")</f>
        <v>http://collections.slsa.sa.gov.au/mpcimg/18000/B17956_1.htm</v>
      </c>
    </row>
    <row r="8932" spans="1:11" x14ac:dyDescent="0.25">
      <c r="A8932" t="s">
        <v>29094</v>
      </c>
      <c r="B8932" s="1" t="str">
        <f>HYPERLINK("https://www.catalog.slsa.sa.gov.au/record=b2060437")</f>
        <v>https://www.catalog.slsa.sa.gov.au/record=b2060437</v>
      </c>
      <c r="C8932" s="1" t="str">
        <f>HYPERLINK("https://www.catalog.slsa.sa.gov.au/xrecord=b2060437")</f>
        <v>https://www.catalog.slsa.sa.gov.au/xrecord=b2060437</v>
      </c>
      <c r="D8932" t="s">
        <v>16831</v>
      </c>
      <c r="E8932" t="s">
        <v>29095</v>
      </c>
      <c r="F8932">
        <v>1968</v>
      </c>
      <c r="G8932" t="s">
        <v>14771</v>
      </c>
      <c r="H8932" t="s">
        <v>29096</v>
      </c>
      <c r="J8932" t="s">
        <v>24309</v>
      </c>
      <c r="K8932" s="2" t="str">
        <f>HYPERLINK("http://collections.slsa.sa.gov.au/mpcimg/18000/B17956_2.htm")</f>
        <v>http://collections.slsa.sa.gov.au/mpcimg/18000/B17956_2.htm</v>
      </c>
    </row>
    <row r="8933" spans="1:11" x14ac:dyDescent="0.25">
      <c r="A8933" t="s">
        <v>29097</v>
      </c>
      <c r="B8933" s="1" t="str">
        <f>HYPERLINK("https://www.catalog.slsa.sa.gov.au/record=b2060733")</f>
        <v>https://www.catalog.slsa.sa.gov.au/record=b2060733</v>
      </c>
      <c r="C8933" s="1" t="str">
        <f>HYPERLINK("https://www.catalog.slsa.sa.gov.au/xrecord=b2060733")</f>
        <v>https://www.catalog.slsa.sa.gov.au/xrecord=b2060733</v>
      </c>
      <c r="D8933" t="s">
        <v>16831</v>
      </c>
      <c r="E8933" t="s">
        <v>20100</v>
      </c>
      <c r="F8933">
        <v>1968</v>
      </c>
      <c r="G8933" t="s">
        <v>29098</v>
      </c>
      <c r="H8933" t="s">
        <v>29099</v>
      </c>
      <c r="J8933" t="s">
        <v>29100</v>
      </c>
      <c r="K8933" s="2" t="str">
        <f>HYPERLINK("http://collections.slsa.sa.gov.au/mpcimg/18000/B17822_1.htm")</f>
        <v>http://collections.slsa.sa.gov.au/mpcimg/18000/B17822_1.htm</v>
      </c>
    </row>
    <row r="8934" spans="1:11" x14ac:dyDescent="0.25">
      <c r="A8934" t="s">
        <v>29101</v>
      </c>
      <c r="B8934" s="1" t="str">
        <f>HYPERLINK("https://www.catalog.slsa.sa.gov.au/record=b2060734")</f>
        <v>https://www.catalog.slsa.sa.gov.au/record=b2060734</v>
      </c>
      <c r="C8934" s="1" t="str">
        <f>HYPERLINK("https://www.catalog.slsa.sa.gov.au/xrecord=b2060734")</f>
        <v>https://www.catalog.slsa.sa.gov.au/xrecord=b2060734</v>
      </c>
      <c r="D8934" t="s">
        <v>16831</v>
      </c>
      <c r="E8934" t="s">
        <v>20100</v>
      </c>
      <c r="F8934">
        <v>1968</v>
      </c>
      <c r="G8934" t="s">
        <v>29098</v>
      </c>
      <c r="H8934" t="s">
        <v>29099</v>
      </c>
      <c r="J8934" t="s">
        <v>29100</v>
      </c>
      <c r="K8934" s="2" t="str">
        <f>HYPERLINK("http://collections.slsa.sa.gov.au/mpcimg/18000/B17822_2.htm")</f>
        <v>http://collections.slsa.sa.gov.au/mpcimg/18000/B17822_2.htm</v>
      </c>
    </row>
    <row r="8935" spans="1:11" x14ac:dyDescent="0.25">
      <c r="A8935" t="s">
        <v>29102</v>
      </c>
      <c r="B8935" s="1" t="str">
        <f>HYPERLINK("https://www.catalog.slsa.sa.gov.au/record=b2060735")</f>
        <v>https://www.catalog.slsa.sa.gov.au/record=b2060735</v>
      </c>
      <c r="C8935" s="1" t="str">
        <f>HYPERLINK("https://www.catalog.slsa.sa.gov.au/xrecord=b2060735")</f>
        <v>https://www.catalog.slsa.sa.gov.au/xrecord=b2060735</v>
      </c>
      <c r="D8935" t="s">
        <v>16831</v>
      </c>
      <c r="E8935" t="s">
        <v>20100</v>
      </c>
      <c r="F8935">
        <v>1968</v>
      </c>
      <c r="G8935" t="s">
        <v>29098</v>
      </c>
      <c r="H8935" t="s">
        <v>29099</v>
      </c>
      <c r="J8935" t="s">
        <v>29100</v>
      </c>
      <c r="K8935" s="2" t="str">
        <f>HYPERLINK("http://collections.slsa.sa.gov.au/mpcimg/18000/B17822_3.htm")</f>
        <v>http://collections.slsa.sa.gov.au/mpcimg/18000/B17822_3.htm</v>
      </c>
    </row>
    <row r="8936" spans="1:11" x14ac:dyDescent="0.25">
      <c r="A8936" t="s">
        <v>29103</v>
      </c>
      <c r="B8936" s="1" t="str">
        <f>HYPERLINK("https://www.catalog.slsa.sa.gov.au/record=b2060736")</f>
        <v>https://www.catalog.slsa.sa.gov.au/record=b2060736</v>
      </c>
      <c r="C8936" s="1" t="str">
        <f>HYPERLINK("https://www.catalog.slsa.sa.gov.au/xrecord=b2060736")</f>
        <v>https://www.catalog.slsa.sa.gov.au/xrecord=b2060736</v>
      </c>
      <c r="D8936" t="s">
        <v>16831</v>
      </c>
      <c r="E8936" t="s">
        <v>29104</v>
      </c>
      <c r="F8936">
        <v>1968</v>
      </c>
      <c r="G8936" t="s">
        <v>29098</v>
      </c>
      <c r="H8936" t="s">
        <v>29105</v>
      </c>
      <c r="J8936" t="s">
        <v>29100</v>
      </c>
      <c r="K8936" s="2" t="str">
        <f>HYPERLINK("http://collections.slsa.sa.gov.au/mpcimg/18000/B17822_4.htm")</f>
        <v>http://collections.slsa.sa.gov.au/mpcimg/18000/B17822_4.htm</v>
      </c>
    </row>
    <row r="8937" spans="1:11" x14ac:dyDescent="0.25">
      <c r="A8937" t="s">
        <v>29106</v>
      </c>
      <c r="B8937" s="1" t="str">
        <f>HYPERLINK("https://www.catalog.slsa.sa.gov.au/record=b2060737")</f>
        <v>https://www.catalog.slsa.sa.gov.au/record=b2060737</v>
      </c>
      <c r="C8937" s="1" t="str">
        <f>HYPERLINK("https://www.catalog.slsa.sa.gov.au/xrecord=b2060737")</f>
        <v>https://www.catalog.slsa.sa.gov.au/xrecord=b2060737</v>
      </c>
      <c r="D8937" t="s">
        <v>16831</v>
      </c>
      <c r="E8937" t="s">
        <v>29104</v>
      </c>
      <c r="F8937">
        <v>1968</v>
      </c>
      <c r="G8937" t="s">
        <v>29098</v>
      </c>
      <c r="H8937" t="s">
        <v>29107</v>
      </c>
      <c r="J8937" t="s">
        <v>29100</v>
      </c>
      <c r="K8937" s="2" t="str">
        <f>HYPERLINK("http://collections.slsa.sa.gov.au/mpcimg/18000/B17822_5.htm")</f>
        <v>http://collections.slsa.sa.gov.au/mpcimg/18000/B17822_5.htm</v>
      </c>
    </row>
    <row r="8938" spans="1:11" x14ac:dyDescent="0.25">
      <c r="A8938" t="s">
        <v>29108</v>
      </c>
      <c r="B8938" s="1" t="str">
        <f>HYPERLINK("https://www.catalog.slsa.sa.gov.au/record=b2060738")</f>
        <v>https://www.catalog.slsa.sa.gov.au/record=b2060738</v>
      </c>
      <c r="C8938" s="1" t="str">
        <f>HYPERLINK("https://www.catalog.slsa.sa.gov.au/xrecord=b2060738")</f>
        <v>https://www.catalog.slsa.sa.gov.au/xrecord=b2060738</v>
      </c>
      <c r="D8938" t="s">
        <v>16831</v>
      </c>
      <c r="E8938" t="s">
        <v>29104</v>
      </c>
      <c r="F8938">
        <v>1968</v>
      </c>
      <c r="G8938" t="s">
        <v>29098</v>
      </c>
      <c r="H8938" t="s">
        <v>29107</v>
      </c>
      <c r="J8938" t="s">
        <v>29100</v>
      </c>
      <c r="K8938" s="2" t="str">
        <f>HYPERLINK("http://collections.slsa.sa.gov.au/mpcimg/18000/B17822_6.htm")</f>
        <v>http://collections.slsa.sa.gov.au/mpcimg/18000/B17822_6.htm</v>
      </c>
    </row>
    <row r="8939" spans="1:11" x14ac:dyDescent="0.25">
      <c r="A8939" t="s">
        <v>29109</v>
      </c>
      <c r="B8939" s="1" t="str">
        <f>HYPERLINK("https://www.catalog.slsa.sa.gov.au/record=b2060826")</f>
        <v>https://www.catalog.slsa.sa.gov.au/record=b2060826</v>
      </c>
      <c r="C8939" s="1" t="str">
        <f>HYPERLINK("https://www.catalog.slsa.sa.gov.au/xrecord=b2060826")</f>
        <v>https://www.catalog.slsa.sa.gov.au/xrecord=b2060826</v>
      </c>
      <c r="D8939" t="s">
        <v>16831</v>
      </c>
      <c r="E8939" t="s">
        <v>21099</v>
      </c>
      <c r="F8939">
        <v>1968</v>
      </c>
      <c r="G8939" t="s">
        <v>15164</v>
      </c>
      <c r="H8939" t="s">
        <v>29110</v>
      </c>
      <c r="J8939" t="s">
        <v>28810</v>
      </c>
      <c r="K8939" s="2" t="str">
        <f>HYPERLINK("http://collections.slsa.sa.gov.au/mpcimg/18250/B18145.htm")</f>
        <v>http://collections.slsa.sa.gov.au/mpcimg/18250/B18145.htm</v>
      </c>
    </row>
    <row r="8940" spans="1:11" x14ac:dyDescent="0.25">
      <c r="A8940" t="s">
        <v>29111</v>
      </c>
      <c r="B8940" s="1" t="str">
        <f>HYPERLINK("https://www.catalog.slsa.sa.gov.au/record=b2060953")</f>
        <v>https://www.catalog.slsa.sa.gov.au/record=b2060953</v>
      </c>
      <c r="C8940" s="1" t="str">
        <f>HYPERLINK("https://www.catalog.slsa.sa.gov.au/xrecord=b2060953")</f>
        <v>https://www.catalog.slsa.sa.gov.au/xrecord=b2060953</v>
      </c>
      <c r="D8940" t="s">
        <v>16831</v>
      </c>
      <c r="E8940" t="s">
        <v>5365</v>
      </c>
      <c r="F8940">
        <v>1968</v>
      </c>
      <c r="G8940" t="s">
        <v>15164</v>
      </c>
      <c r="H8940" t="s">
        <v>29112</v>
      </c>
      <c r="J8940" t="s">
        <v>2573</v>
      </c>
      <c r="K8940" s="2" t="str">
        <f>HYPERLINK("http://collections.slsa.sa.gov.au/mpcimg/18250/B18043_1.htm")</f>
        <v>http://collections.slsa.sa.gov.au/mpcimg/18250/B18043_1.htm</v>
      </c>
    </row>
    <row r="8941" spans="1:11" x14ac:dyDescent="0.25">
      <c r="A8941" t="s">
        <v>29113</v>
      </c>
      <c r="B8941" s="1" t="str">
        <f>HYPERLINK("https://www.catalog.slsa.sa.gov.au/record=b2060954")</f>
        <v>https://www.catalog.slsa.sa.gov.au/record=b2060954</v>
      </c>
      <c r="C8941" s="1" t="str">
        <f>HYPERLINK("https://www.catalog.slsa.sa.gov.au/xrecord=b2060954")</f>
        <v>https://www.catalog.slsa.sa.gov.au/xrecord=b2060954</v>
      </c>
      <c r="D8941" t="s">
        <v>16831</v>
      </c>
      <c r="E8941" t="s">
        <v>5365</v>
      </c>
      <c r="F8941">
        <v>1968</v>
      </c>
      <c r="G8941" t="s">
        <v>15164</v>
      </c>
      <c r="H8941" t="s">
        <v>29114</v>
      </c>
      <c r="J8941" t="s">
        <v>2573</v>
      </c>
      <c r="K8941" s="2" t="str">
        <f>HYPERLINK("http://collections.slsa.sa.gov.au/mpcimg/18250/B18043_2.htm")</f>
        <v>http://collections.slsa.sa.gov.au/mpcimg/18250/B18043_2.htm</v>
      </c>
    </row>
    <row r="8942" spans="1:11" x14ac:dyDescent="0.25">
      <c r="A8942" t="s">
        <v>29115</v>
      </c>
      <c r="B8942" s="1" t="str">
        <f>HYPERLINK("https://www.catalog.slsa.sa.gov.au/record=b2060955")</f>
        <v>https://www.catalog.slsa.sa.gov.au/record=b2060955</v>
      </c>
      <c r="C8942" s="1" t="str">
        <f>HYPERLINK("https://www.catalog.slsa.sa.gov.au/xrecord=b2060955")</f>
        <v>https://www.catalog.slsa.sa.gov.au/xrecord=b2060955</v>
      </c>
      <c r="D8942" t="s">
        <v>16831</v>
      </c>
      <c r="E8942" t="s">
        <v>5365</v>
      </c>
      <c r="F8942">
        <v>1968</v>
      </c>
      <c r="G8942" t="s">
        <v>15164</v>
      </c>
      <c r="H8942" t="s">
        <v>29114</v>
      </c>
      <c r="J8942" t="s">
        <v>2573</v>
      </c>
      <c r="K8942" s="2" t="str">
        <f>HYPERLINK("http://collections.slsa.sa.gov.au/mpcimg/18250/B18043_3.htm")</f>
        <v>http://collections.slsa.sa.gov.au/mpcimg/18250/B18043_3.htm</v>
      </c>
    </row>
    <row r="8943" spans="1:11" x14ac:dyDescent="0.25">
      <c r="A8943" t="s">
        <v>29116</v>
      </c>
      <c r="B8943" s="1" t="str">
        <f>HYPERLINK("https://www.catalog.slsa.sa.gov.au/record=b2060956")</f>
        <v>https://www.catalog.slsa.sa.gov.au/record=b2060956</v>
      </c>
      <c r="C8943" s="1" t="str">
        <f>HYPERLINK("https://www.catalog.slsa.sa.gov.au/xrecord=b2060956")</f>
        <v>https://www.catalog.slsa.sa.gov.au/xrecord=b2060956</v>
      </c>
      <c r="D8943" t="s">
        <v>16831</v>
      </c>
      <c r="E8943" t="s">
        <v>5365</v>
      </c>
      <c r="F8943">
        <v>1968</v>
      </c>
      <c r="G8943" t="s">
        <v>15164</v>
      </c>
      <c r="H8943" t="s">
        <v>29114</v>
      </c>
      <c r="J8943" t="s">
        <v>2573</v>
      </c>
      <c r="K8943" s="2" t="str">
        <f>HYPERLINK("http://collections.slsa.sa.gov.au/mpcimg/18250/B18043_4.htm")</f>
        <v>http://collections.slsa.sa.gov.au/mpcimg/18250/B18043_4.htm</v>
      </c>
    </row>
    <row r="8944" spans="1:11" x14ac:dyDescent="0.25">
      <c r="A8944" t="s">
        <v>29117</v>
      </c>
      <c r="B8944" s="1" t="str">
        <f>HYPERLINK("https://www.catalog.slsa.sa.gov.au/record=b2060957")</f>
        <v>https://www.catalog.slsa.sa.gov.au/record=b2060957</v>
      </c>
      <c r="C8944" s="1" t="str">
        <f>HYPERLINK("https://www.catalog.slsa.sa.gov.au/xrecord=b2060957")</f>
        <v>https://www.catalog.slsa.sa.gov.au/xrecord=b2060957</v>
      </c>
      <c r="D8944" t="s">
        <v>16831</v>
      </c>
      <c r="E8944" t="s">
        <v>5365</v>
      </c>
      <c r="F8944">
        <v>1968</v>
      </c>
      <c r="G8944" t="s">
        <v>15164</v>
      </c>
      <c r="H8944" t="s">
        <v>29114</v>
      </c>
      <c r="J8944" t="s">
        <v>2573</v>
      </c>
      <c r="K8944" s="2" t="str">
        <f>HYPERLINK("http://collections.slsa.sa.gov.au/mpcimg/18250/B18043_5.htm")</f>
        <v>http://collections.slsa.sa.gov.au/mpcimg/18250/B18043_5.htm</v>
      </c>
    </row>
    <row r="8945" spans="1:11" x14ac:dyDescent="0.25">
      <c r="A8945" t="s">
        <v>29118</v>
      </c>
      <c r="B8945" s="1" t="str">
        <f>HYPERLINK("https://www.catalog.slsa.sa.gov.au/record=b2060995")</f>
        <v>https://www.catalog.slsa.sa.gov.au/record=b2060995</v>
      </c>
      <c r="C8945" s="1" t="str">
        <f>HYPERLINK("https://www.catalog.slsa.sa.gov.au/xrecord=b2060995")</f>
        <v>https://www.catalog.slsa.sa.gov.au/xrecord=b2060995</v>
      </c>
      <c r="D8945" t="s">
        <v>16831</v>
      </c>
      <c r="E8945" t="s">
        <v>29119</v>
      </c>
      <c r="F8945">
        <v>1968</v>
      </c>
      <c r="G8945" t="s">
        <v>16674</v>
      </c>
      <c r="H8945" t="s">
        <v>29120</v>
      </c>
      <c r="J8945" t="s">
        <v>24342</v>
      </c>
      <c r="K8945" s="2" t="str">
        <f>HYPERLINK("http://collections.slsa.sa.gov.au/mpcimg/18250/B18115.htm")</f>
        <v>http://collections.slsa.sa.gov.au/mpcimg/18250/B18115.htm</v>
      </c>
    </row>
    <row r="8946" spans="1:11" x14ac:dyDescent="0.25">
      <c r="A8946" t="s">
        <v>29121</v>
      </c>
      <c r="B8946" s="1" t="str">
        <f>HYPERLINK("https://www.catalog.slsa.sa.gov.au/record=b2061005")</f>
        <v>https://www.catalog.slsa.sa.gov.au/record=b2061005</v>
      </c>
      <c r="C8946" s="1" t="str">
        <f>HYPERLINK("https://www.catalog.slsa.sa.gov.au/xrecord=b2061005")</f>
        <v>https://www.catalog.slsa.sa.gov.au/xrecord=b2061005</v>
      </c>
      <c r="D8946" t="s">
        <v>16831</v>
      </c>
      <c r="E8946" t="s">
        <v>21118</v>
      </c>
      <c r="F8946">
        <v>1968</v>
      </c>
      <c r="G8946" t="s">
        <v>14771</v>
      </c>
      <c r="H8946" t="s">
        <v>29122</v>
      </c>
      <c r="J8946" t="s">
        <v>24353</v>
      </c>
      <c r="K8946" s="2" t="str">
        <f>HYPERLINK("http://collections.slsa.sa.gov.au/mpcimg/18250/B18113.htm")</f>
        <v>http://collections.slsa.sa.gov.au/mpcimg/18250/B18113.htm</v>
      </c>
    </row>
    <row r="8947" spans="1:11" x14ac:dyDescent="0.25">
      <c r="A8947" t="s">
        <v>29123</v>
      </c>
      <c r="B8947" s="1" t="str">
        <f>HYPERLINK("https://www.catalog.slsa.sa.gov.au/record=b2061006")</f>
        <v>https://www.catalog.slsa.sa.gov.au/record=b2061006</v>
      </c>
      <c r="C8947" s="1" t="str">
        <f>HYPERLINK("https://www.catalog.slsa.sa.gov.au/xrecord=b2061006")</f>
        <v>https://www.catalog.slsa.sa.gov.au/xrecord=b2061006</v>
      </c>
      <c r="D8947" t="s">
        <v>16831</v>
      </c>
      <c r="E8947" t="s">
        <v>21118</v>
      </c>
      <c r="F8947">
        <v>1968</v>
      </c>
      <c r="G8947" t="s">
        <v>16674</v>
      </c>
      <c r="H8947" t="s">
        <v>29124</v>
      </c>
      <c r="J8947" t="s">
        <v>24353</v>
      </c>
      <c r="K8947" s="2" t="str">
        <f>HYPERLINK("http://collections.slsa.sa.gov.au/mpcimg/18250/B18114_2.htm")</f>
        <v>http://collections.slsa.sa.gov.au/mpcimg/18250/B18114_2.htm</v>
      </c>
    </row>
    <row r="8948" spans="1:11" x14ac:dyDescent="0.25">
      <c r="A8948" t="s">
        <v>29125</v>
      </c>
      <c r="B8948" s="1" t="str">
        <f>HYPERLINK("https://www.catalog.slsa.sa.gov.au/record=b2061007")</f>
        <v>https://www.catalog.slsa.sa.gov.au/record=b2061007</v>
      </c>
      <c r="C8948" s="1" t="str">
        <f>HYPERLINK("https://www.catalog.slsa.sa.gov.au/xrecord=b2061007")</f>
        <v>https://www.catalog.slsa.sa.gov.au/xrecord=b2061007</v>
      </c>
      <c r="D8948" t="s">
        <v>16831</v>
      </c>
      <c r="E8948" t="s">
        <v>21118</v>
      </c>
      <c r="F8948">
        <v>1968</v>
      </c>
      <c r="G8948" t="s">
        <v>14771</v>
      </c>
      <c r="H8948" t="s">
        <v>29126</v>
      </c>
      <c r="J8948" t="s">
        <v>24353</v>
      </c>
      <c r="K8948" s="2" t="str">
        <f>HYPERLINK("http://collections.slsa.sa.gov.au/mpcimg/18250/B18114_1.htm")</f>
        <v>http://collections.slsa.sa.gov.au/mpcimg/18250/B18114_1.htm</v>
      </c>
    </row>
    <row r="8949" spans="1:11" x14ac:dyDescent="0.25">
      <c r="A8949" t="s">
        <v>29127</v>
      </c>
      <c r="B8949" s="1" t="str">
        <f>HYPERLINK("https://www.catalog.slsa.sa.gov.au/record=b2061008")</f>
        <v>https://www.catalog.slsa.sa.gov.au/record=b2061008</v>
      </c>
      <c r="C8949" s="1" t="str">
        <f>HYPERLINK("https://www.catalog.slsa.sa.gov.au/xrecord=b2061008")</f>
        <v>https://www.catalog.slsa.sa.gov.au/xrecord=b2061008</v>
      </c>
      <c r="D8949" t="s">
        <v>16831</v>
      </c>
      <c r="E8949" t="s">
        <v>21118</v>
      </c>
      <c r="F8949">
        <v>1968</v>
      </c>
      <c r="G8949" t="s">
        <v>16674</v>
      </c>
      <c r="H8949" t="s">
        <v>29126</v>
      </c>
      <c r="J8949" t="s">
        <v>24353</v>
      </c>
      <c r="K8949" s="2" t="str">
        <f>HYPERLINK("http://collections.slsa.sa.gov.au/mpcimg/18250/B18114_3.htm")</f>
        <v>http://collections.slsa.sa.gov.au/mpcimg/18250/B18114_3.htm</v>
      </c>
    </row>
    <row r="8950" spans="1:11" x14ac:dyDescent="0.25">
      <c r="A8950" t="s">
        <v>29128</v>
      </c>
      <c r="B8950" s="1" t="str">
        <f>HYPERLINK("https://www.catalog.slsa.sa.gov.au/record=b2061029")</f>
        <v>https://www.catalog.slsa.sa.gov.au/record=b2061029</v>
      </c>
      <c r="C8950" s="1" t="str">
        <f>HYPERLINK("https://www.catalog.slsa.sa.gov.au/xrecord=b2061029")</f>
        <v>https://www.catalog.slsa.sa.gov.au/xrecord=b2061029</v>
      </c>
      <c r="D8950" t="s">
        <v>16831</v>
      </c>
      <c r="E8950" t="s">
        <v>22149</v>
      </c>
      <c r="F8950">
        <v>1968</v>
      </c>
      <c r="G8950" t="s">
        <v>15164</v>
      </c>
      <c r="H8950" t="s">
        <v>29129</v>
      </c>
      <c r="J8950" t="s">
        <v>24356</v>
      </c>
      <c r="K8950" s="2" t="str">
        <f>HYPERLINK("http://collections.slsa.sa.gov.au/mpcimg/18250/B18110.htm")</f>
        <v>http://collections.slsa.sa.gov.au/mpcimg/18250/B18110.htm</v>
      </c>
    </row>
    <row r="8951" spans="1:11" x14ac:dyDescent="0.25">
      <c r="A8951" t="s">
        <v>29130</v>
      </c>
      <c r="B8951" s="1" t="str">
        <f>HYPERLINK("https://www.catalog.slsa.sa.gov.au/record=b2061139")</f>
        <v>https://www.catalog.slsa.sa.gov.au/record=b2061139</v>
      </c>
      <c r="C8951" s="1" t="str">
        <f>HYPERLINK("https://www.catalog.slsa.sa.gov.au/xrecord=b2061139")</f>
        <v>https://www.catalog.slsa.sa.gov.au/xrecord=b2061139</v>
      </c>
      <c r="D8951" t="s">
        <v>16831</v>
      </c>
      <c r="E8951" t="s">
        <v>21118</v>
      </c>
      <c r="F8951">
        <v>1968</v>
      </c>
      <c r="G8951" t="s">
        <v>14771</v>
      </c>
      <c r="H8951" t="s">
        <v>29131</v>
      </c>
      <c r="J8951" t="s">
        <v>21141</v>
      </c>
      <c r="K8951" s="2" t="str">
        <f>HYPERLINK("http://collections.slsa.sa.gov.au/mpcimg/18000/B17953.htm")</f>
        <v>http://collections.slsa.sa.gov.au/mpcimg/18000/B17953.htm</v>
      </c>
    </row>
    <row r="8952" spans="1:11" x14ac:dyDescent="0.25">
      <c r="A8952" t="s">
        <v>29132</v>
      </c>
      <c r="B8952" s="1" t="str">
        <f>HYPERLINK("https://www.catalog.slsa.sa.gov.au/record=b2061549")</f>
        <v>https://www.catalog.slsa.sa.gov.au/record=b2061549</v>
      </c>
      <c r="C8952" s="1" t="str">
        <f>HYPERLINK("https://www.catalog.slsa.sa.gov.au/xrecord=b2061549")</f>
        <v>https://www.catalog.slsa.sa.gov.au/xrecord=b2061549</v>
      </c>
      <c r="D8952" t="s">
        <v>16831</v>
      </c>
      <c r="E8952" t="s">
        <v>29133</v>
      </c>
      <c r="F8952">
        <v>1968</v>
      </c>
      <c r="G8952" t="s">
        <v>15164</v>
      </c>
      <c r="H8952" t="s">
        <v>29134</v>
      </c>
      <c r="J8952" t="s">
        <v>27158</v>
      </c>
      <c r="K8952" s="2" t="str">
        <f>HYPERLINK("http://collections.slsa.sa.gov.au/mpcimg/18250/B18125_1.htm")</f>
        <v>http://collections.slsa.sa.gov.au/mpcimg/18250/B18125_1.htm</v>
      </c>
    </row>
    <row r="8953" spans="1:11" x14ac:dyDescent="0.25">
      <c r="A8953" t="s">
        <v>29135</v>
      </c>
      <c r="B8953" s="1" t="str">
        <f>HYPERLINK("https://www.catalog.slsa.sa.gov.au/record=b2061550")</f>
        <v>https://www.catalog.slsa.sa.gov.au/record=b2061550</v>
      </c>
      <c r="C8953" s="1" t="str">
        <f>HYPERLINK("https://www.catalog.slsa.sa.gov.au/xrecord=b2061550")</f>
        <v>https://www.catalog.slsa.sa.gov.au/xrecord=b2061550</v>
      </c>
      <c r="D8953" t="s">
        <v>16831</v>
      </c>
      <c r="E8953" t="s">
        <v>29133</v>
      </c>
      <c r="F8953">
        <v>1968</v>
      </c>
      <c r="G8953" t="s">
        <v>15164</v>
      </c>
      <c r="H8953" t="s">
        <v>29136</v>
      </c>
      <c r="J8953" t="s">
        <v>27158</v>
      </c>
      <c r="K8953" s="2" t="str">
        <f>HYPERLINK("http://collections.slsa.sa.gov.au/mpcimg/18250/B18125_2.htm")</f>
        <v>http://collections.slsa.sa.gov.au/mpcimg/18250/B18125_2.htm</v>
      </c>
    </row>
    <row r="8954" spans="1:11" x14ac:dyDescent="0.25">
      <c r="A8954" t="s">
        <v>29137</v>
      </c>
      <c r="B8954" s="1" t="str">
        <f>HYPERLINK("https://www.catalog.slsa.sa.gov.au/record=b2061551")</f>
        <v>https://www.catalog.slsa.sa.gov.au/record=b2061551</v>
      </c>
      <c r="C8954" s="1" t="str">
        <f>HYPERLINK("https://www.catalog.slsa.sa.gov.au/xrecord=b2061551")</f>
        <v>https://www.catalog.slsa.sa.gov.au/xrecord=b2061551</v>
      </c>
      <c r="D8954" t="s">
        <v>16831</v>
      </c>
      <c r="E8954" t="s">
        <v>29133</v>
      </c>
      <c r="F8954">
        <v>1968</v>
      </c>
      <c r="G8954" t="s">
        <v>15164</v>
      </c>
      <c r="H8954" t="s">
        <v>29136</v>
      </c>
      <c r="J8954" t="s">
        <v>27158</v>
      </c>
      <c r="K8954" s="2" t="str">
        <f>HYPERLINK("http://collections.slsa.sa.gov.au/mpcimg/18250/B18125_3.htm")</f>
        <v>http://collections.slsa.sa.gov.au/mpcimg/18250/B18125_3.htm</v>
      </c>
    </row>
    <row r="8955" spans="1:11" x14ac:dyDescent="0.25">
      <c r="A8955" t="s">
        <v>29138</v>
      </c>
      <c r="B8955" s="1" t="str">
        <f>HYPERLINK("https://www.catalog.slsa.sa.gov.au/record=b2061665")</f>
        <v>https://www.catalog.slsa.sa.gov.au/record=b2061665</v>
      </c>
      <c r="C8955" s="1" t="str">
        <f>HYPERLINK("https://www.catalog.slsa.sa.gov.au/xrecord=b2061665")</f>
        <v>https://www.catalog.slsa.sa.gov.au/xrecord=b2061665</v>
      </c>
      <c r="D8955" t="s">
        <v>16831</v>
      </c>
      <c r="E8955" t="s">
        <v>24451</v>
      </c>
      <c r="F8955">
        <v>1968</v>
      </c>
      <c r="G8955" t="s">
        <v>14771</v>
      </c>
      <c r="H8955" t="s">
        <v>29139</v>
      </c>
      <c r="J8955" t="s">
        <v>24453</v>
      </c>
      <c r="K8955" s="2" t="str">
        <f>HYPERLINK("http://collections.slsa.sa.gov.au/mpcimg/18000/B17952.htm")</f>
        <v>http://collections.slsa.sa.gov.au/mpcimg/18000/B17952.htm</v>
      </c>
    </row>
    <row r="8956" spans="1:11" x14ac:dyDescent="0.25">
      <c r="A8956" t="s">
        <v>29140</v>
      </c>
      <c r="B8956" s="1" t="str">
        <f>HYPERLINK("https://www.catalog.slsa.sa.gov.au/record=b2061741")</f>
        <v>https://www.catalog.slsa.sa.gov.au/record=b2061741</v>
      </c>
      <c r="C8956" s="1" t="str">
        <f>HYPERLINK("https://www.catalog.slsa.sa.gov.au/xrecord=b2061741")</f>
        <v>https://www.catalog.slsa.sa.gov.au/xrecord=b2061741</v>
      </c>
      <c r="D8956" t="s">
        <v>16831</v>
      </c>
      <c r="E8956" t="s">
        <v>24451</v>
      </c>
      <c r="F8956">
        <v>1968</v>
      </c>
      <c r="G8956" t="s">
        <v>15164</v>
      </c>
      <c r="H8956" t="s">
        <v>29141</v>
      </c>
      <c r="J8956" t="s">
        <v>29142</v>
      </c>
      <c r="K8956" s="2" t="str">
        <f>HYPERLINK("http://collections.slsa.sa.gov.au/mpcimg/18250/B18109_1.htm")</f>
        <v>http://collections.slsa.sa.gov.au/mpcimg/18250/B18109_1.htm</v>
      </c>
    </row>
    <row r="8957" spans="1:11" x14ac:dyDescent="0.25">
      <c r="A8957" t="s">
        <v>29143</v>
      </c>
      <c r="B8957" s="1" t="str">
        <f>HYPERLINK("https://www.catalog.slsa.sa.gov.au/record=b2061742")</f>
        <v>https://www.catalog.slsa.sa.gov.au/record=b2061742</v>
      </c>
      <c r="C8957" s="1" t="str">
        <f>HYPERLINK("https://www.catalog.slsa.sa.gov.au/xrecord=b2061742")</f>
        <v>https://www.catalog.slsa.sa.gov.au/xrecord=b2061742</v>
      </c>
      <c r="D8957" t="s">
        <v>16831</v>
      </c>
      <c r="E8957" t="s">
        <v>24451</v>
      </c>
      <c r="F8957">
        <v>1968</v>
      </c>
      <c r="G8957" t="s">
        <v>15164</v>
      </c>
      <c r="H8957" t="s">
        <v>29144</v>
      </c>
      <c r="J8957" t="s">
        <v>29142</v>
      </c>
      <c r="K8957" s="2" t="str">
        <f>HYPERLINK("http://collections.slsa.sa.gov.au/mpcimg/18250/B18109_2.htm")</f>
        <v>http://collections.slsa.sa.gov.au/mpcimg/18250/B18109_2.htm</v>
      </c>
    </row>
    <row r="8958" spans="1:11" x14ac:dyDescent="0.25">
      <c r="A8958" t="s">
        <v>29145</v>
      </c>
      <c r="B8958" s="1" t="str">
        <f>HYPERLINK("https://www.catalog.slsa.sa.gov.au/record=b2061743")</f>
        <v>https://www.catalog.slsa.sa.gov.au/record=b2061743</v>
      </c>
      <c r="C8958" s="1" t="str">
        <f>HYPERLINK("https://www.catalog.slsa.sa.gov.au/xrecord=b2061743")</f>
        <v>https://www.catalog.slsa.sa.gov.au/xrecord=b2061743</v>
      </c>
      <c r="D8958" t="s">
        <v>16831</v>
      </c>
      <c r="E8958" t="s">
        <v>24451</v>
      </c>
      <c r="F8958">
        <v>1968</v>
      </c>
      <c r="G8958" t="s">
        <v>15164</v>
      </c>
      <c r="H8958" t="s">
        <v>29144</v>
      </c>
      <c r="J8958" t="s">
        <v>29142</v>
      </c>
      <c r="K8958" s="2" t="str">
        <f>HYPERLINK("http://collections.slsa.sa.gov.au/mpcimg/18250/B18109_3.htm")</f>
        <v>http://collections.slsa.sa.gov.au/mpcimg/18250/B18109_3.htm</v>
      </c>
    </row>
    <row r="8959" spans="1:11" x14ac:dyDescent="0.25">
      <c r="A8959" t="s">
        <v>29146</v>
      </c>
      <c r="B8959" s="1" t="str">
        <f>HYPERLINK("https://www.catalog.slsa.sa.gov.au/record=b2061744")</f>
        <v>https://www.catalog.slsa.sa.gov.au/record=b2061744</v>
      </c>
      <c r="C8959" s="1" t="str">
        <f>HYPERLINK("https://www.catalog.slsa.sa.gov.au/xrecord=b2061744")</f>
        <v>https://www.catalog.slsa.sa.gov.au/xrecord=b2061744</v>
      </c>
      <c r="D8959" t="s">
        <v>16831</v>
      </c>
      <c r="E8959" t="s">
        <v>24451</v>
      </c>
      <c r="F8959">
        <v>1968</v>
      </c>
      <c r="G8959" t="s">
        <v>15164</v>
      </c>
      <c r="H8959" t="s">
        <v>29144</v>
      </c>
      <c r="J8959" t="s">
        <v>29142</v>
      </c>
      <c r="K8959" s="2" t="str">
        <f>HYPERLINK("http://collections.slsa.sa.gov.au/mpcimg/18250/B18109_4.htm")</f>
        <v>http://collections.slsa.sa.gov.au/mpcimg/18250/B18109_4.htm</v>
      </c>
    </row>
    <row r="8960" spans="1:11" x14ac:dyDescent="0.25">
      <c r="A8960" t="s">
        <v>29147</v>
      </c>
      <c r="B8960" s="1" t="str">
        <f>HYPERLINK("https://www.catalog.slsa.sa.gov.au/record=b2061937")</f>
        <v>https://www.catalog.slsa.sa.gov.au/record=b2061937</v>
      </c>
      <c r="C8960" s="1" t="str">
        <f>HYPERLINK("https://www.catalog.slsa.sa.gov.au/xrecord=b2061937")</f>
        <v>https://www.catalog.slsa.sa.gov.au/xrecord=b2061937</v>
      </c>
      <c r="D8960" t="s">
        <v>16831</v>
      </c>
      <c r="E8960" t="s">
        <v>21232</v>
      </c>
      <c r="F8960">
        <v>1968</v>
      </c>
      <c r="G8960" t="s">
        <v>16674</v>
      </c>
      <c r="H8960" t="s">
        <v>29148</v>
      </c>
      <c r="J8960" t="s">
        <v>25540</v>
      </c>
      <c r="K8960" s="2" t="str">
        <f>HYPERLINK("http://collections.slsa.sa.gov.au/mpcimg/18000/B17853_1.htm")</f>
        <v>http://collections.slsa.sa.gov.au/mpcimg/18000/B17853_1.htm</v>
      </c>
    </row>
    <row r="8961" spans="1:11" x14ac:dyDescent="0.25">
      <c r="A8961" t="s">
        <v>29149</v>
      </c>
      <c r="B8961" s="1" t="str">
        <f>HYPERLINK("https://www.catalog.slsa.sa.gov.au/record=b2061938")</f>
        <v>https://www.catalog.slsa.sa.gov.au/record=b2061938</v>
      </c>
      <c r="C8961" s="1" t="str">
        <f>HYPERLINK("https://www.catalog.slsa.sa.gov.au/xrecord=b2061938")</f>
        <v>https://www.catalog.slsa.sa.gov.au/xrecord=b2061938</v>
      </c>
      <c r="D8961" t="s">
        <v>16831</v>
      </c>
      <c r="E8961" t="s">
        <v>25538</v>
      </c>
      <c r="F8961">
        <v>1968</v>
      </c>
      <c r="G8961" t="s">
        <v>14771</v>
      </c>
      <c r="H8961" t="s">
        <v>29150</v>
      </c>
      <c r="J8961" t="s">
        <v>25540</v>
      </c>
      <c r="K8961" s="2" t="str">
        <f>HYPERLINK("http://collections.slsa.sa.gov.au/mpcimg/18000/B17853_2.htm")</f>
        <v>http://collections.slsa.sa.gov.au/mpcimg/18000/B17853_2.htm</v>
      </c>
    </row>
    <row r="8962" spans="1:11" x14ac:dyDescent="0.25">
      <c r="A8962" t="s">
        <v>29151</v>
      </c>
      <c r="B8962" s="1" t="str">
        <f>HYPERLINK("https://www.catalog.slsa.sa.gov.au/record=b2062156")</f>
        <v>https://www.catalog.slsa.sa.gov.au/record=b2062156</v>
      </c>
      <c r="C8962" s="1" t="str">
        <f>HYPERLINK("https://www.catalog.slsa.sa.gov.au/xrecord=b2062156")</f>
        <v>https://www.catalog.slsa.sa.gov.au/xrecord=b2062156</v>
      </c>
      <c r="D8962" t="s">
        <v>16831</v>
      </c>
      <c r="E8962" t="s">
        <v>26051</v>
      </c>
      <c r="F8962">
        <v>1968</v>
      </c>
      <c r="G8962" t="s">
        <v>14771</v>
      </c>
      <c r="H8962" t="s">
        <v>29152</v>
      </c>
      <c r="J8962" t="s">
        <v>24536</v>
      </c>
      <c r="K8962" s="2" t="str">
        <f>HYPERLINK("http://collections.slsa.sa.gov.au/mpcimg/18000/B17987.htm")</f>
        <v>http://collections.slsa.sa.gov.au/mpcimg/18000/B17987.htm</v>
      </c>
    </row>
    <row r="8963" spans="1:11" x14ac:dyDescent="0.25">
      <c r="A8963" t="s">
        <v>29153</v>
      </c>
      <c r="B8963" s="1" t="str">
        <f>HYPERLINK("https://www.catalog.slsa.sa.gov.au/record=b2062334")</f>
        <v>https://www.catalog.slsa.sa.gov.au/record=b2062334</v>
      </c>
      <c r="C8963" s="1" t="str">
        <f>HYPERLINK("https://www.catalog.slsa.sa.gov.au/xrecord=b2062334")</f>
        <v>https://www.catalog.slsa.sa.gov.au/xrecord=b2062334</v>
      </c>
      <c r="D8963" t="s">
        <v>16831</v>
      </c>
      <c r="E8963" t="s">
        <v>21212</v>
      </c>
      <c r="F8963">
        <v>1968</v>
      </c>
      <c r="G8963" t="s">
        <v>15164</v>
      </c>
      <c r="H8963" t="s">
        <v>29154</v>
      </c>
      <c r="J8963" t="s">
        <v>24555</v>
      </c>
      <c r="K8963" s="2" t="str">
        <f>HYPERLINK("http://collections.slsa.sa.gov.au/mpcimg/18250/B18126.htm")</f>
        <v>http://collections.slsa.sa.gov.au/mpcimg/18250/B18126.htm</v>
      </c>
    </row>
    <row r="8964" spans="1:11" x14ac:dyDescent="0.25">
      <c r="A8964" t="s">
        <v>29155</v>
      </c>
      <c r="B8964" s="1" t="str">
        <f>HYPERLINK("https://www.catalog.slsa.sa.gov.au/record=b2062335")</f>
        <v>https://www.catalog.slsa.sa.gov.au/record=b2062335</v>
      </c>
      <c r="C8964" s="1" t="str">
        <f>HYPERLINK("https://www.catalog.slsa.sa.gov.au/xrecord=b2062335")</f>
        <v>https://www.catalog.slsa.sa.gov.au/xrecord=b2062335</v>
      </c>
      <c r="D8964" t="s">
        <v>16831</v>
      </c>
      <c r="E8964" t="s">
        <v>21212</v>
      </c>
      <c r="F8964">
        <v>1968</v>
      </c>
      <c r="G8964" t="s">
        <v>14771</v>
      </c>
      <c r="H8964" t="s">
        <v>29156</v>
      </c>
      <c r="J8964" t="s">
        <v>24555</v>
      </c>
      <c r="K8964" s="2" t="str">
        <f>HYPERLINK("http://collections.slsa.sa.gov.au/mpcimg/19000/B18814.htm")</f>
        <v>http://collections.slsa.sa.gov.au/mpcimg/19000/B18814.htm</v>
      </c>
    </row>
    <row r="8965" spans="1:11" x14ac:dyDescent="0.25">
      <c r="A8965" t="s">
        <v>29157</v>
      </c>
      <c r="B8965" s="1" t="str">
        <f>HYPERLINK("https://www.catalog.slsa.sa.gov.au/record=b2062406")</f>
        <v>https://www.catalog.slsa.sa.gov.au/record=b2062406</v>
      </c>
      <c r="C8965" s="1" t="str">
        <f>HYPERLINK("https://www.catalog.slsa.sa.gov.au/xrecord=b2062406")</f>
        <v>https://www.catalog.slsa.sa.gov.au/xrecord=b2062406</v>
      </c>
      <c r="D8965" t="s">
        <v>16831</v>
      </c>
      <c r="E8965" t="s">
        <v>29158</v>
      </c>
      <c r="F8965">
        <v>1968</v>
      </c>
      <c r="G8965" t="s">
        <v>15164</v>
      </c>
      <c r="H8965" t="s">
        <v>29159</v>
      </c>
      <c r="J8965" t="s">
        <v>29160</v>
      </c>
      <c r="K8965" s="2" t="str">
        <f>HYPERLINK("http://collections.slsa.sa.gov.au/mpcimg/18250/B18120.htm")</f>
        <v>http://collections.slsa.sa.gov.au/mpcimg/18250/B18120.htm</v>
      </c>
    </row>
    <row r="8966" spans="1:11" x14ac:dyDescent="0.25">
      <c r="A8966" t="s">
        <v>29161</v>
      </c>
      <c r="B8966" s="1" t="str">
        <f>HYPERLINK("https://www.catalog.slsa.sa.gov.au/record=b2062407")</f>
        <v>https://www.catalog.slsa.sa.gov.au/record=b2062407</v>
      </c>
      <c r="C8966" s="1" t="str">
        <f>HYPERLINK("https://www.catalog.slsa.sa.gov.au/xrecord=b2062407")</f>
        <v>https://www.catalog.slsa.sa.gov.au/xrecord=b2062407</v>
      </c>
      <c r="D8966" t="s">
        <v>16831</v>
      </c>
      <c r="E8966" t="s">
        <v>21212</v>
      </c>
      <c r="F8966">
        <v>1968</v>
      </c>
      <c r="G8966" t="s">
        <v>15164</v>
      </c>
      <c r="H8966" t="s">
        <v>29162</v>
      </c>
      <c r="J8966" t="s">
        <v>29160</v>
      </c>
      <c r="K8966" s="2" t="str">
        <f>HYPERLINK("http://collections.slsa.sa.gov.au/mpcimg/18250/B18146_1.htm")</f>
        <v>http://collections.slsa.sa.gov.au/mpcimg/18250/B18146_1.htm</v>
      </c>
    </row>
    <row r="8967" spans="1:11" x14ac:dyDescent="0.25">
      <c r="A8967" t="s">
        <v>29163</v>
      </c>
      <c r="B8967" s="1" t="str">
        <f>HYPERLINK("https://www.catalog.slsa.sa.gov.au/record=b2062408")</f>
        <v>https://www.catalog.slsa.sa.gov.au/record=b2062408</v>
      </c>
      <c r="C8967" s="1" t="str">
        <f>HYPERLINK("https://www.catalog.slsa.sa.gov.au/xrecord=b2062408")</f>
        <v>https://www.catalog.slsa.sa.gov.au/xrecord=b2062408</v>
      </c>
      <c r="D8967" t="s">
        <v>16831</v>
      </c>
      <c r="E8967" t="s">
        <v>21212</v>
      </c>
      <c r="F8967">
        <v>1968</v>
      </c>
      <c r="G8967" t="s">
        <v>15164</v>
      </c>
      <c r="H8967" t="s">
        <v>29162</v>
      </c>
      <c r="J8967" t="s">
        <v>29160</v>
      </c>
      <c r="K8967" s="2" t="str">
        <f>HYPERLINK("http://collections.slsa.sa.gov.au/mpcimg/18250/B18146_2.htm")</f>
        <v>http://collections.slsa.sa.gov.au/mpcimg/18250/B18146_2.htm</v>
      </c>
    </row>
    <row r="8968" spans="1:11" x14ac:dyDescent="0.25">
      <c r="A8968" t="s">
        <v>29164</v>
      </c>
      <c r="B8968" s="1" t="str">
        <f>HYPERLINK("https://www.catalog.slsa.sa.gov.au/record=b2062538")</f>
        <v>https://www.catalog.slsa.sa.gov.au/record=b2062538</v>
      </c>
      <c r="C8968" s="1" t="str">
        <f>HYPERLINK("https://www.catalog.slsa.sa.gov.au/xrecord=b2062538")</f>
        <v>https://www.catalog.slsa.sa.gov.au/xrecord=b2062538</v>
      </c>
      <c r="D8968" t="s">
        <v>16831</v>
      </c>
      <c r="E8968" t="s">
        <v>29158</v>
      </c>
      <c r="F8968">
        <v>1968</v>
      </c>
      <c r="G8968" t="s">
        <v>15164</v>
      </c>
      <c r="H8968" t="s">
        <v>29165</v>
      </c>
      <c r="J8968" t="s">
        <v>24580</v>
      </c>
      <c r="K8968" s="2" t="str">
        <f>HYPERLINK("http://collections.slsa.sa.gov.au/mpcimg/18250/B18121.htm")</f>
        <v>http://collections.slsa.sa.gov.au/mpcimg/18250/B18121.htm</v>
      </c>
    </row>
    <row r="8969" spans="1:11" x14ac:dyDescent="0.25">
      <c r="A8969" t="s">
        <v>29166</v>
      </c>
      <c r="B8969" s="1" t="str">
        <f>HYPERLINK("https://www.catalog.slsa.sa.gov.au/record=b2062681")</f>
        <v>https://www.catalog.slsa.sa.gov.au/record=b2062681</v>
      </c>
      <c r="C8969" s="1" t="str">
        <f>HYPERLINK("https://www.catalog.slsa.sa.gov.au/xrecord=b2062681")</f>
        <v>https://www.catalog.slsa.sa.gov.au/xrecord=b2062681</v>
      </c>
      <c r="D8969" t="s">
        <v>16831</v>
      </c>
      <c r="E8969" t="s">
        <v>21267</v>
      </c>
      <c r="F8969">
        <v>1968</v>
      </c>
      <c r="G8969" t="s">
        <v>14771</v>
      </c>
      <c r="H8969" t="s">
        <v>29167</v>
      </c>
      <c r="J8969" t="s">
        <v>27467</v>
      </c>
      <c r="K8969" s="2" t="str">
        <f>HYPERLINK("http://collections.slsa.sa.gov.au/mpcimg/18750/B18612.htm")</f>
        <v>http://collections.slsa.sa.gov.au/mpcimg/18750/B18612.htm</v>
      </c>
    </row>
    <row r="8970" spans="1:11" x14ac:dyDescent="0.25">
      <c r="A8970" t="s">
        <v>29168</v>
      </c>
      <c r="B8970" s="1" t="str">
        <f>HYPERLINK("https://www.catalog.slsa.sa.gov.au/record=b2062816")</f>
        <v>https://www.catalog.slsa.sa.gov.au/record=b2062816</v>
      </c>
      <c r="C8970" s="1" t="str">
        <f>HYPERLINK("https://www.catalog.slsa.sa.gov.au/xrecord=b2062816")</f>
        <v>https://www.catalog.slsa.sa.gov.au/xrecord=b2062816</v>
      </c>
      <c r="D8970" t="s">
        <v>16831</v>
      </c>
      <c r="E8970" t="s">
        <v>21250</v>
      </c>
      <c r="F8970">
        <v>1968</v>
      </c>
      <c r="G8970" t="s">
        <v>15164</v>
      </c>
      <c r="H8970" t="s">
        <v>29169</v>
      </c>
      <c r="J8970" t="s">
        <v>28676</v>
      </c>
      <c r="K8970" s="2" t="str">
        <f>HYPERLINK("http://collections.slsa.sa.gov.au/mpcimg/18250/B18123.htm")</f>
        <v>http://collections.slsa.sa.gov.au/mpcimg/18250/B18123.htm</v>
      </c>
    </row>
    <row r="8971" spans="1:11" x14ac:dyDescent="0.25">
      <c r="A8971" t="s">
        <v>29170</v>
      </c>
      <c r="B8971" s="1" t="str">
        <f>HYPERLINK("https://www.catalog.slsa.sa.gov.au/record=b2063135")</f>
        <v>https://www.catalog.slsa.sa.gov.au/record=b2063135</v>
      </c>
      <c r="C8971" s="1" t="str">
        <f>HYPERLINK("https://www.catalog.slsa.sa.gov.au/xrecord=b2063135")</f>
        <v>https://www.catalog.slsa.sa.gov.au/xrecord=b2063135</v>
      </c>
      <c r="D8971" t="s">
        <v>16831</v>
      </c>
      <c r="E8971" t="s">
        <v>21304</v>
      </c>
      <c r="F8971">
        <v>1968</v>
      </c>
      <c r="G8971" t="s">
        <v>15164</v>
      </c>
      <c r="H8971" t="s">
        <v>29171</v>
      </c>
      <c r="J8971" t="s">
        <v>29172</v>
      </c>
      <c r="K8971" s="2" t="str">
        <f>HYPERLINK("http://collections.slsa.sa.gov.au/mpcimg/18250/B18122.htm")</f>
        <v>http://collections.slsa.sa.gov.au/mpcimg/18250/B18122.htm</v>
      </c>
    </row>
    <row r="8972" spans="1:11" x14ac:dyDescent="0.25">
      <c r="A8972" t="s">
        <v>29173</v>
      </c>
      <c r="B8972" s="1" t="str">
        <f>HYPERLINK("https://www.catalog.slsa.sa.gov.au/record=b2063411")</f>
        <v>https://www.catalog.slsa.sa.gov.au/record=b2063411</v>
      </c>
      <c r="C8972" s="1" t="str">
        <f>HYPERLINK("https://www.catalog.slsa.sa.gov.au/xrecord=b2063411")</f>
        <v>https://www.catalog.slsa.sa.gov.au/xrecord=b2063411</v>
      </c>
      <c r="D8972" t="s">
        <v>16831</v>
      </c>
      <c r="E8972" t="s">
        <v>25607</v>
      </c>
      <c r="F8972">
        <v>1968</v>
      </c>
      <c r="G8972" t="s">
        <v>14771</v>
      </c>
      <c r="H8972" t="s">
        <v>29174</v>
      </c>
      <c r="J8972" t="s">
        <v>29175</v>
      </c>
      <c r="K8972" s="2" t="str">
        <f>HYPERLINK("http://collections.slsa.sa.gov.au/mpcimg/18750/B18613_1.htm")</f>
        <v>http://collections.slsa.sa.gov.au/mpcimg/18750/B18613_1.htm</v>
      </c>
    </row>
    <row r="8973" spans="1:11" x14ac:dyDescent="0.25">
      <c r="A8973" t="s">
        <v>29176</v>
      </c>
      <c r="B8973" s="1" t="str">
        <f>HYPERLINK("https://www.catalog.slsa.sa.gov.au/record=b2063412")</f>
        <v>https://www.catalog.slsa.sa.gov.au/record=b2063412</v>
      </c>
      <c r="C8973" s="1" t="str">
        <f>HYPERLINK("https://www.catalog.slsa.sa.gov.au/xrecord=b2063412")</f>
        <v>https://www.catalog.slsa.sa.gov.au/xrecord=b2063412</v>
      </c>
      <c r="D8973" t="s">
        <v>16831</v>
      </c>
      <c r="E8973" t="s">
        <v>25607</v>
      </c>
      <c r="F8973">
        <v>1968</v>
      </c>
      <c r="G8973" t="s">
        <v>14771</v>
      </c>
      <c r="H8973" t="s">
        <v>29177</v>
      </c>
      <c r="J8973" t="s">
        <v>29175</v>
      </c>
      <c r="K8973" s="2" t="str">
        <f>HYPERLINK("http://collections.slsa.sa.gov.au/mpcimg/18750/B18613_2.htm")</f>
        <v>http://collections.slsa.sa.gov.au/mpcimg/18750/B18613_2.htm</v>
      </c>
    </row>
    <row r="8974" spans="1:11" x14ac:dyDescent="0.25">
      <c r="A8974" t="s">
        <v>29178</v>
      </c>
      <c r="B8974" s="1" t="str">
        <f>HYPERLINK("https://www.catalog.slsa.sa.gov.au/record=b2063591")</f>
        <v>https://www.catalog.slsa.sa.gov.au/record=b2063591</v>
      </c>
      <c r="C8974" s="1" t="str">
        <f>HYPERLINK("https://www.catalog.slsa.sa.gov.au/xrecord=b2063591")</f>
        <v>https://www.catalog.slsa.sa.gov.au/xrecord=b2063591</v>
      </c>
      <c r="D8974" t="s">
        <v>16831</v>
      </c>
      <c r="E8974" t="s">
        <v>17735</v>
      </c>
      <c r="F8974">
        <v>1968</v>
      </c>
      <c r="G8974" t="s">
        <v>14771</v>
      </c>
      <c r="H8974" t="s">
        <v>29179</v>
      </c>
      <c r="J8974" t="s">
        <v>26484</v>
      </c>
      <c r="K8974" s="2" t="str">
        <f>HYPERLINK("http://collections.slsa.sa.gov.au/mpcimg/18000/B17855_1.htm")</f>
        <v>http://collections.slsa.sa.gov.au/mpcimg/18000/B17855_1.htm</v>
      </c>
    </row>
    <row r="8975" spans="1:11" x14ac:dyDescent="0.25">
      <c r="A8975" t="s">
        <v>29180</v>
      </c>
      <c r="B8975" s="1" t="str">
        <f>HYPERLINK("https://www.catalog.slsa.sa.gov.au/record=b2063592")</f>
        <v>https://www.catalog.slsa.sa.gov.au/record=b2063592</v>
      </c>
      <c r="C8975" s="1" t="str">
        <f>HYPERLINK("https://www.catalog.slsa.sa.gov.au/xrecord=b2063592")</f>
        <v>https://www.catalog.slsa.sa.gov.au/xrecord=b2063592</v>
      </c>
      <c r="D8975" t="s">
        <v>16831</v>
      </c>
      <c r="E8975" t="s">
        <v>17735</v>
      </c>
      <c r="F8975">
        <v>1968</v>
      </c>
      <c r="G8975" t="s">
        <v>14771</v>
      </c>
      <c r="H8975" t="s">
        <v>29179</v>
      </c>
      <c r="J8975" t="s">
        <v>26484</v>
      </c>
      <c r="K8975" s="2" t="str">
        <f>HYPERLINK("http://collections.slsa.sa.gov.au/mpcimg/18000/B17855_2.htm")</f>
        <v>http://collections.slsa.sa.gov.au/mpcimg/18000/B17855_2.htm</v>
      </c>
    </row>
    <row r="8976" spans="1:11" x14ac:dyDescent="0.25">
      <c r="A8976" t="s">
        <v>29181</v>
      </c>
      <c r="B8976" s="1" t="str">
        <f>HYPERLINK("https://www.catalog.slsa.sa.gov.au/record=b2063593")</f>
        <v>https://www.catalog.slsa.sa.gov.au/record=b2063593</v>
      </c>
      <c r="C8976" s="1" t="str">
        <f>HYPERLINK("https://www.catalog.slsa.sa.gov.au/xrecord=b2063593")</f>
        <v>https://www.catalog.slsa.sa.gov.au/xrecord=b2063593</v>
      </c>
      <c r="D8976" t="s">
        <v>16831</v>
      </c>
      <c r="E8976" t="s">
        <v>17735</v>
      </c>
      <c r="F8976">
        <v>1968</v>
      </c>
      <c r="G8976" t="s">
        <v>14771</v>
      </c>
      <c r="H8976" t="s">
        <v>29179</v>
      </c>
      <c r="J8976" t="s">
        <v>26484</v>
      </c>
      <c r="K8976" s="2" t="str">
        <f>HYPERLINK("http://collections.slsa.sa.gov.au/mpcimg/18000/B17855_3.htm")</f>
        <v>http://collections.slsa.sa.gov.au/mpcimg/18000/B17855_3.htm</v>
      </c>
    </row>
    <row r="8977" spans="1:11" x14ac:dyDescent="0.25">
      <c r="A8977" t="s">
        <v>29182</v>
      </c>
      <c r="B8977" s="1" t="str">
        <f>HYPERLINK("https://www.catalog.slsa.sa.gov.au/record=b2063594")</f>
        <v>https://www.catalog.slsa.sa.gov.au/record=b2063594</v>
      </c>
      <c r="C8977" s="1" t="str">
        <f>HYPERLINK("https://www.catalog.slsa.sa.gov.au/xrecord=b2063594")</f>
        <v>https://www.catalog.slsa.sa.gov.au/xrecord=b2063594</v>
      </c>
      <c r="D8977" t="s">
        <v>16831</v>
      </c>
      <c r="E8977" t="s">
        <v>17735</v>
      </c>
      <c r="F8977">
        <v>1968</v>
      </c>
      <c r="G8977" t="s">
        <v>14771</v>
      </c>
      <c r="H8977" t="s">
        <v>29179</v>
      </c>
      <c r="J8977" t="s">
        <v>26484</v>
      </c>
      <c r="K8977" s="2" t="str">
        <f>HYPERLINK("http://collections.slsa.sa.gov.au/mpcimg/18000/B17855_4.htm")</f>
        <v>http://collections.slsa.sa.gov.au/mpcimg/18000/B17855_4.htm</v>
      </c>
    </row>
    <row r="8978" spans="1:11" x14ac:dyDescent="0.25">
      <c r="A8978" t="s">
        <v>29183</v>
      </c>
      <c r="B8978" s="1" t="str">
        <f>HYPERLINK("https://www.catalog.slsa.sa.gov.au/record=b2063595")</f>
        <v>https://www.catalog.slsa.sa.gov.au/record=b2063595</v>
      </c>
      <c r="C8978" s="1" t="str">
        <f>HYPERLINK("https://www.catalog.slsa.sa.gov.au/xrecord=b2063595")</f>
        <v>https://www.catalog.slsa.sa.gov.au/xrecord=b2063595</v>
      </c>
      <c r="D8978" t="s">
        <v>16831</v>
      </c>
      <c r="E8978" t="s">
        <v>17735</v>
      </c>
      <c r="F8978">
        <v>1968</v>
      </c>
      <c r="G8978" t="s">
        <v>14771</v>
      </c>
      <c r="H8978" t="s">
        <v>29179</v>
      </c>
      <c r="J8978" t="s">
        <v>26484</v>
      </c>
      <c r="K8978" s="2" t="str">
        <f>HYPERLINK("http://collections.slsa.sa.gov.au/mpcimg/18000/B17855_5.htm")</f>
        <v>http://collections.slsa.sa.gov.au/mpcimg/18000/B17855_5.htm</v>
      </c>
    </row>
    <row r="8979" spans="1:11" x14ac:dyDescent="0.25">
      <c r="A8979" t="s">
        <v>29184</v>
      </c>
      <c r="B8979" s="1" t="str">
        <f>HYPERLINK("https://www.catalog.slsa.sa.gov.au/record=b2063596")</f>
        <v>https://www.catalog.slsa.sa.gov.au/record=b2063596</v>
      </c>
      <c r="C8979" s="1" t="str">
        <f>HYPERLINK("https://www.catalog.slsa.sa.gov.au/xrecord=b2063596")</f>
        <v>https://www.catalog.slsa.sa.gov.au/xrecord=b2063596</v>
      </c>
      <c r="D8979" t="s">
        <v>16831</v>
      </c>
      <c r="E8979" t="s">
        <v>17735</v>
      </c>
      <c r="F8979">
        <v>1968</v>
      </c>
      <c r="G8979" t="s">
        <v>14771</v>
      </c>
      <c r="H8979" t="s">
        <v>29179</v>
      </c>
      <c r="J8979" t="s">
        <v>26484</v>
      </c>
      <c r="K8979" s="2" t="str">
        <f>HYPERLINK("http://collections.slsa.sa.gov.au/mpcimg/18000/B17855_6.htm")</f>
        <v>http://collections.slsa.sa.gov.au/mpcimg/18000/B17855_6.htm</v>
      </c>
    </row>
    <row r="8980" spans="1:11" x14ac:dyDescent="0.25">
      <c r="A8980" t="s">
        <v>29185</v>
      </c>
      <c r="B8980" s="1" t="str">
        <f>HYPERLINK("https://www.catalog.slsa.sa.gov.au/record=b2063597")</f>
        <v>https://www.catalog.slsa.sa.gov.au/record=b2063597</v>
      </c>
      <c r="C8980" s="1" t="str">
        <f>HYPERLINK("https://www.catalog.slsa.sa.gov.au/xrecord=b2063597")</f>
        <v>https://www.catalog.slsa.sa.gov.au/xrecord=b2063597</v>
      </c>
      <c r="D8980" t="s">
        <v>16831</v>
      </c>
      <c r="E8980" t="s">
        <v>17735</v>
      </c>
      <c r="F8980">
        <v>1968</v>
      </c>
      <c r="G8980" t="s">
        <v>14771</v>
      </c>
      <c r="H8980" t="s">
        <v>29179</v>
      </c>
      <c r="J8980" t="s">
        <v>26484</v>
      </c>
      <c r="K8980" s="2" t="str">
        <f>HYPERLINK("http://collections.slsa.sa.gov.au/mpcimg/18000/B17855_7.htm")</f>
        <v>http://collections.slsa.sa.gov.au/mpcimg/18000/B17855_7.htm</v>
      </c>
    </row>
    <row r="8981" spans="1:11" x14ac:dyDescent="0.25">
      <c r="A8981" t="s">
        <v>29186</v>
      </c>
      <c r="B8981" s="1" t="str">
        <f>HYPERLINK("https://www.catalog.slsa.sa.gov.au/record=b2063598")</f>
        <v>https://www.catalog.slsa.sa.gov.au/record=b2063598</v>
      </c>
      <c r="C8981" s="1" t="str">
        <f>HYPERLINK("https://www.catalog.slsa.sa.gov.au/xrecord=b2063598")</f>
        <v>https://www.catalog.slsa.sa.gov.au/xrecord=b2063598</v>
      </c>
      <c r="D8981" t="s">
        <v>16831</v>
      </c>
      <c r="E8981" t="s">
        <v>17735</v>
      </c>
      <c r="F8981">
        <v>1968</v>
      </c>
      <c r="G8981" t="s">
        <v>14771</v>
      </c>
      <c r="H8981" t="s">
        <v>29179</v>
      </c>
      <c r="J8981" t="s">
        <v>26484</v>
      </c>
      <c r="K8981" s="2" t="str">
        <f>HYPERLINK("http://collections.slsa.sa.gov.au/mpcimg/18000/B17855_8.htm")</f>
        <v>http://collections.slsa.sa.gov.au/mpcimg/18000/B17855_8.htm</v>
      </c>
    </row>
    <row r="8982" spans="1:11" x14ac:dyDescent="0.25">
      <c r="A8982" t="s">
        <v>29187</v>
      </c>
      <c r="B8982" s="1" t="str">
        <f>HYPERLINK("https://www.catalog.slsa.sa.gov.au/record=b2063599")</f>
        <v>https://www.catalog.slsa.sa.gov.au/record=b2063599</v>
      </c>
      <c r="C8982" s="1" t="str">
        <f>HYPERLINK("https://www.catalog.slsa.sa.gov.au/xrecord=b2063599")</f>
        <v>https://www.catalog.slsa.sa.gov.au/xrecord=b2063599</v>
      </c>
      <c r="D8982" t="s">
        <v>16831</v>
      </c>
      <c r="E8982" t="s">
        <v>17735</v>
      </c>
      <c r="F8982">
        <v>1968</v>
      </c>
      <c r="G8982" t="s">
        <v>14771</v>
      </c>
      <c r="H8982" t="s">
        <v>29179</v>
      </c>
      <c r="J8982" t="s">
        <v>26484</v>
      </c>
      <c r="K8982" s="2" t="str">
        <f>HYPERLINK("http://collections.slsa.sa.gov.au/mpcimg/18000/B17855_9.htm")</f>
        <v>http://collections.slsa.sa.gov.au/mpcimg/18000/B17855_9.htm</v>
      </c>
    </row>
    <row r="8983" spans="1:11" x14ac:dyDescent="0.25">
      <c r="A8983" t="s">
        <v>29188</v>
      </c>
      <c r="B8983" s="1" t="str">
        <f>HYPERLINK("https://www.catalog.slsa.sa.gov.au/record=b2063600")</f>
        <v>https://www.catalog.slsa.sa.gov.au/record=b2063600</v>
      </c>
      <c r="C8983" s="1" t="str">
        <f>HYPERLINK("https://www.catalog.slsa.sa.gov.au/xrecord=b2063600")</f>
        <v>https://www.catalog.slsa.sa.gov.au/xrecord=b2063600</v>
      </c>
      <c r="D8983" t="s">
        <v>16831</v>
      </c>
      <c r="E8983" t="s">
        <v>17735</v>
      </c>
      <c r="F8983">
        <v>1968</v>
      </c>
      <c r="G8983" t="s">
        <v>14771</v>
      </c>
      <c r="H8983" t="s">
        <v>29179</v>
      </c>
      <c r="J8983" t="s">
        <v>26484</v>
      </c>
      <c r="K8983" s="2" t="str">
        <f>HYPERLINK("http://collections.slsa.sa.gov.au/mpcimg/18000/B17855_10.htm")</f>
        <v>http://collections.slsa.sa.gov.au/mpcimg/18000/B17855_10.htm</v>
      </c>
    </row>
    <row r="8984" spans="1:11" x14ac:dyDescent="0.25">
      <c r="A8984" t="s">
        <v>29189</v>
      </c>
      <c r="B8984" s="1" t="str">
        <f>HYPERLINK("https://www.catalog.slsa.sa.gov.au/record=b2063601")</f>
        <v>https://www.catalog.slsa.sa.gov.au/record=b2063601</v>
      </c>
      <c r="C8984" s="1" t="str">
        <f>HYPERLINK("https://www.catalog.slsa.sa.gov.au/xrecord=b2063601")</f>
        <v>https://www.catalog.slsa.sa.gov.au/xrecord=b2063601</v>
      </c>
      <c r="D8984" t="s">
        <v>16831</v>
      </c>
      <c r="E8984" t="s">
        <v>17735</v>
      </c>
      <c r="F8984">
        <v>1968</v>
      </c>
      <c r="G8984" t="s">
        <v>14771</v>
      </c>
      <c r="H8984" t="s">
        <v>29179</v>
      </c>
      <c r="J8984" t="s">
        <v>26484</v>
      </c>
      <c r="K8984" s="2" t="str">
        <f>HYPERLINK("http://collections.slsa.sa.gov.au/mpcimg/18000/B17855_11.htm")</f>
        <v>http://collections.slsa.sa.gov.au/mpcimg/18000/B17855_11.htm</v>
      </c>
    </row>
    <row r="8985" spans="1:11" x14ac:dyDescent="0.25">
      <c r="A8985" t="s">
        <v>29190</v>
      </c>
      <c r="B8985" s="1" t="str">
        <f>HYPERLINK("https://www.catalog.slsa.sa.gov.au/record=b2063602")</f>
        <v>https://www.catalog.slsa.sa.gov.au/record=b2063602</v>
      </c>
      <c r="C8985" s="1" t="str">
        <f>HYPERLINK("https://www.catalog.slsa.sa.gov.au/xrecord=b2063602")</f>
        <v>https://www.catalog.slsa.sa.gov.au/xrecord=b2063602</v>
      </c>
      <c r="D8985" t="s">
        <v>16831</v>
      </c>
      <c r="E8985" t="s">
        <v>17735</v>
      </c>
      <c r="F8985">
        <v>1968</v>
      </c>
      <c r="G8985" t="s">
        <v>14771</v>
      </c>
      <c r="H8985" t="s">
        <v>29191</v>
      </c>
      <c r="J8985" t="s">
        <v>26484</v>
      </c>
      <c r="K8985" s="2" t="str">
        <f>HYPERLINK("http://collections.slsa.sa.gov.au/mpcimg/18000/B17855_12.htm")</f>
        <v>http://collections.slsa.sa.gov.au/mpcimg/18000/B17855_12.htm</v>
      </c>
    </row>
    <row r="8986" spans="1:11" x14ac:dyDescent="0.25">
      <c r="A8986" t="s">
        <v>29192</v>
      </c>
      <c r="B8986" s="1" t="str">
        <f>HYPERLINK("https://www.catalog.slsa.sa.gov.au/record=b2063603")</f>
        <v>https://www.catalog.slsa.sa.gov.au/record=b2063603</v>
      </c>
      <c r="C8986" s="1" t="str">
        <f>HYPERLINK("https://www.catalog.slsa.sa.gov.au/xrecord=b2063603")</f>
        <v>https://www.catalog.slsa.sa.gov.au/xrecord=b2063603</v>
      </c>
      <c r="D8986" t="s">
        <v>16831</v>
      </c>
      <c r="E8986" t="s">
        <v>17735</v>
      </c>
      <c r="F8986">
        <v>1968</v>
      </c>
      <c r="G8986" t="s">
        <v>14771</v>
      </c>
      <c r="H8986" t="s">
        <v>29179</v>
      </c>
      <c r="J8986" t="s">
        <v>26484</v>
      </c>
      <c r="K8986" s="2" t="str">
        <f>HYPERLINK("http://collections.slsa.sa.gov.au/mpcimg/18000/B17855_13.htm")</f>
        <v>http://collections.slsa.sa.gov.au/mpcimg/18000/B17855_13.htm</v>
      </c>
    </row>
    <row r="8987" spans="1:11" x14ac:dyDescent="0.25">
      <c r="A8987" t="s">
        <v>29193</v>
      </c>
      <c r="B8987" s="1" t="str">
        <f>HYPERLINK("https://www.catalog.slsa.sa.gov.au/record=b2063604")</f>
        <v>https://www.catalog.slsa.sa.gov.au/record=b2063604</v>
      </c>
      <c r="C8987" s="1" t="str">
        <f>HYPERLINK("https://www.catalog.slsa.sa.gov.au/xrecord=b2063604")</f>
        <v>https://www.catalog.slsa.sa.gov.au/xrecord=b2063604</v>
      </c>
      <c r="D8987" t="s">
        <v>16831</v>
      </c>
      <c r="E8987" t="s">
        <v>17735</v>
      </c>
      <c r="F8987">
        <v>1968</v>
      </c>
      <c r="G8987" t="s">
        <v>14771</v>
      </c>
      <c r="H8987" t="s">
        <v>29194</v>
      </c>
      <c r="J8987" t="s">
        <v>26484</v>
      </c>
      <c r="K8987" s="2" t="str">
        <f>HYPERLINK("http://collections.slsa.sa.gov.au/mpcimg/18000/B17855_14.htm")</f>
        <v>http://collections.slsa.sa.gov.au/mpcimg/18000/B17855_14.htm</v>
      </c>
    </row>
    <row r="8988" spans="1:11" x14ac:dyDescent="0.25">
      <c r="A8988" t="s">
        <v>29195</v>
      </c>
      <c r="B8988" s="1" t="str">
        <f>HYPERLINK("https://www.catalog.slsa.sa.gov.au/record=b2063605")</f>
        <v>https://www.catalog.slsa.sa.gov.au/record=b2063605</v>
      </c>
      <c r="C8988" s="1" t="str">
        <f>HYPERLINK("https://www.catalog.slsa.sa.gov.au/xrecord=b2063605")</f>
        <v>https://www.catalog.slsa.sa.gov.au/xrecord=b2063605</v>
      </c>
      <c r="D8988" t="s">
        <v>16831</v>
      </c>
      <c r="E8988" t="s">
        <v>17735</v>
      </c>
      <c r="F8988">
        <v>1968</v>
      </c>
      <c r="G8988" t="s">
        <v>14771</v>
      </c>
      <c r="H8988" t="s">
        <v>29194</v>
      </c>
      <c r="J8988" t="s">
        <v>26484</v>
      </c>
      <c r="K8988" s="2" t="str">
        <f>HYPERLINK("http://collections.slsa.sa.gov.au/mpcimg/18000/B17855_15.htm")</f>
        <v>http://collections.slsa.sa.gov.au/mpcimg/18000/B17855_15.htm</v>
      </c>
    </row>
    <row r="8989" spans="1:11" x14ac:dyDescent="0.25">
      <c r="A8989" t="s">
        <v>29196</v>
      </c>
      <c r="B8989" s="1" t="str">
        <f>HYPERLINK("https://www.catalog.slsa.sa.gov.au/record=b2063606")</f>
        <v>https://www.catalog.slsa.sa.gov.au/record=b2063606</v>
      </c>
      <c r="C8989" s="1" t="str">
        <f>HYPERLINK("https://www.catalog.slsa.sa.gov.au/xrecord=b2063606")</f>
        <v>https://www.catalog.slsa.sa.gov.au/xrecord=b2063606</v>
      </c>
      <c r="D8989" t="s">
        <v>16831</v>
      </c>
      <c r="E8989" t="s">
        <v>17735</v>
      </c>
      <c r="F8989">
        <v>1968</v>
      </c>
      <c r="G8989" t="s">
        <v>16674</v>
      </c>
      <c r="H8989" t="s">
        <v>29194</v>
      </c>
      <c r="J8989" t="s">
        <v>26484</v>
      </c>
      <c r="K8989" s="2" t="str">
        <f>HYPERLINK("http://collections.slsa.sa.gov.au/mpcimg/18000/B17855_16.htm")</f>
        <v>http://collections.slsa.sa.gov.au/mpcimg/18000/B17855_16.htm</v>
      </c>
    </row>
    <row r="8990" spans="1:11" x14ac:dyDescent="0.25">
      <c r="A8990" t="s">
        <v>29197</v>
      </c>
      <c r="B8990" s="1" t="str">
        <f>HYPERLINK("https://www.catalog.slsa.sa.gov.au/record=b2063607")</f>
        <v>https://www.catalog.slsa.sa.gov.au/record=b2063607</v>
      </c>
      <c r="C8990" s="1" t="str">
        <f>HYPERLINK("https://www.catalog.slsa.sa.gov.au/xrecord=b2063607")</f>
        <v>https://www.catalog.slsa.sa.gov.au/xrecord=b2063607</v>
      </c>
      <c r="D8990" t="s">
        <v>16831</v>
      </c>
      <c r="E8990" t="s">
        <v>17735</v>
      </c>
      <c r="F8990">
        <v>1968</v>
      </c>
      <c r="G8990" t="s">
        <v>14771</v>
      </c>
      <c r="H8990" t="s">
        <v>29194</v>
      </c>
      <c r="J8990" t="s">
        <v>26484</v>
      </c>
      <c r="K8990" s="2" t="str">
        <f>HYPERLINK("http://collections.slsa.sa.gov.au/mpcimg/18000/B17855_17.htm")</f>
        <v>http://collections.slsa.sa.gov.au/mpcimg/18000/B17855_17.htm</v>
      </c>
    </row>
    <row r="8991" spans="1:11" x14ac:dyDescent="0.25">
      <c r="A8991" t="s">
        <v>29198</v>
      </c>
      <c r="B8991" s="1" t="str">
        <f>HYPERLINK("https://www.catalog.slsa.sa.gov.au/record=b2063608")</f>
        <v>https://www.catalog.slsa.sa.gov.au/record=b2063608</v>
      </c>
      <c r="C8991" s="1" t="str">
        <f>HYPERLINK("https://www.catalog.slsa.sa.gov.au/xrecord=b2063608")</f>
        <v>https://www.catalog.slsa.sa.gov.au/xrecord=b2063608</v>
      </c>
      <c r="D8991" t="s">
        <v>16831</v>
      </c>
      <c r="E8991" t="s">
        <v>17735</v>
      </c>
      <c r="F8991">
        <v>1968</v>
      </c>
      <c r="G8991" t="s">
        <v>14771</v>
      </c>
      <c r="H8991" t="s">
        <v>29194</v>
      </c>
      <c r="J8991" t="s">
        <v>26484</v>
      </c>
      <c r="K8991" s="2" t="str">
        <f>HYPERLINK("http://collections.slsa.sa.gov.au/mpcimg/18000/B17855_18.htm")</f>
        <v>http://collections.slsa.sa.gov.au/mpcimg/18000/B17855_18.htm</v>
      </c>
    </row>
    <row r="8992" spans="1:11" x14ac:dyDescent="0.25">
      <c r="A8992" t="s">
        <v>29199</v>
      </c>
      <c r="B8992" s="1" t="str">
        <f>HYPERLINK("https://www.catalog.slsa.sa.gov.au/record=b2063609")</f>
        <v>https://www.catalog.slsa.sa.gov.au/record=b2063609</v>
      </c>
      <c r="C8992" s="1" t="str">
        <f>HYPERLINK("https://www.catalog.slsa.sa.gov.au/xrecord=b2063609")</f>
        <v>https://www.catalog.slsa.sa.gov.au/xrecord=b2063609</v>
      </c>
      <c r="D8992" t="s">
        <v>16831</v>
      </c>
      <c r="E8992" t="s">
        <v>17735</v>
      </c>
      <c r="F8992">
        <v>1968</v>
      </c>
      <c r="G8992" t="s">
        <v>16674</v>
      </c>
      <c r="H8992" t="s">
        <v>29194</v>
      </c>
      <c r="J8992" t="s">
        <v>26484</v>
      </c>
      <c r="K8992" s="2" t="str">
        <f>HYPERLINK("http://collections.slsa.sa.gov.au/mpcimg/18000/B17855_19.htm")</f>
        <v>http://collections.slsa.sa.gov.au/mpcimg/18000/B17855_19.htm</v>
      </c>
    </row>
    <row r="8993" spans="1:11" x14ac:dyDescent="0.25">
      <c r="A8993" t="s">
        <v>29200</v>
      </c>
      <c r="B8993" s="1" t="str">
        <f>HYPERLINK("https://www.catalog.slsa.sa.gov.au/record=b2063610")</f>
        <v>https://www.catalog.slsa.sa.gov.au/record=b2063610</v>
      </c>
      <c r="C8993" s="1" t="str">
        <f>HYPERLINK("https://www.catalog.slsa.sa.gov.au/xrecord=b2063610")</f>
        <v>https://www.catalog.slsa.sa.gov.au/xrecord=b2063610</v>
      </c>
      <c r="D8993" t="s">
        <v>16831</v>
      </c>
      <c r="E8993" t="s">
        <v>17735</v>
      </c>
      <c r="F8993">
        <v>1968</v>
      </c>
      <c r="G8993" t="s">
        <v>14771</v>
      </c>
      <c r="H8993" t="s">
        <v>29194</v>
      </c>
      <c r="J8993" t="s">
        <v>26484</v>
      </c>
      <c r="K8993" s="2" t="str">
        <f>HYPERLINK("http://collections.slsa.sa.gov.au/mpcimg/18000/B17855_20.htm")</f>
        <v>http://collections.slsa.sa.gov.au/mpcimg/18000/B17855_20.htm</v>
      </c>
    </row>
    <row r="8994" spans="1:11" x14ac:dyDescent="0.25">
      <c r="A8994" t="s">
        <v>29201</v>
      </c>
      <c r="B8994" s="1" t="str">
        <f>HYPERLINK("https://www.catalog.slsa.sa.gov.au/record=b2063614")</f>
        <v>https://www.catalog.slsa.sa.gov.au/record=b2063614</v>
      </c>
      <c r="C8994" s="1" t="str">
        <f>HYPERLINK("https://www.catalog.slsa.sa.gov.au/xrecord=b2063614")</f>
        <v>https://www.catalog.slsa.sa.gov.au/xrecord=b2063614</v>
      </c>
      <c r="D8994" t="s">
        <v>16831</v>
      </c>
      <c r="E8994" t="s">
        <v>17735</v>
      </c>
      <c r="F8994">
        <v>1968</v>
      </c>
      <c r="G8994" t="s">
        <v>14771</v>
      </c>
      <c r="H8994" t="s">
        <v>29194</v>
      </c>
      <c r="J8994" t="s">
        <v>26484</v>
      </c>
      <c r="K8994" s="2" t="str">
        <f>HYPERLINK("http://collections.slsa.sa.gov.au/mpcimg/18000/B17855_21.htm")</f>
        <v>http://collections.slsa.sa.gov.au/mpcimg/18000/B17855_21.htm</v>
      </c>
    </row>
    <row r="8995" spans="1:11" x14ac:dyDescent="0.25">
      <c r="A8995" t="s">
        <v>29202</v>
      </c>
      <c r="B8995" s="1" t="str">
        <f>HYPERLINK("https://www.catalog.slsa.sa.gov.au/record=b2063615")</f>
        <v>https://www.catalog.slsa.sa.gov.au/record=b2063615</v>
      </c>
      <c r="C8995" s="1" t="str">
        <f>HYPERLINK("https://www.catalog.slsa.sa.gov.au/xrecord=b2063615")</f>
        <v>https://www.catalog.slsa.sa.gov.au/xrecord=b2063615</v>
      </c>
      <c r="D8995" t="s">
        <v>16831</v>
      </c>
      <c r="E8995" t="s">
        <v>17735</v>
      </c>
      <c r="F8995">
        <v>1968</v>
      </c>
      <c r="G8995" t="s">
        <v>14771</v>
      </c>
      <c r="H8995" t="s">
        <v>29194</v>
      </c>
      <c r="J8995" t="s">
        <v>26484</v>
      </c>
      <c r="K8995" s="2" t="str">
        <f>HYPERLINK("http://collections.slsa.sa.gov.au/mpcimg/18000/B17855_22.htm")</f>
        <v>http://collections.slsa.sa.gov.au/mpcimg/18000/B17855_22.htm</v>
      </c>
    </row>
    <row r="8996" spans="1:11" x14ac:dyDescent="0.25">
      <c r="A8996" t="s">
        <v>29203</v>
      </c>
      <c r="B8996" s="1" t="str">
        <f>HYPERLINK("https://www.catalog.slsa.sa.gov.au/record=b2063616")</f>
        <v>https://www.catalog.slsa.sa.gov.au/record=b2063616</v>
      </c>
      <c r="C8996" s="1" t="str">
        <f>HYPERLINK("https://www.catalog.slsa.sa.gov.au/xrecord=b2063616")</f>
        <v>https://www.catalog.slsa.sa.gov.au/xrecord=b2063616</v>
      </c>
      <c r="D8996" t="s">
        <v>16831</v>
      </c>
      <c r="E8996" t="s">
        <v>17735</v>
      </c>
      <c r="F8996">
        <v>1968</v>
      </c>
      <c r="G8996" t="s">
        <v>14771</v>
      </c>
      <c r="H8996" t="s">
        <v>29194</v>
      </c>
      <c r="J8996" t="s">
        <v>26484</v>
      </c>
      <c r="K8996" s="2" t="str">
        <f>HYPERLINK("http://collections.slsa.sa.gov.au/mpcimg/18000/B17855_23.htm")</f>
        <v>http://collections.slsa.sa.gov.au/mpcimg/18000/B17855_23.htm</v>
      </c>
    </row>
    <row r="8997" spans="1:11" x14ac:dyDescent="0.25">
      <c r="A8997" t="s">
        <v>29204</v>
      </c>
      <c r="B8997" s="1" t="str">
        <f>HYPERLINK("https://www.catalog.slsa.sa.gov.au/record=b2063617")</f>
        <v>https://www.catalog.slsa.sa.gov.au/record=b2063617</v>
      </c>
      <c r="C8997" s="1" t="str">
        <f>HYPERLINK("https://www.catalog.slsa.sa.gov.au/xrecord=b2063617")</f>
        <v>https://www.catalog.slsa.sa.gov.au/xrecord=b2063617</v>
      </c>
      <c r="D8997" t="s">
        <v>16831</v>
      </c>
      <c r="E8997" t="s">
        <v>17735</v>
      </c>
      <c r="F8997">
        <v>1968</v>
      </c>
      <c r="G8997" t="s">
        <v>14771</v>
      </c>
      <c r="H8997" t="s">
        <v>29194</v>
      </c>
      <c r="J8997" t="s">
        <v>26484</v>
      </c>
      <c r="K8997" s="2" t="str">
        <f>HYPERLINK("http://collections.slsa.sa.gov.au/mpcimg/18000/B17855_24.htm")</f>
        <v>http://collections.slsa.sa.gov.au/mpcimg/18000/B17855_24.htm</v>
      </c>
    </row>
    <row r="8998" spans="1:11" x14ac:dyDescent="0.25">
      <c r="A8998" t="s">
        <v>29205</v>
      </c>
      <c r="B8998" s="1" t="str">
        <f>HYPERLINK("https://www.catalog.slsa.sa.gov.au/record=b2063618")</f>
        <v>https://www.catalog.slsa.sa.gov.au/record=b2063618</v>
      </c>
      <c r="C8998" s="1" t="str">
        <f>HYPERLINK("https://www.catalog.slsa.sa.gov.au/xrecord=b2063618")</f>
        <v>https://www.catalog.slsa.sa.gov.au/xrecord=b2063618</v>
      </c>
      <c r="D8998" t="s">
        <v>16831</v>
      </c>
      <c r="E8998" t="s">
        <v>17735</v>
      </c>
      <c r="F8998">
        <v>1968</v>
      </c>
      <c r="G8998" t="s">
        <v>14771</v>
      </c>
      <c r="H8998" t="s">
        <v>29194</v>
      </c>
      <c r="J8998" t="s">
        <v>26484</v>
      </c>
      <c r="K8998" s="2" t="str">
        <f>HYPERLINK("http://collections.slsa.sa.gov.au/mpcimg/18000/B17855_25.htm")</f>
        <v>http://collections.slsa.sa.gov.au/mpcimg/18000/B17855_25.htm</v>
      </c>
    </row>
    <row r="8999" spans="1:11" x14ac:dyDescent="0.25">
      <c r="A8999" t="s">
        <v>29206</v>
      </c>
      <c r="B8999" s="1" t="str">
        <f>HYPERLINK("https://www.catalog.slsa.sa.gov.au/record=b2063619")</f>
        <v>https://www.catalog.slsa.sa.gov.au/record=b2063619</v>
      </c>
      <c r="C8999" s="1" t="str">
        <f>HYPERLINK("https://www.catalog.slsa.sa.gov.au/xrecord=b2063619")</f>
        <v>https://www.catalog.slsa.sa.gov.au/xrecord=b2063619</v>
      </c>
      <c r="D8999" t="s">
        <v>16831</v>
      </c>
      <c r="E8999" t="s">
        <v>17735</v>
      </c>
      <c r="F8999">
        <v>1968</v>
      </c>
      <c r="G8999" t="s">
        <v>14771</v>
      </c>
      <c r="H8999" t="s">
        <v>29194</v>
      </c>
      <c r="J8999" t="s">
        <v>26484</v>
      </c>
      <c r="K8999" s="2" t="str">
        <f>HYPERLINK("http://collections.slsa.sa.gov.au/mpcimg/18000/B17855_26.htm")</f>
        <v>http://collections.slsa.sa.gov.au/mpcimg/18000/B17855_26.htm</v>
      </c>
    </row>
    <row r="9000" spans="1:11" x14ac:dyDescent="0.25">
      <c r="A9000" t="s">
        <v>29207</v>
      </c>
      <c r="B9000" s="1" t="str">
        <f>HYPERLINK("https://www.catalog.slsa.sa.gov.au/record=b2063620")</f>
        <v>https://www.catalog.slsa.sa.gov.au/record=b2063620</v>
      </c>
      <c r="C9000" s="1" t="str">
        <f>HYPERLINK("https://www.catalog.slsa.sa.gov.au/xrecord=b2063620")</f>
        <v>https://www.catalog.slsa.sa.gov.au/xrecord=b2063620</v>
      </c>
      <c r="D9000" t="s">
        <v>16831</v>
      </c>
      <c r="E9000" t="s">
        <v>17735</v>
      </c>
      <c r="F9000">
        <v>1968</v>
      </c>
      <c r="G9000" t="s">
        <v>14771</v>
      </c>
      <c r="H9000" t="s">
        <v>29194</v>
      </c>
      <c r="J9000" t="s">
        <v>26484</v>
      </c>
      <c r="K9000" s="2" t="str">
        <f>HYPERLINK("http://collections.slsa.sa.gov.au/mpcimg/18000/B17855_27.htm")</f>
        <v>http://collections.slsa.sa.gov.au/mpcimg/18000/B17855_27.htm</v>
      </c>
    </row>
    <row r="9001" spans="1:11" x14ac:dyDescent="0.25">
      <c r="A9001" t="s">
        <v>29208</v>
      </c>
      <c r="B9001" s="1" t="str">
        <f>HYPERLINK("https://www.catalog.slsa.sa.gov.au/record=b2063621")</f>
        <v>https://www.catalog.slsa.sa.gov.au/record=b2063621</v>
      </c>
      <c r="C9001" s="1" t="str">
        <f>HYPERLINK("https://www.catalog.slsa.sa.gov.au/xrecord=b2063621")</f>
        <v>https://www.catalog.slsa.sa.gov.au/xrecord=b2063621</v>
      </c>
      <c r="D9001" t="s">
        <v>16831</v>
      </c>
      <c r="E9001" t="s">
        <v>17735</v>
      </c>
      <c r="F9001">
        <v>1968</v>
      </c>
      <c r="G9001" t="s">
        <v>14771</v>
      </c>
      <c r="H9001" t="s">
        <v>29194</v>
      </c>
      <c r="J9001" t="s">
        <v>26484</v>
      </c>
      <c r="K9001" s="2" t="str">
        <f>HYPERLINK("http://collections.slsa.sa.gov.au/mpcimg/18000/B17855_28.htm")</f>
        <v>http://collections.slsa.sa.gov.au/mpcimg/18000/B17855_28.htm</v>
      </c>
    </row>
    <row r="9002" spans="1:11" x14ac:dyDescent="0.25">
      <c r="A9002" t="s">
        <v>29209</v>
      </c>
      <c r="B9002" s="1" t="str">
        <f>HYPERLINK("https://www.catalog.slsa.sa.gov.au/record=b2063622")</f>
        <v>https://www.catalog.slsa.sa.gov.au/record=b2063622</v>
      </c>
      <c r="C9002" s="1" t="str">
        <f>HYPERLINK("https://www.catalog.slsa.sa.gov.au/xrecord=b2063622")</f>
        <v>https://www.catalog.slsa.sa.gov.au/xrecord=b2063622</v>
      </c>
      <c r="D9002" t="s">
        <v>16831</v>
      </c>
      <c r="E9002" t="s">
        <v>17735</v>
      </c>
      <c r="F9002">
        <v>1968</v>
      </c>
      <c r="G9002" t="s">
        <v>14771</v>
      </c>
      <c r="H9002" t="s">
        <v>29194</v>
      </c>
      <c r="J9002" t="s">
        <v>26484</v>
      </c>
      <c r="K9002" s="2" t="str">
        <f>HYPERLINK("http://collections.slsa.sa.gov.au/mpcimg/18000/B17855_29.htm")</f>
        <v>http://collections.slsa.sa.gov.au/mpcimg/18000/B17855_29.htm</v>
      </c>
    </row>
    <row r="9003" spans="1:11" x14ac:dyDescent="0.25">
      <c r="A9003" t="s">
        <v>29210</v>
      </c>
      <c r="B9003" s="1" t="str">
        <f>HYPERLINK("https://www.catalog.slsa.sa.gov.au/record=b2063623")</f>
        <v>https://www.catalog.slsa.sa.gov.au/record=b2063623</v>
      </c>
      <c r="C9003" s="1" t="str">
        <f>HYPERLINK("https://www.catalog.slsa.sa.gov.au/xrecord=b2063623")</f>
        <v>https://www.catalog.slsa.sa.gov.au/xrecord=b2063623</v>
      </c>
      <c r="D9003" t="s">
        <v>16831</v>
      </c>
      <c r="E9003" t="s">
        <v>17735</v>
      </c>
      <c r="F9003">
        <v>1968</v>
      </c>
      <c r="G9003" t="s">
        <v>14771</v>
      </c>
      <c r="H9003" t="s">
        <v>29194</v>
      </c>
      <c r="J9003" t="s">
        <v>26484</v>
      </c>
      <c r="K9003" s="2" t="str">
        <f>HYPERLINK("http://collections.slsa.sa.gov.au/mpcimg/18000/B17855_30.htm")</f>
        <v>http://collections.slsa.sa.gov.au/mpcimg/18000/B17855_30.htm</v>
      </c>
    </row>
    <row r="9004" spans="1:11" x14ac:dyDescent="0.25">
      <c r="A9004" t="s">
        <v>29211</v>
      </c>
      <c r="B9004" s="1" t="str">
        <f>HYPERLINK("https://www.catalog.slsa.sa.gov.au/record=b2063842")</f>
        <v>https://www.catalog.slsa.sa.gov.au/record=b2063842</v>
      </c>
      <c r="C9004" s="1" t="str">
        <f>HYPERLINK("https://www.catalog.slsa.sa.gov.au/xrecord=b2063842")</f>
        <v>https://www.catalog.slsa.sa.gov.au/xrecord=b2063842</v>
      </c>
      <c r="D9004" t="s">
        <v>16831</v>
      </c>
      <c r="E9004" t="s">
        <v>26131</v>
      </c>
      <c r="F9004">
        <v>1968</v>
      </c>
      <c r="G9004" t="s">
        <v>14771</v>
      </c>
      <c r="H9004" t="s">
        <v>29212</v>
      </c>
      <c r="J9004" t="s">
        <v>29213</v>
      </c>
      <c r="K9004" s="2" t="str">
        <f>HYPERLINK("http://collections.slsa.sa.gov.au/mpcimg/18750/B18623.htm")</f>
        <v>http://collections.slsa.sa.gov.au/mpcimg/18750/B18623.htm</v>
      </c>
    </row>
    <row r="9005" spans="1:11" x14ac:dyDescent="0.25">
      <c r="A9005" t="s">
        <v>29214</v>
      </c>
      <c r="B9005" s="1" t="str">
        <f>HYPERLINK("https://www.catalog.slsa.sa.gov.au/record=b2063932")</f>
        <v>https://www.catalog.slsa.sa.gov.au/record=b2063932</v>
      </c>
      <c r="C9005" s="1" t="str">
        <f>HYPERLINK("https://www.catalog.slsa.sa.gov.au/xrecord=b2063932")</f>
        <v>https://www.catalog.slsa.sa.gov.au/xrecord=b2063932</v>
      </c>
      <c r="D9005" t="s">
        <v>16831</v>
      </c>
      <c r="E9005" t="s">
        <v>26948</v>
      </c>
      <c r="F9005">
        <v>1968</v>
      </c>
      <c r="G9005" t="s">
        <v>16674</v>
      </c>
      <c r="H9005" t="s">
        <v>29215</v>
      </c>
      <c r="J9005" t="s">
        <v>29216</v>
      </c>
      <c r="K9005" s="2" t="str">
        <f>HYPERLINK("http://collections.slsa.sa.gov.au/mpcimg/18000/B17955.htm")</f>
        <v>http://collections.slsa.sa.gov.au/mpcimg/18000/B17955.htm</v>
      </c>
    </row>
    <row r="9006" spans="1:11" x14ac:dyDescent="0.25">
      <c r="A9006" t="s">
        <v>29217</v>
      </c>
      <c r="B9006" s="1" t="str">
        <f>HYPERLINK("https://www.catalog.slsa.sa.gov.au/record=b2064020")</f>
        <v>https://www.catalog.slsa.sa.gov.au/record=b2064020</v>
      </c>
      <c r="C9006" s="1" t="str">
        <f>HYPERLINK("https://www.catalog.slsa.sa.gov.au/xrecord=b2064020")</f>
        <v>https://www.catalog.slsa.sa.gov.au/xrecord=b2064020</v>
      </c>
      <c r="D9006" t="s">
        <v>16831</v>
      </c>
      <c r="E9006" t="s">
        <v>26135</v>
      </c>
      <c r="F9006">
        <v>1968</v>
      </c>
      <c r="G9006" t="s">
        <v>29218</v>
      </c>
      <c r="H9006" t="s">
        <v>29219</v>
      </c>
      <c r="J9006" t="s">
        <v>29220</v>
      </c>
      <c r="K9006" s="2" t="str">
        <f>HYPERLINK("http://collections.slsa.sa.gov.au/mpcimg/18250/B18119_1.htm")</f>
        <v>http://collections.slsa.sa.gov.au/mpcimg/18250/B18119_1.htm</v>
      </c>
    </row>
    <row r="9007" spans="1:11" x14ac:dyDescent="0.25">
      <c r="A9007" t="s">
        <v>29221</v>
      </c>
      <c r="B9007" s="1" t="str">
        <f>HYPERLINK("https://www.catalog.slsa.sa.gov.au/record=b2064021")</f>
        <v>https://www.catalog.slsa.sa.gov.au/record=b2064021</v>
      </c>
      <c r="C9007" s="1" t="str">
        <f>HYPERLINK("https://www.catalog.slsa.sa.gov.au/xrecord=b2064021")</f>
        <v>https://www.catalog.slsa.sa.gov.au/xrecord=b2064021</v>
      </c>
      <c r="D9007" t="s">
        <v>16831</v>
      </c>
      <c r="E9007" t="s">
        <v>26135</v>
      </c>
      <c r="F9007">
        <v>1968</v>
      </c>
      <c r="G9007" t="s">
        <v>15164</v>
      </c>
      <c r="H9007" t="s">
        <v>29222</v>
      </c>
      <c r="J9007" t="s">
        <v>29220</v>
      </c>
      <c r="K9007" s="2" t="str">
        <f>HYPERLINK("http://collections.slsa.sa.gov.au/mpcimg/18250/B18119_2.htm")</f>
        <v>http://collections.slsa.sa.gov.au/mpcimg/18250/B18119_2.htm</v>
      </c>
    </row>
    <row r="9008" spans="1:11" x14ac:dyDescent="0.25">
      <c r="A9008" t="s">
        <v>29223</v>
      </c>
      <c r="B9008" s="1" t="str">
        <f>HYPERLINK("https://www.catalog.slsa.sa.gov.au/record=b2064256")</f>
        <v>https://www.catalog.slsa.sa.gov.au/record=b2064256</v>
      </c>
      <c r="C9008" s="1" t="str">
        <f>HYPERLINK("https://www.catalog.slsa.sa.gov.au/xrecord=b2064256")</f>
        <v>https://www.catalog.slsa.sa.gov.au/xrecord=b2064256</v>
      </c>
      <c r="D9008" t="s">
        <v>16831</v>
      </c>
      <c r="E9008" t="s">
        <v>28517</v>
      </c>
      <c r="F9008">
        <v>1968</v>
      </c>
      <c r="G9008" t="s">
        <v>29224</v>
      </c>
      <c r="H9008" t="s">
        <v>29225</v>
      </c>
      <c r="J9008" t="s">
        <v>29226</v>
      </c>
      <c r="K9008" s="2" t="str">
        <f>HYPERLINK("http://collections.slsa.sa.gov.au/mpcimg/18500/B18379.htm")</f>
        <v>http://collections.slsa.sa.gov.au/mpcimg/18500/B18379.htm</v>
      </c>
    </row>
    <row r="9009" spans="1:11" x14ac:dyDescent="0.25">
      <c r="A9009" t="s">
        <v>29227</v>
      </c>
      <c r="B9009" s="1" t="str">
        <f>HYPERLINK("https://www.catalog.slsa.sa.gov.au/record=b2064419")</f>
        <v>https://www.catalog.slsa.sa.gov.au/record=b2064419</v>
      </c>
      <c r="C9009" s="1" t="str">
        <f>HYPERLINK("https://www.catalog.slsa.sa.gov.au/xrecord=b2064419")</f>
        <v>https://www.catalog.slsa.sa.gov.au/xrecord=b2064419</v>
      </c>
      <c r="D9009" t="s">
        <v>16831</v>
      </c>
      <c r="E9009" t="s">
        <v>26503</v>
      </c>
      <c r="F9009">
        <v>1968</v>
      </c>
      <c r="G9009" t="s">
        <v>14771</v>
      </c>
      <c r="H9009" t="s">
        <v>29228</v>
      </c>
      <c r="J9009" t="s">
        <v>29229</v>
      </c>
      <c r="K9009" s="2" t="str">
        <f>HYPERLINK("http://collections.slsa.sa.gov.au/mpcimg/18750/B18611_1.htm")</f>
        <v>http://collections.slsa.sa.gov.au/mpcimg/18750/B18611_1.htm</v>
      </c>
    </row>
    <row r="9010" spans="1:11" x14ac:dyDescent="0.25">
      <c r="A9010" t="s">
        <v>29230</v>
      </c>
      <c r="B9010" s="1" t="str">
        <f>HYPERLINK("https://www.catalog.slsa.sa.gov.au/record=b2064420")</f>
        <v>https://www.catalog.slsa.sa.gov.au/record=b2064420</v>
      </c>
      <c r="C9010" s="1" t="str">
        <f>HYPERLINK("https://www.catalog.slsa.sa.gov.au/xrecord=b2064420")</f>
        <v>https://www.catalog.slsa.sa.gov.au/xrecord=b2064420</v>
      </c>
      <c r="D9010" t="s">
        <v>16831</v>
      </c>
      <c r="E9010" t="s">
        <v>29231</v>
      </c>
      <c r="F9010">
        <v>1968</v>
      </c>
      <c r="G9010" t="s">
        <v>14771</v>
      </c>
      <c r="H9010" t="s">
        <v>29232</v>
      </c>
      <c r="J9010" t="s">
        <v>29229</v>
      </c>
      <c r="K9010" s="2" t="str">
        <f>HYPERLINK("http://collections.slsa.sa.gov.au/mpcimg/18750/B18611_2.htm")</f>
        <v>http://collections.slsa.sa.gov.au/mpcimg/18750/B18611_2.htm</v>
      </c>
    </row>
    <row r="9011" spans="1:11" x14ac:dyDescent="0.25">
      <c r="A9011" t="s">
        <v>29233</v>
      </c>
      <c r="B9011" s="1" t="str">
        <f>HYPERLINK("https://www.catalog.slsa.sa.gov.au/record=b2065765")</f>
        <v>https://www.catalog.slsa.sa.gov.au/record=b2065765</v>
      </c>
      <c r="C9011" s="1" t="str">
        <f>HYPERLINK("https://www.catalog.slsa.sa.gov.au/xrecord=b2065765")</f>
        <v>https://www.catalog.slsa.sa.gov.au/xrecord=b2065765</v>
      </c>
      <c r="D9011" t="s">
        <v>16831</v>
      </c>
      <c r="E9011" t="s">
        <v>29234</v>
      </c>
      <c r="F9011">
        <v>1968</v>
      </c>
      <c r="G9011" t="s">
        <v>14809</v>
      </c>
      <c r="H9011" t="s">
        <v>29235</v>
      </c>
      <c r="J9011" t="s">
        <v>29236</v>
      </c>
      <c r="K9011" s="2" t="str">
        <f>HYPERLINK("http://collections.slsa.sa.gov.au/mpcimg/39000/B38770.htm")</f>
        <v>http://collections.slsa.sa.gov.au/mpcimg/39000/B38770.htm</v>
      </c>
    </row>
    <row r="9012" spans="1:11" x14ac:dyDescent="0.25">
      <c r="A9012" t="s">
        <v>29237</v>
      </c>
      <c r="B9012" s="1" t="str">
        <f>HYPERLINK("https://www.catalog.slsa.sa.gov.au/record=b2065766")</f>
        <v>https://www.catalog.slsa.sa.gov.au/record=b2065766</v>
      </c>
      <c r="C9012" s="1" t="str">
        <f>HYPERLINK("https://www.catalog.slsa.sa.gov.au/xrecord=b2065766")</f>
        <v>https://www.catalog.slsa.sa.gov.au/xrecord=b2065766</v>
      </c>
      <c r="D9012" t="s">
        <v>16831</v>
      </c>
      <c r="E9012" t="s">
        <v>29234</v>
      </c>
      <c r="F9012">
        <v>1968</v>
      </c>
      <c r="G9012" t="s">
        <v>14809</v>
      </c>
      <c r="H9012" t="s">
        <v>29235</v>
      </c>
      <c r="J9012" t="s">
        <v>29236</v>
      </c>
      <c r="K9012" s="2" t="str">
        <f>HYPERLINK("http://collections.slsa.sa.gov.au/mpcimg/39000/B38771.htm")</f>
        <v>http://collections.slsa.sa.gov.au/mpcimg/39000/B38771.htm</v>
      </c>
    </row>
    <row r="9013" spans="1:11" x14ac:dyDescent="0.25">
      <c r="A9013" t="s">
        <v>29238</v>
      </c>
      <c r="B9013" s="1" t="str">
        <f>HYPERLINK("https://www.catalog.slsa.sa.gov.au/record=b2024447")</f>
        <v>https://www.catalog.slsa.sa.gov.au/record=b2024447</v>
      </c>
      <c r="C9013" s="1" t="str">
        <f>HYPERLINK("https://www.catalog.slsa.sa.gov.au/xrecord=b2024447")</f>
        <v>https://www.catalog.slsa.sa.gov.au/xrecord=b2024447</v>
      </c>
      <c r="D9013" t="s">
        <v>29239</v>
      </c>
      <c r="E9013" t="s">
        <v>14869</v>
      </c>
      <c r="F9013">
        <v>1969</v>
      </c>
      <c r="G9013" t="s">
        <v>29240</v>
      </c>
      <c r="H9013" t="s">
        <v>29241</v>
      </c>
      <c r="I9013" t="s">
        <v>29242</v>
      </c>
      <c r="J9013" t="s">
        <v>29243</v>
      </c>
      <c r="K9013" s="2" t="str">
        <f>HYPERLINK("http://collections.slsa.sa.gov.au/mpcimg/19750/B19501.htm")</f>
        <v>http://collections.slsa.sa.gov.au/mpcimg/19750/B19501.htm</v>
      </c>
    </row>
    <row r="9014" spans="1:11" x14ac:dyDescent="0.25">
      <c r="A9014" t="s">
        <v>29244</v>
      </c>
      <c r="B9014" s="1" t="str">
        <f>HYPERLINK("https://www.catalog.slsa.sa.gov.au/record=b2024448")</f>
        <v>https://www.catalog.slsa.sa.gov.au/record=b2024448</v>
      </c>
      <c r="C9014" s="1" t="str">
        <f>HYPERLINK("https://www.catalog.slsa.sa.gov.au/xrecord=b2024448")</f>
        <v>https://www.catalog.slsa.sa.gov.au/xrecord=b2024448</v>
      </c>
      <c r="D9014" t="s">
        <v>16831</v>
      </c>
      <c r="E9014" t="s">
        <v>14869</v>
      </c>
      <c r="F9014">
        <v>1969</v>
      </c>
      <c r="G9014" t="s">
        <v>29245</v>
      </c>
      <c r="H9014" t="s">
        <v>29246</v>
      </c>
      <c r="I9014" t="s">
        <v>29247</v>
      </c>
      <c r="J9014" t="s">
        <v>14873</v>
      </c>
      <c r="K9014" s="2" t="str">
        <f>HYPERLINK("http://collections.slsa.sa.gov.au/mpcimg/19750/B19502.htm")</f>
        <v>http://collections.slsa.sa.gov.au/mpcimg/19750/B19502.htm</v>
      </c>
    </row>
    <row r="9015" spans="1:11" x14ac:dyDescent="0.25">
      <c r="A9015" t="s">
        <v>29248</v>
      </c>
      <c r="B9015" s="1" t="str">
        <f>HYPERLINK("https://www.catalog.slsa.sa.gov.au/record=b2024449")</f>
        <v>https://www.catalog.slsa.sa.gov.au/record=b2024449</v>
      </c>
      <c r="C9015" s="1" t="str">
        <f>HYPERLINK("https://www.catalog.slsa.sa.gov.au/xrecord=b2024449")</f>
        <v>https://www.catalog.slsa.sa.gov.au/xrecord=b2024449</v>
      </c>
      <c r="D9015" t="s">
        <v>29239</v>
      </c>
      <c r="E9015" t="s">
        <v>14869</v>
      </c>
      <c r="F9015">
        <v>1969</v>
      </c>
      <c r="G9015" t="s">
        <v>29245</v>
      </c>
      <c r="H9015" t="s">
        <v>29249</v>
      </c>
      <c r="I9015" t="s">
        <v>29247</v>
      </c>
      <c r="J9015" t="s">
        <v>14873</v>
      </c>
      <c r="K9015" s="2" t="str">
        <f>HYPERLINK("http://collections.slsa.sa.gov.au/mpcimg/19750/B19503.htm")</f>
        <v>http://collections.slsa.sa.gov.au/mpcimg/19750/B19503.htm</v>
      </c>
    </row>
    <row r="9016" spans="1:11" x14ac:dyDescent="0.25">
      <c r="A9016" t="s">
        <v>29250</v>
      </c>
      <c r="B9016" s="1" t="str">
        <f>HYPERLINK("https://www.catalog.slsa.sa.gov.au/record=b2024450")</f>
        <v>https://www.catalog.slsa.sa.gov.au/record=b2024450</v>
      </c>
      <c r="C9016" s="1" t="str">
        <f>HYPERLINK("https://www.catalog.slsa.sa.gov.au/xrecord=b2024450")</f>
        <v>https://www.catalog.slsa.sa.gov.au/xrecord=b2024450</v>
      </c>
      <c r="D9016" t="s">
        <v>29239</v>
      </c>
      <c r="E9016" t="s">
        <v>14869</v>
      </c>
      <c r="F9016">
        <v>1969</v>
      </c>
      <c r="G9016" t="s">
        <v>29245</v>
      </c>
      <c r="H9016" t="s">
        <v>29251</v>
      </c>
      <c r="I9016" t="s">
        <v>29242</v>
      </c>
      <c r="J9016" t="s">
        <v>14873</v>
      </c>
      <c r="K9016" s="2" t="str">
        <f>HYPERLINK("http://collections.slsa.sa.gov.au/mpcimg/19750/B19504.htm")</f>
        <v>http://collections.slsa.sa.gov.au/mpcimg/19750/B19504.htm</v>
      </c>
    </row>
    <row r="9017" spans="1:11" x14ac:dyDescent="0.25">
      <c r="A9017" t="s">
        <v>29252</v>
      </c>
      <c r="B9017" s="1" t="str">
        <f>HYPERLINK("https://www.catalog.slsa.sa.gov.au/record=b2024451")</f>
        <v>https://www.catalog.slsa.sa.gov.au/record=b2024451</v>
      </c>
      <c r="C9017" s="1" t="str">
        <f>HYPERLINK("https://www.catalog.slsa.sa.gov.au/xrecord=b2024451")</f>
        <v>https://www.catalog.slsa.sa.gov.au/xrecord=b2024451</v>
      </c>
      <c r="D9017" t="s">
        <v>29239</v>
      </c>
      <c r="E9017" t="s">
        <v>14869</v>
      </c>
      <c r="F9017">
        <v>1969</v>
      </c>
      <c r="G9017" t="s">
        <v>29245</v>
      </c>
      <c r="H9017" t="s">
        <v>29253</v>
      </c>
      <c r="I9017" t="s">
        <v>29247</v>
      </c>
      <c r="J9017" t="s">
        <v>14873</v>
      </c>
      <c r="K9017" s="2" t="str">
        <f>HYPERLINK("http://collections.slsa.sa.gov.au/mpcimg/19750/B19505.htm")</f>
        <v>http://collections.slsa.sa.gov.au/mpcimg/19750/B19505.htm</v>
      </c>
    </row>
    <row r="9018" spans="1:11" x14ac:dyDescent="0.25">
      <c r="A9018" t="s">
        <v>29254</v>
      </c>
      <c r="B9018" s="1" t="str">
        <f>HYPERLINK("https://www.catalog.slsa.sa.gov.au/record=b2024452")</f>
        <v>https://www.catalog.slsa.sa.gov.au/record=b2024452</v>
      </c>
      <c r="C9018" s="1" t="str">
        <f>HYPERLINK("https://www.catalog.slsa.sa.gov.au/xrecord=b2024452")</f>
        <v>https://www.catalog.slsa.sa.gov.au/xrecord=b2024452</v>
      </c>
      <c r="D9018" t="s">
        <v>29239</v>
      </c>
      <c r="E9018" t="s">
        <v>14869</v>
      </c>
      <c r="F9018">
        <v>1969</v>
      </c>
      <c r="G9018" t="s">
        <v>29245</v>
      </c>
      <c r="H9018" t="s">
        <v>29255</v>
      </c>
      <c r="I9018" t="s">
        <v>29256</v>
      </c>
      <c r="J9018" t="s">
        <v>14873</v>
      </c>
      <c r="K9018" s="2" t="str">
        <f>HYPERLINK("http://collections.slsa.sa.gov.au/mpcimg/19750/B19506.htm")</f>
        <v>http://collections.slsa.sa.gov.au/mpcimg/19750/B19506.htm</v>
      </c>
    </row>
    <row r="9019" spans="1:11" x14ac:dyDescent="0.25">
      <c r="A9019" t="s">
        <v>29257</v>
      </c>
      <c r="B9019" s="1" t="str">
        <f>HYPERLINK("https://www.catalog.slsa.sa.gov.au/record=b2024453")</f>
        <v>https://www.catalog.slsa.sa.gov.au/record=b2024453</v>
      </c>
      <c r="C9019" s="1" t="str">
        <f>HYPERLINK("https://www.catalog.slsa.sa.gov.au/xrecord=b2024453")</f>
        <v>https://www.catalog.slsa.sa.gov.au/xrecord=b2024453</v>
      </c>
      <c r="D9019" t="s">
        <v>29239</v>
      </c>
      <c r="E9019" t="s">
        <v>14869</v>
      </c>
      <c r="F9019">
        <v>1969</v>
      </c>
      <c r="G9019" t="s">
        <v>29245</v>
      </c>
      <c r="H9019" t="s">
        <v>29258</v>
      </c>
      <c r="I9019" t="s">
        <v>29259</v>
      </c>
      <c r="J9019" t="s">
        <v>14873</v>
      </c>
      <c r="K9019" s="2" t="str">
        <f>HYPERLINK("http://collections.slsa.sa.gov.au/mpcimg/19750/B19507.htm")</f>
        <v>http://collections.slsa.sa.gov.au/mpcimg/19750/B19507.htm</v>
      </c>
    </row>
    <row r="9020" spans="1:11" x14ac:dyDescent="0.25">
      <c r="A9020" t="s">
        <v>29260</v>
      </c>
      <c r="B9020" s="1" t="str">
        <f>HYPERLINK("https://www.catalog.slsa.sa.gov.au/record=b2024454")</f>
        <v>https://www.catalog.slsa.sa.gov.au/record=b2024454</v>
      </c>
      <c r="C9020" s="1" t="str">
        <f>HYPERLINK("https://www.catalog.slsa.sa.gov.au/xrecord=b2024454")</f>
        <v>https://www.catalog.slsa.sa.gov.au/xrecord=b2024454</v>
      </c>
      <c r="D9020" t="s">
        <v>29239</v>
      </c>
      <c r="E9020" t="s">
        <v>14869</v>
      </c>
      <c r="F9020">
        <v>1969</v>
      </c>
      <c r="G9020" t="s">
        <v>29245</v>
      </c>
      <c r="H9020" t="s">
        <v>29261</v>
      </c>
      <c r="I9020" t="s">
        <v>29259</v>
      </c>
      <c r="J9020" t="s">
        <v>14873</v>
      </c>
      <c r="K9020" s="2" t="str">
        <f>HYPERLINK("http://collections.slsa.sa.gov.au/mpcimg/19750/B19508.htm")</f>
        <v>http://collections.slsa.sa.gov.au/mpcimg/19750/B19508.htm</v>
      </c>
    </row>
    <row r="9021" spans="1:11" x14ac:dyDescent="0.25">
      <c r="A9021" t="s">
        <v>29262</v>
      </c>
      <c r="B9021" s="1" t="str">
        <f>HYPERLINK("https://www.catalog.slsa.sa.gov.au/record=b2024455")</f>
        <v>https://www.catalog.slsa.sa.gov.au/record=b2024455</v>
      </c>
      <c r="C9021" s="1" t="str">
        <f>HYPERLINK("https://www.catalog.slsa.sa.gov.au/xrecord=b2024455")</f>
        <v>https://www.catalog.slsa.sa.gov.au/xrecord=b2024455</v>
      </c>
      <c r="D9021" t="s">
        <v>29239</v>
      </c>
      <c r="E9021" t="s">
        <v>14869</v>
      </c>
      <c r="F9021">
        <v>1969</v>
      </c>
      <c r="G9021" t="s">
        <v>29245</v>
      </c>
      <c r="H9021" t="s">
        <v>29263</v>
      </c>
      <c r="I9021" t="s">
        <v>29259</v>
      </c>
      <c r="J9021" t="s">
        <v>14873</v>
      </c>
      <c r="K9021" s="2" t="str">
        <f>HYPERLINK("http://collections.slsa.sa.gov.au/mpcimg/19750/B19509.htm")</f>
        <v>http://collections.slsa.sa.gov.au/mpcimg/19750/B19509.htm</v>
      </c>
    </row>
    <row r="9022" spans="1:11" x14ac:dyDescent="0.25">
      <c r="A9022" t="s">
        <v>29264</v>
      </c>
      <c r="B9022" s="1" t="str">
        <f>HYPERLINK("https://www.catalog.slsa.sa.gov.au/record=b2024456")</f>
        <v>https://www.catalog.slsa.sa.gov.au/record=b2024456</v>
      </c>
      <c r="C9022" s="1" t="str">
        <f>HYPERLINK("https://www.catalog.slsa.sa.gov.au/xrecord=b2024456")</f>
        <v>https://www.catalog.slsa.sa.gov.au/xrecord=b2024456</v>
      </c>
      <c r="D9022" t="s">
        <v>29239</v>
      </c>
      <c r="E9022" t="s">
        <v>14869</v>
      </c>
      <c r="F9022">
        <v>1969</v>
      </c>
      <c r="G9022" t="s">
        <v>29245</v>
      </c>
      <c r="H9022" t="s">
        <v>29265</v>
      </c>
      <c r="I9022" t="s">
        <v>29266</v>
      </c>
      <c r="J9022" t="s">
        <v>14873</v>
      </c>
      <c r="K9022" s="2" t="str">
        <f>HYPERLINK("http://collections.slsa.sa.gov.au/mpcimg/19750/B19510.htm")</f>
        <v>http://collections.slsa.sa.gov.au/mpcimg/19750/B19510.htm</v>
      </c>
    </row>
    <row r="9023" spans="1:11" x14ac:dyDescent="0.25">
      <c r="A9023" t="s">
        <v>29267</v>
      </c>
      <c r="B9023" s="1" t="str">
        <f>HYPERLINK("https://www.catalog.slsa.sa.gov.au/record=b2024457")</f>
        <v>https://www.catalog.slsa.sa.gov.au/record=b2024457</v>
      </c>
      <c r="C9023" s="1" t="str">
        <f>HYPERLINK("https://www.catalog.slsa.sa.gov.au/xrecord=b2024457")</f>
        <v>https://www.catalog.slsa.sa.gov.au/xrecord=b2024457</v>
      </c>
      <c r="D9023" t="s">
        <v>29239</v>
      </c>
      <c r="E9023" t="s">
        <v>14869</v>
      </c>
      <c r="F9023">
        <v>1969</v>
      </c>
      <c r="G9023" t="s">
        <v>29245</v>
      </c>
      <c r="H9023" t="s">
        <v>29268</v>
      </c>
      <c r="I9023" t="s">
        <v>29269</v>
      </c>
      <c r="J9023" t="s">
        <v>14873</v>
      </c>
      <c r="K9023" s="2" t="str">
        <f>HYPERLINK("http://collections.slsa.sa.gov.au/mpcimg/19750/B19511.htm")</f>
        <v>http://collections.slsa.sa.gov.au/mpcimg/19750/B19511.htm</v>
      </c>
    </row>
    <row r="9024" spans="1:11" x14ac:dyDescent="0.25">
      <c r="A9024" t="s">
        <v>29270</v>
      </c>
      <c r="B9024" s="1" t="str">
        <f>HYPERLINK("https://www.catalog.slsa.sa.gov.au/record=b2024458")</f>
        <v>https://www.catalog.slsa.sa.gov.au/record=b2024458</v>
      </c>
      <c r="C9024" s="1" t="str">
        <f>HYPERLINK("https://www.catalog.slsa.sa.gov.au/xrecord=b2024458")</f>
        <v>https://www.catalog.slsa.sa.gov.au/xrecord=b2024458</v>
      </c>
      <c r="D9024" t="s">
        <v>29239</v>
      </c>
      <c r="E9024" t="s">
        <v>14869</v>
      </c>
      <c r="F9024">
        <v>1969</v>
      </c>
      <c r="G9024" t="s">
        <v>29245</v>
      </c>
      <c r="H9024" t="s">
        <v>29271</v>
      </c>
      <c r="I9024" t="s">
        <v>29269</v>
      </c>
      <c r="J9024" t="s">
        <v>14873</v>
      </c>
      <c r="K9024" s="2" t="str">
        <f>HYPERLINK("http://collections.slsa.sa.gov.au/mpcimg/19750/B19512.htm")</f>
        <v>http://collections.slsa.sa.gov.au/mpcimg/19750/B19512.htm</v>
      </c>
    </row>
    <row r="9025" spans="1:11" x14ac:dyDescent="0.25">
      <c r="A9025" t="s">
        <v>29272</v>
      </c>
      <c r="B9025" s="1" t="str">
        <f>HYPERLINK("https://www.catalog.slsa.sa.gov.au/record=b2024459")</f>
        <v>https://www.catalog.slsa.sa.gov.au/record=b2024459</v>
      </c>
      <c r="C9025" s="1" t="str">
        <f>HYPERLINK("https://www.catalog.slsa.sa.gov.au/xrecord=b2024459")</f>
        <v>https://www.catalog.slsa.sa.gov.au/xrecord=b2024459</v>
      </c>
      <c r="D9025" t="s">
        <v>29239</v>
      </c>
      <c r="E9025" t="s">
        <v>14869</v>
      </c>
      <c r="F9025">
        <v>1969</v>
      </c>
      <c r="G9025" t="s">
        <v>29245</v>
      </c>
      <c r="H9025" t="s">
        <v>29273</v>
      </c>
      <c r="I9025" t="s">
        <v>29269</v>
      </c>
      <c r="J9025" t="s">
        <v>14873</v>
      </c>
      <c r="K9025" s="2" t="str">
        <f>HYPERLINK("http://collections.slsa.sa.gov.au/mpcimg/19750/B19513.htm")</f>
        <v>http://collections.slsa.sa.gov.au/mpcimg/19750/B19513.htm</v>
      </c>
    </row>
    <row r="9026" spans="1:11" x14ac:dyDescent="0.25">
      <c r="A9026" t="s">
        <v>29274</v>
      </c>
      <c r="B9026" s="1" t="str">
        <f>HYPERLINK("https://www.catalog.slsa.sa.gov.au/record=b2024460")</f>
        <v>https://www.catalog.slsa.sa.gov.au/record=b2024460</v>
      </c>
      <c r="C9026" s="1" t="str">
        <f>HYPERLINK("https://www.catalog.slsa.sa.gov.au/xrecord=b2024460")</f>
        <v>https://www.catalog.slsa.sa.gov.au/xrecord=b2024460</v>
      </c>
      <c r="D9026" t="s">
        <v>29239</v>
      </c>
      <c r="E9026" t="s">
        <v>14869</v>
      </c>
      <c r="F9026">
        <v>1969</v>
      </c>
      <c r="G9026" t="s">
        <v>29245</v>
      </c>
      <c r="H9026" t="s">
        <v>29275</v>
      </c>
      <c r="I9026" t="s">
        <v>29269</v>
      </c>
      <c r="J9026" t="s">
        <v>14873</v>
      </c>
      <c r="K9026" s="2" t="str">
        <f>HYPERLINK("http://collections.slsa.sa.gov.au/mpcimg/19750/B19514.htm")</f>
        <v>http://collections.slsa.sa.gov.au/mpcimg/19750/B19514.htm</v>
      </c>
    </row>
    <row r="9027" spans="1:11" x14ac:dyDescent="0.25">
      <c r="A9027" t="s">
        <v>29276</v>
      </c>
      <c r="B9027" s="1" t="str">
        <f>HYPERLINK("https://www.catalog.slsa.sa.gov.au/record=b2024461")</f>
        <v>https://www.catalog.slsa.sa.gov.au/record=b2024461</v>
      </c>
      <c r="C9027" s="1" t="str">
        <f>HYPERLINK("https://www.catalog.slsa.sa.gov.au/xrecord=b2024461")</f>
        <v>https://www.catalog.slsa.sa.gov.au/xrecord=b2024461</v>
      </c>
      <c r="D9027" t="s">
        <v>29239</v>
      </c>
      <c r="E9027" t="s">
        <v>14869</v>
      </c>
      <c r="F9027">
        <v>1969</v>
      </c>
      <c r="G9027" t="s">
        <v>29245</v>
      </c>
      <c r="H9027" t="s">
        <v>29277</v>
      </c>
      <c r="I9027" t="s">
        <v>29269</v>
      </c>
      <c r="J9027" t="s">
        <v>14873</v>
      </c>
      <c r="K9027" s="2" t="str">
        <f>HYPERLINK("http://collections.slsa.sa.gov.au/mpcimg/19750/B19515.htm")</f>
        <v>http://collections.slsa.sa.gov.au/mpcimg/19750/B19515.htm</v>
      </c>
    </row>
    <row r="9028" spans="1:11" x14ac:dyDescent="0.25">
      <c r="A9028" t="s">
        <v>29278</v>
      </c>
      <c r="B9028" s="1" t="str">
        <f>HYPERLINK("https://www.catalog.slsa.sa.gov.au/record=b2024462")</f>
        <v>https://www.catalog.slsa.sa.gov.au/record=b2024462</v>
      </c>
      <c r="C9028" s="1" t="str">
        <f>HYPERLINK("https://www.catalog.slsa.sa.gov.au/xrecord=b2024462")</f>
        <v>https://www.catalog.slsa.sa.gov.au/xrecord=b2024462</v>
      </c>
      <c r="D9028" t="s">
        <v>29239</v>
      </c>
      <c r="E9028" t="s">
        <v>14869</v>
      </c>
      <c r="F9028">
        <v>1969</v>
      </c>
      <c r="G9028" t="s">
        <v>29245</v>
      </c>
      <c r="H9028" t="s">
        <v>29279</v>
      </c>
      <c r="I9028" t="s">
        <v>29280</v>
      </c>
      <c r="J9028" t="s">
        <v>14873</v>
      </c>
      <c r="K9028" s="2" t="str">
        <f>HYPERLINK("http://collections.slsa.sa.gov.au/mpcimg/19750/B19516.htm")</f>
        <v>http://collections.slsa.sa.gov.au/mpcimg/19750/B19516.htm</v>
      </c>
    </row>
    <row r="9029" spans="1:11" x14ac:dyDescent="0.25">
      <c r="A9029" t="s">
        <v>29281</v>
      </c>
      <c r="B9029" s="1" t="str">
        <f>HYPERLINK("https://www.catalog.slsa.sa.gov.au/record=b2024463")</f>
        <v>https://www.catalog.slsa.sa.gov.au/record=b2024463</v>
      </c>
      <c r="C9029" s="1" t="str">
        <f>HYPERLINK("https://www.catalog.slsa.sa.gov.au/xrecord=b2024463")</f>
        <v>https://www.catalog.slsa.sa.gov.au/xrecord=b2024463</v>
      </c>
      <c r="D9029" t="s">
        <v>29239</v>
      </c>
      <c r="E9029" t="s">
        <v>14869</v>
      </c>
      <c r="F9029">
        <v>1969</v>
      </c>
      <c r="G9029" t="s">
        <v>29245</v>
      </c>
      <c r="H9029" t="s">
        <v>29282</v>
      </c>
      <c r="I9029" t="s">
        <v>29269</v>
      </c>
      <c r="J9029" t="s">
        <v>14873</v>
      </c>
      <c r="K9029" s="2" t="str">
        <f>HYPERLINK("http://collections.slsa.sa.gov.au/mpcimg/19750/B19517.htm")</f>
        <v>http://collections.slsa.sa.gov.au/mpcimg/19750/B19517.htm</v>
      </c>
    </row>
    <row r="9030" spans="1:11" x14ac:dyDescent="0.25">
      <c r="A9030" t="s">
        <v>29283</v>
      </c>
      <c r="B9030" s="1" t="str">
        <f>HYPERLINK("https://www.catalog.slsa.sa.gov.au/record=b2024464")</f>
        <v>https://www.catalog.slsa.sa.gov.au/record=b2024464</v>
      </c>
      <c r="C9030" s="1" t="str">
        <f>HYPERLINK("https://www.catalog.slsa.sa.gov.au/xrecord=b2024464")</f>
        <v>https://www.catalog.slsa.sa.gov.au/xrecord=b2024464</v>
      </c>
      <c r="D9030" t="s">
        <v>29239</v>
      </c>
      <c r="E9030" t="s">
        <v>14869</v>
      </c>
      <c r="F9030">
        <v>1969</v>
      </c>
      <c r="G9030" t="s">
        <v>29245</v>
      </c>
      <c r="H9030" t="s">
        <v>29284</v>
      </c>
      <c r="I9030" t="s">
        <v>29285</v>
      </c>
      <c r="J9030" t="s">
        <v>14873</v>
      </c>
      <c r="K9030" s="2" t="str">
        <f>HYPERLINK("http://collections.slsa.sa.gov.au/mpcimg/19750/B19518.htm")</f>
        <v>http://collections.slsa.sa.gov.au/mpcimg/19750/B19518.htm</v>
      </c>
    </row>
    <row r="9031" spans="1:11" x14ac:dyDescent="0.25">
      <c r="A9031" t="s">
        <v>29286</v>
      </c>
      <c r="B9031" s="1" t="str">
        <f>HYPERLINK("https://www.catalog.slsa.sa.gov.au/record=b2024465")</f>
        <v>https://www.catalog.slsa.sa.gov.au/record=b2024465</v>
      </c>
      <c r="C9031" s="1" t="str">
        <f>HYPERLINK("https://www.catalog.slsa.sa.gov.au/xrecord=b2024465")</f>
        <v>https://www.catalog.slsa.sa.gov.au/xrecord=b2024465</v>
      </c>
      <c r="D9031" t="s">
        <v>29239</v>
      </c>
      <c r="E9031" t="s">
        <v>14869</v>
      </c>
      <c r="F9031">
        <v>1969</v>
      </c>
      <c r="G9031" t="s">
        <v>29245</v>
      </c>
      <c r="H9031" t="s">
        <v>29287</v>
      </c>
      <c r="I9031" t="s">
        <v>29288</v>
      </c>
      <c r="J9031" t="s">
        <v>14873</v>
      </c>
      <c r="K9031" s="2" t="str">
        <f>HYPERLINK("http://collections.slsa.sa.gov.au/mpcimg/19750/B19519.htm")</f>
        <v>http://collections.slsa.sa.gov.au/mpcimg/19750/B19519.htm</v>
      </c>
    </row>
    <row r="9032" spans="1:11" x14ac:dyDescent="0.25">
      <c r="A9032" t="s">
        <v>29289</v>
      </c>
      <c r="B9032" s="1" t="str">
        <f>HYPERLINK("https://www.catalog.slsa.sa.gov.au/record=b2024466")</f>
        <v>https://www.catalog.slsa.sa.gov.au/record=b2024466</v>
      </c>
      <c r="C9032" s="1" t="str">
        <f>HYPERLINK("https://www.catalog.slsa.sa.gov.au/xrecord=b2024466")</f>
        <v>https://www.catalog.slsa.sa.gov.au/xrecord=b2024466</v>
      </c>
      <c r="D9032" t="s">
        <v>29239</v>
      </c>
      <c r="E9032" t="s">
        <v>14869</v>
      </c>
      <c r="F9032">
        <v>1969</v>
      </c>
      <c r="G9032" t="s">
        <v>29290</v>
      </c>
      <c r="H9032" t="s">
        <v>29291</v>
      </c>
      <c r="I9032" t="s">
        <v>29292</v>
      </c>
      <c r="J9032" t="s">
        <v>14873</v>
      </c>
      <c r="K9032" s="2" t="str">
        <f>HYPERLINK("http://collections.slsa.sa.gov.au/mpcimg/19750/B19520.htm")</f>
        <v>http://collections.slsa.sa.gov.au/mpcimg/19750/B19520.htm</v>
      </c>
    </row>
    <row r="9033" spans="1:11" x14ac:dyDescent="0.25">
      <c r="A9033" t="s">
        <v>29293</v>
      </c>
      <c r="B9033" s="1" t="str">
        <f>HYPERLINK("https://www.catalog.slsa.sa.gov.au/record=b2024467")</f>
        <v>https://www.catalog.slsa.sa.gov.au/record=b2024467</v>
      </c>
      <c r="C9033" s="1" t="str">
        <f>HYPERLINK("https://www.catalog.slsa.sa.gov.au/xrecord=b2024467")</f>
        <v>https://www.catalog.slsa.sa.gov.au/xrecord=b2024467</v>
      </c>
      <c r="D9033" t="s">
        <v>29239</v>
      </c>
      <c r="E9033" t="s">
        <v>14869</v>
      </c>
      <c r="F9033">
        <v>1969</v>
      </c>
      <c r="G9033" t="s">
        <v>29245</v>
      </c>
      <c r="H9033" t="s">
        <v>29294</v>
      </c>
      <c r="I9033" t="s">
        <v>29295</v>
      </c>
      <c r="J9033" t="s">
        <v>14873</v>
      </c>
      <c r="K9033" s="2" t="str">
        <f>HYPERLINK("http://collections.slsa.sa.gov.au/mpcimg/19750/B19521.htm")</f>
        <v>http://collections.slsa.sa.gov.au/mpcimg/19750/B19521.htm</v>
      </c>
    </row>
    <row r="9034" spans="1:11" x14ac:dyDescent="0.25">
      <c r="A9034" t="s">
        <v>29296</v>
      </c>
      <c r="B9034" s="1" t="str">
        <f>HYPERLINK("https://www.catalog.slsa.sa.gov.au/record=b2024468")</f>
        <v>https://www.catalog.slsa.sa.gov.au/record=b2024468</v>
      </c>
      <c r="C9034" s="1" t="str">
        <f>HYPERLINK("https://www.catalog.slsa.sa.gov.au/xrecord=b2024468")</f>
        <v>https://www.catalog.slsa.sa.gov.au/xrecord=b2024468</v>
      </c>
      <c r="D9034" t="s">
        <v>29239</v>
      </c>
      <c r="E9034" t="s">
        <v>14869</v>
      </c>
      <c r="F9034">
        <v>1969</v>
      </c>
      <c r="G9034" t="s">
        <v>29245</v>
      </c>
      <c r="H9034" t="s">
        <v>29297</v>
      </c>
      <c r="I9034" t="s">
        <v>29269</v>
      </c>
      <c r="J9034" t="s">
        <v>14873</v>
      </c>
      <c r="K9034" s="2" t="str">
        <f>HYPERLINK("http://collections.slsa.sa.gov.au/mpcimg/19750/B19522.htm")</f>
        <v>http://collections.slsa.sa.gov.au/mpcimg/19750/B19522.htm</v>
      </c>
    </row>
    <row r="9035" spans="1:11" x14ac:dyDescent="0.25">
      <c r="A9035" t="s">
        <v>29298</v>
      </c>
      <c r="B9035" s="1" t="str">
        <f>HYPERLINK("https://www.catalog.slsa.sa.gov.au/record=b2024469")</f>
        <v>https://www.catalog.slsa.sa.gov.au/record=b2024469</v>
      </c>
      <c r="C9035" s="1" t="str">
        <f>HYPERLINK("https://www.catalog.slsa.sa.gov.au/xrecord=b2024469")</f>
        <v>https://www.catalog.slsa.sa.gov.au/xrecord=b2024469</v>
      </c>
      <c r="D9035" t="s">
        <v>29239</v>
      </c>
      <c r="E9035" t="s">
        <v>14869</v>
      </c>
      <c r="F9035">
        <v>1969</v>
      </c>
      <c r="G9035" t="s">
        <v>29245</v>
      </c>
      <c r="H9035" t="s">
        <v>29299</v>
      </c>
      <c r="I9035" t="s">
        <v>29300</v>
      </c>
      <c r="J9035" t="s">
        <v>14873</v>
      </c>
      <c r="K9035" s="2" t="str">
        <f>HYPERLINK("http://collections.slsa.sa.gov.au/mpcimg/19750/B19523.htm")</f>
        <v>http://collections.slsa.sa.gov.au/mpcimg/19750/B19523.htm</v>
      </c>
    </row>
    <row r="9036" spans="1:11" x14ac:dyDescent="0.25">
      <c r="A9036" t="s">
        <v>29301</v>
      </c>
      <c r="B9036" s="1" t="str">
        <f>HYPERLINK("https://www.catalog.slsa.sa.gov.au/record=b2024470")</f>
        <v>https://www.catalog.slsa.sa.gov.au/record=b2024470</v>
      </c>
      <c r="C9036" s="1" t="str">
        <f>HYPERLINK("https://www.catalog.slsa.sa.gov.au/xrecord=b2024470")</f>
        <v>https://www.catalog.slsa.sa.gov.au/xrecord=b2024470</v>
      </c>
      <c r="D9036" t="s">
        <v>29239</v>
      </c>
      <c r="E9036" t="s">
        <v>14869</v>
      </c>
      <c r="F9036">
        <v>1969</v>
      </c>
      <c r="G9036" t="s">
        <v>29245</v>
      </c>
      <c r="H9036" t="s">
        <v>29302</v>
      </c>
      <c r="I9036" t="s">
        <v>29269</v>
      </c>
      <c r="J9036" t="s">
        <v>14873</v>
      </c>
      <c r="K9036" s="2" t="str">
        <f>HYPERLINK("http://collections.slsa.sa.gov.au/mpcimg/19750/B19524.htm")</f>
        <v>http://collections.slsa.sa.gov.au/mpcimg/19750/B19524.htm</v>
      </c>
    </row>
    <row r="9037" spans="1:11" x14ac:dyDescent="0.25">
      <c r="A9037" t="s">
        <v>29303</v>
      </c>
      <c r="B9037" s="1" t="str">
        <f>HYPERLINK("https://www.catalog.slsa.sa.gov.au/record=b2024471")</f>
        <v>https://www.catalog.slsa.sa.gov.au/record=b2024471</v>
      </c>
      <c r="C9037" s="1" t="str">
        <f>HYPERLINK("https://www.catalog.slsa.sa.gov.au/xrecord=b2024471")</f>
        <v>https://www.catalog.slsa.sa.gov.au/xrecord=b2024471</v>
      </c>
      <c r="D9037" t="s">
        <v>29239</v>
      </c>
      <c r="E9037" t="s">
        <v>14869</v>
      </c>
      <c r="F9037">
        <v>1969</v>
      </c>
      <c r="G9037" t="s">
        <v>29245</v>
      </c>
      <c r="H9037" t="s">
        <v>29304</v>
      </c>
      <c r="I9037" t="s">
        <v>29269</v>
      </c>
      <c r="J9037" t="s">
        <v>14873</v>
      </c>
      <c r="K9037" s="2" t="str">
        <f>HYPERLINK("http://collections.slsa.sa.gov.au/mpcimg/19750/B19525.htm")</f>
        <v>http://collections.slsa.sa.gov.au/mpcimg/19750/B19525.htm</v>
      </c>
    </row>
    <row r="9038" spans="1:11" x14ac:dyDescent="0.25">
      <c r="A9038" t="s">
        <v>29305</v>
      </c>
      <c r="B9038" s="1" t="str">
        <f>HYPERLINK("https://www.catalog.slsa.sa.gov.au/record=b2024472")</f>
        <v>https://www.catalog.slsa.sa.gov.au/record=b2024472</v>
      </c>
      <c r="C9038" s="1" t="str">
        <f>HYPERLINK("https://www.catalog.slsa.sa.gov.au/xrecord=b2024472")</f>
        <v>https://www.catalog.slsa.sa.gov.au/xrecord=b2024472</v>
      </c>
      <c r="D9038" t="s">
        <v>29239</v>
      </c>
      <c r="E9038" t="s">
        <v>14869</v>
      </c>
      <c r="F9038">
        <v>1969</v>
      </c>
      <c r="G9038" t="s">
        <v>29245</v>
      </c>
      <c r="H9038" t="s">
        <v>29306</v>
      </c>
      <c r="I9038" t="s">
        <v>29269</v>
      </c>
      <c r="J9038" t="s">
        <v>14873</v>
      </c>
      <c r="K9038" s="2" t="str">
        <f>HYPERLINK("http://collections.slsa.sa.gov.au/mpcimg/19750/B19526.htm")</f>
        <v>http://collections.slsa.sa.gov.au/mpcimg/19750/B19526.htm</v>
      </c>
    </row>
    <row r="9039" spans="1:11" x14ac:dyDescent="0.25">
      <c r="A9039" t="s">
        <v>29307</v>
      </c>
      <c r="B9039" s="1" t="str">
        <f>HYPERLINK("https://www.catalog.slsa.sa.gov.au/record=b2024473")</f>
        <v>https://www.catalog.slsa.sa.gov.au/record=b2024473</v>
      </c>
      <c r="C9039" s="1" t="str">
        <f>HYPERLINK("https://www.catalog.slsa.sa.gov.au/xrecord=b2024473")</f>
        <v>https://www.catalog.slsa.sa.gov.au/xrecord=b2024473</v>
      </c>
      <c r="D9039" t="s">
        <v>29239</v>
      </c>
      <c r="E9039" t="s">
        <v>14869</v>
      </c>
      <c r="F9039">
        <v>1969</v>
      </c>
      <c r="G9039" t="s">
        <v>29245</v>
      </c>
      <c r="H9039" t="s">
        <v>29308</v>
      </c>
      <c r="I9039" t="s">
        <v>29285</v>
      </c>
      <c r="J9039" t="s">
        <v>14873</v>
      </c>
      <c r="K9039" s="2" t="str">
        <f>HYPERLINK("http://collections.slsa.sa.gov.au/mpcimg/19750/B19527.htm")</f>
        <v>http://collections.slsa.sa.gov.au/mpcimg/19750/B19527.htm</v>
      </c>
    </row>
    <row r="9040" spans="1:11" x14ac:dyDescent="0.25">
      <c r="A9040" t="s">
        <v>29309</v>
      </c>
      <c r="B9040" s="1" t="str">
        <f>HYPERLINK("https://www.catalog.slsa.sa.gov.au/record=b2024474")</f>
        <v>https://www.catalog.slsa.sa.gov.au/record=b2024474</v>
      </c>
      <c r="C9040" s="1" t="str">
        <f>HYPERLINK("https://www.catalog.slsa.sa.gov.au/xrecord=b2024474")</f>
        <v>https://www.catalog.slsa.sa.gov.au/xrecord=b2024474</v>
      </c>
      <c r="D9040" t="s">
        <v>29239</v>
      </c>
      <c r="E9040" t="s">
        <v>14869</v>
      </c>
      <c r="F9040">
        <v>1969</v>
      </c>
      <c r="G9040" t="s">
        <v>29310</v>
      </c>
      <c r="H9040" t="s">
        <v>29311</v>
      </c>
      <c r="I9040" t="s">
        <v>29312</v>
      </c>
      <c r="J9040" t="s">
        <v>14873</v>
      </c>
      <c r="K9040" s="2" t="str">
        <f>HYPERLINK("http://collections.slsa.sa.gov.au/mpcimg/19750/B19528.htm")</f>
        <v>http://collections.slsa.sa.gov.au/mpcimg/19750/B19528.htm</v>
      </c>
    </row>
    <row r="9041" spans="1:11" x14ac:dyDescent="0.25">
      <c r="A9041" t="s">
        <v>29313</v>
      </c>
      <c r="B9041" s="1" t="str">
        <f>HYPERLINK("https://www.catalog.slsa.sa.gov.au/record=b2024475")</f>
        <v>https://www.catalog.slsa.sa.gov.au/record=b2024475</v>
      </c>
      <c r="C9041" s="1" t="str">
        <f>HYPERLINK("https://www.catalog.slsa.sa.gov.au/xrecord=b2024475")</f>
        <v>https://www.catalog.slsa.sa.gov.au/xrecord=b2024475</v>
      </c>
      <c r="D9041" t="s">
        <v>29239</v>
      </c>
      <c r="E9041" t="s">
        <v>14869</v>
      </c>
      <c r="F9041">
        <v>1969</v>
      </c>
      <c r="G9041" t="s">
        <v>29245</v>
      </c>
      <c r="H9041" t="s">
        <v>29314</v>
      </c>
      <c r="I9041" t="s">
        <v>29312</v>
      </c>
      <c r="J9041" t="s">
        <v>14873</v>
      </c>
      <c r="K9041" s="2" t="str">
        <f>HYPERLINK("http://collections.slsa.sa.gov.au/mpcimg/19750/B19529.htm")</f>
        <v>http://collections.slsa.sa.gov.au/mpcimg/19750/B19529.htm</v>
      </c>
    </row>
    <row r="9042" spans="1:11" x14ac:dyDescent="0.25">
      <c r="A9042" t="s">
        <v>29315</v>
      </c>
      <c r="B9042" s="1" t="str">
        <f>HYPERLINK("https://www.catalog.slsa.sa.gov.au/record=b2024476")</f>
        <v>https://www.catalog.slsa.sa.gov.au/record=b2024476</v>
      </c>
      <c r="C9042" s="1" t="str">
        <f>HYPERLINK("https://www.catalog.slsa.sa.gov.au/xrecord=b2024476")</f>
        <v>https://www.catalog.slsa.sa.gov.au/xrecord=b2024476</v>
      </c>
      <c r="D9042" t="s">
        <v>29239</v>
      </c>
      <c r="E9042" t="s">
        <v>14869</v>
      </c>
      <c r="F9042">
        <v>1969</v>
      </c>
      <c r="G9042" t="s">
        <v>29245</v>
      </c>
      <c r="H9042" t="s">
        <v>29316</v>
      </c>
      <c r="I9042" t="s">
        <v>29312</v>
      </c>
      <c r="J9042" t="s">
        <v>14873</v>
      </c>
      <c r="K9042" s="2" t="str">
        <f>HYPERLINK("http://collections.slsa.sa.gov.au/mpcimg/19750/B19530.htm")</f>
        <v>http://collections.slsa.sa.gov.au/mpcimg/19750/B19530.htm</v>
      </c>
    </row>
    <row r="9043" spans="1:11" x14ac:dyDescent="0.25">
      <c r="A9043" t="s">
        <v>29317</v>
      </c>
      <c r="B9043" s="1" t="str">
        <f>HYPERLINK("https://www.catalog.slsa.sa.gov.au/record=b2024477")</f>
        <v>https://www.catalog.slsa.sa.gov.au/record=b2024477</v>
      </c>
      <c r="C9043" s="1" t="str">
        <f>HYPERLINK("https://www.catalog.slsa.sa.gov.au/xrecord=b2024477")</f>
        <v>https://www.catalog.slsa.sa.gov.au/xrecord=b2024477</v>
      </c>
      <c r="D9043" t="s">
        <v>29239</v>
      </c>
      <c r="E9043" t="s">
        <v>14869</v>
      </c>
      <c r="F9043">
        <v>1969</v>
      </c>
      <c r="G9043" t="s">
        <v>29245</v>
      </c>
      <c r="H9043" t="s">
        <v>29318</v>
      </c>
      <c r="I9043" t="s">
        <v>29256</v>
      </c>
      <c r="J9043" t="s">
        <v>14873</v>
      </c>
      <c r="K9043" s="2" t="str">
        <f>HYPERLINK("http://collections.slsa.sa.gov.au/mpcimg/19750/B19531.htm")</f>
        <v>http://collections.slsa.sa.gov.au/mpcimg/19750/B19531.htm</v>
      </c>
    </row>
    <row r="9044" spans="1:11" x14ac:dyDescent="0.25">
      <c r="A9044" t="s">
        <v>29319</v>
      </c>
      <c r="B9044" s="1" t="str">
        <f>HYPERLINK("https://www.catalog.slsa.sa.gov.au/record=b2024478")</f>
        <v>https://www.catalog.slsa.sa.gov.au/record=b2024478</v>
      </c>
      <c r="C9044" s="1" t="str">
        <f>HYPERLINK("https://www.catalog.slsa.sa.gov.au/xrecord=b2024478")</f>
        <v>https://www.catalog.slsa.sa.gov.au/xrecord=b2024478</v>
      </c>
      <c r="D9044" t="s">
        <v>29239</v>
      </c>
      <c r="E9044" t="s">
        <v>14869</v>
      </c>
      <c r="F9044">
        <v>1969</v>
      </c>
      <c r="G9044" t="s">
        <v>29245</v>
      </c>
      <c r="H9044" t="s">
        <v>29320</v>
      </c>
      <c r="I9044" t="s">
        <v>29256</v>
      </c>
      <c r="J9044" t="s">
        <v>14873</v>
      </c>
      <c r="K9044" s="2" t="str">
        <f>HYPERLINK("http://collections.slsa.sa.gov.au/mpcimg/19750/B19532.htm")</f>
        <v>http://collections.slsa.sa.gov.au/mpcimg/19750/B19532.htm</v>
      </c>
    </row>
    <row r="9045" spans="1:11" x14ac:dyDescent="0.25">
      <c r="A9045" t="s">
        <v>29321</v>
      </c>
      <c r="B9045" s="1" t="str">
        <f>HYPERLINK("https://www.catalog.slsa.sa.gov.au/record=b2024479")</f>
        <v>https://www.catalog.slsa.sa.gov.au/record=b2024479</v>
      </c>
      <c r="C9045" s="1" t="str">
        <f>HYPERLINK("https://www.catalog.slsa.sa.gov.au/xrecord=b2024479")</f>
        <v>https://www.catalog.slsa.sa.gov.au/xrecord=b2024479</v>
      </c>
      <c r="D9045" t="s">
        <v>29239</v>
      </c>
      <c r="E9045" t="s">
        <v>14869</v>
      </c>
      <c r="F9045">
        <v>1969</v>
      </c>
      <c r="G9045" t="s">
        <v>29245</v>
      </c>
      <c r="H9045" t="s">
        <v>29322</v>
      </c>
      <c r="I9045" t="s">
        <v>29256</v>
      </c>
      <c r="J9045" t="s">
        <v>14873</v>
      </c>
      <c r="K9045" s="2" t="str">
        <f>HYPERLINK("http://collections.slsa.sa.gov.au/mpcimg/19750/B19533.htm")</f>
        <v>http://collections.slsa.sa.gov.au/mpcimg/19750/B19533.htm</v>
      </c>
    </row>
    <row r="9046" spans="1:11" x14ac:dyDescent="0.25">
      <c r="A9046" t="s">
        <v>29323</v>
      </c>
      <c r="B9046" s="1" t="str">
        <f>HYPERLINK("https://www.catalog.slsa.sa.gov.au/record=b2024480")</f>
        <v>https://www.catalog.slsa.sa.gov.au/record=b2024480</v>
      </c>
      <c r="C9046" s="1" t="str">
        <f>HYPERLINK("https://www.catalog.slsa.sa.gov.au/xrecord=b2024480")</f>
        <v>https://www.catalog.slsa.sa.gov.au/xrecord=b2024480</v>
      </c>
      <c r="D9046" t="s">
        <v>29239</v>
      </c>
      <c r="E9046" t="s">
        <v>14869</v>
      </c>
      <c r="F9046">
        <v>1969</v>
      </c>
      <c r="G9046" t="s">
        <v>29245</v>
      </c>
      <c r="H9046" t="s">
        <v>29322</v>
      </c>
      <c r="I9046" t="s">
        <v>29256</v>
      </c>
      <c r="J9046" t="s">
        <v>14873</v>
      </c>
      <c r="K9046" s="2" t="str">
        <f>HYPERLINK("http://collections.slsa.sa.gov.au/mpcimg/19750/B19534.htm")</f>
        <v>http://collections.slsa.sa.gov.au/mpcimg/19750/B19534.htm</v>
      </c>
    </row>
    <row r="9047" spans="1:11" x14ac:dyDescent="0.25">
      <c r="A9047" t="s">
        <v>29324</v>
      </c>
      <c r="B9047" s="1" t="str">
        <f>HYPERLINK("https://www.catalog.slsa.sa.gov.au/record=b2024481")</f>
        <v>https://www.catalog.slsa.sa.gov.au/record=b2024481</v>
      </c>
      <c r="C9047" s="1" t="str">
        <f>HYPERLINK("https://www.catalog.slsa.sa.gov.au/xrecord=b2024481")</f>
        <v>https://www.catalog.slsa.sa.gov.au/xrecord=b2024481</v>
      </c>
      <c r="D9047" t="s">
        <v>29239</v>
      </c>
      <c r="E9047" t="s">
        <v>14869</v>
      </c>
      <c r="F9047">
        <v>1969</v>
      </c>
      <c r="G9047" t="s">
        <v>29245</v>
      </c>
      <c r="H9047" t="s">
        <v>29322</v>
      </c>
      <c r="I9047" t="s">
        <v>29256</v>
      </c>
      <c r="J9047" t="s">
        <v>14873</v>
      </c>
      <c r="K9047" s="2" t="str">
        <f>HYPERLINK("http://collections.slsa.sa.gov.au/mpcimg/19750/B19535.htm")</f>
        <v>http://collections.slsa.sa.gov.au/mpcimg/19750/B19535.htm</v>
      </c>
    </row>
    <row r="9048" spans="1:11" x14ac:dyDescent="0.25">
      <c r="A9048" t="s">
        <v>29325</v>
      </c>
      <c r="B9048" s="1" t="str">
        <f>HYPERLINK("https://www.catalog.slsa.sa.gov.au/record=b2024482")</f>
        <v>https://www.catalog.slsa.sa.gov.au/record=b2024482</v>
      </c>
      <c r="C9048" s="1" t="str">
        <f>HYPERLINK("https://www.catalog.slsa.sa.gov.au/xrecord=b2024482")</f>
        <v>https://www.catalog.slsa.sa.gov.au/xrecord=b2024482</v>
      </c>
      <c r="D9048" t="s">
        <v>29239</v>
      </c>
      <c r="E9048" t="s">
        <v>14869</v>
      </c>
      <c r="F9048">
        <v>1969</v>
      </c>
      <c r="G9048" t="s">
        <v>29245</v>
      </c>
      <c r="H9048" t="s">
        <v>29322</v>
      </c>
      <c r="I9048" t="s">
        <v>29269</v>
      </c>
      <c r="J9048" t="s">
        <v>14873</v>
      </c>
      <c r="K9048" s="2" t="str">
        <f>HYPERLINK("http://collections.slsa.sa.gov.au/mpcimg/19750/B19536.htm")</f>
        <v>http://collections.slsa.sa.gov.au/mpcimg/19750/B19536.htm</v>
      </c>
    </row>
    <row r="9049" spans="1:11" x14ac:dyDescent="0.25">
      <c r="A9049" t="s">
        <v>29326</v>
      </c>
      <c r="B9049" s="1" t="str">
        <f>HYPERLINK("https://www.catalog.slsa.sa.gov.au/record=b2024483")</f>
        <v>https://www.catalog.slsa.sa.gov.au/record=b2024483</v>
      </c>
      <c r="C9049" s="1" t="str">
        <f>HYPERLINK("https://www.catalog.slsa.sa.gov.au/xrecord=b2024483")</f>
        <v>https://www.catalog.slsa.sa.gov.au/xrecord=b2024483</v>
      </c>
      <c r="D9049" t="s">
        <v>29239</v>
      </c>
      <c r="E9049" t="s">
        <v>14869</v>
      </c>
      <c r="F9049">
        <v>1969</v>
      </c>
      <c r="G9049" t="s">
        <v>29245</v>
      </c>
      <c r="H9049" t="s">
        <v>29322</v>
      </c>
      <c r="I9049" t="s">
        <v>29256</v>
      </c>
      <c r="J9049" t="s">
        <v>14873</v>
      </c>
      <c r="K9049" s="2" t="str">
        <f>HYPERLINK("http://collections.slsa.sa.gov.au/mpcimg/19750/B19537.htm")</f>
        <v>http://collections.slsa.sa.gov.au/mpcimg/19750/B19537.htm</v>
      </c>
    </row>
    <row r="9050" spans="1:11" x14ac:dyDescent="0.25">
      <c r="A9050" t="s">
        <v>29327</v>
      </c>
      <c r="B9050" s="1" t="str">
        <f>HYPERLINK("https://www.catalog.slsa.sa.gov.au/record=b2024484")</f>
        <v>https://www.catalog.slsa.sa.gov.au/record=b2024484</v>
      </c>
      <c r="C9050" s="1" t="str">
        <f>HYPERLINK("https://www.catalog.slsa.sa.gov.au/xrecord=b2024484")</f>
        <v>https://www.catalog.slsa.sa.gov.au/xrecord=b2024484</v>
      </c>
      <c r="D9050" t="s">
        <v>29239</v>
      </c>
      <c r="E9050" t="s">
        <v>14869</v>
      </c>
      <c r="F9050">
        <v>1969</v>
      </c>
      <c r="G9050" t="s">
        <v>29245</v>
      </c>
      <c r="H9050" t="s">
        <v>29328</v>
      </c>
      <c r="I9050" t="s">
        <v>29329</v>
      </c>
      <c r="J9050" t="s">
        <v>14873</v>
      </c>
      <c r="K9050" s="2" t="str">
        <f>HYPERLINK("http://collections.slsa.sa.gov.au/mpcimg/19750/B19538.htm")</f>
        <v>http://collections.slsa.sa.gov.au/mpcimg/19750/B19538.htm</v>
      </c>
    </row>
    <row r="9051" spans="1:11" x14ac:dyDescent="0.25">
      <c r="A9051" t="s">
        <v>29330</v>
      </c>
      <c r="B9051" s="1" t="str">
        <f>HYPERLINK("https://www.catalog.slsa.sa.gov.au/record=b2024485")</f>
        <v>https://www.catalog.slsa.sa.gov.au/record=b2024485</v>
      </c>
      <c r="C9051" s="1" t="str">
        <f>HYPERLINK("https://www.catalog.slsa.sa.gov.au/xrecord=b2024485")</f>
        <v>https://www.catalog.slsa.sa.gov.au/xrecord=b2024485</v>
      </c>
      <c r="D9051" t="s">
        <v>29239</v>
      </c>
      <c r="E9051" t="s">
        <v>14869</v>
      </c>
      <c r="F9051">
        <v>1969</v>
      </c>
      <c r="G9051" t="s">
        <v>29245</v>
      </c>
      <c r="H9051" t="s">
        <v>29331</v>
      </c>
      <c r="I9051" t="s">
        <v>29329</v>
      </c>
      <c r="J9051" t="s">
        <v>14873</v>
      </c>
      <c r="K9051" s="2" t="str">
        <f>HYPERLINK("http://collections.slsa.sa.gov.au/mpcimg/19750/B19539.htm")</f>
        <v>http://collections.slsa.sa.gov.au/mpcimg/19750/B19539.htm</v>
      </c>
    </row>
    <row r="9052" spans="1:11" x14ac:dyDescent="0.25">
      <c r="A9052" t="s">
        <v>29332</v>
      </c>
      <c r="B9052" s="1" t="str">
        <f>HYPERLINK("https://www.catalog.slsa.sa.gov.au/record=b2024486")</f>
        <v>https://www.catalog.slsa.sa.gov.au/record=b2024486</v>
      </c>
      <c r="C9052" s="1" t="str">
        <f>HYPERLINK("https://www.catalog.slsa.sa.gov.au/xrecord=b2024486")</f>
        <v>https://www.catalog.slsa.sa.gov.au/xrecord=b2024486</v>
      </c>
      <c r="D9052" t="s">
        <v>29239</v>
      </c>
      <c r="E9052" t="s">
        <v>14869</v>
      </c>
      <c r="F9052">
        <v>1969</v>
      </c>
      <c r="G9052" t="s">
        <v>29245</v>
      </c>
      <c r="H9052" t="s">
        <v>29333</v>
      </c>
      <c r="I9052" t="s">
        <v>29329</v>
      </c>
      <c r="J9052" t="s">
        <v>14873</v>
      </c>
      <c r="K9052" s="2" t="str">
        <f>HYPERLINK("http://collections.slsa.sa.gov.au/mpcimg/19750/B19540.htm")</f>
        <v>http://collections.slsa.sa.gov.au/mpcimg/19750/B19540.htm</v>
      </c>
    </row>
    <row r="9053" spans="1:11" x14ac:dyDescent="0.25">
      <c r="A9053" t="s">
        <v>29334</v>
      </c>
      <c r="B9053" s="1" t="str">
        <f>HYPERLINK("https://www.catalog.slsa.sa.gov.au/record=b2024487")</f>
        <v>https://www.catalog.slsa.sa.gov.au/record=b2024487</v>
      </c>
      <c r="C9053" s="1" t="str">
        <f>HYPERLINK("https://www.catalog.slsa.sa.gov.au/xrecord=b2024487")</f>
        <v>https://www.catalog.slsa.sa.gov.au/xrecord=b2024487</v>
      </c>
      <c r="D9053" t="s">
        <v>29239</v>
      </c>
      <c r="E9053" t="s">
        <v>14869</v>
      </c>
      <c r="F9053">
        <v>1969</v>
      </c>
      <c r="G9053" t="s">
        <v>29245</v>
      </c>
      <c r="H9053" t="s">
        <v>29335</v>
      </c>
      <c r="I9053" t="s">
        <v>29336</v>
      </c>
      <c r="J9053" t="s">
        <v>14873</v>
      </c>
      <c r="K9053" s="2" t="str">
        <f>HYPERLINK("http://collections.slsa.sa.gov.au/mpcimg/19750/B19541.htm")</f>
        <v>http://collections.slsa.sa.gov.au/mpcimg/19750/B19541.htm</v>
      </c>
    </row>
    <row r="9054" spans="1:11" x14ac:dyDescent="0.25">
      <c r="A9054" t="s">
        <v>29337</v>
      </c>
      <c r="B9054" s="1" t="str">
        <f>HYPERLINK("https://www.catalog.slsa.sa.gov.au/record=b2024488")</f>
        <v>https://www.catalog.slsa.sa.gov.au/record=b2024488</v>
      </c>
      <c r="C9054" s="1" t="str">
        <f>HYPERLINK("https://www.catalog.slsa.sa.gov.au/xrecord=b2024488")</f>
        <v>https://www.catalog.slsa.sa.gov.au/xrecord=b2024488</v>
      </c>
      <c r="D9054" t="s">
        <v>29239</v>
      </c>
      <c r="E9054" t="s">
        <v>14869</v>
      </c>
      <c r="F9054">
        <v>1969</v>
      </c>
      <c r="G9054" t="s">
        <v>29245</v>
      </c>
      <c r="H9054" t="s">
        <v>29338</v>
      </c>
      <c r="I9054" t="s">
        <v>29339</v>
      </c>
      <c r="J9054" t="s">
        <v>14873</v>
      </c>
      <c r="K9054" s="2" t="str">
        <f>HYPERLINK("http://collections.slsa.sa.gov.au/mpcimg/19750/B19543.htm")</f>
        <v>http://collections.slsa.sa.gov.au/mpcimg/19750/B19543.htm</v>
      </c>
    </row>
    <row r="9055" spans="1:11" x14ac:dyDescent="0.25">
      <c r="A9055" t="s">
        <v>29340</v>
      </c>
      <c r="B9055" s="1" t="str">
        <f>HYPERLINK("https://www.catalog.slsa.sa.gov.au/record=b2024489")</f>
        <v>https://www.catalog.slsa.sa.gov.au/record=b2024489</v>
      </c>
      <c r="C9055" s="1" t="str">
        <f>HYPERLINK("https://www.catalog.slsa.sa.gov.au/xrecord=b2024489")</f>
        <v>https://www.catalog.slsa.sa.gov.au/xrecord=b2024489</v>
      </c>
      <c r="D9055" t="s">
        <v>29239</v>
      </c>
      <c r="E9055" t="s">
        <v>14869</v>
      </c>
      <c r="F9055">
        <v>1969</v>
      </c>
      <c r="G9055" t="s">
        <v>29341</v>
      </c>
      <c r="H9055" t="s">
        <v>29342</v>
      </c>
      <c r="I9055" t="s">
        <v>29343</v>
      </c>
      <c r="J9055" t="s">
        <v>14873</v>
      </c>
      <c r="K9055" s="2" t="str">
        <f>HYPERLINK("http://collections.slsa.sa.gov.au/mpcimg/19750/B19542.htm")</f>
        <v>http://collections.slsa.sa.gov.au/mpcimg/19750/B19542.htm</v>
      </c>
    </row>
    <row r="9056" spans="1:11" x14ac:dyDescent="0.25">
      <c r="A9056" t="s">
        <v>29344</v>
      </c>
      <c r="B9056" s="1" t="str">
        <f>HYPERLINK("https://www.catalog.slsa.sa.gov.au/record=b2024490")</f>
        <v>https://www.catalog.slsa.sa.gov.au/record=b2024490</v>
      </c>
      <c r="C9056" s="1" t="str">
        <f>HYPERLINK("https://www.catalog.slsa.sa.gov.au/xrecord=b2024490")</f>
        <v>https://www.catalog.slsa.sa.gov.au/xrecord=b2024490</v>
      </c>
      <c r="D9056" t="s">
        <v>29239</v>
      </c>
      <c r="E9056" t="s">
        <v>14869</v>
      </c>
      <c r="F9056">
        <v>1969</v>
      </c>
      <c r="G9056" t="s">
        <v>29341</v>
      </c>
      <c r="H9056" t="s">
        <v>29345</v>
      </c>
      <c r="I9056" t="s">
        <v>29329</v>
      </c>
      <c r="J9056" t="s">
        <v>14873</v>
      </c>
      <c r="K9056" s="2" t="str">
        <f>HYPERLINK("http://collections.slsa.sa.gov.au/mpcimg/19750/B19544.htm")</f>
        <v>http://collections.slsa.sa.gov.au/mpcimg/19750/B19544.htm</v>
      </c>
    </row>
    <row r="9057" spans="1:11" x14ac:dyDescent="0.25">
      <c r="A9057" t="s">
        <v>29346</v>
      </c>
      <c r="B9057" s="1" t="str">
        <f>HYPERLINK("https://www.catalog.slsa.sa.gov.au/record=b2024491")</f>
        <v>https://www.catalog.slsa.sa.gov.au/record=b2024491</v>
      </c>
      <c r="C9057" s="1" t="str">
        <f>HYPERLINK("https://www.catalog.slsa.sa.gov.au/xrecord=b2024491")</f>
        <v>https://www.catalog.slsa.sa.gov.au/xrecord=b2024491</v>
      </c>
      <c r="D9057" t="s">
        <v>29239</v>
      </c>
      <c r="E9057" t="s">
        <v>14869</v>
      </c>
      <c r="F9057">
        <v>1969</v>
      </c>
      <c r="G9057" t="s">
        <v>29245</v>
      </c>
      <c r="H9057" t="s">
        <v>29347</v>
      </c>
      <c r="I9057" t="s">
        <v>29348</v>
      </c>
      <c r="J9057" t="s">
        <v>14873</v>
      </c>
      <c r="K9057" s="2" t="str">
        <f>HYPERLINK("http://collections.slsa.sa.gov.au/mpcimg/19750/B19545.htm")</f>
        <v>http://collections.slsa.sa.gov.au/mpcimg/19750/B19545.htm</v>
      </c>
    </row>
    <row r="9058" spans="1:11" x14ac:dyDescent="0.25">
      <c r="A9058" t="s">
        <v>29349</v>
      </c>
      <c r="B9058" s="1" t="str">
        <f>HYPERLINK("https://www.catalog.slsa.sa.gov.au/record=b2024492")</f>
        <v>https://www.catalog.slsa.sa.gov.au/record=b2024492</v>
      </c>
      <c r="C9058" s="1" t="str">
        <f>HYPERLINK("https://www.catalog.slsa.sa.gov.au/xrecord=b2024492")</f>
        <v>https://www.catalog.slsa.sa.gov.au/xrecord=b2024492</v>
      </c>
      <c r="D9058" t="s">
        <v>29239</v>
      </c>
      <c r="E9058" t="s">
        <v>14869</v>
      </c>
      <c r="F9058">
        <v>1969</v>
      </c>
      <c r="G9058" t="s">
        <v>29245</v>
      </c>
      <c r="H9058" t="s">
        <v>29350</v>
      </c>
      <c r="I9058" t="s">
        <v>29351</v>
      </c>
      <c r="J9058" t="s">
        <v>14873</v>
      </c>
      <c r="K9058" s="2" t="str">
        <f>HYPERLINK("http://collections.slsa.sa.gov.au/mpcimg/19750/B19546.htm")</f>
        <v>http://collections.slsa.sa.gov.au/mpcimg/19750/B19546.htm</v>
      </c>
    </row>
    <row r="9059" spans="1:11" x14ac:dyDescent="0.25">
      <c r="A9059" t="s">
        <v>29352</v>
      </c>
      <c r="B9059" s="1" t="str">
        <f>HYPERLINK("https://www.catalog.slsa.sa.gov.au/record=b2024493")</f>
        <v>https://www.catalog.slsa.sa.gov.au/record=b2024493</v>
      </c>
      <c r="C9059" s="1" t="str">
        <f>HYPERLINK("https://www.catalog.slsa.sa.gov.au/xrecord=b2024493")</f>
        <v>https://www.catalog.slsa.sa.gov.au/xrecord=b2024493</v>
      </c>
      <c r="D9059" t="s">
        <v>29239</v>
      </c>
      <c r="E9059" t="s">
        <v>14869</v>
      </c>
      <c r="F9059">
        <v>1969</v>
      </c>
      <c r="G9059" t="s">
        <v>29245</v>
      </c>
      <c r="H9059" t="s">
        <v>29353</v>
      </c>
      <c r="I9059" t="s">
        <v>29348</v>
      </c>
      <c r="J9059" t="s">
        <v>14873</v>
      </c>
      <c r="K9059" s="2" t="str">
        <f>HYPERLINK("http://collections.slsa.sa.gov.au/mpcimg/19750/B19547.htm")</f>
        <v>http://collections.slsa.sa.gov.au/mpcimg/19750/B19547.htm</v>
      </c>
    </row>
    <row r="9060" spans="1:11" x14ac:dyDescent="0.25">
      <c r="A9060" t="s">
        <v>29354</v>
      </c>
      <c r="B9060" s="1" t="str">
        <f>HYPERLINK("https://www.catalog.slsa.sa.gov.au/record=b2024494")</f>
        <v>https://www.catalog.slsa.sa.gov.au/record=b2024494</v>
      </c>
      <c r="C9060" s="1" t="str">
        <f>HYPERLINK("https://www.catalog.slsa.sa.gov.au/xrecord=b2024494")</f>
        <v>https://www.catalog.slsa.sa.gov.au/xrecord=b2024494</v>
      </c>
      <c r="D9060" t="s">
        <v>29239</v>
      </c>
      <c r="E9060" t="s">
        <v>14869</v>
      </c>
      <c r="F9060">
        <v>1969</v>
      </c>
      <c r="G9060" t="s">
        <v>29245</v>
      </c>
      <c r="H9060" t="s">
        <v>29355</v>
      </c>
      <c r="I9060" t="s">
        <v>29348</v>
      </c>
      <c r="J9060" t="s">
        <v>14873</v>
      </c>
      <c r="K9060" s="2" t="str">
        <f>HYPERLINK("http://collections.slsa.sa.gov.au/mpcimg/19750/B19548.htm")</f>
        <v>http://collections.slsa.sa.gov.au/mpcimg/19750/B19548.htm</v>
      </c>
    </row>
    <row r="9061" spans="1:11" x14ac:dyDescent="0.25">
      <c r="A9061" t="s">
        <v>29356</v>
      </c>
      <c r="B9061" s="1" t="str">
        <f>HYPERLINK("https://www.catalog.slsa.sa.gov.au/record=b2024495")</f>
        <v>https://www.catalog.slsa.sa.gov.au/record=b2024495</v>
      </c>
      <c r="C9061" s="1" t="str">
        <f>HYPERLINK("https://www.catalog.slsa.sa.gov.au/xrecord=b2024495")</f>
        <v>https://www.catalog.slsa.sa.gov.au/xrecord=b2024495</v>
      </c>
      <c r="D9061" t="s">
        <v>29239</v>
      </c>
      <c r="E9061" t="s">
        <v>14869</v>
      </c>
      <c r="F9061">
        <v>1969</v>
      </c>
      <c r="G9061" t="s">
        <v>29245</v>
      </c>
      <c r="H9061" t="s">
        <v>29357</v>
      </c>
      <c r="I9061" t="s">
        <v>29358</v>
      </c>
      <c r="J9061" t="s">
        <v>14873</v>
      </c>
      <c r="K9061" s="2" t="str">
        <f>HYPERLINK("http://collections.slsa.sa.gov.au/mpcimg/19750/B19549.htm")</f>
        <v>http://collections.slsa.sa.gov.au/mpcimg/19750/B19549.htm</v>
      </c>
    </row>
    <row r="9062" spans="1:11" x14ac:dyDescent="0.25">
      <c r="A9062" t="s">
        <v>29359</v>
      </c>
      <c r="B9062" s="1" t="str">
        <f>HYPERLINK("https://www.catalog.slsa.sa.gov.au/record=b2024496")</f>
        <v>https://www.catalog.slsa.sa.gov.au/record=b2024496</v>
      </c>
      <c r="C9062" s="1" t="str">
        <f>HYPERLINK("https://www.catalog.slsa.sa.gov.au/xrecord=b2024496")</f>
        <v>https://www.catalog.slsa.sa.gov.au/xrecord=b2024496</v>
      </c>
      <c r="D9062" t="s">
        <v>29239</v>
      </c>
      <c r="E9062" t="s">
        <v>14869</v>
      </c>
      <c r="F9062">
        <v>1969</v>
      </c>
      <c r="G9062" t="s">
        <v>29245</v>
      </c>
      <c r="H9062" t="s">
        <v>29360</v>
      </c>
      <c r="I9062" t="s">
        <v>29361</v>
      </c>
      <c r="J9062" t="s">
        <v>14873</v>
      </c>
      <c r="K9062" s="2" t="str">
        <f>HYPERLINK("http://collections.slsa.sa.gov.au/mpcimg/19750/B19550.htm")</f>
        <v>http://collections.slsa.sa.gov.au/mpcimg/19750/B19550.htm</v>
      </c>
    </row>
    <row r="9063" spans="1:11" x14ac:dyDescent="0.25">
      <c r="A9063" t="s">
        <v>29362</v>
      </c>
      <c r="B9063" s="1" t="str">
        <f>HYPERLINK("https://www.catalog.slsa.sa.gov.au/record=b2024497")</f>
        <v>https://www.catalog.slsa.sa.gov.au/record=b2024497</v>
      </c>
      <c r="C9063" s="1" t="str">
        <f>HYPERLINK("https://www.catalog.slsa.sa.gov.au/xrecord=b2024497")</f>
        <v>https://www.catalog.slsa.sa.gov.au/xrecord=b2024497</v>
      </c>
      <c r="D9063" t="s">
        <v>29239</v>
      </c>
      <c r="E9063" t="s">
        <v>14869</v>
      </c>
      <c r="F9063">
        <v>1969</v>
      </c>
      <c r="G9063" t="s">
        <v>29245</v>
      </c>
      <c r="H9063" t="s">
        <v>29363</v>
      </c>
      <c r="I9063" t="s">
        <v>29361</v>
      </c>
      <c r="J9063" t="s">
        <v>14873</v>
      </c>
      <c r="K9063" s="2" t="str">
        <f>HYPERLINK("http://collections.slsa.sa.gov.au/mpcimg/19750/B19551.htm")</f>
        <v>http://collections.slsa.sa.gov.au/mpcimg/19750/B19551.htm</v>
      </c>
    </row>
    <row r="9064" spans="1:11" x14ac:dyDescent="0.25">
      <c r="A9064" t="s">
        <v>29364</v>
      </c>
      <c r="B9064" s="1" t="str">
        <f>HYPERLINK("https://www.catalog.slsa.sa.gov.au/record=b2024498")</f>
        <v>https://www.catalog.slsa.sa.gov.au/record=b2024498</v>
      </c>
      <c r="C9064" s="1" t="str">
        <f>HYPERLINK("https://www.catalog.slsa.sa.gov.au/xrecord=b2024498")</f>
        <v>https://www.catalog.slsa.sa.gov.au/xrecord=b2024498</v>
      </c>
      <c r="D9064" t="s">
        <v>29239</v>
      </c>
      <c r="E9064" t="s">
        <v>14869</v>
      </c>
      <c r="F9064">
        <v>1969</v>
      </c>
      <c r="G9064" t="s">
        <v>29245</v>
      </c>
      <c r="H9064" t="s">
        <v>29365</v>
      </c>
      <c r="I9064" t="s">
        <v>29361</v>
      </c>
      <c r="J9064" t="s">
        <v>14873</v>
      </c>
      <c r="K9064" s="2" t="str">
        <f>HYPERLINK("http://collections.slsa.sa.gov.au/mpcimg/19750/B19552.htm")</f>
        <v>http://collections.slsa.sa.gov.au/mpcimg/19750/B19552.htm</v>
      </c>
    </row>
    <row r="9065" spans="1:11" x14ac:dyDescent="0.25">
      <c r="A9065" t="s">
        <v>29366</v>
      </c>
      <c r="B9065" s="1" t="str">
        <f>HYPERLINK("https://www.catalog.slsa.sa.gov.au/record=b2024499")</f>
        <v>https://www.catalog.slsa.sa.gov.au/record=b2024499</v>
      </c>
      <c r="C9065" s="1" t="str">
        <f>HYPERLINK("https://www.catalog.slsa.sa.gov.au/xrecord=b2024499")</f>
        <v>https://www.catalog.slsa.sa.gov.au/xrecord=b2024499</v>
      </c>
      <c r="D9065" t="s">
        <v>29239</v>
      </c>
      <c r="E9065" t="s">
        <v>14869</v>
      </c>
      <c r="F9065">
        <v>1969</v>
      </c>
      <c r="G9065" t="s">
        <v>29245</v>
      </c>
      <c r="H9065" t="s">
        <v>29367</v>
      </c>
      <c r="I9065" t="s">
        <v>29361</v>
      </c>
      <c r="J9065" t="s">
        <v>14873</v>
      </c>
      <c r="K9065" s="2" t="str">
        <f>HYPERLINK("http://collections.slsa.sa.gov.au/mpcimg/19750/B19553.htm")</f>
        <v>http://collections.slsa.sa.gov.au/mpcimg/19750/B19553.htm</v>
      </c>
    </row>
    <row r="9066" spans="1:11" x14ac:dyDescent="0.25">
      <c r="A9066" t="s">
        <v>29368</v>
      </c>
      <c r="B9066" s="1" t="str">
        <f>HYPERLINK("https://www.catalog.slsa.sa.gov.au/record=b2024500")</f>
        <v>https://www.catalog.slsa.sa.gov.au/record=b2024500</v>
      </c>
      <c r="C9066" s="1" t="str">
        <f>HYPERLINK("https://www.catalog.slsa.sa.gov.au/xrecord=b2024500")</f>
        <v>https://www.catalog.slsa.sa.gov.au/xrecord=b2024500</v>
      </c>
      <c r="D9066" t="s">
        <v>29239</v>
      </c>
      <c r="E9066" t="s">
        <v>14869</v>
      </c>
      <c r="F9066">
        <v>1969</v>
      </c>
      <c r="G9066" t="s">
        <v>29245</v>
      </c>
      <c r="H9066" t="s">
        <v>29369</v>
      </c>
      <c r="I9066" t="s">
        <v>29370</v>
      </c>
      <c r="J9066" t="s">
        <v>14873</v>
      </c>
      <c r="K9066" s="2" t="str">
        <f>HYPERLINK("http://collections.slsa.sa.gov.au/mpcimg/19750/B19554.htm")</f>
        <v>http://collections.slsa.sa.gov.au/mpcimg/19750/B19554.htm</v>
      </c>
    </row>
    <row r="9067" spans="1:11" x14ac:dyDescent="0.25">
      <c r="A9067" t="s">
        <v>29371</v>
      </c>
      <c r="B9067" s="1" t="str">
        <f>HYPERLINK("https://www.catalog.slsa.sa.gov.au/record=b2024501")</f>
        <v>https://www.catalog.slsa.sa.gov.au/record=b2024501</v>
      </c>
      <c r="C9067" s="1" t="str">
        <f>HYPERLINK("https://www.catalog.slsa.sa.gov.au/xrecord=b2024501")</f>
        <v>https://www.catalog.slsa.sa.gov.au/xrecord=b2024501</v>
      </c>
      <c r="D9067" t="s">
        <v>29239</v>
      </c>
      <c r="E9067" t="s">
        <v>14869</v>
      </c>
      <c r="F9067">
        <v>1969</v>
      </c>
      <c r="G9067" t="s">
        <v>29310</v>
      </c>
      <c r="H9067" t="s">
        <v>29372</v>
      </c>
      <c r="I9067" t="s">
        <v>29370</v>
      </c>
      <c r="J9067" t="s">
        <v>14873</v>
      </c>
      <c r="K9067" s="2" t="str">
        <f>HYPERLINK("http://collections.slsa.sa.gov.au/mpcimg/19750/B19555.htm")</f>
        <v>http://collections.slsa.sa.gov.au/mpcimg/19750/B19555.htm</v>
      </c>
    </row>
    <row r="9068" spans="1:11" x14ac:dyDescent="0.25">
      <c r="A9068" t="s">
        <v>29373</v>
      </c>
      <c r="B9068" s="1" t="str">
        <f>HYPERLINK("https://www.catalog.slsa.sa.gov.au/record=b2024502")</f>
        <v>https://www.catalog.slsa.sa.gov.au/record=b2024502</v>
      </c>
      <c r="C9068" s="1" t="str">
        <f>HYPERLINK("https://www.catalog.slsa.sa.gov.au/xrecord=b2024502")</f>
        <v>https://www.catalog.slsa.sa.gov.au/xrecord=b2024502</v>
      </c>
      <c r="D9068" t="s">
        <v>29239</v>
      </c>
      <c r="E9068" t="s">
        <v>14869</v>
      </c>
      <c r="F9068">
        <v>1969</v>
      </c>
      <c r="G9068" t="s">
        <v>29245</v>
      </c>
      <c r="H9068" t="s">
        <v>29374</v>
      </c>
      <c r="I9068" t="s">
        <v>29375</v>
      </c>
      <c r="J9068" t="s">
        <v>14873</v>
      </c>
      <c r="K9068" s="2" t="str">
        <f>HYPERLINK("http://collections.slsa.sa.gov.au/mpcimg/19750/B19556.htm")</f>
        <v>http://collections.slsa.sa.gov.au/mpcimg/19750/B19556.htm</v>
      </c>
    </row>
    <row r="9069" spans="1:11" x14ac:dyDescent="0.25">
      <c r="A9069" t="s">
        <v>29376</v>
      </c>
      <c r="B9069" s="1" t="str">
        <f>HYPERLINK("https://www.catalog.slsa.sa.gov.au/record=b2024503")</f>
        <v>https://www.catalog.slsa.sa.gov.au/record=b2024503</v>
      </c>
      <c r="C9069" s="1" t="str">
        <f>HYPERLINK("https://www.catalog.slsa.sa.gov.au/xrecord=b2024503")</f>
        <v>https://www.catalog.slsa.sa.gov.au/xrecord=b2024503</v>
      </c>
      <c r="D9069" t="s">
        <v>29239</v>
      </c>
      <c r="E9069" t="s">
        <v>14869</v>
      </c>
      <c r="F9069">
        <v>1969</v>
      </c>
      <c r="G9069" t="s">
        <v>29245</v>
      </c>
      <c r="H9069" t="s">
        <v>29377</v>
      </c>
      <c r="I9069" t="s">
        <v>29378</v>
      </c>
      <c r="J9069" t="s">
        <v>14873</v>
      </c>
      <c r="K9069" s="2" t="str">
        <f>HYPERLINK("http://collections.slsa.sa.gov.au/mpcimg/19750/B19557.htm")</f>
        <v>http://collections.slsa.sa.gov.au/mpcimg/19750/B19557.htm</v>
      </c>
    </row>
    <row r="9070" spans="1:11" x14ac:dyDescent="0.25">
      <c r="A9070" t="s">
        <v>29379</v>
      </c>
      <c r="B9070" s="1" t="str">
        <f>HYPERLINK("https://www.catalog.slsa.sa.gov.au/record=b2024504")</f>
        <v>https://www.catalog.slsa.sa.gov.au/record=b2024504</v>
      </c>
      <c r="C9070" s="1" t="str">
        <f>HYPERLINK("https://www.catalog.slsa.sa.gov.au/xrecord=b2024504")</f>
        <v>https://www.catalog.slsa.sa.gov.au/xrecord=b2024504</v>
      </c>
      <c r="D9070" t="s">
        <v>29239</v>
      </c>
      <c r="E9070" t="s">
        <v>14869</v>
      </c>
      <c r="F9070">
        <v>1969</v>
      </c>
      <c r="G9070" t="s">
        <v>29310</v>
      </c>
      <c r="H9070" t="s">
        <v>29380</v>
      </c>
      <c r="I9070" t="s">
        <v>29381</v>
      </c>
      <c r="J9070" t="s">
        <v>14873</v>
      </c>
      <c r="K9070" s="2" t="str">
        <f>HYPERLINK("http://collections.slsa.sa.gov.au/mpcimg/19750/B19558.htm")</f>
        <v>http://collections.slsa.sa.gov.au/mpcimg/19750/B19558.htm</v>
      </c>
    </row>
    <row r="9071" spans="1:11" x14ac:dyDescent="0.25">
      <c r="A9071" t="s">
        <v>29382</v>
      </c>
      <c r="B9071" s="1" t="str">
        <f>HYPERLINK("https://www.catalog.slsa.sa.gov.au/record=b2024505")</f>
        <v>https://www.catalog.slsa.sa.gov.au/record=b2024505</v>
      </c>
      <c r="C9071" s="1" t="str">
        <f>HYPERLINK("https://www.catalog.slsa.sa.gov.au/xrecord=b2024505")</f>
        <v>https://www.catalog.slsa.sa.gov.au/xrecord=b2024505</v>
      </c>
      <c r="D9071" t="s">
        <v>29239</v>
      </c>
      <c r="E9071" t="s">
        <v>14869</v>
      </c>
      <c r="F9071">
        <v>1969</v>
      </c>
      <c r="G9071" t="s">
        <v>29245</v>
      </c>
      <c r="H9071" t="s">
        <v>29383</v>
      </c>
      <c r="I9071" t="s">
        <v>29384</v>
      </c>
      <c r="J9071" t="s">
        <v>14873</v>
      </c>
      <c r="K9071" s="2" t="str">
        <f>HYPERLINK("http://collections.slsa.sa.gov.au/mpcimg/19750/B19559.htm")</f>
        <v>http://collections.slsa.sa.gov.au/mpcimg/19750/B19559.htm</v>
      </c>
    </row>
    <row r="9072" spans="1:11" x14ac:dyDescent="0.25">
      <c r="A9072" t="s">
        <v>29385</v>
      </c>
      <c r="B9072" s="1" t="str">
        <f>HYPERLINK("https://www.catalog.slsa.sa.gov.au/record=b2024506")</f>
        <v>https://www.catalog.slsa.sa.gov.au/record=b2024506</v>
      </c>
      <c r="C9072" s="1" t="str">
        <f>HYPERLINK("https://www.catalog.slsa.sa.gov.au/xrecord=b2024506")</f>
        <v>https://www.catalog.slsa.sa.gov.au/xrecord=b2024506</v>
      </c>
      <c r="D9072" t="s">
        <v>29239</v>
      </c>
      <c r="E9072" t="s">
        <v>14869</v>
      </c>
      <c r="F9072">
        <v>1969</v>
      </c>
      <c r="G9072" t="s">
        <v>29245</v>
      </c>
      <c r="H9072" t="s">
        <v>29386</v>
      </c>
      <c r="I9072" t="s">
        <v>29387</v>
      </c>
      <c r="J9072" t="s">
        <v>14873</v>
      </c>
      <c r="K9072" s="2" t="str">
        <f>HYPERLINK("http://collections.slsa.sa.gov.au/mpcimg/19750/B19560.htm")</f>
        <v>http://collections.slsa.sa.gov.au/mpcimg/19750/B19560.htm</v>
      </c>
    </row>
    <row r="9073" spans="1:11" x14ac:dyDescent="0.25">
      <c r="A9073" t="s">
        <v>29388</v>
      </c>
      <c r="B9073" s="1" t="str">
        <f>HYPERLINK("https://www.catalog.slsa.sa.gov.au/record=b2024507")</f>
        <v>https://www.catalog.slsa.sa.gov.au/record=b2024507</v>
      </c>
      <c r="C9073" s="1" t="str">
        <f>HYPERLINK("https://www.catalog.slsa.sa.gov.au/xrecord=b2024507")</f>
        <v>https://www.catalog.slsa.sa.gov.au/xrecord=b2024507</v>
      </c>
      <c r="D9073" t="s">
        <v>29239</v>
      </c>
      <c r="E9073" t="s">
        <v>14869</v>
      </c>
      <c r="F9073">
        <v>1969</v>
      </c>
      <c r="G9073" t="s">
        <v>29245</v>
      </c>
      <c r="H9073" t="s">
        <v>29389</v>
      </c>
      <c r="I9073" t="s">
        <v>29390</v>
      </c>
      <c r="J9073" t="s">
        <v>14873</v>
      </c>
      <c r="K9073" s="2" t="str">
        <f>HYPERLINK("http://collections.slsa.sa.gov.au/mpcimg/19750/B19561.htm")</f>
        <v>http://collections.slsa.sa.gov.au/mpcimg/19750/B19561.htm</v>
      </c>
    </row>
    <row r="9074" spans="1:11" x14ac:dyDescent="0.25">
      <c r="A9074" t="s">
        <v>29391</v>
      </c>
      <c r="B9074" s="1" t="str">
        <f>HYPERLINK("https://www.catalog.slsa.sa.gov.au/record=b2024508")</f>
        <v>https://www.catalog.slsa.sa.gov.au/record=b2024508</v>
      </c>
      <c r="C9074" s="1" t="str">
        <f>HYPERLINK("https://www.catalog.slsa.sa.gov.au/xrecord=b2024508")</f>
        <v>https://www.catalog.slsa.sa.gov.au/xrecord=b2024508</v>
      </c>
      <c r="D9074" t="s">
        <v>29239</v>
      </c>
      <c r="E9074" t="s">
        <v>14869</v>
      </c>
      <c r="F9074">
        <v>1969</v>
      </c>
      <c r="G9074" t="s">
        <v>29245</v>
      </c>
      <c r="H9074" t="s">
        <v>29392</v>
      </c>
      <c r="I9074" t="s">
        <v>29393</v>
      </c>
      <c r="J9074" t="s">
        <v>14873</v>
      </c>
      <c r="K9074" s="2" t="str">
        <f>HYPERLINK("http://collections.slsa.sa.gov.au/mpcimg/19750/B19562.htm")</f>
        <v>http://collections.slsa.sa.gov.au/mpcimg/19750/B19562.htm</v>
      </c>
    </row>
    <row r="9075" spans="1:11" x14ac:dyDescent="0.25">
      <c r="A9075" t="s">
        <v>29394</v>
      </c>
      <c r="B9075" s="1" t="str">
        <f>HYPERLINK("https://www.catalog.slsa.sa.gov.au/record=b2024509")</f>
        <v>https://www.catalog.slsa.sa.gov.au/record=b2024509</v>
      </c>
      <c r="C9075" s="1" t="str">
        <f>HYPERLINK("https://www.catalog.slsa.sa.gov.au/xrecord=b2024509")</f>
        <v>https://www.catalog.slsa.sa.gov.au/xrecord=b2024509</v>
      </c>
      <c r="D9075" t="s">
        <v>29239</v>
      </c>
      <c r="E9075" t="s">
        <v>14869</v>
      </c>
      <c r="F9075">
        <v>1969</v>
      </c>
      <c r="G9075" t="s">
        <v>29245</v>
      </c>
      <c r="H9075" t="s">
        <v>29395</v>
      </c>
      <c r="I9075" t="s">
        <v>29396</v>
      </c>
      <c r="J9075" t="s">
        <v>14873</v>
      </c>
      <c r="K9075" s="2" t="str">
        <f>HYPERLINK("http://collections.slsa.sa.gov.au/mpcimg/19750/B19563.htm")</f>
        <v>http://collections.slsa.sa.gov.au/mpcimg/19750/B19563.htm</v>
      </c>
    </row>
    <row r="9076" spans="1:11" x14ac:dyDescent="0.25">
      <c r="A9076" t="s">
        <v>29397</v>
      </c>
      <c r="B9076" s="1" t="str">
        <f>HYPERLINK("https://www.catalog.slsa.sa.gov.au/record=b2024510")</f>
        <v>https://www.catalog.slsa.sa.gov.au/record=b2024510</v>
      </c>
      <c r="C9076" s="1" t="str">
        <f>HYPERLINK("https://www.catalog.slsa.sa.gov.au/xrecord=b2024510")</f>
        <v>https://www.catalog.slsa.sa.gov.au/xrecord=b2024510</v>
      </c>
      <c r="D9076" t="s">
        <v>29239</v>
      </c>
      <c r="E9076" t="s">
        <v>14869</v>
      </c>
      <c r="F9076">
        <v>1969</v>
      </c>
      <c r="G9076" t="s">
        <v>29245</v>
      </c>
      <c r="H9076" t="s">
        <v>29398</v>
      </c>
      <c r="I9076" t="s">
        <v>29399</v>
      </c>
      <c r="J9076" t="s">
        <v>14873</v>
      </c>
      <c r="K9076" s="2" t="str">
        <f>HYPERLINK("http://collections.slsa.sa.gov.au/mpcimg/19750/B19564.htm")</f>
        <v>http://collections.slsa.sa.gov.au/mpcimg/19750/B19564.htm</v>
      </c>
    </row>
    <row r="9077" spans="1:11" x14ac:dyDescent="0.25">
      <c r="A9077" t="s">
        <v>29400</v>
      </c>
      <c r="B9077" s="1" t="str">
        <f>HYPERLINK("https://www.catalog.slsa.sa.gov.au/record=b2024511")</f>
        <v>https://www.catalog.slsa.sa.gov.au/record=b2024511</v>
      </c>
      <c r="C9077" s="1" t="str">
        <f>HYPERLINK("https://www.catalog.slsa.sa.gov.au/xrecord=b2024511")</f>
        <v>https://www.catalog.slsa.sa.gov.au/xrecord=b2024511</v>
      </c>
      <c r="D9077" t="s">
        <v>29239</v>
      </c>
      <c r="E9077" t="s">
        <v>14869</v>
      </c>
      <c r="F9077">
        <v>1969</v>
      </c>
      <c r="G9077" t="s">
        <v>29310</v>
      </c>
      <c r="H9077" t="s">
        <v>29401</v>
      </c>
      <c r="I9077" t="s">
        <v>29402</v>
      </c>
      <c r="J9077" t="s">
        <v>14873</v>
      </c>
      <c r="K9077" s="2" t="str">
        <f>HYPERLINK("http://collections.slsa.sa.gov.au/mpcimg/19750/B19565.htm")</f>
        <v>http://collections.slsa.sa.gov.au/mpcimg/19750/B19565.htm</v>
      </c>
    </row>
    <row r="9078" spans="1:11" x14ac:dyDescent="0.25">
      <c r="A9078" t="s">
        <v>29403</v>
      </c>
      <c r="B9078" s="1" t="str">
        <f>HYPERLINK("https://www.catalog.slsa.sa.gov.au/record=b2024512")</f>
        <v>https://www.catalog.slsa.sa.gov.au/record=b2024512</v>
      </c>
      <c r="C9078" s="1" t="str">
        <f>HYPERLINK("https://www.catalog.slsa.sa.gov.au/xrecord=b2024512")</f>
        <v>https://www.catalog.slsa.sa.gov.au/xrecord=b2024512</v>
      </c>
      <c r="D9078" t="s">
        <v>29239</v>
      </c>
      <c r="E9078" t="s">
        <v>14869</v>
      </c>
      <c r="F9078">
        <v>1969</v>
      </c>
      <c r="G9078" t="s">
        <v>29245</v>
      </c>
      <c r="H9078" t="s">
        <v>29404</v>
      </c>
      <c r="I9078" t="s">
        <v>29405</v>
      </c>
      <c r="J9078" t="s">
        <v>14873</v>
      </c>
      <c r="K9078" s="2" t="str">
        <f>HYPERLINK("http://collections.slsa.sa.gov.au/mpcimg/19750/B19566.htm")</f>
        <v>http://collections.slsa.sa.gov.au/mpcimg/19750/B19566.htm</v>
      </c>
    </row>
    <row r="9079" spans="1:11" x14ac:dyDescent="0.25">
      <c r="A9079" t="s">
        <v>29406</v>
      </c>
      <c r="B9079" s="1" t="str">
        <f>HYPERLINK("https://www.catalog.slsa.sa.gov.au/record=b2024513")</f>
        <v>https://www.catalog.slsa.sa.gov.au/record=b2024513</v>
      </c>
      <c r="C9079" s="1" t="str">
        <f>HYPERLINK("https://www.catalog.slsa.sa.gov.au/xrecord=b2024513")</f>
        <v>https://www.catalog.slsa.sa.gov.au/xrecord=b2024513</v>
      </c>
      <c r="D9079" t="s">
        <v>29239</v>
      </c>
      <c r="E9079" t="s">
        <v>14869</v>
      </c>
      <c r="F9079">
        <v>1969</v>
      </c>
      <c r="G9079" t="s">
        <v>29245</v>
      </c>
      <c r="H9079" t="s">
        <v>29407</v>
      </c>
      <c r="I9079" t="s">
        <v>29408</v>
      </c>
      <c r="J9079" t="s">
        <v>14873</v>
      </c>
      <c r="K9079" s="2" t="str">
        <f>HYPERLINK("http://collections.slsa.sa.gov.au/mpcimg/19750/B19567.htm")</f>
        <v>http://collections.slsa.sa.gov.au/mpcimg/19750/B19567.htm</v>
      </c>
    </row>
    <row r="9080" spans="1:11" x14ac:dyDescent="0.25">
      <c r="A9080" t="s">
        <v>29409</v>
      </c>
      <c r="B9080" s="1" t="str">
        <f>HYPERLINK("https://www.catalog.slsa.sa.gov.au/record=b2024514")</f>
        <v>https://www.catalog.slsa.sa.gov.au/record=b2024514</v>
      </c>
      <c r="C9080" s="1" t="str">
        <f>HYPERLINK("https://www.catalog.slsa.sa.gov.au/xrecord=b2024514")</f>
        <v>https://www.catalog.slsa.sa.gov.au/xrecord=b2024514</v>
      </c>
      <c r="D9080" t="s">
        <v>29239</v>
      </c>
      <c r="E9080" t="s">
        <v>14869</v>
      </c>
      <c r="F9080">
        <v>1969</v>
      </c>
      <c r="G9080" t="s">
        <v>29310</v>
      </c>
      <c r="H9080" t="s">
        <v>29410</v>
      </c>
      <c r="I9080" t="s">
        <v>29411</v>
      </c>
      <c r="J9080" t="s">
        <v>14873</v>
      </c>
      <c r="K9080" s="2" t="str">
        <f>HYPERLINK("http://collections.slsa.sa.gov.au/mpcimg/19750/B19568.htm")</f>
        <v>http://collections.slsa.sa.gov.au/mpcimg/19750/B19568.htm</v>
      </c>
    </row>
    <row r="9081" spans="1:11" x14ac:dyDescent="0.25">
      <c r="A9081" t="s">
        <v>29412</v>
      </c>
      <c r="B9081" s="1" t="str">
        <f>HYPERLINK("https://www.catalog.slsa.sa.gov.au/record=b2024515")</f>
        <v>https://www.catalog.slsa.sa.gov.au/record=b2024515</v>
      </c>
      <c r="C9081" s="1" t="str">
        <f>HYPERLINK("https://www.catalog.slsa.sa.gov.au/xrecord=b2024515")</f>
        <v>https://www.catalog.slsa.sa.gov.au/xrecord=b2024515</v>
      </c>
      <c r="D9081" t="s">
        <v>29239</v>
      </c>
      <c r="E9081" t="s">
        <v>14869</v>
      </c>
      <c r="F9081">
        <v>1969</v>
      </c>
      <c r="G9081" t="s">
        <v>29245</v>
      </c>
      <c r="H9081" t="s">
        <v>29413</v>
      </c>
      <c r="I9081" t="s">
        <v>29414</v>
      </c>
      <c r="J9081" t="s">
        <v>14873</v>
      </c>
      <c r="K9081" s="2" t="str">
        <f>HYPERLINK("http://collections.slsa.sa.gov.au/mpcimg/19750/B19569.htm")</f>
        <v>http://collections.slsa.sa.gov.au/mpcimg/19750/B19569.htm</v>
      </c>
    </row>
    <row r="9082" spans="1:11" x14ac:dyDescent="0.25">
      <c r="A9082" t="s">
        <v>29415</v>
      </c>
      <c r="B9082" s="1" t="str">
        <f>HYPERLINK("https://www.catalog.slsa.sa.gov.au/record=b2024516")</f>
        <v>https://www.catalog.slsa.sa.gov.au/record=b2024516</v>
      </c>
      <c r="C9082" s="1" t="str">
        <f>HYPERLINK("https://www.catalog.slsa.sa.gov.au/xrecord=b2024516")</f>
        <v>https://www.catalog.slsa.sa.gov.au/xrecord=b2024516</v>
      </c>
      <c r="D9082" t="s">
        <v>29239</v>
      </c>
      <c r="E9082" t="s">
        <v>14869</v>
      </c>
      <c r="F9082">
        <v>1969</v>
      </c>
      <c r="G9082" t="s">
        <v>29245</v>
      </c>
      <c r="H9082" t="s">
        <v>29416</v>
      </c>
      <c r="I9082" t="s">
        <v>29417</v>
      </c>
      <c r="J9082" t="s">
        <v>14873</v>
      </c>
      <c r="K9082" s="2" t="str">
        <f>HYPERLINK("http://collections.slsa.sa.gov.au/mpcimg/19750/B19570.htm")</f>
        <v>http://collections.slsa.sa.gov.au/mpcimg/19750/B19570.htm</v>
      </c>
    </row>
    <row r="9083" spans="1:11" x14ac:dyDescent="0.25">
      <c r="A9083" t="s">
        <v>29418</v>
      </c>
      <c r="B9083" s="1" t="str">
        <f>HYPERLINK("https://www.catalog.slsa.sa.gov.au/record=b2024517")</f>
        <v>https://www.catalog.slsa.sa.gov.au/record=b2024517</v>
      </c>
      <c r="C9083" s="1" t="str">
        <f>HYPERLINK("https://www.catalog.slsa.sa.gov.au/xrecord=b2024517")</f>
        <v>https://www.catalog.slsa.sa.gov.au/xrecord=b2024517</v>
      </c>
      <c r="D9083" t="s">
        <v>29239</v>
      </c>
      <c r="E9083" t="s">
        <v>14869</v>
      </c>
      <c r="F9083">
        <v>1969</v>
      </c>
      <c r="G9083" t="s">
        <v>29310</v>
      </c>
      <c r="H9083" t="s">
        <v>29419</v>
      </c>
      <c r="I9083" t="s">
        <v>29417</v>
      </c>
      <c r="J9083" t="s">
        <v>14873</v>
      </c>
      <c r="K9083" s="2" t="str">
        <f>HYPERLINK("http://collections.slsa.sa.gov.au/mpcimg/19750/B19571.htm")</f>
        <v>http://collections.slsa.sa.gov.au/mpcimg/19750/B19571.htm</v>
      </c>
    </row>
    <row r="9084" spans="1:11" x14ac:dyDescent="0.25">
      <c r="A9084" t="s">
        <v>29420</v>
      </c>
      <c r="B9084" s="1" t="str">
        <f>HYPERLINK("https://www.catalog.slsa.sa.gov.au/record=b2024518")</f>
        <v>https://www.catalog.slsa.sa.gov.au/record=b2024518</v>
      </c>
      <c r="C9084" s="1" t="str">
        <f>HYPERLINK("https://www.catalog.slsa.sa.gov.au/xrecord=b2024518")</f>
        <v>https://www.catalog.slsa.sa.gov.au/xrecord=b2024518</v>
      </c>
      <c r="D9084" t="s">
        <v>29239</v>
      </c>
      <c r="E9084" t="s">
        <v>14869</v>
      </c>
      <c r="F9084">
        <v>1969</v>
      </c>
      <c r="G9084" t="s">
        <v>29245</v>
      </c>
      <c r="H9084" t="s">
        <v>29421</v>
      </c>
      <c r="I9084" t="s">
        <v>29414</v>
      </c>
      <c r="J9084" t="s">
        <v>14873</v>
      </c>
      <c r="K9084" s="2" t="str">
        <f>HYPERLINK("http://collections.slsa.sa.gov.au/mpcimg/19750/B19572.htm")</f>
        <v>http://collections.slsa.sa.gov.au/mpcimg/19750/B19572.htm</v>
      </c>
    </row>
    <row r="9085" spans="1:11" x14ac:dyDescent="0.25">
      <c r="A9085" t="s">
        <v>29422</v>
      </c>
      <c r="B9085" s="1" t="str">
        <f>HYPERLINK("https://www.catalog.slsa.sa.gov.au/record=b2024519")</f>
        <v>https://www.catalog.slsa.sa.gov.au/record=b2024519</v>
      </c>
      <c r="C9085" s="1" t="str">
        <f>HYPERLINK("https://www.catalog.slsa.sa.gov.au/xrecord=b2024519")</f>
        <v>https://www.catalog.slsa.sa.gov.au/xrecord=b2024519</v>
      </c>
      <c r="D9085" t="s">
        <v>29239</v>
      </c>
      <c r="E9085" t="s">
        <v>14869</v>
      </c>
      <c r="F9085">
        <v>1969</v>
      </c>
      <c r="G9085" t="s">
        <v>29245</v>
      </c>
      <c r="H9085" t="s">
        <v>29423</v>
      </c>
      <c r="I9085" t="s">
        <v>29424</v>
      </c>
      <c r="J9085" t="s">
        <v>14873</v>
      </c>
      <c r="K9085" s="2" t="str">
        <f>HYPERLINK("http://collections.slsa.sa.gov.au/mpcimg/19750/B19573.htm")</f>
        <v>http://collections.slsa.sa.gov.au/mpcimg/19750/B19573.htm</v>
      </c>
    </row>
    <row r="9086" spans="1:11" x14ac:dyDescent="0.25">
      <c r="A9086" t="s">
        <v>29425</v>
      </c>
      <c r="B9086" s="1" t="str">
        <f>HYPERLINK("https://www.catalog.slsa.sa.gov.au/record=b2024520")</f>
        <v>https://www.catalog.slsa.sa.gov.au/record=b2024520</v>
      </c>
      <c r="C9086" s="1" t="str">
        <f>HYPERLINK("https://www.catalog.slsa.sa.gov.au/xrecord=b2024520")</f>
        <v>https://www.catalog.slsa.sa.gov.au/xrecord=b2024520</v>
      </c>
      <c r="D9086" t="s">
        <v>29239</v>
      </c>
      <c r="E9086" t="s">
        <v>14869</v>
      </c>
      <c r="F9086">
        <v>1969</v>
      </c>
      <c r="G9086" t="s">
        <v>29245</v>
      </c>
      <c r="H9086" t="s">
        <v>29426</v>
      </c>
      <c r="I9086" t="s">
        <v>29384</v>
      </c>
      <c r="J9086" t="s">
        <v>14873</v>
      </c>
      <c r="K9086" s="2" t="str">
        <f>HYPERLINK("http://collections.slsa.sa.gov.au/mpcimg/19750/B19574.htm")</f>
        <v>http://collections.slsa.sa.gov.au/mpcimg/19750/B19574.htm</v>
      </c>
    </row>
    <row r="9087" spans="1:11" x14ac:dyDescent="0.25">
      <c r="A9087" t="s">
        <v>29427</v>
      </c>
      <c r="B9087" s="1" t="str">
        <f>HYPERLINK("https://www.catalog.slsa.sa.gov.au/record=b2024521")</f>
        <v>https://www.catalog.slsa.sa.gov.au/record=b2024521</v>
      </c>
      <c r="C9087" s="1" t="str">
        <f>HYPERLINK("https://www.catalog.slsa.sa.gov.au/xrecord=b2024521")</f>
        <v>https://www.catalog.slsa.sa.gov.au/xrecord=b2024521</v>
      </c>
      <c r="D9087" t="s">
        <v>29239</v>
      </c>
      <c r="E9087" t="s">
        <v>14869</v>
      </c>
      <c r="F9087">
        <v>1969</v>
      </c>
      <c r="G9087" t="s">
        <v>29245</v>
      </c>
      <c r="H9087" t="s">
        <v>29428</v>
      </c>
      <c r="I9087" t="s">
        <v>29384</v>
      </c>
      <c r="J9087" t="s">
        <v>14873</v>
      </c>
      <c r="K9087" s="2" t="str">
        <f>HYPERLINK("http://collections.slsa.sa.gov.au/mpcimg/19750/B19575.htm")</f>
        <v>http://collections.slsa.sa.gov.au/mpcimg/19750/B19575.htm</v>
      </c>
    </row>
    <row r="9088" spans="1:11" x14ac:dyDescent="0.25">
      <c r="A9088" t="s">
        <v>29429</v>
      </c>
      <c r="B9088" s="1" t="str">
        <f>HYPERLINK("https://www.catalog.slsa.sa.gov.au/record=b2024522")</f>
        <v>https://www.catalog.slsa.sa.gov.au/record=b2024522</v>
      </c>
      <c r="C9088" s="1" t="str">
        <f>HYPERLINK("https://www.catalog.slsa.sa.gov.au/xrecord=b2024522")</f>
        <v>https://www.catalog.slsa.sa.gov.au/xrecord=b2024522</v>
      </c>
      <c r="D9088" t="s">
        <v>29239</v>
      </c>
      <c r="E9088" t="s">
        <v>14869</v>
      </c>
      <c r="F9088">
        <v>1969</v>
      </c>
      <c r="G9088" t="s">
        <v>29245</v>
      </c>
      <c r="H9088" t="s">
        <v>29430</v>
      </c>
      <c r="I9088" t="s">
        <v>29396</v>
      </c>
      <c r="J9088" t="s">
        <v>14873</v>
      </c>
      <c r="K9088" s="2" t="str">
        <f>HYPERLINK("http://collections.slsa.sa.gov.au/mpcimg/19750/B19577.htm")</f>
        <v>http://collections.slsa.sa.gov.au/mpcimg/19750/B19577.htm</v>
      </c>
    </row>
    <row r="9089" spans="1:11" x14ac:dyDescent="0.25">
      <c r="A9089" t="s">
        <v>29431</v>
      </c>
      <c r="B9089" s="1" t="str">
        <f>HYPERLINK("https://www.catalog.slsa.sa.gov.au/record=b2024523")</f>
        <v>https://www.catalog.slsa.sa.gov.au/record=b2024523</v>
      </c>
      <c r="C9089" s="1" t="str">
        <f>HYPERLINK("https://www.catalog.slsa.sa.gov.au/xrecord=b2024523")</f>
        <v>https://www.catalog.slsa.sa.gov.au/xrecord=b2024523</v>
      </c>
      <c r="D9089" t="s">
        <v>29239</v>
      </c>
      <c r="E9089" t="s">
        <v>14869</v>
      </c>
      <c r="F9089">
        <v>1969</v>
      </c>
      <c r="G9089" t="s">
        <v>29245</v>
      </c>
      <c r="H9089" t="s">
        <v>29432</v>
      </c>
      <c r="I9089" t="s">
        <v>29396</v>
      </c>
      <c r="J9089" t="s">
        <v>14873</v>
      </c>
      <c r="K9089" s="2" t="str">
        <f>HYPERLINK("http://collections.slsa.sa.gov.au/mpcimg/19750/B19576.htm")</f>
        <v>http://collections.slsa.sa.gov.au/mpcimg/19750/B19576.htm</v>
      </c>
    </row>
    <row r="9090" spans="1:11" x14ac:dyDescent="0.25">
      <c r="A9090" t="s">
        <v>29433</v>
      </c>
      <c r="B9090" s="1" t="str">
        <f>HYPERLINK("https://www.catalog.slsa.sa.gov.au/record=b2024524")</f>
        <v>https://www.catalog.slsa.sa.gov.au/record=b2024524</v>
      </c>
      <c r="C9090" s="1" t="str">
        <f>HYPERLINK("https://www.catalog.slsa.sa.gov.au/xrecord=b2024524")</f>
        <v>https://www.catalog.slsa.sa.gov.au/xrecord=b2024524</v>
      </c>
      <c r="D9090" t="s">
        <v>29239</v>
      </c>
      <c r="E9090" t="s">
        <v>14869</v>
      </c>
      <c r="F9090">
        <v>1969</v>
      </c>
      <c r="G9090" t="s">
        <v>29310</v>
      </c>
      <c r="H9090" t="s">
        <v>29434</v>
      </c>
      <c r="I9090" t="s">
        <v>29435</v>
      </c>
      <c r="J9090" t="s">
        <v>14873</v>
      </c>
      <c r="K9090" s="2" t="str">
        <f>HYPERLINK("http://collections.slsa.sa.gov.au/mpcimg/19750/B19578.htm")</f>
        <v>http://collections.slsa.sa.gov.au/mpcimg/19750/B19578.htm</v>
      </c>
    </row>
    <row r="9091" spans="1:11" x14ac:dyDescent="0.25">
      <c r="A9091" t="s">
        <v>29436</v>
      </c>
      <c r="B9091" s="1" t="str">
        <f>HYPERLINK("https://www.catalog.slsa.sa.gov.au/record=b2024525")</f>
        <v>https://www.catalog.slsa.sa.gov.au/record=b2024525</v>
      </c>
      <c r="C9091" s="1" t="str">
        <f>HYPERLINK("https://www.catalog.slsa.sa.gov.au/xrecord=b2024525")</f>
        <v>https://www.catalog.slsa.sa.gov.au/xrecord=b2024525</v>
      </c>
      <c r="D9091" t="s">
        <v>29239</v>
      </c>
      <c r="E9091" t="s">
        <v>14869</v>
      </c>
      <c r="F9091">
        <v>1969</v>
      </c>
      <c r="G9091" t="s">
        <v>29245</v>
      </c>
      <c r="H9091" t="s">
        <v>29434</v>
      </c>
      <c r="I9091" t="s">
        <v>29437</v>
      </c>
      <c r="J9091" t="s">
        <v>14873</v>
      </c>
      <c r="K9091" s="2" t="str">
        <f>HYPERLINK("http://collections.slsa.sa.gov.au/mpcimg/19750/B19579.htm")</f>
        <v>http://collections.slsa.sa.gov.au/mpcimg/19750/B19579.htm</v>
      </c>
    </row>
    <row r="9092" spans="1:11" x14ac:dyDescent="0.25">
      <c r="A9092" t="s">
        <v>29438</v>
      </c>
      <c r="B9092" s="1" t="str">
        <f>HYPERLINK("https://www.catalog.slsa.sa.gov.au/record=b2024526")</f>
        <v>https://www.catalog.slsa.sa.gov.au/record=b2024526</v>
      </c>
      <c r="C9092" s="1" t="str">
        <f>HYPERLINK("https://www.catalog.slsa.sa.gov.au/xrecord=b2024526")</f>
        <v>https://www.catalog.slsa.sa.gov.au/xrecord=b2024526</v>
      </c>
      <c r="D9092" t="s">
        <v>29239</v>
      </c>
      <c r="E9092" t="s">
        <v>14869</v>
      </c>
      <c r="F9092">
        <v>1969</v>
      </c>
      <c r="G9092" t="s">
        <v>29310</v>
      </c>
      <c r="H9092" t="s">
        <v>29439</v>
      </c>
      <c r="I9092" t="s">
        <v>29440</v>
      </c>
      <c r="J9092" t="s">
        <v>14873</v>
      </c>
      <c r="K9092" s="2" t="str">
        <f>HYPERLINK("http://collections.slsa.sa.gov.au/mpcimg/19750/B19580.htm")</f>
        <v>http://collections.slsa.sa.gov.au/mpcimg/19750/B19580.htm</v>
      </c>
    </row>
    <row r="9093" spans="1:11" x14ac:dyDescent="0.25">
      <c r="A9093" t="s">
        <v>29441</v>
      </c>
      <c r="B9093" s="1" t="str">
        <f>HYPERLINK("https://www.catalog.slsa.sa.gov.au/record=b2024527")</f>
        <v>https://www.catalog.slsa.sa.gov.au/record=b2024527</v>
      </c>
      <c r="C9093" s="1" t="str">
        <f>HYPERLINK("https://www.catalog.slsa.sa.gov.au/xrecord=b2024527")</f>
        <v>https://www.catalog.slsa.sa.gov.au/xrecord=b2024527</v>
      </c>
      <c r="D9093" t="s">
        <v>29239</v>
      </c>
      <c r="E9093" t="s">
        <v>14869</v>
      </c>
      <c r="F9093">
        <v>1969</v>
      </c>
      <c r="G9093" t="s">
        <v>29245</v>
      </c>
      <c r="H9093" t="s">
        <v>29442</v>
      </c>
      <c r="I9093" t="s">
        <v>29396</v>
      </c>
      <c r="J9093" t="s">
        <v>14873</v>
      </c>
      <c r="K9093" s="2" t="str">
        <f>HYPERLINK("http://collections.slsa.sa.gov.au/mpcimg/19750/B19581.htm")</f>
        <v>http://collections.slsa.sa.gov.au/mpcimg/19750/B19581.htm</v>
      </c>
    </row>
    <row r="9094" spans="1:11" x14ac:dyDescent="0.25">
      <c r="A9094" t="s">
        <v>29443</v>
      </c>
      <c r="B9094" s="1" t="str">
        <f>HYPERLINK("https://www.catalog.slsa.sa.gov.au/record=b2024528")</f>
        <v>https://www.catalog.slsa.sa.gov.au/record=b2024528</v>
      </c>
      <c r="C9094" s="1" t="str">
        <f>HYPERLINK("https://www.catalog.slsa.sa.gov.au/xrecord=b2024528")</f>
        <v>https://www.catalog.slsa.sa.gov.au/xrecord=b2024528</v>
      </c>
      <c r="D9094" t="s">
        <v>29239</v>
      </c>
      <c r="E9094" t="s">
        <v>14869</v>
      </c>
      <c r="F9094">
        <v>1969</v>
      </c>
      <c r="G9094" t="s">
        <v>29245</v>
      </c>
      <c r="H9094" t="s">
        <v>29444</v>
      </c>
      <c r="I9094" t="s">
        <v>29445</v>
      </c>
      <c r="J9094" t="s">
        <v>14873</v>
      </c>
      <c r="K9094" s="2" t="str">
        <f>HYPERLINK("http://collections.slsa.sa.gov.au/mpcimg/19750/B19583.htm")</f>
        <v>http://collections.slsa.sa.gov.au/mpcimg/19750/B19583.htm</v>
      </c>
    </row>
    <row r="9095" spans="1:11" x14ac:dyDescent="0.25">
      <c r="A9095" t="s">
        <v>29446</v>
      </c>
      <c r="B9095" s="1" t="str">
        <f>HYPERLINK("https://www.catalog.slsa.sa.gov.au/record=b2024529")</f>
        <v>https://www.catalog.slsa.sa.gov.au/record=b2024529</v>
      </c>
      <c r="C9095" s="1" t="str">
        <f>HYPERLINK("https://www.catalog.slsa.sa.gov.au/xrecord=b2024529")</f>
        <v>https://www.catalog.slsa.sa.gov.au/xrecord=b2024529</v>
      </c>
      <c r="D9095" t="s">
        <v>29239</v>
      </c>
      <c r="E9095" t="s">
        <v>14869</v>
      </c>
      <c r="F9095">
        <v>1969</v>
      </c>
      <c r="G9095" t="s">
        <v>29245</v>
      </c>
      <c r="H9095" t="s">
        <v>29447</v>
      </c>
      <c r="I9095" t="s">
        <v>29445</v>
      </c>
      <c r="J9095" t="s">
        <v>14873</v>
      </c>
      <c r="K9095" s="2" t="str">
        <f>HYPERLINK("http://collections.slsa.sa.gov.au/mpcimg/19750/B19582.htm")</f>
        <v>http://collections.slsa.sa.gov.au/mpcimg/19750/B19582.htm</v>
      </c>
    </row>
    <row r="9096" spans="1:11" x14ac:dyDescent="0.25">
      <c r="A9096" t="s">
        <v>29448</v>
      </c>
      <c r="B9096" s="1" t="str">
        <f>HYPERLINK("https://www.catalog.slsa.sa.gov.au/record=b2024530")</f>
        <v>https://www.catalog.slsa.sa.gov.au/record=b2024530</v>
      </c>
      <c r="C9096" s="1" t="str">
        <f>HYPERLINK("https://www.catalog.slsa.sa.gov.au/xrecord=b2024530")</f>
        <v>https://www.catalog.slsa.sa.gov.au/xrecord=b2024530</v>
      </c>
      <c r="D9096" t="s">
        <v>29239</v>
      </c>
      <c r="E9096" t="s">
        <v>14869</v>
      </c>
      <c r="F9096">
        <v>1969</v>
      </c>
      <c r="G9096" t="s">
        <v>29245</v>
      </c>
      <c r="H9096" t="s">
        <v>29299</v>
      </c>
      <c r="I9096" t="s">
        <v>29384</v>
      </c>
      <c r="J9096" t="s">
        <v>14873</v>
      </c>
      <c r="K9096" s="2" t="str">
        <f>HYPERLINK("http://collections.slsa.sa.gov.au/mpcimg/19750/B19584.htm")</f>
        <v>http://collections.slsa.sa.gov.au/mpcimg/19750/B19584.htm</v>
      </c>
    </row>
    <row r="9097" spans="1:11" x14ac:dyDescent="0.25">
      <c r="A9097" t="s">
        <v>29449</v>
      </c>
      <c r="B9097" s="1" t="str">
        <f>HYPERLINK("https://www.catalog.slsa.sa.gov.au/record=b2024531")</f>
        <v>https://www.catalog.slsa.sa.gov.au/record=b2024531</v>
      </c>
      <c r="C9097" s="1" t="str">
        <f>HYPERLINK("https://www.catalog.slsa.sa.gov.au/xrecord=b2024531")</f>
        <v>https://www.catalog.slsa.sa.gov.au/xrecord=b2024531</v>
      </c>
      <c r="D9097" t="s">
        <v>29239</v>
      </c>
      <c r="E9097" t="s">
        <v>14869</v>
      </c>
      <c r="F9097">
        <v>1969</v>
      </c>
      <c r="G9097" t="s">
        <v>29245</v>
      </c>
      <c r="H9097" t="s">
        <v>29299</v>
      </c>
      <c r="I9097" t="s">
        <v>29384</v>
      </c>
      <c r="J9097" t="s">
        <v>14873</v>
      </c>
      <c r="K9097" s="2" t="str">
        <f>HYPERLINK("http://collections.slsa.sa.gov.au/mpcimg/19750/B19585.htm")</f>
        <v>http://collections.slsa.sa.gov.au/mpcimg/19750/B19585.htm</v>
      </c>
    </row>
    <row r="9098" spans="1:11" x14ac:dyDescent="0.25">
      <c r="A9098" t="s">
        <v>29450</v>
      </c>
      <c r="B9098" s="1" t="str">
        <f>HYPERLINK("https://www.catalog.slsa.sa.gov.au/record=b2024532")</f>
        <v>https://www.catalog.slsa.sa.gov.au/record=b2024532</v>
      </c>
      <c r="C9098" s="1" t="str">
        <f>HYPERLINK("https://www.catalog.slsa.sa.gov.au/xrecord=b2024532")</f>
        <v>https://www.catalog.slsa.sa.gov.au/xrecord=b2024532</v>
      </c>
      <c r="D9098" t="s">
        <v>29239</v>
      </c>
      <c r="E9098" t="s">
        <v>14869</v>
      </c>
      <c r="F9098">
        <v>1969</v>
      </c>
      <c r="G9098" t="s">
        <v>29245</v>
      </c>
      <c r="H9098" t="s">
        <v>29451</v>
      </c>
      <c r="I9098" t="s">
        <v>29452</v>
      </c>
      <c r="J9098" t="s">
        <v>14873</v>
      </c>
      <c r="K9098" s="2" t="str">
        <f>HYPERLINK("http://collections.slsa.sa.gov.au/mpcimg/19750/B19587.htm")</f>
        <v>http://collections.slsa.sa.gov.au/mpcimg/19750/B19587.htm</v>
      </c>
    </row>
    <row r="9099" spans="1:11" x14ac:dyDescent="0.25">
      <c r="A9099" t="s">
        <v>29453</v>
      </c>
      <c r="B9099" s="1" t="str">
        <f>HYPERLINK("https://www.catalog.slsa.sa.gov.au/record=b2024533")</f>
        <v>https://www.catalog.slsa.sa.gov.au/record=b2024533</v>
      </c>
      <c r="C9099" s="1" t="str">
        <f>HYPERLINK("https://www.catalog.slsa.sa.gov.au/xrecord=b2024533")</f>
        <v>https://www.catalog.slsa.sa.gov.au/xrecord=b2024533</v>
      </c>
      <c r="D9099" t="s">
        <v>29239</v>
      </c>
      <c r="E9099" t="s">
        <v>14869</v>
      </c>
      <c r="F9099">
        <v>1969</v>
      </c>
      <c r="G9099" t="s">
        <v>29245</v>
      </c>
      <c r="H9099" t="s">
        <v>29454</v>
      </c>
      <c r="I9099" t="s">
        <v>29396</v>
      </c>
      <c r="J9099" t="s">
        <v>14873</v>
      </c>
      <c r="K9099" s="2" t="str">
        <f>HYPERLINK("http://collections.slsa.sa.gov.au/mpcimg/19750/B19586.htm")</f>
        <v>http://collections.slsa.sa.gov.au/mpcimg/19750/B19586.htm</v>
      </c>
    </row>
    <row r="9100" spans="1:11" x14ac:dyDescent="0.25">
      <c r="A9100" t="s">
        <v>29455</v>
      </c>
      <c r="B9100" s="1" t="str">
        <f>HYPERLINK("https://www.catalog.slsa.sa.gov.au/record=b2024534")</f>
        <v>https://www.catalog.slsa.sa.gov.au/record=b2024534</v>
      </c>
      <c r="C9100" s="1" t="str">
        <f>HYPERLINK("https://www.catalog.slsa.sa.gov.au/xrecord=b2024534")</f>
        <v>https://www.catalog.slsa.sa.gov.au/xrecord=b2024534</v>
      </c>
      <c r="D9100" t="s">
        <v>29239</v>
      </c>
      <c r="E9100" t="s">
        <v>14869</v>
      </c>
      <c r="F9100">
        <v>1969</v>
      </c>
      <c r="G9100" t="s">
        <v>29245</v>
      </c>
      <c r="H9100" t="s">
        <v>29456</v>
      </c>
      <c r="I9100" t="s">
        <v>29457</v>
      </c>
      <c r="J9100" t="s">
        <v>14873</v>
      </c>
      <c r="K9100" s="2" t="str">
        <f>HYPERLINK("http://collections.slsa.sa.gov.au/mpcimg/19750/B19588.htm")</f>
        <v>http://collections.slsa.sa.gov.au/mpcimg/19750/B19588.htm</v>
      </c>
    </row>
    <row r="9101" spans="1:11" x14ac:dyDescent="0.25">
      <c r="A9101" t="s">
        <v>29458</v>
      </c>
      <c r="B9101" s="1" t="str">
        <f>HYPERLINK("https://www.catalog.slsa.sa.gov.au/record=b2024535")</f>
        <v>https://www.catalog.slsa.sa.gov.au/record=b2024535</v>
      </c>
      <c r="C9101" s="1" t="str">
        <f>HYPERLINK("https://www.catalog.slsa.sa.gov.au/xrecord=b2024535")</f>
        <v>https://www.catalog.slsa.sa.gov.au/xrecord=b2024535</v>
      </c>
      <c r="D9101" t="s">
        <v>29239</v>
      </c>
      <c r="E9101" t="s">
        <v>14869</v>
      </c>
      <c r="F9101">
        <v>1969</v>
      </c>
      <c r="G9101" t="s">
        <v>29245</v>
      </c>
      <c r="H9101" t="s">
        <v>29459</v>
      </c>
      <c r="I9101" t="s">
        <v>29460</v>
      </c>
      <c r="J9101" t="s">
        <v>14873</v>
      </c>
      <c r="K9101" s="2" t="str">
        <f>HYPERLINK("http://collections.slsa.sa.gov.au/mpcimg/19750/B19589.htm")</f>
        <v>http://collections.slsa.sa.gov.au/mpcimg/19750/B19589.htm</v>
      </c>
    </row>
    <row r="9102" spans="1:11" x14ac:dyDescent="0.25">
      <c r="A9102" t="s">
        <v>29461</v>
      </c>
      <c r="B9102" s="1" t="str">
        <f>HYPERLINK("https://www.catalog.slsa.sa.gov.au/record=b2024536")</f>
        <v>https://www.catalog.slsa.sa.gov.au/record=b2024536</v>
      </c>
      <c r="C9102" s="1" t="str">
        <f>HYPERLINK("https://www.catalog.slsa.sa.gov.au/xrecord=b2024536")</f>
        <v>https://www.catalog.slsa.sa.gov.au/xrecord=b2024536</v>
      </c>
      <c r="D9102" t="s">
        <v>29239</v>
      </c>
      <c r="E9102" t="s">
        <v>14869</v>
      </c>
      <c r="F9102">
        <v>1969</v>
      </c>
      <c r="G9102" t="s">
        <v>29245</v>
      </c>
      <c r="H9102" t="s">
        <v>29462</v>
      </c>
      <c r="I9102" t="s">
        <v>29463</v>
      </c>
      <c r="J9102" t="s">
        <v>14873</v>
      </c>
      <c r="K9102" s="2" t="str">
        <f>HYPERLINK("http://collections.slsa.sa.gov.au/mpcimg/19750/B19590.htm")</f>
        <v>http://collections.slsa.sa.gov.au/mpcimg/19750/B19590.htm</v>
      </c>
    </row>
    <row r="9103" spans="1:11" x14ac:dyDescent="0.25">
      <c r="A9103" t="s">
        <v>29464</v>
      </c>
      <c r="B9103" s="1" t="str">
        <f>HYPERLINK("https://www.catalog.slsa.sa.gov.au/record=b2024537")</f>
        <v>https://www.catalog.slsa.sa.gov.au/record=b2024537</v>
      </c>
      <c r="C9103" s="1" t="str">
        <f>HYPERLINK("https://www.catalog.slsa.sa.gov.au/xrecord=b2024537")</f>
        <v>https://www.catalog.slsa.sa.gov.au/xrecord=b2024537</v>
      </c>
      <c r="D9103" t="s">
        <v>29239</v>
      </c>
      <c r="E9103" t="s">
        <v>14869</v>
      </c>
      <c r="F9103">
        <v>1969</v>
      </c>
      <c r="G9103" t="s">
        <v>29245</v>
      </c>
      <c r="H9103" t="s">
        <v>29465</v>
      </c>
      <c r="I9103" t="s">
        <v>29424</v>
      </c>
      <c r="J9103" t="s">
        <v>14873</v>
      </c>
      <c r="K9103" s="2" t="str">
        <f>HYPERLINK("http://collections.slsa.sa.gov.au/mpcimg/19750/B19592.htm")</f>
        <v>http://collections.slsa.sa.gov.au/mpcimg/19750/B19592.htm</v>
      </c>
    </row>
    <row r="9104" spans="1:11" x14ac:dyDescent="0.25">
      <c r="A9104" t="s">
        <v>29466</v>
      </c>
      <c r="B9104" s="1" t="str">
        <f>HYPERLINK("https://www.catalog.slsa.sa.gov.au/record=b2024538")</f>
        <v>https://www.catalog.slsa.sa.gov.au/record=b2024538</v>
      </c>
      <c r="C9104" s="1" t="str">
        <f>HYPERLINK("https://www.catalog.slsa.sa.gov.au/xrecord=b2024538")</f>
        <v>https://www.catalog.slsa.sa.gov.au/xrecord=b2024538</v>
      </c>
      <c r="D9104" t="s">
        <v>29239</v>
      </c>
      <c r="E9104" t="s">
        <v>14869</v>
      </c>
      <c r="F9104">
        <v>1969</v>
      </c>
      <c r="G9104" t="s">
        <v>29245</v>
      </c>
      <c r="H9104" t="s">
        <v>29467</v>
      </c>
      <c r="I9104" t="s">
        <v>29468</v>
      </c>
      <c r="J9104" t="s">
        <v>14873</v>
      </c>
      <c r="K9104" s="2" t="str">
        <f>HYPERLINK("http://collections.slsa.sa.gov.au/mpcimg/19750/B19593.htm")</f>
        <v>http://collections.slsa.sa.gov.au/mpcimg/19750/B19593.htm</v>
      </c>
    </row>
    <row r="9105" spans="1:11" x14ac:dyDescent="0.25">
      <c r="A9105" t="s">
        <v>29469</v>
      </c>
      <c r="B9105" s="1" t="str">
        <f>HYPERLINK("https://www.catalog.slsa.sa.gov.au/record=b2024539")</f>
        <v>https://www.catalog.slsa.sa.gov.au/record=b2024539</v>
      </c>
      <c r="C9105" s="1" t="str">
        <f>HYPERLINK("https://www.catalog.slsa.sa.gov.au/xrecord=b2024539")</f>
        <v>https://www.catalog.slsa.sa.gov.au/xrecord=b2024539</v>
      </c>
      <c r="D9105" t="s">
        <v>29239</v>
      </c>
      <c r="E9105" t="s">
        <v>14869</v>
      </c>
      <c r="F9105">
        <v>1969</v>
      </c>
      <c r="G9105" t="s">
        <v>29245</v>
      </c>
      <c r="H9105" t="s">
        <v>29470</v>
      </c>
      <c r="I9105" t="s">
        <v>29463</v>
      </c>
      <c r="J9105" t="s">
        <v>14873</v>
      </c>
      <c r="K9105" s="2" t="str">
        <f>HYPERLINK("http://collections.slsa.sa.gov.au/mpcimg/19750/B19591.htm")</f>
        <v>http://collections.slsa.sa.gov.au/mpcimg/19750/B19591.htm</v>
      </c>
    </row>
    <row r="9106" spans="1:11" x14ac:dyDescent="0.25">
      <c r="A9106" t="s">
        <v>29471</v>
      </c>
      <c r="B9106" s="1" t="str">
        <f>HYPERLINK("https://www.catalog.slsa.sa.gov.au/record=b2024540")</f>
        <v>https://www.catalog.slsa.sa.gov.au/record=b2024540</v>
      </c>
      <c r="C9106" s="1" t="str">
        <f>HYPERLINK("https://www.catalog.slsa.sa.gov.au/xrecord=b2024540")</f>
        <v>https://www.catalog.slsa.sa.gov.au/xrecord=b2024540</v>
      </c>
      <c r="D9106" t="s">
        <v>29239</v>
      </c>
      <c r="E9106" t="s">
        <v>14869</v>
      </c>
      <c r="F9106">
        <v>1969</v>
      </c>
      <c r="G9106" t="s">
        <v>29245</v>
      </c>
      <c r="H9106" t="s">
        <v>29472</v>
      </c>
      <c r="I9106" t="s">
        <v>29396</v>
      </c>
      <c r="J9106" t="s">
        <v>14873</v>
      </c>
      <c r="K9106" s="2" t="str">
        <f>HYPERLINK("http://collections.slsa.sa.gov.au/mpcimg/19750/B19594.htm")</f>
        <v>http://collections.slsa.sa.gov.au/mpcimg/19750/B19594.htm</v>
      </c>
    </row>
    <row r="9107" spans="1:11" x14ac:dyDescent="0.25">
      <c r="A9107" t="s">
        <v>29473</v>
      </c>
      <c r="B9107" s="1" t="str">
        <f>HYPERLINK("https://www.catalog.slsa.sa.gov.au/record=b2034935")</f>
        <v>https://www.catalog.slsa.sa.gov.au/record=b2034935</v>
      </c>
      <c r="C9107" s="1" t="str">
        <f>HYPERLINK("https://www.catalog.slsa.sa.gov.au/xrecord=b2034935")</f>
        <v>https://www.catalog.slsa.sa.gov.au/xrecord=b2034935</v>
      </c>
      <c r="D9107" t="s">
        <v>16831</v>
      </c>
      <c r="E9107" t="s">
        <v>29474</v>
      </c>
      <c r="F9107">
        <v>1969</v>
      </c>
      <c r="G9107" t="s">
        <v>16131</v>
      </c>
      <c r="H9107" t="s">
        <v>29475</v>
      </c>
      <c r="I9107" t="s">
        <v>29476</v>
      </c>
      <c r="J9107" t="s">
        <v>29477</v>
      </c>
      <c r="K9107" s="2" t="str">
        <f>HYPERLINK("http://collections.slsa.sa.gov.au/mpcimg/19000/B18809.htm")</f>
        <v>http://collections.slsa.sa.gov.au/mpcimg/19000/B18809.htm</v>
      </c>
    </row>
    <row r="9108" spans="1:11" x14ac:dyDescent="0.25">
      <c r="A9108" t="s">
        <v>29478</v>
      </c>
      <c r="B9108" s="1" t="str">
        <f>HYPERLINK("https://www.catalog.slsa.sa.gov.au/record=b2044399")</f>
        <v>https://www.catalog.slsa.sa.gov.au/record=b2044399</v>
      </c>
      <c r="C9108" s="1" t="str">
        <f>HYPERLINK("https://www.catalog.slsa.sa.gov.au/xrecord=b2044399")</f>
        <v>https://www.catalog.slsa.sa.gov.au/xrecord=b2044399</v>
      </c>
      <c r="D9108" t="s">
        <v>16831</v>
      </c>
      <c r="E9108" t="s">
        <v>29479</v>
      </c>
      <c r="F9108">
        <v>1969</v>
      </c>
      <c r="G9108" t="s">
        <v>29245</v>
      </c>
      <c r="H9108" t="s">
        <v>29480</v>
      </c>
      <c r="I9108" t="s">
        <v>29481</v>
      </c>
      <c r="J9108" t="s">
        <v>15330</v>
      </c>
      <c r="K9108" s="2" t="str">
        <f>HYPERLINK("http://collections.slsa.sa.gov.au/mpcimg/19500/B19432.htm")</f>
        <v>http://collections.slsa.sa.gov.au/mpcimg/19500/B19432.htm</v>
      </c>
    </row>
    <row r="9109" spans="1:11" x14ac:dyDescent="0.25">
      <c r="A9109" t="s">
        <v>29482</v>
      </c>
      <c r="B9109" s="1" t="str">
        <f>HYPERLINK("https://www.catalog.slsa.sa.gov.au/record=b2044400")</f>
        <v>https://www.catalog.slsa.sa.gov.au/record=b2044400</v>
      </c>
      <c r="C9109" s="1" t="str">
        <f>HYPERLINK("https://www.catalog.slsa.sa.gov.au/xrecord=b2044400")</f>
        <v>https://www.catalog.slsa.sa.gov.au/xrecord=b2044400</v>
      </c>
      <c r="D9109" t="s">
        <v>16831</v>
      </c>
      <c r="E9109" t="s">
        <v>29479</v>
      </c>
      <c r="F9109">
        <v>1969</v>
      </c>
      <c r="G9109" t="s">
        <v>14771</v>
      </c>
      <c r="H9109" t="s">
        <v>29480</v>
      </c>
      <c r="I9109" t="s">
        <v>29481</v>
      </c>
      <c r="J9109" t="s">
        <v>15330</v>
      </c>
      <c r="K9109" s="2" t="str">
        <f>HYPERLINK("http://collections.slsa.sa.gov.au/mpcimg/19500/B19433.htm")</f>
        <v>http://collections.slsa.sa.gov.au/mpcimg/19500/B19433.htm</v>
      </c>
    </row>
    <row r="9110" spans="1:11" x14ac:dyDescent="0.25">
      <c r="A9110" t="s">
        <v>29483</v>
      </c>
      <c r="B9110" s="1" t="str">
        <f>HYPERLINK("https://www.catalog.slsa.sa.gov.au/record=b2054613")</f>
        <v>https://www.catalog.slsa.sa.gov.au/record=b2054613</v>
      </c>
      <c r="C9110" s="1" t="str">
        <f>HYPERLINK("https://www.catalog.slsa.sa.gov.au/xrecord=b2054613")</f>
        <v>https://www.catalog.slsa.sa.gov.au/xrecord=b2054613</v>
      </c>
      <c r="D9110" t="s">
        <v>16831</v>
      </c>
      <c r="E9110" t="s">
        <v>29484</v>
      </c>
      <c r="F9110">
        <v>1969</v>
      </c>
      <c r="G9110" t="s">
        <v>14771</v>
      </c>
      <c r="H9110" t="s">
        <v>29485</v>
      </c>
      <c r="J9110" t="s">
        <v>23978</v>
      </c>
      <c r="K9110" s="2" t="str">
        <f>HYPERLINK("http://collections.slsa.sa.gov.au/mpcimg/18750/B18614_1.htm")</f>
        <v>http://collections.slsa.sa.gov.au/mpcimg/18750/B18614_1.htm</v>
      </c>
    </row>
    <row r="9111" spans="1:11" x14ac:dyDescent="0.25">
      <c r="A9111" t="s">
        <v>29486</v>
      </c>
      <c r="B9111" s="1" t="str">
        <f>HYPERLINK("https://www.catalog.slsa.sa.gov.au/record=b2054614")</f>
        <v>https://www.catalog.slsa.sa.gov.au/record=b2054614</v>
      </c>
      <c r="C9111" s="1" t="str">
        <f>HYPERLINK("https://www.catalog.slsa.sa.gov.au/xrecord=b2054614")</f>
        <v>https://www.catalog.slsa.sa.gov.au/xrecord=b2054614</v>
      </c>
      <c r="D9111" t="s">
        <v>16831</v>
      </c>
      <c r="E9111" t="s">
        <v>29484</v>
      </c>
      <c r="F9111">
        <v>1969</v>
      </c>
      <c r="G9111" t="s">
        <v>14771</v>
      </c>
      <c r="H9111" t="s">
        <v>29487</v>
      </c>
      <c r="J9111" t="s">
        <v>23978</v>
      </c>
      <c r="K9111" s="2" t="str">
        <f>HYPERLINK("http://collections.slsa.sa.gov.au/mpcimg/18750/B18614_2.htm")</f>
        <v>http://collections.slsa.sa.gov.au/mpcimg/18750/B18614_2.htm</v>
      </c>
    </row>
    <row r="9112" spans="1:11" x14ac:dyDescent="0.25">
      <c r="A9112" t="s">
        <v>29488</v>
      </c>
      <c r="B9112" s="1" t="str">
        <f>HYPERLINK("https://www.catalog.slsa.sa.gov.au/record=b2054615")</f>
        <v>https://www.catalog.slsa.sa.gov.au/record=b2054615</v>
      </c>
      <c r="C9112" s="1" t="str">
        <f>HYPERLINK("https://www.catalog.slsa.sa.gov.au/xrecord=b2054615")</f>
        <v>https://www.catalog.slsa.sa.gov.au/xrecord=b2054615</v>
      </c>
      <c r="D9112" t="s">
        <v>16831</v>
      </c>
      <c r="E9112" t="s">
        <v>29484</v>
      </c>
      <c r="F9112">
        <v>1969</v>
      </c>
      <c r="G9112" t="s">
        <v>14771</v>
      </c>
      <c r="H9112" t="s">
        <v>29489</v>
      </c>
      <c r="J9112" t="s">
        <v>23978</v>
      </c>
      <c r="K9112" s="2" t="str">
        <f>HYPERLINK("http://collections.slsa.sa.gov.au/mpcimg/18750/B18614_3.htm")</f>
        <v>http://collections.slsa.sa.gov.au/mpcimg/18750/B18614_3.htm</v>
      </c>
    </row>
    <row r="9113" spans="1:11" x14ac:dyDescent="0.25">
      <c r="A9113" t="s">
        <v>29490</v>
      </c>
      <c r="B9113" s="1" t="str">
        <f>HYPERLINK("https://www.catalog.slsa.sa.gov.au/record=b2054616")</f>
        <v>https://www.catalog.slsa.sa.gov.au/record=b2054616</v>
      </c>
      <c r="C9113" s="1" t="str">
        <f>HYPERLINK("https://www.catalog.slsa.sa.gov.au/xrecord=b2054616")</f>
        <v>https://www.catalog.slsa.sa.gov.au/xrecord=b2054616</v>
      </c>
      <c r="D9113" t="s">
        <v>16831</v>
      </c>
      <c r="E9113" t="s">
        <v>29491</v>
      </c>
      <c r="F9113">
        <v>1969</v>
      </c>
      <c r="G9113" t="s">
        <v>14771</v>
      </c>
      <c r="H9113" t="s">
        <v>29492</v>
      </c>
      <c r="J9113" t="s">
        <v>23978</v>
      </c>
      <c r="K9113" s="2" t="str">
        <f>HYPERLINK("http://collections.slsa.sa.gov.au/mpcimg/18750/B18614_4.htm")</f>
        <v>http://collections.slsa.sa.gov.au/mpcimg/18750/B18614_4.htm</v>
      </c>
    </row>
    <row r="9114" spans="1:11" x14ac:dyDescent="0.25">
      <c r="A9114" t="s">
        <v>29493</v>
      </c>
      <c r="B9114" s="1" t="str">
        <f>HYPERLINK("https://www.catalog.slsa.sa.gov.au/record=b2054617")</f>
        <v>https://www.catalog.slsa.sa.gov.au/record=b2054617</v>
      </c>
      <c r="C9114" s="1" t="str">
        <f>HYPERLINK("https://www.catalog.slsa.sa.gov.au/xrecord=b2054617")</f>
        <v>https://www.catalog.slsa.sa.gov.au/xrecord=b2054617</v>
      </c>
      <c r="D9114" t="s">
        <v>16831</v>
      </c>
      <c r="E9114" t="s">
        <v>29494</v>
      </c>
      <c r="F9114">
        <v>1969</v>
      </c>
      <c r="G9114" t="s">
        <v>29245</v>
      </c>
      <c r="H9114" t="s">
        <v>29495</v>
      </c>
      <c r="J9114" t="s">
        <v>23978</v>
      </c>
      <c r="K9114" s="2" t="str">
        <f>HYPERLINK("http://collections.slsa.sa.gov.au/mpcimg/19500/B19443.htm")</f>
        <v>http://collections.slsa.sa.gov.au/mpcimg/19500/B19443.htm</v>
      </c>
    </row>
    <row r="9115" spans="1:11" x14ac:dyDescent="0.25">
      <c r="A9115" t="s">
        <v>29496</v>
      </c>
      <c r="B9115" s="1" t="str">
        <f>HYPERLINK("https://www.catalog.slsa.sa.gov.au/record=b2055086")</f>
        <v>https://www.catalog.slsa.sa.gov.au/record=b2055086</v>
      </c>
      <c r="C9115" s="1" t="str">
        <f>HYPERLINK("https://www.catalog.slsa.sa.gov.au/xrecord=b2055086")</f>
        <v>https://www.catalog.slsa.sa.gov.au/xrecord=b2055086</v>
      </c>
      <c r="D9115" t="s">
        <v>16831</v>
      </c>
      <c r="E9115" t="s">
        <v>16777</v>
      </c>
      <c r="F9115">
        <v>1969</v>
      </c>
      <c r="G9115" t="s">
        <v>14771</v>
      </c>
      <c r="H9115" t="s">
        <v>28771</v>
      </c>
      <c r="J9115" t="s">
        <v>22734</v>
      </c>
      <c r="K9115" s="2" t="str">
        <f>HYPERLINK("http://collections.slsa.sa.gov.au/mpcimg/18750/B18745.htm")</f>
        <v>http://collections.slsa.sa.gov.au/mpcimg/18750/B18745.htm</v>
      </c>
    </row>
    <row r="9116" spans="1:11" x14ac:dyDescent="0.25">
      <c r="A9116" t="s">
        <v>29497</v>
      </c>
      <c r="B9116" s="1" t="str">
        <f>HYPERLINK("https://www.catalog.slsa.sa.gov.au/record=b2055087")</f>
        <v>https://www.catalog.slsa.sa.gov.au/record=b2055087</v>
      </c>
      <c r="C9116" s="1" t="str">
        <f>HYPERLINK("https://www.catalog.slsa.sa.gov.au/xrecord=b2055087")</f>
        <v>https://www.catalog.slsa.sa.gov.au/xrecord=b2055087</v>
      </c>
      <c r="D9116" t="s">
        <v>16831</v>
      </c>
      <c r="E9116" t="s">
        <v>16777</v>
      </c>
      <c r="F9116">
        <v>1969</v>
      </c>
      <c r="G9116" t="s">
        <v>14771</v>
      </c>
      <c r="H9116" t="s">
        <v>29498</v>
      </c>
      <c r="J9116" t="s">
        <v>22734</v>
      </c>
      <c r="K9116" s="2" t="str">
        <f>HYPERLINK("http://collections.slsa.sa.gov.au/mpcimg/19500/B19489.htm")</f>
        <v>http://collections.slsa.sa.gov.au/mpcimg/19500/B19489.htm</v>
      </c>
    </row>
    <row r="9117" spans="1:11" x14ac:dyDescent="0.25">
      <c r="A9117" t="s">
        <v>29499</v>
      </c>
      <c r="B9117" s="1" t="str">
        <f>HYPERLINK("https://www.catalog.slsa.sa.gov.au/record=b2055157")</f>
        <v>https://www.catalog.slsa.sa.gov.au/record=b2055157</v>
      </c>
      <c r="C9117" s="1" t="str">
        <f>HYPERLINK("https://www.catalog.slsa.sa.gov.au/xrecord=b2055157")</f>
        <v>https://www.catalog.slsa.sa.gov.au/xrecord=b2055157</v>
      </c>
      <c r="D9117" t="s">
        <v>16831</v>
      </c>
      <c r="E9117" t="s">
        <v>29500</v>
      </c>
      <c r="F9117">
        <v>1969</v>
      </c>
      <c r="G9117" t="s">
        <v>14771</v>
      </c>
      <c r="H9117" t="s">
        <v>29501</v>
      </c>
      <c r="J9117" t="s">
        <v>20893</v>
      </c>
      <c r="K9117" s="2" t="str">
        <f>HYPERLINK("http://collections.slsa.sa.gov.au/mpcimg/19500/B19487.htm")</f>
        <v>http://collections.slsa.sa.gov.au/mpcimg/19500/B19487.htm</v>
      </c>
    </row>
    <row r="9118" spans="1:11" x14ac:dyDescent="0.25">
      <c r="A9118" t="s">
        <v>29502</v>
      </c>
      <c r="B9118" s="1" t="str">
        <f>HYPERLINK("https://www.catalog.slsa.sa.gov.au/record=b2055158")</f>
        <v>https://www.catalog.slsa.sa.gov.au/record=b2055158</v>
      </c>
      <c r="C9118" s="1" t="str">
        <f>HYPERLINK("https://www.catalog.slsa.sa.gov.au/xrecord=b2055158")</f>
        <v>https://www.catalog.slsa.sa.gov.au/xrecord=b2055158</v>
      </c>
      <c r="D9118" t="s">
        <v>16831</v>
      </c>
      <c r="E9118" t="s">
        <v>16777</v>
      </c>
      <c r="F9118">
        <v>1969</v>
      </c>
      <c r="G9118" t="s">
        <v>14771</v>
      </c>
      <c r="H9118" t="s">
        <v>29503</v>
      </c>
      <c r="J9118" t="s">
        <v>20893</v>
      </c>
      <c r="K9118" s="2" t="str">
        <f>HYPERLINK("http://collections.slsa.sa.gov.au/mpcimg/19500/B19495.htm")</f>
        <v>http://collections.slsa.sa.gov.au/mpcimg/19500/B19495.htm</v>
      </c>
    </row>
    <row r="9119" spans="1:11" x14ac:dyDescent="0.25">
      <c r="A9119" t="s">
        <v>29504</v>
      </c>
      <c r="B9119" s="1" t="str">
        <f>HYPERLINK("https://www.catalog.slsa.sa.gov.au/record=b2055889")</f>
        <v>https://www.catalog.slsa.sa.gov.au/record=b2055889</v>
      </c>
      <c r="C9119" s="1" t="str">
        <f>HYPERLINK("https://www.catalog.slsa.sa.gov.au/xrecord=b2055889")</f>
        <v>https://www.catalog.slsa.sa.gov.au/xrecord=b2055889</v>
      </c>
      <c r="D9119" t="s">
        <v>16831</v>
      </c>
      <c r="E9119" t="s">
        <v>29505</v>
      </c>
      <c r="F9119">
        <v>1969</v>
      </c>
      <c r="G9119" t="s">
        <v>14771</v>
      </c>
      <c r="H9119" t="s">
        <v>29506</v>
      </c>
      <c r="J9119" t="s">
        <v>26599</v>
      </c>
      <c r="K9119" s="2" t="str">
        <f>HYPERLINK("http://collections.slsa.sa.gov.au/mpcimg/18750/B18747_1.htm")</f>
        <v>http://collections.slsa.sa.gov.au/mpcimg/18750/B18747_1.htm</v>
      </c>
    </row>
    <row r="9120" spans="1:11" x14ac:dyDescent="0.25">
      <c r="A9120" t="s">
        <v>29507</v>
      </c>
      <c r="B9120" s="1" t="str">
        <f>HYPERLINK("https://www.catalog.slsa.sa.gov.au/record=b2055890")</f>
        <v>https://www.catalog.slsa.sa.gov.au/record=b2055890</v>
      </c>
      <c r="C9120" s="1" t="str">
        <f>HYPERLINK("https://www.catalog.slsa.sa.gov.au/xrecord=b2055890")</f>
        <v>https://www.catalog.slsa.sa.gov.au/xrecord=b2055890</v>
      </c>
      <c r="D9120" t="s">
        <v>16831</v>
      </c>
      <c r="E9120" t="s">
        <v>20904</v>
      </c>
      <c r="F9120">
        <v>1969</v>
      </c>
      <c r="G9120" t="s">
        <v>14771</v>
      </c>
      <c r="H9120" t="s">
        <v>29508</v>
      </c>
      <c r="J9120" t="s">
        <v>26599</v>
      </c>
      <c r="K9120" s="2" t="str">
        <f>HYPERLINK("http://collections.slsa.sa.gov.au/mpcimg/18750/B18747_2.htm")</f>
        <v>http://collections.slsa.sa.gov.au/mpcimg/18750/B18747_2.htm</v>
      </c>
    </row>
    <row r="9121" spans="1:11" x14ac:dyDescent="0.25">
      <c r="A9121" t="s">
        <v>29509</v>
      </c>
      <c r="B9121" s="1" t="str">
        <f>HYPERLINK("https://www.catalog.slsa.sa.gov.au/record=b2055891")</f>
        <v>https://www.catalog.slsa.sa.gov.au/record=b2055891</v>
      </c>
      <c r="C9121" s="1" t="str">
        <f>HYPERLINK("https://www.catalog.slsa.sa.gov.au/xrecord=b2055891")</f>
        <v>https://www.catalog.slsa.sa.gov.au/xrecord=b2055891</v>
      </c>
      <c r="D9121" t="s">
        <v>16831</v>
      </c>
      <c r="E9121" t="s">
        <v>29510</v>
      </c>
      <c r="F9121">
        <v>1969</v>
      </c>
      <c r="G9121" t="s">
        <v>29511</v>
      </c>
      <c r="H9121" t="s">
        <v>29512</v>
      </c>
      <c r="J9121" t="s">
        <v>26599</v>
      </c>
      <c r="K9121" s="2" t="str">
        <f>HYPERLINK("http://collections.slsa.sa.gov.au/mpcimg/19500/B19492.htm")</f>
        <v>http://collections.slsa.sa.gov.au/mpcimg/19500/B19492.htm</v>
      </c>
    </row>
    <row r="9122" spans="1:11" x14ac:dyDescent="0.25">
      <c r="A9122" t="s">
        <v>29513</v>
      </c>
      <c r="B9122" s="1" t="str">
        <f>HYPERLINK("https://www.catalog.slsa.sa.gov.au/record=b2055892")</f>
        <v>https://www.catalog.slsa.sa.gov.au/record=b2055892</v>
      </c>
      <c r="C9122" s="1" t="str">
        <f>HYPERLINK("https://www.catalog.slsa.sa.gov.au/xrecord=b2055892")</f>
        <v>https://www.catalog.slsa.sa.gov.au/xrecord=b2055892</v>
      </c>
      <c r="D9122" t="s">
        <v>16831</v>
      </c>
      <c r="E9122" t="s">
        <v>29510</v>
      </c>
      <c r="F9122">
        <v>1969</v>
      </c>
      <c r="G9122" t="s">
        <v>14771</v>
      </c>
      <c r="H9122" t="s">
        <v>29514</v>
      </c>
      <c r="J9122" t="s">
        <v>26599</v>
      </c>
      <c r="K9122" s="2" t="str">
        <f>HYPERLINK("http://collections.slsa.sa.gov.au/mpcimg/19500/B19493.htm")</f>
        <v>http://collections.slsa.sa.gov.au/mpcimg/19500/B19493.htm</v>
      </c>
    </row>
    <row r="9123" spans="1:11" x14ac:dyDescent="0.25">
      <c r="A9123" t="s">
        <v>29515</v>
      </c>
      <c r="B9123" s="1" t="str">
        <f>HYPERLINK("https://www.catalog.slsa.sa.gov.au/record=b2055893")</f>
        <v>https://www.catalog.slsa.sa.gov.au/record=b2055893</v>
      </c>
      <c r="C9123" s="1" t="str">
        <f>HYPERLINK("https://www.catalog.slsa.sa.gov.au/xrecord=b2055893")</f>
        <v>https://www.catalog.slsa.sa.gov.au/xrecord=b2055893</v>
      </c>
      <c r="D9123" t="s">
        <v>16831</v>
      </c>
      <c r="E9123" t="s">
        <v>29516</v>
      </c>
      <c r="F9123">
        <v>1969</v>
      </c>
      <c r="G9123" t="s">
        <v>14771</v>
      </c>
      <c r="H9123" t="s">
        <v>29517</v>
      </c>
      <c r="J9123" t="s">
        <v>26599</v>
      </c>
      <c r="K9123" s="2" t="str">
        <f>HYPERLINK("http://collections.slsa.sa.gov.au/mpcimg/19500/B19494.htm")</f>
        <v>http://collections.slsa.sa.gov.au/mpcimg/19500/B19494.htm</v>
      </c>
    </row>
    <row r="9124" spans="1:11" x14ac:dyDescent="0.25">
      <c r="A9124" t="s">
        <v>29518</v>
      </c>
      <c r="B9124" s="1" t="str">
        <f>HYPERLINK("https://www.catalog.slsa.sa.gov.au/record=b2055961")</f>
        <v>https://www.catalog.slsa.sa.gov.au/record=b2055961</v>
      </c>
      <c r="C9124" s="1" t="str">
        <f>HYPERLINK("https://www.catalog.slsa.sa.gov.au/xrecord=b2055961")</f>
        <v>https://www.catalog.slsa.sa.gov.au/xrecord=b2055961</v>
      </c>
      <c r="D9124" t="s">
        <v>16831</v>
      </c>
      <c r="E9124" t="s">
        <v>29519</v>
      </c>
      <c r="F9124">
        <v>1969</v>
      </c>
      <c r="G9124" t="s">
        <v>14771</v>
      </c>
      <c r="H9124" t="s">
        <v>29520</v>
      </c>
      <c r="J9124" t="s">
        <v>29521</v>
      </c>
      <c r="K9124" s="2" t="str">
        <f>HYPERLINK("http://collections.slsa.sa.gov.au/mpcimg/19750/B19595.htm")</f>
        <v>http://collections.slsa.sa.gov.au/mpcimg/19750/B19595.htm</v>
      </c>
    </row>
    <row r="9125" spans="1:11" x14ac:dyDescent="0.25">
      <c r="A9125" t="s">
        <v>29522</v>
      </c>
      <c r="B9125" s="1" t="str">
        <f>HYPERLINK("https://www.catalog.slsa.sa.gov.au/record=b2055962")</f>
        <v>https://www.catalog.slsa.sa.gov.au/record=b2055962</v>
      </c>
      <c r="C9125" s="1" t="str">
        <f>HYPERLINK("https://www.catalog.slsa.sa.gov.au/xrecord=b2055962")</f>
        <v>https://www.catalog.slsa.sa.gov.au/xrecord=b2055962</v>
      </c>
      <c r="D9125" t="s">
        <v>16831</v>
      </c>
      <c r="E9125" t="s">
        <v>22751</v>
      </c>
      <c r="F9125">
        <v>1969</v>
      </c>
      <c r="G9125" t="s">
        <v>14771</v>
      </c>
      <c r="H9125" t="s">
        <v>29523</v>
      </c>
      <c r="J9125" t="s">
        <v>29521</v>
      </c>
      <c r="K9125" s="2" t="str">
        <f>HYPERLINK("http://collections.slsa.sa.gov.au/mpcimg/19750/B19596.htm")</f>
        <v>http://collections.slsa.sa.gov.au/mpcimg/19750/B19596.htm</v>
      </c>
    </row>
    <row r="9126" spans="1:11" x14ac:dyDescent="0.25">
      <c r="A9126" t="s">
        <v>29524</v>
      </c>
      <c r="B9126" s="1" t="str">
        <f>HYPERLINK("https://www.catalog.slsa.sa.gov.au/record=b2055963")</f>
        <v>https://www.catalog.slsa.sa.gov.au/record=b2055963</v>
      </c>
      <c r="C9126" s="1" t="str">
        <f>HYPERLINK("https://www.catalog.slsa.sa.gov.au/xrecord=b2055963")</f>
        <v>https://www.catalog.slsa.sa.gov.au/xrecord=b2055963</v>
      </c>
      <c r="D9126" t="s">
        <v>16831</v>
      </c>
      <c r="E9126" t="s">
        <v>29525</v>
      </c>
      <c r="F9126">
        <v>1969</v>
      </c>
      <c r="G9126" t="s">
        <v>14771</v>
      </c>
      <c r="H9126" t="s">
        <v>29526</v>
      </c>
      <c r="J9126" t="s">
        <v>29521</v>
      </c>
      <c r="K9126" s="2" t="str">
        <f>HYPERLINK("http://collections.slsa.sa.gov.au/mpcimg/19750/B19597.htm")</f>
        <v>http://collections.slsa.sa.gov.au/mpcimg/19750/B19597.htm</v>
      </c>
    </row>
    <row r="9127" spans="1:11" x14ac:dyDescent="0.25">
      <c r="A9127" t="s">
        <v>29527</v>
      </c>
      <c r="B9127" s="1" t="str">
        <f>HYPERLINK("https://www.catalog.slsa.sa.gov.au/record=b2056020")</f>
        <v>https://www.catalog.slsa.sa.gov.au/record=b2056020</v>
      </c>
      <c r="C9127" s="1" t="str">
        <f>HYPERLINK("https://www.catalog.slsa.sa.gov.au/xrecord=b2056020")</f>
        <v>https://www.catalog.slsa.sa.gov.au/xrecord=b2056020</v>
      </c>
      <c r="D9127" t="s">
        <v>16831</v>
      </c>
      <c r="E9127" t="s">
        <v>20904</v>
      </c>
      <c r="F9127">
        <v>1969</v>
      </c>
      <c r="G9127" t="s">
        <v>14771</v>
      </c>
      <c r="H9127" t="s">
        <v>29528</v>
      </c>
      <c r="J9127" t="s">
        <v>27079</v>
      </c>
      <c r="K9127" s="2" t="str">
        <f>HYPERLINK("http://collections.slsa.sa.gov.au/mpcimg/19500/B19491.htm")</f>
        <v>http://collections.slsa.sa.gov.au/mpcimg/19500/B19491.htm</v>
      </c>
    </row>
    <row r="9128" spans="1:11" x14ac:dyDescent="0.25">
      <c r="A9128" t="s">
        <v>29529</v>
      </c>
      <c r="B9128" s="1" t="str">
        <f>HYPERLINK("https://www.catalog.slsa.sa.gov.au/record=b2056683")</f>
        <v>https://www.catalog.slsa.sa.gov.au/record=b2056683</v>
      </c>
      <c r="C9128" s="1" t="str">
        <f>HYPERLINK("https://www.catalog.slsa.sa.gov.au/xrecord=b2056683")</f>
        <v>https://www.catalog.slsa.sa.gov.au/xrecord=b2056683</v>
      </c>
      <c r="D9128" t="s">
        <v>16831</v>
      </c>
      <c r="E9128" t="s">
        <v>16777</v>
      </c>
      <c r="F9128">
        <v>1969</v>
      </c>
      <c r="G9128" t="s">
        <v>14771</v>
      </c>
      <c r="H9128" t="s">
        <v>29530</v>
      </c>
      <c r="J9128" t="s">
        <v>29531</v>
      </c>
      <c r="K9128" s="2" t="str">
        <f>HYPERLINK("http://collections.slsa.sa.gov.au/mpcimg/19500/B19496.htm")</f>
        <v>http://collections.slsa.sa.gov.au/mpcimg/19500/B19496.htm</v>
      </c>
    </row>
    <row r="9129" spans="1:11" x14ac:dyDescent="0.25">
      <c r="A9129" t="s">
        <v>29532</v>
      </c>
      <c r="B9129" s="1" t="str">
        <f>HYPERLINK("https://www.catalog.slsa.sa.gov.au/record=b2057071")</f>
        <v>https://www.catalog.slsa.sa.gov.au/record=b2057071</v>
      </c>
      <c r="C9129" s="1" t="str">
        <f>HYPERLINK("https://www.catalog.slsa.sa.gov.au/xrecord=b2057071")</f>
        <v>https://www.catalog.slsa.sa.gov.au/xrecord=b2057071</v>
      </c>
      <c r="D9129" t="s">
        <v>16831</v>
      </c>
      <c r="E9129" t="s">
        <v>24033</v>
      </c>
      <c r="F9129">
        <v>1969</v>
      </c>
      <c r="G9129" t="s">
        <v>14771</v>
      </c>
      <c r="H9129" t="s">
        <v>29533</v>
      </c>
      <c r="J9129" t="s">
        <v>24035</v>
      </c>
      <c r="K9129" s="2" t="str">
        <f>HYPERLINK("http://collections.slsa.sa.gov.au/mpcimg/19500/B19361.htm")</f>
        <v>http://collections.slsa.sa.gov.au/mpcimg/19500/B19361.htm</v>
      </c>
    </row>
    <row r="9130" spans="1:11" x14ac:dyDescent="0.25">
      <c r="A9130" t="s">
        <v>29534</v>
      </c>
      <c r="B9130" s="1" t="str">
        <f>HYPERLINK("https://www.catalog.slsa.sa.gov.au/record=b2057329")</f>
        <v>https://www.catalog.slsa.sa.gov.au/record=b2057329</v>
      </c>
      <c r="C9130" s="1" t="str">
        <f>HYPERLINK("https://www.catalog.slsa.sa.gov.au/xrecord=b2057329")</f>
        <v>https://www.catalog.slsa.sa.gov.au/xrecord=b2057329</v>
      </c>
      <c r="D9130" t="s">
        <v>16831</v>
      </c>
      <c r="E9130" t="s">
        <v>16786</v>
      </c>
      <c r="F9130">
        <v>1969</v>
      </c>
      <c r="G9130" t="s">
        <v>14771</v>
      </c>
      <c r="H9130" t="s">
        <v>29535</v>
      </c>
      <c r="J9130" t="s">
        <v>29536</v>
      </c>
      <c r="K9130" s="2" t="str">
        <f>HYPERLINK("http://collections.slsa.sa.gov.au/mpcimg/19000/B18818.htm")</f>
        <v>http://collections.slsa.sa.gov.au/mpcimg/19000/B18818.htm</v>
      </c>
    </row>
    <row r="9131" spans="1:11" x14ac:dyDescent="0.25">
      <c r="A9131" t="s">
        <v>29537</v>
      </c>
      <c r="B9131" s="1" t="str">
        <f>HYPERLINK("https://www.catalog.slsa.sa.gov.au/record=b2057708")</f>
        <v>https://www.catalog.slsa.sa.gov.au/record=b2057708</v>
      </c>
      <c r="C9131" s="1" t="str">
        <f>HYPERLINK("https://www.catalog.slsa.sa.gov.au/xrecord=b2057708")</f>
        <v>https://www.catalog.slsa.sa.gov.au/xrecord=b2057708</v>
      </c>
      <c r="D9131" t="s">
        <v>16831</v>
      </c>
      <c r="E9131" t="s">
        <v>20933</v>
      </c>
      <c r="F9131">
        <v>1969</v>
      </c>
      <c r="G9131" t="s">
        <v>14771</v>
      </c>
      <c r="H9131" t="s">
        <v>29538</v>
      </c>
      <c r="J9131" t="s">
        <v>22800</v>
      </c>
      <c r="K9131" s="2" t="str">
        <f>HYPERLINK("http://collections.slsa.sa.gov.au/mpcimg/19500/B19497.htm")</f>
        <v>http://collections.slsa.sa.gov.au/mpcimg/19500/B19497.htm</v>
      </c>
    </row>
    <row r="9132" spans="1:11" x14ac:dyDescent="0.25">
      <c r="A9132" t="s">
        <v>29539</v>
      </c>
      <c r="B9132" s="1" t="str">
        <f>HYPERLINK("https://www.catalog.slsa.sa.gov.au/record=b2057724")</f>
        <v>https://www.catalog.slsa.sa.gov.au/record=b2057724</v>
      </c>
      <c r="C9132" s="1" t="str">
        <f>HYPERLINK("https://www.catalog.slsa.sa.gov.au/xrecord=b2057724")</f>
        <v>https://www.catalog.slsa.sa.gov.au/xrecord=b2057724</v>
      </c>
      <c r="D9132" t="s">
        <v>16831</v>
      </c>
      <c r="E9132" t="s">
        <v>24106</v>
      </c>
      <c r="F9132">
        <v>1969</v>
      </c>
      <c r="G9132" t="s">
        <v>14771</v>
      </c>
      <c r="H9132" t="s">
        <v>29540</v>
      </c>
      <c r="J9132" t="s">
        <v>29541</v>
      </c>
      <c r="K9132" s="2" t="str">
        <f>HYPERLINK("http://collections.slsa.sa.gov.au/mpcimg/18750/B18615_1.htm")</f>
        <v>http://collections.slsa.sa.gov.au/mpcimg/18750/B18615_1.htm</v>
      </c>
    </row>
    <row r="9133" spans="1:11" x14ac:dyDescent="0.25">
      <c r="A9133" t="s">
        <v>29542</v>
      </c>
      <c r="B9133" s="1" t="str">
        <f>HYPERLINK("https://www.catalog.slsa.sa.gov.au/record=b2057725")</f>
        <v>https://www.catalog.slsa.sa.gov.au/record=b2057725</v>
      </c>
      <c r="C9133" s="1" t="str">
        <f>HYPERLINK("https://www.catalog.slsa.sa.gov.au/xrecord=b2057725")</f>
        <v>https://www.catalog.slsa.sa.gov.au/xrecord=b2057725</v>
      </c>
      <c r="D9133" t="s">
        <v>16831</v>
      </c>
      <c r="E9133" t="s">
        <v>24106</v>
      </c>
      <c r="F9133">
        <v>1969</v>
      </c>
      <c r="G9133" t="s">
        <v>14771</v>
      </c>
      <c r="H9133" t="s">
        <v>29540</v>
      </c>
      <c r="J9133" t="s">
        <v>29541</v>
      </c>
      <c r="K9133" s="2" t="str">
        <f>HYPERLINK("http://collections.slsa.sa.gov.au/mpcimg/18750/B18615_2.htm")</f>
        <v>http://collections.slsa.sa.gov.au/mpcimg/18750/B18615_2.htm</v>
      </c>
    </row>
    <row r="9134" spans="1:11" x14ac:dyDescent="0.25">
      <c r="A9134" t="s">
        <v>29543</v>
      </c>
      <c r="B9134" s="1" t="str">
        <f>HYPERLINK("https://www.catalog.slsa.sa.gov.au/record=b2058290")</f>
        <v>https://www.catalog.slsa.sa.gov.au/record=b2058290</v>
      </c>
      <c r="C9134" s="1" t="str">
        <f>HYPERLINK("https://www.catalog.slsa.sa.gov.au/xrecord=b2058290")</f>
        <v>https://www.catalog.slsa.sa.gov.au/xrecord=b2058290</v>
      </c>
      <c r="D9134" t="s">
        <v>16831</v>
      </c>
      <c r="E9134" t="s">
        <v>20970</v>
      </c>
      <c r="F9134">
        <v>1969</v>
      </c>
      <c r="G9134" t="s">
        <v>14771</v>
      </c>
      <c r="H9134" t="s">
        <v>29544</v>
      </c>
      <c r="J9134" t="s">
        <v>25853</v>
      </c>
      <c r="K9134" s="2" t="str">
        <f>HYPERLINK("http://collections.slsa.sa.gov.au/mpcimg/19500/B19500.htm")</f>
        <v>http://collections.slsa.sa.gov.au/mpcimg/19500/B19500.htm</v>
      </c>
    </row>
    <row r="9135" spans="1:11" x14ac:dyDescent="0.25">
      <c r="A9135" t="s">
        <v>29545</v>
      </c>
      <c r="B9135" s="1" t="str">
        <f>HYPERLINK("https://www.catalog.slsa.sa.gov.au/record=b2058352")</f>
        <v>https://www.catalog.slsa.sa.gov.au/record=b2058352</v>
      </c>
      <c r="C9135" s="1" t="str">
        <f>HYPERLINK("https://www.catalog.slsa.sa.gov.au/xrecord=b2058352")</f>
        <v>https://www.catalog.slsa.sa.gov.au/xrecord=b2058352</v>
      </c>
      <c r="D9135" t="s">
        <v>16831</v>
      </c>
      <c r="E9135" t="s">
        <v>20970</v>
      </c>
      <c r="F9135">
        <v>1969</v>
      </c>
      <c r="G9135" t="s">
        <v>14771</v>
      </c>
      <c r="H9135" t="s">
        <v>29546</v>
      </c>
      <c r="J9135" t="s">
        <v>25344</v>
      </c>
      <c r="K9135" s="2" t="str">
        <f>HYPERLINK("http://collections.slsa.sa.gov.au/mpcimg/18750/B18689_1.htm")</f>
        <v>http://collections.slsa.sa.gov.au/mpcimg/18750/B18689_1.htm</v>
      </c>
    </row>
    <row r="9136" spans="1:11" x14ac:dyDescent="0.25">
      <c r="A9136" t="s">
        <v>29547</v>
      </c>
      <c r="B9136" s="1" t="str">
        <f>HYPERLINK("https://www.catalog.slsa.sa.gov.au/record=b2058353")</f>
        <v>https://www.catalog.slsa.sa.gov.au/record=b2058353</v>
      </c>
      <c r="C9136" s="1" t="str">
        <f>HYPERLINK("https://www.catalog.slsa.sa.gov.au/xrecord=b2058353")</f>
        <v>https://www.catalog.slsa.sa.gov.au/xrecord=b2058353</v>
      </c>
      <c r="D9136" t="s">
        <v>16831</v>
      </c>
      <c r="E9136" t="s">
        <v>20970</v>
      </c>
      <c r="F9136">
        <v>1969</v>
      </c>
      <c r="G9136" t="s">
        <v>14771</v>
      </c>
      <c r="H9136" t="s">
        <v>29548</v>
      </c>
      <c r="J9136" t="s">
        <v>25344</v>
      </c>
      <c r="K9136" s="2" t="str">
        <f>HYPERLINK("http://collections.slsa.sa.gov.au/mpcimg/18750/B18689_2.htm")</f>
        <v>http://collections.slsa.sa.gov.au/mpcimg/18750/B18689_2.htm</v>
      </c>
    </row>
    <row r="9137" spans="1:11" x14ac:dyDescent="0.25">
      <c r="A9137" t="s">
        <v>29549</v>
      </c>
      <c r="B9137" s="1" t="str">
        <f>HYPERLINK("https://www.catalog.slsa.sa.gov.au/record=b2059544")</f>
        <v>https://www.catalog.slsa.sa.gov.au/record=b2059544</v>
      </c>
      <c r="C9137" s="1" t="str">
        <f>HYPERLINK("https://www.catalog.slsa.sa.gov.au/xrecord=b2059544")</f>
        <v>https://www.catalog.slsa.sa.gov.au/xrecord=b2059544</v>
      </c>
      <c r="D9137" t="s">
        <v>16831</v>
      </c>
      <c r="E9137" t="s">
        <v>29550</v>
      </c>
      <c r="F9137">
        <v>1969</v>
      </c>
      <c r="G9137" t="s">
        <v>16674</v>
      </c>
      <c r="H9137" t="s">
        <v>29551</v>
      </c>
      <c r="J9137" t="s">
        <v>24211</v>
      </c>
      <c r="K9137" s="2" t="str">
        <f>HYPERLINK("http://collections.slsa.sa.gov.au/mpcimg/19500/B19454.htm")</f>
        <v>http://collections.slsa.sa.gov.au/mpcimg/19500/B19454.htm</v>
      </c>
    </row>
    <row r="9138" spans="1:11" x14ac:dyDescent="0.25">
      <c r="A9138" t="s">
        <v>29552</v>
      </c>
      <c r="B9138" s="1" t="str">
        <f>HYPERLINK("https://www.catalog.slsa.sa.gov.au/record=b2059779")</f>
        <v>https://www.catalog.slsa.sa.gov.au/record=b2059779</v>
      </c>
      <c r="C9138" s="1" t="str">
        <f>HYPERLINK("https://www.catalog.slsa.sa.gov.au/xrecord=b2059779")</f>
        <v>https://www.catalog.slsa.sa.gov.au/xrecord=b2059779</v>
      </c>
      <c r="D9138" t="s">
        <v>16831</v>
      </c>
      <c r="E9138" t="s">
        <v>29553</v>
      </c>
      <c r="F9138">
        <v>1969</v>
      </c>
      <c r="G9138" t="s">
        <v>14771</v>
      </c>
      <c r="H9138" t="s">
        <v>29554</v>
      </c>
      <c r="J9138" t="s">
        <v>22857</v>
      </c>
      <c r="K9138" s="2" t="str">
        <f>HYPERLINK("http://collections.slsa.sa.gov.au/mpcimg/19500/B19486.htm")</f>
        <v>http://collections.slsa.sa.gov.au/mpcimg/19500/B19486.htm</v>
      </c>
    </row>
    <row r="9139" spans="1:11" x14ac:dyDescent="0.25">
      <c r="A9139" t="s">
        <v>29555</v>
      </c>
      <c r="B9139" s="1" t="str">
        <f>HYPERLINK("https://www.catalog.slsa.sa.gov.au/record=b2059804")</f>
        <v>https://www.catalog.slsa.sa.gov.au/record=b2059804</v>
      </c>
      <c r="C9139" s="1" t="str">
        <f>HYPERLINK("https://www.catalog.slsa.sa.gov.au/xrecord=b2059804")</f>
        <v>https://www.catalog.slsa.sa.gov.au/xrecord=b2059804</v>
      </c>
      <c r="D9139" t="s">
        <v>16831</v>
      </c>
      <c r="E9139" t="s">
        <v>29556</v>
      </c>
      <c r="F9139">
        <v>1969</v>
      </c>
      <c r="G9139" t="s">
        <v>14771</v>
      </c>
      <c r="H9139" t="s">
        <v>29557</v>
      </c>
      <c r="J9139" t="s">
        <v>22860</v>
      </c>
      <c r="K9139" s="2" t="str">
        <f>HYPERLINK("http://collections.slsa.sa.gov.au/mpcimg/19500/B19464.htm")</f>
        <v>http://collections.slsa.sa.gov.au/mpcimg/19500/B19464.htm</v>
      </c>
    </row>
    <row r="9140" spans="1:11" x14ac:dyDescent="0.25">
      <c r="A9140" t="s">
        <v>29558</v>
      </c>
      <c r="B9140" s="1" t="str">
        <f>HYPERLINK("https://www.catalog.slsa.sa.gov.au/record=b2059805")</f>
        <v>https://www.catalog.slsa.sa.gov.au/record=b2059805</v>
      </c>
      <c r="C9140" s="1" t="str">
        <f>HYPERLINK("https://www.catalog.slsa.sa.gov.au/xrecord=b2059805")</f>
        <v>https://www.catalog.slsa.sa.gov.au/xrecord=b2059805</v>
      </c>
      <c r="D9140" t="s">
        <v>16831</v>
      </c>
      <c r="E9140" t="s">
        <v>29556</v>
      </c>
      <c r="F9140">
        <v>1969</v>
      </c>
      <c r="G9140" t="s">
        <v>14771</v>
      </c>
      <c r="H9140" t="s">
        <v>29559</v>
      </c>
      <c r="J9140" t="s">
        <v>22860</v>
      </c>
      <c r="K9140" s="2" t="str">
        <f>HYPERLINK("http://collections.slsa.sa.gov.au/mpcimg/19500/B19465.htm")</f>
        <v>http://collections.slsa.sa.gov.au/mpcimg/19500/B19465.htm</v>
      </c>
    </row>
    <row r="9141" spans="1:11" x14ac:dyDescent="0.25">
      <c r="A9141" t="s">
        <v>29560</v>
      </c>
      <c r="B9141" s="1" t="str">
        <f>HYPERLINK("https://www.catalog.slsa.sa.gov.au/record=b2059881")</f>
        <v>https://www.catalog.slsa.sa.gov.au/record=b2059881</v>
      </c>
      <c r="C9141" s="1" t="str">
        <f>HYPERLINK("https://www.catalog.slsa.sa.gov.au/xrecord=b2059881")</f>
        <v>https://www.catalog.slsa.sa.gov.au/xrecord=b2059881</v>
      </c>
      <c r="D9141" t="s">
        <v>16831</v>
      </c>
      <c r="E9141" t="s">
        <v>20100</v>
      </c>
      <c r="F9141">
        <v>1969</v>
      </c>
      <c r="G9141" t="s">
        <v>14771</v>
      </c>
      <c r="H9141" t="s">
        <v>29561</v>
      </c>
      <c r="J9141" t="s">
        <v>24269</v>
      </c>
      <c r="K9141" s="2" t="str">
        <f>HYPERLINK("http://collections.slsa.sa.gov.au/mpcimg/19500/B19448.htm")</f>
        <v>http://collections.slsa.sa.gov.au/mpcimg/19500/B19448.htm</v>
      </c>
    </row>
    <row r="9142" spans="1:11" x14ac:dyDescent="0.25">
      <c r="A9142" t="s">
        <v>29562</v>
      </c>
      <c r="B9142" s="1" t="str">
        <f>HYPERLINK("https://www.catalog.slsa.sa.gov.au/record=b2059882")</f>
        <v>https://www.catalog.slsa.sa.gov.au/record=b2059882</v>
      </c>
      <c r="C9142" s="1" t="str">
        <f>HYPERLINK("https://www.catalog.slsa.sa.gov.au/xrecord=b2059882")</f>
        <v>https://www.catalog.slsa.sa.gov.au/xrecord=b2059882</v>
      </c>
      <c r="D9142" t="s">
        <v>16831</v>
      </c>
      <c r="E9142" t="s">
        <v>29563</v>
      </c>
      <c r="F9142">
        <v>1969</v>
      </c>
      <c r="G9142" t="s">
        <v>14771</v>
      </c>
      <c r="H9142" t="s">
        <v>29564</v>
      </c>
      <c r="J9142" t="s">
        <v>24269</v>
      </c>
      <c r="K9142" s="2" t="str">
        <f>HYPERLINK("http://collections.slsa.sa.gov.au/mpcimg/19500/B19449.htm")</f>
        <v>http://collections.slsa.sa.gov.au/mpcimg/19500/B19449.htm</v>
      </c>
    </row>
    <row r="9143" spans="1:11" x14ac:dyDescent="0.25">
      <c r="A9143" t="s">
        <v>29565</v>
      </c>
      <c r="B9143" s="1" t="str">
        <f>HYPERLINK("https://www.catalog.slsa.sa.gov.au/record=b2059891")</f>
        <v>https://www.catalog.slsa.sa.gov.au/record=b2059891</v>
      </c>
      <c r="C9143" s="1" t="str">
        <f>HYPERLINK("https://www.catalog.slsa.sa.gov.au/xrecord=b2059891")</f>
        <v>https://www.catalog.slsa.sa.gov.au/xrecord=b2059891</v>
      </c>
      <c r="D9143" t="s">
        <v>16831</v>
      </c>
      <c r="E9143" t="s">
        <v>29566</v>
      </c>
      <c r="F9143">
        <v>1969</v>
      </c>
      <c r="G9143" t="s">
        <v>14771</v>
      </c>
      <c r="H9143" t="s">
        <v>29567</v>
      </c>
      <c r="J9143" t="s">
        <v>21044</v>
      </c>
      <c r="K9143" s="2" t="str">
        <f>HYPERLINK("http://collections.slsa.sa.gov.au/mpcimg/18750/B18620.htm")</f>
        <v>http://collections.slsa.sa.gov.au/mpcimg/18750/B18620.htm</v>
      </c>
    </row>
    <row r="9144" spans="1:11" x14ac:dyDescent="0.25">
      <c r="A9144" t="s">
        <v>29568</v>
      </c>
      <c r="B9144" s="1" t="str">
        <f>HYPERLINK("https://www.catalog.slsa.sa.gov.au/record=b2060039")</f>
        <v>https://www.catalog.slsa.sa.gov.au/record=b2060039</v>
      </c>
      <c r="C9144" s="1" t="str">
        <f>HYPERLINK("https://www.catalog.slsa.sa.gov.au/xrecord=b2060039")</f>
        <v>https://www.catalog.slsa.sa.gov.au/xrecord=b2060039</v>
      </c>
      <c r="D9144" t="s">
        <v>16831</v>
      </c>
      <c r="E9144" t="s">
        <v>29569</v>
      </c>
      <c r="F9144">
        <v>1969</v>
      </c>
      <c r="G9144" t="s">
        <v>14771</v>
      </c>
      <c r="H9144" t="s">
        <v>29570</v>
      </c>
      <c r="J9144" t="s">
        <v>29571</v>
      </c>
      <c r="K9144" s="2" t="str">
        <f>HYPERLINK("http://collections.slsa.sa.gov.au/mpcimg/19500/B19461.htm")</f>
        <v>http://collections.slsa.sa.gov.au/mpcimg/19500/B19461.htm</v>
      </c>
    </row>
    <row r="9145" spans="1:11" x14ac:dyDescent="0.25">
      <c r="A9145" t="s">
        <v>29572</v>
      </c>
      <c r="B9145" s="1" t="str">
        <f>HYPERLINK("https://www.catalog.slsa.sa.gov.au/record=b2060040")</f>
        <v>https://www.catalog.slsa.sa.gov.au/record=b2060040</v>
      </c>
      <c r="C9145" s="1" t="str">
        <f>HYPERLINK("https://www.catalog.slsa.sa.gov.au/xrecord=b2060040")</f>
        <v>https://www.catalog.slsa.sa.gov.au/xrecord=b2060040</v>
      </c>
      <c r="D9145" t="s">
        <v>16831</v>
      </c>
      <c r="E9145" t="s">
        <v>29569</v>
      </c>
      <c r="F9145">
        <v>1969</v>
      </c>
      <c r="G9145" t="s">
        <v>14771</v>
      </c>
      <c r="H9145" t="s">
        <v>29573</v>
      </c>
      <c r="J9145" t="s">
        <v>29571</v>
      </c>
      <c r="K9145" s="2" t="str">
        <f>HYPERLINK("http://collections.slsa.sa.gov.au/mpcimg/19500/B19462.htm")</f>
        <v>http://collections.slsa.sa.gov.au/mpcimg/19500/B19462.htm</v>
      </c>
    </row>
    <row r="9146" spans="1:11" x14ac:dyDescent="0.25">
      <c r="A9146" t="s">
        <v>29574</v>
      </c>
      <c r="B9146" s="1" t="str">
        <f>HYPERLINK("https://www.catalog.slsa.sa.gov.au/record=b2060041")</f>
        <v>https://www.catalog.slsa.sa.gov.au/record=b2060041</v>
      </c>
      <c r="C9146" s="1" t="str">
        <f>HYPERLINK("https://www.catalog.slsa.sa.gov.au/xrecord=b2060041")</f>
        <v>https://www.catalog.slsa.sa.gov.au/xrecord=b2060041</v>
      </c>
      <c r="D9146" t="s">
        <v>16831</v>
      </c>
      <c r="E9146" t="s">
        <v>29575</v>
      </c>
      <c r="F9146">
        <v>1969</v>
      </c>
      <c r="G9146" t="s">
        <v>14771</v>
      </c>
      <c r="H9146" t="s">
        <v>29576</v>
      </c>
      <c r="J9146" t="s">
        <v>29571</v>
      </c>
      <c r="K9146" s="2" t="str">
        <f>HYPERLINK("http://collections.slsa.sa.gov.au/mpcimg/19500/B19463.htm")</f>
        <v>http://collections.slsa.sa.gov.au/mpcimg/19500/B19463.htm</v>
      </c>
    </row>
    <row r="9147" spans="1:11" x14ac:dyDescent="0.25">
      <c r="A9147" t="s">
        <v>29577</v>
      </c>
      <c r="B9147" s="1" t="str">
        <f>HYPERLINK("https://www.catalog.slsa.sa.gov.au/record=b2060075")</f>
        <v>https://www.catalog.slsa.sa.gov.au/record=b2060075</v>
      </c>
      <c r="C9147" s="1" t="str">
        <f>HYPERLINK("https://www.catalog.slsa.sa.gov.au/xrecord=b2060075")</f>
        <v>https://www.catalog.slsa.sa.gov.au/xrecord=b2060075</v>
      </c>
      <c r="D9147" t="s">
        <v>16831</v>
      </c>
      <c r="E9147" t="s">
        <v>20933</v>
      </c>
      <c r="F9147">
        <v>1969</v>
      </c>
      <c r="G9147" t="s">
        <v>14771</v>
      </c>
      <c r="H9147" t="s">
        <v>29578</v>
      </c>
      <c r="J9147" t="s">
        <v>25411</v>
      </c>
      <c r="K9147" s="2" t="str">
        <f>HYPERLINK("http://collections.slsa.sa.gov.au/mpcimg/19500/B19498.htm")</f>
        <v>http://collections.slsa.sa.gov.au/mpcimg/19500/B19498.htm</v>
      </c>
    </row>
    <row r="9148" spans="1:11" x14ac:dyDescent="0.25">
      <c r="A9148" t="s">
        <v>29579</v>
      </c>
      <c r="B9148" s="1" t="str">
        <f>HYPERLINK("https://www.catalog.slsa.sa.gov.au/record=b2060125")</f>
        <v>https://www.catalog.slsa.sa.gov.au/record=b2060125</v>
      </c>
      <c r="C9148" s="1" t="str">
        <f>HYPERLINK("https://www.catalog.slsa.sa.gov.au/xrecord=b2060125")</f>
        <v>https://www.catalog.slsa.sa.gov.au/xrecord=b2060125</v>
      </c>
      <c r="D9148" t="s">
        <v>16831</v>
      </c>
      <c r="E9148" t="s">
        <v>5365</v>
      </c>
      <c r="F9148">
        <v>1969</v>
      </c>
      <c r="G9148" t="s">
        <v>14771</v>
      </c>
      <c r="H9148" t="s">
        <v>29580</v>
      </c>
      <c r="J9148" t="s">
        <v>21063</v>
      </c>
      <c r="K9148" s="2" t="str">
        <f>HYPERLINK("http://collections.slsa.sa.gov.au/mpcimg/19500/B19348.htm")</f>
        <v>http://collections.slsa.sa.gov.au/mpcimg/19500/B19348.htm</v>
      </c>
    </row>
    <row r="9149" spans="1:11" x14ac:dyDescent="0.25">
      <c r="A9149" t="s">
        <v>29581</v>
      </c>
      <c r="B9149" s="1" t="str">
        <f>HYPERLINK("https://www.catalog.slsa.sa.gov.au/record=b2060126")</f>
        <v>https://www.catalog.slsa.sa.gov.au/record=b2060126</v>
      </c>
      <c r="C9149" s="1" t="str">
        <f>HYPERLINK("https://www.catalog.slsa.sa.gov.au/xrecord=b2060126")</f>
        <v>https://www.catalog.slsa.sa.gov.au/xrecord=b2060126</v>
      </c>
      <c r="D9149" t="s">
        <v>16831</v>
      </c>
      <c r="E9149" t="s">
        <v>5365</v>
      </c>
      <c r="F9149">
        <v>1969</v>
      </c>
      <c r="G9149" t="s">
        <v>29511</v>
      </c>
      <c r="H9149" t="s">
        <v>29582</v>
      </c>
      <c r="J9149" t="s">
        <v>21063</v>
      </c>
      <c r="K9149" s="2" t="str">
        <f>HYPERLINK("http://collections.slsa.sa.gov.au/mpcimg/19500/B19430.htm")</f>
        <v>http://collections.slsa.sa.gov.au/mpcimg/19500/B19430.htm</v>
      </c>
    </row>
    <row r="9150" spans="1:11" x14ac:dyDescent="0.25">
      <c r="A9150" t="s">
        <v>29583</v>
      </c>
      <c r="B9150" s="1" t="str">
        <f>HYPERLINK("https://www.catalog.slsa.sa.gov.au/record=b2060127")</f>
        <v>https://www.catalog.slsa.sa.gov.au/record=b2060127</v>
      </c>
      <c r="C9150" s="1" t="str">
        <f>HYPERLINK("https://www.catalog.slsa.sa.gov.au/xrecord=b2060127")</f>
        <v>https://www.catalog.slsa.sa.gov.au/xrecord=b2060127</v>
      </c>
      <c r="D9150" t="s">
        <v>16831</v>
      </c>
      <c r="E9150" t="s">
        <v>29584</v>
      </c>
      <c r="F9150">
        <v>1969</v>
      </c>
      <c r="G9150" t="s">
        <v>14771</v>
      </c>
      <c r="H9150" t="s">
        <v>29585</v>
      </c>
      <c r="J9150" t="s">
        <v>21063</v>
      </c>
      <c r="K9150" s="2" t="str">
        <f>HYPERLINK("http://collections.slsa.sa.gov.au/mpcimg/19500/B19431.htm")</f>
        <v>http://collections.slsa.sa.gov.au/mpcimg/19500/B19431.htm</v>
      </c>
    </row>
    <row r="9151" spans="1:11" x14ac:dyDescent="0.25">
      <c r="A9151" t="s">
        <v>29586</v>
      </c>
      <c r="B9151" s="1" t="str">
        <f>HYPERLINK("https://www.catalog.slsa.sa.gov.au/record=b2060501")</f>
        <v>https://www.catalog.slsa.sa.gov.au/record=b2060501</v>
      </c>
      <c r="C9151" s="1" t="str">
        <f>HYPERLINK("https://www.catalog.slsa.sa.gov.au/xrecord=b2060501")</f>
        <v>https://www.catalog.slsa.sa.gov.au/xrecord=b2060501</v>
      </c>
      <c r="D9151" t="s">
        <v>16831</v>
      </c>
      <c r="E9151" t="s">
        <v>21061</v>
      </c>
      <c r="F9151">
        <v>1969</v>
      </c>
      <c r="G9151" t="s">
        <v>14771</v>
      </c>
      <c r="H9151" t="s">
        <v>29587</v>
      </c>
      <c r="J9151" t="s">
        <v>22867</v>
      </c>
      <c r="K9151" s="2" t="str">
        <f>HYPERLINK("http://collections.slsa.sa.gov.au/mpcimg/19500/B19435.htm")</f>
        <v>http://collections.slsa.sa.gov.au/mpcimg/19500/B19435.htm</v>
      </c>
    </row>
    <row r="9152" spans="1:11" x14ac:dyDescent="0.25">
      <c r="A9152" t="s">
        <v>29588</v>
      </c>
      <c r="B9152" s="1" t="str">
        <f>HYPERLINK("https://www.catalog.slsa.sa.gov.au/record=b2060502")</f>
        <v>https://www.catalog.slsa.sa.gov.au/record=b2060502</v>
      </c>
      <c r="C9152" s="1" t="str">
        <f>HYPERLINK("https://www.catalog.slsa.sa.gov.au/xrecord=b2060502")</f>
        <v>https://www.catalog.slsa.sa.gov.au/xrecord=b2060502</v>
      </c>
      <c r="D9152" t="s">
        <v>16831</v>
      </c>
      <c r="E9152" t="s">
        <v>5365</v>
      </c>
      <c r="F9152">
        <v>1969</v>
      </c>
      <c r="G9152" t="s">
        <v>14771</v>
      </c>
      <c r="H9152" t="s">
        <v>29589</v>
      </c>
      <c r="J9152" t="s">
        <v>22867</v>
      </c>
      <c r="K9152" s="2" t="str">
        <f>HYPERLINK("http://collections.slsa.sa.gov.au/mpcimg/19500/B19436.htm")</f>
        <v>http://collections.slsa.sa.gov.au/mpcimg/19500/B19436.htm</v>
      </c>
    </row>
    <row r="9153" spans="1:11" x14ac:dyDescent="0.25">
      <c r="A9153" t="s">
        <v>29590</v>
      </c>
      <c r="B9153" s="1" t="str">
        <f>HYPERLINK("https://www.catalog.slsa.sa.gov.au/record=b2060876")</f>
        <v>https://www.catalog.slsa.sa.gov.au/record=b2060876</v>
      </c>
      <c r="C9153" s="1" t="str">
        <f>HYPERLINK("https://www.catalog.slsa.sa.gov.au/xrecord=b2060876")</f>
        <v>https://www.catalog.slsa.sa.gov.au/xrecord=b2060876</v>
      </c>
      <c r="D9153" t="s">
        <v>16831</v>
      </c>
      <c r="E9153" t="s">
        <v>21014</v>
      </c>
      <c r="F9153">
        <v>1969</v>
      </c>
      <c r="G9153" t="s">
        <v>14771</v>
      </c>
      <c r="H9153" t="s">
        <v>29591</v>
      </c>
      <c r="J9153" t="s">
        <v>21113</v>
      </c>
      <c r="K9153" s="2" t="str">
        <f>HYPERLINK("http://collections.slsa.sa.gov.au/mpcimg/19500/B19439.htm")</f>
        <v>http://collections.slsa.sa.gov.au/mpcimg/19500/B19439.htm</v>
      </c>
    </row>
    <row r="9154" spans="1:11" x14ac:dyDescent="0.25">
      <c r="A9154" t="s">
        <v>29592</v>
      </c>
      <c r="B9154" s="1" t="str">
        <f>HYPERLINK("https://www.catalog.slsa.sa.gov.au/record=b2060888")</f>
        <v>https://www.catalog.slsa.sa.gov.au/record=b2060888</v>
      </c>
      <c r="C9154" s="1" t="str">
        <f>HYPERLINK("https://www.catalog.slsa.sa.gov.au/xrecord=b2060888")</f>
        <v>https://www.catalog.slsa.sa.gov.au/xrecord=b2060888</v>
      </c>
      <c r="D9154" t="s">
        <v>16831</v>
      </c>
      <c r="E9154" t="s">
        <v>21099</v>
      </c>
      <c r="F9154">
        <v>1969</v>
      </c>
      <c r="G9154" t="s">
        <v>14771</v>
      </c>
      <c r="H9154" t="s">
        <v>29593</v>
      </c>
      <c r="J9154" t="s">
        <v>29594</v>
      </c>
      <c r="K9154" s="2" t="str">
        <f>HYPERLINK("http://collections.slsa.sa.gov.au/mpcimg/19000/B18819_1.htm")</f>
        <v>http://collections.slsa.sa.gov.au/mpcimg/19000/B18819_1.htm</v>
      </c>
    </row>
    <row r="9155" spans="1:11" x14ac:dyDescent="0.25">
      <c r="A9155" t="s">
        <v>29595</v>
      </c>
      <c r="B9155" s="1" t="str">
        <f>HYPERLINK("https://www.catalog.slsa.sa.gov.au/record=b2060889")</f>
        <v>https://www.catalog.slsa.sa.gov.au/record=b2060889</v>
      </c>
      <c r="C9155" s="1" t="str">
        <f>HYPERLINK("https://www.catalog.slsa.sa.gov.au/xrecord=b2060889")</f>
        <v>https://www.catalog.slsa.sa.gov.au/xrecord=b2060889</v>
      </c>
      <c r="D9155" t="s">
        <v>16831</v>
      </c>
      <c r="E9155" t="s">
        <v>21099</v>
      </c>
      <c r="F9155">
        <v>1969</v>
      </c>
      <c r="G9155" t="s">
        <v>16674</v>
      </c>
      <c r="H9155" t="s">
        <v>29596</v>
      </c>
      <c r="J9155" t="s">
        <v>29594</v>
      </c>
      <c r="K9155" s="2" t="str">
        <f>HYPERLINK("http://collections.slsa.sa.gov.au/mpcimg/19000/B18819_2.htm")</f>
        <v>http://collections.slsa.sa.gov.au/mpcimg/19000/B18819_2.htm</v>
      </c>
    </row>
    <row r="9156" spans="1:11" x14ac:dyDescent="0.25">
      <c r="A9156" t="s">
        <v>29597</v>
      </c>
      <c r="B9156" s="1" t="str">
        <f>HYPERLINK("https://www.catalog.slsa.sa.gov.au/record=b2060890")</f>
        <v>https://www.catalog.slsa.sa.gov.au/record=b2060890</v>
      </c>
      <c r="C9156" s="1" t="str">
        <f>HYPERLINK("https://www.catalog.slsa.sa.gov.au/xrecord=b2060890")</f>
        <v>https://www.catalog.slsa.sa.gov.au/xrecord=b2060890</v>
      </c>
      <c r="D9156" t="s">
        <v>16831</v>
      </c>
      <c r="E9156" t="s">
        <v>21099</v>
      </c>
      <c r="F9156">
        <v>1969</v>
      </c>
      <c r="G9156" t="s">
        <v>14771</v>
      </c>
      <c r="H9156" t="s">
        <v>29593</v>
      </c>
      <c r="J9156" t="s">
        <v>29594</v>
      </c>
      <c r="K9156" s="2" t="str">
        <f>HYPERLINK("http://collections.slsa.sa.gov.au/mpcimg/19000/B18819_3.htm")</f>
        <v>http://collections.slsa.sa.gov.au/mpcimg/19000/B18819_3.htm</v>
      </c>
    </row>
    <row r="9157" spans="1:11" x14ac:dyDescent="0.25">
      <c r="A9157" t="s">
        <v>29598</v>
      </c>
      <c r="B9157" s="1" t="str">
        <f>HYPERLINK("https://www.catalog.slsa.sa.gov.au/record=b2060891")</f>
        <v>https://www.catalog.slsa.sa.gov.au/record=b2060891</v>
      </c>
      <c r="C9157" s="1" t="str">
        <f>HYPERLINK("https://www.catalog.slsa.sa.gov.au/xrecord=b2060891")</f>
        <v>https://www.catalog.slsa.sa.gov.au/xrecord=b2060891</v>
      </c>
      <c r="D9157" t="s">
        <v>16831</v>
      </c>
      <c r="E9157" t="s">
        <v>21099</v>
      </c>
      <c r="F9157">
        <v>1969</v>
      </c>
      <c r="G9157" t="s">
        <v>14771</v>
      </c>
      <c r="H9157" t="s">
        <v>29596</v>
      </c>
      <c r="J9157" t="s">
        <v>29594</v>
      </c>
      <c r="K9157" s="2" t="str">
        <f>HYPERLINK("http://collections.slsa.sa.gov.au/mpcimg/19000/B18819_4.htm")</f>
        <v>http://collections.slsa.sa.gov.au/mpcimg/19000/B18819_4.htm</v>
      </c>
    </row>
    <row r="9158" spans="1:11" x14ac:dyDescent="0.25">
      <c r="A9158" t="s">
        <v>29599</v>
      </c>
      <c r="B9158" s="1" t="str">
        <f>HYPERLINK("https://www.catalog.slsa.sa.gov.au/record=b2060892")</f>
        <v>https://www.catalog.slsa.sa.gov.au/record=b2060892</v>
      </c>
      <c r="C9158" s="1" t="str">
        <f>HYPERLINK("https://www.catalog.slsa.sa.gov.au/xrecord=b2060892")</f>
        <v>https://www.catalog.slsa.sa.gov.au/xrecord=b2060892</v>
      </c>
      <c r="D9158" t="s">
        <v>16831</v>
      </c>
      <c r="E9158" t="s">
        <v>21099</v>
      </c>
      <c r="F9158">
        <v>1969</v>
      </c>
      <c r="G9158" t="s">
        <v>14771</v>
      </c>
      <c r="H9158" t="s">
        <v>29593</v>
      </c>
      <c r="J9158" t="s">
        <v>29594</v>
      </c>
      <c r="K9158" s="2" t="str">
        <f>HYPERLINK("http://collections.slsa.sa.gov.au/mpcimg/19000/B18819_5.htm")</f>
        <v>http://collections.slsa.sa.gov.au/mpcimg/19000/B18819_5.htm</v>
      </c>
    </row>
    <row r="9159" spans="1:11" x14ac:dyDescent="0.25">
      <c r="A9159" t="s">
        <v>29600</v>
      </c>
      <c r="B9159" s="1" t="str">
        <f>HYPERLINK("https://www.catalog.slsa.sa.gov.au/record=b2060893")</f>
        <v>https://www.catalog.slsa.sa.gov.au/record=b2060893</v>
      </c>
      <c r="C9159" s="1" t="str">
        <f>HYPERLINK("https://www.catalog.slsa.sa.gov.au/xrecord=b2060893")</f>
        <v>https://www.catalog.slsa.sa.gov.au/xrecord=b2060893</v>
      </c>
      <c r="D9159" t="s">
        <v>16831</v>
      </c>
      <c r="E9159" t="s">
        <v>21099</v>
      </c>
      <c r="F9159">
        <v>1969</v>
      </c>
      <c r="G9159" t="s">
        <v>14771</v>
      </c>
      <c r="H9159" t="s">
        <v>29593</v>
      </c>
      <c r="J9159" t="s">
        <v>29594</v>
      </c>
      <c r="K9159" s="2" t="str">
        <f>HYPERLINK("http://collections.slsa.sa.gov.au/mpcimg/19000/B18819_6.htm")</f>
        <v>http://collections.slsa.sa.gov.au/mpcimg/19000/B18819_6.htm</v>
      </c>
    </row>
    <row r="9160" spans="1:11" x14ac:dyDescent="0.25">
      <c r="A9160" t="s">
        <v>29601</v>
      </c>
      <c r="B9160" s="1" t="str">
        <f>HYPERLINK("https://www.catalog.slsa.sa.gov.au/record=b2061030")</f>
        <v>https://www.catalog.slsa.sa.gov.au/record=b2061030</v>
      </c>
      <c r="C9160" s="1" t="str">
        <f>HYPERLINK("https://www.catalog.slsa.sa.gov.au/xrecord=b2061030")</f>
        <v>https://www.catalog.slsa.sa.gov.au/xrecord=b2061030</v>
      </c>
      <c r="D9160" t="s">
        <v>16831</v>
      </c>
      <c r="E9160" t="s">
        <v>22149</v>
      </c>
      <c r="F9160">
        <v>1969</v>
      </c>
      <c r="G9160" t="s">
        <v>14771</v>
      </c>
      <c r="H9160" t="s">
        <v>29602</v>
      </c>
      <c r="J9160" t="s">
        <v>24356</v>
      </c>
      <c r="K9160" s="2" t="str">
        <f>HYPERLINK("http://collections.slsa.sa.gov.au/mpcimg/18750/B18626.htm")</f>
        <v>http://collections.slsa.sa.gov.au/mpcimg/18750/B18626.htm</v>
      </c>
    </row>
    <row r="9161" spans="1:11" x14ac:dyDescent="0.25">
      <c r="A9161" t="s">
        <v>29603</v>
      </c>
      <c r="B9161" s="1" t="str">
        <f>HYPERLINK("https://www.catalog.slsa.sa.gov.au/record=b2061041")</f>
        <v>https://www.catalog.slsa.sa.gov.au/record=b2061041</v>
      </c>
      <c r="C9161" s="1" t="str">
        <f>HYPERLINK("https://www.catalog.slsa.sa.gov.au/xrecord=b2061041")</f>
        <v>https://www.catalog.slsa.sa.gov.au/xrecord=b2061041</v>
      </c>
      <c r="D9161" t="s">
        <v>16831</v>
      </c>
      <c r="E9161" t="s">
        <v>29604</v>
      </c>
      <c r="F9161">
        <v>1969</v>
      </c>
      <c r="G9161" t="s">
        <v>14771</v>
      </c>
      <c r="H9161" t="s">
        <v>29605</v>
      </c>
      <c r="J9161" t="s">
        <v>21120</v>
      </c>
      <c r="K9161" s="2" t="str">
        <f>HYPERLINK("http://collections.slsa.sa.gov.au/mpcimg/19500/B19440.htm")</f>
        <v>http://collections.slsa.sa.gov.au/mpcimg/19500/B19440.htm</v>
      </c>
    </row>
    <row r="9162" spans="1:11" x14ac:dyDescent="0.25">
      <c r="A9162" t="s">
        <v>29606</v>
      </c>
      <c r="B9162" s="1" t="str">
        <f>HYPERLINK("https://www.catalog.slsa.sa.gov.au/record=b2061053")</f>
        <v>https://www.catalog.slsa.sa.gov.au/record=b2061053</v>
      </c>
      <c r="C9162" s="1" t="str">
        <f>HYPERLINK("https://www.catalog.slsa.sa.gov.au/xrecord=b2061053")</f>
        <v>https://www.catalog.slsa.sa.gov.au/xrecord=b2061053</v>
      </c>
      <c r="D9162" t="s">
        <v>16831</v>
      </c>
      <c r="E9162" t="s">
        <v>21118</v>
      </c>
      <c r="F9162">
        <v>1969</v>
      </c>
      <c r="G9162" t="s">
        <v>14771</v>
      </c>
      <c r="H9162" t="s">
        <v>29607</v>
      </c>
      <c r="J9162" t="s">
        <v>24364</v>
      </c>
      <c r="K9162" s="2" t="str">
        <f>HYPERLINK("http://collections.slsa.sa.gov.au/mpcimg/18750/B18624.htm")</f>
        <v>http://collections.slsa.sa.gov.au/mpcimg/18750/B18624.htm</v>
      </c>
    </row>
    <row r="9163" spans="1:11" x14ac:dyDescent="0.25">
      <c r="A9163" t="s">
        <v>29608</v>
      </c>
      <c r="B9163" s="1" t="str">
        <f>HYPERLINK("https://www.catalog.slsa.sa.gov.au/record=b2061420")</f>
        <v>https://www.catalog.slsa.sa.gov.au/record=b2061420</v>
      </c>
      <c r="C9163" s="1" t="str">
        <f>HYPERLINK("https://www.catalog.slsa.sa.gov.au/xrecord=b2061420")</f>
        <v>https://www.catalog.slsa.sa.gov.au/xrecord=b2061420</v>
      </c>
      <c r="D9163" t="s">
        <v>16831</v>
      </c>
      <c r="E9163" t="s">
        <v>29609</v>
      </c>
      <c r="F9163">
        <v>1969</v>
      </c>
      <c r="G9163" t="s">
        <v>14771</v>
      </c>
      <c r="H9163" t="s">
        <v>29610</v>
      </c>
      <c r="J9163" t="s">
        <v>29611</v>
      </c>
      <c r="K9163" s="2" t="str">
        <f>HYPERLINK("http://collections.slsa.sa.gov.au/mpcimg/19750/B19605.htm")</f>
        <v>http://collections.slsa.sa.gov.au/mpcimg/19750/B19605.htm</v>
      </c>
    </row>
    <row r="9164" spans="1:11" x14ac:dyDescent="0.25">
      <c r="A9164" t="s">
        <v>29612</v>
      </c>
      <c r="B9164" s="1" t="str">
        <f>HYPERLINK("https://www.catalog.slsa.sa.gov.au/record=b2061541")</f>
        <v>https://www.catalog.slsa.sa.gov.au/record=b2061541</v>
      </c>
      <c r="C9164" s="1" t="str">
        <f>HYPERLINK("https://www.catalog.slsa.sa.gov.au/xrecord=b2061541")</f>
        <v>https://www.catalog.slsa.sa.gov.au/xrecord=b2061541</v>
      </c>
      <c r="D9164" t="s">
        <v>16831</v>
      </c>
      <c r="E9164" t="s">
        <v>21014</v>
      </c>
      <c r="F9164">
        <v>1969</v>
      </c>
      <c r="G9164" t="s">
        <v>14771</v>
      </c>
      <c r="H9164" t="s">
        <v>29613</v>
      </c>
      <c r="J9164" t="s">
        <v>24420</v>
      </c>
      <c r="K9164" s="2" t="str">
        <f>HYPERLINK("http://collections.slsa.sa.gov.au/mpcimg/19500/B19354.htm")</f>
        <v>http://collections.slsa.sa.gov.au/mpcimg/19500/B19354.htm</v>
      </c>
    </row>
    <row r="9165" spans="1:11" x14ac:dyDescent="0.25">
      <c r="A9165" t="s">
        <v>29614</v>
      </c>
      <c r="B9165" s="1" t="str">
        <f>HYPERLINK("https://www.catalog.slsa.sa.gov.au/record=b2061813")</f>
        <v>https://www.catalog.slsa.sa.gov.au/record=b2061813</v>
      </c>
      <c r="C9165" s="1" t="str">
        <f>HYPERLINK("https://www.catalog.slsa.sa.gov.au/xrecord=b2061813")</f>
        <v>https://www.catalog.slsa.sa.gov.au/xrecord=b2061813</v>
      </c>
      <c r="D9165" t="s">
        <v>16831</v>
      </c>
      <c r="E9165" t="s">
        <v>16771</v>
      </c>
      <c r="F9165">
        <v>1969</v>
      </c>
      <c r="G9165" t="s">
        <v>14771</v>
      </c>
      <c r="H9165" t="s">
        <v>29615</v>
      </c>
      <c r="J9165" t="s">
        <v>21203</v>
      </c>
      <c r="K9165" s="2" t="str">
        <f>HYPERLINK("http://collections.slsa.sa.gov.au/mpcimg/18750/B18748.htm")</f>
        <v>http://collections.slsa.sa.gov.au/mpcimg/18750/B18748.htm</v>
      </c>
    </row>
    <row r="9166" spans="1:11" x14ac:dyDescent="0.25">
      <c r="A9166" t="s">
        <v>29616</v>
      </c>
      <c r="B9166" s="1" t="str">
        <f>HYPERLINK("https://www.catalog.slsa.sa.gov.au/record=b2061909")</f>
        <v>https://www.catalog.slsa.sa.gov.au/record=b2061909</v>
      </c>
      <c r="C9166" s="1" t="str">
        <f>HYPERLINK("https://www.catalog.slsa.sa.gov.au/xrecord=b2061909")</f>
        <v>https://www.catalog.slsa.sa.gov.au/xrecord=b2061909</v>
      </c>
      <c r="D9166" t="s">
        <v>16831</v>
      </c>
      <c r="E9166" t="s">
        <v>29617</v>
      </c>
      <c r="F9166">
        <v>1969</v>
      </c>
      <c r="G9166" t="s">
        <v>16674</v>
      </c>
      <c r="H9166" t="s">
        <v>29618</v>
      </c>
      <c r="J9166" t="s">
        <v>28459</v>
      </c>
      <c r="K9166" s="2" t="str">
        <f>HYPERLINK("http://collections.slsa.sa.gov.au/mpcimg/19750/B19606.htm")</f>
        <v>http://collections.slsa.sa.gov.au/mpcimg/19750/B19606.htm</v>
      </c>
    </row>
    <row r="9167" spans="1:11" x14ac:dyDescent="0.25">
      <c r="A9167" t="s">
        <v>29619</v>
      </c>
      <c r="B9167" s="1" t="str">
        <f>HYPERLINK("https://www.catalog.slsa.sa.gov.au/record=b2061922")</f>
        <v>https://www.catalog.slsa.sa.gov.au/record=b2061922</v>
      </c>
      <c r="C9167" s="1" t="str">
        <f>HYPERLINK("https://www.catalog.slsa.sa.gov.au/xrecord=b2061922")</f>
        <v>https://www.catalog.slsa.sa.gov.au/xrecord=b2061922</v>
      </c>
      <c r="D9167" t="s">
        <v>16831</v>
      </c>
      <c r="E9167" t="s">
        <v>24499</v>
      </c>
      <c r="F9167">
        <v>1969</v>
      </c>
      <c r="G9167" t="s">
        <v>14771</v>
      </c>
      <c r="H9167" t="s">
        <v>29620</v>
      </c>
      <c r="J9167" t="s">
        <v>25532</v>
      </c>
      <c r="K9167" s="2" t="str">
        <f>HYPERLINK("http://collections.slsa.sa.gov.au/mpcimg/19500/B19353.htm")</f>
        <v>http://collections.slsa.sa.gov.au/mpcimg/19500/B19353.htm</v>
      </c>
    </row>
    <row r="9168" spans="1:11" x14ac:dyDescent="0.25">
      <c r="A9168" t="s">
        <v>29621</v>
      </c>
      <c r="B9168" s="1" t="str">
        <f>HYPERLINK("https://www.catalog.slsa.sa.gov.au/record=b2061944")</f>
        <v>https://www.catalog.slsa.sa.gov.au/record=b2061944</v>
      </c>
      <c r="C9168" s="1" t="str">
        <f>HYPERLINK("https://www.catalog.slsa.sa.gov.au/xrecord=b2061944")</f>
        <v>https://www.catalog.slsa.sa.gov.au/xrecord=b2061944</v>
      </c>
      <c r="D9168" t="s">
        <v>16831</v>
      </c>
      <c r="E9168" t="s">
        <v>29622</v>
      </c>
      <c r="F9168">
        <v>1969</v>
      </c>
      <c r="G9168" t="s">
        <v>16674</v>
      </c>
      <c r="H9168" t="s">
        <v>29623</v>
      </c>
      <c r="J9168" t="s">
        <v>28661</v>
      </c>
      <c r="K9168" s="2" t="str">
        <f>HYPERLINK("http://collections.slsa.sa.gov.au/mpcimg/18750/B18750.htm")</f>
        <v>http://collections.slsa.sa.gov.au/mpcimg/18750/B18750.htm</v>
      </c>
    </row>
    <row r="9169" spans="1:11" x14ac:dyDescent="0.25">
      <c r="A9169" t="s">
        <v>29624</v>
      </c>
      <c r="B9169" s="1" t="str">
        <f>HYPERLINK("https://www.catalog.slsa.sa.gov.au/record=b2061990")</f>
        <v>https://www.catalog.slsa.sa.gov.au/record=b2061990</v>
      </c>
      <c r="C9169" s="1" t="str">
        <f>HYPERLINK("https://www.catalog.slsa.sa.gov.au/xrecord=b2061990")</f>
        <v>https://www.catalog.slsa.sa.gov.au/xrecord=b2061990</v>
      </c>
      <c r="D9169" t="s">
        <v>16831</v>
      </c>
      <c r="E9169" t="s">
        <v>21232</v>
      </c>
      <c r="F9169">
        <v>1969</v>
      </c>
      <c r="G9169" t="s">
        <v>14771</v>
      </c>
      <c r="H9169" t="s">
        <v>29625</v>
      </c>
      <c r="J9169" t="s">
        <v>24504</v>
      </c>
      <c r="K9169" s="2" t="str">
        <f>HYPERLINK("http://collections.slsa.sa.gov.au/mpcimg/18750/B18627.htm")</f>
        <v>http://collections.slsa.sa.gov.au/mpcimg/18750/B18627.htm</v>
      </c>
    </row>
    <row r="9170" spans="1:11" x14ac:dyDescent="0.25">
      <c r="A9170" t="s">
        <v>29626</v>
      </c>
      <c r="B9170" s="1" t="str">
        <f>HYPERLINK("https://www.catalog.slsa.sa.gov.au/record=b2062016")</f>
        <v>https://www.catalog.slsa.sa.gov.au/record=b2062016</v>
      </c>
      <c r="C9170" s="1" t="str">
        <f>HYPERLINK("https://www.catalog.slsa.sa.gov.au/xrecord=b2062016")</f>
        <v>https://www.catalog.slsa.sa.gov.au/xrecord=b2062016</v>
      </c>
      <c r="D9170" t="s">
        <v>16831</v>
      </c>
      <c r="E9170" t="s">
        <v>21212</v>
      </c>
      <c r="F9170">
        <v>1969</v>
      </c>
      <c r="G9170" t="s">
        <v>14771</v>
      </c>
      <c r="H9170" t="s">
        <v>29627</v>
      </c>
      <c r="J9170" t="s">
        <v>26401</v>
      </c>
      <c r="K9170" s="2" t="str">
        <f>HYPERLINK("http://collections.slsa.sa.gov.au/mpcimg/18750/B18618.htm")</f>
        <v>http://collections.slsa.sa.gov.au/mpcimg/18750/B18618.htm</v>
      </c>
    </row>
    <row r="9171" spans="1:11" x14ac:dyDescent="0.25">
      <c r="A9171" t="s">
        <v>29628</v>
      </c>
      <c r="B9171" s="1" t="str">
        <f>HYPERLINK("https://www.catalog.slsa.sa.gov.au/record=b2062063")</f>
        <v>https://www.catalog.slsa.sa.gov.au/record=b2062063</v>
      </c>
      <c r="C9171" s="1" t="str">
        <f>HYPERLINK("https://www.catalog.slsa.sa.gov.au/xrecord=b2062063")</f>
        <v>https://www.catalog.slsa.sa.gov.au/xrecord=b2062063</v>
      </c>
      <c r="D9171" t="s">
        <v>16831</v>
      </c>
      <c r="E9171" t="s">
        <v>22905</v>
      </c>
      <c r="F9171">
        <v>1969</v>
      </c>
      <c r="G9171" t="s">
        <v>14771</v>
      </c>
      <c r="H9171" t="s">
        <v>29629</v>
      </c>
      <c r="J9171" t="s">
        <v>27172</v>
      </c>
      <c r="K9171" s="2" t="str">
        <f>HYPERLINK("http://collections.slsa.sa.gov.au/mpcimg/18750/B18616_1.htm")</f>
        <v>http://collections.slsa.sa.gov.au/mpcimg/18750/B18616_1.htm</v>
      </c>
    </row>
    <row r="9172" spans="1:11" x14ac:dyDescent="0.25">
      <c r="A9172" t="s">
        <v>29630</v>
      </c>
      <c r="B9172" s="1" t="str">
        <f>HYPERLINK("https://www.catalog.slsa.sa.gov.au/record=b2062064")</f>
        <v>https://www.catalog.slsa.sa.gov.au/record=b2062064</v>
      </c>
      <c r="C9172" s="1" t="str">
        <f>HYPERLINK("https://www.catalog.slsa.sa.gov.au/xrecord=b2062064")</f>
        <v>https://www.catalog.slsa.sa.gov.au/xrecord=b2062064</v>
      </c>
      <c r="D9172" t="s">
        <v>16831</v>
      </c>
      <c r="E9172" t="s">
        <v>22905</v>
      </c>
      <c r="F9172">
        <v>1969</v>
      </c>
      <c r="G9172" t="s">
        <v>14771</v>
      </c>
      <c r="H9172" t="s">
        <v>29631</v>
      </c>
      <c r="J9172" t="s">
        <v>27172</v>
      </c>
      <c r="K9172" s="2" t="str">
        <f>HYPERLINK("http://collections.slsa.sa.gov.au/mpcimg/18750/B18616_2.htm")</f>
        <v>http://collections.slsa.sa.gov.au/mpcimg/18750/B18616_2.htm</v>
      </c>
    </row>
    <row r="9173" spans="1:11" x14ac:dyDescent="0.25">
      <c r="A9173" t="s">
        <v>29632</v>
      </c>
      <c r="B9173" s="1" t="str">
        <f>HYPERLINK("https://www.catalog.slsa.sa.gov.au/record=b2062065")</f>
        <v>https://www.catalog.slsa.sa.gov.au/record=b2062065</v>
      </c>
      <c r="C9173" s="1" t="str">
        <f>HYPERLINK("https://www.catalog.slsa.sa.gov.au/xrecord=b2062065")</f>
        <v>https://www.catalog.slsa.sa.gov.au/xrecord=b2062065</v>
      </c>
      <c r="D9173" t="s">
        <v>16831</v>
      </c>
      <c r="E9173" t="s">
        <v>22905</v>
      </c>
      <c r="F9173">
        <v>1969</v>
      </c>
      <c r="G9173" t="s">
        <v>14771</v>
      </c>
      <c r="H9173" t="s">
        <v>29631</v>
      </c>
      <c r="J9173" t="s">
        <v>27172</v>
      </c>
      <c r="K9173" s="2" t="str">
        <f>HYPERLINK("http://collections.slsa.sa.gov.au/mpcimg/18750/B18616_3.htm")</f>
        <v>http://collections.slsa.sa.gov.au/mpcimg/18750/B18616_3.htm</v>
      </c>
    </row>
    <row r="9174" spans="1:11" x14ac:dyDescent="0.25">
      <c r="A9174" t="s">
        <v>29633</v>
      </c>
      <c r="B9174" s="1" t="str">
        <f>HYPERLINK("https://www.catalog.slsa.sa.gov.au/record=b2062066")</f>
        <v>https://www.catalog.slsa.sa.gov.au/record=b2062066</v>
      </c>
      <c r="C9174" s="1" t="str">
        <f>HYPERLINK("https://www.catalog.slsa.sa.gov.au/xrecord=b2062066")</f>
        <v>https://www.catalog.slsa.sa.gov.au/xrecord=b2062066</v>
      </c>
      <c r="D9174" t="s">
        <v>16831</v>
      </c>
      <c r="E9174" t="s">
        <v>22905</v>
      </c>
      <c r="F9174">
        <v>1969</v>
      </c>
      <c r="G9174" t="s">
        <v>14771</v>
      </c>
      <c r="H9174" t="s">
        <v>29631</v>
      </c>
      <c r="J9174" t="s">
        <v>27172</v>
      </c>
      <c r="K9174" s="2" t="str">
        <f>HYPERLINK("http://collections.slsa.sa.gov.au/mpcimg/18750/B18616_4.htm")</f>
        <v>http://collections.slsa.sa.gov.au/mpcimg/18750/B18616_4.htm</v>
      </c>
    </row>
    <row r="9175" spans="1:11" x14ac:dyDescent="0.25">
      <c r="A9175" t="s">
        <v>29634</v>
      </c>
      <c r="B9175" s="1" t="str">
        <f>HYPERLINK("https://www.catalog.slsa.sa.gov.au/record=b2062067")</f>
        <v>https://www.catalog.slsa.sa.gov.au/record=b2062067</v>
      </c>
      <c r="C9175" s="1" t="str">
        <f>HYPERLINK("https://www.catalog.slsa.sa.gov.au/xrecord=b2062067")</f>
        <v>https://www.catalog.slsa.sa.gov.au/xrecord=b2062067</v>
      </c>
      <c r="D9175" t="s">
        <v>16831</v>
      </c>
      <c r="E9175" t="s">
        <v>22905</v>
      </c>
      <c r="F9175">
        <v>1969</v>
      </c>
      <c r="G9175" t="s">
        <v>14771</v>
      </c>
      <c r="H9175" t="s">
        <v>29635</v>
      </c>
      <c r="J9175" t="s">
        <v>27172</v>
      </c>
      <c r="K9175" s="2" t="str">
        <f>HYPERLINK("http://collections.slsa.sa.gov.au/mpcimg/18750/B18749.htm")</f>
        <v>http://collections.slsa.sa.gov.au/mpcimg/18750/B18749.htm</v>
      </c>
    </row>
    <row r="9176" spans="1:11" x14ac:dyDescent="0.25">
      <c r="A9176" t="s">
        <v>29636</v>
      </c>
      <c r="B9176" s="1" t="str">
        <f>HYPERLINK("https://www.catalog.slsa.sa.gov.au/record=b2062169")</f>
        <v>https://www.catalog.slsa.sa.gov.au/record=b2062169</v>
      </c>
      <c r="C9176" s="1" t="str">
        <f>HYPERLINK("https://www.catalog.slsa.sa.gov.au/xrecord=b2062169")</f>
        <v>https://www.catalog.slsa.sa.gov.au/xrecord=b2062169</v>
      </c>
      <c r="D9176" t="s">
        <v>16831</v>
      </c>
      <c r="E9176" t="s">
        <v>24485</v>
      </c>
      <c r="F9176">
        <v>1969</v>
      </c>
      <c r="G9176" t="s">
        <v>14771</v>
      </c>
      <c r="H9176" t="s">
        <v>29637</v>
      </c>
      <c r="J9176" t="s">
        <v>22920</v>
      </c>
      <c r="K9176" s="2" t="str">
        <f>HYPERLINK("http://collections.slsa.sa.gov.au/mpcimg/19500/B19490.htm")</f>
        <v>http://collections.slsa.sa.gov.au/mpcimg/19500/B19490.htm</v>
      </c>
    </row>
    <row r="9177" spans="1:11" x14ac:dyDescent="0.25">
      <c r="A9177" t="s">
        <v>29638</v>
      </c>
      <c r="B9177" s="1" t="str">
        <f>HYPERLINK("https://www.catalog.slsa.sa.gov.au/record=b2062525")</f>
        <v>https://www.catalog.slsa.sa.gov.au/record=b2062525</v>
      </c>
      <c r="C9177" s="1" t="str">
        <f>HYPERLINK("https://www.catalog.slsa.sa.gov.au/xrecord=b2062525")</f>
        <v>https://www.catalog.slsa.sa.gov.au/xrecord=b2062525</v>
      </c>
      <c r="D9177" t="s">
        <v>16831</v>
      </c>
      <c r="E9177" t="s">
        <v>21232</v>
      </c>
      <c r="F9177">
        <v>1969</v>
      </c>
      <c r="G9177" t="s">
        <v>16674</v>
      </c>
      <c r="H9177" t="s">
        <v>29639</v>
      </c>
      <c r="J9177" t="s">
        <v>21234</v>
      </c>
      <c r="K9177" s="2" t="str">
        <f>HYPERLINK("http://collections.slsa.sa.gov.au/mpcimg/19500/B19488.htm")</f>
        <v>http://collections.slsa.sa.gov.au/mpcimg/19500/B19488.htm</v>
      </c>
    </row>
    <row r="9178" spans="1:11" x14ac:dyDescent="0.25">
      <c r="A9178" t="s">
        <v>29640</v>
      </c>
      <c r="B9178" s="1" t="str">
        <f>HYPERLINK("https://www.catalog.slsa.sa.gov.au/record=b2062667")</f>
        <v>https://www.catalog.slsa.sa.gov.au/record=b2062667</v>
      </c>
      <c r="C9178" s="1" t="str">
        <f>HYPERLINK("https://www.catalog.slsa.sa.gov.au/xrecord=b2062667")</f>
        <v>https://www.catalog.slsa.sa.gov.au/xrecord=b2062667</v>
      </c>
      <c r="D9178" t="s">
        <v>16831</v>
      </c>
      <c r="E9178" t="s">
        <v>22149</v>
      </c>
      <c r="F9178">
        <v>1969</v>
      </c>
      <c r="G9178" t="s">
        <v>14771</v>
      </c>
      <c r="H9178" t="s">
        <v>29641</v>
      </c>
      <c r="J9178" t="s">
        <v>26872</v>
      </c>
      <c r="K9178" s="2" t="str">
        <f>HYPERLINK("http://collections.slsa.sa.gov.au/mpcimg/19750/B19603.htm")</f>
        <v>http://collections.slsa.sa.gov.au/mpcimg/19750/B19603.htm</v>
      </c>
    </row>
    <row r="9179" spans="1:11" x14ac:dyDescent="0.25">
      <c r="A9179" t="s">
        <v>29642</v>
      </c>
      <c r="B9179" s="1" t="str">
        <f>HYPERLINK("https://www.catalog.slsa.sa.gov.au/record=b2062693")</f>
        <v>https://www.catalog.slsa.sa.gov.au/record=b2062693</v>
      </c>
      <c r="C9179" s="1" t="str">
        <f>HYPERLINK("https://www.catalog.slsa.sa.gov.au/xrecord=b2062693")</f>
        <v>https://www.catalog.slsa.sa.gov.au/xrecord=b2062693</v>
      </c>
      <c r="D9179" t="s">
        <v>16831</v>
      </c>
      <c r="E9179" t="s">
        <v>21250</v>
      </c>
      <c r="F9179">
        <v>1969</v>
      </c>
      <c r="G9179" t="s">
        <v>14771</v>
      </c>
      <c r="H9179" t="s">
        <v>29643</v>
      </c>
      <c r="J9179" t="s">
        <v>25574</v>
      </c>
      <c r="K9179" s="2" t="str">
        <f>HYPERLINK("http://collections.slsa.sa.gov.au/mpcimg/19750/B19604.htm")</f>
        <v>http://collections.slsa.sa.gov.au/mpcimg/19750/B19604.htm</v>
      </c>
    </row>
    <row r="9180" spans="1:11" x14ac:dyDescent="0.25">
      <c r="A9180" t="s">
        <v>29644</v>
      </c>
      <c r="B9180" s="1" t="str">
        <f>HYPERLINK("https://www.catalog.slsa.sa.gov.au/record=b2062906")</f>
        <v>https://www.catalog.slsa.sa.gov.au/record=b2062906</v>
      </c>
      <c r="C9180" s="1" t="str">
        <f>HYPERLINK("https://www.catalog.slsa.sa.gov.au/xrecord=b2062906")</f>
        <v>https://www.catalog.slsa.sa.gov.au/xrecord=b2062906</v>
      </c>
      <c r="D9180" t="s">
        <v>16831</v>
      </c>
      <c r="E9180" t="s">
        <v>29645</v>
      </c>
      <c r="F9180">
        <v>1969</v>
      </c>
      <c r="G9180" t="s">
        <v>14771</v>
      </c>
      <c r="H9180" t="s">
        <v>29646</v>
      </c>
      <c r="J9180" t="s">
        <v>26889</v>
      </c>
      <c r="K9180" s="2" t="str">
        <f>HYPERLINK("http://collections.slsa.sa.gov.au/mpcimg/19000/B18825.htm")</f>
        <v>http://collections.slsa.sa.gov.au/mpcimg/19000/B18825.htm</v>
      </c>
    </row>
    <row r="9181" spans="1:11" x14ac:dyDescent="0.25">
      <c r="A9181" t="s">
        <v>29647</v>
      </c>
      <c r="B9181" s="1" t="str">
        <f>HYPERLINK("https://www.catalog.slsa.sa.gov.au/record=b2062924")</f>
        <v>https://www.catalog.slsa.sa.gov.au/record=b2062924</v>
      </c>
      <c r="C9181" s="1" t="str">
        <f>HYPERLINK("https://www.catalog.slsa.sa.gov.au/xrecord=b2062924")</f>
        <v>https://www.catalog.slsa.sa.gov.au/xrecord=b2062924</v>
      </c>
      <c r="D9181" t="s">
        <v>16831</v>
      </c>
      <c r="E9181" t="s">
        <v>28283</v>
      </c>
      <c r="F9181">
        <v>1969</v>
      </c>
      <c r="G9181" t="s">
        <v>16674</v>
      </c>
      <c r="H9181" t="s">
        <v>29648</v>
      </c>
      <c r="J9181" t="s">
        <v>27805</v>
      </c>
      <c r="K9181" s="2" t="str">
        <f>HYPERLINK("http://collections.slsa.sa.gov.au/mpcimg/19000/B18826.htm")</f>
        <v>http://collections.slsa.sa.gov.au/mpcimg/19000/B18826.htm</v>
      </c>
    </row>
    <row r="9182" spans="1:11" x14ac:dyDescent="0.25">
      <c r="A9182" t="s">
        <v>29649</v>
      </c>
      <c r="B9182" s="1" t="str">
        <f>HYPERLINK("https://www.catalog.slsa.sa.gov.au/record=b2063048")</f>
        <v>https://www.catalog.slsa.sa.gov.au/record=b2063048</v>
      </c>
      <c r="C9182" s="1" t="str">
        <f>HYPERLINK("https://www.catalog.slsa.sa.gov.au/xrecord=b2063048")</f>
        <v>https://www.catalog.slsa.sa.gov.au/xrecord=b2063048</v>
      </c>
      <c r="D9182" t="s">
        <v>16831</v>
      </c>
      <c r="E9182" t="s">
        <v>28691</v>
      </c>
      <c r="F9182">
        <v>1969</v>
      </c>
      <c r="G9182" t="s">
        <v>29098</v>
      </c>
      <c r="H9182" t="s">
        <v>29650</v>
      </c>
      <c r="J9182" t="s">
        <v>28325</v>
      </c>
      <c r="K9182" s="2" t="str">
        <f>HYPERLINK("http://collections.slsa.sa.gov.au/mpcimg/18750/B18660.htm")</f>
        <v>http://collections.slsa.sa.gov.au/mpcimg/18750/B18660.htm</v>
      </c>
    </row>
    <row r="9183" spans="1:11" x14ac:dyDescent="0.25">
      <c r="A9183" t="s">
        <v>29651</v>
      </c>
      <c r="B9183" s="1" t="str">
        <f>HYPERLINK("https://www.catalog.slsa.sa.gov.au/record=b2063084")</f>
        <v>https://www.catalog.slsa.sa.gov.au/record=b2063084</v>
      </c>
      <c r="C9183" s="1" t="str">
        <f>HYPERLINK("https://www.catalog.slsa.sa.gov.au/xrecord=b2063084")</f>
        <v>https://www.catalog.slsa.sa.gov.au/xrecord=b2063084</v>
      </c>
      <c r="D9183" t="s">
        <v>16831</v>
      </c>
      <c r="E9183" t="s">
        <v>29652</v>
      </c>
      <c r="F9183">
        <v>1969</v>
      </c>
      <c r="G9183" t="s">
        <v>14771</v>
      </c>
      <c r="H9183" t="s">
        <v>29653</v>
      </c>
      <c r="J9183" t="s">
        <v>24661</v>
      </c>
      <c r="K9183" s="2" t="str">
        <f>HYPERLINK("http://collections.slsa.sa.gov.au/mpcimg/19500/B19459.htm")</f>
        <v>http://collections.slsa.sa.gov.au/mpcimg/19500/B19459.htm</v>
      </c>
    </row>
    <row r="9184" spans="1:11" x14ac:dyDescent="0.25">
      <c r="A9184" t="s">
        <v>29654</v>
      </c>
      <c r="B9184" s="1" t="str">
        <f>HYPERLINK("https://www.catalog.slsa.sa.gov.au/record=b2063136")</f>
        <v>https://www.catalog.slsa.sa.gov.au/record=b2063136</v>
      </c>
      <c r="C9184" s="1" t="str">
        <f>HYPERLINK("https://www.catalog.slsa.sa.gov.au/xrecord=b2063136")</f>
        <v>https://www.catalog.slsa.sa.gov.au/xrecord=b2063136</v>
      </c>
      <c r="D9184" t="s">
        <v>16831</v>
      </c>
      <c r="E9184" t="s">
        <v>21304</v>
      </c>
      <c r="F9184">
        <v>1969</v>
      </c>
      <c r="G9184" t="s">
        <v>14771</v>
      </c>
      <c r="H9184" t="s">
        <v>29655</v>
      </c>
      <c r="J9184" t="s">
        <v>29172</v>
      </c>
      <c r="K9184" s="2" t="str">
        <f>HYPERLINK("http://collections.slsa.sa.gov.au/mpcimg/18750/B18746.htm")</f>
        <v>http://collections.slsa.sa.gov.au/mpcimg/18750/B18746.htm</v>
      </c>
    </row>
    <row r="9185" spans="1:11" x14ac:dyDescent="0.25">
      <c r="A9185" t="s">
        <v>29656</v>
      </c>
      <c r="B9185" s="1" t="str">
        <f>HYPERLINK("https://www.catalog.slsa.sa.gov.au/record=b2063147")</f>
        <v>https://www.catalog.slsa.sa.gov.au/record=b2063147</v>
      </c>
      <c r="C9185" s="1" t="str">
        <f>HYPERLINK("https://www.catalog.slsa.sa.gov.au/xrecord=b2063147")</f>
        <v>https://www.catalog.slsa.sa.gov.au/xrecord=b2063147</v>
      </c>
      <c r="D9185" t="s">
        <v>16831</v>
      </c>
      <c r="E9185" t="s">
        <v>29657</v>
      </c>
      <c r="F9185">
        <v>1969</v>
      </c>
      <c r="G9185" t="s">
        <v>14771</v>
      </c>
      <c r="H9185" t="s">
        <v>29658</v>
      </c>
      <c r="J9185" t="s">
        <v>29659</v>
      </c>
      <c r="K9185" s="2" t="str">
        <f>HYPERLINK("http://collections.slsa.sa.gov.au/mpcimg/18750/B18617.htm")</f>
        <v>http://collections.slsa.sa.gov.au/mpcimg/18750/B18617.htm</v>
      </c>
    </row>
    <row r="9186" spans="1:11" x14ac:dyDescent="0.25">
      <c r="A9186" t="s">
        <v>29660</v>
      </c>
      <c r="B9186" s="1" t="str">
        <f>HYPERLINK("https://www.catalog.slsa.sa.gov.au/record=b2063168")</f>
        <v>https://www.catalog.slsa.sa.gov.au/record=b2063168</v>
      </c>
      <c r="C9186" s="1" t="str">
        <f>HYPERLINK("https://www.catalog.slsa.sa.gov.au/xrecord=b2063168")</f>
        <v>https://www.catalog.slsa.sa.gov.au/xrecord=b2063168</v>
      </c>
      <c r="D9186" t="s">
        <v>16831</v>
      </c>
      <c r="E9186" t="s">
        <v>29661</v>
      </c>
      <c r="F9186">
        <v>1969</v>
      </c>
      <c r="G9186" t="s">
        <v>14771</v>
      </c>
      <c r="H9186" t="s">
        <v>29662</v>
      </c>
      <c r="J9186" t="s">
        <v>21326</v>
      </c>
      <c r="K9186" s="2" t="str">
        <f>HYPERLINK("http://collections.slsa.sa.gov.au/mpcimg/18750/B18619.htm")</f>
        <v>http://collections.slsa.sa.gov.au/mpcimg/18750/B18619.htm</v>
      </c>
    </row>
    <row r="9187" spans="1:11" x14ac:dyDescent="0.25">
      <c r="A9187" t="s">
        <v>29663</v>
      </c>
      <c r="B9187" s="1" t="str">
        <f>HYPERLINK("https://www.catalog.slsa.sa.gov.au/record=b2063632")</f>
        <v>https://www.catalog.slsa.sa.gov.au/record=b2063632</v>
      </c>
      <c r="C9187" s="1" t="str">
        <f>HYPERLINK("https://www.catalog.slsa.sa.gov.au/xrecord=b2063632")</f>
        <v>https://www.catalog.slsa.sa.gov.au/xrecord=b2063632</v>
      </c>
      <c r="D9187" t="s">
        <v>16831</v>
      </c>
      <c r="E9187" t="s">
        <v>17735</v>
      </c>
      <c r="F9187">
        <v>1969</v>
      </c>
      <c r="G9187" t="s">
        <v>14771</v>
      </c>
      <c r="H9187" t="s">
        <v>29664</v>
      </c>
      <c r="J9187" t="s">
        <v>24687</v>
      </c>
      <c r="K9187" s="2" t="str">
        <f>HYPERLINK("http://collections.slsa.sa.gov.au/mpcimg/19750/B19598.htm")</f>
        <v>http://collections.slsa.sa.gov.au/mpcimg/19750/B19598.htm</v>
      </c>
    </row>
    <row r="9188" spans="1:11" x14ac:dyDescent="0.25">
      <c r="A9188" t="s">
        <v>29665</v>
      </c>
      <c r="B9188" s="1" t="str">
        <f>HYPERLINK("https://www.catalog.slsa.sa.gov.au/record=b2063633")</f>
        <v>https://www.catalog.slsa.sa.gov.au/record=b2063633</v>
      </c>
      <c r="C9188" s="1" t="str">
        <f>HYPERLINK("https://www.catalog.slsa.sa.gov.au/xrecord=b2063633")</f>
        <v>https://www.catalog.slsa.sa.gov.au/xrecord=b2063633</v>
      </c>
      <c r="D9188" t="s">
        <v>16831</v>
      </c>
      <c r="E9188" t="s">
        <v>17735</v>
      </c>
      <c r="F9188">
        <v>1969</v>
      </c>
      <c r="G9188" t="s">
        <v>14771</v>
      </c>
      <c r="H9188" t="s">
        <v>29664</v>
      </c>
      <c r="J9188" t="s">
        <v>24687</v>
      </c>
      <c r="K9188" s="2" t="str">
        <f>HYPERLINK("http://collections.slsa.sa.gov.au/mpcimg/19750/B19599.htm")</f>
        <v>http://collections.slsa.sa.gov.au/mpcimg/19750/B19599.htm</v>
      </c>
    </row>
    <row r="9189" spans="1:11" x14ac:dyDescent="0.25">
      <c r="A9189" t="s">
        <v>29666</v>
      </c>
      <c r="B9189" s="1" t="str">
        <f>HYPERLINK("https://www.catalog.slsa.sa.gov.au/record=b2063959")</f>
        <v>https://www.catalog.slsa.sa.gov.au/record=b2063959</v>
      </c>
      <c r="C9189" s="1" t="str">
        <f>HYPERLINK("https://www.catalog.slsa.sa.gov.au/xrecord=b2063959")</f>
        <v>https://www.catalog.slsa.sa.gov.au/xrecord=b2063959</v>
      </c>
      <c r="D9189" t="s">
        <v>16831</v>
      </c>
      <c r="E9189" t="s">
        <v>28510</v>
      </c>
      <c r="F9189">
        <v>1969</v>
      </c>
      <c r="G9189" t="s">
        <v>16674</v>
      </c>
      <c r="H9189" t="s">
        <v>29667</v>
      </c>
      <c r="J9189" t="s">
        <v>27518</v>
      </c>
      <c r="K9189" s="2" t="str">
        <f>HYPERLINK("http://collections.slsa.sa.gov.au/mpcimg/19000/B18751.htm")</f>
        <v>http://collections.slsa.sa.gov.au/mpcimg/19000/B18751.htm</v>
      </c>
    </row>
    <row r="9190" spans="1:11" x14ac:dyDescent="0.25">
      <c r="A9190" t="s">
        <v>29668</v>
      </c>
      <c r="B9190" s="1" t="str">
        <f>HYPERLINK("https://www.catalog.slsa.sa.gov.au/record=b2064167")</f>
        <v>https://www.catalog.slsa.sa.gov.au/record=b2064167</v>
      </c>
      <c r="C9190" s="1" t="str">
        <f>HYPERLINK("https://www.catalog.slsa.sa.gov.au/xrecord=b2064167")</f>
        <v>https://www.catalog.slsa.sa.gov.au/xrecord=b2064167</v>
      </c>
      <c r="D9190" t="s">
        <v>16831</v>
      </c>
      <c r="E9190" t="s">
        <v>26942</v>
      </c>
      <c r="F9190">
        <v>1969</v>
      </c>
      <c r="G9190" t="s">
        <v>14771</v>
      </c>
      <c r="H9190" t="s">
        <v>29669</v>
      </c>
      <c r="J9190" t="s">
        <v>24716</v>
      </c>
      <c r="K9190" s="2" t="str">
        <f>HYPERLINK("http://collections.slsa.sa.gov.au/mpcimg/18750/B18621.htm")</f>
        <v>http://collections.slsa.sa.gov.au/mpcimg/18750/B18621.htm</v>
      </c>
    </row>
    <row r="9191" spans="1:11" x14ac:dyDescent="0.25">
      <c r="A9191" t="s">
        <v>29670</v>
      </c>
      <c r="B9191" s="1" t="str">
        <f>HYPERLINK("https://www.catalog.slsa.sa.gov.au/record=b2064219")</f>
        <v>https://www.catalog.slsa.sa.gov.au/record=b2064219</v>
      </c>
      <c r="C9191" s="1" t="str">
        <f>HYPERLINK("https://www.catalog.slsa.sa.gov.au/xrecord=b2064219")</f>
        <v>https://www.catalog.slsa.sa.gov.au/xrecord=b2064219</v>
      </c>
      <c r="D9191" t="s">
        <v>16831</v>
      </c>
      <c r="E9191" t="s">
        <v>25635</v>
      </c>
      <c r="F9191">
        <v>1969</v>
      </c>
      <c r="G9191" t="s">
        <v>14771</v>
      </c>
      <c r="H9191" t="s">
        <v>29671</v>
      </c>
      <c r="J9191" t="s">
        <v>29672</v>
      </c>
      <c r="K9191" s="2" t="str">
        <f>HYPERLINK("http://collections.slsa.sa.gov.au/mpcimg/18750/B18622.htm")</f>
        <v>http://collections.slsa.sa.gov.au/mpcimg/18750/B18622.htm</v>
      </c>
    </row>
    <row r="9192" spans="1:11" x14ac:dyDescent="0.25">
      <c r="A9192" t="s">
        <v>29673</v>
      </c>
      <c r="B9192" s="1" t="str">
        <f>HYPERLINK("https://www.catalog.slsa.sa.gov.au/record=b2064353")</f>
        <v>https://www.catalog.slsa.sa.gov.au/record=b2064353</v>
      </c>
      <c r="C9192" s="1" t="str">
        <f>HYPERLINK("https://www.catalog.slsa.sa.gov.au/xrecord=b2064353")</f>
        <v>https://www.catalog.slsa.sa.gov.au/xrecord=b2064353</v>
      </c>
      <c r="D9192" t="s">
        <v>16831</v>
      </c>
      <c r="E9192" t="s">
        <v>26969</v>
      </c>
      <c r="F9192">
        <v>1969</v>
      </c>
      <c r="G9192" t="s">
        <v>14771</v>
      </c>
      <c r="H9192" t="s">
        <v>29674</v>
      </c>
      <c r="J9192" t="s">
        <v>29675</v>
      </c>
      <c r="K9192" s="2" t="str">
        <f>HYPERLINK("http://collections.slsa.sa.gov.au/mpcimg/19500/B19362.htm")</f>
        <v>http://collections.slsa.sa.gov.au/mpcimg/19500/B19362.htm</v>
      </c>
    </row>
    <row r="9193" spans="1:11" x14ac:dyDescent="0.25">
      <c r="A9193" t="s">
        <v>29676</v>
      </c>
      <c r="B9193" s="1" t="str">
        <f>HYPERLINK("https://www.catalog.slsa.sa.gov.au/record=b2064495")</f>
        <v>https://www.catalog.slsa.sa.gov.au/record=b2064495</v>
      </c>
      <c r="C9193" s="1" t="str">
        <f>HYPERLINK("https://www.catalog.slsa.sa.gov.au/xrecord=b2064495")</f>
        <v>https://www.catalog.slsa.sa.gov.au/xrecord=b2064495</v>
      </c>
      <c r="D9193" t="s">
        <v>16831</v>
      </c>
      <c r="E9193" t="s">
        <v>25651</v>
      </c>
      <c r="F9193">
        <v>1969</v>
      </c>
      <c r="G9193" t="s">
        <v>16674</v>
      </c>
      <c r="H9193" t="s">
        <v>29677</v>
      </c>
      <c r="J9193" t="s">
        <v>24729</v>
      </c>
      <c r="K9193" s="2" t="str">
        <f>HYPERLINK("http://collections.slsa.sa.gov.au/mpcimg/19000/B18811_1.htm")</f>
        <v>http://collections.slsa.sa.gov.au/mpcimg/19000/B18811_1.htm</v>
      </c>
    </row>
    <row r="9194" spans="1:11" x14ac:dyDescent="0.25">
      <c r="A9194" t="s">
        <v>29678</v>
      </c>
      <c r="B9194" s="1" t="str">
        <f>HYPERLINK("https://www.catalog.slsa.sa.gov.au/record=b2064496")</f>
        <v>https://www.catalog.slsa.sa.gov.au/record=b2064496</v>
      </c>
      <c r="C9194" s="1" t="str">
        <f>HYPERLINK("https://www.catalog.slsa.sa.gov.au/xrecord=b2064496")</f>
        <v>https://www.catalog.slsa.sa.gov.au/xrecord=b2064496</v>
      </c>
      <c r="D9194" t="s">
        <v>16831</v>
      </c>
      <c r="E9194" t="s">
        <v>25651</v>
      </c>
      <c r="F9194">
        <v>1969</v>
      </c>
      <c r="G9194" t="s">
        <v>14771</v>
      </c>
      <c r="H9194" t="s">
        <v>29677</v>
      </c>
      <c r="J9194" t="s">
        <v>24729</v>
      </c>
      <c r="K9194" s="2" t="str">
        <f>HYPERLINK("http://collections.slsa.sa.gov.au/mpcimg/19000/B18811_2.htm")</f>
        <v>http://collections.slsa.sa.gov.au/mpcimg/19000/B18811_2.htm</v>
      </c>
    </row>
    <row r="9195" spans="1:11" x14ac:dyDescent="0.25">
      <c r="A9195" t="s">
        <v>29679</v>
      </c>
      <c r="B9195" s="1" t="str">
        <f>HYPERLINK("https://www.catalog.slsa.sa.gov.au/record=b2064497")</f>
        <v>https://www.catalog.slsa.sa.gov.au/record=b2064497</v>
      </c>
      <c r="C9195" s="1" t="str">
        <f>HYPERLINK("https://www.catalog.slsa.sa.gov.au/xrecord=b2064497")</f>
        <v>https://www.catalog.slsa.sa.gov.au/xrecord=b2064497</v>
      </c>
      <c r="D9195" t="s">
        <v>16831</v>
      </c>
      <c r="E9195" t="s">
        <v>25651</v>
      </c>
      <c r="F9195">
        <v>1969</v>
      </c>
      <c r="G9195" t="s">
        <v>16674</v>
      </c>
      <c r="H9195" t="s">
        <v>29677</v>
      </c>
      <c r="J9195" t="s">
        <v>24729</v>
      </c>
      <c r="K9195" s="2" t="str">
        <f>HYPERLINK("http://collections.slsa.sa.gov.au/mpcimg/19000/B18811_3.htm")</f>
        <v>http://collections.slsa.sa.gov.au/mpcimg/19000/B18811_3.htm</v>
      </c>
    </row>
    <row r="9196" spans="1:11" x14ac:dyDescent="0.25">
      <c r="A9196" t="s">
        <v>29680</v>
      </c>
      <c r="B9196" s="1" t="str">
        <f>HYPERLINK("https://www.catalog.slsa.sa.gov.au/record=b2064498")</f>
        <v>https://www.catalog.slsa.sa.gov.au/record=b2064498</v>
      </c>
      <c r="C9196" s="1" t="str">
        <f>HYPERLINK("https://www.catalog.slsa.sa.gov.au/xrecord=b2064498")</f>
        <v>https://www.catalog.slsa.sa.gov.au/xrecord=b2064498</v>
      </c>
      <c r="D9196" t="s">
        <v>16831</v>
      </c>
      <c r="E9196" t="s">
        <v>25651</v>
      </c>
      <c r="F9196">
        <v>1969</v>
      </c>
      <c r="G9196" t="s">
        <v>14771</v>
      </c>
      <c r="H9196" t="s">
        <v>29677</v>
      </c>
      <c r="J9196" t="s">
        <v>24729</v>
      </c>
      <c r="K9196" s="2" t="str">
        <f>HYPERLINK("http://collections.slsa.sa.gov.au/mpcimg/19000/B18811_4.htm")</f>
        <v>http://collections.slsa.sa.gov.au/mpcimg/19000/B18811_4.htm</v>
      </c>
    </row>
    <row r="9197" spans="1:11" x14ac:dyDescent="0.25">
      <c r="A9197" t="s">
        <v>29681</v>
      </c>
      <c r="B9197" s="1" t="str">
        <f>HYPERLINK("https://www.catalog.slsa.sa.gov.au/record=b2064499")</f>
        <v>https://www.catalog.slsa.sa.gov.au/record=b2064499</v>
      </c>
      <c r="C9197" s="1" t="str">
        <f>HYPERLINK("https://www.catalog.slsa.sa.gov.au/xrecord=b2064499")</f>
        <v>https://www.catalog.slsa.sa.gov.au/xrecord=b2064499</v>
      </c>
      <c r="D9197" t="s">
        <v>16831</v>
      </c>
      <c r="E9197" t="s">
        <v>25651</v>
      </c>
      <c r="F9197">
        <v>1969</v>
      </c>
      <c r="G9197" t="s">
        <v>14771</v>
      </c>
      <c r="H9197" t="s">
        <v>29677</v>
      </c>
      <c r="J9197" t="s">
        <v>24729</v>
      </c>
      <c r="K9197" s="2" t="str">
        <f>HYPERLINK("http://collections.slsa.sa.gov.au/mpcimg/19000/B18811_5.htm")</f>
        <v>http://collections.slsa.sa.gov.au/mpcimg/19000/B18811_5.htm</v>
      </c>
    </row>
    <row r="9198" spans="1:11" x14ac:dyDescent="0.25">
      <c r="A9198" t="s">
        <v>29682</v>
      </c>
      <c r="B9198" s="1" t="str">
        <f>HYPERLINK("https://www.catalog.slsa.sa.gov.au/record=b2064511")</f>
        <v>https://www.catalog.slsa.sa.gov.au/record=b2064511</v>
      </c>
      <c r="C9198" s="1" t="str">
        <f>HYPERLINK("https://www.catalog.slsa.sa.gov.au/xrecord=b2064511")</f>
        <v>https://www.catalog.slsa.sa.gov.au/xrecord=b2064511</v>
      </c>
      <c r="D9198" t="s">
        <v>16831</v>
      </c>
      <c r="E9198" t="s">
        <v>26509</v>
      </c>
      <c r="F9198">
        <v>1969</v>
      </c>
      <c r="G9198" t="s">
        <v>14771</v>
      </c>
      <c r="H9198" t="s">
        <v>29683</v>
      </c>
      <c r="J9198" t="s">
        <v>28337</v>
      </c>
      <c r="K9198" s="2" t="str">
        <f>HYPERLINK("http://collections.slsa.sa.gov.au/mpcimg/19000/B18812_1.htm")</f>
        <v>http://collections.slsa.sa.gov.au/mpcimg/19000/B18812_1.htm</v>
      </c>
    </row>
    <row r="9199" spans="1:11" x14ac:dyDescent="0.25">
      <c r="A9199" t="s">
        <v>29684</v>
      </c>
      <c r="B9199" s="1" t="str">
        <f>HYPERLINK("https://www.catalog.slsa.sa.gov.au/record=b2064512")</f>
        <v>https://www.catalog.slsa.sa.gov.au/record=b2064512</v>
      </c>
      <c r="C9199" s="1" t="str">
        <f>HYPERLINK("https://www.catalog.slsa.sa.gov.au/xrecord=b2064512")</f>
        <v>https://www.catalog.slsa.sa.gov.au/xrecord=b2064512</v>
      </c>
      <c r="D9199" t="s">
        <v>16831</v>
      </c>
      <c r="E9199" t="s">
        <v>26509</v>
      </c>
      <c r="F9199">
        <v>1969</v>
      </c>
      <c r="G9199" t="s">
        <v>14771</v>
      </c>
      <c r="H9199" t="s">
        <v>29683</v>
      </c>
      <c r="J9199" t="s">
        <v>28337</v>
      </c>
      <c r="K9199" s="2" t="str">
        <f>HYPERLINK("http://collections.slsa.sa.gov.au/mpcimg/19000/B18812_2.htm")</f>
        <v>http://collections.slsa.sa.gov.au/mpcimg/19000/B18812_2.htm</v>
      </c>
    </row>
    <row r="9200" spans="1:11" x14ac:dyDescent="0.25">
      <c r="A9200" t="s">
        <v>29685</v>
      </c>
      <c r="B9200" s="1" t="str">
        <f>HYPERLINK("https://www.catalog.slsa.sa.gov.au/record=b2064513")</f>
        <v>https://www.catalog.slsa.sa.gov.au/record=b2064513</v>
      </c>
      <c r="C9200" s="1" t="str">
        <f>HYPERLINK("https://www.catalog.slsa.sa.gov.au/xrecord=b2064513")</f>
        <v>https://www.catalog.slsa.sa.gov.au/xrecord=b2064513</v>
      </c>
      <c r="D9200" t="s">
        <v>16831</v>
      </c>
      <c r="E9200" t="s">
        <v>26509</v>
      </c>
      <c r="F9200">
        <v>1969</v>
      </c>
      <c r="G9200" t="s">
        <v>16674</v>
      </c>
      <c r="H9200" t="s">
        <v>29686</v>
      </c>
      <c r="J9200" t="s">
        <v>28337</v>
      </c>
      <c r="K9200" s="2" t="str">
        <f>HYPERLINK("http://collections.slsa.sa.gov.au/mpcimg/19000/B18812_3.htm")</f>
        <v>http://collections.slsa.sa.gov.au/mpcimg/19000/B18812_3.htm</v>
      </c>
    </row>
    <row r="9201" spans="1:11" x14ac:dyDescent="0.25">
      <c r="A9201" t="s">
        <v>29687</v>
      </c>
      <c r="B9201" s="1" t="str">
        <f>HYPERLINK("https://www.catalog.slsa.sa.gov.au/record=b2064608")</f>
        <v>https://www.catalog.slsa.sa.gov.au/record=b2064608</v>
      </c>
      <c r="C9201" s="1" t="str">
        <f>HYPERLINK("https://www.catalog.slsa.sa.gov.au/xrecord=b2064608")</f>
        <v>https://www.catalog.slsa.sa.gov.au/xrecord=b2064608</v>
      </c>
      <c r="D9201" t="s">
        <v>16831</v>
      </c>
      <c r="E9201" t="s">
        <v>17735</v>
      </c>
      <c r="F9201">
        <v>1969</v>
      </c>
      <c r="G9201" t="s">
        <v>14771</v>
      </c>
      <c r="H9201" t="s">
        <v>29688</v>
      </c>
      <c r="J9201" t="s">
        <v>29689</v>
      </c>
      <c r="K9201" s="2" t="str">
        <f>HYPERLINK("http://collections.slsa.sa.gov.au/mpcimg/19750/B19600.htm")</f>
        <v>http://collections.slsa.sa.gov.au/mpcimg/19750/B19600.htm</v>
      </c>
    </row>
    <row r="9202" spans="1:11" x14ac:dyDescent="0.25">
      <c r="A9202" t="s">
        <v>29690</v>
      </c>
      <c r="B9202" s="1" t="str">
        <f>HYPERLINK("https://www.catalog.slsa.sa.gov.au/record=b2065797")</f>
        <v>https://www.catalog.slsa.sa.gov.au/record=b2065797</v>
      </c>
      <c r="C9202" s="1" t="str">
        <f>HYPERLINK("https://www.catalog.slsa.sa.gov.au/xrecord=b2065797")</f>
        <v>https://www.catalog.slsa.sa.gov.au/xrecord=b2065797</v>
      </c>
      <c r="D9202" t="s">
        <v>16831</v>
      </c>
      <c r="E9202" t="s">
        <v>29691</v>
      </c>
      <c r="F9202">
        <v>1969</v>
      </c>
      <c r="G9202" t="s">
        <v>14771</v>
      </c>
      <c r="H9202" t="s">
        <v>29692</v>
      </c>
      <c r="J9202" t="s">
        <v>29693</v>
      </c>
      <c r="K9202" s="2" t="str">
        <f>HYPERLINK("http://collections.slsa.sa.gov.au/mpcimg/19500/B19367.htm")</f>
        <v>http://collections.slsa.sa.gov.au/mpcimg/19500/B19367.htm</v>
      </c>
    </row>
    <row r="9203" spans="1:11" x14ac:dyDescent="0.25">
      <c r="A9203" t="s">
        <v>29694</v>
      </c>
      <c r="B9203" s="1" t="str">
        <f>HYPERLINK("https://www.catalog.slsa.sa.gov.au/record=b2065798")</f>
        <v>https://www.catalog.slsa.sa.gov.au/record=b2065798</v>
      </c>
      <c r="C9203" s="1" t="str">
        <f>HYPERLINK("https://www.catalog.slsa.sa.gov.au/xrecord=b2065798")</f>
        <v>https://www.catalog.slsa.sa.gov.au/xrecord=b2065798</v>
      </c>
      <c r="D9203" t="s">
        <v>16831</v>
      </c>
      <c r="E9203" t="s">
        <v>29691</v>
      </c>
      <c r="F9203">
        <v>1969</v>
      </c>
      <c r="G9203" t="s">
        <v>14771</v>
      </c>
      <c r="H9203" t="s">
        <v>29695</v>
      </c>
      <c r="J9203" t="s">
        <v>29693</v>
      </c>
      <c r="K9203" s="2" t="str">
        <f>HYPERLINK("http://collections.slsa.sa.gov.au/mpcimg/19500/B19368.htm")</f>
        <v>http://collections.slsa.sa.gov.au/mpcimg/19500/B19368.htm</v>
      </c>
    </row>
    <row r="9204" spans="1:11" x14ac:dyDescent="0.25">
      <c r="A9204" t="s">
        <v>29696</v>
      </c>
      <c r="B9204" s="1" t="str">
        <f>HYPERLINK("https://www.catalog.slsa.sa.gov.au/record=b2066323")</f>
        <v>https://www.catalog.slsa.sa.gov.au/record=b2066323</v>
      </c>
      <c r="C9204" s="1" t="str">
        <f>HYPERLINK("https://www.catalog.slsa.sa.gov.au/xrecord=b2066323")</f>
        <v>https://www.catalog.slsa.sa.gov.au/xrecord=b2066323</v>
      </c>
      <c r="D9204" t="s">
        <v>16831</v>
      </c>
      <c r="E9204" t="s">
        <v>29697</v>
      </c>
      <c r="F9204">
        <v>1969</v>
      </c>
      <c r="G9204" t="s">
        <v>16674</v>
      </c>
      <c r="H9204" t="s">
        <v>29698</v>
      </c>
      <c r="J9204" t="s">
        <v>29699</v>
      </c>
      <c r="K9204" s="2" t="str">
        <f>HYPERLINK("http://collections.slsa.sa.gov.au/mpcimg/18750/B18744_1.htm")</f>
        <v>http://collections.slsa.sa.gov.au/mpcimg/18750/B18744_1.htm</v>
      </c>
    </row>
    <row r="9205" spans="1:11" x14ac:dyDescent="0.25">
      <c r="A9205" t="s">
        <v>29700</v>
      </c>
      <c r="B9205" s="1" t="str">
        <f>HYPERLINK("https://www.catalog.slsa.sa.gov.au/record=b2066325")</f>
        <v>https://www.catalog.slsa.sa.gov.au/record=b2066325</v>
      </c>
      <c r="C9205" s="1" t="str">
        <f>HYPERLINK("https://www.catalog.slsa.sa.gov.au/xrecord=b2066325")</f>
        <v>https://www.catalog.slsa.sa.gov.au/xrecord=b2066325</v>
      </c>
      <c r="D9205" t="s">
        <v>16831</v>
      </c>
      <c r="E9205" t="s">
        <v>29697</v>
      </c>
      <c r="F9205">
        <v>1969</v>
      </c>
      <c r="G9205" t="s">
        <v>16674</v>
      </c>
      <c r="H9205" t="s">
        <v>29701</v>
      </c>
      <c r="J9205" t="s">
        <v>29699</v>
      </c>
      <c r="K9205" s="2" t="str">
        <f>HYPERLINK("http://collections.slsa.sa.gov.au/mpcimg/18750/B18744_3.htm")</f>
        <v>http://collections.slsa.sa.gov.au/mpcimg/18750/B18744_3.htm</v>
      </c>
    </row>
    <row r="9206" spans="1:11" x14ac:dyDescent="0.25">
      <c r="A9206" t="s">
        <v>29702</v>
      </c>
      <c r="B9206" s="1" t="str">
        <f>HYPERLINK("https://www.catalog.slsa.sa.gov.au/record=b2066326")</f>
        <v>https://www.catalog.slsa.sa.gov.au/record=b2066326</v>
      </c>
      <c r="C9206" s="1" t="str">
        <f>HYPERLINK("https://www.catalog.slsa.sa.gov.au/xrecord=b2066326")</f>
        <v>https://www.catalog.slsa.sa.gov.au/xrecord=b2066326</v>
      </c>
      <c r="D9206" t="s">
        <v>16831</v>
      </c>
      <c r="E9206" t="s">
        <v>29697</v>
      </c>
      <c r="F9206">
        <v>1969</v>
      </c>
      <c r="G9206" t="s">
        <v>14771</v>
      </c>
      <c r="H9206" t="s">
        <v>29701</v>
      </c>
      <c r="J9206" t="s">
        <v>29699</v>
      </c>
      <c r="K9206" s="2" t="str">
        <f>HYPERLINK("http://collections.slsa.sa.gov.au/mpcimg/18750/B18744_4.htm")</f>
        <v>http://collections.slsa.sa.gov.au/mpcimg/18750/B18744_4.htm</v>
      </c>
    </row>
    <row r="9207" spans="1:11" x14ac:dyDescent="0.25">
      <c r="A9207" t="s">
        <v>29703</v>
      </c>
      <c r="B9207" s="1" t="str">
        <f>HYPERLINK("https://www.catalog.slsa.sa.gov.au/record=b2066327")</f>
        <v>https://www.catalog.slsa.sa.gov.au/record=b2066327</v>
      </c>
      <c r="C9207" s="1" t="str">
        <f>HYPERLINK("https://www.catalog.slsa.sa.gov.au/xrecord=b2066327")</f>
        <v>https://www.catalog.slsa.sa.gov.au/xrecord=b2066327</v>
      </c>
      <c r="D9207" t="s">
        <v>16831</v>
      </c>
      <c r="E9207" t="s">
        <v>29697</v>
      </c>
      <c r="F9207">
        <v>1969</v>
      </c>
      <c r="G9207" t="s">
        <v>14771</v>
      </c>
      <c r="H9207" t="s">
        <v>29701</v>
      </c>
      <c r="J9207" t="s">
        <v>29699</v>
      </c>
      <c r="K9207" s="2" t="str">
        <f>HYPERLINK("http://collections.slsa.sa.gov.au/mpcimg/18750/B18744_5.htm")</f>
        <v>http://collections.slsa.sa.gov.au/mpcimg/18750/B18744_5.htm</v>
      </c>
    </row>
    <row r="9208" spans="1:11" x14ac:dyDescent="0.25">
      <c r="A9208" t="s">
        <v>29704</v>
      </c>
      <c r="B9208" s="1" t="str">
        <f>HYPERLINK("https://www.catalog.slsa.sa.gov.au/record=b2066328")</f>
        <v>https://www.catalog.slsa.sa.gov.au/record=b2066328</v>
      </c>
      <c r="C9208" s="1" t="str">
        <f>HYPERLINK("https://www.catalog.slsa.sa.gov.au/xrecord=b2066328")</f>
        <v>https://www.catalog.slsa.sa.gov.au/xrecord=b2066328</v>
      </c>
      <c r="D9208" t="s">
        <v>16831</v>
      </c>
      <c r="E9208" t="s">
        <v>29697</v>
      </c>
      <c r="F9208">
        <v>1969</v>
      </c>
      <c r="G9208" t="s">
        <v>14771</v>
      </c>
      <c r="H9208" t="s">
        <v>29701</v>
      </c>
      <c r="J9208" t="s">
        <v>29699</v>
      </c>
      <c r="K9208" s="2" t="str">
        <f>HYPERLINK("http://collections.slsa.sa.gov.au/mpcimg/18750/B18744_6.htm")</f>
        <v>http://collections.slsa.sa.gov.au/mpcimg/18750/B18744_6.htm</v>
      </c>
    </row>
    <row r="9209" spans="1:11" x14ac:dyDescent="0.25">
      <c r="A9209" t="s">
        <v>29705</v>
      </c>
      <c r="B9209" s="1" t="str">
        <f>HYPERLINK("https://www.catalog.slsa.sa.gov.au/record=b2066329")</f>
        <v>https://www.catalog.slsa.sa.gov.au/record=b2066329</v>
      </c>
      <c r="C9209" s="1" t="str">
        <f>HYPERLINK("https://www.catalog.slsa.sa.gov.au/xrecord=b2066329")</f>
        <v>https://www.catalog.slsa.sa.gov.au/xrecord=b2066329</v>
      </c>
      <c r="D9209" t="s">
        <v>16831</v>
      </c>
      <c r="E9209" t="s">
        <v>29697</v>
      </c>
      <c r="F9209">
        <v>1969</v>
      </c>
      <c r="G9209" t="s">
        <v>16674</v>
      </c>
      <c r="H9209" t="s">
        <v>29698</v>
      </c>
      <c r="J9209" t="s">
        <v>29699</v>
      </c>
      <c r="K9209" s="2" t="str">
        <f>HYPERLINK("http://collections.slsa.sa.gov.au/mpcimg/18750/B18744_7.htm")</f>
        <v>http://collections.slsa.sa.gov.au/mpcimg/18750/B18744_7.htm</v>
      </c>
    </row>
    <row r="9210" spans="1:11" x14ac:dyDescent="0.25">
      <c r="A9210" t="s">
        <v>29706</v>
      </c>
      <c r="B9210" s="1" t="str">
        <f>HYPERLINK("https://www.catalog.slsa.sa.gov.au/record=b2066330")</f>
        <v>https://www.catalog.slsa.sa.gov.au/record=b2066330</v>
      </c>
      <c r="C9210" s="1" t="str">
        <f>HYPERLINK("https://www.catalog.slsa.sa.gov.au/xrecord=b2066330")</f>
        <v>https://www.catalog.slsa.sa.gov.au/xrecord=b2066330</v>
      </c>
      <c r="D9210" t="s">
        <v>16831</v>
      </c>
      <c r="E9210" t="s">
        <v>29697</v>
      </c>
      <c r="F9210">
        <v>1969</v>
      </c>
      <c r="G9210" t="s">
        <v>14809</v>
      </c>
      <c r="H9210" t="s">
        <v>29707</v>
      </c>
      <c r="J9210" t="s">
        <v>29699</v>
      </c>
      <c r="K9210" s="2" t="str">
        <f>HYPERLINK("http://collections.slsa.sa.gov.au/mpcimg/18750/B18744_8.htm")</f>
        <v>http://collections.slsa.sa.gov.au/mpcimg/18750/B18744_8.htm</v>
      </c>
    </row>
    <row r="9211" spans="1:11" x14ac:dyDescent="0.25">
      <c r="A9211" t="s">
        <v>29708</v>
      </c>
      <c r="B9211" s="1" t="str">
        <f>HYPERLINK("https://www.catalog.slsa.sa.gov.au/record=b2066331")</f>
        <v>https://www.catalog.slsa.sa.gov.au/record=b2066331</v>
      </c>
      <c r="C9211" s="1" t="str">
        <f>HYPERLINK("https://www.catalog.slsa.sa.gov.au/xrecord=b2066331")</f>
        <v>https://www.catalog.slsa.sa.gov.au/xrecord=b2066331</v>
      </c>
      <c r="D9211" t="s">
        <v>16831</v>
      </c>
      <c r="E9211" t="s">
        <v>29697</v>
      </c>
      <c r="F9211">
        <v>1969</v>
      </c>
      <c r="G9211" t="s">
        <v>14771</v>
      </c>
      <c r="H9211" t="s">
        <v>29707</v>
      </c>
      <c r="J9211" t="s">
        <v>29699</v>
      </c>
      <c r="K9211" s="2" t="str">
        <f>HYPERLINK("http://collections.slsa.sa.gov.au/mpcimg/18750/B18744_9.htm")</f>
        <v>http://collections.slsa.sa.gov.au/mpcimg/18750/B18744_9.htm</v>
      </c>
    </row>
    <row r="9212" spans="1:11" x14ac:dyDescent="0.25">
      <c r="A9212" t="s">
        <v>29709</v>
      </c>
      <c r="B9212" s="1" t="str">
        <f>HYPERLINK("https://www.catalog.slsa.sa.gov.au/record=b2066332")</f>
        <v>https://www.catalog.slsa.sa.gov.au/record=b2066332</v>
      </c>
      <c r="C9212" s="1" t="str">
        <f>HYPERLINK("https://www.catalog.slsa.sa.gov.au/xrecord=b2066332")</f>
        <v>https://www.catalog.slsa.sa.gov.au/xrecord=b2066332</v>
      </c>
      <c r="D9212" t="s">
        <v>16831</v>
      </c>
      <c r="E9212" t="s">
        <v>29697</v>
      </c>
      <c r="F9212">
        <v>1969</v>
      </c>
      <c r="G9212" t="s">
        <v>16674</v>
      </c>
      <c r="H9212" t="s">
        <v>29707</v>
      </c>
      <c r="J9212" t="s">
        <v>29699</v>
      </c>
      <c r="K9212" s="2" t="str">
        <f>HYPERLINK("http://collections.slsa.sa.gov.au/mpcimg/18750/B18744_10.htm")</f>
        <v>http://collections.slsa.sa.gov.au/mpcimg/18750/B18744_10.htm</v>
      </c>
    </row>
    <row r="9213" spans="1:11" x14ac:dyDescent="0.25">
      <c r="A9213" t="s">
        <v>29710</v>
      </c>
      <c r="B9213" s="1" t="str">
        <f>HYPERLINK("https://www.catalog.slsa.sa.gov.au/record=b2066333")</f>
        <v>https://www.catalog.slsa.sa.gov.au/record=b2066333</v>
      </c>
      <c r="C9213" s="1" t="str">
        <f>HYPERLINK("https://www.catalog.slsa.sa.gov.au/xrecord=b2066333")</f>
        <v>https://www.catalog.slsa.sa.gov.au/xrecord=b2066333</v>
      </c>
      <c r="D9213" t="s">
        <v>16831</v>
      </c>
      <c r="E9213" t="s">
        <v>29697</v>
      </c>
      <c r="F9213">
        <v>1969</v>
      </c>
      <c r="G9213" t="s">
        <v>14771</v>
      </c>
      <c r="H9213" t="s">
        <v>29707</v>
      </c>
      <c r="J9213" t="s">
        <v>29699</v>
      </c>
      <c r="K9213" s="2" t="str">
        <f>HYPERLINK("http://collections.slsa.sa.gov.au/mpcimg/18750/B18744_11.htm")</f>
        <v>http://collections.slsa.sa.gov.au/mpcimg/18750/B18744_11.htm</v>
      </c>
    </row>
    <row r="9214" spans="1:11" x14ac:dyDescent="0.25">
      <c r="A9214" t="s">
        <v>29711</v>
      </c>
      <c r="B9214" s="1" t="str">
        <f>HYPERLINK("https://www.catalog.slsa.sa.gov.au/record=b2067280")</f>
        <v>https://www.catalog.slsa.sa.gov.au/record=b2067280</v>
      </c>
      <c r="C9214" s="1" t="str">
        <f>HYPERLINK("https://www.catalog.slsa.sa.gov.au/xrecord=b2067280")</f>
        <v>https://www.catalog.slsa.sa.gov.au/xrecord=b2067280</v>
      </c>
      <c r="D9214" t="s">
        <v>16831</v>
      </c>
      <c r="E9214" t="s">
        <v>16862</v>
      </c>
      <c r="F9214">
        <v>1969</v>
      </c>
      <c r="G9214" t="s">
        <v>14771</v>
      </c>
      <c r="H9214" t="s">
        <v>29712</v>
      </c>
      <c r="I9214" t="s">
        <v>29713</v>
      </c>
      <c r="J9214" t="s">
        <v>16866</v>
      </c>
      <c r="K9214" s="2" t="str">
        <f>HYPERLINK("http://collections.slsa.sa.gov.au/mpcimg/18750/B18706_1.htm")</f>
        <v>http://collections.slsa.sa.gov.au/mpcimg/18750/B18706_1.htm</v>
      </c>
    </row>
    <row r="9215" spans="1:11" x14ac:dyDescent="0.25">
      <c r="A9215" t="s">
        <v>29714</v>
      </c>
      <c r="B9215" s="1" t="str">
        <f>HYPERLINK("https://www.catalog.slsa.sa.gov.au/record=b2067281")</f>
        <v>https://www.catalog.slsa.sa.gov.au/record=b2067281</v>
      </c>
      <c r="C9215" s="1" t="str">
        <f>HYPERLINK("https://www.catalog.slsa.sa.gov.au/xrecord=b2067281")</f>
        <v>https://www.catalog.slsa.sa.gov.au/xrecord=b2067281</v>
      </c>
      <c r="D9215" t="s">
        <v>16831</v>
      </c>
      <c r="E9215" t="s">
        <v>16862</v>
      </c>
      <c r="F9215">
        <v>1969</v>
      </c>
      <c r="G9215" t="s">
        <v>14771</v>
      </c>
      <c r="H9215" t="s">
        <v>29715</v>
      </c>
      <c r="I9215" t="s">
        <v>29713</v>
      </c>
      <c r="J9215" t="s">
        <v>16866</v>
      </c>
      <c r="K9215" s="2" t="str">
        <f>HYPERLINK("http://collections.slsa.sa.gov.au/mpcimg/18750/B18706_2.htm")</f>
        <v>http://collections.slsa.sa.gov.au/mpcimg/18750/B18706_2.htm</v>
      </c>
    </row>
    <row r="9216" spans="1:11" x14ac:dyDescent="0.25">
      <c r="A9216" t="s">
        <v>29716</v>
      </c>
      <c r="B9216" s="1" t="str">
        <f>HYPERLINK("https://www.catalog.slsa.sa.gov.au/record=b2067282")</f>
        <v>https://www.catalog.slsa.sa.gov.au/record=b2067282</v>
      </c>
      <c r="C9216" s="1" t="str">
        <f>HYPERLINK("https://www.catalog.slsa.sa.gov.au/xrecord=b2067282")</f>
        <v>https://www.catalog.slsa.sa.gov.au/xrecord=b2067282</v>
      </c>
      <c r="D9216" t="s">
        <v>16831</v>
      </c>
      <c r="E9216" t="s">
        <v>16862</v>
      </c>
      <c r="F9216">
        <v>1969</v>
      </c>
      <c r="G9216" t="s">
        <v>14771</v>
      </c>
      <c r="H9216" t="s">
        <v>29717</v>
      </c>
      <c r="I9216" t="s">
        <v>29713</v>
      </c>
      <c r="J9216" t="s">
        <v>16866</v>
      </c>
      <c r="K9216" s="2" t="str">
        <f>HYPERLINK("http://collections.slsa.sa.gov.au/mpcimg/18750/B18706_3.htm")</f>
        <v>http://collections.slsa.sa.gov.au/mpcimg/18750/B18706_3.htm</v>
      </c>
    </row>
    <row r="9217" spans="1:11" x14ac:dyDescent="0.25">
      <c r="A9217" t="s">
        <v>29718</v>
      </c>
      <c r="B9217" s="1" t="str">
        <f>HYPERLINK("https://www.catalog.slsa.sa.gov.au/record=b2067283")</f>
        <v>https://www.catalog.slsa.sa.gov.au/record=b2067283</v>
      </c>
      <c r="C9217" s="1" t="str">
        <f>HYPERLINK("https://www.catalog.slsa.sa.gov.au/xrecord=b2067283")</f>
        <v>https://www.catalog.slsa.sa.gov.au/xrecord=b2067283</v>
      </c>
      <c r="D9217" t="s">
        <v>16831</v>
      </c>
      <c r="E9217" t="s">
        <v>16862</v>
      </c>
      <c r="F9217">
        <v>1969</v>
      </c>
      <c r="G9217" t="s">
        <v>14771</v>
      </c>
      <c r="H9217" t="s">
        <v>29715</v>
      </c>
      <c r="I9217" t="s">
        <v>29713</v>
      </c>
      <c r="J9217" t="s">
        <v>16866</v>
      </c>
      <c r="K9217" s="2" t="str">
        <f>HYPERLINK("http://collections.slsa.sa.gov.au/mpcimg/18750/B18706_4.htm")</f>
        <v>http://collections.slsa.sa.gov.au/mpcimg/18750/B18706_4.htm</v>
      </c>
    </row>
    <row r="9218" spans="1:11" x14ac:dyDescent="0.25">
      <c r="A9218" t="s">
        <v>29719</v>
      </c>
      <c r="B9218" s="1" t="str">
        <f>HYPERLINK("https://www.catalog.slsa.sa.gov.au/record=b2067284")</f>
        <v>https://www.catalog.slsa.sa.gov.au/record=b2067284</v>
      </c>
      <c r="C9218" s="1" t="str">
        <f>HYPERLINK("https://www.catalog.slsa.sa.gov.au/xrecord=b2067284")</f>
        <v>https://www.catalog.slsa.sa.gov.au/xrecord=b2067284</v>
      </c>
      <c r="D9218" t="s">
        <v>16831</v>
      </c>
      <c r="E9218" t="s">
        <v>16862</v>
      </c>
      <c r="F9218">
        <v>1969</v>
      </c>
      <c r="G9218" t="s">
        <v>16674</v>
      </c>
      <c r="H9218" t="s">
        <v>29715</v>
      </c>
      <c r="I9218" t="s">
        <v>29713</v>
      </c>
      <c r="J9218" t="s">
        <v>16866</v>
      </c>
      <c r="K9218" s="2" t="str">
        <f>HYPERLINK("http://collections.slsa.sa.gov.au/mpcimg/18750/B18706_5.htm")</f>
        <v>http://collections.slsa.sa.gov.au/mpcimg/18750/B18706_5.htm</v>
      </c>
    </row>
    <row r="9219" spans="1:11" x14ac:dyDescent="0.25">
      <c r="A9219" t="s">
        <v>29720</v>
      </c>
      <c r="B9219" s="1" t="str">
        <f>HYPERLINK("https://www.catalog.slsa.sa.gov.au/record=b2067285")</f>
        <v>https://www.catalog.slsa.sa.gov.au/record=b2067285</v>
      </c>
      <c r="C9219" s="1" t="str">
        <f>HYPERLINK("https://www.catalog.slsa.sa.gov.au/xrecord=b2067285")</f>
        <v>https://www.catalog.slsa.sa.gov.au/xrecord=b2067285</v>
      </c>
      <c r="D9219" t="s">
        <v>16831</v>
      </c>
      <c r="E9219" t="s">
        <v>16862</v>
      </c>
      <c r="F9219">
        <v>1969</v>
      </c>
      <c r="G9219" t="s">
        <v>14809</v>
      </c>
      <c r="H9219" t="s">
        <v>29715</v>
      </c>
      <c r="I9219" t="s">
        <v>29713</v>
      </c>
      <c r="J9219" t="s">
        <v>16866</v>
      </c>
      <c r="K9219" s="2" t="str">
        <f>HYPERLINK("http://collections.slsa.sa.gov.au/mpcimg/18750/B18706_6.htm")</f>
        <v>http://collections.slsa.sa.gov.au/mpcimg/18750/B18706_6.htm</v>
      </c>
    </row>
    <row r="9220" spans="1:11" x14ac:dyDescent="0.25">
      <c r="A9220" t="s">
        <v>29721</v>
      </c>
      <c r="B9220" s="1" t="str">
        <f>HYPERLINK("https://www.catalog.slsa.sa.gov.au/record=b2067286")</f>
        <v>https://www.catalog.slsa.sa.gov.au/record=b2067286</v>
      </c>
      <c r="C9220" s="1" t="str">
        <f>HYPERLINK("https://www.catalog.slsa.sa.gov.au/xrecord=b2067286")</f>
        <v>https://www.catalog.slsa.sa.gov.au/xrecord=b2067286</v>
      </c>
      <c r="D9220" t="s">
        <v>16831</v>
      </c>
      <c r="E9220" t="s">
        <v>16862</v>
      </c>
      <c r="F9220">
        <v>1969</v>
      </c>
      <c r="G9220" t="s">
        <v>14771</v>
      </c>
      <c r="H9220" t="s">
        <v>29715</v>
      </c>
      <c r="I9220" t="s">
        <v>29713</v>
      </c>
      <c r="J9220" t="s">
        <v>16866</v>
      </c>
      <c r="K9220" s="2" t="str">
        <f>HYPERLINK("http://collections.slsa.sa.gov.au/mpcimg/18750/B18706_7.htm")</f>
        <v>http://collections.slsa.sa.gov.au/mpcimg/18750/B18706_7.htm</v>
      </c>
    </row>
    <row r="9221" spans="1:11" x14ac:dyDescent="0.25">
      <c r="A9221" t="s">
        <v>29722</v>
      </c>
      <c r="B9221" s="1" t="str">
        <f>HYPERLINK("https://www.catalog.slsa.sa.gov.au/record=b2067287")</f>
        <v>https://www.catalog.slsa.sa.gov.au/record=b2067287</v>
      </c>
      <c r="C9221" s="1" t="str">
        <f>HYPERLINK("https://www.catalog.slsa.sa.gov.au/xrecord=b2067287")</f>
        <v>https://www.catalog.slsa.sa.gov.au/xrecord=b2067287</v>
      </c>
      <c r="D9221" t="s">
        <v>16831</v>
      </c>
      <c r="E9221" t="s">
        <v>16862</v>
      </c>
      <c r="F9221">
        <v>1969</v>
      </c>
      <c r="G9221" t="s">
        <v>14771</v>
      </c>
      <c r="H9221" t="s">
        <v>29715</v>
      </c>
      <c r="I9221" t="s">
        <v>29713</v>
      </c>
      <c r="J9221" t="s">
        <v>16866</v>
      </c>
      <c r="K9221" s="2" t="str">
        <f>HYPERLINK("http://collections.slsa.sa.gov.au/mpcimg/18750/B18706_8.htm")</f>
        <v>http://collections.slsa.sa.gov.au/mpcimg/18750/B18706_8.htm</v>
      </c>
    </row>
    <row r="9222" spans="1:11" x14ac:dyDescent="0.25">
      <c r="A9222" t="s">
        <v>29723</v>
      </c>
      <c r="B9222" s="1" t="str">
        <f>HYPERLINK("https://www.catalog.slsa.sa.gov.au/record=b2067288")</f>
        <v>https://www.catalog.slsa.sa.gov.au/record=b2067288</v>
      </c>
      <c r="C9222" s="1" t="str">
        <f>HYPERLINK("https://www.catalog.slsa.sa.gov.au/xrecord=b2067288")</f>
        <v>https://www.catalog.slsa.sa.gov.au/xrecord=b2067288</v>
      </c>
      <c r="D9222" t="s">
        <v>16831</v>
      </c>
      <c r="E9222" t="s">
        <v>16862</v>
      </c>
      <c r="F9222">
        <v>1969</v>
      </c>
      <c r="G9222" t="s">
        <v>14771</v>
      </c>
      <c r="H9222" t="s">
        <v>29724</v>
      </c>
      <c r="I9222" t="s">
        <v>29713</v>
      </c>
      <c r="J9222" t="s">
        <v>16866</v>
      </c>
      <c r="K9222" s="2" t="str">
        <f>HYPERLINK("http://collections.slsa.sa.gov.au/mpcimg/18750/B18706_9.htm")</f>
        <v>http://collections.slsa.sa.gov.au/mpcimg/18750/B18706_9.htm</v>
      </c>
    </row>
    <row r="9223" spans="1:11" x14ac:dyDescent="0.25">
      <c r="A9223" t="s">
        <v>29725</v>
      </c>
      <c r="B9223" s="1" t="str">
        <f>HYPERLINK("https://www.catalog.slsa.sa.gov.au/record=b2067289")</f>
        <v>https://www.catalog.slsa.sa.gov.au/record=b2067289</v>
      </c>
      <c r="C9223" s="1" t="str">
        <f>HYPERLINK("https://www.catalog.slsa.sa.gov.au/xrecord=b2067289")</f>
        <v>https://www.catalog.slsa.sa.gov.au/xrecord=b2067289</v>
      </c>
      <c r="D9223" t="s">
        <v>16831</v>
      </c>
      <c r="E9223" t="s">
        <v>16862</v>
      </c>
      <c r="F9223">
        <v>1969</v>
      </c>
      <c r="G9223" t="s">
        <v>16674</v>
      </c>
      <c r="H9223" t="s">
        <v>29726</v>
      </c>
      <c r="I9223" t="s">
        <v>29713</v>
      </c>
      <c r="J9223" t="s">
        <v>16866</v>
      </c>
      <c r="K9223" s="2" t="str">
        <f>HYPERLINK("http://collections.slsa.sa.gov.au/mpcimg/18750/B18706_10.htm")</f>
        <v>http://collections.slsa.sa.gov.au/mpcimg/18750/B18706_10.htm</v>
      </c>
    </row>
    <row r="9224" spans="1:11" x14ac:dyDescent="0.25">
      <c r="A9224" t="s">
        <v>29727</v>
      </c>
      <c r="B9224" s="1" t="str">
        <f>HYPERLINK("https://www.catalog.slsa.sa.gov.au/record=b2067290")</f>
        <v>https://www.catalog.slsa.sa.gov.au/record=b2067290</v>
      </c>
      <c r="C9224" s="1" t="str">
        <f>HYPERLINK("https://www.catalog.slsa.sa.gov.au/xrecord=b2067290")</f>
        <v>https://www.catalog.slsa.sa.gov.au/xrecord=b2067290</v>
      </c>
      <c r="D9224" t="s">
        <v>16831</v>
      </c>
      <c r="E9224" t="s">
        <v>16862</v>
      </c>
      <c r="F9224">
        <v>1969</v>
      </c>
      <c r="G9224" t="s">
        <v>14771</v>
      </c>
      <c r="H9224" t="s">
        <v>29712</v>
      </c>
      <c r="I9224" t="s">
        <v>29713</v>
      </c>
      <c r="J9224" t="s">
        <v>16866</v>
      </c>
      <c r="K9224" s="2" t="str">
        <f>HYPERLINK("http://collections.slsa.sa.gov.au/mpcimg/18750/B18706_11.htm")</f>
        <v>http://collections.slsa.sa.gov.au/mpcimg/18750/B18706_11.htm</v>
      </c>
    </row>
    <row r="9225" spans="1:11" x14ac:dyDescent="0.25">
      <c r="A9225" t="s">
        <v>29728</v>
      </c>
      <c r="B9225" s="1" t="str">
        <f>HYPERLINK("https://www.catalog.slsa.sa.gov.au/record=b2067291")</f>
        <v>https://www.catalog.slsa.sa.gov.au/record=b2067291</v>
      </c>
      <c r="C9225" s="1" t="str">
        <f>HYPERLINK("https://www.catalog.slsa.sa.gov.au/xrecord=b2067291")</f>
        <v>https://www.catalog.slsa.sa.gov.au/xrecord=b2067291</v>
      </c>
      <c r="D9225" t="s">
        <v>16831</v>
      </c>
      <c r="E9225" t="s">
        <v>16862</v>
      </c>
      <c r="F9225">
        <v>1969</v>
      </c>
      <c r="G9225" t="s">
        <v>14771</v>
      </c>
      <c r="H9225" t="s">
        <v>29729</v>
      </c>
      <c r="I9225" t="s">
        <v>29713</v>
      </c>
      <c r="J9225" t="s">
        <v>16866</v>
      </c>
      <c r="K9225" s="2" t="str">
        <f>HYPERLINK("http://collections.slsa.sa.gov.au/mpcimg/18750/B18706_12.htm")</f>
        <v>http://collections.slsa.sa.gov.au/mpcimg/18750/B18706_12.htm</v>
      </c>
    </row>
    <row r="9226" spans="1:11" x14ac:dyDescent="0.25">
      <c r="A9226" t="s">
        <v>29730</v>
      </c>
      <c r="B9226" s="1" t="str">
        <f>HYPERLINK("https://www.catalog.slsa.sa.gov.au/record=b2067292")</f>
        <v>https://www.catalog.slsa.sa.gov.au/record=b2067292</v>
      </c>
      <c r="C9226" s="1" t="str">
        <f>HYPERLINK("https://www.catalog.slsa.sa.gov.au/xrecord=b2067292")</f>
        <v>https://www.catalog.slsa.sa.gov.au/xrecord=b2067292</v>
      </c>
      <c r="D9226" t="s">
        <v>16831</v>
      </c>
      <c r="E9226" t="s">
        <v>16862</v>
      </c>
      <c r="F9226">
        <v>1969</v>
      </c>
      <c r="G9226" t="s">
        <v>14771</v>
      </c>
      <c r="H9226" t="s">
        <v>29729</v>
      </c>
      <c r="I9226" t="s">
        <v>29713</v>
      </c>
      <c r="J9226" t="s">
        <v>16866</v>
      </c>
      <c r="K9226" s="2" t="str">
        <f>HYPERLINK("http://collections.slsa.sa.gov.au/mpcimg/18750/B18706_13.htm")</f>
        <v>http://collections.slsa.sa.gov.au/mpcimg/18750/B18706_13.htm</v>
      </c>
    </row>
    <row r="9227" spans="1:11" x14ac:dyDescent="0.25">
      <c r="A9227" t="s">
        <v>29731</v>
      </c>
      <c r="B9227" s="1" t="str">
        <f>HYPERLINK("https://www.catalog.slsa.sa.gov.au/record=b2067293")</f>
        <v>https://www.catalog.slsa.sa.gov.au/record=b2067293</v>
      </c>
      <c r="C9227" s="1" t="str">
        <f>HYPERLINK("https://www.catalog.slsa.sa.gov.au/xrecord=b2067293")</f>
        <v>https://www.catalog.slsa.sa.gov.au/xrecord=b2067293</v>
      </c>
      <c r="D9227" t="s">
        <v>16831</v>
      </c>
      <c r="E9227" t="s">
        <v>16862</v>
      </c>
      <c r="F9227">
        <v>1969</v>
      </c>
      <c r="G9227" t="s">
        <v>14771</v>
      </c>
      <c r="H9227" t="s">
        <v>29732</v>
      </c>
      <c r="I9227" t="s">
        <v>29713</v>
      </c>
      <c r="J9227" t="s">
        <v>16866</v>
      </c>
      <c r="K9227" s="2" t="str">
        <f>HYPERLINK("http://collections.slsa.sa.gov.au/mpcimg/18750/B18706_14.htm")</f>
        <v>http://collections.slsa.sa.gov.au/mpcimg/18750/B18706_14.htm</v>
      </c>
    </row>
    <row r="9228" spans="1:11" x14ac:dyDescent="0.25">
      <c r="A9228" t="s">
        <v>29733</v>
      </c>
      <c r="B9228" s="1" t="str">
        <f>HYPERLINK("https://www.catalog.slsa.sa.gov.au/record=b2067294")</f>
        <v>https://www.catalog.slsa.sa.gov.au/record=b2067294</v>
      </c>
      <c r="C9228" s="1" t="str">
        <f>HYPERLINK("https://www.catalog.slsa.sa.gov.au/xrecord=b2067294")</f>
        <v>https://www.catalog.slsa.sa.gov.au/xrecord=b2067294</v>
      </c>
      <c r="D9228" t="s">
        <v>16831</v>
      </c>
      <c r="E9228" t="s">
        <v>16862</v>
      </c>
      <c r="F9228">
        <v>1969</v>
      </c>
      <c r="G9228" t="s">
        <v>14771</v>
      </c>
      <c r="H9228" t="s">
        <v>29734</v>
      </c>
      <c r="I9228" t="s">
        <v>29713</v>
      </c>
      <c r="J9228" t="s">
        <v>16866</v>
      </c>
      <c r="K9228" s="2" t="str">
        <f>HYPERLINK("http://collections.slsa.sa.gov.au/mpcimg/18750/B18706_15.htm")</f>
        <v>http://collections.slsa.sa.gov.au/mpcimg/18750/B18706_15.htm</v>
      </c>
    </row>
    <row r="9229" spans="1:11" x14ac:dyDescent="0.25">
      <c r="A9229" t="s">
        <v>29735</v>
      </c>
      <c r="B9229" s="1" t="str">
        <f>HYPERLINK("https://www.catalog.slsa.sa.gov.au/record=b2067295")</f>
        <v>https://www.catalog.slsa.sa.gov.au/record=b2067295</v>
      </c>
      <c r="C9229" s="1" t="str">
        <f>HYPERLINK("https://www.catalog.slsa.sa.gov.au/xrecord=b2067295")</f>
        <v>https://www.catalog.slsa.sa.gov.au/xrecord=b2067295</v>
      </c>
      <c r="D9229" t="s">
        <v>16831</v>
      </c>
      <c r="E9229" t="s">
        <v>16862</v>
      </c>
      <c r="F9229">
        <v>1969</v>
      </c>
      <c r="G9229" t="s">
        <v>14771</v>
      </c>
      <c r="H9229" t="s">
        <v>29734</v>
      </c>
      <c r="I9229" t="s">
        <v>29713</v>
      </c>
      <c r="J9229" t="s">
        <v>16866</v>
      </c>
      <c r="K9229" s="2" t="str">
        <f>HYPERLINK("http://collections.slsa.sa.gov.au/mpcimg/18750/B18706_16.htm")</f>
        <v>http://collections.slsa.sa.gov.au/mpcimg/18750/B18706_16.htm</v>
      </c>
    </row>
    <row r="9230" spans="1:11" x14ac:dyDescent="0.25">
      <c r="A9230" t="s">
        <v>29736</v>
      </c>
      <c r="B9230" s="1" t="str">
        <f>HYPERLINK("https://www.catalog.slsa.sa.gov.au/record=b2067296")</f>
        <v>https://www.catalog.slsa.sa.gov.au/record=b2067296</v>
      </c>
      <c r="C9230" s="1" t="str">
        <f>HYPERLINK("https://www.catalog.slsa.sa.gov.au/xrecord=b2067296")</f>
        <v>https://www.catalog.slsa.sa.gov.au/xrecord=b2067296</v>
      </c>
      <c r="D9230" t="s">
        <v>16831</v>
      </c>
      <c r="E9230" t="s">
        <v>16862</v>
      </c>
      <c r="F9230">
        <v>1969</v>
      </c>
      <c r="G9230" t="s">
        <v>14771</v>
      </c>
      <c r="H9230" t="s">
        <v>29712</v>
      </c>
      <c r="I9230" t="s">
        <v>29713</v>
      </c>
      <c r="J9230" t="s">
        <v>16866</v>
      </c>
      <c r="K9230" s="2" t="str">
        <f>HYPERLINK("http://collections.slsa.sa.gov.au/mpcimg/18750/B18706_17.htm")</f>
        <v>http://collections.slsa.sa.gov.au/mpcimg/18750/B18706_17.htm</v>
      </c>
    </row>
    <row r="9231" spans="1:11" x14ac:dyDescent="0.25">
      <c r="A9231" t="s">
        <v>29737</v>
      </c>
      <c r="B9231" s="1" t="str">
        <f>HYPERLINK("https://www.catalog.slsa.sa.gov.au/record=b2068249")</f>
        <v>https://www.catalog.slsa.sa.gov.au/record=b2068249</v>
      </c>
      <c r="C9231" s="1" t="str">
        <f>HYPERLINK("https://www.catalog.slsa.sa.gov.au/xrecord=b2068249")</f>
        <v>https://www.catalog.slsa.sa.gov.au/xrecord=b2068249</v>
      </c>
      <c r="D9231" t="s">
        <v>16831</v>
      </c>
      <c r="E9231" t="s">
        <v>16880</v>
      </c>
      <c r="F9231" t="s">
        <v>13409</v>
      </c>
      <c r="G9231" t="s">
        <v>14771</v>
      </c>
      <c r="H9231" t="s">
        <v>29738</v>
      </c>
      <c r="J9231" t="s">
        <v>16883</v>
      </c>
      <c r="K9231" s="2" t="str">
        <f>HYPERLINK("http://collections.slsa.sa.gov.au/mpcimg/19500/B19325.htm")</f>
        <v>http://collections.slsa.sa.gov.au/mpcimg/19500/B19325.htm</v>
      </c>
    </row>
    <row r="9232" spans="1:11" x14ac:dyDescent="0.25">
      <c r="A9232" t="s">
        <v>29739</v>
      </c>
      <c r="B9232" s="1" t="str">
        <f>HYPERLINK("https://www.catalog.slsa.sa.gov.au/record=b2068250")</f>
        <v>https://www.catalog.slsa.sa.gov.au/record=b2068250</v>
      </c>
      <c r="C9232" s="1" t="str">
        <f>HYPERLINK("https://www.catalog.slsa.sa.gov.au/xrecord=b2068250")</f>
        <v>https://www.catalog.slsa.sa.gov.au/xrecord=b2068250</v>
      </c>
      <c r="D9232" t="s">
        <v>16831</v>
      </c>
      <c r="E9232" t="s">
        <v>16880</v>
      </c>
      <c r="F9232" t="s">
        <v>13409</v>
      </c>
      <c r="G9232" t="s">
        <v>14771</v>
      </c>
      <c r="H9232" t="s">
        <v>29740</v>
      </c>
      <c r="J9232" t="s">
        <v>16883</v>
      </c>
      <c r="K9232" s="2" t="str">
        <f>HYPERLINK("http://collections.slsa.sa.gov.au/mpcimg/19500/B19326.htm")</f>
        <v>http://collections.slsa.sa.gov.au/mpcimg/19500/B19326.htm</v>
      </c>
    </row>
    <row r="9233" spans="1:11" x14ac:dyDescent="0.25">
      <c r="A9233" t="s">
        <v>29741</v>
      </c>
      <c r="B9233" s="1" t="str">
        <f>HYPERLINK("https://www.catalog.slsa.sa.gov.au/record=b2068251")</f>
        <v>https://www.catalog.slsa.sa.gov.au/record=b2068251</v>
      </c>
      <c r="C9233" s="1" t="str">
        <f>HYPERLINK("https://www.catalog.slsa.sa.gov.au/xrecord=b2068251")</f>
        <v>https://www.catalog.slsa.sa.gov.au/xrecord=b2068251</v>
      </c>
      <c r="D9233" t="s">
        <v>16831</v>
      </c>
      <c r="E9233" t="s">
        <v>16880</v>
      </c>
      <c r="F9233" t="s">
        <v>13409</v>
      </c>
      <c r="G9233" t="s">
        <v>14771</v>
      </c>
      <c r="H9233" t="s">
        <v>29740</v>
      </c>
      <c r="J9233" t="s">
        <v>16883</v>
      </c>
      <c r="K9233" s="2" t="str">
        <f>HYPERLINK("http://collections.slsa.sa.gov.au/mpcimg/19500/B19327.htm")</f>
        <v>http://collections.slsa.sa.gov.au/mpcimg/19500/B19327.htm</v>
      </c>
    </row>
    <row r="9234" spans="1:11" x14ac:dyDescent="0.25">
      <c r="A9234" t="s">
        <v>29742</v>
      </c>
      <c r="B9234" s="1" t="str">
        <f>HYPERLINK("https://www.catalog.slsa.sa.gov.au/record=b2068252")</f>
        <v>https://www.catalog.slsa.sa.gov.au/record=b2068252</v>
      </c>
      <c r="C9234" s="1" t="str">
        <f>HYPERLINK("https://www.catalog.slsa.sa.gov.au/xrecord=b2068252")</f>
        <v>https://www.catalog.slsa.sa.gov.au/xrecord=b2068252</v>
      </c>
      <c r="D9234" t="s">
        <v>16831</v>
      </c>
      <c r="E9234" t="s">
        <v>16880</v>
      </c>
      <c r="F9234" t="s">
        <v>13409</v>
      </c>
      <c r="G9234" t="s">
        <v>14771</v>
      </c>
      <c r="H9234" t="s">
        <v>29740</v>
      </c>
      <c r="J9234" t="s">
        <v>16883</v>
      </c>
      <c r="K9234" s="2" t="str">
        <f>HYPERLINK("http://collections.slsa.sa.gov.au/mpcimg/19500/B19328.htm")</f>
        <v>http://collections.slsa.sa.gov.au/mpcimg/19500/B19328.htm</v>
      </c>
    </row>
    <row r="9235" spans="1:11" x14ac:dyDescent="0.25">
      <c r="A9235" t="s">
        <v>29743</v>
      </c>
      <c r="B9235" s="1" t="str">
        <f>HYPERLINK("https://www.catalog.slsa.sa.gov.au/record=b2068253")</f>
        <v>https://www.catalog.slsa.sa.gov.au/record=b2068253</v>
      </c>
      <c r="C9235" s="1" t="str">
        <f>HYPERLINK("https://www.catalog.slsa.sa.gov.au/xrecord=b2068253")</f>
        <v>https://www.catalog.slsa.sa.gov.au/xrecord=b2068253</v>
      </c>
      <c r="D9235" t="s">
        <v>16831</v>
      </c>
      <c r="E9235" t="s">
        <v>16880</v>
      </c>
      <c r="F9235" t="s">
        <v>13409</v>
      </c>
      <c r="G9235" t="s">
        <v>14771</v>
      </c>
      <c r="H9235" t="s">
        <v>29740</v>
      </c>
      <c r="J9235" t="s">
        <v>16883</v>
      </c>
      <c r="K9235" s="2" t="str">
        <f>HYPERLINK("http://collections.slsa.sa.gov.au/mpcimg/19500/B19329.htm")</f>
        <v>http://collections.slsa.sa.gov.au/mpcimg/19500/B19329.htm</v>
      </c>
    </row>
    <row r="9236" spans="1:11" x14ac:dyDescent="0.25">
      <c r="A9236" t="s">
        <v>29744</v>
      </c>
      <c r="B9236" s="1" t="str">
        <f>HYPERLINK("https://www.catalog.slsa.sa.gov.au/record=b2068254")</f>
        <v>https://www.catalog.slsa.sa.gov.au/record=b2068254</v>
      </c>
      <c r="C9236" s="1" t="str">
        <f>HYPERLINK("https://www.catalog.slsa.sa.gov.au/xrecord=b2068254")</f>
        <v>https://www.catalog.slsa.sa.gov.au/xrecord=b2068254</v>
      </c>
      <c r="D9236" t="s">
        <v>16831</v>
      </c>
      <c r="E9236" t="s">
        <v>16880</v>
      </c>
      <c r="F9236" t="s">
        <v>13409</v>
      </c>
      <c r="G9236" t="s">
        <v>14771</v>
      </c>
      <c r="H9236" t="s">
        <v>29740</v>
      </c>
      <c r="J9236" t="s">
        <v>16883</v>
      </c>
      <c r="K9236" s="2" t="str">
        <f>HYPERLINK("http://collections.slsa.sa.gov.au/mpcimg/19500/B19330.htm")</f>
        <v>http://collections.slsa.sa.gov.au/mpcimg/19500/B19330.htm</v>
      </c>
    </row>
    <row r="9237" spans="1:11" x14ac:dyDescent="0.25">
      <c r="A9237" t="s">
        <v>29745</v>
      </c>
      <c r="B9237" s="1" t="str">
        <f>HYPERLINK("https://www.catalog.slsa.sa.gov.au/record=b2068255")</f>
        <v>https://www.catalog.slsa.sa.gov.au/record=b2068255</v>
      </c>
      <c r="C9237" s="1" t="str">
        <f>HYPERLINK("https://www.catalog.slsa.sa.gov.au/xrecord=b2068255")</f>
        <v>https://www.catalog.slsa.sa.gov.au/xrecord=b2068255</v>
      </c>
      <c r="D9237" t="s">
        <v>16831</v>
      </c>
      <c r="E9237" t="s">
        <v>16880</v>
      </c>
      <c r="F9237" t="s">
        <v>13409</v>
      </c>
      <c r="G9237" t="s">
        <v>14771</v>
      </c>
      <c r="H9237" t="s">
        <v>29740</v>
      </c>
      <c r="J9237" t="s">
        <v>16883</v>
      </c>
      <c r="K9237" s="2" t="str">
        <f>HYPERLINK("http://collections.slsa.sa.gov.au/mpcimg/19500/B19331.htm")</f>
        <v>http://collections.slsa.sa.gov.au/mpcimg/19500/B19331.htm</v>
      </c>
    </row>
    <row r="9238" spans="1:11" x14ac:dyDescent="0.25">
      <c r="A9238" t="s">
        <v>29746</v>
      </c>
      <c r="B9238" s="1" t="str">
        <f>HYPERLINK("https://www.catalog.slsa.sa.gov.au/record=b2068256")</f>
        <v>https://www.catalog.slsa.sa.gov.au/record=b2068256</v>
      </c>
      <c r="C9238" s="1" t="str">
        <f>HYPERLINK("https://www.catalog.slsa.sa.gov.au/xrecord=b2068256")</f>
        <v>https://www.catalog.slsa.sa.gov.au/xrecord=b2068256</v>
      </c>
      <c r="D9238" t="s">
        <v>16831</v>
      </c>
      <c r="E9238" t="s">
        <v>16880</v>
      </c>
      <c r="F9238" t="s">
        <v>13409</v>
      </c>
      <c r="G9238" t="s">
        <v>14771</v>
      </c>
      <c r="H9238" t="s">
        <v>29740</v>
      </c>
      <c r="J9238" t="s">
        <v>16883</v>
      </c>
      <c r="K9238" s="2" t="str">
        <f>HYPERLINK("http://collections.slsa.sa.gov.au/mpcimg/19500/B19332.htm")</f>
        <v>http://collections.slsa.sa.gov.au/mpcimg/19500/B19332.htm</v>
      </c>
    </row>
    <row r="9239" spans="1:11" x14ac:dyDescent="0.25">
      <c r="A9239" t="s">
        <v>29747</v>
      </c>
      <c r="B9239" s="1" t="str">
        <f>HYPERLINK("https://www.catalog.slsa.sa.gov.au/record=b2068257")</f>
        <v>https://www.catalog.slsa.sa.gov.au/record=b2068257</v>
      </c>
      <c r="C9239" s="1" t="str">
        <f>HYPERLINK("https://www.catalog.slsa.sa.gov.au/xrecord=b2068257")</f>
        <v>https://www.catalog.slsa.sa.gov.au/xrecord=b2068257</v>
      </c>
      <c r="D9239" t="s">
        <v>16831</v>
      </c>
      <c r="E9239" t="s">
        <v>16880</v>
      </c>
      <c r="F9239" t="s">
        <v>13409</v>
      </c>
      <c r="G9239" t="s">
        <v>14771</v>
      </c>
      <c r="H9239" t="s">
        <v>29740</v>
      </c>
      <c r="J9239" t="s">
        <v>16883</v>
      </c>
      <c r="K9239" s="2" t="str">
        <f>HYPERLINK("http://collections.slsa.sa.gov.au/mpcimg/19500/B19333.htm")</f>
        <v>http://collections.slsa.sa.gov.au/mpcimg/19500/B19333.htm</v>
      </c>
    </row>
    <row r="9240" spans="1:11" x14ac:dyDescent="0.25">
      <c r="A9240" t="s">
        <v>29748</v>
      </c>
      <c r="B9240" s="1" t="str">
        <f>HYPERLINK("https://www.catalog.slsa.sa.gov.au/record=b2068258")</f>
        <v>https://www.catalog.slsa.sa.gov.au/record=b2068258</v>
      </c>
      <c r="C9240" s="1" t="str">
        <f>HYPERLINK("https://www.catalog.slsa.sa.gov.au/xrecord=b2068258")</f>
        <v>https://www.catalog.slsa.sa.gov.au/xrecord=b2068258</v>
      </c>
      <c r="D9240" t="s">
        <v>16831</v>
      </c>
      <c r="E9240" t="s">
        <v>16880</v>
      </c>
      <c r="F9240" t="s">
        <v>13409</v>
      </c>
      <c r="G9240" t="s">
        <v>14771</v>
      </c>
      <c r="H9240" t="s">
        <v>29749</v>
      </c>
      <c r="J9240" t="s">
        <v>16883</v>
      </c>
      <c r="K9240" s="2" t="str">
        <f>HYPERLINK("http://collections.slsa.sa.gov.au/mpcimg/19500/B19334.htm")</f>
        <v>http://collections.slsa.sa.gov.au/mpcimg/19500/B19334.htm</v>
      </c>
    </row>
    <row r="9241" spans="1:11" x14ac:dyDescent="0.25">
      <c r="A9241" t="s">
        <v>29750</v>
      </c>
      <c r="B9241" s="1" t="str">
        <f>HYPERLINK("https://www.catalog.slsa.sa.gov.au/record=b2068259")</f>
        <v>https://www.catalog.slsa.sa.gov.au/record=b2068259</v>
      </c>
      <c r="C9241" s="1" t="str">
        <f>HYPERLINK("https://www.catalog.slsa.sa.gov.au/xrecord=b2068259")</f>
        <v>https://www.catalog.slsa.sa.gov.au/xrecord=b2068259</v>
      </c>
      <c r="D9241" t="s">
        <v>16831</v>
      </c>
      <c r="E9241" t="s">
        <v>16880</v>
      </c>
      <c r="F9241" t="s">
        <v>13409</v>
      </c>
      <c r="G9241" t="s">
        <v>14771</v>
      </c>
      <c r="H9241" t="s">
        <v>29740</v>
      </c>
      <c r="J9241" t="s">
        <v>16883</v>
      </c>
      <c r="K9241" s="2" t="str">
        <f>HYPERLINK("http://collections.slsa.sa.gov.au/mpcimg/19500/B19335.htm")</f>
        <v>http://collections.slsa.sa.gov.au/mpcimg/19500/B19335.htm</v>
      </c>
    </row>
    <row r="9242" spans="1:11" x14ac:dyDescent="0.25">
      <c r="A9242" t="s">
        <v>29751</v>
      </c>
      <c r="B9242" s="1" t="str">
        <f>HYPERLINK("https://www.catalog.slsa.sa.gov.au/record=b2068260")</f>
        <v>https://www.catalog.slsa.sa.gov.au/record=b2068260</v>
      </c>
      <c r="C9242" s="1" t="str">
        <f>HYPERLINK("https://www.catalog.slsa.sa.gov.au/xrecord=b2068260")</f>
        <v>https://www.catalog.slsa.sa.gov.au/xrecord=b2068260</v>
      </c>
      <c r="D9242" t="s">
        <v>16831</v>
      </c>
      <c r="E9242" t="s">
        <v>16880</v>
      </c>
      <c r="F9242" t="s">
        <v>13409</v>
      </c>
      <c r="G9242" t="s">
        <v>14771</v>
      </c>
      <c r="H9242" t="s">
        <v>29740</v>
      </c>
      <c r="J9242" t="s">
        <v>16883</v>
      </c>
      <c r="K9242" s="2" t="str">
        <f>HYPERLINK("http://collections.slsa.sa.gov.au/mpcimg/19500/B19336.htm")</f>
        <v>http://collections.slsa.sa.gov.au/mpcimg/19500/B19336.htm</v>
      </c>
    </row>
    <row r="9243" spans="1:11" x14ac:dyDescent="0.25">
      <c r="A9243" t="s">
        <v>29752</v>
      </c>
      <c r="B9243" s="1" t="str">
        <f>HYPERLINK("https://www.catalog.slsa.sa.gov.au/record=b2054724")</f>
        <v>https://www.catalog.slsa.sa.gov.au/record=b2054724</v>
      </c>
      <c r="C9243" s="1" t="str">
        <f>HYPERLINK("https://www.catalog.slsa.sa.gov.au/xrecord=b2054724")</f>
        <v>https://www.catalog.slsa.sa.gov.au/xrecord=b2054724</v>
      </c>
      <c r="D9243" t="s">
        <v>16831</v>
      </c>
      <c r="E9243" t="s">
        <v>16771</v>
      </c>
      <c r="F9243">
        <v>1970</v>
      </c>
      <c r="G9243" t="s">
        <v>29511</v>
      </c>
      <c r="H9243" t="s">
        <v>29753</v>
      </c>
      <c r="J9243" t="s">
        <v>17113</v>
      </c>
      <c r="K9243" s="2" t="str">
        <f>HYPERLINK("http://collections.slsa.sa.gov.au/mpcimg/20000/B19984.htm")</f>
        <v>http://collections.slsa.sa.gov.au/mpcimg/20000/B19984.htm</v>
      </c>
    </row>
    <row r="9244" spans="1:11" x14ac:dyDescent="0.25">
      <c r="A9244" t="s">
        <v>29754</v>
      </c>
      <c r="B9244" s="1" t="str">
        <f>HYPERLINK("https://www.catalog.slsa.sa.gov.au/record=b2054821")</f>
        <v>https://www.catalog.slsa.sa.gov.au/record=b2054821</v>
      </c>
      <c r="C9244" s="1" t="str">
        <f>HYPERLINK("https://www.catalog.slsa.sa.gov.au/xrecord=b2054821")</f>
        <v>https://www.catalog.slsa.sa.gov.au/xrecord=b2054821</v>
      </c>
      <c r="D9244" t="s">
        <v>16831</v>
      </c>
      <c r="E9244" t="s">
        <v>29755</v>
      </c>
      <c r="F9244">
        <v>1970</v>
      </c>
      <c r="G9244" t="s">
        <v>29756</v>
      </c>
      <c r="H9244" t="s">
        <v>29757</v>
      </c>
      <c r="J9244" t="s">
        <v>27990</v>
      </c>
      <c r="K9244" s="2" t="str">
        <f>HYPERLINK("http://collections.slsa.sa.gov.au/mpcimg/20750/B20657.htm")</f>
        <v>http://collections.slsa.sa.gov.au/mpcimg/20750/B20657.htm</v>
      </c>
    </row>
    <row r="9245" spans="1:11" x14ac:dyDescent="0.25">
      <c r="A9245" t="s">
        <v>29758</v>
      </c>
      <c r="B9245" s="1" t="str">
        <f>HYPERLINK("https://www.catalog.slsa.sa.gov.au/record=b2054822")</f>
        <v>https://www.catalog.slsa.sa.gov.au/record=b2054822</v>
      </c>
      <c r="C9245" s="1" t="str">
        <f>HYPERLINK("https://www.catalog.slsa.sa.gov.au/xrecord=b2054822")</f>
        <v>https://www.catalog.slsa.sa.gov.au/xrecord=b2054822</v>
      </c>
      <c r="D9245" t="s">
        <v>16831</v>
      </c>
      <c r="E9245" t="s">
        <v>29759</v>
      </c>
      <c r="F9245">
        <v>1970</v>
      </c>
      <c r="G9245" t="s">
        <v>16792</v>
      </c>
      <c r="H9245" t="s">
        <v>29760</v>
      </c>
      <c r="J9245" t="s">
        <v>27990</v>
      </c>
      <c r="K9245" s="2" t="str">
        <f>HYPERLINK("http://collections.slsa.sa.gov.au/mpcimg/20750/B20658.htm")</f>
        <v>http://collections.slsa.sa.gov.au/mpcimg/20750/B20658.htm</v>
      </c>
    </row>
    <row r="9246" spans="1:11" x14ac:dyDescent="0.25">
      <c r="A9246" t="s">
        <v>29761</v>
      </c>
      <c r="B9246" s="1" t="str">
        <f>HYPERLINK("https://www.catalog.slsa.sa.gov.au/record=b2054823")</f>
        <v>https://www.catalog.slsa.sa.gov.au/record=b2054823</v>
      </c>
      <c r="C9246" s="1" t="str">
        <f>HYPERLINK("https://www.catalog.slsa.sa.gov.au/xrecord=b2054823")</f>
        <v>https://www.catalog.slsa.sa.gov.au/xrecord=b2054823</v>
      </c>
      <c r="D9246" t="s">
        <v>16831</v>
      </c>
      <c r="E9246" t="s">
        <v>29759</v>
      </c>
      <c r="F9246">
        <v>1970</v>
      </c>
      <c r="G9246" t="s">
        <v>19065</v>
      </c>
      <c r="H9246" t="s">
        <v>29762</v>
      </c>
      <c r="J9246" t="s">
        <v>27990</v>
      </c>
      <c r="K9246" s="2" t="str">
        <f>HYPERLINK("http://collections.slsa.sa.gov.au/mpcimg/20750/B20659.htm")</f>
        <v>http://collections.slsa.sa.gov.au/mpcimg/20750/B20659.htm</v>
      </c>
    </row>
    <row r="9247" spans="1:11" x14ac:dyDescent="0.25">
      <c r="A9247" t="s">
        <v>29763</v>
      </c>
      <c r="B9247" s="1" t="str">
        <f>HYPERLINK("https://www.catalog.slsa.sa.gov.au/record=b2056443")</f>
        <v>https://www.catalog.slsa.sa.gov.au/record=b2056443</v>
      </c>
      <c r="C9247" s="1" t="str">
        <f>HYPERLINK("https://www.catalog.slsa.sa.gov.au/xrecord=b2056443")</f>
        <v>https://www.catalog.slsa.sa.gov.au/xrecord=b2056443</v>
      </c>
      <c r="D9247" t="s">
        <v>16831</v>
      </c>
      <c r="E9247" t="s">
        <v>29764</v>
      </c>
      <c r="F9247">
        <v>1970</v>
      </c>
      <c r="G9247" t="s">
        <v>29765</v>
      </c>
      <c r="H9247" t="s">
        <v>29766</v>
      </c>
      <c r="J9247" t="s">
        <v>20914</v>
      </c>
      <c r="K9247" s="2" t="str">
        <f>HYPERLINK("http://collections.slsa.sa.gov.au/mpcimg/21250/B21110.htm")</f>
        <v>http://collections.slsa.sa.gov.au/mpcimg/21250/B21110.htm</v>
      </c>
    </row>
    <row r="9248" spans="1:11" x14ac:dyDescent="0.25">
      <c r="A9248" t="s">
        <v>29767</v>
      </c>
      <c r="B9248" s="1" t="str">
        <f>HYPERLINK("https://www.catalog.slsa.sa.gov.au/record=b2056966")</f>
        <v>https://www.catalog.slsa.sa.gov.au/record=b2056966</v>
      </c>
      <c r="C9248" s="1" t="str">
        <f>HYPERLINK("https://www.catalog.slsa.sa.gov.au/xrecord=b2056966")</f>
        <v>https://www.catalog.slsa.sa.gov.au/xrecord=b2056966</v>
      </c>
      <c r="D9248" t="s">
        <v>16831</v>
      </c>
      <c r="E9248" t="s">
        <v>16791</v>
      </c>
      <c r="F9248">
        <v>1970</v>
      </c>
      <c r="G9248" t="s">
        <v>29765</v>
      </c>
      <c r="H9248" t="s">
        <v>29768</v>
      </c>
      <c r="J9248" t="s">
        <v>24031</v>
      </c>
      <c r="K9248" s="2" t="str">
        <f>HYPERLINK("http://collections.slsa.sa.gov.au/mpcimg/21250/B21106.htm")</f>
        <v>http://collections.slsa.sa.gov.au/mpcimg/21250/B21106.htm</v>
      </c>
    </row>
    <row r="9249" spans="1:11" x14ac:dyDescent="0.25">
      <c r="A9249" t="s">
        <v>29769</v>
      </c>
      <c r="B9249" s="1" t="str">
        <f>HYPERLINK("https://www.catalog.slsa.sa.gov.au/record=b2057042")</f>
        <v>https://www.catalog.slsa.sa.gov.au/record=b2057042</v>
      </c>
      <c r="C9249" s="1" t="str">
        <f>HYPERLINK("https://www.catalog.slsa.sa.gov.au/xrecord=b2057042")</f>
        <v>https://www.catalog.slsa.sa.gov.au/xrecord=b2057042</v>
      </c>
      <c r="D9249" t="s">
        <v>16831</v>
      </c>
      <c r="E9249" t="s">
        <v>29770</v>
      </c>
      <c r="F9249">
        <v>1970</v>
      </c>
      <c r="G9249" t="s">
        <v>29765</v>
      </c>
      <c r="H9249" t="s">
        <v>29771</v>
      </c>
      <c r="J9249" t="s">
        <v>20935</v>
      </c>
      <c r="K9249" s="2" t="str">
        <f>HYPERLINK("http://collections.slsa.sa.gov.au/mpcimg/21250/B21120.htm")</f>
        <v>http://collections.slsa.sa.gov.au/mpcimg/21250/B21120.htm</v>
      </c>
    </row>
    <row r="9250" spans="1:11" x14ac:dyDescent="0.25">
      <c r="A9250" t="s">
        <v>29772</v>
      </c>
      <c r="B9250" s="1" t="str">
        <f>HYPERLINK("https://www.catalog.slsa.sa.gov.au/record=b2057043")</f>
        <v>https://www.catalog.slsa.sa.gov.au/record=b2057043</v>
      </c>
      <c r="C9250" s="1" t="str">
        <f>HYPERLINK("https://www.catalog.slsa.sa.gov.au/xrecord=b2057043")</f>
        <v>https://www.catalog.slsa.sa.gov.au/xrecord=b2057043</v>
      </c>
      <c r="D9250" t="s">
        <v>16831</v>
      </c>
      <c r="E9250" t="s">
        <v>29070</v>
      </c>
      <c r="F9250">
        <v>1970</v>
      </c>
      <c r="G9250" t="s">
        <v>29765</v>
      </c>
      <c r="H9250" t="s">
        <v>29773</v>
      </c>
      <c r="J9250" t="s">
        <v>20935</v>
      </c>
      <c r="K9250" s="2" t="str">
        <f>HYPERLINK("http://collections.slsa.sa.gov.au/mpcimg/21250/B21121.htm")</f>
        <v>http://collections.slsa.sa.gov.au/mpcimg/21250/B21121.htm</v>
      </c>
    </row>
    <row r="9251" spans="1:11" x14ac:dyDescent="0.25">
      <c r="A9251" t="s">
        <v>29774</v>
      </c>
      <c r="B9251" s="1" t="str">
        <f>HYPERLINK("https://www.catalog.slsa.sa.gov.au/record=b2057968")</f>
        <v>https://www.catalog.slsa.sa.gov.au/record=b2057968</v>
      </c>
      <c r="C9251" s="1" t="str">
        <f>HYPERLINK("https://www.catalog.slsa.sa.gov.au/xrecord=b2057968")</f>
        <v>https://www.catalog.slsa.sa.gov.au/xrecord=b2057968</v>
      </c>
      <c r="D9251" t="s">
        <v>16831</v>
      </c>
      <c r="E9251" t="s">
        <v>20933</v>
      </c>
      <c r="F9251">
        <v>1970</v>
      </c>
      <c r="G9251" t="s">
        <v>14771</v>
      </c>
      <c r="H9251" t="s">
        <v>29775</v>
      </c>
      <c r="J9251" t="s">
        <v>18650</v>
      </c>
      <c r="K9251" s="2" t="str">
        <f>HYPERLINK("http://collections.slsa.sa.gov.au/mpcimg/19500/B19499.htm")</f>
        <v>http://collections.slsa.sa.gov.au/mpcimg/19500/B19499.htm</v>
      </c>
    </row>
    <row r="9252" spans="1:11" x14ac:dyDescent="0.25">
      <c r="A9252" t="s">
        <v>29776</v>
      </c>
      <c r="B9252" s="1" t="str">
        <f>HYPERLINK("https://www.catalog.slsa.sa.gov.au/record=b2059473")</f>
        <v>https://www.catalog.slsa.sa.gov.au/record=b2059473</v>
      </c>
      <c r="C9252" s="1" t="str">
        <f>HYPERLINK("https://www.catalog.slsa.sa.gov.au/xrecord=b2059473")</f>
        <v>https://www.catalog.slsa.sa.gov.au/xrecord=b2059473</v>
      </c>
      <c r="D9252" t="s">
        <v>16831</v>
      </c>
      <c r="E9252" t="s">
        <v>29777</v>
      </c>
      <c r="F9252">
        <v>1970</v>
      </c>
      <c r="G9252" t="s">
        <v>14771</v>
      </c>
      <c r="H9252" t="s">
        <v>29778</v>
      </c>
      <c r="J9252" t="s">
        <v>29086</v>
      </c>
      <c r="K9252" s="2" t="str">
        <f>HYPERLINK("http://collections.slsa.sa.gov.au/mpcimg/19500/B19363.htm")</f>
        <v>http://collections.slsa.sa.gov.au/mpcimg/19500/B19363.htm</v>
      </c>
    </row>
    <row r="9253" spans="1:11" x14ac:dyDescent="0.25">
      <c r="A9253" t="s">
        <v>29779</v>
      </c>
      <c r="B9253" s="1" t="str">
        <f>HYPERLINK("https://www.catalog.slsa.sa.gov.au/record=b2059474")</f>
        <v>https://www.catalog.slsa.sa.gov.au/record=b2059474</v>
      </c>
      <c r="C9253" s="1" t="str">
        <f>HYPERLINK("https://www.catalog.slsa.sa.gov.au/xrecord=b2059474")</f>
        <v>https://www.catalog.slsa.sa.gov.au/xrecord=b2059474</v>
      </c>
      <c r="D9253" t="s">
        <v>16831</v>
      </c>
      <c r="E9253" t="s">
        <v>29780</v>
      </c>
      <c r="F9253">
        <v>1970</v>
      </c>
      <c r="G9253" t="s">
        <v>14771</v>
      </c>
      <c r="H9253" t="s">
        <v>29781</v>
      </c>
      <c r="J9253" t="s">
        <v>29086</v>
      </c>
      <c r="K9253" s="2" t="str">
        <f>HYPERLINK("http://collections.slsa.sa.gov.au/mpcimg/19500/B19364.htm")</f>
        <v>http://collections.slsa.sa.gov.au/mpcimg/19500/B19364.htm</v>
      </c>
    </row>
    <row r="9254" spans="1:11" x14ac:dyDescent="0.25">
      <c r="A9254" t="s">
        <v>29782</v>
      </c>
      <c r="B9254" s="1" t="str">
        <f>HYPERLINK("https://www.catalog.slsa.sa.gov.au/record=b2059599")</f>
        <v>https://www.catalog.slsa.sa.gov.au/record=b2059599</v>
      </c>
      <c r="C9254" s="1" t="str">
        <f>HYPERLINK("https://www.catalog.slsa.sa.gov.au/xrecord=b2059599")</f>
        <v>https://www.catalog.slsa.sa.gov.au/xrecord=b2059599</v>
      </c>
      <c r="D9254" t="s">
        <v>16831</v>
      </c>
      <c r="E9254" t="s">
        <v>22149</v>
      </c>
      <c r="F9254">
        <v>1970</v>
      </c>
      <c r="G9254" t="s">
        <v>29783</v>
      </c>
      <c r="H9254" t="s">
        <v>29784</v>
      </c>
      <c r="J9254" t="s">
        <v>27336</v>
      </c>
      <c r="K9254" s="2" t="str">
        <f>HYPERLINK("http://collections.slsa.sa.gov.au/mpcimg/20750/B20639.htm")</f>
        <v>http://collections.slsa.sa.gov.au/mpcimg/20750/B20639.htm</v>
      </c>
    </row>
    <row r="9255" spans="1:11" x14ac:dyDescent="0.25">
      <c r="A9255" t="s">
        <v>29785</v>
      </c>
      <c r="B9255" s="1" t="str">
        <f>HYPERLINK("https://www.catalog.slsa.sa.gov.au/record=b2059661")</f>
        <v>https://www.catalog.slsa.sa.gov.au/record=b2059661</v>
      </c>
      <c r="C9255" s="1" t="str">
        <f>HYPERLINK("https://www.catalog.slsa.sa.gov.au/xrecord=b2059661")</f>
        <v>https://www.catalog.slsa.sa.gov.au/xrecord=b2059661</v>
      </c>
      <c r="D9255" t="s">
        <v>16831</v>
      </c>
      <c r="E9255" t="s">
        <v>29786</v>
      </c>
      <c r="F9255">
        <v>1970</v>
      </c>
      <c r="G9255" t="s">
        <v>14771</v>
      </c>
      <c r="H9255" t="s">
        <v>29787</v>
      </c>
      <c r="J9255" t="s">
        <v>20098</v>
      </c>
      <c r="K9255" s="2" t="str">
        <f>HYPERLINK("http://collections.slsa.sa.gov.au/mpcimg/19500/B19458.htm")</f>
        <v>http://collections.slsa.sa.gov.au/mpcimg/19500/B19458.htm</v>
      </c>
    </row>
    <row r="9256" spans="1:11" x14ac:dyDescent="0.25">
      <c r="A9256" t="s">
        <v>29788</v>
      </c>
      <c r="B9256" s="1" t="str">
        <f>HYPERLINK("https://www.catalog.slsa.sa.gov.au/record=b2060827")</f>
        <v>https://www.catalog.slsa.sa.gov.au/record=b2060827</v>
      </c>
      <c r="C9256" s="1" t="str">
        <f>HYPERLINK("https://www.catalog.slsa.sa.gov.au/xrecord=b2060827")</f>
        <v>https://www.catalog.slsa.sa.gov.au/xrecord=b2060827</v>
      </c>
      <c r="D9256" t="s">
        <v>16831</v>
      </c>
      <c r="E9256" t="s">
        <v>29789</v>
      </c>
      <c r="F9256">
        <v>1970</v>
      </c>
      <c r="G9256" t="s">
        <v>14771</v>
      </c>
      <c r="H9256" t="s">
        <v>29790</v>
      </c>
      <c r="J9256" t="s">
        <v>28810</v>
      </c>
      <c r="K9256" s="2" t="str">
        <f>HYPERLINK("http://collections.slsa.sa.gov.au/mpcimg/19500/B19442.htm")</f>
        <v>http://collections.slsa.sa.gov.au/mpcimg/19500/B19442.htm</v>
      </c>
    </row>
    <row r="9257" spans="1:11" x14ac:dyDescent="0.25">
      <c r="A9257" t="s">
        <v>29791</v>
      </c>
      <c r="B9257" s="1" t="str">
        <f>HYPERLINK("https://www.catalog.slsa.sa.gov.au/record=b2060909")</f>
        <v>https://www.catalog.slsa.sa.gov.au/record=b2060909</v>
      </c>
      <c r="C9257" s="1" t="str">
        <f>HYPERLINK("https://www.catalog.slsa.sa.gov.au/xrecord=b2060909")</f>
        <v>https://www.catalog.slsa.sa.gov.au/xrecord=b2060909</v>
      </c>
      <c r="D9257" t="s">
        <v>16831</v>
      </c>
      <c r="E9257" t="s">
        <v>21099</v>
      </c>
      <c r="F9257">
        <v>1970</v>
      </c>
      <c r="G9257" t="s">
        <v>14771</v>
      </c>
      <c r="H9257" t="s">
        <v>29792</v>
      </c>
      <c r="J9257" t="s">
        <v>29793</v>
      </c>
      <c r="K9257" s="2" t="str">
        <f>HYPERLINK("http://collections.slsa.sa.gov.au/mpcimg/19500/B19441.htm")</f>
        <v>http://collections.slsa.sa.gov.au/mpcimg/19500/B19441.htm</v>
      </c>
    </row>
    <row r="9258" spans="1:11" x14ac:dyDescent="0.25">
      <c r="A9258" t="s">
        <v>29794</v>
      </c>
      <c r="B9258" s="1" t="str">
        <f>HYPERLINK("https://www.catalog.slsa.sa.gov.au/record=b2061371")</f>
        <v>https://www.catalog.slsa.sa.gov.au/record=b2061371</v>
      </c>
      <c r="C9258" s="1" t="str">
        <f>HYPERLINK("https://www.catalog.slsa.sa.gov.au/xrecord=b2061371")</f>
        <v>https://www.catalog.slsa.sa.gov.au/xrecord=b2061371</v>
      </c>
      <c r="D9258" t="s">
        <v>16831</v>
      </c>
      <c r="E9258" t="s">
        <v>29795</v>
      </c>
      <c r="F9258">
        <v>1970</v>
      </c>
      <c r="G9258" t="s">
        <v>29796</v>
      </c>
      <c r="H9258" t="s">
        <v>29797</v>
      </c>
      <c r="J9258" t="s">
        <v>28434</v>
      </c>
      <c r="K9258" s="2" t="str">
        <f>HYPERLINK("http://collections.slsa.sa.gov.au/mpcimg/20750/B20641.htm")</f>
        <v>http://collections.slsa.sa.gov.au/mpcimg/20750/B20641.htm</v>
      </c>
    </row>
    <row r="9259" spans="1:11" x14ac:dyDescent="0.25">
      <c r="A9259" t="s">
        <v>29798</v>
      </c>
      <c r="B9259" s="1" t="str">
        <f>HYPERLINK("https://www.catalog.slsa.sa.gov.au/record=b2061372")</f>
        <v>https://www.catalog.slsa.sa.gov.au/record=b2061372</v>
      </c>
      <c r="C9259" s="1" t="str">
        <f>HYPERLINK("https://www.catalog.slsa.sa.gov.au/xrecord=b2061372")</f>
        <v>https://www.catalog.slsa.sa.gov.au/xrecord=b2061372</v>
      </c>
      <c r="D9259" t="s">
        <v>16831</v>
      </c>
      <c r="E9259" t="s">
        <v>29799</v>
      </c>
      <c r="F9259">
        <v>1970</v>
      </c>
      <c r="G9259" t="s">
        <v>29765</v>
      </c>
      <c r="H9259" t="s">
        <v>29800</v>
      </c>
      <c r="J9259" t="s">
        <v>28434</v>
      </c>
      <c r="K9259" s="2" t="str">
        <f>HYPERLINK("http://collections.slsa.sa.gov.au/mpcimg/21500/B21254.htm")</f>
        <v>http://collections.slsa.sa.gov.au/mpcimg/21500/B21254.htm</v>
      </c>
    </row>
    <row r="9260" spans="1:11" x14ac:dyDescent="0.25">
      <c r="A9260" t="s">
        <v>29801</v>
      </c>
      <c r="B9260" s="1" t="str">
        <f>HYPERLINK("https://www.catalog.slsa.sa.gov.au/record=b2061377")</f>
        <v>https://www.catalog.slsa.sa.gov.au/record=b2061377</v>
      </c>
      <c r="C9260" s="1" t="str">
        <f>HYPERLINK("https://www.catalog.slsa.sa.gov.au/xrecord=b2061377")</f>
        <v>https://www.catalog.slsa.sa.gov.au/xrecord=b2061377</v>
      </c>
      <c r="D9260" t="s">
        <v>16831</v>
      </c>
      <c r="E9260" t="s">
        <v>29556</v>
      </c>
      <c r="F9260">
        <v>1970</v>
      </c>
      <c r="G9260" t="s">
        <v>29802</v>
      </c>
      <c r="H9260" t="s">
        <v>29803</v>
      </c>
      <c r="J9260" t="s">
        <v>24397</v>
      </c>
      <c r="K9260" s="2" t="str">
        <f>HYPERLINK("http://collections.slsa.sa.gov.au/mpcimg/20750/B20647.htm")</f>
        <v>http://collections.slsa.sa.gov.au/mpcimg/20750/B20647.htm</v>
      </c>
    </row>
    <row r="9261" spans="1:11" x14ac:dyDescent="0.25">
      <c r="A9261" t="s">
        <v>29804</v>
      </c>
      <c r="B9261" s="1" t="str">
        <f>HYPERLINK("https://www.catalog.slsa.sa.gov.au/record=b2061526")</f>
        <v>https://www.catalog.slsa.sa.gov.au/record=b2061526</v>
      </c>
      <c r="C9261" s="1" t="str">
        <f>HYPERLINK("https://www.catalog.slsa.sa.gov.au/xrecord=b2061526")</f>
        <v>https://www.catalog.slsa.sa.gov.au/xrecord=b2061526</v>
      </c>
      <c r="D9261" t="s">
        <v>16831</v>
      </c>
      <c r="E9261" t="s">
        <v>29805</v>
      </c>
      <c r="F9261">
        <v>1970</v>
      </c>
      <c r="G9261" t="s">
        <v>14771</v>
      </c>
      <c r="H9261" t="s">
        <v>29806</v>
      </c>
      <c r="J9261" t="s">
        <v>24417</v>
      </c>
      <c r="K9261" s="2" t="str">
        <f>HYPERLINK("http://collections.slsa.sa.gov.au/mpcimg/19500/B19457.htm")</f>
        <v>http://collections.slsa.sa.gov.au/mpcimg/19500/B19457.htm</v>
      </c>
    </row>
    <row r="9262" spans="1:11" x14ac:dyDescent="0.25">
      <c r="A9262" t="s">
        <v>29807</v>
      </c>
      <c r="B9262" s="1" t="str">
        <f>HYPERLINK("https://www.catalog.slsa.sa.gov.au/record=b2061849")</f>
        <v>https://www.catalog.slsa.sa.gov.au/record=b2061849</v>
      </c>
      <c r="C9262" s="1" t="str">
        <f>HYPERLINK("https://www.catalog.slsa.sa.gov.au/xrecord=b2061849")</f>
        <v>https://www.catalog.slsa.sa.gov.au/xrecord=b2061849</v>
      </c>
      <c r="D9262" t="s">
        <v>16831</v>
      </c>
      <c r="E9262" t="s">
        <v>29808</v>
      </c>
      <c r="F9262">
        <v>1970</v>
      </c>
      <c r="G9262" t="s">
        <v>29809</v>
      </c>
      <c r="H9262" t="s">
        <v>29810</v>
      </c>
      <c r="J9262" t="s">
        <v>25510</v>
      </c>
      <c r="K9262" s="2" t="str">
        <f>HYPERLINK("http://collections.slsa.sa.gov.au/mpcimg/20750/B20640.htm")</f>
        <v>http://collections.slsa.sa.gov.au/mpcimg/20750/B20640.htm</v>
      </c>
    </row>
    <row r="9263" spans="1:11" x14ac:dyDescent="0.25">
      <c r="A9263" t="s">
        <v>29811</v>
      </c>
      <c r="B9263" s="1" t="str">
        <f>HYPERLINK("https://www.catalog.slsa.sa.gov.au/record=b2062911")</f>
        <v>https://www.catalog.slsa.sa.gov.au/record=b2062911</v>
      </c>
      <c r="C9263" s="1" t="str">
        <f>HYPERLINK("https://www.catalog.slsa.sa.gov.au/xrecord=b2062911")</f>
        <v>https://www.catalog.slsa.sa.gov.au/xrecord=b2062911</v>
      </c>
      <c r="D9263" t="s">
        <v>16831</v>
      </c>
      <c r="E9263" t="s">
        <v>21277</v>
      </c>
      <c r="F9263">
        <v>1970</v>
      </c>
      <c r="G9263" t="s">
        <v>14771</v>
      </c>
      <c r="H9263" t="s">
        <v>29812</v>
      </c>
      <c r="J9263" t="s">
        <v>25591</v>
      </c>
      <c r="K9263" s="2" t="str">
        <f>HYPERLINK("http://collections.slsa.sa.gov.au/mpcimg/19500/B19456.htm")</f>
        <v>http://collections.slsa.sa.gov.au/mpcimg/19500/B19456.htm</v>
      </c>
    </row>
    <row r="9264" spans="1:11" x14ac:dyDescent="0.25">
      <c r="A9264" t="s">
        <v>29813</v>
      </c>
      <c r="B9264" s="1" t="str">
        <f>HYPERLINK("https://www.catalog.slsa.sa.gov.au/record=b2064486")</f>
        <v>https://www.catalog.slsa.sa.gov.au/record=b2064486</v>
      </c>
      <c r="C9264" s="1" t="str">
        <f>HYPERLINK("https://www.catalog.slsa.sa.gov.au/xrecord=b2064486")</f>
        <v>https://www.catalog.slsa.sa.gov.au/xrecord=b2064486</v>
      </c>
      <c r="D9264" t="s">
        <v>16831</v>
      </c>
      <c r="E9264" t="s">
        <v>29814</v>
      </c>
      <c r="F9264">
        <v>1970</v>
      </c>
      <c r="G9264" t="s">
        <v>14771</v>
      </c>
      <c r="H9264" t="s">
        <v>29815</v>
      </c>
      <c r="J9264" t="s">
        <v>29816</v>
      </c>
      <c r="K9264" s="2" t="str">
        <f>HYPERLINK("http://collections.slsa.sa.gov.au/mpcimg/19750/B19602.htm")</f>
        <v>http://collections.slsa.sa.gov.au/mpcimg/19750/B19602.htm</v>
      </c>
    </row>
    <row r="9265" spans="1:11" x14ac:dyDescent="0.25">
      <c r="A9265" t="s">
        <v>29817</v>
      </c>
      <c r="B9265" s="1" t="str">
        <f>HYPERLINK("https://www.catalog.slsa.sa.gov.au/record=b2064779")</f>
        <v>https://www.catalog.slsa.sa.gov.au/record=b2064779</v>
      </c>
      <c r="C9265" s="1" t="str">
        <f>HYPERLINK("https://www.catalog.slsa.sa.gov.au/xrecord=b2064779")</f>
        <v>https://www.catalog.slsa.sa.gov.au/xrecord=b2064779</v>
      </c>
      <c r="D9265" t="s">
        <v>16831</v>
      </c>
      <c r="E9265" t="s">
        <v>29818</v>
      </c>
      <c r="F9265">
        <v>1970</v>
      </c>
      <c r="G9265" t="s">
        <v>29511</v>
      </c>
      <c r="H9265" t="s">
        <v>29819</v>
      </c>
      <c r="J9265" t="s">
        <v>27552</v>
      </c>
      <c r="K9265" s="2" t="str">
        <f>HYPERLINK("http://collections.slsa.sa.gov.au/mpcimg/19750/B19601.htm")</f>
        <v>http://collections.slsa.sa.gov.au/mpcimg/19750/B19601.htm</v>
      </c>
    </row>
    <row r="9266" spans="1:11" x14ac:dyDescent="0.25">
      <c r="A9266" t="s">
        <v>29820</v>
      </c>
      <c r="B9266" s="1" t="str">
        <f>HYPERLINK("https://www.catalog.slsa.sa.gov.au/record=b2065301")</f>
        <v>https://www.catalog.slsa.sa.gov.au/record=b2065301</v>
      </c>
      <c r="C9266" s="1" t="str">
        <f>HYPERLINK("https://www.catalog.slsa.sa.gov.au/xrecord=b2065301")</f>
        <v>https://www.catalog.slsa.sa.gov.au/xrecord=b2065301</v>
      </c>
      <c r="D9266" t="s">
        <v>16831</v>
      </c>
      <c r="E9266" t="s">
        <v>29821</v>
      </c>
      <c r="F9266">
        <v>1970</v>
      </c>
      <c r="G9266" t="s">
        <v>29822</v>
      </c>
      <c r="H9266" t="s">
        <v>29823</v>
      </c>
      <c r="J9266" t="s">
        <v>16840</v>
      </c>
      <c r="K9266" s="2" t="str">
        <f>HYPERLINK("http://collections.slsa.sa.gov.au/mpcimg/20250/B20062.htm")</f>
        <v>http://collections.slsa.sa.gov.au/mpcimg/20250/B20062.htm</v>
      </c>
    </row>
    <row r="9267" spans="1:11" x14ac:dyDescent="0.25">
      <c r="A9267" t="s">
        <v>29824</v>
      </c>
      <c r="B9267" s="1" t="str">
        <f>HYPERLINK("https://www.catalog.slsa.sa.gov.au/record=b2080012")</f>
        <v>https://www.catalog.slsa.sa.gov.au/record=b2080012</v>
      </c>
      <c r="C9267" s="1" t="str">
        <f>HYPERLINK("https://www.catalog.slsa.sa.gov.au/xrecord=b2080012")</f>
        <v>https://www.catalog.slsa.sa.gov.au/xrecord=b2080012</v>
      </c>
      <c r="D9267" t="s">
        <v>3891</v>
      </c>
      <c r="E9267" t="s">
        <v>29825</v>
      </c>
      <c r="F9267" t="s">
        <v>13574</v>
      </c>
      <c r="G9267" t="s">
        <v>15269</v>
      </c>
      <c r="H9267" t="s">
        <v>29826</v>
      </c>
      <c r="I9267" t="s">
        <v>29827</v>
      </c>
      <c r="J9267" t="s">
        <v>1809</v>
      </c>
      <c r="K9267" s="2" t="str">
        <f>HYPERLINK("http://collections.slsa.sa.gov.au/mpcimg/58000/B57945.htm")</f>
        <v>http://collections.slsa.sa.gov.au/mpcimg/58000/B57945.htm</v>
      </c>
    </row>
    <row r="9268" spans="1:11" x14ac:dyDescent="0.25">
      <c r="A9268" t="s">
        <v>29828</v>
      </c>
      <c r="B9268" s="1" t="str">
        <f>HYPERLINK("https://www.catalog.slsa.sa.gov.au/record=b2201686")</f>
        <v>https://www.catalog.slsa.sa.gov.au/record=b2201686</v>
      </c>
      <c r="C9268" s="1" t="str">
        <f>HYPERLINK("https://www.catalog.slsa.sa.gov.au/xrecord=b2201686")</f>
        <v>https://www.catalog.slsa.sa.gov.au/xrecord=b2201686</v>
      </c>
      <c r="D9268" t="s">
        <v>3698</v>
      </c>
      <c r="E9268" t="s">
        <v>29829</v>
      </c>
      <c r="F9268" t="s">
        <v>13574</v>
      </c>
      <c r="G9268" t="s">
        <v>29830</v>
      </c>
      <c r="H9268" t="s">
        <v>29831</v>
      </c>
      <c r="I9268" t="s">
        <v>29832</v>
      </c>
      <c r="J9268" t="s">
        <v>22652</v>
      </c>
      <c r="K9268" s="2" t="str">
        <f>HYPERLINK("http://collections.slsa.sa.gov.au/resource/B+67804")</f>
        <v>http://collections.slsa.sa.gov.au/resource/B+67804</v>
      </c>
    </row>
    <row r="9269" spans="1:11" x14ac:dyDescent="0.25">
      <c r="A9269" t="s">
        <v>29833</v>
      </c>
      <c r="B9269" s="1" t="str">
        <f>HYPERLINK("https://www.catalog.slsa.sa.gov.au/record=b2201688")</f>
        <v>https://www.catalog.slsa.sa.gov.au/record=b2201688</v>
      </c>
      <c r="C9269" s="1" t="str">
        <f>HYPERLINK("https://www.catalog.slsa.sa.gov.au/xrecord=b2201688")</f>
        <v>https://www.catalog.slsa.sa.gov.au/xrecord=b2201688</v>
      </c>
      <c r="D9269" t="s">
        <v>3698</v>
      </c>
      <c r="E9269" t="s">
        <v>29829</v>
      </c>
      <c r="F9269" t="s">
        <v>13574</v>
      </c>
      <c r="G9269" t="s">
        <v>29834</v>
      </c>
      <c r="H9269" t="s">
        <v>29831</v>
      </c>
      <c r="I9269" t="s">
        <v>29832</v>
      </c>
      <c r="J9269" t="s">
        <v>22652</v>
      </c>
      <c r="K9269" s="2" t="str">
        <f>HYPERLINK("http://collections.slsa.sa.gov.au/resource/B+67805")</f>
        <v>http://collections.slsa.sa.gov.au/resource/B+67805</v>
      </c>
    </row>
    <row r="9270" spans="1:11" x14ac:dyDescent="0.25">
      <c r="A9270" t="s">
        <v>29835</v>
      </c>
      <c r="B9270" s="1" t="str">
        <f>HYPERLINK("https://www.catalog.slsa.sa.gov.au/record=b2201692")</f>
        <v>https://www.catalog.slsa.sa.gov.au/record=b2201692</v>
      </c>
      <c r="C9270" s="1" t="str">
        <f>HYPERLINK("https://www.catalog.slsa.sa.gov.au/xrecord=b2201692")</f>
        <v>https://www.catalog.slsa.sa.gov.au/xrecord=b2201692</v>
      </c>
      <c r="D9270" t="s">
        <v>3698</v>
      </c>
      <c r="E9270" t="s">
        <v>29829</v>
      </c>
      <c r="F9270" t="s">
        <v>13574</v>
      </c>
      <c r="G9270" t="s">
        <v>29834</v>
      </c>
      <c r="H9270" t="s">
        <v>29831</v>
      </c>
      <c r="I9270" t="s">
        <v>29832</v>
      </c>
      <c r="J9270" t="s">
        <v>22652</v>
      </c>
      <c r="K9270" s="2" t="str">
        <f>HYPERLINK("http://collections.slsa.sa.gov.au/resource/B+67806")</f>
        <v>http://collections.slsa.sa.gov.au/resource/B+67806</v>
      </c>
    </row>
    <row r="9271" spans="1:11" x14ac:dyDescent="0.25">
      <c r="A9271" t="s">
        <v>29836</v>
      </c>
      <c r="B9271" s="1" t="str">
        <f>HYPERLINK("https://www.catalog.slsa.sa.gov.au/record=b2201694")</f>
        <v>https://www.catalog.slsa.sa.gov.au/record=b2201694</v>
      </c>
      <c r="C9271" s="1" t="str">
        <f>HYPERLINK("https://www.catalog.slsa.sa.gov.au/xrecord=b2201694")</f>
        <v>https://www.catalog.slsa.sa.gov.au/xrecord=b2201694</v>
      </c>
      <c r="D9271" t="s">
        <v>3698</v>
      </c>
      <c r="E9271" t="s">
        <v>29829</v>
      </c>
      <c r="F9271" t="s">
        <v>13574</v>
      </c>
      <c r="G9271" t="s">
        <v>29834</v>
      </c>
      <c r="H9271" t="s">
        <v>29831</v>
      </c>
      <c r="I9271" t="s">
        <v>29832</v>
      </c>
      <c r="J9271" t="s">
        <v>22652</v>
      </c>
      <c r="K9271" s="2" t="str">
        <f>HYPERLINK("http://collections.slsa.sa.gov.au/resource/B+67807")</f>
        <v>http://collections.slsa.sa.gov.au/resource/B+67807</v>
      </c>
    </row>
    <row r="9272" spans="1:11" x14ac:dyDescent="0.25">
      <c r="A9272" t="s">
        <v>29837</v>
      </c>
      <c r="B9272" s="1" t="str">
        <f>HYPERLINK("https://www.catalog.slsa.sa.gov.au/record=b2201695")</f>
        <v>https://www.catalog.slsa.sa.gov.au/record=b2201695</v>
      </c>
      <c r="C9272" s="1" t="str">
        <f>HYPERLINK("https://www.catalog.slsa.sa.gov.au/xrecord=b2201695")</f>
        <v>https://www.catalog.slsa.sa.gov.au/xrecord=b2201695</v>
      </c>
      <c r="D9272" t="s">
        <v>3698</v>
      </c>
      <c r="E9272" t="s">
        <v>29829</v>
      </c>
      <c r="F9272" t="s">
        <v>13574</v>
      </c>
      <c r="G9272" t="s">
        <v>29830</v>
      </c>
      <c r="H9272" t="s">
        <v>29831</v>
      </c>
      <c r="I9272" t="s">
        <v>29832</v>
      </c>
      <c r="J9272" t="s">
        <v>22652</v>
      </c>
      <c r="K9272" s="2" t="str">
        <f>HYPERLINK("http://collections.slsa.sa.gov.au/resource/B+67808")</f>
        <v>http://collections.slsa.sa.gov.au/resource/B+67808</v>
      </c>
    </row>
    <row r="9273" spans="1:11" x14ac:dyDescent="0.25">
      <c r="A9273" t="s">
        <v>29838</v>
      </c>
      <c r="B9273" s="1" t="str">
        <f>HYPERLINK("https://www.catalog.slsa.sa.gov.au/record=b2201697")</f>
        <v>https://www.catalog.slsa.sa.gov.au/record=b2201697</v>
      </c>
      <c r="C9273" s="1" t="str">
        <f>HYPERLINK("https://www.catalog.slsa.sa.gov.au/xrecord=b2201697")</f>
        <v>https://www.catalog.slsa.sa.gov.au/xrecord=b2201697</v>
      </c>
      <c r="D9273" t="s">
        <v>3698</v>
      </c>
      <c r="E9273" t="s">
        <v>29829</v>
      </c>
      <c r="F9273" t="s">
        <v>13574</v>
      </c>
      <c r="G9273" t="s">
        <v>29830</v>
      </c>
      <c r="H9273" t="s">
        <v>29831</v>
      </c>
      <c r="I9273" t="s">
        <v>29832</v>
      </c>
      <c r="J9273" t="s">
        <v>22652</v>
      </c>
      <c r="K9273" s="2" t="str">
        <f>HYPERLINK("http://collections.slsa.sa.gov.au/resource/B+67809")</f>
        <v>http://collections.slsa.sa.gov.au/resource/B+67809</v>
      </c>
    </row>
    <row r="9274" spans="1:11" x14ac:dyDescent="0.25">
      <c r="A9274" t="s">
        <v>29839</v>
      </c>
      <c r="B9274" s="1" t="str">
        <f>HYPERLINK("https://www.catalog.slsa.sa.gov.au/record=b3017242")</f>
        <v>https://www.catalog.slsa.sa.gov.au/record=b3017242</v>
      </c>
      <c r="C9274" s="1" t="str">
        <f>HYPERLINK("https://www.catalog.slsa.sa.gov.au/xrecord=b3017242")</f>
        <v>https://www.catalog.slsa.sa.gov.au/xrecord=b3017242</v>
      </c>
      <c r="E9274" t="s">
        <v>29840</v>
      </c>
      <c r="F9274" t="s">
        <v>29841</v>
      </c>
      <c r="G9274" t="s">
        <v>29842</v>
      </c>
      <c r="H9274" t="s">
        <v>29843</v>
      </c>
      <c r="I9274" t="s">
        <v>29844</v>
      </c>
      <c r="J9274" t="s">
        <v>1809</v>
      </c>
      <c r="K9274" s="2" t="str">
        <f>HYPERLINK("http://collections.slsa.sa.gov.au/resource/B+74130/13")</f>
        <v>http://collections.slsa.sa.gov.au/resource/B+74130/13</v>
      </c>
    </row>
    <row r="9275" spans="1:11" x14ac:dyDescent="0.25">
      <c r="A9275" t="s">
        <v>29845</v>
      </c>
      <c r="B9275" s="1" t="str">
        <f>HYPERLINK("https://www.catalog.slsa.sa.gov.au/record=b3017396")</f>
        <v>https://www.catalog.slsa.sa.gov.au/record=b3017396</v>
      </c>
      <c r="C9275" s="1" t="str">
        <f>HYPERLINK("https://www.catalog.slsa.sa.gov.au/xrecord=b3017396")</f>
        <v>https://www.catalog.slsa.sa.gov.au/xrecord=b3017396</v>
      </c>
      <c r="D9275" t="s">
        <v>18855</v>
      </c>
      <c r="E9275" t="s">
        <v>29846</v>
      </c>
      <c r="F9275" t="s">
        <v>29841</v>
      </c>
      <c r="G9275" t="s">
        <v>27717</v>
      </c>
      <c r="H9275" t="s">
        <v>29847</v>
      </c>
      <c r="I9275" t="s">
        <v>29848</v>
      </c>
      <c r="J9275" t="s">
        <v>2510</v>
      </c>
      <c r="K9275" s="2" t="str">
        <f>HYPERLINK("http://collections.slsa.sa.gov.au/resource/B+74130/14")</f>
        <v>http://collections.slsa.sa.gov.au/resource/B+74130/14</v>
      </c>
    </row>
    <row r="9276" spans="1:11" x14ac:dyDescent="0.25">
      <c r="A9276" t="s">
        <v>29849</v>
      </c>
      <c r="B9276" s="1" t="str">
        <f>HYPERLINK("https://www.catalog.slsa.sa.gov.au/record=b2054725")</f>
        <v>https://www.catalog.slsa.sa.gov.au/record=b2054725</v>
      </c>
      <c r="C9276" s="1" t="str">
        <f>HYPERLINK("https://www.catalog.slsa.sa.gov.au/xrecord=b2054725")</f>
        <v>https://www.catalog.slsa.sa.gov.au/xrecord=b2054725</v>
      </c>
      <c r="D9276" t="s">
        <v>16831</v>
      </c>
      <c r="E9276" t="s">
        <v>29850</v>
      </c>
      <c r="F9276">
        <v>1971</v>
      </c>
      <c r="G9276" t="s">
        <v>29765</v>
      </c>
      <c r="H9276" t="s">
        <v>29851</v>
      </c>
      <c r="J9276" t="s">
        <v>17113</v>
      </c>
      <c r="K9276" s="2" t="str">
        <f>HYPERLINK("http://collections.slsa.sa.gov.au/mpcimg/21500/B21298.htm")</f>
        <v>http://collections.slsa.sa.gov.au/mpcimg/21500/B21298.htm</v>
      </c>
    </row>
    <row r="9277" spans="1:11" x14ac:dyDescent="0.25">
      <c r="A9277" t="s">
        <v>29852</v>
      </c>
      <c r="B9277" s="1" t="str">
        <f>HYPERLINK("https://www.catalog.slsa.sa.gov.au/record=b2055662")</f>
        <v>https://www.catalog.slsa.sa.gov.au/record=b2055662</v>
      </c>
      <c r="C9277" s="1" t="str">
        <f>HYPERLINK("https://www.catalog.slsa.sa.gov.au/xrecord=b2055662")</f>
        <v>https://www.catalog.slsa.sa.gov.au/xrecord=b2055662</v>
      </c>
      <c r="D9277" t="s">
        <v>16831</v>
      </c>
      <c r="E9277" t="s">
        <v>29853</v>
      </c>
      <c r="F9277">
        <v>1971</v>
      </c>
      <c r="G9277" t="s">
        <v>15164</v>
      </c>
      <c r="H9277" t="s">
        <v>29854</v>
      </c>
      <c r="J9277" t="s">
        <v>16769</v>
      </c>
      <c r="K9277" s="2" t="str">
        <f>HYPERLINK("http://collections.slsa.sa.gov.au/mpcimg/22250/B22076.htm")</f>
        <v>http://collections.slsa.sa.gov.au/mpcimg/22250/B22076.htm</v>
      </c>
    </row>
    <row r="9278" spans="1:11" x14ac:dyDescent="0.25">
      <c r="A9278" t="s">
        <v>29855</v>
      </c>
      <c r="B9278" s="1" t="str">
        <f>HYPERLINK("https://www.catalog.slsa.sa.gov.au/record=b2055997")</f>
        <v>https://www.catalog.slsa.sa.gov.au/record=b2055997</v>
      </c>
      <c r="C9278" s="1" t="str">
        <f>HYPERLINK("https://www.catalog.slsa.sa.gov.au/xrecord=b2055997")</f>
        <v>https://www.catalog.slsa.sa.gov.au/xrecord=b2055997</v>
      </c>
      <c r="D9278" t="s">
        <v>16831</v>
      </c>
      <c r="E9278" t="s">
        <v>29856</v>
      </c>
      <c r="F9278">
        <v>1971</v>
      </c>
      <c r="G9278" t="s">
        <v>29857</v>
      </c>
      <c r="H9278" t="s">
        <v>29858</v>
      </c>
      <c r="I9278" t="s">
        <v>29859</v>
      </c>
      <c r="J9278" t="s">
        <v>20910</v>
      </c>
      <c r="K9278" s="2" t="str">
        <f>HYPERLINK("http://collections.slsa.sa.gov.au/mpcimg/24250/B24206.htm")</f>
        <v>http://collections.slsa.sa.gov.au/mpcimg/24250/B24206.htm</v>
      </c>
    </row>
    <row r="9279" spans="1:11" x14ac:dyDescent="0.25">
      <c r="A9279" t="s">
        <v>29860</v>
      </c>
      <c r="B9279" s="1" t="str">
        <f>HYPERLINK("https://www.catalog.slsa.sa.gov.au/record=b2055998")</f>
        <v>https://www.catalog.slsa.sa.gov.au/record=b2055998</v>
      </c>
      <c r="C9279" s="1" t="str">
        <f>HYPERLINK("https://www.catalog.slsa.sa.gov.au/xrecord=b2055998")</f>
        <v>https://www.catalog.slsa.sa.gov.au/xrecord=b2055998</v>
      </c>
      <c r="D9279" t="s">
        <v>16831</v>
      </c>
      <c r="E9279" t="s">
        <v>29861</v>
      </c>
      <c r="F9279">
        <v>1971</v>
      </c>
      <c r="G9279" t="s">
        <v>29862</v>
      </c>
      <c r="H9279" t="s">
        <v>29863</v>
      </c>
      <c r="I9279" t="s">
        <v>29864</v>
      </c>
      <c r="J9279" t="s">
        <v>20910</v>
      </c>
      <c r="K9279" s="2" t="str">
        <f>HYPERLINK("http://collections.slsa.sa.gov.au/mpcimg/24250/B24207.htm")</f>
        <v>http://collections.slsa.sa.gov.au/mpcimg/24250/B24207.htm</v>
      </c>
    </row>
    <row r="9280" spans="1:11" x14ac:dyDescent="0.25">
      <c r="A9280" t="s">
        <v>29865</v>
      </c>
      <c r="B9280" s="1" t="str">
        <f>HYPERLINK("https://www.catalog.slsa.sa.gov.au/record=b2056491")</f>
        <v>https://www.catalog.slsa.sa.gov.au/record=b2056491</v>
      </c>
      <c r="C9280" s="1" t="str">
        <f>HYPERLINK("https://www.catalog.slsa.sa.gov.au/xrecord=b2056491")</f>
        <v>https://www.catalog.slsa.sa.gov.au/xrecord=b2056491</v>
      </c>
      <c r="D9280" t="s">
        <v>16831</v>
      </c>
      <c r="E9280" t="s">
        <v>16777</v>
      </c>
      <c r="F9280">
        <v>1971</v>
      </c>
      <c r="G9280" t="s">
        <v>15164</v>
      </c>
      <c r="H9280" t="s">
        <v>29866</v>
      </c>
      <c r="J9280" t="s">
        <v>17605</v>
      </c>
      <c r="K9280" s="2" t="str">
        <f>HYPERLINK("http://collections.slsa.sa.gov.au/mpcimg/22250/B22077.htm")</f>
        <v>http://collections.slsa.sa.gov.au/mpcimg/22250/B22077.htm</v>
      </c>
    </row>
    <row r="9281" spans="1:11" x14ac:dyDescent="0.25">
      <c r="A9281" t="s">
        <v>29867</v>
      </c>
      <c r="B9281" s="1" t="str">
        <f>HYPERLINK("https://www.catalog.slsa.sa.gov.au/record=b2056967")</f>
        <v>https://www.catalog.slsa.sa.gov.au/record=b2056967</v>
      </c>
      <c r="C9281" s="1" t="str">
        <f>HYPERLINK("https://www.catalog.slsa.sa.gov.au/xrecord=b2056967")</f>
        <v>https://www.catalog.slsa.sa.gov.au/xrecord=b2056967</v>
      </c>
      <c r="D9281" t="s">
        <v>16831</v>
      </c>
      <c r="E9281" t="s">
        <v>28175</v>
      </c>
      <c r="F9281">
        <v>1971</v>
      </c>
      <c r="G9281" t="s">
        <v>15164</v>
      </c>
      <c r="H9281" t="s">
        <v>29868</v>
      </c>
      <c r="J9281" t="s">
        <v>24031</v>
      </c>
      <c r="K9281" s="2" t="str">
        <f>HYPERLINK("http://collections.slsa.sa.gov.au/mpcimg/22250/B22059.htm")</f>
        <v>http://collections.slsa.sa.gov.au/mpcimg/22250/B22059.htm</v>
      </c>
    </row>
    <row r="9282" spans="1:11" x14ac:dyDescent="0.25">
      <c r="A9282" t="s">
        <v>29869</v>
      </c>
      <c r="B9282" s="1" t="str">
        <f>HYPERLINK("https://www.catalog.slsa.sa.gov.au/record=b2056968")</f>
        <v>https://www.catalog.slsa.sa.gov.au/record=b2056968</v>
      </c>
      <c r="C9282" s="1" t="str">
        <f>HYPERLINK("https://www.catalog.slsa.sa.gov.au/xrecord=b2056968")</f>
        <v>https://www.catalog.slsa.sa.gov.au/xrecord=b2056968</v>
      </c>
      <c r="D9282" t="s">
        <v>16831</v>
      </c>
      <c r="E9282" t="s">
        <v>28175</v>
      </c>
      <c r="F9282">
        <v>1971</v>
      </c>
      <c r="G9282" t="s">
        <v>15164</v>
      </c>
      <c r="H9282" t="s">
        <v>29870</v>
      </c>
      <c r="J9282" t="s">
        <v>24031</v>
      </c>
      <c r="K9282" s="2" t="str">
        <f>HYPERLINK("http://collections.slsa.sa.gov.au/mpcimg/22250/B22060.htm")</f>
        <v>http://collections.slsa.sa.gov.au/mpcimg/22250/B22060.htm</v>
      </c>
    </row>
    <row r="9283" spans="1:11" x14ac:dyDescent="0.25">
      <c r="A9283" t="s">
        <v>29871</v>
      </c>
      <c r="B9283" s="1" t="str">
        <f>HYPERLINK("https://www.catalog.slsa.sa.gov.au/record=b2057044")</f>
        <v>https://www.catalog.slsa.sa.gov.au/record=b2057044</v>
      </c>
      <c r="C9283" s="1" t="str">
        <f>HYPERLINK("https://www.catalog.slsa.sa.gov.au/xrecord=b2057044")</f>
        <v>https://www.catalog.slsa.sa.gov.au/xrecord=b2057044</v>
      </c>
      <c r="D9283" t="s">
        <v>16831</v>
      </c>
      <c r="E9283" t="s">
        <v>29872</v>
      </c>
      <c r="F9283">
        <v>1971</v>
      </c>
      <c r="G9283" t="s">
        <v>16674</v>
      </c>
      <c r="H9283" t="s">
        <v>29873</v>
      </c>
      <c r="J9283" t="s">
        <v>20935</v>
      </c>
      <c r="K9283" s="2" t="str">
        <f>HYPERLINK("http://collections.slsa.sa.gov.au/mpcimg/21500/B21300.htm")</f>
        <v>http://collections.slsa.sa.gov.au/mpcimg/21500/B21300.htm</v>
      </c>
    </row>
    <row r="9284" spans="1:11" x14ac:dyDescent="0.25">
      <c r="A9284" t="s">
        <v>29874</v>
      </c>
      <c r="B9284" s="1" t="str">
        <f>HYPERLINK("https://www.catalog.slsa.sa.gov.au/record=b2059300")</f>
        <v>https://www.catalog.slsa.sa.gov.au/record=b2059300</v>
      </c>
      <c r="C9284" s="1" t="str">
        <f>HYPERLINK("https://www.catalog.slsa.sa.gov.au/xrecord=b2059300")</f>
        <v>https://www.catalog.slsa.sa.gov.au/xrecord=b2059300</v>
      </c>
      <c r="D9284" t="s">
        <v>16831</v>
      </c>
      <c r="E9284" t="s">
        <v>28202</v>
      </c>
      <c r="F9284">
        <v>1971</v>
      </c>
      <c r="G9284" t="s">
        <v>29875</v>
      </c>
      <c r="H9284" t="s">
        <v>29876</v>
      </c>
      <c r="J9284" t="s">
        <v>22841</v>
      </c>
      <c r="K9284" s="2" t="str">
        <f>HYPERLINK("http://collections.slsa.sa.gov.au/mpcimg/23500/B23259.htm")</f>
        <v>http://collections.slsa.sa.gov.au/mpcimg/23500/B23259.htm</v>
      </c>
    </row>
    <row r="9285" spans="1:11" x14ac:dyDescent="0.25">
      <c r="A9285" t="s">
        <v>29877</v>
      </c>
      <c r="B9285" s="1" t="str">
        <f>HYPERLINK("https://www.catalog.slsa.sa.gov.au/record=b2059301")</f>
        <v>https://www.catalog.slsa.sa.gov.au/record=b2059301</v>
      </c>
      <c r="C9285" s="1" t="str">
        <f>HYPERLINK("https://www.catalog.slsa.sa.gov.au/xrecord=b2059301")</f>
        <v>https://www.catalog.slsa.sa.gov.au/xrecord=b2059301</v>
      </c>
      <c r="D9285" t="s">
        <v>16831</v>
      </c>
      <c r="E9285" t="s">
        <v>28202</v>
      </c>
      <c r="F9285">
        <v>1971</v>
      </c>
      <c r="G9285" t="s">
        <v>29875</v>
      </c>
      <c r="H9285" t="s">
        <v>29878</v>
      </c>
      <c r="J9285" t="s">
        <v>22841</v>
      </c>
      <c r="K9285" s="2" t="str">
        <f>HYPERLINK("http://collections.slsa.sa.gov.au/mpcimg/23500/B23260.htm")</f>
        <v>http://collections.slsa.sa.gov.au/mpcimg/23500/B23260.htm</v>
      </c>
    </row>
    <row r="9286" spans="1:11" x14ac:dyDescent="0.25">
      <c r="A9286" t="s">
        <v>29879</v>
      </c>
      <c r="B9286" s="1" t="str">
        <f>HYPERLINK("https://www.catalog.slsa.sa.gov.au/record=b2059302")</f>
        <v>https://www.catalog.slsa.sa.gov.au/record=b2059302</v>
      </c>
      <c r="C9286" s="1" t="str">
        <f>HYPERLINK("https://www.catalog.slsa.sa.gov.au/xrecord=b2059302")</f>
        <v>https://www.catalog.slsa.sa.gov.au/xrecord=b2059302</v>
      </c>
      <c r="D9286" t="s">
        <v>16831</v>
      </c>
      <c r="E9286" t="s">
        <v>23875</v>
      </c>
      <c r="F9286">
        <v>1971</v>
      </c>
      <c r="G9286" t="s">
        <v>29875</v>
      </c>
      <c r="H9286" t="s">
        <v>29880</v>
      </c>
      <c r="J9286" t="s">
        <v>22841</v>
      </c>
      <c r="K9286" s="2" t="str">
        <f>HYPERLINK("http://collections.slsa.sa.gov.au/mpcimg/23500/B23261.htm")</f>
        <v>http://collections.slsa.sa.gov.au/mpcimg/23500/B23261.htm</v>
      </c>
    </row>
    <row r="9287" spans="1:11" x14ac:dyDescent="0.25">
      <c r="A9287" t="s">
        <v>29881</v>
      </c>
      <c r="B9287" s="1" t="str">
        <f>HYPERLINK("https://www.catalog.slsa.sa.gov.au/record=b2059513")</f>
        <v>https://www.catalog.slsa.sa.gov.au/record=b2059513</v>
      </c>
      <c r="C9287" s="1" t="str">
        <f>HYPERLINK("https://www.catalog.slsa.sa.gov.au/xrecord=b2059513")</f>
        <v>https://www.catalog.slsa.sa.gov.au/xrecord=b2059513</v>
      </c>
      <c r="D9287" t="s">
        <v>16831</v>
      </c>
      <c r="E9287" t="s">
        <v>29882</v>
      </c>
      <c r="F9287">
        <v>1971</v>
      </c>
      <c r="G9287" t="s">
        <v>29883</v>
      </c>
      <c r="H9287" t="s">
        <v>29884</v>
      </c>
      <c r="J9287" t="s">
        <v>24206</v>
      </c>
      <c r="K9287" s="2" t="str">
        <f>HYPERLINK("http://collections.slsa.sa.gov.au/mpcimg/22500/B22425.htm")</f>
        <v>http://collections.slsa.sa.gov.au/mpcimg/22500/B22425.htm</v>
      </c>
    </row>
    <row r="9288" spans="1:11" x14ac:dyDescent="0.25">
      <c r="A9288" t="s">
        <v>29885</v>
      </c>
      <c r="B9288" s="1" t="str">
        <f>HYPERLINK("https://www.catalog.slsa.sa.gov.au/record=b2059609")</f>
        <v>https://www.catalog.slsa.sa.gov.au/record=b2059609</v>
      </c>
      <c r="C9288" s="1" t="str">
        <f>HYPERLINK("https://www.catalog.slsa.sa.gov.au/xrecord=b2059609")</f>
        <v>https://www.catalog.slsa.sa.gov.au/xrecord=b2059609</v>
      </c>
      <c r="D9288" t="s">
        <v>16831</v>
      </c>
      <c r="E9288" t="s">
        <v>26334</v>
      </c>
      <c r="F9288">
        <v>1971</v>
      </c>
      <c r="G9288" t="s">
        <v>15164</v>
      </c>
      <c r="H9288" t="s">
        <v>29886</v>
      </c>
      <c r="J9288" t="s">
        <v>27340</v>
      </c>
      <c r="K9288" s="2" t="str">
        <f>HYPERLINK("http://collections.slsa.sa.gov.au/mpcimg/22250/B22066.htm")</f>
        <v>http://collections.slsa.sa.gov.au/mpcimg/22250/B22066.htm</v>
      </c>
    </row>
    <row r="9289" spans="1:11" x14ac:dyDescent="0.25">
      <c r="A9289" t="s">
        <v>29887</v>
      </c>
      <c r="B9289" s="1" t="str">
        <f>HYPERLINK("https://www.catalog.slsa.sa.gov.au/record=b2059646")</f>
        <v>https://www.catalog.slsa.sa.gov.au/record=b2059646</v>
      </c>
      <c r="C9289" s="1" t="str">
        <f>HYPERLINK("https://www.catalog.slsa.sa.gov.au/xrecord=b2059646")</f>
        <v>https://www.catalog.slsa.sa.gov.au/xrecord=b2059646</v>
      </c>
      <c r="D9289" t="s">
        <v>16831</v>
      </c>
      <c r="E9289" t="s">
        <v>24227</v>
      </c>
      <c r="F9289">
        <v>1971</v>
      </c>
      <c r="G9289" t="s">
        <v>29883</v>
      </c>
      <c r="H9289" t="s">
        <v>29888</v>
      </c>
      <c r="J9289" t="s">
        <v>22854</v>
      </c>
      <c r="K9289" s="2" t="str">
        <f>HYPERLINK("http://collections.slsa.sa.gov.au/mpcimg/22500/B22426.htm")</f>
        <v>http://collections.slsa.sa.gov.au/mpcimg/22500/B22426.htm</v>
      </c>
    </row>
    <row r="9290" spans="1:11" x14ac:dyDescent="0.25">
      <c r="A9290" t="s">
        <v>29889</v>
      </c>
      <c r="B9290" s="1" t="str">
        <f>HYPERLINK("https://www.catalog.slsa.sa.gov.au/record=b2059662")</f>
        <v>https://www.catalog.slsa.sa.gov.au/record=b2059662</v>
      </c>
      <c r="C9290" s="1" t="str">
        <f>HYPERLINK("https://www.catalog.slsa.sa.gov.au/xrecord=b2059662")</f>
        <v>https://www.catalog.slsa.sa.gov.au/xrecord=b2059662</v>
      </c>
      <c r="D9290" t="s">
        <v>16831</v>
      </c>
      <c r="E9290" t="s">
        <v>29890</v>
      </c>
      <c r="F9290">
        <v>1971</v>
      </c>
      <c r="G9290" t="s">
        <v>15164</v>
      </c>
      <c r="H9290" t="s">
        <v>29891</v>
      </c>
      <c r="J9290" t="s">
        <v>20098</v>
      </c>
      <c r="K9290" s="2" t="str">
        <f>HYPERLINK("http://collections.slsa.sa.gov.au/mpcimg/22250/B22073.htm")</f>
        <v>http://collections.slsa.sa.gov.au/mpcimg/22250/B22073.htm</v>
      </c>
    </row>
    <row r="9291" spans="1:11" x14ac:dyDescent="0.25">
      <c r="A9291" t="s">
        <v>29892</v>
      </c>
      <c r="B9291" s="1" t="str">
        <f>HYPERLINK("https://www.catalog.slsa.sa.gov.au/record=b2060164")</f>
        <v>https://www.catalog.slsa.sa.gov.au/record=b2060164</v>
      </c>
      <c r="C9291" s="1" t="str">
        <f>HYPERLINK("https://www.catalog.slsa.sa.gov.au/xrecord=b2060164")</f>
        <v>https://www.catalog.slsa.sa.gov.au/xrecord=b2060164</v>
      </c>
      <c r="D9291" t="s">
        <v>16831</v>
      </c>
      <c r="E9291" t="s">
        <v>29893</v>
      </c>
      <c r="F9291">
        <v>1971</v>
      </c>
      <c r="G9291" t="s">
        <v>15164</v>
      </c>
      <c r="H9291" t="s">
        <v>29894</v>
      </c>
      <c r="J9291" t="s">
        <v>26330</v>
      </c>
      <c r="K9291" s="2" t="str">
        <f>HYPERLINK("http://collections.slsa.sa.gov.au/mpcimg/22250/B22072.htm")</f>
        <v>http://collections.slsa.sa.gov.au/mpcimg/22250/B22072.htm</v>
      </c>
    </row>
    <row r="9292" spans="1:11" x14ac:dyDescent="0.25">
      <c r="A9292" t="s">
        <v>29895</v>
      </c>
      <c r="B9292" s="1" t="str">
        <f>HYPERLINK("https://www.catalog.slsa.sa.gov.au/record=b2060266")</f>
        <v>https://www.catalog.slsa.sa.gov.au/record=b2060266</v>
      </c>
      <c r="C9292" s="1" t="str">
        <f>HYPERLINK("https://www.catalog.slsa.sa.gov.au/xrecord=b2060266")</f>
        <v>https://www.catalog.slsa.sa.gov.au/xrecord=b2060266</v>
      </c>
      <c r="D9292" t="s">
        <v>16831</v>
      </c>
      <c r="E9292" t="s">
        <v>29584</v>
      </c>
      <c r="F9292">
        <v>1971</v>
      </c>
      <c r="G9292" t="s">
        <v>29896</v>
      </c>
      <c r="H9292" t="s">
        <v>29897</v>
      </c>
      <c r="J9292" t="s">
        <v>26699</v>
      </c>
      <c r="K9292" s="2" t="str">
        <f>HYPERLINK("http://collections.slsa.sa.gov.au/mpcimg/22750/B22533.htm")</f>
        <v>http://collections.slsa.sa.gov.au/mpcimg/22750/B22533.htm</v>
      </c>
    </row>
    <row r="9293" spans="1:11" x14ac:dyDescent="0.25">
      <c r="A9293" t="s">
        <v>29898</v>
      </c>
      <c r="B9293" s="1" t="str">
        <f>HYPERLINK("https://www.catalog.slsa.sa.gov.au/record=b2060267")</f>
        <v>https://www.catalog.slsa.sa.gov.au/record=b2060267</v>
      </c>
      <c r="C9293" s="1" t="str">
        <f>HYPERLINK("https://www.catalog.slsa.sa.gov.au/xrecord=b2060267")</f>
        <v>https://www.catalog.slsa.sa.gov.au/xrecord=b2060267</v>
      </c>
      <c r="D9293" t="s">
        <v>16831</v>
      </c>
      <c r="E9293" t="s">
        <v>29584</v>
      </c>
      <c r="F9293">
        <v>1971</v>
      </c>
      <c r="G9293" t="s">
        <v>29896</v>
      </c>
      <c r="H9293" t="s">
        <v>29899</v>
      </c>
      <c r="J9293" t="s">
        <v>26699</v>
      </c>
      <c r="K9293" s="2" t="str">
        <f>HYPERLINK("http://collections.slsa.sa.gov.au/mpcimg/22750/B22534.htm")</f>
        <v>http://collections.slsa.sa.gov.au/mpcimg/22750/B22534.htm</v>
      </c>
    </row>
    <row r="9294" spans="1:11" x14ac:dyDescent="0.25">
      <c r="A9294" t="s">
        <v>29900</v>
      </c>
      <c r="B9294" s="1" t="str">
        <f>HYPERLINK("https://www.catalog.slsa.sa.gov.au/record=b2060758")</f>
        <v>https://www.catalog.slsa.sa.gov.au/record=b2060758</v>
      </c>
      <c r="C9294" s="1" t="str">
        <f>HYPERLINK("https://www.catalog.slsa.sa.gov.au/xrecord=b2060758")</f>
        <v>https://www.catalog.slsa.sa.gov.au/xrecord=b2060758</v>
      </c>
      <c r="D9294" t="s">
        <v>16831</v>
      </c>
      <c r="E9294" t="s">
        <v>29901</v>
      </c>
      <c r="F9294">
        <v>1971</v>
      </c>
      <c r="G9294" t="s">
        <v>29902</v>
      </c>
      <c r="H9294" t="s">
        <v>29903</v>
      </c>
      <c r="J9294" t="s">
        <v>24318</v>
      </c>
      <c r="K9294" s="2" t="str">
        <f>HYPERLINK("http://collections.slsa.sa.gov.au/mpcimg/25250/B25016.htm")</f>
        <v>http://collections.slsa.sa.gov.au/mpcimg/25250/B25016.htm</v>
      </c>
    </row>
    <row r="9295" spans="1:11" x14ac:dyDescent="0.25">
      <c r="A9295" t="s">
        <v>29904</v>
      </c>
      <c r="B9295" s="1" t="str">
        <f>HYPERLINK("https://www.catalog.slsa.sa.gov.au/record=b2060767")</f>
        <v>https://www.catalog.slsa.sa.gov.au/record=b2060767</v>
      </c>
      <c r="C9295" s="1" t="str">
        <f>HYPERLINK("https://www.catalog.slsa.sa.gov.au/xrecord=b2060767")</f>
        <v>https://www.catalog.slsa.sa.gov.au/xrecord=b2060767</v>
      </c>
      <c r="D9295" t="s">
        <v>16831</v>
      </c>
      <c r="E9295" t="s">
        <v>29905</v>
      </c>
      <c r="F9295">
        <v>1971</v>
      </c>
      <c r="G9295" t="s">
        <v>29906</v>
      </c>
      <c r="H9295" t="s">
        <v>29907</v>
      </c>
      <c r="J9295" t="s">
        <v>29908</v>
      </c>
      <c r="K9295" s="2" t="str">
        <f>HYPERLINK("http://collections.slsa.sa.gov.au/mpcimg/23500/B23298.htm")</f>
        <v>http://collections.slsa.sa.gov.au/mpcimg/23500/B23298.htm</v>
      </c>
    </row>
    <row r="9296" spans="1:11" x14ac:dyDescent="0.25">
      <c r="A9296" t="s">
        <v>29909</v>
      </c>
      <c r="B9296" s="1" t="str">
        <f>HYPERLINK("https://www.catalog.slsa.sa.gov.au/record=b2060768")</f>
        <v>https://www.catalog.slsa.sa.gov.au/record=b2060768</v>
      </c>
      <c r="C9296" s="1" t="str">
        <f>HYPERLINK("https://www.catalog.slsa.sa.gov.au/xrecord=b2060768")</f>
        <v>https://www.catalog.slsa.sa.gov.au/xrecord=b2060768</v>
      </c>
      <c r="D9296" t="s">
        <v>16831</v>
      </c>
      <c r="E9296" t="s">
        <v>29905</v>
      </c>
      <c r="F9296">
        <v>1971</v>
      </c>
      <c r="G9296" t="s">
        <v>29910</v>
      </c>
      <c r="H9296" t="s">
        <v>29911</v>
      </c>
      <c r="J9296" t="s">
        <v>29908</v>
      </c>
      <c r="K9296" s="2" t="str">
        <f>HYPERLINK("http://collections.slsa.sa.gov.au/mpcimg/23500/B23299.htm")</f>
        <v>http://collections.slsa.sa.gov.au/mpcimg/23500/B23299.htm</v>
      </c>
    </row>
    <row r="9297" spans="1:11" x14ac:dyDescent="0.25">
      <c r="A9297" t="s">
        <v>29912</v>
      </c>
      <c r="B9297" s="1" t="str">
        <f>HYPERLINK("https://www.catalog.slsa.sa.gov.au/record=b2060769")</f>
        <v>https://www.catalog.slsa.sa.gov.au/record=b2060769</v>
      </c>
      <c r="C9297" s="1" t="str">
        <f>HYPERLINK("https://www.catalog.slsa.sa.gov.au/xrecord=b2060769")</f>
        <v>https://www.catalog.slsa.sa.gov.au/xrecord=b2060769</v>
      </c>
      <c r="D9297" t="s">
        <v>16831</v>
      </c>
      <c r="E9297" t="s">
        <v>29905</v>
      </c>
      <c r="F9297">
        <v>1971</v>
      </c>
      <c r="G9297" t="s">
        <v>29913</v>
      </c>
      <c r="H9297" t="s">
        <v>29914</v>
      </c>
      <c r="J9297" t="s">
        <v>29908</v>
      </c>
      <c r="K9297" s="2" t="str">
        <f>HYPERLINK("http://collections.slsa.sa.gov.au/mpcimg/23500/B23300.htm")</f>
        <v>http://collections.slsa.sa.gov.au/mpcimg/23500/B23300.htm</v>
      </c>
    </row>
    <row r="9298" spans="1:11" x14ac:dyDescent="0.25">
      <c r="A9298" t="s">
        <v>29915</v>
      </c>
      <c r="B9298" s="1" t="str">
        <f>HYPERLINK("https://www.catalog.slsa.sa.gov.au/record=b2060770")</f>
        <v>https://www.catalog.slsa.sa.gov.au/record=b2060770</v>
      </c>
      <c r="C9298" s="1" t="str">
        <f>HYPERLINK("https://www.catalog.slsa.sa.gov.au/xrecord=b2060770")</f>
        <v>https://www.catalog.slsa.sa.gov.au/xrecord=b2060770</v>
      </c>
      <c r="D9298" t="s">
        <v>16831</v>
      </c>
      <c r="E9298" t="s">
        <v>29905</v>
      </c>
      <c r="F9298">
        <v>1971</v>
      </c>
      <c r="G9298" t="s">
        <v>29906</v>
      </c>
      <c r="H9298" t="s">
        <v>29916</v>
      </c>
      <c r="J9298" t="s">
        <v>29908</v>
      </c>
      <c r="K9298" s="2" t="str">
        <f>HYPERLINK("http://collections.slsa.sa.gov.au/mpcimg/23500/B23301.htm")</f>
        <v>http://collections.slsa.sa.gov.au/mpcimg/23500/B23301.htm</v>
      </c>
    </row>
    <row r="9299" spans="1:11" x14ac:dyDescent="0.25">
      <c r="A9299" t="s">
        <v>29917</v>
      </c>
      <c r="B9299" s="1" t="str">
        <f>HYPERLINK("https://www.catalog.slsa.sa.gov.au/record=b2060771")</f>
        <v>https://www.catalog.slsa.sa.gov.au/record=b2060771</v>
      </c>
      <c r="C9299" s="1" t="str">
        <f>HYPERLINK("https://www.catalog.slsa.sa.gov.au/xrecord=b2060771")</f>
        <v>https://www.catalog.slsa.sa.gov.au/xrecord=b2060771</v>
      </c>
      <c r="D9299" t="s">
        <v>16831</v>
      </c>
      <c r="E9299" t="s">
        <v>29905</v>
      </c>
      <c r="F9299">
        <v>1971</v>
      </c>
      <c r="G9299" t="s">
        <v>29910</v>
      </c>
      <c r="H9299" t="s">
        <v>29918</v>
      </c>
      <c r="J9299" t="s">
        <v>29908</v>
      </c>
      <c r="K9299" s="2" t="str">
        <f>HYPERLINK("http://collections.slsa.sa.gov.au/mpcimg/23500/B23302.htm")</f>
        <v>http://collections.slsa.sa.gov.au/mpcimg/23500/B23302.htm</v>
      </c>
    </row>
    <row r="9300" spans="1:11" x14ac:dyDescent="0.25">
      <c r="A9300" t="s">
        <v>29919</v>
      </c>
      <c r="B9300" s="1" t="str">
        <f>HYPERLINK("https://www.catalog.slsa.sa.gov.au/record=b2060828")</f>
        <v>https://www.catalog.slsa.sa.gov.au/record=b2060828</v>
      </c>
      <c r="C9300" s="1" t="str">
        <f>HYPERLINK("https://www.catalog.slsa.sa.gov.au/xrecord=b2060828")</f>
        <v>https://www.catalog.slsa.sa.gov.au/xrecord=b2060828</v>
      </c>
      <c r="D9300" t="s">
        <v>16831</v>
      </c>
      <c r="E9300" t="s">
        <v>29920</v>
      </c>
      <c r="F9300">
        <v>1971</v>
      </c>
      <c r="G9300" t="s">
        <v>20841</v>
      </c>
      <c r="H9300" t="s">
        <v>29921</v>
      </c>
      <c r="J9300" t="s">
        <v>28810</v>
      </c>
      <c r="K9300" s="2" t="str">
        <f>HYPERLINK("http://collections.slsa.sa.gov.au/mpcimg/23500/B23314.htm")</f>
        <v>http://collections.slsa.sa.gov.au/mpcimg/23500/B23314.htm</v>
      </c>
    </row>
    <row r="9301" spans="1:11" x14ac:dyDescent="0.25">
      <c r="A9301" t="s">
        <v>29922</v>
      </c>
      <c r="B9301" s="1" t="str">
        <f>HYPERLINK("https://www.catalog.slsa.sa.gov.au/record=b2060829")</f>
        <v>https://www.catalog.slsa.sa.gov.au/record=b2060829</v>
      </c>
      <c r="C9301" s="1" t="str">
        <f>HYPERLINK("https://www.catalog.slsa.sa.gov.au/xrecord=b2060829")</f>
        <v>https://www.catalog.slsa.sa.gov.au/xrecord=b2060829</v>
      </c>
      <c r="D9301" t="s">
        <v>16831</v>
      </c>
      <c r="E9301" t="s">
        <v>29920</v>
      </c>
      <c r="F9301">
        <v>1971</v>
      </c>
      <c r="G9301" t="s">
        <v>20841</v>
      </c>
      <c r="H9301" t="s">
        <v>29921</v>
      </c>
      <c r="J9301" t="s">
        <v>28810</v>
      </c>
      <c r="K9301" s="2" t="str">
        <f>HYPERLINK("http://collections.slsa.sa.gov.au/mpcimg/23500/B23315.htm")</f>
        <v>http://collections.slsa.sa.gov.au/mpcimg/23500/B23315.htm</v>
      </c>
    </row>
    <row r="9302" spans="1:11" x14ac:dyDescent="0.25">
      <c r="A9302" t="s">
        <v>29923</v>
      </c>
      <c r="B9302" s="1" t="str">
        <f>HYPERLINK("https://www.catalog.slsa.sa.gov.au/record=b2060831")</f>
        <v>https://www.catalog.slsa.sa.gov.au/record=b2060831</v>
      </c>
      <c r="C9302" s="1" t="str">
        <f>HYPERLINK("https://www.catalog.slsa.sa.gov.au/xrecord=b2060831")</f>
        <v>https://www.catalog.slsa.sa.gov.au/xrecord=b2060831</v>
      </c>
      <c r="D9302" t="s">
        <v>16831</v>
      </c>
      <c r="E9302" t="s">
        <v>29924</v>
      </c>
      <c r="F9302">
        <v>1971</v>
      </c>
      <c r="G9302" t="s">
        <v>29902</v>
      </c>
      <c r="H9302" t="s">
        <v>29925</v>
      </c>
      <c r="J9302" t="s">
        <v>25430</v>
      </c>
      <c r="K9302" s="2" t="str">
        <f>HYPERLINK("http://collections.slsa.sa.gov.au/mpcimg/25250/B25028.htm")</f>
        <v>http://collections.slsa.sa.gov.au/mpcimg/25250/B25028.htm</v>
      </c>
    </row>
    <row r="9303" spans="1:11" x14ac:dyDescent="0.25">
      <c r="A9303" t="s">
        <v>29926</v>
      </c>
      <c r="B9303" s="1" t="str">
        <f>HYPERLINK("https://www.catalog.slsa.sa.gov.au/record=b2060832")</f>
        <v>https://www.catalog.slsa.sa.gov.au/record=b2060832</v>
      </c>
      <c r="C9303" s="1" t="str">
        <f>HYPERLINK("https://www.catalog.slsa.sa.gov.au/xrecord=b2060832")</f>
        <v>https://www.catalog.slsa.sa.gov.au/xrecord=b2060832</v>
      </c>
      <c r="D9303" t="s">
        <v>16831</v>
      </c>
      <c r="E9303" t="s">
        <v>29924</v>
      </c>
      <c r="F9303">
        <v>1971</v>
      </c>
      <c r="G9303" t="s">
        <v>29902</v>
      </c>
      <c r="H9303" t="s">
        <v>29927</v>
      </c>
      <c r="J9303" t="s">
        <v>25430</v>
      </c>
      <c r="K9303" s="2" t="str">
        <f>HYPERLINK("http://collections.slsa.sa.gov.au/mpcimg/25250/B25029.htm")</f>
        <v>http://collections.slsa.sa.gov.au/mpcimg/25250/B25029.htm</v>
      </c>
    </row>
    <row r="9304" spans="1:11" x14ac:dyDescent="0.25">
      <c r="A9304" t="s">
        <v>29928</v>
      </c>
      <c r="B9304" s="1" t="str">
        <f>HYPERLINK("https://www.catalog.slsa.sa.gov.au/record=b2060833")</f>
        <v>https://www.catalog.slsa.sa.gov.au/record=b2060833</v>
      </c>
      <c r="C9304" s="1" t="str">
        <f>HYPERLINK("https://www.catalog.slsa.sa.gov.au/xrecord=b2060833")</f>
        <v>https://www.catalog.slsa.sa.gov.au/xrecord=b2060833</v>
      </c>
      <c r="D9304" t="s">
        <v>16831</v>
      </c>
      <c r="E9304" t="s">
        <v>29929</v>
      </c>
      <c r="F9304">
        <v>1971</v>
      </c>
      <c r="G9304" t="s">
        <v>29902</v>
      </c>
      <c r="H9304" t="s">
        <v>29930</v>
      </c>
      <c r="J9304" t="s">
        <v>25430</v>
      </c>
      <c r="K9304" s="2" t="str">
        <f>HYPERLINK("http://collections.slsa.sa.gov.au/mpcimg/25250/B25030.htm")</f>
        <v>http://collections.slsa.sa.gov.au/mpcimg/25250/B25030.htm</v>
      </c>
    </row>
    <row r="9305" spans="1:11" x14ac:dyDescent="0.25">
      <c r="A9305" t="s">
        <v>29931</v>
      </c>
      <c r="B9305" s="1" t="str">
        <f>HYPERLINK("https://www.catalog.slsa.sa.gov.au/record=b2060850")</f>
        <v>https://www.catalog.slsa.sa.gov.au/record=b2060850</v>
      </c>
      <c r="C9305" s="1" t="str">
        <f>HYPERLINK("https://www.catalog.slsa.sa.gov.au/xrecord=b2060850")</f>
        <v>https://www.catalog.slsa.sa.gov.au/xrecord=b2060850</v>
      </c>
      <c r="D9305" t="s">
        <v>16831</v>
      </c>
      <c r="E9305" t="s">
        <v>29932</v>
      </c>
      <c r="F9305">
        <v>1971</v>
      </c>
      <c r="G9305" t="s">
        <v>29902</v>
      </c>
      <c r="H9305" t="s">
        <v>29933</v>
      </c>
      <c r="J9305" t="s">
        <v>21109</v>
      </c>
      <c r="K9305" s="2" t="str">
        <f>HYPERLINK("http://collections.slsa.sa.gov.au/mpcimg/25250/B25013.htm")</f>
        <v>http://collections.slsa.sa.gov.au/mpcimg/25250/B25013.htm</v>
      </c>
    </row>
    <row r="9306" spans="1:11" x14ac:dyDescent="0.25">
      <c r="A9306" t="s">
        <v>29934</v>
      </c>
      <c r="B9306" s="1" t="str">
        <f>HYPERLINK("https://www.catalog.slsa.sa.gov.au/record=b2060851")</f>
        <v>https://www.catalog.slsa.sa.gov.au/record=b2060851</v>
      </c>
      <c r="C9306" s="1" t="str">
        <f>HYPERLINK("https://www.catalog.slsa.sa.gov.au/xrecord=b2060851")</f>
        <v>https://www.catalog.slsa.sa.gov.au/xrecord=b2060851</v>
      </c>
      <c r="D9306" t="s">
        <v>16831</v>
      </c>
      <c r="E9306" t="s">
        <v>29935</v>
      </c>
      <c r="F9306">
        <v>1971</v>
      </c>
      <c r="G9306" t="s">
        <v>29902</v>
      </c>
      <c r="H9306" t="s">
        <v>29936</v>
      </c>
      <c r="J9306" t="s">
        <v>21109</v>
      </c>
      <c r="K9306" s="2" t="str">
        <f>HYPERLINK("http://collections.slsa.sa.gov.au/mpcimg/25250/B25017.htm")</f>
        <v>http://collections.slsa.sa.gov.au/mpcimg/25250/B25017.htm</v>
      </c>
    </row>
    <row r="9307" spans="1:11" x14ac:dyDescent="0.25">
      <c r="A9307" t="s">
        <v>29937</v>
      </c>
      <c r="B9307" s="1" t="str">
        <f>HYPERLINK("https://www.catalog.slsa.sa.gov.au/record=b2060852")</f>
        <v>https://www.catalog.slsa.sa.gov.au/record=b2060852</v>
      </c>
      <c r="C9307" s="1" t="str">
        <f>HYPERLINK("https://www.catalog.slsa.sa.gov.au/xrecord=b2060852")</f>
        <v>https://www.catalog.slsa.sa.gov.au/xrecord=b2060852</v>
      </c>
      <c r="D9307" t="s">
        <v>16831</v>
      </c>
      <c r="E9307" t="s">
        <v>29938</v>
      </c>
      <c r="F9307">
        <v>1971</v>
      </c>
      <c r="G9307" t="s">
        <v>29902</v>
      </c>
      <c r="H9307" t="s">
        <v>29939</v>
      </c>
      <c r="J9307" t="s">
        <v>21109</v>
      </c>
      <c r="K9307" s="2" t="str">
        <f>HYPERLINK("http://collections.slsa.sa.gov.au/mpcimg/25250/B25018.htm")</f>
        <v>http://collections.slsa.sa.gov.au/mpcimg/25250/B25018.htm</v>
      </c>
    </row>
    <row r="9308" spans="1:11" x14ac:dyDescent="0.25">
      <c r="A9308" t="s">
        <v>29940</v>
      </c>
      <c r="B9308" s="1" t="str">
        <f>HYPERLINK("https://www.catalog.slsa.sa.gov.au/record=b2060861")</f>
        <v>https://www.catalog.slsa.sa.gov.au/record=b2060861</v>
      </c>
      <c r="C9308" s="1" t="str">
        <f>HYPERLINK("https://www.catalog.slsa.sa.gov.au/xrecord=b2060861")</f>
        <v>https://www.catalog.slsa.sa.gov.au/xrecord=b2060861</v>
      </c>
      <c r="D9308" t="s">
        <v>16831</v>
      </c>
      <c r="E9308" t="s">
        <v>29941</v>
      </c>
      <c r="F9308">
        <v>1971</v>
      </c>
      <c r="G9308" t="s">
        <v>29902</v>
      </c>
      <c r="H9308" t="s">
        <v>29942</v>
      </c>
      <c r="J9308" t="s">
        <v>24331</v>
      </c>
      <c r="K9308" s="2" t="str">
        <f>HYPERLINK("http://collections.slsa.sa.gov.au/mpcimg/25250/B25012.htm")</f>
        <v>http://collections.slsa.sa.gov.au/mpcimg/25250/B25012.htm</v>
      </c>
    </row>
    <row r="9309" spans="1:11" x14ac:dyDescent="0.25">
      <c r="A9309" t="s">
        <v>29943</v>
      </c>
      <c r="B9309" s="1" t="str">
        <f>HYPERLINK("https://www.catalog.slsa.sa.gov.au/record=b2061095")</f>
        <v>https://www.catalog.slsa.sa.gov.au/record=b2061095</v>
      </c>
      <c r="C9309" s="1" t="str">
        <f>HYPERLINK("https://www.catalog.slsa.sa.gov.au/xrecord=b2061095")</f>
        <v>https://www.catalog.slsa.sa.gov.au/xrecord=b2061095</v>
      </c>
      <c r="D9309" t="s">
        <v>16831</v>
      </c>
      <c r="E9309" t="s">
        <v>21118</v>
      </c>
      <c r="F9309">
        <v>1971</v>
      </c>
      <c r="G9309" t="s">
        <v>15164</v>
      </c>
      <c r="H9309" t="s">
        <v>29944</v>
      </c>
      <c r="J9309" t="s">
        <v>24371</v>
      </c>
      <c r="K9309" s="2" t="str">
        <f>HYPERLINK("http://collections.slsa.sa.gov.au/mpcimg/22250/B22078.htm")</f>
        <v>http://collections.slsa.sa.gov.au/mpcimg/22250/B22078.htm</v>
      </c>
    </row>
    <row r="9310" spans="1:11" x14ac:dyDescent="0.25">
      <c r="A9310" t="s">
        <v>29945</v>
      </c>
      <c r="B9310" s="1" t="str">
        <f>HYPERLINK("https://www.catalog.slsa.sa.gov.au/record=b2061507")</f>
        <v>https://www.catalog.slsa.sa.gov.au/record=b2061507</v>
      </c>
      <c r="C9310" s="1" t="str">
        <f>HYPERLINK("https://www.catalog.slsa.sa.gov.au/xrecord=b2061507")</f>
        <v>https://www.catalog.slsa.sa.gov.au/xrecord=b2061507</v>
      </c>
      <c r="D9310" t="s">
        <v>16831</v>
      </c>
      <c r="E9310" t="s">
        <v>25538</v>
      </c>
      <c r="F9310">
        <v>1971</v>
      </c>
      <c r="G9310" t="s">
        <v>29765</v>
      </c>
      <c r="H9310" t="s">
        <v>29946</v>
      </c>
      <c r="J9310" t="s">
        <v>26753</v>
      </c>
      <c r="K9310" s="2" t="str">
        <f>HYPERLINK("http://collections.slsa.sa.gov.au/mpcimg/21500/B21295.htm")</f>
        <v>http://collections.slsa.sa.gov.au/mpcimg/21500/B21295.htm</v>
      </c>
    </row>
    <row r="9311" spans="1:11" x14ac:dyDescent="0.25">
      <c r="A9311" t="s">
        <v>29947</v>
      </c>
      <c r="B9311" s="1" t="str">
        <f>HYPERLINK("https://www.catalog.slsa.sa.gov.au/record=b2061508")</f>
        <v>https://www.catalog.slsa.sa.gov.au/record=b2061508</v>
      </c>
      <c r="C9311" s="1" t="str">
        <f>HYPERLINK("https://www.catalog.slsa.sa.gov.au/xrecord=b2061508")</f>
        <v>https://www.catalog.slsa.sa.gov.au/xrecord=b2061508</v>
      </c>
      <c r="D9311" t="s">
        <v>16831</v>
      </c>
      <c r="E9311" t="s">
        <v>21232</v>
      </c>
      <c r="F9311">
        <v>1971</v>
      </c>
      <c r="G9311" t="s">
        <v>29765</v>
      </c>
      <c r="H9311" t="s">
        <v>29948</v>
      </c>
      <c r="J9311" t="s">
        <v>26753</v>
      </c>
      <c r="K9311" s="2" t="str">
        <f>HYPERLINK("http://collections.slsa.sa.gov.au/mpcimg/21500/B21296.htm")</f>
        <v>http://collections.slsa.sa.gov.au/mpcimg/21500/B21296.htm</v>
      </c>
    </row>
    <row r="9312" spans="1:11" x14ac:dyDescent="0.25">
      <c r="A9312" t="s">
        <v>29949</v>
      </c>
      <c r="B9312" s="1" t="str">
        <f>HYPERLINK("https://www.catalog.slsa.sa.gov.au/record=b2061509")</f>
        <v>https://www.catalog.slsa.sa.gov.au/record=b2061509</v>
      </c>
      <c r="C9312" s="1" t="str">
        <f>HYPERLINK("https://www.catalog.slsa.sa.gov.au/xrecord=b2061509")</f>
        <v>https://www.catalog.slsa.sa.gov.au/xrecord=b2061509</v>
      </c>
      <c r="D9312" t="s">
        <v>16831</v>
      </c>
      <c r="E9312" t="s">
        <v>21232</v>
      </c>
      <c r="F9312">
        <v>1971</v>
      </c>
      <c r="G9312" t="s">
        <v>19812</v>
      </c>
      <c r="H9312" t="s">
        <v>29950</v>
      </c>
      <c r="J9312" t="s">
        <v>26753</v>
      </c>
      <c r="K9312" s="2" t="str">
        <f>HYPERLINK("http://collections.slsa.sa.gov.au/mpcimg/23500/B23321.htm")</f>
        <v>http://collections.slsa.sa.gov.au/mpcimg/23500/B23321.htm</v>
      </c>
    </row>
    <row r="9313" spans="1:11" x14ac:dyDescent="0.25">
      <c r="A9313" t="s">
        <v>29951</v>
      </c>
      <c r="B9313" s="1" t="str">
        <f>HYPERLINK("https://www.catalog.slsa.sa.gov.au/record=b2061522")</f>
        <v>https://www.catalog.slsa.sa.gov.au/record=b2061522</v>
      </c>
      <c r="C9313" s="1" t="str">
        <f>HYPERLINK("https://www.catalog.slsa.sa.gov.au/xrecord=b2061522")</f>
        <v>https://www.catalog.slsa.sa.gov.au/xrecord=b2061522</v>
      </c>
      <c r="D9313" t="s">
        <v>16831</v>
      </c>
      <c r="E9313" t="s">
        <v>29952</v>
      </c>
      <c r="F9313">
        <v>1971</v>
      </c>
      <c r="G9313" t="s">
        <v>29896</v>
      </c>
      <c r="H9313" t="s">
        <v>29953</v>
      </c>
      <c r="J9313" t="s">
        <v>26377</v>
      </c>
      <c r="K9313" s="2" t="str">
        <f>HYPERLINK("http://collections.slsa.sa.gov.au/mpcimg/22750/B22521.htm")</f>
        <v>http://collections.slsa.sa.gov.au/mpcimg/22750/B22521.htm</v>
      </c>
    </row>
    <row r="9314" spans="1:11" x14ac:dyDescent="0.25">
      <c r="A9314" t="s">
        <v>29954</v>
      </c>
      <c r="B9314" s="1" t="str">
        <f>HYPERLINK("https://www.catalog.slsa.sa.gov.au/record=b2061836")</f>
        <v>https://www.catalog.slsa.sa.gov.au/record=b2061836</v>
      </c>
      <c r="C9314" s="1" t="str">
        <f>HYPERLINK("https://www.catalog.slsa.sa.gov.au/xrecord=b2061836")</f>
        <v>https://www.catalog.slsa.sa.gov.au/xrecord=b2061836</v>
      </c>
      <c r="D9314" t="s">
        <v>16831</v>
      </c>
      <c r="E9314" t="s">
        <v>29955</v>
      </c>
      <c r="F9314">
        <v>1971</v>
      </c>
      <c r="G9314" t="s">
        <v>15269</v>
      </c>
      <c r="H9314" t="s">
        <v>29956</v>
      </c>
      <c r="J9314" t="s">
        <v>21206</v>
      </c>
      <c r="K9314" s="2" t="str">
        <f>HYPERLINK("http://collections.slsa.sa.gov.au/mpcimg/23750/B23682.htm")</f>
        <v>http://collections.slsa.sa.gov.au/mpcimg/23750/B23682.htm</v>
      </c>
    </row>
    <row r="9315" spans="1:11" x14ac:dyDescent="0.25">
      <c r="A9315" t="s">
        <v>29957</v>
      </c>
      <c r="B9315" s="1" t="str">
        <f>HYPERLINK("https://www.catalog.slsa.sa.gov.au/record=b2061837")</f>
        <v>https://www.catalog.slsa.sa.gov.au/record=b2061837</v>
      </c>
      <c r="C9315" s="1" t="str">
        <f>HYPERLINK("https://www.catalog.slsa.sa.gov.au/xrecord=b2061837")</f>
        <v>https://www.catalog.slsa.sa.gov.au/xrecord=b2061837</v>
      </c>
      <c r="D9315" t="s">
        <v>16831</v>
      </c>
      <c r="E9315" t="s">
        <v>29955</v>
      </c>
      <c r="F9315">
        <v>1971</v>
      </c>
      <c r="G9315" t="s">
        <v>15269</v>
      </c>
      <c r="H9315" t="s">
        <v>29958</v>
      </c>
      <c r="J9315" t="s">
        <v>21206</v>
      </c>
      <c r="K9315" s="2" t="str">
        <f>HYPERLINK("http://collections.slsa.sa.gov.au/mpcimg/23750/B23683.htm")</f>
        <v>http://collections.slsa.sa.gov.au/mpcimg/23750/B23683.htm</v>
      </c>
    </row>
    <row r="9316" spans="1:11" x14ac:dyDescent="0.25">
      <c r="A9316" t="s">
        <v>29959</v>
      </c>
      <c r="B9316" s="1" t="str">
        <f>HYPERLINK("https://www.catalog.slsa.sa.gov.au/record=b2061860")</f>
        <v>https://www.catalog.slsa.sa.gov.au/record=b2061860</v>
      </c>
      <c r="C9316" s="1" t="str">
        <f>HYPERLINK("https://www.catalog.slsa.sa.gov.au/xrecord=b2061860")</f>
        <v>https://www.catalog.slsa.sa.gov.au/xrecord=b2061860</v>
      </c>
      <c r="D9316" t="s">
        <v>16831</v>
      </c>
      <c r="E9316" t="s">
        <v>29960</v>
      </c>
      <c r="F9316">
        <v>1971</v>
      </c>
      <c r="G9316" t="s">
        <v>16843</v>
      </c>
      <c r="H9316" t="s">
        <v>29961</v>
      </c>
      <c r="J9316" t="s">
        <v>26390</v>
      </c>
      <c r="K9316" s="2" t="str">
        <f>HYPERLINK("http://collections.slsa.sa.gov.au/mpcimg/21500/B21475.htm")</f>
        <v>http://collections.slsa.sa.gov.au/mpcimg/21500/B21475.htm</v>
      </c>
    </row>
    <row r="9317" spans="1:11" x14ac:dyDescent="0.25">
      <c r="A9317" t="s">
        <v>29962</v>
      </c>
      <c r="B9317" s="1" t="str">
        <f>HYPERLINK("https://www.catalog.slsa.sa.gov.au/record=b2061861")</f>
        <v>https://www.catalog.slsa.sa.gov.au/record=b2061861</v>
      </c>
      <c r="C9317" s="1" t="str">
        <f>HYPERLINK("https://www.catalog.slsa.sa.gov.au/xrecord=b2061861")</f>
        <v>https://www.catalog.slsa.sa.gov.au/xrecord=b2061861</v>
      </c>
      <c r="D9317" t="s">
        <v>16831</v>
      </c>
      <c r="E9317" t="s">
        <v>29963</v>
      </c>
      <c r="F9317">
        <v>1971</v>
      </c>
      <c r="G9317" t="s">
        <v>16843</v>
      </c>
      <c r="H9317" t="s">
        <v>29964</v>
      </c>
      <c r="J9317" t="s">
        <v>26390</v>
      </c>
      <c r="K9317" s="2" t="str">
        <f>HYPERLINK("http://collections.slsa.sa.gov.au/mpcimg/21500/B21476.htm")</f>
        <v>http://collections.slsa.sa.gov.au/mpcimg/21500/B21476.htm</v>
      </c>
    </row>
    <row r="9318" spans="1:11" x14ac:dyDescent="0.25">
      <c r="A9318" t="s">
        <v>29965</v>
      </c>
      <c r="B9318" s="1" t="str">
        <f>HYPERLINK("https://www.catalog.slsa.sa.gov.au/record=b2061930")</f>
        <v>https://www.catalog.slsa.sa.gov.au/record=b2061930</v>
      </c>
      <c r="C9318" s="1" t="str">
        <f>HYPERLINK("https://www.catalog.slsa.sa.gov.au/xrecord=b2061930")</f>
        <v>https://www.catalog.slsa.sa.gov.au/xrecord=b2061930</v>
      </c>
      <c r="D9318" t="s">
        <v>16831</v>
      </c>
      <c r="E9318" t="s">
        <v>29966</v>
      </c>
      <c r="F9318">
        <v>1971</v>
      </c>
      <c r="G9318" t="s">
        <v>29765</v>
      </c>
      <c r="H9318" t="s">
        <v>29967</v>
      </c>
      <c r="J9318" t="s">
        <v>25536</v>
      </c>
      <c r="K9318" s="2" t="str">
        <f>HYPERLINK("http://collections.slsa.sa.gov.au/mpcimg/21500/B21297.htm")</f>
        <v>http://collections.slsa.sa.gov.au/mpcimg/21500/B21297.htm</v>
      </c>
    </row>
    <row r="9319" spans="1:11" x14ac:dyDescent="0.25">
      <c r="A9319" t="s">
        <v>29968</v>
      </c>
      <c r="B9319" s="1" t="str">
        <f>HYPERLINK("https://www.catalog.slsa.sa.gov.au/record=b2062884")</f>
        <v>https://www.catalog.slsa.sa.gov.au/record=b2062884</v>
      </c>
      <c r="C9319" s="1" t="str">
        <f>HYPERLINK("https://www.catalog.slsa.sa.gov.au/xrecord=b2062884")</f>
        <v>https://www.catalog.slsa.sa.gov.au/xrecord=b2062884</v>
      </c>
      <c r="D9319" t="s">
        <v>16831</v>
      </c>
      <c r="E9319" t="s">
        <v>29969</v>
      </c>
      <c r="F9319">
        <v>1971</v>
      </c>
      <c r="G9319" t="s">
        <v>29910</v>
      </c>
      <c r="H9319" t="s">
        <v>29970</v>
      </c>
      <c r="J9319" t="s">
        <v>21285</v>
      </c>
      <c r="K9319" s="2" t="str">
        <f>HYPERLINK("http://collections.slsa.sa.gov.au/mpcimg/23500/B23303.htm")</f>
        <v>http://collections.slsa.sa.gov.au/mpcimg/23500/B23303.htm</v>
      </c>
    </row>
    <row r="9320" spans="1:11" x14ac:dyDescent="0.25">
      <c r="A9320" t="s">
        <v>29971</v>
      </c>
      <c r="B9320" s="1" t="str">
        <f>HYPERLINK("https://www.catalog.slsa.sa.gov.au/record=b2062925")</f>
        <v>https://www.catalog.slsa.sa.gov.au/record=b2062925</v>
      </c>
      <c r="C9320" s="1" t="str">
        <f>HYPERLINK("https://www.catalog.slsa.sa.gov.au/xrecord=b2062925")</f>
        <v>https://www.catalog.slsa.sa.gov.au/xrecord=b2062925</v>
      </c>
      <c r="D9320" t="s">
        <v>16831</v>
      </c>
      <c r="E9320" t="s">
        <v>21277</v>
      </c>
      <c r="F9320">
        <v>1971</v>
      </c>
      <c r="G9320" t="s">
        <v>29972</v>
      </c>
      <c r="H9320" t="s">
        <v>29973</v>
      </c>
      <c r="J9320" t="s">
        <v>27805</v>
      </c>
      <c r="K9320" s="2" t="str">
        <f>HYPERLINK("http://collections.slsa.sa.gov.au/mpcimg/25500/B25263.htm")</f>
        <v>http://collections.slsa.sa.gov.au/mpcimg/25500/B25263.htm</v>
      </c>
    </row>
    <row r="9321" spans="1:11" x14ac:dyDescent="0.25">
      <c r="A9321" t="s">
        <v>29974</v>
      </c>
      <c r="B9321" s="1" t="str">
        <f>HYPERLINK("https://www.catalog.slsa.sa.gov.au/record=b2062983")</f>
        <v>https://www.catalog.slsa.sa.gov.au/record=b2062983</v>
      </c>
      <c r="C9321" s="1" t="str">
        <f>HYPERLINK("https://www.catalog.slsa.sa.gov.au/xrecord=b2062983")</f>
        <v>https://www.catalog.slsa.sa.gov.au/xrecord=b2062983</v>
      </c>
      <c r="D9321" t="s">
        <v>16831</v>
      </c>
      <c r="E9321" t="s">
        <v>29975</v>
      </c>
      <c r="F9321">
        <v>1971</v>
      </c>
      <c r="G9321" t="s">
        <v>29896</v>
      </c>
      <c r="H9321" t="s">
        <v>29976</v>
      </c>
      <c r="J9321" t="s">
        <v>28492</v>
      </c>
      <c r="K9321" s="2" t="str">
        <f>HYPERLINK("http://collections.slsa.sa.gov.au/mpcimg/22750/B22523.htm")</f>
        <v>http://collections.slsa.sa.gov.au/mpcimg/22750/B22523.htm</v>
      </c>
    </row>
    <row r="9322" spans="1:11" x14ac:dyDescent="0.25">
      <c r="A9322" t="s">
        <v>29977</v>
      </c>
      <c r="B9322" s="1" t="str">
        <f>HYPERLINK("https://www.catalog.slsa.sa.gov.au/record=b2064062")</f>
        <v>https://www.catalog.slsa.sa.gov.au/record=b2064062</v>
      </c>
      <c r="C9322" s="1" t="str">
        <f>HYPERLINK("https://www.catalog.slsa.sa.gov.au/xrecord=b2064062")</f>
        <v>https://www.catalog.slsa.sa.gov.au/xrecord=b2064062</v>
      </c>
      <c r="D9322" t="s">
        <v>16831</v>
      </c>
      <c r="E9322" t="s">
        <v>28708</v>
      </c>
      <c r="F9322">
        <v>1971</v>
      </c>
      <c r="G9322" t="s">
        <v>15164</v>
      </c>
      <c r="H9322" t="s">
        <v>29978</v>
      </c>
      <c r="J9322" t="s">
        <v>28710</v>
      </c>
      <c r="K9322" s="2" t="str">
        <f>HYPERLINK("http://collections.slsa.sa.gov.au/mpcimg/22250/B22068.htm")</f>
        <v>http://collections.slsa.sa.gov.au/mpcimg/22250/B22068.htm</v>
      </c>
    </row>
    <row r="9323" spans="1:11" x14ac:dyDescent="0.25">
      <c r="A9323" t="s">
        <v>29979</v>
      </c>
      <c r="B9323" s="1" t="str">
        <f>HYPERLINK("https://www.catalog.slsa.sa.gov.au/record=b2064066")</f>
        <v>https://www.catalog.slsa.sa.gov.au/record=b2064066</v>
      </c>
      <c r="C9323" s="1" t="str">
        <f>HYPERLINK("https://www.catalog.slsa.sa.gov.au/xrecord=b2064066")</f>
        <v>https://www.catalog.slsa.sa.gov.au/xrecord=b2064066</v>
      </c>
      <c r="D9323" t="s">
        <v>16831</v>
      </c>
      <c r="E9323" t="s">
        <v>26942</v>
      </c>
      <c r="F9323">
        <v>1971</v>
      </c>
      <c r="G9323" t="s">
        <v>15164</v>
      </c>
      <c r="H9323" t="s">
        <v>29980</v>
      </c>
      <c r="J9323" t="s">
        <v>29981</v>
      </c>
      <c r="K9323" s="2" t="str">
        <f>HYPERLINK("http://collections.slsa.sa.gov.au/mpcimg/22250/B22069.htm")</f>
        <v>http://collections.slsa.sa.gov.au/mpcimg/22250/B22069.htm</v>
      </c>
    </row>
    <row r="9324" spans="1:11" x14ac:dyDescent="0.25">
      <c r="A9324" t="s">
        <v>29982</v>
      </c>
      <c r="B9324" s="1" t="str">
        <f>HYPERLINK("https://www.catalog.slsa.sa.gov.au/record=b2064067")</f>
        <v>https://www.catalog.slsa.sa.gov.au/record=b2064067</v>
      </c>
      <c r="C9324" s="1" t="str">
        <f>HYPERLINK("https://www.catalog.slsa.sa.gov.au/xrecord=b2064067")</f>
        <v>https://www.catalog.slsa.sa.gov.au/xrecord=b2064067</v>
      </c>
      <c r="D9324" t="s">
        <v>16831</v>
      </c>
      <c r="E9324" t="s">
        <v>29983</v>
      </c>
      <c r="F9324">
        <v>1971</v>
      </c>
      <c r="G9324" t="s">
        <v>15164</v>
      </c>
      <c r="H9324" t="s">
        <v>29984</v>
      </c>
      <c r="J9324" t="s">
        <v>29981</v>
      </c>
      <c r="K9324" s="2" t="str">
        <f>HYPERLINK("http://collections.slsa.sa.gov.au/mpcimg/22250/B22070.htm")</f>
        <v>http://collections.slsa.sa.gov.au/mpcimg/22250/B22070.htm</v>
      </c>
    </row>
    <row r="9325" spans="1:11" x14ac:dyDescent="0.25">
      <c r="A9325" t="s">
        <v>29985</v>
      </c>
      <c r="B9325" s="1" t="str">
        <f>HYPERLINK("https://www.catalog.slsa.sa.gov.au/record=b2064081")</f>
        <v>https://www.catalog.slsa.sa.gov.au/record=b2064081</v>
      </c>
      <c r="C9325" s="1" t="str">
        <f>HYPERLINK("https://www.catalog.slsa.sa.gov.au/xrecord=b2064081")</f>
        <v>https://www.catalog.slsa.sa.gov.au/xrecord=b2064081</v>
      </c>
      <c r="D9325" t="s">
        <v>16831</v>
      </c>
      <c r="E9325" t="s">
        <v>25622</v>
      </c>
      <c r="F9325">
        <v>1971</v>
      </c>
      <c r="G9325" t="s">
        <v>15269</v>
      </c>
      <c r="H9325" t="s">
        <v>29986</v>
      </c>
      <c r="J9325" t="s">
        <v>29987</v>
      </c>
      <c r="K9325" s="2" t="str">
        <f>HYPERLINK("http://collections.slsa.sa.gov.au/mpcimg/23750/B23539.htm")</f>
        <v>http://collections.slsa.sa.gov.au/mpcimg/23750/B23539.htm</v>
      </c>
    </row>
    <row r="9326" spans="1:11" x14ac:dyDescent="0.25">
      <c r="A9326" t="s">
        <v>29988</v>
      </c>
      <c r="B9326" s="1" t="str">
        <f>HYPERLINK("https://www.catalog.slsa.sa.gov.au/record=b2064082")</f>
        <v>https://www.catalog.slsa.sa.gov.au/record=b2064082</v>
      </c>
      <c r="C9326" s="1" t="str">
        <f>HYPERLINK("https://www.catalog.slsa.sa.gov.au/xrecord=b2064082")</f>
        <v>https://www.catalog.slsa.sa.gov.au/xrecord=b2064082</v>
      </c>
      <c r="D9326" t="s">
        <v>16831</v>
      </c>
      <c r="E9326" t="s">
        <v>25622</v>
      </c>
      <c r="F9326">
        <v>1971</v>
      </c>
      <c r="G9326" t="s">
        <v>15269</v>
      </c>
      <c r="H9326" t="s">
        <v>29989</v>
      </c>
      <c r="J9326" t="s">
        <v>29987</v>
      </c>
      <c r="K9326" s="2" t="str">
        <f>HYPERLINK("http://collections.slsa.sa.gov.au/mpcimg/23750/B23540.htm")</f>
        <v>http://collections.slsa.sa.gov.au/mpcimg/23750/B23540.htm</v>
      </c>
    </row>
    <row r="9327" spans="1:11" x14ac:dyDescent="0.25">
      <c r="A9327" t="s">
        <v>29990</v>
      </c>
      <c r="B9327" s="1" t="str">
        <f>HYPERLINK("https://www.catalog.slsa.sa.gov.au/record=b2064083")</f>
        <v>https://www.catalog.slsa.sa.gov.au/record=b2064083</v>
      </c>
      <c r="C9327" s="1" t="str">
        <f>HYPERLINK("https://www.catalog.slsa.sa.gov.au/xrecord=b2064083")</f>
        <v>https://www.catalog.slsa.sa.gov.au/xrecord=b2064083</v>
      </c>
      <c r="D9327" t="s">
        <v>16831</v>
      </c>
      <c r="E9327" t="s">
        <v>25622</v>
      </c>
      <c r="F9327">
        <v>1971</v>
      </c>
      <c r="G9327" t="s">
        <v>15269</v>
      </c>
      <c r="H9327" t="s">
        <v>29991</v>
      </c>
      <c r="J9327" t="s">
        <v>29987</v>
      </c>
      <c r="K9327" s="2" t="str">
        <f>HYPERLINK("http://collections.slsa.sa.gov.au/mpcimg/23750/B23541.htm")</f>
        <v>http://collections.slsa.sa.gov.au/mpcimg/23750/B23541.htm</v>
      </c>
    </row>
    <row r="9328" spans="1:11" x14ac:dyDescent="0.25">
      <c r="A9328" t="s">
        <v>29992</v>
      </c>
      <c r="B9328" s="1" t="str">
        <f>HYPERLINK("https://www.catalog.slsa.sa.gov.au/record=b2064788")</f>
        <v>https://www.catalog.slsa.sa.gov.au/record=b2064788</v>
      </c>
      <c r="C9328" s="1" t="str">
        <f>HYPERLINK("https://www.catalog.slsa.sa.gov.au/xrecord=b2064788")</f>
        <v>https://www.catalog.slsa.sa.gov.au/xrecord=b2064788</v>
      </c>
      <c r="D9328" t="s">
        <v>16831</v>
      </c>
      <c r="E9328" t="s">
        <v>29993</v>
      </c>
      <c r="F9328">
        <v>1971</v>
      </c>
      <c r="G9328" t="s">
        <v>29972</v>
      </c>
      <c r="H9328" t="s">
        <v>29994</v>
      </c>
      <c r="J9328" t="s">
        <v>29995</v>
      </c>
      <c r="K9328" s="2" t="str">
        <f>HYPERLINK("http://collections.slsa.sa.gov.au/mpcimg/25500/B25280.htm")</f>
        <v>http://collections.slsa.sa.gov.au/mpcimg/25500/B25280.htm</v>
      </c>
    </row>
    <row r="9329" spans="1:11" x14ac:dyDescent="0.25">
      <c r="A9329" t="s">
        <v>29996</v>
      </c>
      <c r="B9329" s="1" t="str">
        <f>HYPERLINK("https://www.catalog.slsa.sa.gov.au/record=b2064789")</f>
        <v>https://www.catalog.slsa.sa.gov.au/record=b2064789</v>
      </c>
      <c r="C9329" s="1" t="str">
        <f>HYPERLINK("https://www.catalog.slsa.sa.gov.au/xrecord=b2064789")</f>
        <v>https://www.catalog.slsa.sa.gov.au/xrecord=b2064789</v>
      </c>
      <c r="D9329" t="s">
        <v>16831</v>
      </c>
      <c r="E9329" t="s">
        <v>29993</v>
      </c>
      <c r="F9329">
        <v>1971</v>
      </c>
      <c r="G9329" t="s">
        <v>29972</v>
      </c>
      <c r="H9329" t="s">
        <v>29997</v>
      </c>
      <c r="J9329" t="s">
        <v>29995</v>
      </c>
      <c r="K9329" s="2" t="str">
        <f>HYPERLINK("http://collections.slsa.sa.gov.au/mpcimg/25500/B25281.htm")</f>
        <v>http://collections.slsa.sa.gov.au/mpcimg/25500/B25281.htm</v>
      </c>
    </row>
    <row r="9330" spans="1:11" x14ac:dyDescent="0.25">
      <c r="A9330" t="s">
        <v>29998</v>
      </c>
      <c r="B9330" s="1" t="str">
        <f>HYPERLINK("https://www.catalog.slsa.sa.gov.au/record=b2064790")</f>
        <v>https://www.catalog.slsa.sa.gov.au/record=b2064790</v>
      </c>
      <c r="C9330" s="1" t="str">
        <f>HYPERLINK("https://www.catalog.slsa.sa.gov.au/xrecord=b2064790")</f>
        <v>https://www.catalog.slsa.sa.gov.au/xrecord=b2064790</v>
      </c>
      <c r="D9330" t="s">
        <v>16831</v>
      </c>
      <c r="E9330" t="s">
        <v>29993</v>
      </c>
      <c r="F9330">
        <v>1971</v>
      </c>
      <c r="G9330" t="s">
        <v>29972</v>
      </c>
      <c r="H9330" t="s">
        <v>29999</v>
      </c>
      <c r="J9330" t="s">
        <v>29995</v>
      </c>
      <c r="K9330" s="2" t="str">
        <f>HYPERLINK("http://collections.slsa.sa.gov.au/mpcimg/25500/B25282.htm")</f>
        <v>http://collections.slsa.sa.gov.au/mpcimg/25500/B25282.htm</v>
      </c>
    </row>
    <row r="9331" spans="1:11" x14ac:dyDescent="0.25">
      <c r="A9331" t="s">
        <v>30000</v>
      </c>
      <c r="B9331" s="1" t="str">
        <f>HYPERLINK("https://www.catalog.slsa.sa.gov.au/record=b2064791")</f>
        <v>https://www.catalog.slsa.sa.gov.au/record=b2064791</v>
      </c>
      <c r="C9331" s="1" t="str">
        <f>HYPERLINK("https://www.catalog.slsa.sa.gov.au/xrecord=b2064791")</f>
        <v>https://www.catalog.slsa.sa.gov.au/xrecord=b2064791</v>
      </c>
      <c r="D9331" t="s">
        <v>16831</v>
      </c>
      <c r="E9331" t="s">
        <v>29993</v>
      </c>
      <c r="F9331">
        <v>1971</v>
      </c>
      <c r="G9331" t="s">
        <v>29972</v>
      </c>
      <c r="H9331" t="s">
        <v>30001</v>
      </c>
      <c r="J9331" t="s">
        <v>29995</v>
      </c>
      <c r="K9331" s="2" t="str">
        <f>HYPERLINK("http://collections.slsa.sa.gov.au/mpcimg/25500/B25283.htm")</f>
        <v>http://collections.slsa.sa.gov.au/mpcimg/25500/B25283.htm</v>
      </c>
    </row>
    <row r="9332" spans="1:11" x14ac:dyDescent="0.25">
      <c r="A9332" t="s">
        <v>30002</v>
      </c>
      <c r="B9332" s="1" t="str">
        <f>HYPERLINK("https://www.catalog.slsa.sa.gov.au/record=b2064792")</f>
        <v>https://www.catalog.slsa.sa.gov.au/record=b2064792</v>
      </c>
      <c r="C9332" s="1" t="str">
        <f>HYPERLINK("https://www.catalog.slsa.sa.gov.au/xrecord=b2064792")</f>
        <v>https://www.catalog.slsa.sa.gov.au/xrecord=b2064792</v>
      </c>
      <c r="D9332" t="s">
        <v>16831</v>
      </c>
      <c r="E9332" t="s">
        <v>29993</v>
      </c>
      <c r="F9332">
        <v>1971</v>
      </c>
      <c r="G9332" t="s">
        <v>29972</v>
      </c>
      <c r="H9332" t="s">
        <v>30003</v>
      </c>
      <c r="J9332" t="s">
        <v>29995</v>
      </c>
      <c r="K9332" s="2" t="str">
        <f>HYPERLINK("http://collections.slsa.sa.gov.au/mpcimg/25500/B25284.htm")</f>
        <v>http://collections.slsa.sa.gov.au/mpcimg/25500/B25284.htm</v>
      </c>
    </row>
    <row r="9333" spans="1:11" x14ac:dyDescent="0.25">
      <c r="A9333" t="s">
        <v>30004</v>
      </c>
      <c r="B9333" s="1" t="str">
        <f>HYPERLINK("https://www.catalog.slsa.sa.gov.au/record=b2064793")</f>
        <v>https://www.catalog.slsa.sa.gov.au/record=b2064793</v>
      </c>
      <c r="C9333" s="1" t="str">
        <f>HYPERLINK("https://www.catalog.slsa.sa.gov.au/xrecord=b2064793")</f>
        <v>https://www.catalog.slsa.sa.gov.au/xrecord=b2064793</v>
      </c>
      <c r="D9333" t="s">
        <v>16831</v>
      </c>
      <c r="E9333" t="s">
        <v>29993</v>
      </c>
      <c r="F9333">
        <v>1971</v>
      </c>
      <c r="G9333" t="s">
        <v>29972</v>
      </c>
      <c r="H9333" t="s">
        <v>30005</v>
      </c>
      <c r="J9333" t="s">
        <v>29995</v>
      </c>
      <c r="K9333" s="2" t="str">
        <f>HYPERLINK("http://collections.slsa.sa.gov.au/mpcimg/25500/B25285.htm")</f>
        <v>http://collections.slsa.sa.gov.au/mpcimg/25500/B25285.htm</v>
      </c>
    </row>
    <row r="9334" spans="1:11" x14ac:dyDescent="0.25">
      <c r="A9334" t="s">
        <v>30006</v>
      </c>
      <c r="B9334" s="1" t="str">
        <f>HYPERLINK("https://www.catalog.slsa.sa.gov.au/record=b2064794")</f>
        <v>https://www.catalog.slsa.sa.gov.au/record=b2064794</v>
      </c>
      <c r="C9334" s="1" t="str">
        <f>HYPERLINK("https://www.catalog.slsa.sa.gov.au/xrecord=b2064794")</f>
        <v>https://www.catalog.slsa.sa.gov.au/xrecord=b2064794</v>
      </c>
      <c r="D9334" t="s">
        <v>16831</v>
      </c>
      <c r="E9334" t="s">
        <v>29993</v>
      </c>
      <c r="F9334">
        <v>1971</v>
      </c>
      <c r="G9334" t="s">
        <v>29972</v>
      </c>
      <c r="H9334" t="s">
        <v>30007</v>
      </c>
      <c r="J9334" t="s">
        <v>29995</v>
      </c>
      <c r="K9334" s="2" t="str">
        <f>HYPERLINK("http://collections.slsa.sa.gov.au/mpcimg/25500/B25286.htm")</f>
        <v>http://collections.slsa.sa.gov.au/mpcimg/25500/B25286.htm</v>
      </c>
    </row>
    <row r="9335" spans="1:11" x14ac:dyDescent="0.25">
      <c r="A9335" t="s">
        <v>30008</v>
      </c>
      <c r="B9335" s="1" t="str">
        <f>HYPERLINK("https://www.catalog.slsa.sa.gov.au/record=b2064795")</f>
        <v>https://www.catalog.slsa.sa.gov.au/record=b2064795</v>
      </c>
      <c r="C9335" s="1" t="str">
        <f>HYPERLINK("https://www.catalog.slsa.sa.gov.au/xrecord=b2064795")</f>
        <v>https://www.catalog.slsa.sa.gov.au/xrecord=b2064795</v>
      </c>
      <c r="D9335" t="s">
        <v>16831</v>
      </c>
      <c r="E9335" t="s">
        <v>29993</v>
      </c>
      <c r="F9335">
        <v>1971</v>
      </c>
      <c r="G9335" t="s">
        <v>29972</v>
      </c>
      <c r="H9335" t="s">
        <v>30009</v>
      </c>
      <c r="J9335" t="s">
        <v>29995</v>
      </c>
      <c r="K9335" s="2" t="str">
        <f>HYPERLINK("http://collections.slsa.sa.gov.au/mpcimg/25500/B25287.htm")</f>
        <v>http://collections.slsa.sa.gov.au/mpcimg/25500/B25287.htm</v>
      </c>
    </row>
    <row r="9336" spans="1:11" x14ac:dyDescent="0.25">
      <c r="A9336" t="s">
        <v>30010</v>
      </c>
      <c r="B9336" s="1" t="str">
        <f>HYPERLINK("https://www.catalog.slsa.sa.gov.au/record=b2064796")</f>
        <v>https://www.catalog.slsa.sa.gov.au/record=b2064796</v>
      </c>
      <c r="C9336" s="1" t="str">
        <f>HYPERLINK("https://www.catalog.slsa.sa.gov.au/xrecord=b2064796")</f>
        <v>https://www.catalog.slsa.sa.gov.au/xrecord=b2064796</v>
      </c>
      <c r="D9336" t="s">
        <v>16831</v>
      </c>
      <c r="E9336" t="s">
        <v>29993</v>
      </c>
      <c r="F9336">
        <v>1971</v>
      </c>
      <c r="G9336" t="s">
        <v>29972</v>
      </c>
      <c r="H9336" t="s">
        <v>30011</v>
      </c>
      <c r="J9336" t="s">
        <v>29995</v>
      </c>
      <c r="K9336" s="2" t="str">
        <f>HYPERLINK("http://collections.slsa.sa.gov.au/mpcimg/25500/B25288.htm")</f>
        <v>http://collections.slsa.sa.gov.au/mpcimg/25500/B25288.htm</v>
      </c>
    </row>
    <row r="9337" spans="1:11" x14ac:dyDescent="0.25">
      <c r="A9337" t="s">
        <v>30012</v>
      </c>
      <c r="B9337" s="1" t="str">
        <f>HYPERLINK("https://www.catalog.slsa.sa.gov.au/record=b2064797")</f>
        <v>https://www.catalog.slsa.sa.gov.au/record=b2064797</v>
      </c>
      <c r="C9337" s="1" t="str">
        <f>HYPERLINK("https://www.catalog.slsa.sa.gov.au/xrecord=b2064797")</f>
        <v>https://www.catalog.slsa.sa.gov.au/xrecord=b2064797</v>
      </c>
      <c r="D9337" t="s">
        <v>16831</v>
      </c>
      <c r="E9337" t="s">
        <v>30013</v>
      </c>
      <c r="F9337">
        <v>1971</v>
      </c>
      <c r="G9337" t="s">
        <v>30014</v>
      </c>
      <c r="H9337" t="s">
        <v>30015</v>
      </c>
      <c r="J9337" t="s">
        <v>29995</v>
      </c>
      <c r="K9337" s="2" t="str">
        <f>HYPERLINK("http://collections.slsa.sa.gov.au/mpcimg/33000/B32815.htm")</f>
        <v>http://collections.slsa.sa.gov.au/mpcimg/33000/B32815.htm</v>
      </c>
    </row>
    <row r="9338" spans="1:11" x14ac:dyDescent="0.25">
      <c r="A9338" t="s">
        <v>30016</v>
      </c>
      <c r="B9338" s="1" t="str">
        <f>HYPERLINK("https://www.catalog.slsa.sa.gov.au/record=b2064798")</f>
        <v>https://www.catalog.slsa.sa.gov.au/record=b2064798</v>
      </c>
      <c r="C9338" s="1" t="str">
        <f>HYPERLINK("https://www.catalog.slsa.sa.gov.au/xrecord=b2064798")</f>
        <v>https://www.catalog.slsa.sa.gov.au/xrecord=b2064798</v>
      </c>
      <c r="D9338" t="s">
        <v>16831</v>
      </c>
      <c r="E9338" t="s">
        <v>30017</v>
      </c>
      <c r="F9338">
        <v>1971</v>
      </c>
      <c r="G9338" t="s">
        <v>30018</v>
      </c>
      <c r="H9338" t="s">
        <v>30019</v>
      </c>
      <c r="J9338" t="s">
        <v>29995</v>
      </c>
      <c r="K9338" s="2" t="str">
        <f>HYPERLINK("http://collections.slsa.sa.gov.au/mpcimg/33000/B32816.htm")</f>
        <v>http://collections.slsa.sa.gov.au/mpcimg/33000/B32816.htm</v>
      </c>
    </row>
    <row r="9339" spans="1:11" x14ac:dyDescent="0.25">
      <c r="A9339" t="s">
        <v>30020</v>
      </c>
      <c r="B9339" s="1" t="str">
        <f>HYPERLINK("https://www.catalog.slsa.sa.gov.au/record=b2064799")</f>
        <v>https://www.catalog.slsa.sa.gov.au/record=b2064799</v>
      </c>
      <c r="C9339" s="1" t="str">
        <f>HYPERLINK("https://www.catalog.slsa.sa.gov.au/xrecord=b2064799")</f>
        <v>https://www.catalog.slsa.sa.gov.au/xrecord=b2064799</v>
      </c>
      <c r="D9339" t="s">
        <v>16831</v>
      </c>
      <c r="E9339" t="s">
        <v>30017</v>
      </c>
      <c r="F9339">
        <v>1971</v>
      </c>
      <c r="G9339" t="s">
        <v>30021</v>
      </c>
      <c r="H9339" t="s">
        <v>30022</v>
      </c>
      <c r="J9339" t="s">
        <v>29995</v>
      </c>
      <c r="K9339" s="2" t="str">
        <f>HYPERLINK("http://collections.slsa.sa.gov.au/mpcimg/33000/B32817.htm")</f>
        <v>http://collections.slsa.sa.gov.au/mpcimg/33000/B32817.htm</v>
      </c>
    </row>
    <row r="9340" spans="1:11" x14ac:dyDescent="0.25">
      <c r="A9340" t="s">
        <v>30023</v>
      </c>
      <c r="B9340" s="1" t="str">
        <f>HYPERLINK("https://www.catalog.slsa.sa.gov.au/record=b2064800")</f>
        <v>https://www.catalog.slsa.sa.gov.au/record=b2064800</v>
      </c>
      <c r="C9340" s="1" t="str">
        <f>HYPERLINK("https://www.catalog.slsa.sa.gov.au/xrecord=b2064800")</f>
        <v>https://www.catalog.slsa.sa.gov.au/xrecord=b2064800</v>
      </c>
      <c r="D9340" t="s">
        <v>16831</v>
      </c>
      <c r="E9340" t="s">
        <v>30017</v>
      </c>
      <c r="F9340">
        <v>1971</v>
      </c>
      <c r="G9340" t="s">
        <v>30024</v>
      </c>
      <c r="H9340" t="s">
        <v>30022</v>
      </c>
      <c r="J9340" t="s">
        <v>29995</v>
      </c>
      <c r="K9340" s="2" t="str">
        <f>HYPERLINK("http://collections.slsa.sa.gov.au/mpcimg/33000/B32818.htm")</f>
        <v>http://collections.slsa.sa.gov.au/mpcimg/33000/B32818.htm</v>
      </c>
    </row>
    <row r="9341" spans="1:11" x14ac:dyDescent="0.25">
      <c r="A9341" t="s">
        <v>30025</v>
      </c>
      <c r="B9341" s="1" t="str">
        <f>HYPERLINK("https://www.catalog.slsa.sa.gov.au/record=b2064801")</f>
        <v>https://www.catalog.slsa.sa.gov.au/record=b2064801</v>
      </c>
      <c r="C9341" s="1" t="str">
        <f>HYPERLINK("https://www.catalog.slsa.sa.gov.au/xrecord=b2064801")</f>
        <v>https://www.catalog.slsa.sa.gov.au/xrecord=b2064801</v>
      </c>
      <c r="D9341" t="s">
        <v>16831</v>
      </c>
      <c r="E9341" t="s">
        <v>30017</v>
      </c>
      <c r="F9341">
        <v>1971</v>
      </c>
      <c r="G9341" t="s">
        <v>30026</v>
      </c>
      <c r="H9341" t="s">
        <v>30022</v>
      </c>
      <c r="J9341" t="s">
        <v>29995</v>
      </c>
      <c r="K9341" s="2" t="str">
        <f>HYPERLINK("http://collections.slsa.sa.gov.au/mpcimg/33000/B32819.htm")</f>
        <v>http://collections.slsa.sa.gov.au/mpcimg/33000/B32819.htm</v>
      </c>
    </row>
    <row r="9342" spans="1:11" x14ac:dyDescent="0.25">
      <c r="A9342" t="s">
        <v>30027</v>
      </c>
      <c r="B9342" s="1" t="str">
        <f>HYPERLINK("https://www.catalog.slsa.sa.gov.au/record=b2066587")</f>
        <v>https://www.catalog.slsa.sa.gov.au/record=b2066587</v>
      </c>
      <c r="C9342" s="1" t="str">
        <f>HYPERLINK("https://www.catalog.slsa.sa.gov.au/xrecord=b2066587")</f>
        <v>https://www.catalog.slsa.sa.gov.au/xrecord=b2066587</v>
      </c>
      <c r="D9342" t="s">
        <v>16831</v>
      </c>
      <c r="E9342" t="s">
        <v>30028</v>
      </c>
      <c r="F9342">
        <v>1971</v>
      </c>
      <c r="G9342" t="s">
        <v>29765</v>
      </c>
      <c r="H9342" t="s">
        <v>30029</v>
      </c>
      <c r="J9342" t="s">
        <v>24751</v>
      </c>
      <c r="K9342" s="2" t="str">
        <f>HYPERLINK("http://collections.slsa.sa.gov.au/mpcimg/21500/B21283.htm")</f>
        <v>http://collections.slsa.sa.gov.au/mpcimg/21500/B21283.htm</v>
      </c>
    </row>
    <row r="9343" spans="1:11" x14ac:dyDescent="0.25">
      <c r="A9343" t="s">
        <v>30030</v>
      </c>
      <c r="B9343" s="1" t="str">
        <f>HYPERLINK("https://www.catalog.slsa.sa.gov.au/record=b2066588")</f>
        <v>https://www.catalog.slsa.sa.gov.au/record=b2066588</v>
      </c>
      <c r="C9343" s="1" t="str">
        <f>HYPERLINK("https://www.catalog.slsa.sa.gov.au/xrecord=b2066588")</f>
        <v>https://www.catalog.slsa.sa.gov.au/xrecord=b2066588</v>
      </c>
      <c r="D9343" t="s">
        <v>16831</v>
      </c>
      <c r="E9343" t="s">
        <v>30028</v>
      </c>
      <c r="F9343">
        <v>1971</v>
      </c>
      <c r="G9343" t="s">
        <v>29765</v>
      </c>
      <c r="H9343" t="s">
        <v>30031</v>
      </c>
      <c r="J9343" t="s">
        <v>24751</v>
      </c>
      <c r="K9343" s="2" t="str">
        <f>HYPERLINK("http://collections.slsa.sa.gov.au/mpcimg/21500/B21284.htm")</f>
        <v>http://collections.slsa.sa.gov.au/mpcimg/21500/B21284.htm</v>
      </c>
    </row>
    <row r="9344" spans="1:11" x14ac:dyDescent="0.25">
      <c r="A9344" t="s">
        <v>30032</v>
      </c>
      <c r="B9344" s="1" t="str">
        <f>HYPERLINK("https://www.catalog.slsa.sa.gov.au/record=b2066589")</f>
        <v>https://www.catalog.slsa.sa.gov.au/record=b2066589</v>
      </c>
      <c r="C9344" s="1" t="str">
        <f>HYPERLINK("https://www.catalog.slsa.sa.gov.au/xrecord=b2066589")</f>
        <v>https://www.catalog.slsa.sa.gov.au/xrecord=b2066589</v>
      </c>
      <c r="D9344" t="s">
        <v>16831</v>
      </c>
      <c r="E9344" t="s">
        <v>30033</v>
      </c>
      <c r="F9344">
        <v>1971</v>
      </c>
      <c r="G9344" t="s">
        <v>29765</v>
      </c>
      <c r="H9344" t="s">
        <v>30034</v>
      </c>
      <c r="J9344" t="s">
        <v>24751</v>
      </c>
      <c r="K9344" s="2" t="str">
        <f>HYPERLINK("http://collections.slsa.sa.gov.au/mpcimg/21500/B21285.htm")</f>
        <v>http://collections.slsa.sa.gov.au/mpcimg/21500/B21285.htm</v>
      </c>
    </row>
    <row r="9345" spans="1:11" x14ac:dyDescent="0.25">
      <c r="A9345" t="s">
        <v>30035</v>
      </c>
      <c r="B9345" s="1" t="str">
        <f>HYPERLINK("https://www.catalog.slsa.sa.gov.au/record=b2066590")</f>
        <v>https://www.catalog.slsa.sa.gov.au/record=b2066590</v>
      </c>
      <c r="C9345" s="1" t="str">
        <f>HYPERLINK("https://www.catalog.slsa.sa.gov.au/xrecord=b2066590")</f>
        <v>https://www.catalog.slsa.sa.gov.au/xrecord=b2066590</v>
      </c>
      <c r="D9345" t="s">
        <v>16831</v>
      </c>
      <c r="E9345" t="s">
        <v>30033</v>
      </c>
      <c r="F9345">
        <v>1971</v>
      </c>
      <c r="G9345" t="s">
        <v>29765</v>
      </c>
      <c r="H9345" t="s">
        <v>30036</v>
      </c>
      <c r="J9345" t="s">
        <v>24751</v>
      </c>
      <c r="K9345" s="2" t="str">
        <f>HYPERLINK("http://collections.slsa.sa.gov.au/mpcimg/21500/B21286.htm")</f>
        <v>http://collections.slsa.sa.gov.au/mpcimg/21500/B21286.htm</v>
      </c>
    </row>
    <row r="9346" spans="1:11" x14ac:dyDescent="0.25">
      <c r="A9346" t="s">
        <v>30037</v>
      </c>
      <c r="B9346" s="1" t="str">
        <f>HYPERLINK("https://www.catalog.slsa.sa.gov.au/record=b2066591")</f>
        <v>https://www.catalog.slsa.sa.gov.au/record=b2066591</v>
      </c>
      <c r="C9346" s="1" t="str">
        <f>HYPERLINK("https://www.catalog.slsa.sa.gov.au/xrecord=b2066591")</f>
        <v>https://www.catalog.slsa.sa.gov.au/xrecord=b2066591</v>
      </c>
      <c r="D9346" t="s">
        <v>16831</v>
      </c>
      <c r="E9346" t="s">
        <v>30028</v>
      </c>
      <c r="F9346">
        <v>1971</v>
      </c>
      <c r="G9346" t="s">
        <v>29765</v>
      </c>
      <c r="H9346" t="s">
        <v>30031</v>
      </c>
      <c r="J9346" t="s">
        <v>24751</v>
      </c>
      <c r="K9346" s="2" t="str">
        <f>HYPERLINK("http://collections.slsa.sa.gov.au/mpcimg/21500/B21287.htm")</f>
        <v>http://collections.slsa.sa.gov.au/mpcimg/21500/B21287.htm</v>
      </c>
    </row>
    <row r="9347" spans="1:11" x14ac:dyDescent="0.25">
      <c r="A9347" t="s">
        <v>30038</v>
      </c>
      <c r="B9347" s="1" t="str">
        <f>HYPERLINK("https://www.catalog.slsa.sa.gov.au/record=b2067902")</f>
        <v>https://www.catalog.slsa.sa.gov.au/record=b2067902</v>
      </c>
      <c r="C9347" s="1" t="str">
        <f>HYPERLINK("https://www.catalog.slsa.sa.gov.au/xrecord=b2067902")</f>
        <v>https://www.catalog.slsa.sa.gov.au/xrecord=b2067902</v>
      </c>
      <c r="D9347" t="s">
        <v>16831</v>
      </c>
      <c r="E9347" t="s">
        <v>30039</v>
      </c>
      <c r="F9347">
        <v>1971</v>
      </c>
      <c r="G9347" t="s">
        <v>30040</v>
      </c>
      <c r="H9347" t="s">
        <v>30041</v>
      </c>
      <c r="J9347" t="s">
        <v>30042</v>
      </c>
      <c r="K9347" s="2" t="str">
        <f>HYPERLINK("http://collections.slsa.sa.gov.au/mpcimg/24250/B24209.htm")</f>
        <v>http://collections.slsa.sa.gov.au/mpcimg/24250/B24209.htm</v>
      </c>
    </row>
    <row r="9348" spans="1:11" x14ac:dyDescent="0.25">
      <c r="A9348" t="s">
        <v>30043</v>
      </c>
      <c r="B9348" s="1" t="str">
        <f>HYPERLINK("https://www.catalog.slsa.sa.gov.au/record=b2067903")</f>
        <v>https://www.catalog.slsa.sa.gov.au/record=b2067903</v>
      </c>
      <c r="C9348" s="1" t="str">
        <f>HYPERLINK("https://www.catalog.slsa.sa.gov.au/xrecord=b2067903")</f>
        <v>https://www.catalog.slsa.sa.gov.au/xrecord=b2067903</v>
      </c>
      <c r="D9348" t="s">
        <v>16831</v>
      </c>
      <c r="E9348" t="s">
        <v>30039</v>
      </c>
      <c r="F9348">
        <v>1971</v>
      </c>
      <c r="G9348" t="s">
        <v>30044</v>
      </c>
      <c r="H9348" t="s">
        <v>30045</v>
      </c>
      <c r="J9348" t="s">
        <v>30042</v>
      </c>
      <c r="K9348" s="2" t="str">
        <f>HYPERLINK("http://collections.slsa.sa.gov.au/mpcimg/24250/B24210.htm")</f>
        <v>http://collections.slsa.sa.gov.au/mpcimg/24250/B24210.htm</v>
      </c>
    </row>
    <row r="9349" spans="1:11" x14ac:dyDescent="0.25">
      <c r="A9349" t="s">
        <v>30046</v>
      </c>
      <c r="B9349" s="1" t="str">
        <f>HYPERLINK("https://www.catalog.slsa.sa.gov.au/record=b2068986")</f>
        <v>https://www.catalog.slsa.sa.gov.au/record=b2068986</v>
      </c>
      <c r="C9349" s="1" t="str">
        <f>HYPERLINK("https://www.catalog.slsa.sa.gov.au/xrecord=b2068986")</f>
        <v>https://www.catalog.slsa.sa.gov.au/xrecord=b2068986</v>
      </c>
      <c r="D9349" t="s">
        <v>16831</v>
      </c>
      <c r="E9349" t="s">
        <v>30047</v>
      </c>
      <c r="F9349">
        <v>1971</v>
      </c>
      <c r="G9349" t="s">
        <v>20841</v>
      </c>
      <c r="H9349" t="s">
        <v>30048</v>
      </c>
      <c r="J9349" t="s">
        <v>30049</v>
      </c>
      <c r="K9349" s="2" t="str">
        <f>HYPERLINK("http://collections.slsa.sa.gov.au/mpcimg/23500/B23434.htm")</f>
        <v>http://collections.slsa.sa.gov.au/mpcimg/23500/B23434.htm</v>
      </c>
    </row>
    <row r="9350" spans="1:11" x14ac:dyDescent="0.25">
      <c r="A9350" t="s">
        <v>30050</v>
      </c>
      <c r="B9350" s="1" t="str">
        <f>HYPERLINK("https://www.catalog.slsa.sa.gov.au/record=b2054486")</f>
        <v>https://www.catalog.slsa.sa.gov.au/record=b2054486</v>
      </c>
      <c r="C9350" s="1" t="str">
        <f>HYPERLINK("https://www.catalog.slsa.sa.gov.au/xrecord=b2054486")</f>
        <v>https://www.catalog.slsa.sa.gov.au/xrecord=b2054486</v>
      </c>
      <c r="D9350" t="s">
        <v>16831</v>
      </c>
      <c r="E9350" t="s">
        <v>30051</v>
      </c>
      <c r="F9350">
        <v>1972</v>
      </c>
      <c r="G9350" t="s">
        <v>14799</v>
      </c>
      <c r="H9350" t="s">
        <v>30052</v>
      </c>
      <c r="J9350" t="s">
        <v>22364</v>
      </c>
      <c r="K9350" s="2" t="str">
        <f>HYPERLINK("http://collections.slsa.sa.gov.au/mpcimg/26750/B26543.htm")</f>
        <v>http://collections.slsa.sa.gov.au/mpcimg/26750/B26543.htm</v>
      </c>
    </row>
    <row r="9351" spans="1:11" x14ac:dyDescent="0.25">
      <c r="A9351" t="s">
        <v>30053</v>
      </c>
      <c r="B9351" s="1" t="str">
        <f>HYPERLINK("https://www.catalog.slsa.sa.gov.au/record=b2054570")</f>
        <v>https://www.catalog.slsa.sa.gov.au/record=b2054570</v>
      </c>
      <c r="C9351" s="1" t="str">
        <f>HYPERLINK("https://www.catalog.slsa.sa.gov.au/xrecord=b2054570")</f>
        <v>https://www.catalog.slsa.sa.gov.au/xrecord=b2054570</v>
      </c>
      <c r="D9351" t="s">
        <v>16831</v>
      </c>
      <c r="E9351" t="s">
        <v>30054</v>
      </c>
      <c r="F9351">
        <v>1972</v>
      </c>
      <c r="G9351" t="s">
        <v>14799</v>
      </c>
      <c r="H9351" t="s">
        <v>30055</v>
      </c>
      <c r="J9351" t="s">
        <v>22720</v>
      </c>
      <c r="K9351" s="2" t="str">
        <f>HYPERLINK("http://collections.slsa.sa.gov.au/mpcimg/26750/B26557.htm")</f>
        <v>http://collections.slsa.sa.gov.au/mpcimg/26750/B26557.htm</v>
      </c>
    </row>
    <row r="9352" spans="1:11" x14ac:dyDescent="0.25">
      <c r="A9352" t="s">
        <v>30056</v>
      </c>
      <c r="B9352" s="1" t="str">
        <f>HYPERLINK("https://www.catalog.slsa.sa.gov.au/record=b2054571")</f>
        <v>https://www.catalog.slsa.sa.gov.au/record=b2054571</v>
      </c>
      <c r="C9352" s="1" t="str">
        <f>HYPERLINK("https://www.catalog.slsa.sa.gov.au/xrecord=b2054571")</f>
        <v>https://www.catalog.slsa.sa.gov.au/xrecord=b2054571</v>
      </c>
      <c r="D9352" t="s">
        <v>16831</v>
      </c>
      <c r="E9352" t="s">
        <v>30054</v>
      </c>
      <c r="F9352">
        <v>1972</v>
      </c>
      <c r="G9352" t="s">
        <v>14799</v>
      </c>
      <c r="H9352" t="s">
        <v>30057</v>
      </c>
      <c r="J9352" t="s">
        <v>22720</v>
      </c>
      <c r="K9352" s="2" t="str">
        <f>HYPERLINK("http://collections.slsa.sa.gov.au/mpcimg/26750/B26558.htm")</f>
        <v>http://collections.slsa.sa.gov.au/mpcimg/26750/B26558.htm</v>
      </c>
    </row>
    <row r="9353" spans="1:11" x14ac:dyDescent="0.25">
      <c r="A9353" t="s">
        <v>30058</v>
      </c>
      <c r="B9353" s="1" t="str">
        <f>HYPERLINK("https://www.catalog.slsa.sa.gov.au/record=b2054572")</f>
        <v>https://www.catalog.slsa.sa.gov.au/record=b2054572</v>
      </c>
      <c r="C9353" s="1" t="str">
        <f>HYPERLINK("https://www.catalog.slsa.sa.gov.au/xrecord=b2054572")</f>
        <v>https://www.catalog.slsa.sa.gov.au/xrecord=b2054572</v>
      </c>
      <c r="D9353" t="s">
        <v>16831</v>
      </c>
      <c r="E9353" t="s">
        <v>30054</v>
      </c>
      <c r="F9353">
        <v>1972</v>
      </c>
      <c r="G9353" t="s">
        <v>16263</v>
      </c>
      <c r="H9353" t="s">
        <v>30059</v>
      </c>
      <c r="J9353" t="s">
        <v>22720</v>
      </c>
      <c r="K9353" s="2" t="str">
        <f>HYPERLINK("http://collections.slsa.sa.gov.au/mpcimg/26750/B26559.htm")</f>
        <v>http://collections.slsa.sa.gov.au/mpcimg/26750/B26559.htm</v>
      </c>
    </row>
    <row r="9354" spans="1:11" x14ac:dyDescent="0.25">
      <c r="A9354" t="s">
        <v>30060</v>
      </c>
      <c r="B9354" s="1" t="str">
        <f>HYPERLINK("https://www.catalog.slsa.sa.gov.au/record=b2055976")</f>
        <v>https://www.catalog.slsa.sa.gov.au/record=b2055976</v>
      </c>
      <c r="C9354" s="1" t="str">
        <f>HYPERLINK("https://www.catalog.slsa.sa.gov.au/xrecord=b2055976")</f>
        <v>https://www.catalog.slsa.sa.gov.au/xrecord=b2055976</v>
      </c>
      <c r="D9354" t="s">
        <v>16831</v>
      </c>
      <c r="E9354" t="s">
        <v>30061</v>
      </c>
      <c r="F9354">
        <v>1972</v>
      </c>
      <c r="G9354" t="s">
        <v>30062</v>
      </c>
      <c r="H9354" t="s">
        <v>30063</v>
      </c>
      <c r="J9354" t="s">
        <v>22757</v>
      </c>
      <c r="K9354" s="2" t="str">
        <f>HYPERLINK("http://collections.slsa.sa.gov.au/mpcimg/27000/B26893.htm")</f>
        <v>http://collections.slsa.sa.gov.au/mpcimg/27000/B26893.htm</v>
      </c>
    </row>
    <row r="9355" spans="1:11" x14ac:dyDescent="0.25">
      <c r="A9355" t="s">
        <v>30064</v>
      </c>
      <c r="B9355" s="1" t="str">
        <f>HYPERLINK("https://www.catalog.slsa.sa.gov.au/record=b2055977")</f>
        <v>https://www.catalog.slsa.sa.gov.au/record=b2055977</v>
      </c>
      <c r="C9355" s="1" t="str">
        <f>HYPERLINK("https://www.catalog.slsa.sa.gov.au/xrecord=b2055977")</f>
        <v>https://www.catalog.slsa.sa.gov.au/xrecord=b2055977</v>
      </c>
      <c r="D9355" t="s">
        <v>16831</v>
      </c>
      <c r="E9355" t="s">
        <v>22149</v>
      </c>
      <c r="F9355">
        <v>1972</v>
      </c>
      <c r="G9355" t="s">
        <v>30065</v>
      </c>
      <c r="H9355" t="s">
        <v>30066</v>
      </c>
      <c r="J9355" t="s">
        <v>22757</v>
      </c>
      <c r="K9355" s="2" t="str">
        <f>HYPERLINK("http://collections.slsa.sa.gov.au/mpcimg/27000/B26894.htm")</f>
        <v>http://collections.slsa.sa.gov.au/mpcimg/27000/B26894.htm</v>
      </c>
    </row>
    <row r="9356" spans="1:11" x14ac:dyDescent="0.25">
      <c r="A9356" t="s">
        <v>30067</v>
      </c>
      <c r="B9356" s="1" t="str">
        <f>HYPERLINK("https://www.catalog.slsa.sa.gov.au/record=b2056492")</f>
        <v>https://www.catalog.slsa.sa.gov.au/record=b2056492</v>
      </c>
      <c r="C9356" s="1" t="str">
        <f>HYPERLINK("https://www.catalog.slsa.sa.gov.au/xrecord=b2056492")</f>
        <v>https://www.catalog.slsa.sa.gov.au/xrecord=b2056492</v>
      </c>
      <c r="D9356" t="s">
        <v>16831</v>
      </c>
      <c r="E9356" t="s">
        <v>16777</v>
      </c>
      <c r="F9356">
        <v>1972</v>
      </c>
      <c r="G9356" t="s">
        <v>30068</v>
      </c>
      <c r="H9356" t="s">
        <v>30069</v>
      </c>
      <c r="J9356" t="s">
        <v>17605</v>
      </c>
      <c r="K9356" s="2" t="str">
        <f>HYPERLINK("http://collections.slsa.sa.gov.au/mpcimg/25500/B25464.htm")</f>
        <v>http://collections.slsa.sa.gov.au/mpcimg/25500/B25464.htm</v>
      </c>
    </row>
    <row r="9357" spans="1:11" x14ac:dyDescent="0.25">
      <c r="A9357" t="s">
        <v>30070</v>
      </c>
      <c r="B9357" s="1" t="str">
        <f>HYPERLINK("https://www.catalog.slsa.sa.gov.au/record=b2056970")</f>
        <v>https://www.catalog.slsa.sa.gov.au/record=b2056970</v>
      </c>
      <c r="C9357" s="1" t="str">
        <f>HYPERLINK("https://www.catalog.slsa.sa.gov.au/xrecord=b2056970")</f>
        <v>https://www.catalog.slsa.sa.gov.au/xrecord=b2056970</v>
      </c>
      <c r="D9357" t="s">
        <v>16831</v>
      </c>
      <c r="E9357" t="s">
        <v>28175</v>
      </c>
      <c r="F9357">
        <v>1972</v>
      </c>
      <c r="G9357" t="s">
        <v>14771</v>
      </c>
      <c r="H9357" t="s">
        <v>30071</v>
      </c>
      <c r="J9357" t="s">
        <v>24031</v>
      </c>
      <c r="K9357" s="2" t="str">
        <f>HYPERLINK("http://collections.slsa.sa.gov.au/mpcimg/27000/B26771.htm")</f>
        <v>http://collections.slsa.sa.gov.au/mpcimg/27000/B26771.htm</v>
      </c>
    </row>
    <row r="9358" spans="1:11" x14ac:dyDescent="0.25">
      <c r="A9358" t="s">
        <v>30072</v>
      </c>
      <c r="B9358" s="1" t="str">
        <f>HYPERLINK("https://www.catalog.slsa.sa.gov.au/record=b2056971")</f>
        <v>https://www.catalog.slsa.sa.gov.au/record=b2056971</v>
      </c>
      <c r="C9358" s="1" t="str">
        <f>HYPERLINK("https://www.catalog.slsa.sa.gov.au/xrecord=b2056971")</f>
        <v>https://www.catalog.slsa.sa.gov.au/xrecord=b2056971</v>
      </c>
      <c r="D9358" t="s">
        <v>16831</v>
      </c>
      <c r="E9358" t="s">
        <v>28175</v>
      </c>
      <c r="F9358">
        <v>1972</v>
      </c>
      <c r="G9358" t="s">
        <v>16263</v>
      </c>
      <c r="H9358" t="s">
        <v>30073</v>
      </c>
      <c r="J9358" t="s">
        <v>24031</v>
      </c>
      <c r="K9358" s="2" t="str">
        <f>HYPERLINK("http://collections.slsa.sa.gov.au/mpcimg/27000/B26773.htm")</f>
        <v>http://collections.slsa.sa.gov.au/mpcimg/27000/B26773.htm</v>
      </c>
    </row>
    <row r="9359" spans="1:11" x14ac:dyDescent="0.25">
      <c r="A9359" t="s">
        <v>30074</v>
      </c>
      <c r="B9359" s="1" t="str">
        <f>HYPERLINK("https://www.catalog.slsa.sa.gov.au/record=b2056972")</f>
        <v>https://www.catalog.slsa.sa.gov.au/record=b2056972</v>
      </c>
      <c r="C9359" s="1" t="str">
        <f>HYPERLINK("https://www.catalog.slsa.sa.gov.au/xrecord=b2056972")</f>
        <v>https://www.catalog.slsa.sa.gov.au/xrecord=b2056972</v>
      </c>
      <c r="D9359" t="s">
        <v>16831</v>
      </c>
      <c r="E9359" t="s">
        <v>28175</v>
      </c>
      <c r="F9359">
        <v>1972</v>
      </c>
      <c r="G9359" t="s">
        <v>30075</v>
      </c>
      <c r="H9359" t="s">
        <v>30076</v>
      </c>
      <c r="J9359" t="s">
        <v>24031</v>
      </c>
      <c r="K9359" s="2" t="str">
        <f>HYPERLINK("http://collections.slsa.sa.gov.au/mpcimg/27250/B27175.htm")</f>
        <v>http://collections.slsa.sa.gov.au/mpcimg/27250/B27175.htm</v>
      </c>
    </row>
    <row r="9360" spans="1:11" x14ac:dyDescent="0.25">
      <c r="A9360" t="s">
        <v>30077</v>
      </c>
      <c r="B9360" s="1" t="str">
        <f>HYPERLINK("https://www.catalog.slsa.sa.gov.au/record=b2056973")</f>
        <v>https://www.catalog.slsa.sa.gov.au/record=b2056973</v>
      </c>
      <c r="C9360" s="1" t="str">
        <f>HYPERLINK("https://www.catalog.slsa.sa.gov.au/xrecord=b2056973")</f>
        <v>https://www.catalog.slsa.sa.gov.au/xrecord=b2056973</v>
      </c>
      <c r="D9360" t="s">
        <v>16831</v>
      </c>
      <c r="E9360" t="s">
        <v>30078</v>
      </c>
      <c r="F9360">
        <v>1972</v>
      </c>
      <c r="G9360" t="s">
        <v>30079</v>
      </c>
      <c r="H9360" t="s">
        <v>30080</v>
      </c>
      <c r="J9360" t="s">
        <v>24031</v>
      </c>
      <c r="K9360" s="2" t="str">
        <f>HYPERLINK("http://collections.slsa.sa.gov.au/mpcimg/27250/B27176.htm")</f>
        <v>http://collections.slsa.sa.gov.au/mpcimg/27250/B27176.htm</v>
      </c>
    </row>
    <row r="9361" spans="1:11" x14ac:dyDescent="0.25">
      <c r="A9361" t="s">
        <v>30081</v>
      </c>
      <c r="B9361" s="1" t="str">
        <f>HYPERLINK("https://www.catalog.slsa.sa.gov.au/record=b2059368")</f>
        <v>https://www.catalog.slsa.sa.gov.au/record=b2059368</v>
      </c>
      <c r="C9361" s="1" t="str">
        <f>HYPERLINK("https://www.catalog.slsa.sa.gov.au/xrecord=b2059368")</f>
        <v>https://www.catalog.slsa.sa.gov.au/xrecord=b2059368</v>
      </c>
      <c r="D9361" t="s">
        <v>16831</v>
      </c>
      <c r="E9361" t="s">
        <v>20096</v>
      </c>
      <c r="F9361">
        <v>1972</v>
      </c>
      <c r="G9361" t="s">
        <v>14771</v>
      </c>
      <c r="H9361" t="s">
        <v>30082</v>
      </c>
      <c r="J9361" t="s">
        <v>27321</v>
      </c>
      <c r="K9361" s="2" t="str">
        <f>HYPERLINK("http://collections.slsa.sa.gov.au/mpcimg/26000/B25961.htm")</f>
        <v>http://collections.slsa.sa.gov.au/mpcimg/26000/B25961.htm</v>
      </c>
    </row>
    <row r="9362" spans="1:11" x14ac:dyDescent="0.25">
      <c r="A9362" t="s">
        <v>30083</v>
      </c>
      <c r="B9362" s="1" t="str">
        <f>HYPERLINK("https://www.catalog.slsa.sa.gov.au/record=b2059369")</f>
        <v>https://www.catalog.slsa.sa.gov.au/record=b2059369</v>
      </c>
      <c r="C9362" s="1" t="str">
        <f>HYPERLINK("https://www.catalog.slsa.sa.gov.au/xrecord=b2059369")</f>
        <v>https://www.catalog.slsa.sa.gov.au/xrecord=b2059369</v>
      </c>
      <c r="D9362" t="s">
        <v>16831</v>
      </c>
      <c r="E9362" t="s">
        <v>20096</v>
      </c>
      <c r="F9362">
        <v>1972</v>
      </c>
      <c r="G9362" t="s">
        <v>14771</v>
      </c>
      <c r="H9362" t="s">
        <v>30084</v>
      </c>
      <c r="J9362" t="s">
        <v>27321</v>
      </c>
      <c r="K9362" s="2" t="str">
        <f>HYPERLINK("http://collections.slsa.sa.gov.au/mpcimg/26000/B25962.htm")</f>
        <v>http://collections.slsa.sa.gov.au/mpcimg/26000/B25962.htm</v>
      </c>
    </row>
    <row r="9363" spans="1:11" x14ac:dyDescent="0.25">
      <c r="A9363" t="s">
        <v>30085</v>
      </c>
      <c r="B9363" s="1" t="str">
        <f>HYPERLINK("https://www.catalog.slsa.sa.gov.au/record=b2059455")</f>
        <v>https://www.catalog.slsa.sa.gov.au/record=b2059455</v>
      </c>
      <c r="C9363" s="1" t="str">
        <f>HYPERLINK("https://www.catalog.slsa.sa.gov.au/xrecord=b2059455")</f>
        <v>https://www.catalog.slsa.sa.gov.au/xrecord=b2059455</v>
      </c>
      <c r="D9363" t="s">
        <v>16831</v>
      </c>
      <c r="E9363" t="s">
        <v>20096</v>
      </c>
      <c r="F9363">
        <v>1972</v>
      </c>
      <c r="G9363" t="s">
        <v>16263</v>
      </c>
      <c r="H9363" t="s">
        <v>30086</v>
      </c>
      <c r="J9363" t="s">
        <v>24187</v>
      </c>
      <c r="K9363" s="2" t="str">
        <f>HYPERLINK("http://collections.slsa.sa.gov.au/mpcimg/26750/B26709.htm")</f>
        <v>http://collections.slsa.sa.gov.au/mpcimg/26750/B26709.htm</v>
      </c>
    </row>
    <row r="9364" spans="1:11" x14ac:dyDescent="0.25">
      <c r="A9364" t="s">
        <v>30087</v>
      </c>
      <c r="B9364" s="1" t="str">
        <f>HYPERLINK("https://www.catalog.slsa.sa.gov.au/record=b2059456")</f>
        <v>https://www.catalog.slsa.sa.gov.au/record=b2059456</v>
      </c>
      <c r="C9364" s="1" t="str">
        <f>HYPERLINK("https://www.catalog.slsa.sa.gov.au/xrecord=b2059456")</f>
        <v>https://www.catalog.slsa.sa.gov.au/xrecord=b2059456</v>
      </c>
      <c r="D9364" t="s">
        <v>16831</v>
      </c>
      <c r="E9364" t="s">
        <v>20096</v>
      </c>
      <c r="F9364">
        <v>1972</v>
      </c>
      <c r="G9364" t="s">
        <v>14771</v>
      </c>
      <c r="H9364" t="s">
        <v>30088</v>
      </c>
      <c r="J9364" t="s">
        <v>24187</v>
      </c>
      <c r="K9364" s="2" t="str">
        <f>HYPERLINK("http://collections.slsa.sa.gov.au/mpcimg/26750/B26710.htm")</f>
        <v>http://collections.slsa.sa.gov.au/mpcimg/26750/B26710.htm</v>
      </c>
    </row>
    <row r="9365" spans="1:11" x14ac:dyDescent="0.25">
      <c r="A9365" t="s">
        <v>30089</v>
      </c>
      <c r="B9365" s="1" t="str">
        <f>HYPERLINK("https://www.catalog.slsa.sa.gov.au/record=b2059528")</f>
        <v>https://www.catalog.slsa.sa.gov.au/record=b2059528</v>
      </c>
      <c r="C9365" s="1" t="str">
        <f>HYPERLINK("https://www.catalog.slsa.sa.gov.au/xrecord=b2059528")</f>
        <v>https://www.catalog.slsa.sa.gov.au/xrecord=b2059528</v>
      </c>
      <c r="D9365" t="s">
        <v>16831</v>
      </c>
      <c r="E9365" t="s">
        <v>30090</v>
      </c>
      <c r="F9365">
        <v>1972</v>
      </c>
      <c r="G9365" t="s">
        <v>30091</v>
      </c>
      <c r="H9365" t="s">
        <v>30092</v>
      </c>
      <c r="J9365" t="s">
        <v>30093</v>
      </c>
      <c r="K9365" s="2" t="str">
        <f>HYPERLINK("http://collections.slsa.sa.gov.au/mpcimg/26000/B25905.htm")</f>
        <v>http://collections.slsa.sa.gov.au/mpcimg/26000/B25905.htm</v>
      </c>
    </row>
    <row r="9366" spans="1:11" x14ac:dyDescent="0.25">
      <c r="A9366" t="s">
        <v>30094</v>
      </c>
      <c r="B9366" s="1" t="str">
        <f>HYPERLINK("https://www.catalog.slsa.sa.gov.au/record=b2059529")</f>
        <v>https://www.catalog.slsa.sa.gov.au/record=b2059529</v>
      </c>
      <c r="C9366" s="1" t="str">
        <f>HYPERLINK("https://www.catalog.slsa.sa.gov.au/xrecord=b2059529")</f>
        <v>https://www.catalog.slsa.sa.gov.au/xrecord=b2059529</v>
      </c>
      <c r="D9366" t="s">
        <v>16831</v>
      </c>
      <c r="E9366" t="s">
        <v>30090</v>
      </c>
      <c r="F9366">
        <v>1972</v>
      </c>
      <c r="G9366" t="s">
        <v>14771</v>
      </c>
      <c r="H9366" t="s">
        <v>30095</v>
      </c>
      <c r="J9366" t="s">
        <v>30093</v>
      </c>
      <c r="K9366" s="2" t="str">
        <f>HYPERLINK("http://collections.slsa.sa.gov.au/mpcimg/26000/B25906.htm")</f>
        <v>http://collections.slsa.sa.gov.au/mpcimg/26000/B25906.htm</v>
      </c>
    </row>
    <row r="9367" spans="1:11" x14ac:dyDescent="0.25">
      <c r="A9367" t="s">
        <v>30096</v>
      </c>
      <c r="B9367" s="1" t="str">
        <f>HYPERLINK("https://www.catalog.slsa.sa.gov.au/record=b2059531")</f>
        <v>https://www.catalog.slsa.sa.gov.au/record=b2059531</v>
      </c>
      <c r="C9367" s="1" t="str">
        <f>HYPERLINK("https://www.catalog.slsa.sa.gov.au/xrecord=b2059531")</f>
        <v>https://www.catalog.slsa.sa.gov.au/xrecord=b2059531</v>
      </c>
      <c r="D9367" t="s">
        <v>16831</v>
      </c>
      <c r="E9367" t="s">
        <v>30097</v>
      </c>
      <c r="F9367">
        <v>1972</v>
      </c>
      <c r="G9367" t="s">
        <v>30062</v>
      </c>
      <c r="H9367" t="s">
        <v>30098</v>
      </c>
      <c r="J9367" t="s">
        <v>30099</v>
      </c>
      <c r="K9367" s="2" t="str">
        <f>HYPERLINK("http://collections.slsa.sa.gov.au/mpcimg/27000/B26885.htm")</f>
        <v>http://collections.slsa.sa.gov.au/mpcimg/27000/B26885.htm</v>
      </c>
    </row>
    <row r="9368" spans="1:11" x14ac:dyDescent="0.25">
      <c r="A9368" t="s">
        <v>30100</v>
      </c>
      <c r="B9368" s="1" t="str">
        <f>HYPERLINK("https://www.catalog.slsa.sa.gov.au/record=b2059532")</f>
        <v>https://www.catalog.slsa.sa.gov.au/record=b2059532</v>
      </c>
      <c r="C9368" s="1" t="str">
        <f>HYPERLINK("https://www.catalog.slsa.sa.gov.au/xrecord=b2059532")</f>
        <v>https://www.catalog.slsa.sa.gov.au/xrecord=b2059532</v>
      </c>
      <c r="D9368" t="s">
        <v>16831</v>
      </c>
      <c r="E9368" t="s">
        <v>20096</v>
      </c>
      <c r="F9368">
        <v>1972</v>
      </c>
      <c r="G9368" t="s">
        <v>14771</v>
      </c>
      <c r="H9368" t="s">
        <v>30101</v>
      </c>
      <c r="J9368" t="s">
        <v>30093</v>
      </c>
      <c r="K9368" s="2" t="str">
        <f>HYPERLINK("http://collections.slsa.sa.gov.au/mpcimg/27000/B26886.htm")</f>
        <v>http://collections.slsa.sa.gov.au/mpcimg/27000/B26886.htm</v>
      </c>
    </row>
    <row r="9369" spans="1:11" x14ac:dyDescent="0.25">
      <c r="A9369" t="s">
        <v>30102</v>
      </c>
      <c r="B9369" s="1" t="str">
        <f>HYPERLINK("https://www.catalog.slsa.sa.gov.au/record=b2059533")</f>
        <v>https://www.catalog.slsa.sa.gov.au/record=b2059533</v>
      </c>
      <c r="C9369" s="1" t="str">
        <f>HYPERLINK("https://www.catalog.slsa.sa.gov.au/xrecord=b2059533")</f>
        <v>https://www.catalog.slsa.sa.gov.au/xrecord=b2059533</v>
      </c>
      <c r="D9369" t="s">
        <v>16831</v>
      </c>
      <c r="E9369" t="s">
        <v>29550</v>
      </c>
      <c r="F9369">
        <v>1972</v>
      </c>
      <c r="G9369" t="s">
        <v>30103</v>
      </c>
      <c r="H9369" t="s">
        <v>30104</v>
      </c>
      <c r="J9369" t="s">
        <v>30099</v>
      </c>
      <c r="K9369" s="2" t="str">
        <f>HYPERLINK("http://collections.slsa.sa.gov.au/mpcimg/27000/B26887.htm")</f>
        <v>http://collections.slsa.sa.gov.au/mpcimg/27000/B26887.htm</v>
      </c>
    </row>
    <row r="9370" spans="1:11" x14ac:dyDescent="0.25">
      <c r="A9370" t="s">
        <v>30105</v>
      </c>
      <c r="B9370" s="1" t="str">
        <f>HYPERLINK("https://www.catalog.slsa.sa.gov.au/record=b2059534")</f>
        <v>https://www.catalog.slsa.sa.gov.au/record=b2059534</v>
      </c>
      <c r="C9370" s="1" t="str">
        <f>HYPERLINK("https://www.catalog.slsa.sa.gov.au/xrecord=b2059534")</f>
        <v>https://www.catalog.slsa.sa.gov.au/xrecord=b2059534</v>
      </c>
      <c r="D9370" t="s">
        <v>16831</v>
      </c>
      <c r="E9370" t="s">
        <v>29550</v>
      </c>
      <c r="F9370">
        <v>1972</v>
      </c>
      <c r="G9370" t="s">
        <v>30062</v>
      </c>
      <c r="H9370" t="s">
        <v>30104</v>
      </c>
      <c r="J9370" t="s">
        <v>30099</v>
      </c>
      <c r="K9370" s="2" t="str">
        <f>HYPERLINK("http://collections.slsa.sa.gov.au/mpcimg/27000/B26888.htm")</f>
        <v>http://collections.slsa.sa.gov.au/mpcimg/27000/B26888.htm</v>
      </c>
    </row>
    <row r="9371" spans="1:11" x14ac:dyDescent="0.25">
      <c r="A9371" t="s">
        <v>30106</v>
      </c>
      <c r="B9371" s="1" t="str">
        <f>HYPERLINK("https://www.catalog.slsa.sa.gov.au/record=b2059535")</f>
        <v>https://www.catalog.slsa.sa.gov.au/record=b2059535</v>
      </c>
      <c r="C9371" s="1" t="str">
        <f>HYPERLINK("https://www.catalog.slsa.sa.gov.au/xrecord=b2059535")</f>
        <v>https://www.catalog.slsa.sa.gov.au/xrecord=b2059535</v>
      </c>
      <c r="D9371" t="s">
        <v>16831</v>
      </c>
      <c r="E9371" t="s">
        <v>20096</v>
      </c>
      <c r="F9371">
        <v>1972</v>
      </c>
      <c r="G9371" t="s">
        <v>30062</v>
      </c>
      <c r="H9371" t="s">
        <v>30107</v>
      </c>
      <c r="J9371" t="s">
        <v>30099</v>
      </c>
      <c r="K9371" s="2" t="str">
        <f>HYPERLINK("http://collections.slsa.sa.gov.au/mpcimg/27000/B26889.htm")</f>
        <v>http://collections.slsa.sa.gov.au/mpcimg/27000/B26889.htm</v>
      </c>
    </row>
    <row r="9372" spans="1:11" x14ac:dyDescent="0.25">
      <c r="A9372" t="s">
        <v>30108</v>
      </c>
      <c r="B9372" s="1" t="str">
        <f>HYPERLINK("https://www.catalog.slsa.sa.gov.au/record=b2059536")</f>
        <v>https://www.catalog.slsa.sa.gov.au/record=b2059536</v>
      </c>
      <c r="C9372" s="1" t="str">
        <f>HYPERLINK("https://www.catalog.slsa.sa.gov.au/xrecord=b2059536")</f>
        <v>https://www.catalog.slsa.sa.gov.au/xrecord=b2059536</v>
      </c>
      <c r="D9372" t="s">
        <v>16831</v>
      </c>
      <c r="E9372" t="s">
        <v>20096</v>
      </c>
      <c r="F9372">
        <v>1972</v>
      </c>
      <c r="G9372" t="s">
        <v>30062</v>
      </c>
      <c r="H9372" t="s">
        <v>30109</v>
      </c>
      <c r="J9372" t="s">
        <v>30099</v>
      </c>
      <c r="K9372" s="2" t="str">
        <f>HYPERLINK("http://collections.slsa.sa.gov.au/mpcimg/27000/B26890.htm")</f>
        <v>http://collections.slsa.sa.gov.au/mpcimg/27000/B26890.htm</v>
      </c>
    </row>
    <row r="9373" spans="1:11" x14ac:dyDescent="0.25">
      <c r="A9373" t="s">
        <v>30110</v>
      </c>
      <c r="B9373" s="1" t="str">
        <f>HYPERLINK("https://www.catalog.slsa.sa.gov.au/record=b2059537")</f>
        <v>https://www.catalog.slsa.sa.gov.au/record=b2059537</v>
      </c>
      <c r="C9373" s="1" t="str">
        <f>HYPERLINK("https://www.catalog.slsa.sa.gov.au/xrecord=b2059537")</f>
        <v>https://www.catalog.slsa.sa.gov.au/xrecord=b2059537</v>
      </c>
      <c r="D9373" t="s">
        <v>16831</v>
      </c>
      <c r="E9373" t="s">
        <v>29550</v>
      </c>
      <c r="F9373">
        <v>1972</v>
      </c>
      <c r="G9373" t="s">
        <v>30111</v>
      </c>
      <c r="H9373" t="s">
        <v>30112</v>
      </c>
      <c r="J9373" t="s">
        <v>30099</v>
      </c>
      <c r="K9373" s="2" t="str">
        <f>HYPERLINK("http://collections.slsa.sa.gov.au/mpcimg/27000/B26891.htm")</f>
        <v>http://collections.slsa.sa.gov.au/mpcimg/27000/B26891.htm</v>
      </c>
    </row>
    <row r="9374" spans="1:11" x14ac:dyDescent="0.25">
      <c r="A9374" t="s">
        <v>30113</v>
      </c>
      <c r="B9374" s="1" t="str">
        <f>HYPERLINK("https://www.catalog.slsa.sa.gov.au/record=b2059538")</f>
        <v>https://www.catalog.slsa.sa.gov.au/record=b2059538</v>
      </c>
      <c r="C9374" s="1" t="str">
        <f>HYPERLINK("https://www.catalog.slsa.sa.gov.au/xrecord=b2059538")</f>
        <v>https://www.catalog.slsa.sa.gov.au/xrecord=b2059538</v>
      </c>
      <c r="D9374" t="s">
        <v>16831</v>
      </c>
      <c r="E9374" t="s">
        <v>29550</v>
      </c>
      <c r="F9374">
        <v>1972</v>
      </c>
      <c r="G9374" t="s">
        <v>30062</v>
      </c>
      <c r="H9374" t="s">
        <v>30114</v>
      </c>
      <c r="J9374" t="s">
        <v>30099</v>
      </c>
      <c r="K9374" s="2" t="str">
        <f>HYPERLINK("http://collections.slsa.sa.gov.au/mpcimg/27000/B26892.htm")</f>
        <v>http://collections.slsa.sa.gov.au/mpcimg/27000/B26892.htm</v>
      </c>
    </row>
    <row r="9375" spans="1:11" x14ac:dyDescent="0.25">
      <c r="A9375" t="s">
        <v>30115</v>
      </c>
      <c r="B9375" s="1" t="str">
        <f>HYPERLINK("https://www.catalog.slsa.sa.gov.au/record=b2059820")</f>
        <v>https://www.catalog.slsa.sa.gov.au/record=b2059820</v>
      </c>
      <c r="C9375" s="1" t="str">
        <f>HYPERLINK("https://www.catalog.slsa.sa.gov.au/xrecord=b2059820")</f>
        <v>https://www.catalog.slsa.sa.gov.au/xrecord=b2059820</v>
      </c>
      <c r="D9375" t="s">
        <v>16831</v>
      </c>
      <c r="E9375" t="s">
        <v>30116</v>
      </c>
      <c r="F9375">
        <v>1972</v>
      </c>
      <c r="G9375" t="s">
        <v>30117</v>
      </c>
      <c r="H9375" t="s">
        <v>30118</v>
      </c>
      <c r="J9375" t="s">
        <v>21039</v>
      </c>
      <c r="K9375" s="2" t="str">
        <f>HYPERLINK("http://collections.slsa.sa.gov.au/mpcimg/26750/B26696.htm")</f>
        <v>http://collections.slsa.sa.gov.au/mpcimg/26750/B26696.htm</v>
      </c>
    </row>
    <row r="9376" spans="1:11" x14ac:dyDescent="0.25">
      <c r="A9376" t="s">
        <v>30119</v>
      </c>
      <c r="B9376" s="1" t="str">
        <f>HYPERLINK("https://www.catalog.slsa.sa.gov.au/record=b2060129")</f>
        <v>https://www.catalog.slsa.sa.gov.au/record=b2060129</v>
      </c>
      <c r="C9376" s="1" t="str">
        <f>HYPERLINK("https://www.catalog.slsa.sa.gov.au/xrecord=b2060129")</f>
        <v>https://www.catalog.slsa.sa.gov.au/xrecord=b2060129</v>
      </c>
      <c r="D9376" t="s">
        <v>16831</v>
      </c>
      <c r="E9376" t="s">
        <v>29584</v>
      </c>
      <c r="F9376">
        <v>1972</v>
      </c>
      <c r="G9376" t="s">
        <v>16263</v>
      </c>
      <c r="H9376" t="s">
        <v>30120</v>
      </c>
      <c r="J9376" t="s">
        <v>21063</v>
      </c>
      <c r="K9376" s="2" t="str">
        <f>HYPERLINK("http://collections.slsa.sa.gov.au/mpcimg/26000/B25902.htm")</f>
        <v>http://collections.slsa.sa.gov.au/mpcimg/26000/B25902.htm</v>
      </c>
    </row>
    <row r="9377" spans="1:11" x14ac:dyDescent="0.25">
      <c r="A9377" t="s">
        <v>30121</v>
      </c>
      <c r="B9377" s="1" t="str">
        <f>HYPERLINK("https://www.catalog.slsa.sa.gov.au/record=b2060234")</f>
        <v>https://www.catalog.slsa.sa.gov.au/record=b2060234</v>
      </c>
      <c r="C9377" s="1" t="str">
        <f>HYPERLINK("https://www.catalog.slsa.sa.gov.au/xrecord=b2060234")</f>
        <v>https://www.catalog.slsa.sa.gov.au/xrecord=b2060234</v>
      </c>
      <c r="D9377" t="s">
        <v>16831</v>
      </c>
      <c r="E9377" t="s">
        <v>30122</v>
      </c>
      <c r="F9377">
        <v>1972</v>
      </c>
      <c r="G9377" t="s">
        <v>16263</v>
      </c>
      <c r="H9377" t="s">
        <v>30123</v>
      </c>
      <c r="I9377" t="s">
        <v>30122</v>
      </c>
      <c r="J9377" t="s">
        <v>27360</v>
      </c>
      <c r="K9377" s="2" t="str">
        <f>HYPERLINK("http://collections.slsa.sa.gov.au/mpcimg/26750/B26563.htm")</f>
        <v>http://collections.slsa.sa.gov.au/mpcimg/26750/B26563.htm</v>
      </c>
    </row>
    <row r="9378" spans="1:11" x14ac:dyDescent="0.25">
      <c r="A9378" t="s">
        <v>30124</v>
      </c>
      <c r="B9378" s="1" t="str">
        <f>HYPERLINK("https://www.catalog.slsa.sa.gov.au/record=b2060235")</f>
        <v>https://www.catalog.slsa.sa.gov.au/record=b2060235</v>
      </c>
      <c r="C9378" s="1" t="str">
        <f>HYPERLINK("https://www.catalog.slsa.sa.gov.au/xrecord=b2060235")</f>
        <v>https://www.catalog.slsa.sa.gov.au/xrecord=b2060235</v>
      </c>
      <c r="D9378" t="s">
        <v>16831</v>
      </c>
      <c r="E9378" t="s">
        <v>30122</v>
      </c>
      <c r="F9378">
        <v>1972</v>
      </c>
      <c r="G9378" t="s">
        <v>14799</v>
      </c>
      <c r="H9378" t="s">
        <v>30123</v>
      </c>
      <c r="I9378" t="s">
        <v>30122</v>
      </c>
      <c r="J9378" t="s">
        <v>27360</v>
      </c>
      <c r="K9378" s="2" t="str">
        <f>HYPERLINK("http://collections.slsa.sa.gov.au/mpcimg/26750/B26564.htm")</f>
        <v>http://collections.slsa.sa.gov.au/mpcimg/26750/B26564.htm</v>
      </c>
    </row>
    <row r="9379" spans="1:11" x14ac:dyDescent="0.25">
      <c r="A9379" t="s">
        <v>30125</v>
      </c>
      <c r="B9379" s="1" t="str">
        <f>HYPERLINK("https://www.catalog.slsa.sa.gov.au/record=b2060236")</f>
        <v>https://www.catalog.slsa.sa.gov.au/record=b2060236</v>
      </c>
      <c r="C9379" s="1" t="str">
        <f>HYPERLINK("https://www.catalog.slsa.sa.gov.au/xrecord=b2060236")</f>
        <v>https://www.catalog.slsa.sa.gov.au/xrecord=b2060236</v>
      </c>
      <c r="D9379" t="s">
        <v>16831</v>
      </c>
      <c r="E9379" t="s">
        <v>30122</v>
      </c>
      <c r="F9379">
        <v>1972</v>
      </c>
      <c r="G9379" t="s">
        <v>16263</v>
      </c>
      <c r="H9379" t="s">
        <v>30123</v>
      </c>
      <c r="I9379" t="s">
        <v>30122</v>
      </c>
      <c r="J9379" t="s">
        <v>27360</v>
      </c>
      <c r="K9379" s="2" t="str">
        <f>HYPERLINK("http://collections.slsa.sa.gov.au/mpcimg/26750/B26565.htm")</f>
        <v>http://collections.slsa.sa.gov.au/mpcimg/26750/B26565.htm</v>
      </c>
    </row>
    <row r="9380" spans="1:11" x14ac:dyDescent="0.25">
      <c r="A9380" t="s">
        <v>30126</v>
      </c>
      <c r="B9380" s="1" t="str">
        <f>HYPERLINK("https://www.catalog.slsa.sa.gov.au/record=b2060759")</f>
        <v>https://www.catalog.slsa.sa.gov.au/record=b2060759</v>
      </c>
      <c r="C9380" s="1" t="str">
        <f>HYPERLINK("https://www.catalog.slsa.sa.gov.au/xrecord=b2060759")</f>
        <v>https://www.catalog.slsa.sa.gov.au/xrecord=b2060759</v>
      </c>
      <c r="D9380" t="s">
        <v>16831</v>
      </c>
      <c r="E9380" t="s">
        <v>30127</v>
      </c>
      <c r="F9380">
        <v>1972</v>
      </c>
      <c r="G9380" t="s">
        <v>14771</v>
      </c>
      <c r="H9380" t="s">
        <v>30128</v>
      </c>
      <c r="J9380" t="s">
        <v>24318</v>
      </c>
      <c r="K9380" s="2" t="str">
        <f>HYPERLINK("http://collections.slsa.sa.gov.au/mpcimg/27000/B26869.htm")</f>
        <v>http://collections.slsa.sa.gov.au/mpcimg/27000/B26869.htm</v>
      </c>
    </row>
    <row r="9381" spans="1:11" x14ac:dyDescent="0.25">
      <c r="A9381" t="s">
        <v>30129</v>
      </c>
      <c r="B9381" s="1" t="str">
        <f>HYPERLINK("https://www.catalog.slsa.sa.gov.au/record=b2060760")</f>
        <v>https://www.catalog.slsa.sa.gov.au/record=b2060760</v>
      </c>
      <c r="C9381" s="1" t="str">
        <f>HYPERLINK("https://www.catalog.slsa.sa.gov.au/xrecord=b2060760")</f>
        <v>https://www.catalog.slsa.sa.gov.au/xrecord=b2060760</v>
      </c>
      <c r="D9381" t="s">
        <v>16831</v>
      </c>
      <c r="E9381" t="s">
        <v>30127</v>
      </c>
      <c r="F9381">
        <v>1972</v>
      </c>
      <c r="G9381" t="s">
        <v>14771</v>
      </c>
      <c r="H9381" t="s">
        <v>30130</v>
      </c>
      <c r="J9381" t="s">
        <v>24318</v>
      </c>
      <c r="K9381" s="2" t="str">
        <f>HYPERLINK("http://collections.slsa.sa.gov.au/mpcimg/27000/B26870.htm")</f>
        <v>http://collections.slsa.sa.gov.au/mpcimg/27000/B26870.htm</v>
      </c>
    </row>
    <row r="9382" spans="1:11" x14ac:dyDescent="0.25">
      <c r="A9382" t="s">
        <v>30131</v>
      </c>
      <c r="B9382" s="1" t="str">
        <f>HYPERLINK("https://www.catalog.slsa.sa.gov.au/record=b2060761")</f>
        <v>https://www.catalog.slsa.sa.gov.au/record=b2060761</v>
      </c>
      <c r="C9382" s="1" t="str">
        <f>HYPERLINK("https://www.catalog.slsa.sa.gov.au/xrecord=b2060761")</f>
        <v>https://www.catalog.slsa.sa.gov.au/xrecord=b2060761</v>
      </c>
      <c r="D9382" t="s">
        <v>16831</v>
      </c>
      <c r="E9382" t="s">
        <v>30127</v>
      </c>
      <c r="F9382">
        <v>1972</v>
      </c>
      <c r="G9382" t="s">
        <v>14771</v>
      </c>
      <c r="H9382" t="s">
        <v>30132</v>
      </c>
      <c r="J9382" t="s">
        <v>24318</v>
      </c>
      <c r="K9382" s="2" t="str">
        <f>HYPERLINK("http://collections.slsa.sa.gov.au/mpcimg/27000/B26871.htm")</f>
        <v>http://collections.slsa.sa.gov.au/mpcimg/27000/B26871.htm</v>
      </c>
    </row>
    <row r="9383" spans="1:11" x14ac:dyDescent="0.25">
      <c r="A9383" t="s">
        <v>30133</v>
      </c>
      <c r="B9383" s="1" t="str">
        <f>HYPERLINK("https://www.catalog.slsa.sa.gov.au/record=b2060822")</f>
        <v>https://www.catalog.slsa.sa.gov.au/record=b2060822</v>
      </c>
      <c r="C9383" s="1" t="str">
        <f>HYPERLINK("https://www.catalog.slsa.sa.gov.au/xrecord=b2060822")</f>
        <v>https://www.catalog.slsa.sa.gov.au/xrecord=b2060822</v>
      </c>
      <c r="D9383" t="s">
        <v>16831</v>
      </c>
      <c r="E9383" t="s">
        <v>30134</v>
      </c>
      <c r="F9383">
        <v>1972</v>
      </c>
      <c r="G9383" t="s">
        <v>30135</v>
      </c>
      <c r="H9383" t="s">
        <v>30136</v>
      </c>
      <c r="J9383" t="s">
        <v>30137</v>
      </c>
      <c r="K9383" s="2" t="str">
        <f>HYPERLINK("http://collections.slsa.sa.gov.au/mpcimg/26750/B26539.htm")</f>
        <v>http://collections.slsa.sa.gov.au/mpcimg/26750/B26539.htm</v>
      </c>
    </row>
    <row r="9384" spans="1:11" x14ac:dyDescent="0.25">
      <c r="A9384" t="s">
        <v>30138</v>
      </c>
      <c r="B9384" s="1" t="str">
        <f>HYPERLINK("https://www.catalog.slsa.sa.gov.au/record=b2060823")</f>
        <v>https://www.catalog.slsa.sa.gov.au/record=b2060823</v>
      </c>
      <c r="C9384" s="1" t="str">
        <f>HYPERLINK("https://www.catalog.slsa.sa.gov.au/xrecord=b2060823")</f>
        <v>https://www.catalog.slsa.sa.gov.au/xrecord=b2060823</v>
      </c>
      <c r="D9384" t="s">
        <v>16831</v>
      </c>
      <c r="E9384" t="s">
        <v>30134</v>
      </c>
      <c r="F9384">
        <v>1972</v>
      </c>
      <c r="G9384" t="s">
        <v>30135</v>
      </c>
      <c r="H9384" t="s">
        <v>30136</v>
      </c>
      <c r="J9384" t="s">
        <v>30137</v>
      </c>
      <c r="K9384" s="2" t="str">
        <f>HYPERLINK("http://collections.slsa.sa.gov.au/mpcimg/26750/B26540.htm")</f>
        <v>http://collections.slsa.sa.gov.au/mpcimg/26750/B26540.htm</v>
      </c>
    </row>
    <row r="9385" spans="1:11" x14ac:dyDescent="0.25">
      <c r="A9385" t="s">
        <v>30139</v>
      </c>
      <c r="B9385" s="1" t="str">
        <f>HYPERLINK("https://www.catalog.slsa.sa.gov.au/record=b2060824")</f>
        <v>https://www.catalog.slsa.sa.gov.au/record=b2060824</v>
      </c>
      <c r="C9385" s="1" t="str">
        <f>HYPERLINK("https://www.catalog.slsa.sa.gov.au/xrecord=b2060824")</f>
        <v>https://www.catalog.slsa.sa.gov.au/xrecord=b2060824</v>
      </c>
      <c r="D9385" t="s">
        <v>16831</v>
      </c>
      <c r="E9385" t="s">
        <v>28278</v>
      </c>
      <c r="F9385">
        <v>1972</v>
      </c>
      <c r="G9385" t="s">
        <v>16263</v>
      </c>
      <c r="H9385" t="s">
        <v>30140</v>
      </c>
      <c r="J9385" t="s">
        <v>30137</v>
      </c>
      <c r="K9385" s="2" t="str">
        <f>HYPERLINK("http://collections.slsa.sa.gov.au/mpcimg/26750/B26541.htm")</f>
        <v>http://collections.slsa.sa.gov.au/mpcimg/26750/B26541.htm</v>
      </c>
    </row>
    <row r="9386" spans="1:11" x14ac:dyDescent="0.25">
      <c r="A9386" t="s">
        <v>30141</v>
      </c>
      <c r="B9386" s="1" t="str">
        <f>HYPERLINK("https://www.catalog.slsa.sa.gov.au/record=b2060842")</f>
        <v>https://www.catalog.slsa.sa.gov.au/record=b2060842</v>
      </c>
      <c r="C9386" s="1" t="str">
        <f>HYPERLINK("https://www.catalog.slsa.sa.gov.au/xrecord=b2060842")</f>
        <v>https://www.catalog.slsa.sa.gov.au/xrecord=b2060842</v>
      </c>
      <c r="D9386" t="s">
        <v>16831</v>
      </c>
      <c r="E9386" t="s">
        <v>30142</v>
      </c>
      <c r="F9386">
        <v>1972</v>
      </c>
      <c r="G9386" t="s">
        <v>30062</v>
      </c>
      <c r="H9386" t="s">
        <v>30143</v>
      </c>
      <c r="J9386" t="s">
        <v>30144</v>
      </c>
      <c r="K9386" s="2" t="str">
        <f>HYPERLINK("http://collections.slsa.sa.gov.au/mpcimg/27000/B26904.htm")</f>
        <v>http://collections.slsa.sa.gov.au/mpcimg/27000/B26904.htm</v>
      </c>
    </row>
    <row r="9387" spans="1:11" x14ac:dyDescent="0.25">
      <c r="A9387" t="s">
        <v>30145</v>
      </c>
      <c r="B9387" s="1" t="str">
        <f>HYPERLINK("https://www.catalog.slsa.sa.gov.au/record=b2060843")</f>
        <v>https://www.catalog.slsa.sa.gov.au/record=b2060843</v>
      </c>
      <c r="C9387" s="1" t="str">
        <f>HYPERLINK("https://www.catalog.slsa.sa.gov.au/xrecord=b2060843")</f>
        <v>https://www.catalog.slsa.sa.gov.au/xrecord=b2060843</v>
      </c>
      <c r="D9387" t="s">
        <v>16831</v>
      </c>
      <c r="E9387" t="s">
        <v>30142</v>
      </c>
      <c r="F9387">
        <v>1972</v>
      </c>
      <c r="G9387" t="s">
        <v>30062</v>
      </c>
      <c r="H9387" t="s">
        <v>30146</v>
      </c>
      <c r="J9387" t="s">
        <v>30144</v>
      </c>
      <c r="K9387" s="2" t="str">
        <f>HYPERLINK("http://collections.slsa.sa.gov.au/mpcimg/27000/B26905.htm")</f>
        <v>http://collections.slsa.sa.gov.au/mpcimg/27000/B26905.htm</v>
      </c>
    </row>
    <row r="9388" spans="1:11" x14ac:dyDescent="0.25">
      <c r="A9388" t="s">
        <v>30147</v>
      </c>
      <c r="B9388" s="1" t="str">
        <f>HYPERLINK("https://www.catalog.slsa.sa.gov.au/record=b2060853")</f>
        <v>https://www.catalog.slsa.sa.gov.au/record=b2060853</v>
      </c>
      <c r="C9388" s="1" t="str">
        <f>HYPERLINK("https://www.catalog.slsa.sa.gov.au/xrecord=b2060853")</f>
        <v>https://www.catalog.slsa.sa.gov.au/xrecord=b2060853</v>
      </c>
      <c r="D9388" t="s">
        <v>16831</v>
      </c>
      <c r="E9388" t="s">
        <v>30148</v>
      </c>
      <c r="F9388">
        <v>1972</v>
      </c>
      <c r="G9388" t="s">
        <v>30068</v>
      </c>
      <c r="H9388" t="s">
        <v>30149</v>
      </c>
      <c r="J9388" t="s">
        <v>21109</v>
      </c>
      <c r="K9388" s="2" t="str">
        <f>HYPERLINK("http://collections.slsa.sa.gov.au/mpcimg/25500/B25437.htm")</f>
        <v>http://collections.slsa.sa.gov.au/mpcimg/25500/B25437.htm</v>
      </c>
    </row>
    <row r="9389" spans="1:11" x14ac:dyDescent="0.25">
      <c r="A9389" t="s">
        <v>30150</v>
      </c>
      <c r="B9389" s="1" t="str">
        <f>HYPERLINK("https://www.catalog.slsa.sa.gov.au/record=b2060854")</f>
        <v>https://www.catalog.slsa.sa.gov.au/record=b2060854</v>
      </c>
      <c r="C9389" s="1" t="str">
        <f>HYPERLINK("https://www.catalog.slsa.sa.gov.au/xrecord=b2060854")</f>
        <v>https://www.catalog.slsa.sa.gov.au/xrecord=b2060854</v>
      </c>
      <c r="D9389" t="s">
        <v>16831</v>
      </c>
      <c r="E9389" t="s">
        <v>30148</v>
      </c>
      <c r="F9389">
        <v>1972</v>
      </c>
      <c r="G9389" t="s">
        <v>30068</v>
      </c>
      <c r="H9389" t="s">
        <v>30151</v>
      </c>
      <c r="J9389" t="s">
        <v>21109</v>
      </c>
      <c r="K9389" s="2" t="str">
        <f>HYPERLINK("http://collections.slsa.sa.gov.au/mpcimg/25500/B25438.htm")</f>
        <v>http://collections.slsa.sa.gov.au/mpcimg/25500/B25438.htm</v>
      </c>
    </row>
    <row r="9390" spans="1:11" x14ac:dyDescent="0.25">
      <c r="A9390" t="s">
        <v>30152</v>
      </c>
      <c r="B9390" s="1" t="str">
        <f>HYPERLINK("https://www.catalog.slsa.sa.gov.au/record=b2060862")</f>
        <v>https://www.catalog.slsa.sa.gov.au/record=b2060862</v>
      </c>
      <c r="C9390" s="1" t="str">
        <f>HYPERLINK("https://www.catalog.slsa.sa.gov.au/xrecord=b2060862")</f>
        <v>https://www.catalog.slsa.sa.gov.au/xrecord=b2060862</v>
      </c>
      <c r="D9390" t="s">
        <v>16831</v>
      </c>
      <c r="E9390" t="s">
        <v>30153</v>
      </c>
      <c r="F9390">
        <v>1972</v>
      </c>
      <c r="G9390" t="s">
        <v>30068</v>
      </c>
      <c r="H9390" t="s">
        <v>30154</v>
      </c>
      <c r="J9390" t="s">
        <v>24331</v>
      </c>
      <c r="K9390" s="2" t="str">
        <f>HYPERLINK("http://collections.slsa.sa.gov.au/mpcimg/25500/B25444.htm")</f>
        <v>http://collections.slsa.sa.gov.au/mpcimg/25500/B25444.htm</v>
      </c>
    </row>
    <row r="9391" spans="1:11" x14ac:dyDescent="0.25">
      <c r="A9391" t="s">
        <v>30155</v>
      </c>
      <c r="B9391" s="1" t="str">
        <f>HYPERLINK("https://www.catalog.slsa.sa.gov.au/record=b2061108")</f>
        <v>https://www.catalog.slsa.sa.gov.au/record=b2061108</v>
      </c>
      <c r="C9391" s="1" t="str">
        <f>HYPERLINK("https://www.catalog.slsa.sa.gov.au/xrecord=b2061108")</f>
        <v>https://www.catalog.slsa.sa.gov.au/xrecord=b2061108</v>
      </c>
      <c r="D9391" t="s">
        <v>16831</v>
      </c>
      <c r="E9391" t="s">
        <v>21118</v>
      </c>
      <c r="F9391">
        <v>1972</v>
      </c>
      <c r="G9391" t="s">
        <v>30156</v>
      </c>
      <c r="H9391" t="s">
        <v>30157</v>
      </c>
      <c r="J9391" t="s">
        <v>24374</v>
      </c>
      <c r="K9391" s="2" t="str">
        <f>HYPERLINK("http://collections.slsa.sa.gov.au/mpcimg/26750/B26697.htm")</f>
        <v>http://collections.slsa.sa.gov.au/mpcimg/26750/B26697.htm</v>
      </c>
    </row>
    <row r="9392" spans="1:11" x14ac:dyDescent="0.25">
      <c r="A9392" t="s">
        <v>30158</v>
      </c>
      <c r="B9392" s="1" t="str">
        <f>HYPERLINK("https://www.catalog.slsa.sa.gov.au/record=b2061109")</f>
        <v>https://www.catalog.slsa.sa.gov.au/record=b2061109</v>
      </c>
      <c r="C9392" s="1" t="str">
        <f>HYPERLINK("https://www.catalog.slsa.sa.gov.au/xrecord=b2061109")</f>
        <v>https://www.catalog.slsa.sa.gov.au/xrecord=b2061109</v>
      </c>
      <c r="D9392" t="s">
        <v>16831</v>
      </c>
      <c r="E9392" t="s">
        <v>21118</v>
      </c>
      <c r="F9392">
        <v>1972</v>
      </c>
      <c r="G9392" t="s">
        <v>30065</v>
      </c>
      <c r="H9392" t="s">
        <v>30159</v>
      </c>
      <c r="J9392" t="s">
        <v>24374</v>
      </c>
      <c r="K9392" s="2" t="str">
        <f>HYPERLINK("http://collections.slsa.sa.gov.au/mpcimg/26750/B26698.htm")</f>
        <v>http://collections.slsa.sa.gov.au/mpcimg/26750/B26698.htm</v>
      </c>
    </row>
    <row r="9393" spans="1:11" x14ac:dyDescent="0.25">
      <c r="A9393" t="s">
        <v>30160</v>
      </c>
      <c r="B9393" s="1" t="str">
        <f>HYPERLINK("https://www.catalog.slsa.sa.gov.au/record=b2061355")</f>
        <v>https://www.catalog.slsa.sa.gov.au/record=b2061355</v>
      </c>
      <c r="C9393" s="1" t="str">
        <f>HYPERLINK("https://www.catalog.slsa.sa.gov.au/xrecord=b2061355")</f>
        <v>https://www.catalog.slsa.sa.gov.au/xrecord=b2061355</v>
      </c>
      <c r="D9393" t="s">
        <v>16831</v>
      </c>
      <c r="E9393" t="s">
        <v>21099</v>
      </c>
      <c r="F9393">
        <v>1972</v>
      </c>
      <c r="G9393" t="s">
        <v>30161</v>
      </c>
      <c r="H9393" t="s">
        <v>30162</v>
      </c>
      <c r="J9393" t="s">
        <v>21154</v>
      </c>
      <c r="K9393" s="2" t="str">
        <f>HYPERLINK("http://collections.slsa.sa.gov.au/mpcimg/27250/B27058.htm")</f>
        <v>http://collections.slsa.sa.gov.au/mpcimg/27250/B27058.htm</v>
      </c>
    </row>
    <row r="9394" spans="1:11" x14ac:dyDescent="0.25">
      <c r="A9394" t="s">
        <v>30163</v>
      </c>
      <c r="B9394" s="1" t="str">
        <f>HYPERLINK("https://www.catalog.slsa.sa.gov.au/record=b2061356")</f>
        <v>https://www.catalog.slsa.sa.gov.au/record=b2061356</v>
      </c>
      <c r="C9394" s="1" t="str">
        <f>HYPERLINK("https://www.catalog.slsa.sa.gov.au/xrecord=b2061356")</f>
        <v>https://www.catalog.slsa.sa.gov.au/xrecord=b2061356</v>
      </c>
      <c r="D9394" t="s">
        <v>16831</v>
      </c>
      <c r="E9394" t="s">
        <v>21099</v>
      </c>
      <c r="F9394">
        <v>1972</v>
      </c>
      <c r="G9394" t="s">
        <v>30164</v>
      </c>
      <c r="H9394" t="s">
        <v>30165</v>
      </c>
      <c r="J9394" t="s">
        <v>21154</v>
      </c>
      <c r="K9394" s="2" t="str">
        <f>HYPERLINK("http://collections.slsa.sa.gov.au/mpcimg/27250/B27059.htm")</f>
        <v>http://collections.slsa.sa.gov.au/mpcimg/27250/B27059.htm</v>
      </c>
    </row>
    <row r="9395" spans="1:11" x14ac:dyDescent="0.25">
      <c r="A9395" t="s">
        <v>30166</v>
      </c>
      <c r="B9395" s="1" t="str">
        <f>HYPERLINK("https://www.catalog.slsa.sa.gov.au/record=b2061357")</f>
        <v>https://www.catalog.slsa.sa.gov.au/record=b2061357</v>
      </c>
      <c r="C9395" s="1" t="str">
        <f>HYPERLINK("https://www.catalog.slsa.sa.gov.au/xrecord=b2061357")</f>
        <v>https://www.catalog.slsa.sa.gov.au/xrecord=b2061357</v>
      </c>
      <c r="D9395" t="s">
        <v>16831</v>
      </c>
      <c r="E9395" t="s">
        <v>25471</v>
      </c>
      <c r="F9395">
        <v>1972</v>
      </c>
      <c r="G9395" t="s">
        <v>30167</v>
      </c>
      <c r="H9395" t="s">
        <v>30168</v>
      </c>
      <c r="J9395" t="s">
        <v>21154</v>
      </c>
      <c r="K9395" s="2" t="str">
        <f>HYPERLINK("http://collections.slsa.sa.gov.au/mpcimg/27500/B27322.htm")</f>
        <v>http://collections.slsa.sa.gov.au/mpcimg/27500/B27322.htm</v>
      </c>
    </row>
    <row r="9396" spans="1:11" x14ac:dyDescent="0.25">
      <c r="A9396" t="s">
        <v>30169</v>
      </c>
      <c r="B9396" s="1" t="str">
        <f>HYPERLINK("https://www.catalog.slsa.sa.gov.au/record=b2061552")</f>
        <v>https://www.catalog.slsa.sa.gov.au/record=b2061552</v>
      </c>
      <c r="C9396" s="1" t="str">
        <f>HYPERLINK("https://www.catalog.slsa.sa.gov.au/xrecord=b2061552")</f>
        <v>https://www.catalog.slsa.sa.gov.au/xrecord=b2061552</v>
      </c>
      <c r="D9396" t="s">
        <v>16831</v>
      </c>
      <c r="E9396" t="s">
        <v>21178</v>
      </c>
      <c r="F9396">
        <v>1972</v>
      </c>
      <c r="G9396" t="s">
        <v>27663</v>
      </c>
      <c r="H9396" t="s">
        <v>30170</v>
      </c>
      <c r="J9396" t="s">
        <v>27158</v>
      </c>
      <c r="K9396" s="2" t="str">
        <f>HYPERLINK("http://collections.slsa.sa.gov.au/mpcimg/26750/B26663.htm")</f>
        <v>http://collections.slsa.sa.gov.au/mpcimg/26750/B26663.htm</v>
      </c>
    </row>
    <row r="9397" spans="1:11" x14ac:dyDescent="0.25">
      <c r="A9397" t="s">
        <v>30171</v>
      </c>
      <c r="B9397" s="1" t="str">
        <f>HYPERLINK("https://www.catalog.slsa.sa.gov.au/record=b2061553")</f>
        <v>https://www.catalog.slsa.sa.gov.au/record=b2061553</v>
      </c>
      <c r="C9397" s="1" t="str">
        <f>HYPERLINK("https://www.catalog.slsa.sa.gov.au/xrecord=b2061553")</f>
        <v>https://www.catalog.slsa.sa.gov.au/xrecord=b2061553</v>
      </c>
      <c r="D9397" t="s">
        <v>16831</v>
      </c>
      <c r="E9397" t="s">
        <v>30172</v>
      </c>
      <c r="F9397">
        <v>1972</v>
      </c>
      <c r="G9397" t="s">
        <v>30173</v>
      </c>
      <c r="H9397" t="s">
        <v>30174</v>
      </c>
      <c r="J9397" t="s">
        <v>27158</v>
      </c>
      <c r="K9397" s="2" t="str">
        <f>HYPERLINK("http://collections.slsa.sa.gov.au/mpcimg/26750/B26664.htm")</f>
        <v>http://collections.slsa.sa.gov.au/mpcimg/26750/B26664.htm</v>
      </c>
    </row>
    <row r="9398" spans="1:11" x14ac:dyDescent="0.25">
      <c r="A9398" t="s">
        <v>30175</v>
      </c>
      <c r="B9398" s="1" t="str">
        <f>HYPERLINK("https://www.catalog.slsa.sa.gov.au/record=b2061554")</f>
        <v>https://www.catalog.slsa.sa.gov.au/record=b2061554</v>
      </c>
      <c r="C9398" s="1" t="str">
        <f>HYPERLINK("https://www.catalog.slsa.sa.gov.au/xrecord=b2061554")</f>
        <v>https://www.catalog.slsa.sa.gov.au/xrecord=b2061554</v>
      </c>
      <c r="D9398" t="s">
        <v>16831</v>
      </c>
      <c r="E9398" t="s">
        <v>30172</v>
      </c>
      <c r="F9398">
        <v>1972</v>
      </c>
      <c r="G9398" t="s">
        <v>27663</v>
      </c>
      <c r="H9398" t="s">
        <v>30176</v>
      </c>
      <c r="J9398" t="s">
        <v>27158</v>
      </c>
      <c r="K9398" s="2" t="str">
        <f>HYPERLINK("http://collections.slsa.sa.gov.au/mpcimg/26750/B26665.htm")</f>
        <v>http://collections.slsa.sa.gov.au/mpcimg/26750/B26665.htm</v>
      </c>
    </row>
    <row r="9399" spans="1:11" x14ac:dyDescent="0.25">
      <c r="A9399" t="s">
        <v>30177</v>
      </c>
      <c r="B9399" s="1" t="str">
        <f>HYPERLINK("https://www.catalog.slsa.sa.gov.au/record=b2061888")</f>
        <v>https://www.catalog.slsa.sa.gov.au/record=b2061888</v>
      </c>
      <c r="C9399" s="1" t="str">
        <f>HYPERLINK("https://www.catalog.slsa.sa.gov.au/xrecord=b2061888")</f>
        <v>https://www.catalog.slsa.sa.gov.au/xrecord=b2061888</v>
      </c>
      <c r="D9399" t="s">
        <v>16831</v>
      </c>
      <c r="E9399" t="s">
        <v>21208</v>
      </c>
      <c r="F9399">
        <v>1972</v>
      </c>
      <c r="G9399" t="s">
        <v>14799</v>
      </c>
      <c r="H9399" t="s">
        <v>30178</v>
      </c>
      <c r="J9399" t="s">
        <v>26394</v>
      </c>
      <c r="K9399" s="2" t="str">
        <f>HYPERLINK("http://collections.slsa.sa.gov.au/mpcimg/27000/B26848.htm")</f>
        <v>http://collections.slsa.sa.gov.au/mpcimg/27000/B26848.htm</v>
      </c>
    </row>
    <row r="9400" spans="1:11" x14ac:dyDescent="0.25">
      <c r="A9400" t="s">
        <v>30179</v>
      </c>
      <c r="B9400" s="1" t="str">
        <f>HYPERLINK("https://www.catalog.slsa.sa.gov.au/record=b2061889")</f>
        <v>https://www.catalog.slsa.sa.gov.au/record=b2061889</v>
      </c>
      <c r="C9400" s="1" t="str">
        <f>HYPERLINK("https://www.catalog.slsa.sa.gov.au/xrecord=b2061889")</f>
        <v>https://www.catalog.slsa.sa.gov.au/xrecord=b2061889</v>
      </c>
      <c r="D9400" t="s">
        <v>16831</v>
      </c>
      <c r="E9400" t="s">
        <v>21208</v>
      </c>
      <c r="F9400">
        <v>1972</v>
      </c>
      <c r="G9400" t="s">
        <v>30062</v>
      </c>
      <c r="H9400" t="s">
        <v>30178</v>
      </c>
      <c r="J9400" t="s">
        <v>26394</v>
      </c>
      <c r="K9400" s="2" t="str">
        <f>HYPERLINK("http://collections.slsa.sa.gov.au/mpcimg/27000/B26849.htm")</f>
        <v>http://collections.slsa.sa.gov.au/mpcimg/27000/B26849.htm</v>
      </c>
    </row>
    <row r="9401" spans="1:11" x14ac:dyDescent="0.25">
      <c r="A9401" t="s">
        <v>30180</v>
      </c>
      <c r="B9401" s="1" t="str">
        <f>HYPERLINK("https://www.catalog.slsa.sa.gov.au/record=b2062865")</f>
        <v>https://www.catalog.slsa.sa.gov.au/record=b2062865</v>
      </c>
      <c r="C9401" s="1" t="str">
        <f>HYPERLINK("https://www.catalog.slsa.sa.gov.au/xrecord=b2062865")</f>
        <v>https://www.catalog.slsa.sa.gov.au/xrecord=b2062865</v>
      </c>
      <c r="D9401" t="s">
        <v>16831</v>
      </c>
      <c r="E9401" t="s">
        <v>21277</v>
      </c>
      <c r="F9401">
        <v>1972</v>
      </c>
      <c r="G9401" t="s">
        <v>14771</v>
      </c>
      <c r="H9401" t="s">
        <v>30181</v>
      </c>
      <c r="J9401" t="s">
        <v>21281</v>
      </c>
      <c r="K9401" s="2" t="str">
        <f>HYPERLINK("http://collections.slsa.sa.gov.au/mpcimg/26000/B25901.htm")</f>
        <v>http://collections.slsa.sa.gov.au/mpcimg/26000/B25901.htm</v>
      </c>
    </row>
    <row r="9402" spans="1:11" x14ac:dyDescent="0.25">
      <c r="A9402" t="s">
        <v>30182</v>
      </c>
      <c r="B9402" s="1" t="str">
        <f>HYPERLINK("https://www.catalog.slsa.sa.gov.au/record=b2062885")</f>
        <v>https://www.catalog.slsa.sa.gov.au/record=b2062885</v>
      </c>
      <c r="C9402" s="1" t="str">
        <f>HYPERLINK("https://www.catalog.slsa.sa.gov.au/xrecord=b2062885")</f>
        <v>https://www.catalog.slsa.sa.gov.au/xrecord=b2062885</v>
      </c>
      <c r="D9402" t="s">
        <v>16831</v>
      </c>
      <c r="E9402" t="s">
        <v>29969</v>
      </c>
      <c r="F9402">
        <v>1972</v>
      </c>
      <c r="G9402" t="s">
        <v>14799</v>
      </c>
      <c r="H9402" t="s">
        <v>30183</v>
      </c>
      <c r="J9402" t="s">
        <v>21285</v>
      </c>
      <c r="K9402" s="2" t="str">
        <f>HYPERLINK("http://collections.slsa.sa.gov.au/mpcimg/26750/B26542.htm")</f>
        <v>http://collections.slsa.sa.gov.au/mpcimg/26750/B26542.htm</v>
      </c>
    </row>
    <row r="9403" spans="1:11" x14ac:dyDescent="0.25">
      <c r="A9403" t="s">
        <v>30184</v>
      </c>
      <c r="B9403" s="1" t="str">
        <f>HYPERLINK("https://www.catalog.slsa.sa.gov.au/record=b2062912")</f>
        <v>https://www.catalog.slsa.sa.gov.au/record=b2062912</v>
      </c>
      <c r="C9403" s="1" t="str">
        <f>HYPERLINK("https://www.catalog.slsa.sa.gov.au/xrecord=b2062912")</f>
        <v>https://www.catalog.slsa.sa.gov.au/xrecord=b2062912</v>
      </c>
      <c r="D9403" t="s">
        <v>16831</v>
      </c>
      <c r="E9403" t="s">
        <v>30185</v>
      </c>
      <c r="F9403">
        <v>1972</v>
      </c>
      <c r="G9403" t="s">
        <v>30065</v>
      </c>
      <c r="H9403" t="s">
        <v>30186</v>
      </c>
      <c r="J9403" t="s">
        <v>25591</v>
      </c>
      <c r="K9403" s="2" t="str">
        <f>HYPERLINK("http://collections.slsa.sa.gov.au/mpcimg/26750/B26650.htm")</f>
        <v>http://collections.slsa.sa.gov.au/mpcimg/26750/B26650.htm</v>
      </c>
    </row>
    <row r="9404" spans="1:11" x14ac:dyDescent="0.25">
      <c r="A9404" t="s">
        <v>30187</v>
      </c>
      <c r="B9404" s="1" t="str">
        <f>HYPERLINK("https://www.catalog.slsa.sa.gov.au/record=b2062913")</f>
        <v>https://www.catalog.slsa.sa.gov.au/record=b2062913</v>
      </c>
      <c r="C9404" s="1" t="str">
        <f>HYPERLINK("https://www.catalog.slsa.sa.gov.au/xrecord=b2062913")</f>
        <v>https://www.catalog.slsa.sa.gov.au/xrecord=b2062913</v>
      </c>
      <c r="D9404" t="s">
        <v>16831</v>
      </c>
      <c r="E9404" t="s">
        <v>30185</v>
      </c>
      <c r="F9404">
        <v>1972</v>
      </c>
      <c r="G9404" t="s">
        <v>16263</v>
      </c>
      <c r="H9404" t="s">
        <v>30188</v>
      </c>
      <c r="J9404" t="s">
        <v>25591</v>
      </c>
      <c r="K9404" s="2" t="str">
        <f>HYPERLINK("http://collections.slsa.sa.gov.au/mpcimg/26750/B26651.htm")</f>
        <v>http://collections.slsa.sa.gov.au/mpcimg/26750/B26651.htm</v>
      </c>
    </row>
    <row r="9405" spans="1:11" x14ac:dyDescent="0.25">
      <c r="A9405" t="s">
        <v>30189</v>
      </c>
      <c r="B9405" s="1" t="str">
        <f>HYPERLINK("https://www.catalog.slsa.sa.gov.au/record=b2062916")</f>
        <v>https://www.catalog.slsa.sa.gov.au/record=b2062916</v>
      </c>
      <c r="C9405" s="1" t="str">
        <f>HYPERLINK("https://www.catalog.slsa.sa.gov.au/xrecord=b2062916")</f>
        <v>https://www.catalog.slsa.sa.gov.au/xrecord=b2062916</v>
      </c>
      <c r="D9405" t="s">
        <v>16831</v>
      </c>
      <c r="E9405" t="s">
        <v>30190</v>
      </c>
      <c r="F9405">
        <v>1972</v>
      </c>
      <c r="G9405" t="s">
        <v>30068</v>
      </c>
      <c r="H9405" t="s">
        <v>30191</v>
      </c>
      <c r="J9405" t="s">
        <v>28489</v>
      </c>
      <c r="K9405" s="2" t="str">
        <f>HYPERLINK("http://collections.slsa.sa.gov.au/mpcimg/25500/B25449.htm")</f>
        <v>http://collections.slsa.sa.gov.au/mpcimg/25500/B25449.htm</v>
      </c>
    </row>
    <row r="9406" spans="1:11" x14ac:dyDescent="0.25">
      <c r="A9406" t="s">
        <v>30192</v>
      </c>
      <c r="B9406" s="1" t="str">
        <f>HYPERLINK("https://www.catalog.slsa.sa.gov.au/record=b2062962")</f>
        <v>https://www.catalog.slsa.sa.gov.au/record=b2062962</v>
      </c>
      <c r="C9406" s="1" t="str">
        <f>HYPERLINK("https://www.catalog.slsa.sa.gov.au/xrecord=b2062962")</f>
        <v>https://www.catalog.slsa.sa.gov.au/xrecord=b2062962</v>
      </c>
      <c r="D9406" t="s">
        <v>16831</v>
      </c>
      <c r="E9406" t="s">
        <v>21304</v>
      </c>
      <c r="F9406">
        <v>1972</v>
      </c>
      <c r="G9406" t="s">
        <v>30193</v>
      </c>
      <c r="H9406" t="s">
        <v>30194</v>
      </c>
      <c r="J9406" t="s">
        <v>30195</v>
      </c>
      <c r="K9406" s="2" t="str">
        <f>HYPERLINK("http://collections.slsa.sa.gov.au/mpcimg/27250/B27163.htm")</f>
        <v>http://collections.slsa.sa.gov.au/mpcimg/27250/B27163.htm</v>
      </c>
    </row>
    <row r="9407" spans="1:11" x14ac:dyDescent="0.25">
      <c r="A9407" t="s">
        <v>30196</v>
      </c>
      <c r="B9407" s="1" t="str">
        <f>HYPERLINK("https://www.catalog.slsa.sa.gov.au/record=b2062963")</f>
        <v>https://www.catalog.slsa.sa.gov.au/record=b2062963</v>
      </c>
      <c r="C9407" s="1" t="str">
        <f>HYPERLINK("https://www.catalog.slsa.sa.gov.au/xrecord=b2062963")</f>
        <v>https://www.catalog.slsa.sa.gov.au/xrecord=b2062963</v>
      </c>
      <c r="D9407" t="s">
        <v>16831</v>
      </c>
      <c r="E9407" t="s">
        <v>21304</v>
      </c>
      <c r="F9407">
        <v>1972</v>
      </c>
      <c r="G9407" t="s">
        <v>30193</v>
      </c>
      <c r="H9407" t="s">
        <v>30194</v>
      </c>
      <c r="J9407" t="s">
        <v>30195</v>
      </c>
      <c r="K9407" s="2" t="str">
        <f>HYPERLINK("http://collections.slsa.sa.gov.au/mpcimg/27250/B27164.htm")</f>
        <v>http://collections.slsa.sa.gov.au/mpcimg/27250/B27164.htm</v>
      </c>
    </row>
    <row r="9408" spans="1:11" x14ac:dyDescent="0.25">
      <c r="A9408" t="s">
        <v>30197</v>
      </c>
      <c r="B9408" s="1" t="str">
        <f>HYPERLINK("https://www.catalog.slsa.sa.gov.au/record=b2062964")</f>
        <v>https://www.catalog.slsa.sa.gov.au/record=b2062964</v>
      </c>
      <c r="C9408" s="1" t="str">
        <f>HYPERLINK("https://www.catalog.slsa.sa.gov.au/xrecord=b2062964")</f>
        <v>https://www.catalog.slsa.sa.gov.au/xrecord=b2062964</v>
      </c>
      <c r="D9408" t="s">
        <v>16831</v>
      </c>
      <c r="E9408" t="s">
        <v>28691</v>
      </c>
      <c r="F9408">
        <v>1972</v>
      </c>
      <c r="G9408" t="s">
        <v>30198</v>
      </c>
      <c r="H9408" t="s">
        <v>30199</v>
      </c>
      <c r="J9408" t="s">
        <v>30195</v>
      </c>
      <c r="K9408" s="2" t="str">
        <f>HYPERLINK("http://collections.slsa.sa.gov.au/mpcimg/27250/B27165.htm")</f>
        <v>http://collections.slsa.sa.gov.au/mpcimg/27250/B27165.htm</v>
      </c>
    </row>
    <row r="9409" spans="1:11" x14ac:dyDescent="0.25">
      <c r="A9409" t="s">
        <v>30200</v>
      </c>
      <c r="B9409" s="1" t="str">
        <f>HYPERLINK("https://www.catalog.slsa.sa.gov.au/record=b2062965")</f>
        <v>https://www.catalog.slsa.sa.gov.au/record=b2062965</v>
      </c>
      <c r="C9409" s="1" t="str">
        <f>HYPERLINK("https://www.catalog.slsa.sa.gov.au/xrecord=b2062965")</f>
        <v>https://www.catalog.slsa.sa.gov.au/xrecord=b2062965</v>
      </c>
      <c r="D9409" t="s">
        <v>16831</v>
      </c>
      <c r="E9409" t="s">
        <v>28691</v>
      </c>
      <c r="F9409">
        <v>1972</v>
      </c>
      <c r="G9409" t="s">
        <v>30201</v>
      </c>
      <c r="H9409" t="s">
        <v>30202</v>
      </c>
      <c r="J9409" t="s">
        <v>30195</v>
      </c>
      <c r="K9409" s="2" t="str">
        <f>HYPERLINK("http://collections.slsa.sa.gov.au/mpcimg/27250/B27166.htm")</f>
        <v>http://collections.slsa.sa.gov.au/mpcimg/27250/B27166.htm</v>
      </c>
    </row>
    <row r="9410" spans="1:11" x14ac:dyDescent="0.25">
      <c r="A9410" t="s">
        <v>30203</v>
      </c>
      <c r="B9410" s="1" t="str">
        <f>HYPERLINK("https://www.catalog.slsa.sa.gov.au/record=b2062966")</f>
        <v>https://www.catalog.slsa.sa.gov.au/record=b2062966</v>
      </c>
      <c r="C9410" s="1" t="str">
        <f>HYPERLINK("https://www.catalog.slsa.sa.gov.au/xrecord=b2062966")</f>
        <v>https://www.catalog.slsa.sa.gov.au/xrecord=b2062966</v>
      </c>
      <c r="D9410" t="s">
        <v>16831</v>
      </c>
      <c r="E9410" t="s">
        <v>30204</v>
      </c>
      <c r="F9410">
        <v>1972</v>
      </c>
      <c r="G9410" t="s">
        <v>30205</v>
      </c>
      <c r="H9410" t="s">
        <v>30202</v>
      </c>
      <c r="J9410" t="s">
        <v>30195</v>
      </c>
      <c r="K9410" s="2" t="str">
        <f>HYPERLINK("http://collections.slsa.sa.gov.au/mpcimg/27250/B27167.htm")</f>
        <v>http://collections.slsa.sa.gov.au/mpcimg/27250/B27167.htm</v>
      </c>
    </row>
    <row r="9411" spans="1:11" x14ac:dyDescent="0.25">
      <c r="A9411" t="s">
        <v>30206</v>
      </c>
      <c r="B9411" s="1" t="str">
        <f>HYPERLINK("https://www.catalog.slsa.sa.gov.au/record=b2062967")</f>
        <v>https://www.catalog.slsa.sa.gov.au/record=b2062967</v>
      </c>
      <c r="C9411" s="1" t="str">
        <f>HYPERLINK("https://www.catalog.slsa.sa.gov.au/xrecord=b2062967")</f>
        <v>https://www.catalog.slsa.sa.gov.au/xrecord=b2062967</v>
      </c>
      <c r="D9411" t="s">
        <v>16831</v>
      </c>
      <c r="E9411" t="s">
        <v>30204</v>
      </c>
      <c r="F9411">
        <v>1972</v>
      </c>
      <c r="G9411" t="s">
        <v>30207</v>
      </c>
      <c r="H9411" t="s">
        <v>30208</v>
      </c>
      <c r="J9411" t="s">
        <v>30195</v>
      </c>
      <c r="K9411" s="2" t="str">
        <f>HYPERLINK("http://collections.slsa.sa.gov.au/mpcimg/27250/B27168.htm")</f>
        <v>http://collections.slsa.sa.gov.au/mpcimg/27250/B27168.htm</v>
      </c>
    </row>
    <row r="9412" spans="1:11" x14ac:dyDescent="0.25">
      <c r="A9412" t="s">
        <v>30209</v>
      </c>
      <c r="B9412" s="1" t="str">
        <f>HYPERLINK("https://www.catalog.slsa.sa.gov.au/record=b2062968")</f>
        <v>https://www.catalog.slsa.sa.gov.au/record=b2062968</v>
      </c>
      <c r="C9412" s="1" t="str">
        <f>HYPERLINK("https://www.catalog.slsa.sa.gov.au/xrecord=b2062968")</f>
        <v>https://www.catalog.slsa.sa.gov.au/xrecord=b2062968</v>
      </c>
      <c r="D9412" t="s">
        <v>16831</v>
      </c>
      <c r="E9412" t="s">
        <v>30204</v>
      </c>
      <c r="F9412">
        <v>1972</v>
      </c>
      <c r="G9412" t="s">
        <v>30062</v>
      </c>
      <c r="H9412" t="s">
        <v>30210</v>
      </c>
      <c r="J9412" t="s">
        <v>30195</v>
      </c>
      <c r="K9412" s="2" t="str">
        <f>HYPERLINK("http://collections.slsa.sa.gov.au/mpcimg/27250/B27169.htm")</f>
        <v>http://collections.slsa.sa.gov.au/mpcimg/27250/B27169.htm</v>
      </c>
    </row>
    <row r="9413" spans="1:11" x14ac:dyDescent="0.25">
      <c r="A9413" t="s">
        <v>30211</v>
      </c>
      <c r="B9413" s="1" t="str">
        <f>HYPERLINK("https://www.catalog.slsa.sa.gov.au/record=b2063049")</f>
        <v>https://www.catalog.slsa.sa.gov.au/record=b2063049</v>
      </c>
      <c r="C9413" s="1" t="str">
        <f>HYPERLINK("https://www.catalog.slsa.sa.gov.au/xrecord=b2063049")</f>
        <v>https://www.catalog.slsa.sa.gov.au/xrecord=b2063049</v>
      </c>
      <c r="D9413" t="s">
        <v>16831</v>
      </c>
      <c r="E9413" t="s">
        <v>28691</v>
      </c>
      <c r="F9413">
        <v>1972</v>
      </c>
      <c r="G9413" t="s">
        <v>30062</v>
      </c>
      <c r="H9413" t="s">
        <v>30212</v>
      </c>
      <c r="J9413" t="s">
        <v>28325</v>
      </c>
      <c r="K9413" s="2" t="str">
        <f>HYPERLINK("http://collections.slsa.sa.gov.au/mpcimg/27000/B26854.htm")</f>
        <v>http://collections.slsa.sa.gov.au/mpcimg/27000/B26854.htm</v>
      </c>
    </row>
    <row r="9414" spans="1:11" x14ac:dyDescent="0.25">
      <c r="A9414" t="s">
        <v>30213</v>
      </c>
      <c r="B9414" s="1" t="str">
        <f>HYPERLINK("https://www.catalog.slsa.sa.gov.au/record=b2063050")</f>
        <v>https://www.catalog.slsa.sa.gov.au/record=b2063050</v>
      </c>
      <c r="C9414" s="1" t="str">
        <f>HYPERLINK("https://www.catalog.slsa.sa.gov.au/xrecord=b2063050")</f>
        <v>https://www.catalog.slsa.sa.gov.au/xrecord=b2063050</v>
      </c>
      <c r="D9414" t="s">
        <v>16831</v>
      </c>
      <c r="E9414" t="s">
        <v>28691</v>
      </c>
      <c r="F9414">
        <v>1972</v>
      </c>
      <c r="G9414" t="s">
        <v>30065</v>
      </c>
      <c r="H9414" t="s">
        <v>30214</v>
      </c>
      <c r="J9414" t="s">
        <v>28325</v>
      </c>
      <c r="K9414" s="2" t="str">
        <f>HYPERLINK("http://collections.slsa.sa.gov.au/mpcimg/27000/B26855.htm")</f>
        <v>http://collections.slsa.sa.gov.au/mpcimg/27000/B26855.htm</v>
      </c>
    </row>
    <row r="9415" spans="1:11" x14ac:dyDescent="0.25">
      <c r="A9415" t="s">
        <v>30215</v>
      </c>
      <c r="B9415" s="1" t="str">
        <f>HYPERLINK("https://www.catalog.slsa.sa.gov.au/record=b2063067")</f>
        <v>https://www.catalog.slsa.sa.gov.au/record=b2063067</v>
      </c>
      <c r="C9415" s="1" t="str">
        <f>HYPERLINK("https://www.catalog.slsa.sa.gov.au/xrecord=b2063067")</f>
        <v>https://www.catalog.slsa.sa.gov.au/xrecord=b2063067</v>
      </c>
      <c r="D9415" t="s">
        <v>16831</v>
      </c>
      <c r="E9415" t="s">
        <v>21283</v>
      </c>
      <c r="F9415">
        <v>1972</v>
      </c>
      <c r="G9415" t="s">
        <v>16263</v>
      </c>
      <c r="H9415" t="s">
        <v>30216</v>
      </c>
      <c r="J9415" t="s">
        <v>21311</v>
      </c>
      <c r="K9415" s="2" t="str">
        <f>HYPERLINK("http://collections.slsa.sa.gov.au/mpcimg/26750/B26610.htm")</f>
        <v>http://collections.slsa.sa.gov.au/mpcimg/26750/B26610.htm</v>
      </c>
    </row>
    <row r="9416" spans="1:11" x14ac:dyDescent="0.25">
      <c r="A9416" t="s">
        <v>30217</v>
      </c>
      <c r="B9416" s="1" t="str">
        <f>HYPERLINK("https://www.catalog.slsa.sa.gov.au/record=b2063068")</f>
        <v>https://www.catalog.slsa.sa.gov.au/record=b2063068</v>
      </c>
      <c r="C9416" s="1" t="str">
        <f>HYPERLINK("https://www.catalog.slsa.sa.gov.au/xrecord=b2063068")</f>
        <v>https://www.catalog.slsa.sa.gov.au/xrecord=b2063068</v>
      </c>
      <c r="D9416" t="s">
        <v>16831</v>
      </c>
      <c r="E9416" t="s">
        <v>21283</v>
      </c>
      <c r="F9416">
        <v>1972</v>
      </c>
      <c r="G9416" t="s">
        <v>16263</v>
      </c>
      <c r="H9416" t="s">
        <v>30216</v>
      </c>
      <c r="J9416" t="s">
        <v>21311</v>
      </c>
      <c r="K9416" s="2" t="str">
        <f>HYPERLINK("http://collections.slsa.sa.gov.au/mpcimg/26750/B26611.htm")</f>
        <v>http://collections.slsa.sa.gov.au/mpcimg/26750/B26611.htm</v>
      </c>
    </row>
    <row r="9417" spans="1:11" x14ac:dyDescent="0.25">
      <c r="A9417" t="s">
        <v>30218</v>
      </c>
      <c r="B9417" s="1" t="str">
        <f>HYPERLINK("https://www.catalog.slsa.sa.gov.au/record=b2063729")</f>
        <v>https://www.catalog.slsa.sa.gov.au/record=b2063729</v>
      </c>
      <c r="C9417" s="1" t="str">
        <f>HYPERLINK("https://www.catalog.slsa.sa.gov.au/xrecord=b2063729")</f>
        <v>https://www.catalog.slsa.sa.gov.au/xrecord=b2063729</v>
      </c>
      <c r="D9417" t="s">
        <v>16831</v>
      </c>
      <c r="E9417" t="s">
        <v>30219</v>
      </c>
      <c r="F9417">
        <v>1972</v>
      </c>
      <c r="G9417" t="s">
        <v>14799</v>
      </c>
      <c r="H9417" t="s">
        <v>30220</v>
      </c>
      <c r="J9417" t="s">
        <v>29004</v>
      </c>
      <c r="K9417" s="2" t="str">
        <f>HYPERLINK("http://collections.slsa.sa.gov.au/mpcimg/27000/B26856.htm")</f>
        <v>http://collections.slsa.sa.gov.au/mpcimg/27000/B26856.htm</v>
      </c>
    </row>
    <row r="9418" spans="1:11" x14ac:dyDescent="0.25">
      <c r="A9418" t="s">
        <v>30221</v>
      </c>
      <c r="B9418" s="1" t="str">
        <f>HYPERLINK("https://www.catalog.slsa.sa.gov.au/record=b2063730")</f>
        <v>https://www.catalog.slsa.sa.gov.au/record=b2063730</v>
      </c>
      <c r="C9418" s="1" t="str">
        <f>HYPERLINK("https://www.catalog.slsa.sa.gov.au/xrecord=b2063730")</f>
        <v>https://www.catalog.slsa.sa.gov.au/xrecord=b2063730</v>
      </c>
      <c r="D9418" t="s">
        <v>16831</v>
      </c>
      <c r="E9418" t="s">
        <v>30219</v>
      </c>
      <c r="F9418">
        <v>1972</v>
      </c>
      <c r="G9418" t="s">
        <v>14799</v>
      </c>
      <c r="H9418" t="s">
        <v>30222</v>
      </c>
      <c r="J9418" t="s">
        <v>29004</v>
      </c>
      <c r="K9418" s="2" t="str">
        <f>HYPERLINK("http://collections.slsa.sa.gov.au/mpcimg/27000/B26857.htm")</f>
        <v>http://collections.slsa.sa.gov.au/mpcimg/27000/B26857.htm</v>
      </c>
    </row>
    <row r="9419" spans="1:11" x14ac:dyDescent="0.25">
      <c r="A9419" t="s">
        <v>30223</v>
      </c>
      <c r="B9419" s="1" t="str">
        <f>HYPERLINK("https://www.catalog.slsa.sa.gov.au/record=b2063731")</f>
        <v>https://www.catalog.slsa.sa.gov.au/record=b2063731</v>
      </c>
      <c r="C9419" s="1" t="str">
        <f>HYPERLINK("https://www.catalog.slsa.sa.gov.au/xrecord=b2063731")</f>
        <v>https://www.catalog.slsa.sa.gov.au/xrecord=b2063731</v>
      </c>
      <c r="D9419" t="s">
        <v>16831</v>
      </c>
      <c r="E9419" t="s">
        <v>30219</v>
      </c>
      <c r="F9419">
        <v>1972</v>
      </c>
      <c r="G9419" t="s">
        <v>14799</v>
      </c>
      <c r="H9419" t="s">
        <v>30222</v>
      </c>
      <c r="J9419" t="s">
        <v>29004</v>
      </c>
      <c r="K9419" s="2" t="str">
        <f>HYPERLINK("http://collections.slsa.sa.gov.au/mpcimg/27000/B26858.htm")</f>
        <v>http://collections.slsa.sa.gov.au/mpcimg/27000/B26858.htm</v>
      </c>
    </row>
    <row r="9420" spans="1:11" x14ac:dyDescent="0.25">
      <c r="A9420" t="s">
        <v>30224</v>
      </c>
      <c r="B9420" s="1" t="str">
        <f>HYPERLINK("https://www.catalog.slsa.sa.gov.au/record=b2063740")</f>
        <v>https://www.catalog.slsa.sa.gov.au/record=b2063740</v>
      </c>
      <c r="C9420" s="1" t="str">
        <f>HYPERLINK("https://www.catalog.slsa.sa.gov.au/xrecord=b2063740")</f>
        <v>https://www.catalog.slsa.sa.gov.au/xrecord=b2063740</v>
      </c>
      <c r="D9420" t="s">
        <v>16831</v>
      </c>
      <c r="E9420" t="s">
        <v>30225</v>
      </c>
      <c r="F9420">
        <v>1972</v>
      </c>
      <c r="G9420" t="s">
        <v>30062</v>
      </c>
      <c r="H9420" t="s">
        <v>30226</v>
      </c>
      <c r="J9420" t="s">
        <v>30227</v>
      </c>
      <c r="K9420" s="2" t="str">
        <f>HYPERLINK("http://collections.slsa.sa.gov.au/mpcimg/27000/B26906.htm")</f>
        <v>http://collections.slsa.sa.gov.au/mpcimg/27000/B26906.htm</v>
      </c>
    </row>
    <row r="9421" spans="1:11" x14ac:dyDescent="0.25">
      <c r="A9421" t="s">
        <v>30228</v>
      </c>
      <c r="B9421" s="1" t="str">
        <f>HYPERLINK("https://www.catalog.slsa.sa.gov.au/record=b2063741")</f>
        <v>https://www.catalog.slsa.sa.gov.au/record=b2063741</v>
      </c>
      <c r="C9421" s="1" t="str">
        <f>HYPERLINK("https://www.catalog.slsa.sa.gov.au/xrecord=b2063741")</f>
        <v>https://www.catalog.slsa.sa.gov.au/xrecord=b2063741</v>
      </c>
      <c r="D9421" t="s">
        <v>16831</v>
      </c>
      <c r="E9421" t="s">
        <v>30225</v>
      </c>
      <c r="F9421">
        <v>1972</v>
      </c>
      <c r="G9421" t="s">
        <v>30229</v>
      </c>
      <c r="H9421" t="s">
        <v>30226</v>
      </c>
      <c r="J9421" t="s">
        <v>30227</v>
      </c>
      <c r="K9421" s="2" t="str">
        <f>HYPERLINK("http://collections.slsa.sa.gov.au/mpcimg/27000/B26907.htm")</f>
        <v>http://collections.slsa.sa.gov.au/mpcimg/27000/B26907.htm</v>
      </c>
    </row>
    <row r="9422" spans="1:11" x14ac:dyDescent="0.25">
      <c r="A9422" t="s">
        <v>30230</v>
      </c>
      <c r="B9422" s="1" t="str">
        <f>HYPERLINK("https://www.catalog.slsa.sa.gov.au/record=b2063742")</f>
        <v>https://www.catalog.slsa.sa.gov.au/record=b2063742</v>
      </c>
      <c r="C9422" s="1" t="str">
        <f>HYPERLINK("https://www.catalog.slsa.sa.gov.au/xrecord=b2063742")</f>
        <v>https://www.catalog.slsa.sa.gov.au/xrecord=b2063742</v>
      </c>
      <c r="D9422" t="s">
        <v>16831</v>
      </c>
      <c r="E9422" t="s">
        <v>30225</v>
      </c>
      <c r="F9422">
        <v>1972</v>
      </c>
      <c r="G9422" t="s">
        <v>14799</v>
      </c>
      <c r="H9422" t="s">
        <v>30231</v>
      </c>
      <c r="J9422" t="s">
        <v>30227</v>
      </c>
      <c r="K9422" s="2" t="str">
        <f>HYPERLINK("http://collections.slsa.sa.gov.au/mpcimg/27000/B26908.htm")</f>
        <v>http://collections.slsa.sa.gov.au/mpcimg/27000/B26908.htm</v>
      </c>
    </row>
    <row r="9423" spans="1:11" x14ac:dyDescent="0.25">
      <c r="A9423" t="s">
        <v>30232</v>
      </c>
      <c r="B9423" s="1" t="str">
        <f>HYPERLINK("https://www.catalog.slsa.sa.gov.au/record=b2063743")</f>
        <v>https://www.catalog.slsa.sa.gov.au/record=b2063743</v>
      </c>
      <c r="C9423" s="1" t="str">
        <f>HYPERLINK("https://www.catalog.slsa.sa.gov.au/xrecord=b2063743")</f>
        <v>https://www.catalog.slsa.sa.gov.au/xrecord=b2063743</v>
      </c>
      <c r="D9423" t="s">
        <v>16831</v>
      </c>
      <c r="E9423" t="s">
        <v>30225</v>
      </c>
      <c r="F9423">
        <v>1972</v>
      </c>
      <c r="G9423" t="s">
        <v>16263</v>
      </c>
      <c r="H9423" t="s">
        <v>30226</v>
      </c>
      <c r="J9423" t="s">
        <v>30227</v>
      </c>
      <c r="K9423" s="2" t="str">
        <f>HYPERLINK("http://collections.slsa.sa.gov.au/mpcimg/27000/B26909.htm")</f>
        <v>http://collections.slsa.sa.gov.au/mpcimg/27000/B26909.htm</v>
      </c>
    </row>
    <row r="9424" spans="1:11" x14ac:dyDescent="0.25">
      <c r="A9424" t="s">
        <v>30233</v>
      </c>
      <c r="B9424" s="1" t="str">
        <f>HYPERLINK("https://www.catalog.slsa.sa.gov.au/record=b2064421")</f>
        <v>https://www.catalog.slsa.sa.gov.au/record=b2064421</v>
      </c>
      <c r="C9424" s="1" t="str">
        <f>HYPERLINK("https://www.catalog.slsa.sa.gov.au/xrecord=b2064421")</f>
        <v>https://www.catalog.slsa.sa.gov.au/xrecord=b2064421</v>
      </c>
      <c r="D9424" t="s">
        <v>16831</v>
      </c>
      <c r="E9424" t="s">
        <v>29231</v>
      </c>
      <c r="F9424">
        <v>1972</v>
      </c>
      <c r="G9424" t="s">
        <v>30234</v>
      </c>
      <c r="H9424" t="s">
        <v>30235</v>
      </c>
      <c r="J9424" t="s">
        <v>29229</v>
      </c>
      <c r="K9424" s="2" t="str">
        <f>HYPERLINK("http://collections.slsa.sa.gov.au/mpcimg/26750/B26653.htm")</f>
        <v>http://collections.slsa.sa.gov.au/mpcimg/26750/B26653.htm</v>
      </c>
    </row>
    <row r="9425" spans="1:11" x14ac:dyDescent="0.25">
      <c r="A9425" t="s">
        <v>30236</v>
      </c>
      <c r="B9425" s="1" t="str">
        <f>HYPERLINK("https://www.catalog.slsa.sa.gov.au/record=b2064422")</f>
        <v>https://www.catalog.slsa.sa.gov.au/record=b2064422</v>
      </c>
      <c r="C9425" s="1" t="str">
        <f>HYPERLINK("https://www.catalog.slsa.sa.gov.au/xrecord=b2064422")</f>
        <v>https://www.catalog.slsa.sa.gov.au/xrecord=b2064422</v>
      </c>
      <c r="D9425" t="s">
        <v>16831</v>
      </c>
      <c r="E9425" t="s">
        <v>29231</v>
      </c>
      <c r="F9425">
        <v>1972</v>
      </c>
      <c r="G9425" t="s">
        <v>14804</v>
      </c>
      <c r="H9425" t="s">
        <v>30237</v>
      </c>
      <c r="J9425" t="s">
        <v>29229</v>
      </c>
      <c r="K9425" s="2" t="str">
        <f>HYPERLINK("http://collections.slsa.sa.gov.au/mpcimg/26750/B26654.htm")</f>
        <v>http://collections.slsa.sa.gov.au/mpcimg/26750/B26654.htm</v>
      </c>
    </row>
    <row r="9426" spans="1:11" x14ac:dyDescent="0.25">
      <c r="A9426" t="s">
        <v>30238</v>
      </c>
      <c r="B9426" s="1" t="str">
        <f>HYPERLINK("https://www.catalog.slsa.sa.gov.au/record=b2064423")</f>
        <v>https://www.catalog.slsa.sa.gov.au/record=b2064423</v>
      </c>
      <c r="C9426" s="1" t="str">
        <f>HYPERLINK("https://www.catalog.slsa.sa.gov.au/xrecord=b2064423")</f>
        <v>https://www.catalog.slsa.sa.gov.au/xrecord=b2064423</v>
      </c>
      <c r="D9426" t="s">
        <v>16831</v>
      </c>
      <c r="E9426" t="s">
        <v>29231</v>
      </c>
      <c r="F9426">
        <v>1972</v>
      </c>
      <c r="G9426" t="s">
        <v>14799</v>
      </c>
      <c r="H9426" t="s">
        <v>30239</v>
      </c>
      <c r="J9426" t="s">
        <v>29229</v>
      </c>
      <c r="K9426" s="2" t="str">
        <f>HYPERLINK("http://collections.slsa.sa.gov.au/mpcimg/26750/B26655.htm")</f>
        <v>http://collections.slsa.sa.gov.au/mpcimg/26750/B26655.htm</v>
      </c>
    </row>
    <row r="9427" spans="1:11" x14ac:dyDescent="0.25">
      <c r="A9427" t="s">
        <v>30240</v>
      </c>
      <c r="B9427" s="1" t="str">
        <f>HYPERLINK("https://www.catalog.slsa.sa.gov.au/record=b2064424")</f>
        <v>https://www.catalog.slsa.sa.gov.au/record=b2064424</v>
      </c>
      <c r="C9427" s="1" t="str">
        <f>HYPERLINK("https://www.catalog.slsa.sa.gov.au/xrecord=b2064424")</f>
        <v>https://www.catalog.slsa.sa.gov.au/xrecord=b2064424</v>
      </c>
      <c r="D9427" t="s">
        <v>16831</v>
      </c>
      <c r="E9427" t="s">
        <v>29231</v>
      </c>
      <c r="F9427">
        <v>1972</v>
      </c>
      <c r="G9427" t="s">
        <v>14799</v>
      </c>
      <c r="H9427" t="s">
        <v>30241</v>
      </c>
      <c r="J9427" t="s">
        <v>29229</v>
      </c>
      <c r="K9427" s="2" t="str">
        <f>HYPERLINK("http://collections.slsa.sa.gov.au/mpcimg/26750/B26656.htm")</f>
        <v>http://collections.slsa.sa.gov.au/mpcimg/26750/B26656.htm</v>
      </c>
    </row>
    <row r="9428" spans="1:11" x14ac:dyDescent="0.25">
      <c r="A9428" t="s">
        <v>30242</v>
      </c>
      <c r="B9428" s="1" t="str">
        <f>HYPERLINK("https://www.catalog.slsa.sa.gov.au/record=b2064426")</f>
        <v>https://www.catalog.slsa.sa.gov.au/record=b2064426</v>
      </c>
      <c r="C9428" s="1" t="str">
        <f>HYPERLINK("https://www.catalog.slsa.sa.gov.au/xrecord=b2064426")</f>
        <v>https://www.catalog.slsa.sa.gov.au/xrecord=b2064426</v>
      </c>
      <c r="D9428" t="s">
        <v>16831</v>
      </c>
      <c r="E9428" t="s">
        <v>27819</v>
      </c>
      <c r="F9428">
        <v>1972</v>
      </c>
      <c r="G9428" t="s">
        <v>23422</v>
      </c>
      <c r="H9428" t="s">
        <v>30243</v>
      </c>
      <c r="J9428" t="s">
        <v>27821</v>
      </c>
      <c r="K9428" s="2" t="str">
        <f>HYPERLINK("http://collections.slsa.sa.gov.au/mpcimg/27500/B27318.htm")</f>
        <v>http://collections.slsa.sa.gov.au/mpcimg/27500/B27318.htm</v>
      </c>
    </row>
    <row r="9429" spans="1:11" x14ac:dyDescent="0.25">
      <c r="A9429" t="s">
        <v>30244</v>
      </c>
      <c r="B9429" s="1" t="str">
        <f>HYPERLINK("https://www.catalog.slsa.sa.gov.au/record=b2064428")</f>
        <v>https://www.catalog.slsa.sa.gov.au/record=b2064428</v>
      </c>
      <c r="C9429" s="1" t="str">
        <f>HYPERLINK("https://www.catalog.slsa.sa.gov.au/xrecord=b2064428")</f>
        <v>https://www.catalog.slsa.sa.gov.au/xrecord=b2064428</v>
      </c>
      <c r="D9429" t="s">
        <v>16831</v>
      </c>
      <c r="E9429" t="s">
        <v>27819</v>
      </c>
      <c r="F9429">
        <v>1972</v>
      </c>
      <c r="G9429" t="s">
        <v>30201</v>
      </c>
      <c r="H9429" t="s">
        <v>30245</v>
      </c>
      <c r="J9429" t="s">
        <v>27821</v>
      </c>
      <c r="K9429" s="2" t="str">
        <f>HYPERLINK("http://collections.slsa.sa.gov.au/mpcimg/27500/B27320.htm")</f>
        <v>http://collections.slsa.sa.gov.au/mpcimg/27500/B27320.htm</v>
      </c>
    </row>
    <row r="9430" spans="1:11" x14ac:dyDescent="0.25">
      <c r="A9430" t="s">
        <v>30246</v>
      </c>
      <c r="B9430" s="1" t="str">
        <f>HYPERLINK("https://www.catalog.slsa.sa.gov.au/record=b2064429")</f>
        <v>https://www.catalog.slsa.sa.gov.au/record=b2064429</v>
      </c>
      <c r="C9430" s="1" t="str">
        <f>HYPERLINK("https://www.catalog.slsa.sa.gov.au/xrecord=b2064429")</f>
        <v>https://www.catalog.slsa.sa.gov.au/xrecord=b2064429</v>
      </c>
      <c r="D9430" t="s">
        <v>16831</v>
      </c>
      <c r="E9430" t="s">
        <v>27819</v>
      </c>
      <c r="F9430">
        <v>1972</v>
      </c>
      <c r="G9430" t="s">
        <v>30247</v>
      </c>
      <c r="H9430" t="s">
        <v>30248</v>
      </c>
      <c r="J9430" t="s">
        <v>27821</v>
      </c>
      <c r="K9430" s="2" t="str">
        <f>HYPERLINK("http://collections.slsa.sa.gov.au/mpcimg/27500/B27321.htm")</f>
        <v>http://collections.slsa.sa.gov.au/mpcimg/27500/B27321.htm</v>
      </c>
    </row>
    <row r="9431" spans="1:11" x14ac:dyDescent="0.25">
      <c r="A9431" t="s">
        <v>30249</v>
      </c>
      <c r="B9431" s="1" t="str">
        <f>HYPERLINK("https://www.catalog.slsa.sa.gov.au/record=b2054510")</f>
        <v>https://www.catalog.slsa.sa.gov.au/record=b2054510</v>
      </c>
      <c r="C9431" s="1" t="str">
        <f>HYPERLINK("https://www.catalog.slsa.sa.gov.au/xrecord=b2054510")</f>
        <v>https://www.catalog.slsa.sa.gov.au/xrecord=b2054510</v>
      </c>
      <c r="D9431" t="s">
        <v>16831</v>
      </c>
      <c r="E9431" t="s">
        <v>28202</v>
      </c>
      <c r="F9431">
        <v>1973</v>
      </c>
      <c r="G9431" t="s">
        <v>30250</v>
      </c>
      <c r="H9431" t="s">
        <v>30251</v>
      </c>
      <c r="J9431" t="s">
        <v>25229</v>
      </c>
      <c r="K9431" s="2" t="str">
        <f>HYPERLINK("http://collections.slsa.sa.gov.au/mpcimg/28000/B27797.htm")</f>
        <v>http://collections.slsa.sa.gov.au/mpcimg/28000/B27797.htm</v>
      </c>
    </row>
    <row r="9432" spans="1:11" x14ac:dyDescent="0.25">
      <c r="A9432" t="s">
        <v>30252</v>
      </c>
      <c r="B9432" s="1" t="str">
        <f>HYPERLINK("https://www.catalog.slsa.sa.gov.au/record=b2054511")</f>
        <v>https://www.catalog.slsa.sa.gov.au/record=b2054511</v>
      </c>
      <c r="C9432" s="1" t="str">
        <f>HYPERLINK("https://www.catalog.slsa.sa.gov.au/xrecord=b2054511")</f>
        <v>https://www.catalog.slsa.sa.gov.au/xrecord=b2054511</v>
      </c>
      <c r="D9432" t="s">
        <v>16831</v>
      </c>
      <c r="E9432" t="s">
        <v>28202</v>
      </c>
      <c r="F9432">
        <v>1973</v>
      </c>
      <c r="G9432" t="s">
        <v>30250</v>
      </c>
      <c r="H9432" t="s">
        <v>30253</v>
      </c>
      <c r="J9432" t="s">
        <v>25229</v>
      </c>
      <c r="K9432" s="2" t="str">
        <f>HYPERLINK("http://collections.slsa.sa.gov.au/mpcimg/28000/B27798.htm")</f>
        <v>http://collections.slsa.sa.gov.au/mpcimg/28000/B27798.htm</v>
      </c>
    </row>
    <row r="9433" spans="1:11" x14ac:dyDescent="0.25">
      <c r="A9433" t="s">
        <v>30254</v>
      </c>
      <c r="B9433" s="1" t="str">
        <f>HYPERLINK("https://www.catalog.slsa.sa.gov.au/record=b2055978")</f>
        <v>https://www.catalog.slsa.sa.gov.au/record=b2055978</v>
      </c>
      <c r="C9433" s="1" t="str">
        <f>HYPERLINK("https://www.catalog.slsa.sa.gov.au/xrecord=b2055978")</f>
        <v>https://www.catalog.slsa.sa.gov.au/xrecord=b2055978</v>
      </c>
      <c r="D9433" t="s">
        <v>16831</v>
      </c>
      <c r="E9433" t="s">
        <v>30255</v>
      </c>
      <c r="F9433">
        <v>1973</v>
      </c>
      <c r="G9433" t="s">
        <v>16843</v>
      </c>
      <c r="H9433" t="s">
        <v>30256</v>
      </c>
      <c r="J9433" t="s">
        <v>22757</v>
      </c>
      <c r="K9433" s="2" t="str">
        <f>HYPERLINK("http://collections.slsa.sa.gov.au/mpcimg/27500/B27408.htm")</f>
        <v>http://collections.slsa.sa.gov.au/mpcimg/27500/B27408.htm</v>
      </c>
    </row>
    <row r="9434" spans="1:11" x14ac:dyDescent="0.25">
      <c r="A9434" t="s">
        <v>30257</v>
      </c>
      <c r="B9434" s="1" t="str">
        <f>HYPERLINK("https://www.catalog.slsa.sa.gov.au/record=b2055979")</f>
        <v>https://www.catalog.slsa.sa.gov.au/record=b2055979</v>
      </c>
      <c r="C9434" s="1" t="str">
        <f>HYPERLINK("https://www.catalog.slsa.sa.gov.au/xrecord=b2055979")</f>
        <v>https://www.catalog.slsa.sa.gov.au/xrecord=b2055979</v>
      </c>
      <c r="D9434" t="s">
        <v>16831</v>
      </c>
      <c r="E9434" t="s">
        <v>30255</v>
      </c>
      <c r="F9434">
        <v>1973</v>
      </c>
      <c r="G9434" t="s">
        <v>30258</v>
      </c>
      <c r="H9434" t="s">
        <v>30259</v>
      </c>
      <c r="J9434" t="s">
        <v>22757</v>
      </c>
      <c r="K9434" s="2" t="str">
        <f>HYPERLINK("http://collections.slsa.sa.gov.au/mpcimg/27500/B27409.htm")</f>
        <v>http://collections.slsa.sa.gov.au/mpcimg/27500/B27409.htm</v>
      </c>
    </row>
    <row r="9435" spans="1:11" x14ac:dyDescent="0.25">
      <c r="A9435" t="s">
        <v>30260</v>
      </c>
      <c r="B9435" s="1" t="str">
        <f>HYPERLINK("https://www.catalog.slsa.sa.gov.au/record=b2057007")</f>
        <v>https://www.catalog.slsa.sa.gov.au/record=b2057007</v>
      </c>
      <c r="C9435" s="1" t="str">
        <f>HYPERLINK("https://www.catalog.slsa.sa.gov.au/xrecord=b2057007")</f>
        <v>https://www.catalog.slsa.sa.gov.au/xrecord=b2057007</v>
      </c>
      <c r="D9435" t="s">
        <v>16831</v>
      </c>
      <c r="E9435" t="s">
        <v>16791</v>
      </c>
      <c r="F9435">
        <v>1973</v>
      </c>
      <c r="G9435" t="s">
        <v>14771</v>
      </c>
      <c r="H9435" t="s">
        <v>30261</v>
      </c>
      <c r="J9435" t="s">
        <v>25324</v>
      </c>
      <c r="K9435" s="2" t="str">
        <f>HYPERLINK("http://collections.slsa.sa.gov.au/mpcimg/28500/B28253.htm")</f>
        <v>http://collections.slsa.sa.gov.au/mpcimg/28500/B28253.htm</v>
      </c>
    </row>
    <row r="9436" spans="1:11" x14ac:dyDescent="0.25">
      <c r="A9436" t="s">
        <v>30262</v>
      </c>
      <c r="B9436" s="1" t="str">
        <f>HYPERLINK("https://www.catalog.slsa.sa.gov.au/record=b2057008")</f>
        <v>https://www.catalog.slsa.sa.gov.au/record=b2057008</v>
      </c>
      <c r="C9436" s="1" t="str">
        <f>HYPERLINK("https://www.catalog.slsa.sa.gov.au/xrecord=b2057008")</f>
        <v>https://www.catalog.slsa.sa.gov.au/xrecord=b2057008</v>
      </c>
      <c r="D9436" t="s">
        <v>16831</v>
      </c>
      <c r="E9436" t="s">
        <v>16791</v>
      </c>
      <c r="F9436">
        <v>1973</v>
      </c>
      <c r="G9436" t="s">
        <v>14771</v>
      </c>
      <c r="H9436" t="s">
        <v>30261</v>
      </c>
      <c r="J9436" t="s">
        <v>25324</v>
      </c>
      <c r="K9436" s="2" t="str">
        <f>HYPERLINK("http://collections.slsa.sa.gov.au/mpcimg/28500/B28254.htm")</f>
        <v>http://collections.slsa.sa.gov.au/mpcimg/28500/B28254.htm</v>
      </c>
    </row>
    <row r="9437" spans="1:11" x14ac:dyDescent="0.25">
      <c r="A9437" t="s">
        <v>30263</v>
      </c>
      <c r="B9437" s="1" t="str">
        <f>HYPERLINK("https://www.catalog.slsa.sa.gov.au/record=b2057015")</f>
        <v>https://www.catalog.slsa.sa.gov.au/record=b2057015</v>
      </c>
      <c r="C9437" s="1" t="str">
        <f>HYPERLINK("https://www.catalog.slsa.sa.gov.au/xrecord=b2057015")</f>
        <v>https://www.catalog.slsa.sa.gov.au/xrecord=b2057015</v>
      </c>
      <c r="D9437" t="s">
        <v>16831</v>
      </c>
      <c r="E9437" t="s">
        <v>29070</v>
      </c>
      <c r="F9437">
        <v>1973</v>
      </c>
      <c r="G9437" t="s">
        <v>14771</v>
      </c>
      <c r="H9437" t="s">
        <v>30264</v>
      </c>
      <c r="J9437" t="s">
        <v>25324</v>
      </c>
      <c r="K9437" s="2" t="str">
        <f>HYPERLINK("http://collections.slsa.sa.gov.au/mpcimg/28500/B28252.htm")</f>
        <v>http://collections.slsa.sa.gov.au/mpcimg/28500/B28252.htm</v>
      </c>
    </row>
    <row r="9438" spans="1:11" x14ac:dyDescent="0.25">
      <c r="A9438" t="s">
        <v>30265</v>
      </c>
      <c r="B9438" s="1" t="str">
        <f>HYPERLINK("https://www.catalog.slsa.sa.gov.au/record=b2057072")</f>
        <v>https://www.catalog.slsa.sa.gov.au/record=b2057072</v>
      </c>
      <c r="C9438" s="1" t="str">
        <f>HYPERLINK("https://www.catalog.slsa.sa.gov.au/xrecord=b2057072")</f>
        <v>https://www.catalog.slsa.sa.gov.au/xrecord=b2057072</v>
      </c>
      <c r="D9438" t="s">
        <v>16831</v>
      </c>
      <c r="E9438" t="s">
        <v>24033</v>
      </c>
      <c r="F9438">
        <v>1973</v>
      </c>
      <c r="G9438" t="s">
        <v>16674</v>
      </c>
      <c r="H9438" t="s">
        <v>30266</v>
      </c>
      <c r="J9438" t="s">
        <v>24035</v>
      </c>
      <c r="K9438" s="2" t="str">
        <f>HYPERLINK("http://collections.slsa.sa.gov.au/mpcimg/28500/B28381.htm")</f>
        <v>http://collections.slsa.sa.gov.au/mpcimg/28500/B28381.htm</v>
      </c>
    </row>
    <row r="9439" spans="1:11" x14ac:dyDescent="0.25">
      <c r="A9439" t="s">
        <v>30267</v>
      </c>
      <c r="B9439" s="1" t="str">
        <f>HYPERLINK("https://www.catalog.slsa.sa.gov.au/record=b2057073")</f>
        <v>https://www.catalog.slsa.sa.gov.au/record=b2057073</v>
      </c>
      <c r="C9439" s="1" t="str">
        <f>HYPERLINK("https://www.catalog.slsa.sa.gov.au/xrecord=b2057073")</f>
        <v>https://www.catalog.slsa.sa.gov.au/xrecord=b2057073</v>
      </c>
      <c r="D9439" t="s">
        <v>16831</v>
      </c>
      <c r="E9439" t="s">
        <v>24033</v>
      </c>
      <c r="F9439">
        <v>1973</v>
      </c>
      <c r="G9439" t="s">
        <v>14771</v>
      </c>
      <c r="H9439" t="s">
        <v>30268</v>
      </c>
      <c r="J9439" t="s">
        <v>24035</v>
      </c>
      <c r="K9439" s="2" t="str">
        <f>HYPERLINK("http://collections.slsa.sa.gov.au/mpcimg/28500/B28382.htm")</f>
        <v>http://collections.slsa.sa.gov.au/mpcimg/28500/B28382.htm</v>
      </c>
    </row>
    <row r="9440" spans="1:11" x14ac:dyDescent="0.25">
      <c r="A9440" t="s">
        <v>30269</v>
      </c>
      <c r="B9440" s="1" t="str">
        <f>HYPERLINK("https://www.catalog.slsa.sa.gov.au/record=b2059398")</f>
        <v>https://www.catalog.slsa.sa.gov.au/record=b2059398</v>
      </c>
      <c r="C9440" s="1" t="str">
        <f>HYPERLINK("https://www.catalog.slsa.sa.gov.au/xrecord=b2059398")</f>
        <v>https://www.catalog.slsa.sa.gov.au/xrecord=b2059398</v>
      </c>
      <c r="D9440" t="s">
        <v>16831</v>
      </c>
      <c r="E9440" t="s">
        <v>30270</v>
      </c>
      <c r="F9440">
        <v>1973</v>
      </c>
      <c r="G9440" t="s">
        <v>16674</v>
      </c>
      <c r="H9440" t="s">
        <v>30271</v>
      </c>
      <c r="J9440" t="s">
        <v>30272</v>
      </c>
      <c r="K9440" s="2" t="str">
        <f>HYPERLINK("http://collections.slsa.sa.gov.au/mpcimg/28500/B28417.htm")</f>
        <v>http://collections.slsa.sa.gov.au/mpcimg/28500/B28417.htm</v>
      </c>
    </row>
    <row r="9441" spans="1:11" x14ac:dyDescent="0.25">
      <c r="A9441" t="s">
        <v>30273</v>
      </c>
      <c r="B9441" s="1" t="str">
        <f>HYPERLINK("https://www.catalog.slsa.sa.gov.au/record=b2059399")</f>
        <v>https://www.catalog.slsa.sa.gov.au/record=b2059399</v>
      </c>
      <c r="C9441" s="1" t="str">
        <f>HYPERLINK("https://www.catalog.slsa.sa.gov.au/xrecord=b2059399")</f>
        <v>https://www.catalog.slsa.sa.gov.au/xrecord=b2059399</v>
      </c>
      <c r="D9441" t="s">
        <v>16831</v>
      </c>
      <c r="E9441" t="s">
        <v>29780</v>
      </c>
      <c r="F9441">
        <v>1973</v>
      </c>
      <c r="G9441" t="s">
        <v>14771</v>
      </c>
      <c r="H9441" t="s">
        <v>30274</v>
      </c>
      <c r="J9441" t="s">
        <v>30272</v>
      </c>
      <c r="K9441" s="2" t="str">
        <f>HYPERLINK("http://collections.slsa.sa.gov.au/mpcimg/28500/B28418.htm")</f>
        <v>http://collections.slsa.sa.gov.au/mpcimg/28500/B28418.htm</v>
      </c>
    </row>
    <row r="9442" spans="1:11" x14ac:dyDescent="0.25">
      <c r="A9442" t="s">
        <v>30275</v>
      </c>
      <c r="B9442" s="1" t="str">
        <f>HYPERLINK("https://www.catalog.slsa.sa.gov.au/record=b2059663")</f>
        <v>https://www.catalog.slsa.sa.gov.au/record=b2059663</v>
      </c>
      <c r="C9442" s="1" t="str">
        <f>HYPERLINK("https://www.catalog.slsa.sa.gov.au/xrecord=b2059663")</f>
        <v>https://www.catalog.slsa.sa.gov.au/xrecord=b2059663</v>
      </c>
      <c r="D9442" t="s">
        <v>16831</v>
      </c>
      <c r="E9442" t="s">
        <v>22849</v>
      </c>
      <c r="F9442">
        <v>1973</v>
      </c>
      <c r="G9442" t="s">
        <v>30276</v>
      </c>
      <c r="H9442" t="s">
        <v>30277</v>
      </c>
      <c r="J9442" t="s">
        <v>20098</v>
      </c>
      <c r="K9442" s="2" t="str">
        <f>HYPERLINK("http://collections.slsa.sa.gov.au/mpcimg/27750/B27510.htm")</f>
        <v>http://collections.slsa.sa.gov.au/mpcimg/27750/B27510.htm</v>
      </c>
    </row>
    <row r="9443" spans="1:11" x14ac:dyDescent="0.25">
      <c r="A9443" t="s">
        <v>30278</v>
      </c>
      <c r="B9443" s="1" t="str">
        <f>HYPERLINK("https://www.catalog.slsa.sa.gov.au/record=b2059664")</f>
        <v>https://www.catalog.slsa.sa.gov.au/record=b2059664</v>
      </c>
      <c r="C9443" s="1" t="str">
        <f>HYPERLINK("https://www.catalog.slsa.sa.gov.au/xrecord=b2059664")</f>
        <v>https://www.catalog.slsa.sa.gov.au/xrecord=b2059664</v>
      </c>
      <c r="D9443" t="s">
        <v>16831</v>
      </c>
      <c r="E9443" t="s">
        <v>22849</v>
      </c>
      <c r="F9443">
        <v>1973</v>
      </c>
      <c r="G9443" t="s">
        <v>30276</v>
      </c>
      <c r="H9443" t="s">
        <v>30279</v>
      </c>
      <c r="J9443" t="s">
        <v>20098</v>
      </c>
      <c r="K9443" s="2" t="str">
        <f>HYPERLINK("http://collections.slsa.sa.gov.au/mpcimg/27750/B27511.htm")</f>
        <v>http://collections.slsa.sa.gov.au/mpcimg/27750/B27511.htm</v>
      </c>
    </row>
    <row r="9444" spans="1:11" x14ac:dyDescent="0.25">
      <c r="A9444" t="s">
        <v>30280</v>
      </c>
      <c r="B9444" s="1" t="str">
        <f>HYPERLINK("https://www.catalog.slsa.sa.gov.au/record=b2059742")</f>
        <v>https://www.catalog.slsa.sa.gov.au/record=b2059742</v>
      </c>
      <c r="C9444" s="1" t="str">
        <f>HYPERLINK("https://www.catalog.slsa.sa.gov.au/xrecord=b2059742")</f>
        <v>https://www.catalog.slsa.sa.gov.au/xrecord=b2059742</v>
      </c>
      <c r="D9444" t="s">
        <v>16831</v>
      </c>
      <c r="E9444" t="s">
        <v>15191</v>
      </c>
      <c r="F9444">
        <v>1973</v>
      </c>
      <c r="G9444" t="s">
        <v>14771</v>
      </c>
      <c r="H9444" t="s">
        <v>30281</v>
      </c>
      <c r="J9444" t="s">
        <v>21029</v>
      </c>
      <c r="K9444" s="2" t="str">
        <f>HYPERLINK("http://collections.slsa.sa.gov.au/mpcimg/28500/B28266.htm")</f>
        <v>http://collections.slsa.sa.gov.au/mpcimg/28500/B28266.htm</v>
      </c>
    </row>
    <row r="9445" spans="1:11" x14ac:dyDescent="0.25">
      <c r="A9445" t="s">
        <v>30282</v>
      </c>
      <c r="B9445" s="1" t="str">
        <f>HYPERLINK("https://www.catalog.slsa.sa.gov.au/record=b2059743")</f>
        <v>https://www.catalog.slsa.sa.gov.au/record=b2059743</v>
      </c>
      <c r="C9445" s="1" t="str">
        <f>HYPERLINK("https://www.catalog.slsa.sa.gov.au/xrecord=b2059743")</f>
        <v>https://www.catalog.slsa.sa.gov.au/xrecord=b2059743</v>
      </c>
      <c r="D9445" t="s">
        <v>16831</v>
      </c>
      <c r="E9445" t="s">
        <v>15191</v>
      </c>
      <c r="F9445">
        <v>1973</v>
      </c>
      <c r="G9445" t="s">
        <v>14771</v>
      </c>
      <c r="H9445" t="s">
        <v>30281</v>
      </c>
      <c r="J9445" t="s">
        <v>21029</v>
      </c>
      <c r="K9445" s="2" t="str">
        <f>HYPERLINK("http://collections.slsa.sa.gov.au/mpcimg/28500/B28267.htm")</f>
        <v>http://collections.slsa.sa.gov.au/mpcimg/28500/B28267.htm</v>
      </c>
    </row>
    <row r="9446" spans="1:11" x14ac:dyDescent="0.25">
      <c r="A9446" t="s">
        <v>30283</v>
      </c>
      <c r="B9446" s="1" t="str">
        <f>HYPERLINK("https://www.catalog.slsa.sa.gov.au/record=b2059744")</f>
        <v>https://www.catalog.slsa.sa.gov.au/record=b2059744</v>
      </c>
      <c r="C9446" s="1" t="str">
        <f>HYPERLINK("https://www.catalog.slsa.sa.gov.au/xrecord=b2059744")</f>
        <v>https://www.catalog.slsa.sa.gov.au/xrecord=b2059744</v>
      </c>
      <c r="D9446" t="s">
        <v>16831</v>
      </c>
      <c r="E9446" t="s">
        <v>15191</v>
      </c>
      <c r="F9446">
        <v>1973</v>
      </c>
      <c r="G9446" t="s">
        <v>14771</v>
      </c>
      <c r="H9446" t="s">
        <v>30281</v>
      </c>
      <c r="J9446" t="s">
        <v>21029</v>
      </c>
      <c r="K9446" s="2" t="str">
        <f>HYPERLINK("http://collections.slsa.sa.gov.au/mpcimg/28500/B28268.htm")</f>
        <v>http://collections.slsa.sa.gov.au/mpcimg/28500/B28268.htm</v>
      </c>
    </row>
    <row r="9447" spans="1:11" x14ac:dyDescent="0.25">
      <c r="A9447" t="s">
        <v>30284</v>
      </c>
      <c r="B9447" s="1" t="str">
        <f>HYPERLINK("https://www.catalog.slsa.sa.gov.au/record=b2059821")</f>
        <v>https://www.catalog.slsa.sa.gov.au/record=b2059821</v>
      </c>
      <c r="C9447" s="1" t="str">
        <f>HYPERLINK("https://www.catalog.slsa.sa.gov.au/xrecord=b2059821")</f>
        <v>https://www.catalog.slsa.sa.gov.au/xrecord=b2059821</v>
      </c>
      <c r="D9447" t="s">
        <v>16831</v>
      </c>
      <c r="E9447" t="s">
        <v>22862</v>
      </c>
      <c r="F9447">
        <v>1973</v>
      </c>
      <c r="G9447" t="s">
        <v>30276</v>
      </c>
      <c r="H9447" t="s">
        <v>30285</v>
      </c>
      <c r="J9447" t="s">
        <v>21039</v>
      </c>
      <c r="K9447" s="2" t="str">
        <f>HYPERLINK("http://collections.slsa.sa.gov.au/mpcimg/27750/B27515.htm")</f>
        <v>http://collections.slsa.sa.gov.au/mpcimg/27750/B27515.htm</v>
      </c>
    </row>
    <row r="9448" spans="1:11" x14ac:dyDescent="0.25">
      <c r="A9448" t="s">
        <v>30286</v>
      </c>
      <c r="B9448" s="1" t="str">
        <f>HYPERLINK("https://www.catalog.slsa.sa.gov.au/record=b2059822")</f>
        <v>https://www.catalog.slsa.sa.gov.au/record=b2059822</v>
      </c>
      <c r="C9448" s="1" t="str">
        <f>HYPERLINK("https://www.catalog.slsa.sa.gov.au/xrecord=b2059822")</f>
        <v>https://www.catalog.slsa.sa.gov.au/xrecord=b2059822</v>
      </c>
      <c r="D9448" t="s">
        <v>16831</v>
      </c>
      <c r="E9448" t="s">
        <v>22862</v>
      </c>
      <c r="F9448">
        <v>1973</v>
      </c>
      <c r="G9448" t="s">
        <v>30276</v>
      </c>
      <c r="H9448" t="s">
        <v>30285</v>
      </c>
      <c r="J9448" t="s">
        <v>21039</v>
      </c>
      <c r="K9448" s="2" t="str">
        <f>HYPERLINK("http://collections.slsa.sa.gov.au/mpcimg/27750/B27516.htm")</f>
        <v>http://collections.slsa.sa.gov.au/mpcimg/27750/B27516.htm</v>
      </c>
    </row>
    <row r="9449" spans="1:11" x14ac:dyDescent="0.25">
      <c r="A9449" t="s">
        <v>30287</v>
      </c>
      <c r="B9449" s="1" t="str">
        <f>HYPERLINK("https://www.catalog.slsa.sa.gov.au/record=b2059823")</f>
        <v>https://www.catalog.slsa.sa.gov.au/record=b2059823</v>
      </c>
      <c r="C9449" s="1" t="str">
        <f>HYPERLINK("https://www.catalog.slsa.sa.gov.au/xrecord=b2059823")</f>
        <v>https://www.catalog.slsa.sa.gov.au/xrecord=b2059823</v>
      </c>
      <c r="D9449" t="s">
        <v>16831</v>
      </c>
      <c r="E9449" t="s">
        <v>22862</v>
      </c>
      <c r="F9449">
        <v>1973</v>
      </c>
      <c r="G9449" t="s">
        <v>16674</v>
      </c>
      <c r="H9449" t="s">
        <v>30288</v>
      </c>
      <c r="J9449" t="s">
        <v>21039</v>
      </c>
      <c r="K9449" s="2" t="str">
        <f>HYPERLINK("http://collections.slsa.sa.gov.au/mpcimg/28750/B28623.htm")</f>
        <v>http://collections.slsa.sa.gov.au/mpcimg/28750/B28623.htm</v>
      </c>
    </row>
    <row r="9450" spans="1:11" x14ac:dyDescent="0.25">
      <c r="A9450" t="s">
        <v>30289</v>
      </c>
      <c r="B9450" s="1" t="str">
        <f>HYPERLINK("https://www.catalog.slsa.sa.gov.au/record=b2060094")</f>
        <v>https://www.catalog.slsa.sa.gov.au/record=b2060094</v>
      </c>
      <c r="C9450" s="1" t="str">
        <f>HYPERLINK("https://www.catalog.slsa.sa.gov.au/xrecord=b2060094")</f>
        <v>https://www.catalog.slsa.sa.gov.au/xrecord=b2060094</v>
      </c>
      <c r="D9450" t="s">
        <v>16831</v>
      </c>
      <c r="E9450" t="s">
        <v>28061</v>
      </c>
      <c r="F9450">
        <v>1973</v>
      </c>
      <c r="G9450" t="s">
        <v>30250</v>
      </c>
      <c r="H9450" t="s">
        <v>30290</v>
      </c>
      <c r="J9450" t="s">
        <v>20103</v>
      </c>
      <c r="K9450" s="2" t="str">
        <f>HYPERLINK("http://collections.slsa.sa.gov.au/mpcimg/27750/B27609.htm")</f>
        <v>http://collections.slsa.sa.gov.au/mpcimg/27750/B27609.htm</v>
      </c>
    </row>
    <row r="9451" spans="1:11" x14ac:dyDescent="0.25">
      <c r="A9451" t="s">
        <v>30291</v>
      </c>
      <c r="B9451" s="1" t="str">
        <f>HYPERLINK("https://www.catalog.slsa.sa.gov.au/record=b2060095")</f>
        <v>https://www.catalog.slsa.sa.gov.au/record=b2060095</v>
      </c>
      <c r="C9451" s="1" t="str">
        <f>HYPERLINK("https://www.catalog.slsa.sa.gov.au/xrecord=b2060095")</f>
        <v>https://www.catalog.slsa.sa.gov.au/xrecord=b2060095</v>
      </c>
      <c r="D9451" t="s">
        <v>16831</v>
      </c>
      <c r="E9451" t="s">
        <v>30292</v>
      </c>
      <c r="F9451">
        <v>1973</v>
      </c>
      <c r="G9451" t="s">
        <v>30250</v>
      </c>
      <c r="H9451" t="s">
        <v>30293</v>
      </c>
      <c r="J9451" t="s">
        <v>20103</v>
      </c>
      <c r="K9451" s="2" t="str">
        <f>HYPERLINK("http://collections.slsa.sa.gov.au/mpcimg/28000/B27777.htm")</f>
        <v>http://collections.slsa.sa.gov.au/mpcimg/28000/B27777.htm</v>
      </c>
    </row>
    <row r="9452" spans="1:11" x14ac:dyDescent="0.25">
      <c r="A9452" t="s">
        <v>30294</v>
      </c>
      <c r="B9452" s="1" t="str">
        <f>HYPERLINK("https://www.catalog.slsa.sa.gov.au/record=b2060096")</f>
        <v>https://www.catalog.slsa.sa.gov.au/record=b2060096</v>
      </c>
      <c r="C9452" s="1" t="str">
        <f>HYPERLINK("https://www.catalog.slsa.sa.gov.au/xrecord=b2060096")</f>
        <v>https://www.catalog.slsa.sa.gov.au/xrecord=b2060096</v>
      </c>
      <c r="D9452" t="s">
        <v>16831</v>
      </c>
      <c r="E9452" t="s">
        <v>30292</v>
      </c>
      <c r="F9452">
        <v>1973</v>
      </c>
      <c r="G9452" t="s">
        <v>30250</v>
      </c>
      <c r="H9452" t="s">
        <v>30293</v>
      </c>
      <c r="J9452" t="s">
        <v>20103</v>
      </c>
      <c r="K9452" s="2" t="str">
        <f>HYPERLINK("http://collections.slsa.sa.gov.au/mpcimg/28000/B27778.htm")</f>
        <v>http://collections.slsa.sa.gov.au/mpcimg/28000/B27778.htm</v>
      </c>
    </row>
    <row r="9453" spans="1:11" x14ac:dyDescent="0.25">
      <c r="A9453" t="s">
        <v>30295</v>
      </c>
      <c r="B9453" s="1" t="str">
        <f>HYPERLINK("https://www.catalog.slsa.sa.gov.au/record=b2060184")</f>
        <v>https://www.catalog.slsa.sa.gov.au/record=b2060184</v>
      </c>
      <c r="C9453" s="1" t="str">
        <f>HYPERLINK("https://www.catalog.slsa.sa.gov.au/xrecord=b2060184")</f>
        <v>https://www.catalog.slsa.sa.gov.au/xrecord=b2060184</v>
      </c>
      <c r="D9453" t="s">
        <v>16831</v>
      </c>
      <c r="E9453" t="s">
        <v>29584</v>
      </c>
      <c r="F9453">
        <v>1973</v>
      </c>
      <c r="G9453" t="s">
        <v>16615</v>
      </c>
      <c r="H9453" t="s">
        <v>30296</v>
      </c>
      <c r="J9453" t="s">
        <v>30297</v>
      </c>
      <c r="K9453" s="2" t="str">
        <f>HYPERLINK("http://collections.slsa.sa.gov.au/mpcimg/28750/B28676.htm")</f>
        <v>http://collections.slsa.sa.gov.au/mpcimg/28750/B28676.htm</v>
      </c>
    </row>
    <row r="9454" spans="1:11" x14ac:dyDescent="0.25">
      <c r="A9454" t="s">
        <v>30298</v>
      </c>
      <c r="B9454" s="1" t="str">
        <f>HYPERLINK("https://www.catalog.slsa.sa.gov.au/record=b2060185")</f>
        <v>https://www.catalog.slsa.sa.gov.au/record=b2060185</v>
      </c>
      <c r="C9454" s="1" t="str">
        <f>HYPERLINK("https://www.catalog.slsa.sa.gov.au/xrecord=b2060185")</f>
        <v>https://www.catalog.slsa.sa.gov.au/xrecord=b2060185</v>
      </c>
      <c r="D9454" t="s">
        <v>16831</v>
      </c>
      <c r="E9454" t="s">
        <v>29584</v>
      </c>
      <c r="F9454">
        <v>1973</v>
      </c>
      <c r="G9454" t="s">
        <v>16674</v>
      </c>
      <c r="H9454" t="s">
        <v>30296</v>
      </c>
      <c r="J9454" t="s">
        <v>30297</v>
      </c>
      <c r="K9454" s="2" t="str">
        <f>HYPERLINK("http://collections.slsa.sa.gov.au/mpcimg/28750/B28677.htm")</f>
        <v>http://collections.slsa.sa.gov.au/mpcimg/28750/B28677.htm</v>
      </c>
    </row>
    <row r="9455" spans="1:11" x14ac:dyDescent="0.25">
      <c r="A9455" t="s">
        <v>30299</v>
      </c>
      <c r="B9455" s="1" t="str">
        <f>HYPERLINK("https://www.catalog.slsa.sa.gov.au/record=b2060186")</f>
        <v>https://www.catalog.slsa.sa.gov.au/record=b2060186</v>
      </c>
      <c r="C9455" s="1" t="str">
        <f>HYPERLINK("https://www.catalog.slsa.sa.gov.au/xrecord=b2060186")</f>
        <v>https://www.catalog.slsa.sa.gov.au/xrecord=b2060186</v>
      </c>
      <c r="D9455" t="s">
        <v>16831</v>
      </c>
      <c r="E9455" t="s">
        <v>29584</v>
      </c>
      <c r="F9455">
        <v>1973</v>
      </c>
      <c r="G9455" t="s">
        <v>16615</v>
      </c>
      <c r="H9455" t="s">
        <v>30300</v>
      </c>
      <c r="J9455" t="s">
        <v>30297</v>
      </c>
      <c r="K9455" s="2" t="str">
        <f>HYPERLINK("http://collections.slsa.sa.gov.au/mpcimg/28750/B28678.htm")</f>
        <v>http://collections.slsa.sa.gov.au/mpcimg/28750/B28678.htm</v>
      </c>
    </row>
    <row r="9456" spans="1:11" x14ac:dyDescent="0.25">
      <c r="A9456" t="s">
        <v>30301</v>
      </c>
      <c r="B9456" s="1" t="str">
        <f>HYPERLINK("https://www.catalog.slsa.sa.gov.au/record=b2060258")</f>
        <v>https://www.catalog.slsa.sa.gov.au/record=b2060258</v>
      </c>
      <c r="C9456" s="1" t="str">
        <f>HYPERLINK("https://www.catalog.slsa.sa.gov.au/xrecord=b2060258")</f>
        <v>https://www.catalog.slsa.sa.gov.au/xrecord=b2060258</v>
      </c>
      <c r="D9456" t="s">
        <v>16831</v>
      </c>
      <c r="E9456" t="s">
        <v>30302</v>
      </c>
      <c r="F9456">
        <v>1973</v>
      </c>
      <c r="G9456" t="s">
        <v>16615</v>
      </c>
      <c r="H9456" t="s">
        <v>30303</v>
      </c>
      <c r="J9456" t="s">
        <v>24287</v>
      </c>
      <c r="K9456" s="2" t="str">
        <f>HYPERLINK("http://collections.slsa.sa.gov.au/mpcimg/28750/B28734.htm")</f>
        <v>http://collections.slsa.sa.gov.au/mpcimg/28750/B28734.htm</v>
      </c>
    </row>
    <row r="9457" spans="1:11" x14ac:dyDescent="0.25">
      <c r="A9457" t="s">
        <v>30304</v>
      </c>
      <c r="B9457" s="1" t="str">
        <f>HYPERLINK("https://www.catalog.slsa.sa.gov.au/record=b2060268")</f>
        <v>https://www.catalog.slsa.sa.gov.au/record=b2060268</v>
      </c>
      <c r="C9457" s="1" t="str">
        <f>HYPERLINK("https://www.catalog.slsa.sa.gov.au/xrecord=b2060268")</f>
        <v>https://www.catalog.slsa.sa.gov.au/xrecord=b2060268</v>
      </c>
      <c r="D9457" t="s">
        <v>16831</v>
      </c>
      <c r="E9457" t="s">
        <v>29584</v>
      </c>
      <c r="F9457">
        <v>1973</v>
      </c>
      <c r="G9457" t="s">
        <v>16615</v>
      </c>
      <c r="H9457" t="s">
        <v>30305</v>
      </c>
      <c r="J9457" t="s">
        <v>26699</v>
      </c>
      <c r="K9457" s="2" t="str">
        <f>HYPERLINK("http://collections.slsa.sa.gov.au/mpcimg/28750/B28624.htm")</f>
        <v>http://collections.slsa.sa.gov.au/mpcimg/28750/B28624.htm</v>
      </c>
    </row>
    <row r="9458" spans="1:11" x14ac:dyDescent="0.25">
      <c r="A9458" t="s">
        <v>30306</v>
      </c>
      <c r="B9458" s="1" t="str">
        <f>HYPERLINK("https://www.catalog.slsa.sa.gov.au/record=b2060269")</f>
        <v>https://www.catalog.slsa.sa.gov.au/record=b2060269</v>
      </c>
      <c r="C9458" s="1" t="str">
        <f>HYPERLINK("https://www.catalog.slsa.sa.gov.au/xrecord=b2060269")</f>
        <v>https://www.catalog.slsa.sa.gov.au/xrecord=b2060269</v>
      </c>
      <c r="D9458" t="s">
        <v>16831</v>
      </c>
      <c r="E9458" t="s">
        <v>29584</v>
      </c>
      <c r="F9458">
        <v>1973</v>
      </c>
      <c r="G9458" t="s">
        <v>16615</v>
      </c>
      <c r="H9458" t="s">
        <v>30307</v>
      </c>
      <c r="J9458" t="s">
        <v>26699</v>
      </c>
      <c r="K9458" s="2" t="str">
        <f>HYPERLINK("http://collections.slsa.sa.gov.au/mpcimg/28750/B28625.htm")</f>
        <v>http://collections.slsa.sa.gov.au/mpcimg/28750/B28625.htm</v>
      </c>
    </row>
    <row r="9459" spans="1:11" x14ac:dyDescent="0.25">
      <c r="A9459" t="s">
        <v>30308</v>
      </c>
      <c r="B9459" s="1" t="str">
        <f>HYPERLINK("https://www.catalog.slsa.sa.gov.au/record=b2060285")</f>
        <v>https://www.catalog.slsa.sa.gov.au/record=b2060285</v>
      </c>
      <c r="C9459" s="1" t="str">
        <f>HYPERLINK("https://www.catalog.slsa.sa.gov.au/xrecord=b2060285")</f>
        <v>https://www.catalog.slsa.sa.gov.au/xrecord=b2060285</v>
      </c>
      <c r="D9459" t="s">
        <v>16831</v>
      </c>
      <c r="E9459" t="s">
        <v>30309</v>
      </c>
      <c r="F9459">
        <v>1973</v>
      </c>
      <c r="G9459" t="s">
        <v>14771</v>
      </c>
      <c r="H9459" t="s">
        <v>30310</v>
      </c>
      <c r="J9459" t="s">
        <v>30311</v>
      </c>
      <c r="K9459" s="2" t="str">
        <f>HYPERLINK("http://collections.slsa.sa.gov.au/mpcimg/28500/B28478.htm")</f>
        <v>http://collections.slsa.sa.gov.au/mpcimg/28500/B28478.htm</v>
      </c>
    </row>
    <row r="9460" spans="1:11" x14ac:dyDescent="0.25">
      <c r="A9460" t="s">
        <v>30312</v>
      </c>
      <c r="B9460" s="1" t="str">
        <f>HYPERLINK("https://www.catalog.slsa.sa.gov.au/record=b2060834")</f>
        <v>https://www.catalog.slsa.sa.gov.au/record=b2060834</v>
      </c>
      <c r="C9460" s="1" t="str">
        <f>HYPERLINK("https://www.catalog.slsa.sa.gov.au/xrecord=b2060834")</f>
        <v>https://www.catalog.slsa.sa.gov.au/xrecord=b2060834</v>
      </c>
      <c r="D9460" t="s">
        <v>16831</v>
      </c>
      <c r="E9460" t="s">
        <v>30313</v>
      </c>
      <c r="F9460">
        <v>1973</v>
      </c>
      <c r="G9460" t="s">
        <v>14771</v>
      </c>
      <c r="H9460" t="s">
        <v>30314</v>
      </c>
      <c r="J9460" t="s">
        <v>25430</v>
      </c>
      <c r="K9460" s="2" t="str">
        <f>HYPERLINK("http://collections.slsa.sa.gov.au/mpcimg/28250/B28244.htm")</f>
        <v>http://collections.slsa.sa.gov.au/mpcimg/28250/B28244.htm</v>
      </c>
    </row>
    <row r="9461" spans="1:11" x14ac:dyDescent="0.25">
      <c r="A9461" t="s">
        <v>30315</v>
      </c>
      <c r="B9461" s="1" t="str">
        <f>HYPERLINK("https://www.catalog.slsa.sa.gov.au/record=b2060835")</f>
        <v>https://www.catalog.slsa.sa.gov.au/record=b2060835</v>
      </c>
      <c r="C9461" s="1" t="str">
        <f>HYPERLINK("https://www.catalog.slsa.sa.gov.au/xrecord=b2060835")</f>
        <v>https://www.catalog.slsa.sa.gov.au/xrecord=b2060835</v>
      </c>
      <c r="D9461" t="s">
        <v>16831</v>
      </c>
      <c r="E9461" t="s">
        <v>30313</v>
      </c>
      <c r="F9461">
        <v>1973</v>
      </c>
      <c r="G9461" t="s">
        <v>14771</v>
      </c>
      <c r="H9461" t="s">
        <v>30316</v>
      </c>
      <c r="J9461" t="s">
        <v>25430</v>
      </c>
      <c r="K9461" s="2" t="str">
        <f>HYPERLINK("http://collections.slsa.sa.gov.au/mpcimg/28250/B28245.htm")</f>
        <v>http://collections.slsa.sa.gov.au/mpcimg/28250/B28245.htm</v>
      </c>
    </row>
    <row r="9462" spans="1:11" x14ac:dyDescent="0.25">
      <c r="A9462" t="s">
        <v>30317</v>
      </c>
      <c r="B9462" s="1" t="str">
        <f>HYPERLINK("https://www.catalog.slsa.sa.gov.au/record=b2060836")</f>
        <v>https://www.catalog.slsa.sa.gov.au/record=b2060836</v>
      </c>
      <c r="C9462" s="1" t="str">
        <f>HYPERLINK("https://www.catalog.slsa.sa.gov.au/xrecord=b2060836")</f>
        <v>https://www.catalog.slsa.sa.gov.au/xrecord=b2060836</v>
      </c>
      <c r="D9462" t="s">
        <v>16831</v>
      </c>
      <c r="E9462" t="s">
        <v>30313</v>
      </c>
      <c r="F9462">
        <v>1973</v>
      </c>
      <c r="G9462" t="s">
        <v>14771</v>
      </c>
      <c r="H9462" t="s">
        <v>30318</v>
      </c>
      <c r="J9462" t="s">
        <v>25430</v>
      </c>
      <c r="K9462" s="2" t="str">
        <f>HYPERLINK("http://collections.slsa.sa.gov.au/mpcimg/28250/B28246.htm")</f>
        <v>http://collections.slsa.sa.gov.au/mpcimg/28250/B28246.htm</v>
      </c>
    </row>
    <row r="9463" spans="1:11" x14ac:dyDescent="0.25">
      <c r="A9463" t="s">
        <v>30319</v>
      </c>
      <c r="B9463" s="1" t="str">
        <f>HYPERLINK("https://www.catalog.slsa.sa.gov.au/record=b2060837")</f>
        <v>https://www.catalog.slsa.sa.gov.au/record=b2060837</v>
      </c>
      <c r="C9463" s="1" t="str">
        <f>HYPERLINK("https://www.catalog.slsa.sa.gov.au/xrecord=b2060837")</f>
        <v>https://www.catalog.slsa.sa.gov.au/xrecord=b2060837</v>
      </c>
      <c r="D9463" t="s">
        <v>16831</v>
      </c>
      <c r="E9463" t="s">
        <v>30313</v>
      </c>
      <c r="F9463">
        <v>1973</v>
      </c>
      <c r="G9463" t="s">
        <v>16674</v>
      </c>
      <c r="H9463" t="s">
        <v>30318</v>
      </c>
      <c r="J9463" t="s">
        <v>25430</v>
      </c>
      <c r="K9463" s="2" t="str">
        <f>HYPERLINK("http://collections.slsa.sa.gov.au/mpcimg/28250/B28247.htm")</f>
        <v>http://collections.slsa.sa.gov.au/mpcimg/28250/B28247.htm</v>
      </c>
    </row>
    <row r="9464" spans="1:11" x14ac:dyDescent="0.25">
      <c r="A9464" t="s">
        <v>30320</v>
      </c>
      <c r="B9464" s="1" t="str">
        <f>HYPERLINK("https://www.catalog.slsa.sa.gov.au/record=b2060838")</f>
        <v>https://www.catalog.slsa.sa.gov.au/record=b2060838</v>
      </c>
      <c r="C9464" s="1" t="str">
        <f>HYPERLINK("https://www.catalog.slsa.sa.gov.au/xrecord=b2060838")</f>
        <v>https://www.catalog.slsa.sa.gov.au/xrecord=b2060838</v>
      </c>
      <c r="D9464" t="s">
        <v>16831</v>
      </c>
      <c r="E9464" t="s">
        <v>30313</v>
      </c>
      <c r="F9464">
        <v>1973</v>
      </c>
      <c r="G9464" t="s">
        <v>14771</v>
      </c>
      <c r="H9464" t="s">
        <v>30318</v>
      </c>
      <c r="J9464" t="s">
        <v>25430</v>
      </c>
      <c r="K9464" s="2" t="str">
        <f>HYPERLINK("http://collections.slsa.sa.gov.au/mpcimg/28250/B28248.htm")</f>
        <v>http://collections.slsa.sa.gov.au/mpcimg/28250/B28248.htm</v>
      </c>
    </row>
    <row r="9465" spans="1:11" x14ac:dyDescent="0.25">
      <c r="A9465" t="s">
        <v>30321</v>
      </c>
      <c r="B9465" s="1" t="str">
        <f>HYPERLINK("https://www.catalog.slsa.sa.gov.au/record=b2060839")</f>
        <v>https://www.catalog.slsa.sa.gov.au/record=b2060839</v>
      </c>
      <c r="C9465" s="1" t="str">
        <f>HYPERLINK("https://www.catalog.slsa.sa.gov.au/xrecord=b2060839")</f>
        <v>https://www.catalog.slsa.sa.gov.au/xrecord=b2060839</v>
      </c>
      <c r="D9465" t="s">
        <v>16831</v>
      </c>
      <c r="E9465" t="s">
        <v>30313</v>
      </c>
      <c r="F9465">
        <v>1973</v>
      </c>
      <c r="G9465" t="s">
        <v>14771</v>
      </c>
      <c r="H9465" t="s">
        <v>30322</v>
      </c>
      <c r="J9465" t="s">
        <v>25430</v>
      </c>
      <c r="K9465" s="2" t="str">
        <f>HYPERLINK("http://collections.slsa.sa.gov.au/mpcimg/28250/B28249.htm")</f>
        <v>http://collections.slsa.sa.gov.au/mpcimg/28250/B28249.htm</v>
      </c>
    </row>
    <row r="9466" spans="1:11" x14ac:dyDescent="0.25">
      <c r="A9466" t="s">
        <v>30323</v>
      </c>
      <c r="B9466" s="1" t="str">
        <f>HYPERLINK("https://www.catalog.slsa.sa.gov.au/record=b2061110")</f>
        <v>https://www.catalog.slsa.sa.gov.au/record=b2061110</v>
      </c>
      <c r="C9466" s="1" t="str">
        <f>HYPERLINK("https://www.catalog.slsa.sa.gov.au/xrecord=b2061110")</f>
        <v>https://www.catalog.slsa.sa.gov.au/xrecord=b2061110</v>
      </c>
      <c r="D9466" t="s">
        <v>16831</v>
      </c>
      <c r="E9466" t="s">
        <v>30324</v>
      </c>
      <c r="F9466">
        <v>1973</v>
      </c>
      <c r="G9466" t="s">
        <v>14771</v>
      </c>
      <c r="H9466" t="s">
        <v>30325</v>
      </c>
      <c r="J9466" t="s">
        <v>24374</v>
      </c>
      <c r="K9466" s="2" t="str">
        <f>HYPERLINK("http://collections.slsa.sa.gov.au/mpcimg/28500/B28485.htm")</f>
        <v>http://collections.slsa.sa.gov.au/mpcimg/28500/B28485.htm</v>
      </c>
    </row>
    <row r="9467" spans="1:11" x14ac:dyDescent="0.25">
      <c r="A9467" t="s">
        <v>30326</v>
      </c>
      <c r="B9467" s="1" t="str">
        <f>HYPERLINK("https://www.catalog.slsa.sa.gov.au/record=b2061111")</f>
        <v>https://www.catalog.slsa.sa.gov.au/record=b2061111</v>
      </c>
      <c r="C9467" s="1" t="str">
        <f>HYPERLINK("https://www.catalog.slsa.sa.gov.au/xrecord=b2061111")</f>
        <v>https://www.catalog.slsa.sa.gov.au/xrecord=b2061111</v>
      </c>
      <c r="D9467" t="s">
        <v>16831</v>
      </c>
      <c r="E9467" t="s">
        <v>30327</v>
      </c>
      <c r="F9467">
        <v>1973</v>
      </c>
      <c r="G9467" t="s">
        <v>14771</v>
      </c>
      <c r="H9467" t="s">
        <v>30328</v>
      </c>
      <c r="J9467" t="s">
        <v>24374</v>
      </c>
      <c r="K9467" s="2" t="str">
        <f>HYPERLINK("http://collections.slsa.sa.gov.au/mpcimg/28500/B28486.htm")</f>
        <v>http://collections.slsa.sa.gov.au/mpcimg/28500/B28486.htm</v>
      </c>
    </row>
    <row r="9468" spans="1:11" x14ac:dyDescent="0.25">
      <c r="A9468" t="s">
        <v>30329</v>
      </c>
      <c r="B9468" s="1" t="str">
        <f>HYPERLINK("https://www.catalog.slsa.sa.gov.au/record=b2061112")</f>
        <v>https://www.catalog.slsa.sa.gov.au/record=b2061112</v>
      </c>
      <c r="C9468" s="1" t="str">
        <f>HYPERLINK("https://www.catalog.slsa.sa.gov.au/xrecord=b2061112")</f>
        <v>https://www.catalog.slsa.sa.gov.au/xrecord=b2061112</v>
      </c>
      <c r="D9468" t="s">
        <v>16831</v>
      </c>
      <c r="E9468" t="s">
        <v>30324</v>
      </c>
      <c r="F9468">
        <v>1973</v>
      </c>
      <c r="G9468" t="s">
        <v>14771</v>
      </c>
      <c r="H9468" t="s">
        <v>30325</v>
      </c>
      <c r="J9468" t="s">
        <v>24374</v>
      </c>
      <c r="K9468" s="2" t="str">
        <f>HYPERLINK("http://collections.slsa.sa.gov.au/mpcimg/28500/B28487.htm")</f>
        <v>http://collections.slsa.sa.gov.au/mpcimg/28500/B28487.htm</v>
      </c>
    </row>
    <row r="9469" spans="1:11" x14ac:dyDescent="0.25">
      <c r="A9469" t="s">
        <v>30330</v>
      </c>
      <c r="B9469" s="1" t="str">
        <f>HYPERLINK("https://www.catalog.slsa.sa.gov.au/record=b2061113")</f>
        <v>https://www.catalog.slsa.sa.gov.au/record=b2061113</v>
      </c>
      <c r="C9469" s="1" t="str">
        <f>HYPERLINK("https://www.catalog.slsa.sa.gov.au/xrecord=b2061113")</f>
        <v>https://www.catalog.slsa.sa.gov.au/xrecord=b2061113</v>
      </c>
      <c r="D9469" t="s">
        <v>16831</v>
      </c>
      <c r="E9469" t="s">
        <v>30324</v>
      </c>
      <c r="F9469">
        <v>1973</v>
      </c>
      <c r="G9469" t="s">
        <v>16674</v>
      </c>
      <c r="H9469" t="s">
        <v>30331</v>
      </c>
      <c r="J9469" t="s">
        <v>24374</v>
      </c>
      <c r="K9469" s="2" t="str">
        <f>HYPERLINK("http://collections.slsa.sa.gov.au/mpcimg/28500/B28488.htm")</f>
        <v>http://collections.slsa.sa.gov.au/mpcimg/28500/B28488.htm</v>
      </c>
    </row>
    <row r="9470" spans="1:11" x14ac:dyDescent="0.25">
      <c r="A9470" t="s">
        <v>30332</v>
      </c>
      <c r="B9470" s="1" t="str">
        <f>HYPERLINK("https://www.catalog.slsa.sa.gov.au/record=b2061453")</f>
        <v>https://www.catalog.slsa.sa.gov.au/record=b2061453</v>
      </c>
      <c r="C9470" s="1" t="str">
        <f>HYPERLINK("https://www.catalog.slsa.sa.gov.au/xrecord=b2061453")</f>
        <v>https://www.catalog.slsa.sa.gov.au/xrecord=b2061453</v>
      </c>
      <c r="D9470" t="s">
        <v>16831</v>
      </c>
      <c r="E9470" t="s">
        <v>25471</v>
      </c>
      <c r="F9470">
        <v>1973</v>
      </c>
      <c r="G9470" t="s">
        <v>16680</v>
      </c>
      <c r="H9470" t="s">
        <v>30333</v>
      </c>
      <c r="J9470" t="s">
        <v>28090</v>
      </c>
      <c r="K9470" s="2" t="str">
        <f>HYPERLINK("http://collections.slsa.sa.gov.au/mpcimg/27500/B27382.htm")</f>
        <v>http://collections.slsa.sa.gov.au/mpcimg/27500/B27382.htm</v>
      </c>
    </row>
    <row r="9471" spans="1:11" x14ac:dyDescent="0.25">
      <c r="A9471" t="s">
        <v>30334</v>
      </c>
      <c r="B9471" s="1" t="str">
        <f>HYPERLINK("https://www.catalog.slsa.sa.gov.au/record=b2061454")</f>
        <v>https://www.catalog.slsa.sa.gov.au/record=b2061454</v>
      </c>
      <c r="C9471" s="1" t="str">
        <f>HYPERLINK("https://www.catalog.slsa.sa.gov.au/xrecord=b2061454")</f>
        <v>https://www.catalog.slsa.sa.gov.au/xrecord=b2061454</v>
      </c>
      <c r="D9471" t="s">
        <v>16831</v>
      </c>
      <c r="E9471" t="s">
        <v>25471</v>
      </c>
      <c r="F9471">
        <v>1973</v>
      </c>
      <c r="G9471" t="s">
        <v>30335</v>
      </c>
      <c r="H9471" t="s">
        <v>30336</v>
      </c>
      <c r="J9471" t="s">
        <v>28090</v>
      </c>
      <c r="K9471" s="2" t="str">
        <f>HYPERLINK("http://collections.slsa.sa.gov.au/mpcimg/27500/B27383.htm")</f>
        <v>http://collections.slsa.sa.gov.au/mpcimg/27500/B27383.htm</v>
      </c>
    </row>
    <row r="9472" spans="1:11" x14ac:dyDescent="0.25">
      <c r="A9472" t="s">
        <v>30337</v>
      </c>
      <c r="B9472" s="1" t="str">
        <f>HYPERLINK("https://www.catalog.slsa.sa.gov.au/record=b2061455")</f>
        <v>https://www.catalog.slsa.sa.gov.au/record=b2061455</v>
      </c>
      <c r="C9472" s="1" t="str">
        <f>HYPERLINK("https://www.catalog.slsa.sa.gov.au/xrecord=b2061455")</f>
        <v>https://www.catalog.slsa.sa.gov.au/xrecord=b2061455</v>
      </c>
      <c r="D9472" t="s">
        <v>16831</v>
      </c>
      <c r="E9472" t="s">
        <v>25471</v>
      </c>
      <c r="F9472">
        <v>1973</v>
      </c>
      <c r="G9472" t="s">
        <v>30338</v>
      </c>
      <c r="H9472" t="s">
        <v>30336</v>
      </c>
      <c r="J9472" t="s">
        <v>28090</v>
      </c>
      <c r="K9472" s="2" t="str">
        <f>HYPERLINK("http://collections.slsa.sa.gov.au/mpcimg/27500/B27384.htm")</f>
        <v>http://collections.slsa.sa.gov.au/mpcimg/27500/B27384.htm</v>
      </c>
    </row>
    <row r="9473" spans="1:11" x14ac:dyDescent="0.25">
      <c r="A9473" t="s">
        <v>30339</v>
      </c>
      <c r="B9473" s="1" t="str">
        <f>HYPERLINK("https://www.catalog.slsa.sa.gov.au/record=b2061825")</f>
        <v>https://www.catalog.slsa.sa.gov.au/record=b2061825</v>
      </c>
      <c r="C9473" s="1" t="str">
        <f>HYPERLINK("https://www.catalog.slsa.sa.gov.au/xrecord=b2061825")</f>
        <v>https://www.catalog.slsa.sa.gov.au/xrecord=b2061825</v>
      </c>
      <c r="D9473" t="s">
        <v>16831</v>
      </c>
      <c r="E9473" t="s">
        <v>30340</v>
      </c>
      <c r="F9473">
        <v>1973</v>
      </c>
      <c r="G9473" t="s">
        <v>16615</v>
      </c>
      <c r="H9473" t="s">
        <v>30341</v>
      </c>
      <c r="J9473" t="s">
        <v>21203</v>
      </c>
      <c r="K9473" s="2" t="str">
        <f>HYPERLINK("http://collections.slsa.sa.gov.au/mpcimg/28750/B28675.htm")</f>
        <v>http://collections.slsa.sa.gov.au/mpcimg/28750/B28675.htm</v>
      </c>
    </row>
    <row r="9474" spans="1:11" x14ac:dyDescent="0.25">
      <c r="A9474" t="s">
        <v>30342</v>
      </c>
      <c r="B9474" s="1" t="str">
        <f>HYPERLINK("https://www.catalog.slsa.sa.gov.au/record=b2061826")</f>
        <v>https://www.catalog.slsa.sa.gov.au/record=b2061826</v>
      </c>
      <c r="C9474" s="1" t="str">
        <f>HYPERLINK("https://www.catalog.slsa.sa.gov.au/xrecord=b2061826")</f>
        <v>https://www.catalog.slsa.sa.gov.au/xrecord=b2061826</v>
      </c>
      <c r="D9474" t="s">
        <v>16831</v>
      </c>
      <c r="E9474" t="s">
        <v>30340</v>
      </c>
      <c r="F9474">
        <v>1973</v>
      </c>
      <c r="G9474" t="s">
        <v>16615</v>
      </c>
      <c r="H9474" t="s">
        <v>30343</v>
      </c>
      <c r="J9474" t="s">
        <v>21203</v>
      </c>
      <c r="K9474" s="2" t="str">
        <f>HYPERLINK("http://collections.slsa.sa.gov.au/mpcimg/28750/B28693.htm")</f>
        <v>http://collections.slsa.sa.gov.au/mpcimg/28750/B28693.htm</v>
      </c>
    </row>
    <row r="9475" spans="1:11" x14ac:dyDescent="0.25">
      <c r="A9475" t="s">
        <v>30344</v>
      </c>
      <c r="B9475" s="1" t="str">
        <f>HYPERLINK("https://www.catalog.slsa.sa.gov.au/record=b2061838")</f>
        <v>https://www.catalog.slsa.sa.gov.au/record=b2061838</v>
      </c>
      <c r="C9475" s="1" t="str">
        <f>HYPERLINK("https://www.catalog.slsa.sa.gov.au/xrecord=b2061838")</f>
        <v>https://www.catalog.slsa.sa.gov.au/xrecord=b2061838</v>
      </c>
      <c r="D9475" t="s">
        <v>16831</v>
      </c>
      <c r="E9475" t="s">
        <v>30345</v>
      </c>
      <c r="F9475">
        <v>1973</v>
      </c>
      <c r="G9475" t="s">
        <v>30276</v>
      </c>
      <c r="H9475" t="s">
        <v>30346</v>
      </c>
      <c r="J9475" t="s">
        <v>21206</v>
      </c>
      <c r="K9475" s="2" t="str">
        <f>HYPERLINK("http://collections.slsa.sa.gov.au/mpcimg/28000/B27785.htm")</f>
        <v>http://collections.slsa.sa.gov.au/mpcimg/28000/B27785.htm</v>
      </c>
    </row>
    <row r="9476" spans="1:11" x14ac:dyDescent="0.25">
      <c r="A9476" t="s">
        <v>30347</v>
      </c>
      <c r="B9476" s="1" t="str">
        <f>HYPERLINK("https://www.catalog.slsa.sa.gov.au/record=b2061839")</f>
        <v>https://www.catalog.slsa.sa.gov.au/record=b2061839</v>
      </c>
      <c r="C9476" s="1" t="str">
        <f>HYPERLINK("https://www.catalog.slsa.sa.gov.au/xrecord=b2061839")</f>
        <v>https://www.catalog.slsa.sa.gov.au/xrecord=b2061839</v>
      </c>
      <c r="D9476" t="s">
        <v>16831</v>
      </c>
      <c r="E9476" t="s">
        <v>30348</v>
      </c>
      <c r="F9476">
        <v>1973</v>
      </c>
      <c r="G9476" t="s">
        <v>30276</v>
      </c>
      <c r="H9476" t="s">
        <v>30349</v>
      </c>
      <c r="J9476" t="s">
        <v>21206</v>
      </c>
      <c r="K9476" s="2" t="str">
        <f>HYPERLINK("http://collections.slsa.sa.gov.au/mpcimg/28000/B27799.htm")</f>
        <v>http://collections.slsa.sa.gov.au/mpcimg/28000/B27799.htm</v>
      </c>
    </row>
    <row r="9477" spans="1:11" x14ac:dyDescent="0.25">
      <c r="A9477" t="s">
        <v>30350</v>
      </c>
      <c r="B9477" s="1" t="str">
        <f>HYPERLINK("https://www.catalog.slsa.sa.gov.au/record=b2062233")</f>
        <v>https://www.catalog.slsa.sa.gov.au/record=b2062233</v>
      </c>
      <c r="C9477" s="1" t="str">
        <f>HYPERLINK("https://www.catalog.slsa.sa.gov.au/xrecord=b2062233")</f>
        <v>https://www.catalog.slsa.sa.gov.au/xrecord=b2062233</v>
      </c>
      <c r="D9477" t="s">
        <v>16831</v>
      </c>
      <c r="E9477" t="s">
        <v>10268</v>
      </c>
      <c r="F9477">
        <v>1973</v>
      </c>
      <c r="G9477" t="s">
        <v>30250</v>
      </c>
      <c r="H9477" t="s">
        <v>30351</v>
      </c>
      <c r="J9477" t="s">
        <v>26418</v>
      </c>
      <c r="K9477" s="2" t="str">
        <f>HYPERLINK("http://collections.slsa.sa.gov.au/mpcimg/28000/B27824.htm")</f>
        <v>http://collections.slsa.sa.gov.au/mpcimg/28000/B27824.htm</v>
      </c>
    </row>
    <row r="9478" spans="1:11" x14ac:dyDescent="0.25">
      <c r="A9478" t="s">
        <v>30352</v>
      </c>
      <c r="B9478" s="1" t="str">
        <f>HYPERLINK("https://www.catalog.slsa.sa.gov.au/record=b2062234")</f>
        <v>https://www.catalog.slsa.sa.gov.au/record=b2062234</v>
      </c>
      <c r="C9478" s="1" t="str">
        <f>HYPERLINK("https://www.catalog.slsa.sa.gov.au/xrecord=b2062234")</f>
        <v>https://www.catalog.slsa.sa.gov.au/xrecord=b2062234</v>
      </c>
      <c r="D9478" t="s">
        <v>16831</v>
      </c>
      <c r="E9478" t="s">
        <v>10268</v>
      </c>
      <c r="F9478">
        <v>1973</v>
      </c>
      <c r="G9478" t="s">
        <v>30250</v>
      </c>
      <c r="H9478" t="s">
        <v>30353</v>
      </c>
      <c r="J9478" t="s">
        <v>26418</v>
      </c>
      <c r="K9478" s="2" t="str">
        <f>HYPERLINK("http://collections.slsa.sa.gov.au/mpcimg/28000/B27825.htm")</f>
        <v>http://collections.slsa.sa.gov.au/mpcimg/28000/B27825.htm</v>
      </c>
    </row>
    <row r="9479" spans="1:11" x14ac:dyDescent="0.25">
      <c r="A9479" t="s">
        <v>30354</v>
      </c>
      <c r="B9479" s="1" t="str">
        <f>HYPERLINK("https://www.catalog.slsa.sa.gov.au/record=b2062244")</f>
        <v>https://www.catalog.slsa.sa.gov.au/record=b2062244</v>
      </c>
      <c r="C9479" s="1" t="str">
        <f>HYPERLINK("https://www.catalog.slsa.sa.gov.au/xrecord=b2062244")</f>
        <v>https://www.catalog.slsa.sa.gov.au/xrecord=b2062244</v>
      </c>
      <c r="D9479" t="s">
        <v>16831</v>
      </c>
      <c r="E9479" t="s">
        <v>10268</v>
      </c>
      <c r="F9479">
        <v>1973</v>
      </c>
      <c r="G9479" t="s">
        <v>30355</v>
      </c>
      <c r="H9479" t="s">
        <v>30356</v>
      </c>
      <c r="J9479" t="s">
        <v>22932</v>
      </c>
      <c r="K9479" s="2" t="str">
        <f>HYPERLINK("http://collections.slsa.sa.gov.au/mpcimg/27500/B27388.htm")</f>
        <v>http://collections.slsa.sa.gov.au/mpcimg/27500/B27388.htm</v>
      </c>
    </row>
    <row r="9480" spans="1:11" x14ac:dyDescent="0.25">
      <c r="A9480" t="s">
        <v>30357</v>
      </c>
      <c r="B9480" s="1" t="str">
        <f>HYPERLINK("https://www.catalog.slsa.sa.gov.au/record=b2062245")</f>
        <v>https://www.catalog.slsa.sa.gov.au/record=b2062245</v>
      </c>
      <c r="C9480" s="1" t="str">
        <f>HYPERLINK("https://www.catalog.slsa.sa.gov.au/xrecord=b2062245")</f>
        <v>https://www.catalog.slsa.sa.gov.au/xrecord=b2062245</v>
      </c>
      <c r="D9480" t="s">
        <v>16831</v>
      </c>
      <c r="E9480" t="s">
        <v>10268</v>
      </c>
      <c r="F9480">
        <v>1973</v>
      </c>
      <c r="G9480" t="s">
        <v>30338</v>
      </c>
      <c r="H9480" t="s">
        <v>30358</v>
      </c>
      <c r="J9480" t="s">
        <v>22932</v>
      </c>
      <c r="K9480" s="2" t="str">
        <f>HYPERLINK("http://collections.slsa.sa.gov.au/mpcimg/27500/B27389.htm")</f>
        <v>http://collections.slsa.sa.gov.au/mpcimg/27500/B27389.htm</v>
      </c>
    </row>
    <row r="9481" spans="1:11" x14ac:dyDescent="0.25">
      <c r="A9481" t="s">
        <v>30359</v>
      </c>
      <c r="B9481" s="1" t="str">
        <f>HYPERLINK("https://www.catalog.slsa.sa.gov.au/record=b2062809")</f>
        <v>https://www.catalog.slsa.sa.gov.au/record=b2062809</v>
      </c>
      <c r="C9481" s="1" t="str">
        <f>HYPERLINK("https://www.catalog.slsa.sa.gov.au/xrecord=b2062809")</f>
        <v>https://www.catalog.slsa.sa.gov.au/xrecord=b2062809</v>
      </c>
      <c r="D9481" t="s">
        <v>16831</v>
      </c>
      <c r="E9481" t="s">
        <v>26447</v>
      </c>
      <c r="F9481">
        <v>1973</v>
      </c>
      <c r="G9481" t="s">
        <v>14771</v>
      </c>
      <c r="H9481" t="s">
        <v>30360</v>
      </c>
      <c r="J9481" t="s">
        <v>22956</v>
      </c>
      <c r="K9481" s="2" t="str">
        <f>HYPERLINK("http://collections.slsa.sa.gov.au/mpcimg/28500/B28378.htm")</f>
        <v>http://collections.slsa.sa.gov.au/mpcimg/28500/B28378.htm</v>
      </c>
    </row>
    <row r="9482" spans="1:11" x14ac:dyDescent="0.25">
      <c r="A9482" t="s">
        <v>30361</v>
      </c>
      <c r="B9482" s="1" t="str">
        <f>HYPERLINK("https://www.catalog.slsa.sa.gov.au/record=b2062810")</f>
        <v>https://www.catalog.slsa.sa.gov.au/record=b2062810</v>
      </c>
      <c r="C9482" s="1" t="str">
        <f>HYPERLINK("https://www.catalog.slsa.sa.gov.au/xrecord=b2062810")</f>
        <v>https://www.catalog.slsa.sa.gov.au/xrecord=b2062810</v>
      </c>
      <c r="D9482" t="s">
        <v>16831</v>
      </c>
      <c r="E9482" t="s">
        <v>26447</v>
      </c>
      <c r="F9482">
        <v>1973</v>
      </c>
      <c r="G9482" t="s">
        <v>16674</v>
      </c>
      <c r="H9482" t="s">
        <v>30360</v>
      </c>
      <c r="J9482" t="s">
        <v>22956</v>
      </c>
      <c r="K9482" s="2" t="str">
        <f>HYPERLINK("http://collections.slsa.sa.gov.au/mpcimg/28500/B28379.htm")</f>
        <v>http://collections.slsa.sa.gov.au/mpcimg/28500/B28379.htm</v>
      </c>
    </row>
    <row r="9483" spans="1:11" x14ac:dyDescent="0.25">
      <c r="A9483" t="s">
        <v>30362</v>
      </c>
      <c r="B9483" s="1" t="str">
        <f>HYPERLINK("https://www.catalog.slsa.sa.gov.au/record=b2062811")</f>
        <v>https://www.catalog.slsa.sa.gov.au/record=b2062811</v>
      </c>
      <c r="C9483" s="1" t="str">
        <f>HYPERLINK("https://www.catalog.slsa.sa.gov.au/xrecord=b2062811")</f>
        <v>https://www.catalog.slsa.sa.gov.au/xrecord=b2062811</v>
      </c>
      <c r="D9483" t="s">
        <v>16831</v>
      </c>
      <c r="E9483" t="s">
        <v>26447</v>
      </c>
      <c r="F9483">
        <v>1973</v>
      </c>
      <c r="G9483" t="s">
        <v>14771</v>
      </c>
      <c r="H9483" t="s">
        <v>30363</v>
      </c>
      <c r="J9483" t="s">
        <v>22956</v>
      </c>
      <c r="K9483" s="2" t="str">
        <f>HYPERLINK("http://collections.slsa.sa.gov.au/mpcimg/28500/B28380.htm")</f>
        <v>http://collections.slsa.sa.gov.au/mpcimg/28500/B28380.htm</v>
      </c>
    </row>
    <row r="9484" spans="1:11" x14ac:dyDescent="0.25">
      <c r="A9484" t="s">
        <v>30364</v>
      </c>
      <c r="B9484" s="1" t="str">
        <f>HYPERLINK("https://www.catalog.slsa.sa.gov.au/record=b2062886")</f>
        <v>https://www.catalog.slsa.sa.gov.au/record=b2062886</v>
      </c>
      <c r="C9484" s="1" t="str">
        <f>HYPERLINK("https://www.catalog.slsa.sa.gov.au/xrecord=b2062886")</f>
        <v>https://www.catalog.slsa.sa.gov.au/xrecord=b2062886</v>
      </c>
      <c r="D9484" t="s">
        <v>16831</v>
      </c>
      <c r="E9484" t="s">
        <v>21277</v>
      </c>
      <c r="F9484">
        <v>1973</v>
      </c>
      <c r="G9484" t="s">
        <v>30276</v>
      </c>
      <c r="H9484" t="s">
        <v>30365</v>
      </c>
      <c r="J9484" t="s">
        <v>21285</v>
      </c>
      <c r="K9484" s="2" t="str">
        <f>HYPERLINK("http://collections.slsa.sa.gov.au/mpcimg/27750/B27598.htm")</f>
        <v>http://collections.slsa.sa.gov.au/mpcimg/27750/B27598.htm</v>
      </c>
    </row>
    <row r="9485" spans="1:11" x14ac:dyDescent="0.25">
      <c r="A9485" t="s">
        <v>30366</v>
      </c>
      <c r="B9485" s="1" t="str">
        <f>HYPERLINK("https://www.catalog.slsa.sa.gov.au/record=b2062887")</f>
        <v>https://www.catalog.slsa.sa.gov.au/record=b2062887</v>
      </c>
      <c r="C9485" s="1" t="str">
        <f>HYPERLINK("https://www.catalog.slsa.sa.gov.au/xrecord=b2062887")</f>
        <v>https://www.catalog.slsa.sa.gov.au/xrecord=b2062887</v>
      </c>
      <c r="D9485" t="s">
        <v>16831</v>
      </c>
      <c r="E9485" t="s">
        <v>21277</v>
      </c>
      <c r="F9485">
        <v>1973</v>
      </c>
      <c r="G9485" t="s">
        <v>16674</v>
      </c>
      <c r="H9485" t="s">
        <v>30365</v>
      </c>
      <c r="J9485" t="s">
        <v>21285</v>
      </c>
      <c r="K9485" s="2" t="str">
        <f>HYPERLINK("http://collections.slsa.sa.gov.au/mpcimg/27750/B27599.htm")</f>
        <v>http://collections.slsa.sa.gov.au/mpcimg/27750/B27599.htm</v>
      </c>
    </row>
    <row r="9486" spans="1:11" x14ac:dyDescent="0.25">
      <c r="A9486" t="s">
        <v>30367</v>
      </c>
      <c r="B9486" s="1" t="str">
        <f>HYPERLINK("https://www.catalog.slsa.sa.gov.au/record=b2062888")</f>
        <v>https://www.catalog.slsa.sa.gov.au/record=b2062888</v>
      </c>
      <c r="C9486" s="1" t="str">
        <f>HYPERLINK("https://www.catalog.slsa.sa.gov.au/xrecord=b2062888")</f>
        <v>https://www.catalog.slsa.sa.gov.au/xrecord=b2062888</v>
      </c>
      <c r="D9486" t="s">
        <v>16831</v>
      </c>
      <c r="E9486" t="s">
        <v>21277</v>
      </c>
      <c r="F9486">
        <v>1973</v>
      </c>
      <c r="G9486" t="s">
        <v>30276</v>
      </c>
      <c r="H9486" t="s">
        <v>30365</v>
      </c>
      <c r="J9486" t="s">
        <v>21285</v>
      </c>
      <c r="K9486" s="2" t="str">
        <f>HYPERLINK("http://collections.slsa.sa.gov.au/mpcimg/27750/B27600.htm")</f>
        <v>http://collections.slsa.sa.gov.au/mpcimg/27750/B27600.htm</v>
      </c>
    </row>
    <row r="9487" spans="1:11" x14ac:dyDescent="0.25">
      <c r="A9487" t="s">
        <v>30368</v>
      </c>
      <c r="B9487" s="1" t="str">
        <f>HYPERLINK("https://www.catalog.slsa.sa.gov.au/record=b2062889")</f>
        <v>https://www.catalog.slsa.sa.gov.au/record=b2062889</v>
      </c>
      <c r="C9487" s="1" t="str">
        <f>HYPERLINK("https://www.catalog.slsa.sa.gov.au/xrecord=b2062889")</f>
        <v>https://www.catalog.slsa.sa.gov.au/xrecord=b2062889</v>
      </c>
      <c r="D9487" t="s">
        <v>16831</v>
      </c>
      <c r="E9487" t="s">
        <v>21277</v>
      </c>
      <c r="F9487">
        <v>1973</v>
      </c>
      <c r="G9487" t="s">
        <v>16674</v>
      </c>
      <c r="H9487" t="s">
        <v>30369</v>
      </c>
      <c r="J9487" t="s">
        <v>21285</v>
      </c>
      <c r="K9487" s="2" t="str">
        <f>HYPERLINK("http://collections.slsa.sa.gov.au/mpcimg/28500/B28263.htm")</f>
        <v>http://collections.slsa.sa.gov.au/mpcimg/28500/B28263.htm</v>
      </c>
    </row>
    <row r="9488" spans="1:11" x14ac:dyDescent="0.25">
      <c r="A9488" t="s">
        <v>30370</v>
      </c>
      <c r="B9488" s="1" t="str">
        <f>HYPERLINK("https://www.catalog.slsa.sa.gov.au/record=b2062890")</f>
        <v>https://www.catalog.slsa.sa.gov.au/record=b2062890</v>
      </c>
      <c r="C9488" s="1" t="str">
        <f>HYPERLINK("https://www.catalog.slsa.sa.gov.au/xrecord=b2062890")</f>
        <v>https://www.catalog.slsa.sa.gov.au/xrecord=b2062890</v>
      </c>
      <c r="D9488" t="s">
        <v>16831</v>
      </c>
      <c r="E9488" t="s">
        <v>21277</v>
      </c>
      <c r="F9488">
        <v>1973</v>
      </c>
      <c r="G9488" t="s">
        <v>14771</v>
      </c>
      <c r="H9488" t="s">
        <v>30369</v>
      </c>
      <c r="J9488" t="s">
        <v>21285</v>
      </c>
      <c r="K9488" s="2" t="str">
        <f>HYPERLINK("http://collections.slsa.sa.gov.au/mpcimg/28500/B28264.htm")</f>
        <v>http://collections.slsa.sa.gov.au/mpcimg/28500/B28264.htm</v>
      </c>
    </row>
    <row r="9489" spans="1:11" x14ac:dyDescent="0.25">
      <c r="A9489" t="s">
        <v>30371</v>
      </c>
      <c r="B9489" s="1" t="str">
        <f>HYPERLINK("https://www.catalog.slsa.sa.gov.au/record=b2062891")</f>
        <v>https://www.catalog.slsa.sa.gov.au/record=b2062891</v>
      </c>
      <c r="C9489" s="1" t="str">
        <f>HYPERLINK("https://www.catalog.slsa.sa.gov.au/xrecord=b2062891")</f>
        <v>https://www.catalog.slsa.sa.gov.au/xrecord=b2062891</v>
      </c>
      <c r="D9489" t="s">
        <v>16831</v>
      </c>
      <c r="E9489" t="s">
        <v>21277</v>
      </c>
      <c r="F9489">
        <v>1973</v>
      </c>
      <c r="G9489" t="s">
        <v>14771</v>
      </c>
      <c r="H9489" t="s">
        <v>30369</v>
      </c>
      <c r="J9489" t="s">
        <v>21285</v>
      </c>
      <c r="K9489" s="2" t="str">
        <f>HYPERLINK("http://collections.slsa.sa.gov.au/mpcimg/28500/B28265.htm")</f>
        <v>http://collections.slsa.sa.gov.au/mpcimg/28500/B28265.htm</v>
      </c>
    </row>
    <row r="9490" spans="1:11" x14ac:dyDescent="0.25">
      <c r="A9490" t="s">
        <v>30372</v>
      </c>
      <c r="B9490" s="1" t="str">
        <f>HYPERLINK("https://www.catalog.slsa.sa.gov.au/record=b2064427")</f>
        <v>https://www.catalog.slsa.sa.gov.au/record=b2064427</v>
      </c>
      <c r="C9490" s="1" t="str">
        <f>HYPERLINK("https://www.catalog.slsa.sa.gov.au/xrecord=b2064427")</f>
        <v>https://www.catalog.slsa.sa.gov.au/xrecord=b2064427</v>
      </c>
      <c r="D9490" t="s">
        <v>16831</v>
      </c>
      <c r="E9490" t="s">
        <v>27819</v>
      </c>
      <c r="F9490">
        <v>1973</v>
      </c>
      <c r="G9490" t="s">
        <v>30373</v>
      </c>
      <c r="H9490" t="s">
        <v>30374</v>
      </c>
      <c r="J9490" t="s">
        <v>27821</v>
      </c>
      <c r="K9490" s="2" t="str">
        <f>HYPERLINK("http://collections.slsa.sa.gov.au/mpcimg/27500/B27319.htm")</f>
        <v>http://collections.slsa.sa.gov.au/mpcimg/27500/B27319.htm</v>
      </c>
    </row>
    <row r="9491" spans="1:11" x14ac:dyDescent="0.25">
      <c r="A9491" t="s">
        <v>30375</v>
      </c>
      <c r="B9491" s="1" t="str">
        <f>HYPERLINK("https://www.catalog.slsa.sa.gov.au/record=b2028828")</f>
        <v>https://www.catalog.slsa.sa.gov.au/record=b2028828</v>
      </c>
      <c r="C9491" s="1" t="str">
        <f>HYPERLINK("https://www.catalog.slsa.sa.gov.au/xrecord=b2028828")</f>
        <v>https://www.catalog.slsa.sa.gov.au/xrecord=b2028828</v>
      </c>
      <c r="D9491" t="s">
        <v>16831</v>
      </c>
      <c r="E9491" t="s">
        <v>30376</v>
      </c>
      <c r="F9491">
        <v>1974</v>
      </c>
      <c r="G9491" t="s">
        <v>30377</v>
      </c>
      <c r="H9491" t="s">
        <v>30378</v>
      </c>
      <c r="I9491" t="s">
        <v>30379</v>
      </c>
      <c r="J9491" t="s">
        <v>22539</v>
      </c>
      <c r="K9491" s="2" t="str">
        <f>HYPERLINK("http://collections.slsa.sa.gov.au/mpcimg/30000/B29803.htm")</f>
        <v>http://collections.slsa.sa.gov.au/mpcimg/30000/B29803.htm</v>
      </c>
    </row>
    <row r="9492" spans="1:11" x14ac:dyDescent="0.25">
      <c r="A9492" t="s">
        <v>30380</v>
      </c>
      <c r="B9492" s="1" t="str">
        <f>HYPERLINK("https://www.catalog.slsa.sa.gov.au/record=b2059457")</f>
        <v>https://www.catalog.slsa.sa.gov.au/record=b2059457</v>
      </c>
      <c r="C9492" s="1" t="str">
        <f>HYPERLINK("https://www.catalog.slsa.sa.gov.au/xrecord=b2059457")</f>
        <v>https://www.catalog.slsa.sa.gov.au/xrecord=b2059457</v>
      </c>
      <c r="D9492" t="s">
        <v>16831</v>
      </c>
      <c r="E9492" t="s">
        <v>20096</v>
      </c>
      <c r="F9492">
        <v>1974</v>
      </c>
      <c r="G9492" t="s">
        <v>16615</v>
      </c>
      <c r="H9492" t="s">
        <v>30381</v>
      </c>
      <c r="J9492" t="s">
        <v>24187</v>
      </c>
      <c r="K9492" s="2" t="str">
        <f>HYPERLINK("http://collections.slsa.sa.gov.au/mpcimg/29000/B28801.htm")</f>
        <v>http://collections.slsa.sa.gov.au/mpcimg/29000/B28801.htm</v>
      </c>
    </row>
    <row r="9493" spans="1:11" x14ac:dyDescent="0.25">
      <c r="A9493" t="s">
        <v>30382</v>
      </c>
      <c r="B9493" s="1" t="str">
        <f>HYPERLINK("https://www.catalog.slsa.sa.gov.au/record=b2059458")</f>
        <v>https://www.catalog.slsa.sa.gov.au/record=b2059458</v>
      </c>
      <c r="C9493" s="1" t="str">
        <f>HYPERLINK("https://www.catalog.slsa.sa.gov.au/xrecord=b2059458")</f>
        <v>https://www.catalog.slsa.sa.gov.au/xrecord=b2059458</v>
      </c>
      <c r="D9493" t="s">
        <v>16831</v>
      </c>
      <c r="E9493" t="s">
        <v>20096</v>
      </c>
      <c r="F9493">
        <v>1974</v>
      </c>
      <c r="G9493" t="s">
        <v>16615</v>
      </c>
      <c r="H9493" t="s">
        <v>30383</v>
      </c>
      <c r="J9493" t="s">
        <v>24187</v>
      </c>
      <c r="K9493" s="2" t="str">
        <f>HYPERLINK("http://collections.slsa.sa.gov.au/mpcimg/29000/B28802.htm")</f>
        <v>http://collections.slsa.sa.gov.au/mpcimg/29000/B28802.htm</v>
      </c>
    </row>
    <row r="9494" spans="1:11" x14ac:dyDescent="0.25">
      <c r="A9494" t="s">
        <v>30384</v>
      </c>
      <c r="B9494" s="1" t="str">
        <f>HYPERLINK("https://www.catalog.slsa.sa.gov.au/record=b2059459")</f>
        <v>https://www.catalog.slsa.sa.gov.au/record=b2059459</v>
      </c>
      <c r="C9494" s="1" t="str">
        <f>HYPERLINK("https://www.catalog.slsa.sa.gov.au/xrecord=b2059459")</f>
        <v>https://www.catalog.slsa.sa.gov.au/xrecord=b2059459</v>
      </c>
      <c r="D9494" t="s">
        <v>16831</v>
      </c>
      <c r="E9494" t="s">
        <v>20096</v>
      </c>
      <c r="F9494">
        <v>1974</v>
      </c>
      <c r="G9494" t="s">
        <v>16615</v>
      </c>
      <c r="H9494" t="s">
        <v>30385</v>
      </c>
      <c r="J9494" t="s">
        <v>24187</v>
      </c>
      <c r="K9494" s="2" t="str">
        <f>HYPERLINK("http://collections.slsa.sa.gov.au/mpcimg/29000/B28803.htm")</f>
        <v>http://collections.slsa.sa.gov.au/mpcimg/29000/B28803.htm</v>
      </c>
    </row>
    <row r="9495" spans="1:11" x14ac:dyDescent="0.25">
      <c r="A9495" t="s">
        <v>30386</v>
      </c>
      <c r="B9495" s="1" t="str">
        <f>HYPERLINK("https://www.catalog.slsa.sa.gov.au/record=b2059460")</f>
        <v>https://www.catalog.slsa.sa.gov.au/record=b2059460</v>
      </c>
      <c r="C9495" s="1" t="str">
        <f>HYPERLINK("https://www.catalog.slsa.sa.gov.au/xrecord=b2059460")</f>
        <v>https://www.catalog.slsa.sa.gov.au/xrecord=b2059460</v>
      </c>
      <c r="D9495" t="s">
        <v>16831</v>
      </c>
      <c r="E9495" t="s">
        <v>20096</v>
      </c>
      <c r="F9495">
        <v>1974</v>
      </c>
      <c r="G9495" t="s">
        <v>16615</v>
      </c>
      <c r="H9495" t="s">
        <v>30385</v>
      </c>
      <c r="J9495" t="s">
        <v>24187</v>
      </c>
      <c r="K9495" s="2" t="str">
        <f>HYPERLINK("http://collections.slsa.sa.gov.au/mpcimg/29000/B28804.htm")</f>
        <v>http://collections.slsa.sa.gov.au/mpcimg/29000/B28804.htm</v>
      </c>
    </row>
    <row r="9496" spans="1:11" x14ac:dyDescent="0.25">
      <c r="A9496" t="s">
        <v>30387</v>
      </c>
      <c r="B9496" s="1" t="str">
        <f>HYPERLINK("https://www.catalog.slsa.sa.gov.au/record=b2061358")</f>
        <v>https://www.catalog.slsa.sa.gov.au/record=b2061358</v>
      </c>
      <c r="C9496" s="1" t="str">
        <f>HYPERLINK("https://www.catalog.slsa.sa.gov.au/xrecord=b2061358")</f>
        <v>https://www.catalog.slsa.sa.gov.au/xrecord=b2061358</v>
      </c>
      <c r="D9496" t="s">
        <v>16831</v>
      </c>
      <c r="E9496" t="s">
        <v>25471</v>
      </c>
      <c r="F9496">
        <v>1974</v>
      </c>
      <c r="G9496" t="s">
        <v>16615</v>
      </c>
      <c r="H9496" t="s">
        <v>30388</v>
      </c>
      <c r="J9496" t="s">
        <v>21154</v>
      </c>
      <c r="K9496" s="2" t="str">
        <f>HYPERLINK("http://collections.slsa.sa.gov.au/mpcimg/29000/B28797.htm")</f>
        <v>http://collections.slsa.sa.gov.au/mpcimg/29000/B28797.htm</v>
      </c>
    </row>
    <row r="9497" spans="1:11" x14ac:dyDescent="0.25">
      <c r="A9497" t="s">
        <v>30389</v>
      </c>
      <c r="B9497" s="1" t="str">
        <f>HYPERLINK("https://www.catalog.slsa.sa.gov.au/record=b2061359")</f>
        <v>https://www.catalog.slsa.sa.gov.au/record=b2061359</v>
      </c>
      <c r="C9497" s="1" t="str">
        <f>HYPERLINK("https://www.catalog.slsa.sa.gov.au/xrecord=b2061359")</f>
        <v>https://www.catalog.slsa.sa.gov.au/xrecord=b2061359</v>
      </c>
      <c r="D9497" t="s">
        <v>16831</v>
      </c>
      <c r="E9497" t="s">
        <v>25471</v>
      </c>
      <c r="F9497">
        <v>1974</v>
      </c>
      <c r="G9497" t="s">
        <v>16615</v>
      </c>
      <c r="H9497" t="s">
        <v>30390</v>
      </c>
      <c r="J9497" t="s">
        <v>21154</v>
      </c>
      <c r="K9497" s="2" t="str">
        <f>HYPERLINK("http://collections.slsa.sa.gov.au/mpcimg/29000/B28798.htm")</f>
        <v>http://collections.slsa.sa.gov.au/mpcimg/29000/B28798.htm</v>
      </c>
    </row>
    <row r="9498" spans="1:11" x14ac:dyDescent="0.25">
      <c r="A9498" t="s">
        <v>30391</v>
      </c>
      <c r="B9498" s="1" t="str">
        <f>HYPERLINK("https://www.catalog.slsa.sa.gov.au/record=b2061360")</f>
        <v>https://www.catalog.slsa.sa.gov.au/record=b2061360</v>
      </c>
      <c r="C9498" s="1" t="str">
        <f>HYPERLINK("https://www.catalog.slsa.sa.gov.au/xrecord=b2061360")</f>
        <v>https://www.catalog.slsa.sa.gov.au/xrecord=b2061360</v>
      </c>
      <c r="D9498" t="s">
        <v>16831</v>
      </c>
      <c r="E9498" t="s">
        <v>25471</v>
      </c>
      <c r="F9498">
        <v>1974</v>
      </c>
      <c r="G9498" t="s">
        <v>16615</v>
      </c>
      <c r="H9498" t="s">
        <v>30392</v>
      </c>
      <c r="J9498" t="s">
        <v>21154</v>
      </c>
      <c r="K9498" s="2" t="str">
        <f>HYPERLINK("http://collections.slsa.sa.gov.au/mpcimg/29000/B28799.htm")</f>
        <v>http://collections.slsa.sa.gov.au/mpcimg/29000/B28799.htm</v>
      </c>
    </row>
    <row r="9499" spans="1:11" x14ac:dyDescent="0.25">
      <c r="A9499" t="s">
        <v>30393</v>
      </c>
      <c r="B9499" s="1" t="str">
        <f>HYPERLINK("https://www.catalog.slsa.sa.gov.au/record=b2061462")</f>
        <v>https://www.catalog.slsa.sa.gov.au/record=b2061462</v>
      </c>
      <c r="C9499" s="1" t="str">
        <f>HYPERLINK("https://www.catalog.slsa.sa.gov.au/xrecord=b2061462")</f>
        <v>https://www.catalog.slsa.sa.gov.au/xrecord=b2061462</v>
      </c>
      <c r="D9499" t="s">
        <v>16831</v>
      </c>
      <c r="E9499" t="s">
        <v>30394</v>
      </c>
      <c r="F9499">
        <v>1974</v>
      </c>
      <c r="G9499" t="s">
        <v>27663</v>
      </c>
      <c r="H9499" t="s">
        <v>30395</v>
      </c>
      <c r="J9499" t="s">
        <v>25473</v>
      </c>
      <c r="K9499" s="2" t="str">
        <f>HYPERLINK("http://collections.slsa.sa.gov.au/mpcimg/29250/B29202.htm")</f>
        <v>http://collections.slsa.sa.gov.au/mpcimg/29250/B29202.htm</v>
      </c>
    </row>
    <row r="9500" spans="1:11" x14ac:dyDescent="0.25">
      <c r="A9500" t="s">
        <v>30396</v>
      </c>
      <c r="B9500" s="1" t="str">
        <f>HYPERLINK("https://www.catalog.slsa.sa.gov.au/record=b2061463")</f>
        <v>https://www.catalog.slsa.sa.gov.au/record=b2061463</v>
      </c>
      <c r="C9500" s="1" t="str">
        <f>HYPERLINK("https://www.catalog.slsa.sa.gov.au/xrecord=b2061463")</f>
        <v>https://www.catalog.slsa.sa.gov.au/xrecord=b2061463</v>
      </c>
      <c r="D9500" t="s">
        <v>16831</v>
      </c>
      <c r="E9500" t="s">
        <v>30397</v>
      </c>
      <c r="F9500">
        <v>1974</v>
      </c>
      <c r="G9500" t="s">
        <v>15726</v>
      </c>
      <c r="H9500" t="s">
        <v>30398</v>
      </c>
      <c r="J9500" t="s">
        <v>25473</v>
      </c>
      <c r="K9500" s="2" t="str">
        <f>HYPERLINK("http://collections.slsa.sa.gov.au/mpcimg/29250/B29203.htm")</f>
        <v>http://collections.slsa.sa.gov.au/mpcimg/29250/B29203.htm</v>
      </c>
    </row>
    <row r="9501" spans="1:11" x14ac:dyDescent="0.25">
      <c r="A9501" t="s">
        <v>30399</v>
      </c>
      <c r="B9501" s="1" t="str">
        <f>HYPERLINK("https://www.catalog.slsa.sa.gov.au/record=b2061464")</f>
        <v>https://www.catalog.slsa.sa.gov.au/record=b2061464</v>
      </c>
      <c r="C9501" s="1" t="str">
        <f>HYPERLINK("https://www.catalog.slsa.sa.gov.au/xrecord=b2061464")</f>
        <v>https://www.catalog.slsa.sa.gov.au/xrecord=b2061464</v>
      </c>
      <c r="D9501" t="s">
        <v>16831</v>
      </c>
      <c r="E9501" t="s">
        <v>30394</v>
      </c>
      <c r="F9501">
        <v>1974</v>
      </c>
      <c r="G9501" t="s">
        <v>30400</v>
      </c>
      <c r="H9501" t="s">
        <v>30398</v>
      </c>
      <c r="J9501" t="s">
        <v>25473</v>
      </c>
      <c r="K9501" s="2" t="str">
        <f>HYPERLINK("http://collections.slsa.sa.gov.au/mpcimg/29250/B29204.htm")</f>
        <v>http://collections.slsa.sa.gov.au/mpcimg/29250/B29204.htm</v>
      </c>
    </row>
    <row r="9502" spans="1:11" x14ac:dyDescent="0.25">
      <c r="A9502" t="s">
        <v>30401</v>
      </c>
      <c r="B9502" s="1" t="str">
        <f>HYPERLINK("https://www.catalog.slsa.sa.gov.au/record=b2061465")</f>
        <v>https://www.catalog.slsa.sa.gov.au/record=b2061465</v>
      </c>
      <c r="C9502" s="1" t="str">
        <f>HYPERLINK("https://www.catalog.slsa.sa.gov.au/xrecord=b2061465")</f>
        <v>https://www.catalog.slsa.sa.gov.au/xrecord=b2061465</v>
      </c>
      <c r="D9502" t="s">
        <v>16831</v>
      </c>
      <c r="E9502" t="s">
        <v>30394</v>
      </c>
      <c r="F9502">
        <v>1974</v>
      </c>
      <c r="G9502" t="s">
        <v>30402</v>
      </c>
      <c r="H9502" t="s">
        <v>30398</v>
      </c>
      <c r="J9502" t="s">
        <v>25473</v>
      </c>
      <c r="K9502" s="2" t="str">
        <f>HYPERLINK("http://collections.slsa.sa.gov.au/mpcimg/29250/B29205.htm")</f>
        <v>http://collections.slsa.sa.gov.au/mpcimg/29250/B29205.htm</v>
      </c>
    </row>
    <row r="9503" spans="1:11" x14ac:dyDescent="0.25">
      <c r="A9503" t="s">
        <v>30403</v>
      </c>
      <c r="B9503" s="1" t="str">
        <f>HYPERLINK("https://www.catalog.slsa.sa.gov.au/record=b2061890")</f>
        <v>https://www.catalog.slsa.sa.gov.au/record=b2061890</v>
      </c>
      <c r="C9503" s="1" t="str">
        <f>HYPERLINK("https://www.catalog.slsa.sa.gov.au/xrecord=b2061890")</f>
        <v>https://www.catalog.slsa.sa.gov.au/xrecord=b2061890</v>
      </c>
      <c r="D9503" t="s">
        <v>16831</v>
      </c>
      <c r="E9503" t="s">
        <v>21208</v>
      </c>
      <c r="F9503">
        <v>1974</v>
      </c>
      <c r="G9503" t="s">
        <v>16615</v>
      </c>
      <c r="H9503" t="s">
        <v>30404</v>
      </c>
      <c r="J9503" t="s">
        <v>26394</v>
      </c>
      <c r="K9503" s="2" t="str">
        <f>HYPERLINK("http://collections.slsa.sa.gov.au/mpcimg/29000/B28770.htm")</f>
        <v>http://collections.slsa.sa.gov.au/mpcimg/29000/B28770.htm</v>
      </c>
    </row>
    <row r="9504" spans="1:11" x14ac:dyDescent="0.25">
      <c r="A9504" t="s">
        <v>30405</v>
      </c>
      <c r="B9504" s="1" t="str">
        <f>HYPERLINK("https://www.catalog.slsa.sa.gov.au/record=b2061891")</f>
        <v>https://www.catalog.slsa.sa.gov.au/record=b2061891</v>
      </c>
      <c r="C9504" s="1" t="str">
        <f>HYPERLINK("https://www.catalog.slsa.sa.gov.au/xrecord=b2061891")</f>
        <v>https://www.catalog.slsa.sa.gov.au/xrecord=b2061891</v>
      </c>
      <c r="D9504" t="s">
        <v>16831</v>
      </c>
      <c r="E9504" t="s">
        <v>21208</v>
      </c>
      <c r="F9504">
        <v>1974</v>
      </c>
      <c r="G9504" t="s">
        <v>16615</v>
      </c>
      <c r="H9504" t="s">
        <v>30406</v>
      </c>
      <c r="J9504" t="s">
        <v>26394</v>
      </c>
      <c r="K9504" s="2" t="str">
        <f>HYPERLINK("http://collections.slsa.sa.gov.au/mpcimg/29000/B28771.htm")</f>
        <v>http://collections.slsa.sa.gov.au/mpcimg/29000/B28771.htm</v>
      </c>
    </row>
    <row r="9505" spans="1:11" x14ac:dyDescent="0.25">
      <c r="A9505" t="s">
        <v>30407</v>
      </c>
      <c r="B9505" s="1" t="str">
        <f>HYPERLINK("https://www.catalog.slsa.sa.gov.au/record=b2061949")</f>
        <v>https://www.catalog.slsa.sa.gov.au/record=b2061949</v>
      </c>
      <c r="C9505" s="1" t="str">
        <f>HYPERLINK("https://www.catalog.slsa.sa.gov.au/xrecord=b2061949")</f>
        <v>https://www.catalog.slsa.sa.gov.au/xrecord=b2061949</v>
      </c>
      <c r="D9505" t="s">
        <v>16831</v>
      </c>
      <c r="E9505" t="s">
        <v>30408</v>
      </c>
      <c r="F9505">
        <v>1974</v>
      </c>
      <c r="G9505" t="s">
        <v>30355</v>
      </c>
      <c r="H9505" t="s">
        <v>30409</v>
      </c>
      <c r="J9505" t="s">
        <v>30410</v>
      </c>
      <c r="K9505" s="2" t="str">
        <f>HYPERLINK("http://collections.slsa.sa.gov.au/mpcimg/29250/B29199.htm")</f>
        <v>http://collections.slsa.sa.gov.au/mpcimg/29250/B29199.htm</v>
      </c>
    </row>
    <row r="9506" spans="1:11" x14ac:dyDescent="0.25">
      <c r="A9506" t="s">
        <v>30411</v>
      </c>
      <c r="B9506" s="1" t="str">
        <f>HYPERLINK("https://www.catalog.slsa.sa.gov.au/record=b2061950")</f>
        <v>https://www.catalog.slsa.sa.gov.au/record=b2061950</v>
      </c>
      <c r="C9506" s="1" t="str">
        <f>HYPERLINK("https://www.catalog.slsa.sa.gov.au/xrecord=b2061950")</f>
        <v>https://www.catalog.slsa.sa.gov.au/xrecord=b2061950</v>
      </c>
      <c r="D9506" t="s">
        <v>16831</v>
      </c>
      <c r="E9506" t="s">
        <v>30408</v>
      </c>
      <c r="F9506">
        <v>1974</v>
      </c>
      <c r="G9506" t="s">
        <v>14809</v>
      </c>
      <c r="H9506" t="s">
        <v>30412</v>
      </c>
      <c r="J9506" t="s">
        <v>30410</v>
      </c>
      <c r="K9506" s="2" t="str">
        <f>HYPERLINK("http://collections.slsa.sa.gov.au/mpcimg/29250/B29200.htm")</f>
        <v>http://collections.slsa.sa.gov.au/mpcimg/29250/B29200.htm</v>
      </c>
    </row>
    <row r="9507" spans="1:11" x14ac:dyDescent="0.25">
      <c r="A9507" t="s">
        <v>30413</v>
      </c>
      <c r="B9507" s="1" t="str">
        <f>HYPERLINK("https://www.catalog.slsa.sa.gov.au/record=b2061951")</f>
        <v>https://www.catalog.slsa.sa.gov.au/record=b2061951</v>
      </c>
      <c r="C9507" s="1" t="str">
        <f>HYPERLINK("https://www.catalog.slsa.sa.gov.au/xrecord=b2061951")</f>
        <v>https://www.catalog.slsa.sa.gov.au/xrecord=b2061951</v>
      </c>
      <c r="D9507" t="s">
        <v>16831</v>
      </c>
      <c r="E9507" t="s">
        <v>30408</v>
      </c>
      <c r="F9507">
        <v>1974</v>
      </c>
      <c r="G9507" t="s">
        <v>30414</v>
      </c>
      <c r="H9507" t="s">
        <v>30412</v>
      </c>
      <c r="J9507" t="s">
        <v>30410</v>
      </c>
      <c r="K9507" s="2" t="str">
        <f>HYPERLINK("http://collections.slsa.sa.gov.au/mpcimg/29250/B29201.htm")</f>
        <v>http://collections.slsa.sa.gov.au/mpcimg/29250/B29201.htm</v>
      </c>
    </row>
    <row r="9508" spans="1:11" x14ac:dyDescent="0.25">
      <c r="A9508" t="s">
        <v>30415</v>
      </c>
      <c r="B9508" s="1" t="str">
        <f>HYPERLINK("https://www.catalog.slsa.sa.gov.au/record=b2062892")</f>
        <v>https://www.catalog.slsa.sa.gov.au/record=b2062892</v>
      </c>
      <c r="C9508" s="1" t="str">
        <f>HYPERLINK("https://www.catalog.slsa.sa.gov.au/xrecord=b2062892")</f>
        <v>https://www.catalog.slsa.sa.gov.au/xrecord=b2062892</v>
      </c>
      <c r="D9508" t="s">
        <v>16831</v>
      </c>
      <c r="E9508" t="s">
        <v>21277</v>
      </c>
      <c r="F9508">
        <v>1974</v>
      </c>
      <c r="G9508" t="s">
        <v>16615</v>
      </c>
      <c r="H9508" t="s">
        <v>30416</v>
      </c>
      <c r="J9508" t="s">
        <v>21285</v>
      </c>
      <c r="K9508" s="2" t="str">
        <f>HYPERLINK("http://collections.slsa.sa.gov.au/mpcimg/29000/B28795.htm")</f>
        <v>http://collections.slsa.sa.gov.au/mpcimg/29000/B28795.htm</v>
      </c>
    </row>
    <row r="9509" spans="1:11" x14ac:dyDescent="0.25">
      <c r="A9509" t="s">
        <v>30417</v>
      </c>
      <c r="B9509" s="1" t="str">
        <f>HYPERLINK("https://www.catalog.slsa.sa.gov.au/record=b2062893")</f>
        <v>https://www.catalog.slsa.sa.gov.au/record=b2062893</v>
      </c>
      <c r="C9509" s="1" t="str">
        <f>HYPERLINK("https://www.catalog.slsa.sa.gov.au/xrecord=b2062893")</f>
        <v>https://www.catalog.slsa.sa.gov.au/xrecord=b2062893</v>
      </c>
      <c r="D9509" t="s">
        <v>16831</v>
      </c>
      <c r="E9509" t="s">
        <v>21277</v>
      </c>
      <c r="F9509">
        <v>1974</v>
      </c>
      <c r="G9509" t="s">
        <v>16615</v>
      </c>
      <c r="H9509" t="s">
        <v>30418</v>
      </c>
      <c r="J9509" t="s">
        <v>21285</v>
      </c>
      <c r="K9509" s="2" t="str">
        <f>HYPERLINK("http://collections.slsa.sa.gov.au/mpcimg/29000/B28796.htm")</f>
        <v>http://collections.slsa.sa.gov.au/mpcimg/29000/B28796.htm</v>
      </c>
    </row>
    <row r="9510" spans="1:11" x14ac:dyDescent="0.25">
      <c r="A9510" t="s">
        <v>30419</v>
      </c>
      <c r="B9510" s="1" t="str">
        <f>HYPERLINK("https://www.catalog.slsa.sa.gov.au/record=b2062954")</f>
        <v>https://www.catalog.slsa.sa.gov.au/record=b2062954</v>
      </c>
      <c r="C9510" s="1" t="str">
        <f>HYPERLINK("https://www.catalog.slsa.sa.gov.au/xrecord=b2062954")</f>
        <v>https://www.catalog.slsa.sa.gov.au/xrecord=b2062954</v>
      </c>
      <c r="D9510" t="s">
        <v>16831</v>
      </c>
      <c r="E9510" t="s">
        <v>21304</v>
      </c>
      <c r="F9510">
        <v>1974</v>
      </c>
      <c r="G9510" t="s">
        <v>16674</v>
      </c>
      <c r="H9510" t="s">
        <v>30420</v>
      </c>
      <c r="J9510" t="s">
        <v>30421</v>
      </c>
      <c r="K9510" s="2" t="str">
        <f>HYPERLINK("http://collections.slsa.sa.gov.au/mpcimg/28750/B28747.htm")</f>
        <v>http://collections.slsa.sa.gov.au/mpcimg/28750/B28747.htm</v>
      </c>
    </row>
    <row r="9511" spans="1:11" x14ac:dyDescent="0.25">
      <c r="A9511" t="s">
        <v>30422</v>
      </c>
      <c r="B9511" s="1" t="str">
        <f>HYPERLINK("https://www.catalog.slsa.sa.gov.au/record=b2062955")</f>
        <v>https://www.catalog.slsa.sa.gov.au/record=b2062955</v>
      </c>
      <c r="C9511" s="1" t="str">
        <f>HYPERLINK("https://www.catalog.slsa.sa.gov.au/xrecord=b2062955")</f>
        <v>https://www.catalog.slsa.sa.gov.au/xrecord=b2062955</v>
      </c>
      <c r="D9511" t="s">
        <v>16831</v>
      </c>
      <c r="E9511" t="s">
        <v>21304</v>
      </c>
      <c r="F9511">
        <v>1974</v>
      </c>
      <c r="G9511" t="s">
        <v>14809</v>
      </c>
      <c r="H9511" t="s">
        <v>30423</v>
      </c>
      <c r="J9511" t="s">
        <v>30421</v>
      </c>
      <c r="K9511" s="2" t="str">
        <f>HYPERLINK("http://collections.slsa.sa.gov.au/mpcimg/28750/B28748.htm")</f>
        <v>http://collections.slsa.sa.gov.au/mpcimg/28750/B28748.htm</v>
      </c>
    </row>
    <row r="9512" spans="1:11" x14ac:dyDescent="0.25">
      <c r="A9512" t="s">
        <v>30424</v>
      </c>
      <c r="B9512" s="1" t="str">
        <f>HYPERLINK("https://www.catalog.slsa.sa.gov.au/record=b2062956")</f>
        <v>https://www.catalog.slsa.sa.gov.au/record=b2062956</v>
      </c>
      <c r="C9512" s="1" t="str">
        <f>HYPERLINK("https://www.catalog.slsa.sa.gov.au/xrecord=b2062956")</f>
        <v>https://www.catalog.slsa.sa.gov.au/xrecord=b2062956</v>
      </c>
      <c r="D9512" t="s">
        <v>16831</v>
      </c>
      <c r="E9512" t="s">
        <v>21304</v>
      </c>
      <c r="F9512">
        <v>1974</v>
      </c>
      <c r="G9512" t="s">
        <v>16615</v>
      </c>
      <c r="H9512" t="s">
        <v>30425</v>
      </c>
      <c r="J9512" t="s">
        <v>30421</v>
      </c>
      <c r="K9512" s="2" t="str">
        <f>HYPERLINK("http://collections.slsa.sa.gov.au/mpcimg/28750/B28749.htm")</f>
        <v>http://collections.slsa.sa.gov.au/mpcimg/28750/B28749.htm</v>
      </c>
    </row>
    <row r="9513" spans="1:11" x14ac:dyDescent="0.25">
      <c r="A9513" t="s">
        <v>30426</v>
      </c>
      <c r="B9513" s="1" t="str">
        <f>HYPERLINK("https://www.catalog.slsa.sa.gov.au/record=b2062957")</f>
        <v>https://www.catalog.slsa.sa.gov.au/record=b2062957</v>
      </c>
      <c r="C9513" s="1" t="str">
        <f>HYPERLINK("https://www.catalog.slsa.sa.gov.au/xrecord=b2062957")</f>
        <v>https://www.catalog.slsa.sa.gov.au/xrecord=b2062957</v>
      </c>
      <c r="D9513" t="s">
        <v>16831</v>
      </c>
      <c r="E9513" t="s">
        <v>21304</v>
      </c>
      <c r="F9513">
        <v>1974</v>
      </c>
      <c r="G9513" t="s">
        <v>16615</v>
      </c>
      <c r="H9513" t="s">
        <v>30427</v>
      </c>
      <c r="J9513" t="s">
        <v>30421</v>
      </c>
      <c r="K9513" s="2" t="str">
        <f>HYPERLINK("http://collections.slsa.sa.gov.au/mpcimg/28750/B28750.htm")</f>
        <v>http://collections.slsa.sa.gov.au/mpcimg/28750/B28750.htm</v>
      </c>
    </row>
    <row r="9514" spans="1:11" x14ac:dyDescent="0.25">
      <c r="A9514" t="s">
        <v>30428</v>
      </c>
      <c r="B9514" s="1" t="str">
        <f>HYPERLINK("https://www.catalog.slsa.sa.gov.au/record=b2062958")</f>
        <v>https://www.catalog.slsa.sa.gov.au/record=b2062958</v>
      </c>
      <c r="C9514" s="1" t="str">
        <f>HYPERLINK("https://www.catalog.slsa.sa.gov.au/xrecord=b2062958")</f>
        <v>https://www.catalog.slsa.sa.gov.au/xrecord=b2062958</v>
      </c>
      <c r="D9514" t="s">
        <v>16831</v>
      </c>
      <c r="E9514" t="s">
        <v>21304</v>
      </c>
      <c r="F9514">
        <v>1974</v>
      </c>
      <c r="G9514" t="s">
        <v>16615</v>
      </c>
      <c r="H9514" t="s">
        <v>30427</v>
      </c>
      <c r="J9514" t="s">
        <v>30421</v>
      </c>
      <c r="K9514" s="2" t="str">
        <f>HYPERLINK("http://collections.slsa.sa.gov.au/mpcimg/29000/B28751.htm")</f>
        <v>http://collections.slsa.sa.gov.au/mpcimg/29000/B28751.htm</v>
      </c>
    </row>
    <row r="9515" spans="1:11" x14ac:dyDescent="0.25">
      <c r="A9515" t="s">
        <v>30429</v>
      </c>
      <c r="B9515" s="1" t="str">
        <f>HYPERLINK("https://www.catalog.slsa.sa.gov.au/record=b2062959")</f>
        <v>https://www.catalog.slsa.sa.gov.au/record=b2062959</v>
      </c>
      <c r="C9515" s="1" t="str">
        <f>HYPERLINK("https://www.catalog.slsa.sa.gov.au/xrecord=b2062959")</f>
        <v>https://www.catalog.slsa.sa.gov.au/xrecord=b2062959</v>
      </c>
      <c r="D9515" t="s">
        <v>16831</v>
      </c>
      <c r="E9515" t="s">
        <v>21304</v>
      </c>
      <c r="F9515">
        <v>1974</v>
      </c>
      <c r="G9515" t="s">
        <v>16615</v>
      </c>
      <c r="H9515" t="s">
        <v>30427</v>
      </c>
      <c r="J9515" t="s">
        <v>30421</v>
      </c>
      <c r="K9515" s="2" t="str">
        <f>HYPERLINK("http://collections.slsa.sa.gov.au/mpcimg/29000/B28752.htm")</f>
        <v>http://collections.slsa.sa.gov.au/mpcimg/29000/B28752.htm</v>
      </c>
    </row>
    <row r="9516" spans="1:11" x14ac:dyDescent="0.25">
      <c r="A9516" t="s">
        <v>30430</v>
      </c>
      <c r="B9516" s="1" t="str">
        <f>HYPERLINK("https://www.catalog.slsa.sa.gov.au/record=b2062960")</f>
        <v>https://www.catalog.slsa.sa.gov.au/record=b2062960</v>
      </c>
      <c r="C9516" s="1" t="str">
        <f>HYPERLINK("https://www.catalog.slsa.sa.gov.au/xrecord=b2062960")</f>
        <v>https://www.catalog.slsa.sa.gov.au/xrecord=b2062960</v>
      </c>
      <c r="D9516" t="s">
        <v>16831</v>
      </c>
      <c r="E9516" t="s">
        <v>21304</v>
      </c>
      <c r="F9516">
        <v>1974</v>
      </c>
      <c r="G9516" t="s">
        <v>16615</v>
      </c>
      <c r="H9516" t="s">
        <v>30427</v>
      </c>
      <c r="J9516" t="s">
        <v>30421</v>
      </c>
      <c r="K9516" s="2" t="str">
        <f>HYPERLINK("http://collections.slsa.sa.gov.au/mpcimg/29000/B28753.htm")</f>
        <v>http://collections.slsa.sa.gov.au/mpcimg/29000/B28753.htm</v>
      </c>
    </row>
    <row r="9517" spans="1:11" x14ac:dyDescent="0.25">
      <c r="A9517" t="s">
        <v>30431</v>
      </c>
      <c r="B9517" s="1" t="str">
        <f>HYPERLINK("https://www.catalog.slsa.sa.gov.au/record=b2064076")</f>
        <v>https://www.catalog.slsa.sa.gov.au/record=b2064076</v>
      </c>
      <c r="C9517" s="1" t="str">
        <f>HYPERLINK("https://www.catalog.slsa.sa.gov.au/xrecord=b2064076")</f>
        <v>https://www.catalog.slsa.sa.gov.au/xrecord=b2064076</v>
      </c>
      <c r="D9517" t="s">
        <v>16831</v>
      </c>
      <c r="E9517" t="s">
        <v>30432</v>
      </c>
      <c r="F9517">
        <v>1974</v>
      </c>
      <c r="G9517" t="s">
        <v>15147</v>
      </c>
      <c r="H9517" t="s">
        <v>30433</v>
      </c>
      <c r="I9517" t="s">
        <v>30434</v>
      </c>
      <c r="J9517" t="s">
        <v>27653</v>
      </c>
      <c r="K9517" s="2" t="str">
        <f>HYPERLINK("http://collections.slsa.sa.gov.au/mpcimg/38250/B38029.htm")</f>
        <v>http://collections.slsa.sa.gov.au/mpcimg/38250/B38029.htm</v>
      </c>
    </row>
    <row r="9518" spans="1:11" x14ac:dyDescent="0.25">
      <c r="A9518" t="s">
        <v>30435</v>
      </c>
      <c r="B9518" s="1" t="str">
        <f>HYPERLINK("https://www.catalog.slsa.sa.gov.au/record=b2064805")</f>
        <v>https://www.catalog.slsa.sa.gov.au/record=b2064805</v>
      </c>
      <c r="C9518" s="1" t="str">
        <f>HYPERLINK("https://www.catalog.slsa.sa.gov.au/xrecord=b2064805")</f>
        <v>https://www.catalog.slsa.sa.gov.au/xrecord=b2064805</v>
      </c>
      <c r="D9518" t="s">
        <v>16831</v>
      </c>
      <c r="E9518" t="s">
        <v>29818</v>
      </c>
      <c r="F9518">
        <v>1974</v>
      </c>
      <c r="G9518" t="s">
        <v>16615</v>
      </c>
      <c r="H9518" t="s">
        <v>30436</v>
      </c>
      <c r="J9518" t="s">
        <v>27556</v>
      </c>
      <c r="K9518" s="2" t="str">
        <f>HYPERLINK("http://collections.slsa.sa.gov.au/mpcimg/29000/B28800.htm")</f>
        <v>http://collections.slsa.sa.gov.au/mpcimg/29000/B28800.htm</v>
      </c>
    </row>
    <row r="9519" spans="1:11" x14ac:dyDescent="0.25">
      <c r="A9519" t="s">
        <v>30437</v>
      </c>
      <c r="B9519" s="1" t="str">
        <f>HYPERLINK("https://www.catalog.slsa.sa.gov.au/record=b2066226")</f>
        <v>https://www.catalog.slsa.sa.gov.au/record=b2066226</v>
      </c>
      <c r="C9519" s="1" t="str">
        <f>HYPERLINK("https://www.catalog.slsa.sa.gov.au/xrecord=b2066226")</f>
        <v>https://www.catalog.slsa.sa.gov.au/xrecord=b2066226</v>
      </c>
      <c r="D9519" t="s">
        <v>16831</v>
      </c>
      <c r="E9519" t="s">
        <v>30438</v>
      </c>
      <c r="F9519">
        <v>1974</v>
      </c>
      <c r="G9519" t="s">
        <v>30439</v>
      </c>
      <c r="H9519" t="s">
        <v>30440</v>
      </c>
      <c r="I9519" t="s">
        <v>30441</v>
      </c>
      <c r="J9519" t="s">
        <v>30442</v>
      </c>
      <c r="K9519" s="2" t="str">
        <f>HYPERLINK("http://collections.slsa.sa.gov.au/mpcimg/29250/B29214.htm")</f>
        <v>http://collections.slsa.sa.gov.au/mpcimg/29250/B29214.htm</v>
      </c>
    </row>
    <row r="9520" spans="1:11" x14ac:dyDescent="0.25">
      <c r="A9520" t="s">
        <v>30443</v>
      </c>
      <c r="B9520" s="1" t="str">
        <f>HYPERLINK("https://www.catalog.slsa.sa.gov.au/record=b2045596")</f>
        <v>https://www.catalog.slsa.sa.gov.au/record=b2045596</v>
      </c>
      <c r="C9520" s="1" t="str">
        <f>HYPERLINK("https://www.catalog.slsa.sa.gov.au/xrecord=b2045596")</f>
        <v>https://www.catalog.slsa.sa.gov.au/xrecord=b2045596</v>
      </c>
      <c r="D9520" t="s">
        <v>16831</v>
      </c>
      <c r="E9520" t="s">
        <v>30444</v>
      </c>
      <c r="F9520">
        <v>1976</v>
      </c>
      <c r="G9520" t="s">
        <v>30445</v>
      </c>
      <c r="H9520" t="s">
        <v>30446</v>
      </c>
      <c r="I9520" t="s">
        <v>30447</v>
      </c>
      <c r="J9520" t="s">
        <v>15664</v>
      </c>
      <c r="K9520" s="2" t="str">
        <f>HYPERLINK("http://collections.slsa.sa.gov.au/mpcimg/41000/B40843.htm")</f>
        <v>http://collections.slsa.sa.gov.au/mpcimg/41000/B40843.htm</v>
      </c>
    </row>
    <row r="9521" spans="1:11" x14ac:dyDescent="0.25">
      <c r="A9521" t="s">
        <v>30448</v>
      </c>
      <c r="B9521" s="1" t="str">
        <f>HYPERLINK("https://www.catalog.slsa.sa.gov.au/record=b2054619")</f>
        <v>https://www.catalog.slsa.sa.gov.au/record=b2054619</v>
      </c>
      <c r="C9521" s="1" t="str">
        <f>HYPERLINK("https://www.catalog.slsa.sa.gov.au/xrecord=b2054619")</f>
        <v>https://www.catalog.slsa.sa.gov.au/xrecord=b2054619</v>
      </c>
      <c r="D9521" t="s">
        <v>16831</v>
      </c>
      <c r="E9521" t="s">
        <v>30449</v>
      </c>
      <c r="F9521">
        <v>1976</v>
      </c>
      <c r="G9521" t="s">
        <v>30450</v>
      </c>
      <c r="H9521" t="s">
        <v>30451</v>
      </c>
      <c r="J9521" t="s">
        <v>23978</v>
      </c>
      <c r="K9521" s="2" t="str">
        <f>HYPERLINK("http://collections.slsa.sa.gov.au/mpcimg/32750/B32519.htm")</f>
        <v>http://collections.slsa.sa.gov.au/mpcimg/32750/B32519.htm</v>
      </c>
    </row>
    <row r="9522" spans="1:11" x14ac:dyDescent="0.25">
      <c r="A9522" t="s">
        <v>30452</v>
      </c>
      <c r="B9522" s="1" t="str">
        <f>HYPERLINK("https://www.catalog.slsa.sa.gov.au/record=b2054620")</f>
        <v>https://www.catalog.slsa.sa.gov.au/record=b2054620</v>
      </c>
      <c r="C9522" s="1" t="str">
        <f>HYPERLINK("https://www.catalog.slsa.sa.gov.au/xrecord=b2054620")</f>
        <v>https://www.catalog.slsa.sa.gov.au/xrecord=b2054620</v>
      </c>
      <c r="D9522" t="s">
        <v>16831</v>
      </c>
      <c r="E9522" t="s">
        <v>30449</v>
      </c>
      <c r="F9522">
        <v>1976</v>
      </c>
      <c r="G9522" t="s">
        <v>30453</v>
      </c>
      <c r="H9522" t="s">
        <v>30451</v>
      </c>
      <c r="J9522" t="s">
        <v>23978</v>
      </c>
      <c r="K9522" s="2" t="str">
        <f>HYPERLINK("http://collections.slsa.sa.gov.au/mpcimg/32750/B32520.htm")</f>
        <v>http://collections.slsa.sa.gov.au/mpcimg/32750/B32520.htm</v>
      </c>
    </row>
    <row r="9523" spans="1:11" x14ac:dyDescent="0.25">
      <c r="A9523" t="s">
        <v>30454</v>
      </c>
      <c r="B9523" s="1" t="str">
        <f>HYPERLINK("https://www.catalog.slsa.sa.gov.au/record=b2056926")</f>
        <v>https://www.catalog.slsa.sa.gov.au/record=b2056926</v>
      </c>
      <c r="C9523" s="1" t="str">
        <f>HYPERLINK("https://www.catalog.slsa.sa.gov.au/xrecord=b2056926")</f>
        <v>https://www.catalog.slsa.sa.gov.au/xrecord=b2056926</v>
      </c>
      <c r="D9523" t="s">
        <v>16831</v>
      </c>
      <c r="E9523" t="s">
        <v>16791</v>
      </c>
      <c r="F9523">
        <v>1976</v>
      </c>
      <c r="G9523" t="s">
        <v>30453</v>
      </c>
      <c r="H9523" t="s">
        <v>30455</v>
      </c>
      <c r="J9523" t="s">
        <v>30456</v>
      </c>
      <c r="K9523" s="2" t="str">
        <f>HYPERLINK("http://collections.slsa.sa.gov.au/mpcimg/32750/B32515.htm")</f>
        <v>http://collections.slsa.sa.gov.au/mpcimg/32750/B32515.htm</v>
      </c>
    </row>
    <row r="9524" spans="1:11" x14ac:dyDescent="0.25">
      <c r="A9524" t="s">
        <v>30457</v>
      </c>
      <c r="B9524" s="1" t="str">
        <f>HYPERLINK("https://www.catalog.slsa.sa.gov.au/record=b2056927")</f>
        <v>https://www.catalog.slsa.sa.gov.au/record=b2056927</v>
      </c>
      <c r="C9524" s="1" t="str">
        <f>HYPERLINK("https://www.catalog.slsa.sa.gov.au/xrecord=b2056927")</f>
        <v>https://www.catalog.slsa.sa.gov.au/xrecord=b2056927</v>
      </c>
      <c r="D9524" t="s">
        <v>16831</v>
      </c>
      <c r="E9524" t="s">
        <v>16791</v>
      </c>
      <c r="F9524">
        <v>1976</v>
      </c>
      <c r="G9524" t="s">
        <v>16448</v>
      </c>
      <c r="H9524" t="s">
        <v>30458</v>
      </c>
      <c r="J9524" t="s">
        <v>30456</v>
      </c>
      <c r="K9524" s="2" t="str">
        <f>HYPERLINK("http://collections.slsa.sa.gov.au/mpcimg/32750/B32516.htm")</f>
        <v>http://collections.slsa.sa.gov.au/mpcimg/32750/B32516.htm</v>
      </c>
    </row>
    <row r="9525" spans="1:11" x14ac:dyDescent="0.25">
      <c r="A9525" t="s">
        <v>30459</v>
      </c>
      <c r="B9525" s="1" t="str">
        <f>HYPERLINK("https://www.catalog.slsa.sa.gov.au/record=b2056928")</f>
        <v>https://www.catalog.slsa.sa.gov.au/record=b2056928</v>
      </c>
      <c r="C9525" s="1" t="str">
        <f>HYPERLINK("https://www.catalog.slsa.sa.gov.au/xrecord=b2056928")</f>
        <v>https://www.catalog.slsa.sa.gov.au/xrecord=b2056928</v>
      </c>
      <c r="D9525" t="s">
        <v>16831</v>
      </c>
      <c r="E9525" t="s">
        <v>16791</v>
      </c>
      <c r="F9525">
        <v>1976</v>
      </c>
      <c r="G9525" t="s">
        <v>30460</v>
      </c>
      <c r="H9525" t="s">
        <v>30458</v>
      </c>
      <c r="J9525" t="s">
        <v>30456</v>
      </c>
      <c r="K9525" s="2" t="str">
        <f>HYPERLINK("http://collections.slsa.sa.gov.au/mpcimg/32750/B32517.htm")</f>
        <v>http://collections.slsa.sa.gov.au/mpcimg/32750/B32517.htm</v>
      </c>
    </row>
    <row r="9526" spans="1:11" x14ac:dyDescent="0.25">
      <c r="A9526" t="s">
        <v>30461</v>
      </c>
      <c r="B9526" s="1" t="str">
        <f>HYPERLINK("https://www.catalog.slsa.sa.gov.au/record=b2056984")</f>
        <v>https://www.catalog.slsa.sa.gov.au/record=b2056984</v>
      </c>
      <c r="C9526" s="1" t="str">
        <f>HYPERLINK("https://www.catalog.slsa.sa.gov.au/xrecord=b2056984")</f>
        <v>https://www.catalog.slsa.sa.gov.au/xrecord=b2056984</v>
      </c>
      <c r="D9526" t="s">
        <v>16831</v>
      </c>
      <c r="E9526" t="s">
        <v>29070</v>
      </c>
      <c r="F9526">
        <v>1976</v>
      </c>
      <c r="G9526" t="s">
        <v>30462</v>
      </c>
      <c r="H9526" t="s">
        <v>30463</v>
      </c>
      <c r="J9526" t="s">
        <v>28788</v>
      </c>
      <c r="K9526" s="2" t="str">
        <f>HYPERLINK("http://collections.slsa.sa.gov.au/mpcimg/32750/B32667.htm")</f>
        <v>http://collections.slsa.sa.gov.au/mpcimg/32750/B32667.htm</v>
      </c>
    </row>
    <row r="9527" spans="1:11" x14ac:dyDescent="0.25">
      <c r="A9527" t="s">
        <v>30464</v>
      </c>
      <c r="B9527" s="1" t="str">
        <f>HYPERLINK("https://www.catalog.slsa.sa.gov.au/record=b2056985")</f>
        <v>https://www.catalog.slsa.sa.gov.au/record=b2056985</v>
      </c>
      <c r="C9527" s="1" t="str">
        <f>HYPERLINK("https://www.catalog.slsa.sa.gov.au/xrecord=b2056985")</f>
        <v>https://www.catalog.slsa.sa.gov.au/xrecord=b2056985</v>
      </c>
      <c r="D9527" t="s">
        <v>16831</v>
      </c>
      <c r="E9527" t="s">
        <v>29070</v>
      </c>
      <c r="F9527">
        <v>1976</v>
      </c>
      <c r="G9527" t="s">
        <v>30462</v>
      </c>
      <c r="H9527" t="s">
        <v>30465</v>
      </c>
      <c r="J9527" t="s">
        <v>28788</v>
      </c>
      <c r="K9527" s="2" t="str">
        <f>HYPERLINK("http://collections.slsa.sa.gov.au/mpcimg/32750/B32668.htm")</f>
        <v>http://collections.slsa.sa.gov.au/mpcimg/32750/B32668.htm</v>
      </c>
    </row>
    <row r="9528" spans="1:11" x14ac:dyDescent="0.25">
      <c r="A9528" t="s">
        <v>30466</v>
      </c>
      <c r="B9528" s="1" t="str">
        <f>HYPERLINK("https://www.catalog.slsa.sa.gov.au/record=b2058678")</f>
        <v>https://www.catalog.slsa.sa.gov.au/record=b2058678</v>
      </c>
      <c r="C9528" s="1" t="str">
        <f>HYPERLINK("https://www.catalog.slsa.sa.gov.au/xrecord=b2058678")</f>
        <v>https://www.catalog.slsa.sa.gov.au/xrecord=b2058678</v>
      </c>
      <c r="D9528" t="s">
        <v>16831</v>
      </c>
      <c r="E9528" t="s">
        <v>16796</v>
      </c>
      <c r="F9528">
        <v>1976</v>
      </c>
      <c r="G9528" t="s">
        <v>30467</v>
      </c>
      <c r="H9528" t="s">
        <v>30468</v>
      </c>
      <c r="J9528" t="s">
        <v>28388</v>
      </c>
      <c r="K9528" s="2" t="str">
        <f>HYPERLINK("http://collections.slsa.sa.gov.au/mpcimg/32750/B32692.htm")</f>
        <v>http://collections.slsa.sa.gov.au/mpcimg/32750/B32692.htm</v>
      </c>
    </row>
    <row r="9529" spans="1:11" x14ac:dyDescent="0.25">
      <c r="A9529" t="s">
        <v>30469</v>
      </c>
      <c r="B9529" s="1" t="str">
        <f>HYPERLINK("https://www.catalog.slsa.sa.gov.au/record=b2058679")</f>
        <v>https://www.catalog.slsa.sa.gov.au/record=b2058679</v>
      </c>
      <c r="C9529" s="1" t="str">
        <f>HYPERLINK("https://www.catalog.slsa.sa.gov.au/xrecord=b2058679")</f>
        <v>https://www.catalog.slsa.sa.gov.au/xrecord=b2058679</v>
      </c>
      <c r="D9529" t="s">
        <v>16831</v>
      </c>
      <c r="E9529" t="s">
        <v>16796</v>
      </c>
      <c r="F9529">
        <v>1976</v>
      </c>
      <c r="G9529" t="s">
        <v>30470</v>
      </c>
      <c r="H9529" t="s">
        <v>30471</v>
      </c>
      <c r="J9529" t="s">
        <v>28388</v>
      </c>
      <c r="K9529" s="2" t="str">
        <f>HYPERLINK("http://collections.slsa.sa.gov.au/mpcimg/32750/B32691.htm")</f>
        <v>http://collections.slsa.sa.gov.au/mpcimg/32750/B32691.htm</v>
      </c>
    </row>
    <row r="9530" spans="1:11" x14ac:dyDescent="0.25">
      <c r="A9530" t="s">
        <v>30472</v>
      </c>
      <c r="B9530" s="1" t="str">
        <f>HYPERLINK("https://www.catalog.slsa.sa.gov.au/record=b2058680")</f>
        <v>https://www.catalog.slsa.sa.gov.au/record=b2058680</v>
      </c>
      <c r="C9530" s="1" t="str">
        <f>HYPERLINK("https://www.catalog.slsa.sa.gov.au/xrecord=b2058680")</f>
        <v>https://www.catalog.slsa.sa.gov.au/xrecord=b2058680</v>
      </c>
      <c r="D9530" t="s">
        <v>16831</v>
      </c>
      <c r="E9530" t="s">
        <v>16796</v>
      </c>
      <c r="F9530">
        <v>1976</v>
      </c>
      <c r="G9530" t="s">
        <v>30473</v>
      </c>
      <c r="H9530" t="s">
        <v>30474</v>
      </c>
      <c r="J9530" t="s">
        <v>28388</v>
      </c>
      <c r="K9530" s="2" t="str">
        <f>HYPERLINK("http://collections.slsa.sa.gov.au/mpcimg/32750/B32693.htm")</f>
        <v>http://collections.slsa.sa.gov.au/mpcimg/32750/B32693.htm</v>
      </c>
    </row>
    <row r="9531" spans="1:11" x14ac:dyDescent="0.25">
      <c r="A9531" t="s">
        <v>30475</v>
      </c>
      <c r="B9531" s="1" t="str">
        <f>HYPERLINK("https://www.catalog.slsa.sa.gov.au/record=b2059476")</f>
        <v>https://www.catalog.slsa.sa.gov.au/record=b2059476</v>
      </c>
      <c r="C9531" s="1" t="str">
        <f>HYPERLINK("https://www.catalog.slsa.sa.gov.au/xrecord=b2059476")</f>
        <v>https://www.catalog.slsa.sa.gov.au/xrecord=b2059476</v>
      </c>
      <c r="D9531" t="s">
        <v>16831</v>
      </c>
      <c r="E9531" t="s">
        <v>30476</v>
      </c>
      <c r="F9531">
        <v>1976</v>
      </c>
      <c r="G9531" t="s">
        <v>30477</v>
      </c>
      <c r="H9531" t="s">
        <v>30478</v>
      </c>
      <c r="J9531" t="s">
        <v>29086</v>
      </c>
      <c r="K9531" s="2" t="str">
        <f>HYPERLINK("http://collections.slsa.sa.gov.au/mpcimg/32750/B32553.htm")</f>
        <v>http://collections.slsa.sa.gov.au/mpcimg/32750/B32553.htm</v>
      </c>
    </row>
    <row r="9532" spans="1:11" x14ac:dyDescent="0.25">
      <c r="A9532" t="s">
        <v>30479</v>
      </c>
      <c r="B9532" s="1" t="str">
        <f>HYPERLINK("https://www.catalog.slsa.sa.gov.au/record=b2059477")</f>
        <v>https://www.catalog.slsa.sa.gov.au/record=b2059477</v>
      </c>
      <c r="C9532" s="1" t="str">
        <f>HYPERLINK("https://www.catalog.slsa.sa.gov.au/xrecord=b2059477")</f>
        <v>https://www.catalog.slsa.sa.gov.au/xrecord=b2059477</v>
      </c>
      <c r="D9532" t="s">
        <v>16831</v>
      </c>
      <c r="E9532" t="s">
        <v>28764</v>
      </c>
      <c r="F9532">
        <v>1976</v>
      </c>
      <c r="G9532" t="s">
        <v>30480</v>
      </c>
      <c r="H9532" t="s">
        <v>30481</v>
      </c>
      <c r="J9532" t="s">
        <v>29086</v>
      </c>
      <c r="K9532" s="2" t="str">
        <f>HYPERLINK("http://collections.slsa.sa.gov.au/mpcimg/32750/B32554.htm")</f>
        <v>http://collections.slsa.sa.gov.au/mpcimg/32750/B32554.htm</v>
      </c>
    </row>
    <row r="9533" spans="1:11" x14ac:dyDescent="0.25">
      <c r="A9533" t="s">
        <v>30482</v>
      </c>
      <c r="B9533" s="1" t="str">
        <f>HYPERLINK("https://www.catalog.slsa.sa.gov.au/record=b2059545")</f>
        <v>https://www.catalog.slsa.sa.gov.au/record=b2059545</v>
      </c>
      <c r="C9533" s="1" t="str">
        <f>HYPERLINK("https://www.catalog.slsa.sa.gov.au/xrecord=b2059545")</f>
        <v>https://www.catalog.slsa.sa.gov.au/xrecord=b2059545</v>
      </c>
      <c r="D9533" t="s">
        <v>16831</v>
      </c>
      <c r="E9533" t="s">
        <v>24130</v>
      </c>
      <c r="F9533">
        <v>1976</v>
      </c>
      <c r="G9533" t="s">
        <v>30483</v>
      </c>
      <c r="H9533" t="s">
        <v>30484</v>
      </c>
      <c r="J9533" t="s">
        <v>24211</v>
      </c>
      <c r="K9533" s="2" t="str">
        <f>HYPERLINK("http://collections.slsa.sa.gov.au/mpcimg/32750/B32588.htm")</f>
        <v>http://collections.slsa.sa.gov.au/mpcimg/32750/B32588.htm</v>
      </c>
    </row>
    <row r="9534" spans="1:11" x14ac:dyDescent="0.25">
      <c r="A9534" t="s">
        <v>30485</v>
      </c>
      <c r="B9534" s="1" t="str">
        <f>HYPERLINK("https://www.catalog.slsa.sa.gov.au/record=b2059593")</f>
        <v>https://www.catalog.slsa.sa.gov.au/record=b2059593</v>
      </c>
      <c r="C9534" s="1" t="str">
        <f>HYPERLINK("https://www.catalog.slsa.sa.gov.au/xrecord=b2059593")</f>
        <v>https://www.catalog.slsa.sa.gov.au/xrecord=b2059593</v>
      </c>
      <c r="D9534" t="s">
        <v>16831</v>
      </c>
      <c r="E9534" t="s">
        <v>22149</v>
      </c>
      <c r="F9534">
        <v>1976</v>
      </c>
      <c r="G9534" t="s">
        <v>30486</v>
      </c>
      <c r="H9534" t="s">
        <v>30487</v>
      </c>
      <c r="J9534" t="s">
        <v>25390</v>
      </c>
      <c r="K9534" s="2" t="str">
        <f>HYPERLINK("http://collections.slsa.sa.gov.au/mpcimg/32750/B32578.htm")</f>
        <v>http://collections.slsa.sa.gov.au/mpcimg/32750/B32578.htm</v>
      </c>
    </row>
    <row r="9535" spans="1:11" x14ac:dyDescent="0.25">
      <c r="A9535" t="s">
        <v>30488</v>
      </c>
      <c r="B9535" s="1" t="str">
        <f>HYPERLINK("https://www.catalog.slsa.sa.gov.au/record=b2059594")</f>
        <v>https://www.catalog.slsa.sa.gov.au/record=b2059594</v>
      </c>
      <c r="C9535" s="1" t="str">
        <f>HYPERLINK("https://www.catalog.slsa.sa.gov.au/xrecord=b2059594")</f>
        <v>https://www.catalog.slsa.sa.gov.au/xrecord=b2059594</v>
      </c>
      <c r="D9535" t="s">
        <v>16831</v>
      </c>
      <c r="E9535" t="s">
        <v>22149</v>
      </c>
      <c r="F9535">
        <v>1976</v>
      </c>
      <c r="G9535" t="s">
        <v>30489</v>
      </c>
      <c r="H9535" t="s">
        <v>30490</v>
      </c>
      <c r="J9535" t="s">
        <v>25390</v>
      </c>
      <c r="K9535" s="2" t="str">
        <f>HYPERLINK("http://collections.slsa.sa.gov.au/mpcimg/32750/B32579.htm")</f>
        <v>http://collections.slsa.sa.gov.au/mpcimg/32750/B32579.htm</v>
      </c>
    </row>
    <row r="9536" spans="1:11" x14ac:dyDescent="0.25">
      <c r="A9536" t="s">
        <v>30491</v>
      </c>
      <c r="B9536" s="1" t="str">
        <f>HYPERLINK("https://www.catalog.slsa.sa.gov.au/record=b2059647")</f>
        <v>https://www.catalog.slsa.sa.gov.au/record=b2059647</v>
      </c>
      <c r="C9536" s="1" t="str">
        <f>HYPERLINK("https://www.catalog.slsa.sa.gov.au/xrecord=b2059647")</f>
        <v>https://www.catalog.slsa.sa.gov.au/xrecord=b2059647</v>
      </c>
      <c r="D9536" t="s">
        <v>16831</v>
      </c>
      <c r="E9536" t="s">
        <v>22849</v>
      </c>
      <c r="F9536">
        <v>1976</v>
      </c>
      <c r="G9536" t="s">
        <v>15137</v>
      </c>
      <c r="H9536" t="s">
        <v>30492</v>
      </c>
      <c r="J9536" t="s">
        <v>22854</v>
      </c>
      <c r="K9536" s="2" t="str">
        <f>HYPERLINK("http://collections.slsa.sa.gov.au/mpcimg/32750/B32524.htm")</f>
        <v>http://collections.slsa.sa.gov.au/mpcimg/32750/B32524.htm</v>
      </c>
    </row>
    <row r="9537" spans="1:11" x14ac:dyDescent="0.25">
      <c r="A9537" t="s">
        <v>30493</v>
      </c>
      <c r="B9537" s="1" t="str">
        <f>HYPERLINK("https://www.catalog.slsa.sa.gov.au/record=b2059649")</f>
        <v>https://www.catalog.slsa.sa.gov.au/record=b2059649</v>
      </c>
      <c r="C9537" s="1" t="str">
        <f>HYPERLINK("https://www.catalog.slsa.sa.gov.au/xrecord=b2059649")</f>
        <v>https://www.catalog.slsa.sa.gov.au/xrecord=b2059649</v>
      </c>
      <c r="D9537" t="s">
        <v>16831</v>
      </c>
      <c r="E9537" t="s">
        <v>22849</v>
      </c>
      <c r="F9537">
        <v>1976</v>
      </c>
      <c r="G9537" t="s">
        <v>14809</v>
      </c>
      <c r="H9537" t="s">
        <v>30494</v>
      </c>
      <c r="J9537" t="s">
        <v>22854</v>
      </c>
      <c r="K9537" s="2" t="str">
        <f>HYPERLINK("http://collections.slsa.sa.gov.au/mpcimg/32750/B32525.htm")</f>
        <v>http://collections.slsa.sa.gov.au/mpcimg/32750/B32525.htm</v>
      </c>
    </row>
    <row r="9538" spans="1:11" x14ac:dyDescent="0.25">
      <c r="A9538" t="s">
        <v>30495</v>
      </c>
      <c r="B9538" s="1" t="str">
        <f>HYPERLINK("https://www.catalog.slsa.sa.gov.au/record=b2060237")</f>
        <v>https://www.catalog.slsa.sa.gov.au/record=b2060237</v>
      </c>
      <c r="C9538" s="1" t="str">
        <f>HYPERLINK("https://www.catalog.slsa.sa.gov.au/xrecord=b2060237")</f>
        <v>https://www.catalog.slsa.sa.gov.au/xrecord=b2060237</v>
      </c>
      <c r="D9538" t="s">
        <v>16831</v>
      </c>
      <c r="E9538" t="s">
        <v>29584</v>
      </c>
      <c r="F9538">
        <v>1976</v>
      </c>
      <c r="G9538" t="s">
        <v>30496</v>
      </c>
      <c r="H9538" t="s">
        <v>30497</v>
      </c>
      <c r="J9538" t="s">
        <v>27360</v>
      </c>
      <c r="K9538" s="2" t="str">
        <f>HYPERLINK("http://collections.slsa.sa.gov.au/mpcimg/32750/B32589.htm")</f>
        <v>http://collections.slsa.sa.gov.au/mpcimg/32750/B32589.htm</v>
      </c>
    </row>
    <row r="9539" spans="1:11" x14ac:dyDescent="0.25">
      <c r="A9539" t="s">
        <v>30498</v>
      </c>
      <c r="B9539" s="1" t="str">
        <f>HYPERLINK("https://www.catalog.slsa.sa.gov.au/record=b2060238")</f>
        <v>https://www.catalog.slsa.sa.gov.au/record=b2060238</v>
      </c>
      <c r="C9539" s="1" t="str">
        <f>HYPERLINK("https://www.catalog.slsa.sa.gov.au/xrecord=b2060238")</f>
        <v>https://www.catalog.slsa.sa.gov.au/xrecord=b2060238</v>
      </c>
      <c r="D9539" t="s">
        <v>16831</v>
      </c>
      <c r="E9539" t="s">
        <v>29584</v>
      </c>
      <c r="F9539">
        <v>1976</v>
      </c>
      <c r="G9539" t="s">
        <v>30499</v>
      </c>
      <c r="H9539" t="s">
        <v>30500</v>
      </c>
      <c r="J9539" t="s">
        <v>27360</v>
      </c>
      <c r="K9539" s="2" t="str">
        <f>HYPERLINK("http://collections.slsa.sa.gov.au/mpcimg/32750/B32590.htm")</f>
        <v>http://collections.slsa.sa.gov.au/mpcimg/32750/B32590.htm</v>
      </c>
    </row>
    <row r="9540" spans="1:11" x14ac:dyDescent="0.25">
      <c r="A9540" t="s">
        <v>30501</v>
      </c>
      <c r="B9540" s="1" t="str">
        <f>HYPERLINK("https://www.catalog.slsa.sa.gov.au/record=b2062235")</f>
        <v>https://www.catalog.slsa.sa.gov.au/record=b2062235</v>
      </c>
      <c r="C9540" s="1" t="str">
        <f>HYPERLINK("https://www.catalog.slsa.sa.gov.au/xrecord=b2062235")</f>
        <v>https://www.catalog.slsa.sa.gov.au/xrecord=b2062235</v>
      </c>
      <c r="D9540" t="s">
        <v>16831</v>
      </c>
      <c r="E9540" t="s">
        <v>10268</v>
      </c>
      <c r="F9540">
        <v>1976</v>
      </c>
      <c r="G9540" t="s">
        <v>30502</v>
      </c>
      <c r="H9540" t="s">
        <v>30503</v>
      </c>
      <c r="J9540" t="s">
        <v>26418</v>
      </c>
      <c r="K9540" s="2" t="str">
        <f>HYPERLINK("http://collections.slsa.sa.gov.au/mpcimg/32750/B32627.htm")</f>
        <v>http://collections.slsa.sa.gov.au/mpcimg/32750/B32627.htm</v>
      </c>
    </row>
    <row r="9541" spans="1:11" x14ac:dyDescent="0.25">
      <c r="A9541" t="s">
        <v>30504</v>
      </c>
      <c r="B9541" s="1" t="str">
        <f>HYPERLINK("https://www.catalog.slsa.sa.gov.au/record=b2062236")</f>
        <v>https://www.catalog.slsa.sa.gov.au/record=b2062236</v>
      </c>
      <c r="C9541" s="1" t="str">
        <f>HYPERLINK("https://www.catalog.slsa.sa.gov.au/xrecord=b2062236")</f>
        <v>https://www.catalog.slsa.sa.gov.au/xrecord=b2062236</v>
      </c>
      <c r="D9541" t="s">
        <v>16831</v>
      </c>
      <c r="E9541" t="s">
        <v>10268</v>
      </c>
      <c r="F9541">
        <v>1976</v>
      </c>
      <c r="G9541" t="s">
        <v>30505</v>
      </c>
      <c r="H9541" t="s">
        <v>30503</v>
      </c>
      <c r="J9541" t="s">
        <v>26418</v>
      </c>
      <c r="K9541" s="2" t="str">
        <f>HYPERLINK("http://collections.slsa.sa.gov.au/mpcimg/32750/B32628.htm")</f>
        <v>http://collections.slsa.sa.gov.au/mpcimg/32750/B32628.htm</v>
      </c>
    </row>
    <row r="9542" spans="1:11" x14ac:dyDescent="0.25">
      <c r="A9542" t="s">
        <v>30506</v>
      </c>
      <c r="B9542" s="1" t="str">
        <f>HYPERLINK("https://www.catalog.slsa.sa.gov.au/record=b2062237")</f>
        <v>https://www.catalog.slsa.sa.gov.au/record=b2062237</v>
      </c>
      <c r="C9542" s="1" t="str">
        <f>HYPERLINK("https://www.catalog.slsa.sa.gov.au/xrecord=b2062237")</f>
        <v>https://www.catalog.slsa.sa.gov.au/xrecord=b2062237</v>
      </c>
      <c r="D9542" t="s">
        <v>16831</v>
      </c>
      <c r="E9542" t="s">
        <v>10268</v>
      </c>
      <c r="F9542">
        <v>1976</v>
      </c>
      <c r="G9542" t="s">
        <v>30507</v>
      </c>
      <c r="H9542" t="s">
        <v>30503</v>
      </c>
      <c r="J9542" t="s">
        <v>26418</v>
      </c>
      <c r="K9542" s="2" t="str">
        <f>HYPERLINK("http://collections.slsa.sa.gov.au/mpcimg/32750/B32629.htm")</f>
        <v>http://collections.slsa.sa.gov.au/mpcimg/32750/B32629.htm</v>
      </c>
    </row>
    <row r="9543" spans="1:11" x14ac:dyDescent="0.25">
      <c r="A9543" t="s">
        <v>30508</v>
      </c>
      <c r="B9543" s="1" t="str">
        <f>HYPERLINK("https://www.catalog.slsa.sa.gov.au/record=b2062984")</f>
        <v>https://www.catalog.slsa.sa.gov.au/record=b2062984</v>
      </c>
      <c r="C9543" s="1" t="str">
        <f>HYPERLINK("https://www.catalog.slsa.sa.gov.au/xrecord=b2062984")</f>
        <v>https://www.catalog.slsa.sa.gov.au/xrecord=b2062984</v>
      </c>
      <c r="D9543" t="s">
        <v>16831</v>
      </c>
      <c r="E9543" t="s">
        <v>28691</v>
      </c>
      <c r="F9543">
        <v>1976</v>
      </c>
      <c r="G9543" t="s">
        <v>30509</v>
      </c>
      <c r="H9543" t="s">
        <v>30510</v>
      </c>
      <c r="J9543" t="s">
        <v>28492</v>
      </c>
      <c r="K9543" s="2" t="str">
        <f>HYPERLINK("http://collections.slsa.sa.gov.au/mpcimg/32750/B32632.htm")</f>
        <v>http://collections.slsa.sa.gov.au/mpcimg/32750/B32632.htm</v>
      </c>
    </row>
    <row r="9544" spans="1:11" x14ac:dyDescent="0.25">
      <c r="A9544" t="s">
        <v>30511</v>
      </c>
      <c r="B9544" s="1" t="str">
        <f>HYPERLINK("https://www.catalog.slsa.sa.gov.au/record=b2062985")</f>
        <v>https://www.catalog.slsa.sa.gov.au/record=b2062985</v>
      </c>
      <c r="C9544" s="1" t="str">
        <f>HYPERLINK("https://www.catalog.slsa.sa.gov.au/xrecord=b2062985")</f>
        <v>https://www.catalog.slsa.sa.gov.au/xrecord=b2062985</v>
      </c>
      <c r="D9544" t="s">
        <v>16831</v>
      </c>
      <c r="E9544" t="s">
        <v>28691</v>
      </c>
      <c r="F9544">
        <v>1976</v>
      </c>
      <c r="G9544" t="s">
        <v>20828</v>
      </c>
      <c r="H9544" t="s">
        <v>30512</v>
      </c>
      <c r="J9544" t="s">
        <v>28492</v>
      </c>
      <c r="K9544" s="2" t="str">
        <f>HYPERLINK("http://collections.slsa.sa.gov.au/mpcimg/32750/B32633.htm")</f>
        <v>http://collections.slsa.sa.gov.au/mpcimg/32750/B32633.htm</v>
      </c>
    </row>
    <row r="9545" spans="1:11" x14ac:dyDescent="0.25">
      <c r="A9545" t="s">
        <v>30513</v>
      </c>
      <c r="B9545" s="1" t="str">
        <f>HYPERLINK("https://www.catalog.slsa.sa.gov.au/record=b2062986")</f>
        <v>https://www.catalog.slsa.sa.gov.au/record=b2062986</v>
      </c>
      <c r="C9545" s="1" t="str">
        <f>HYPERLINK("https://www.catalog.slsa.sa.gov.au/xrecord=b2062986")</f>
        <v>https://www.catalog.slsa.sa.gov.au/xrecord=b2062986</v>
      </c>
      <c r="D9545" t="s">
        <v>16831</v>
      </c>
      <c r="E9545" t="s">
        <v>28691</v>
      </c>
      <c r="F9545">
        <v>1976</v>
      </c>
      <c r="G9545" t="s">
        <v>30514</v>
      </c>
      <c r="H9545" t="s">
        <v>30512</v>
      </c>
      <c r="J9545" t="s">
        <v>28492</v>
      </c>
      <c r="K9545" s="2" t="str">
        <f>HYPERLINK("http://collections.slsa.sa.gov.au/mpcimg/32750/B32634.htm")</f>
        <v>http://collections.slsa.sa.gov.au/mpcimg/32750/B32634.htm</v>
      </c>
    </row>
    <row r="9546" spans="1:11" x14ac:dyDescent="0.25">
      <c r="A9546" t="s">
        <v>30515</v>
      </c>
      <c r="B9546" s="1" t="str">
        <f>HYPERLINK("https://www.catalog.slsa.sa.gov.au/record=b2064430")</f>
        <v>https://www.catalog.slsa.sa.gov.au/record=b2064430</v>
      </c>
      <c r="C9546" s="1" t="str">
        <f>HYPERLINK("https://www.catalog.slsa.sa.gov.au/xrecord=b2064430")</f>
        <v>https://www.catalog.slsa.sa.gov.au/xrecord=b2064430</v>
      </c>
      <c r="D9546" t="s">
        <v>16831</v>
      </c>
      <c r="E9546" t="s">
        <v>29231</v>
      </c>
      <c r="F9546">
        <v>1976</v>
      </c>
      <c r="G9546" t="s">
        <v>30516</v>
      </c>
      <c r="H9546" t="s">
        <v>30517</v>
      </c>
      <c r="J9546" t="s">
        <v>27821</v>
      </c>
      <c r="K9546" s="2" t="str">
        <f>HYPERLINK("http://collections.slsa.sa.gov.au/mpcimg/32750/B32681.htm")</f>
        <v>http://collections.slsa.sa.gov.au/mpcimg/32750/B32681.htm</v>
      </c>
    </row>
    <row r="9547" spans="1:11" x14ac:dyDescent="0.25">
      <c r="A9547" t="s">
        <v>30518</v>
      </c>
      <c r="B9547" s="1" t="str">
        <f>HYPERLINK("https://www.catalog.slsa.sa.gov.au/record=b2064431")</f>
        <v>https://www.catalog.slsa.sa.gov.au/record=b2064431</v>
      </c>
      <c r="C9547" s="1" t="str">
        <f>HYPERLINK("https://www.catalog.slsa.sa.gov.au/xrecord=b2064431")</f>
        <v>https://www.catalog.slsa.sa.gov.au/xrecord=b2064431</v>
      </c>
      <c r="D9547" t="s">
        <v>16831</v>
      </c>
      <c r="E9547" t="s">
        <v>29231</v>
      </c>
      <c r="F9547">
        <v>1976</v>
      </c>
      <c r="G9547" t="s">
        <v>30519</v>
      </c>
      <c r="H9547" t="s">
        <v>30520</v>
      </c>
      <c r="J9547" t="s">
        <v>27821</v>
      </c>
      <c r="K9547" s="2" t="str">
        <f>HYPERLINK("http://collections.slsa.sa.gov.au/mpcimg/32750/B32682.htm")</f>
        <v>http://collections.slsa.sa.gov.au/mpcimg/32750/B32682.htm</v>
      </c>
    </row>
    <row r="9548" spans="1:11" x14ac:dyDescent="0.25">
      <c r="A9548" t="s">
        <v>30521</v>
      </c>
      <c r="B9548" s="1" t="str">
        <f>HYPERLINK("https://www.catalog.slsa.sa.gov.au/record=b2064746")</f>
        <v>https://www.catalog.slsa.sa.gov.au/record=b2064746</v>
      </c>
      <c r="C9548" s="1" t="str">
        <f>HYPERLINK("https://www.catalog.slsa.sa.gov.au/xrecord=b2064746")</f>
        <v>https://www.catalog.slsa.sa.gov.au/xrecord=b2064746</v>
      </c>
      <c r="D9548" t="s">
        <v>16831</v>
      </c>
      <c r="E9548" t="s">
        <v>30522</v>
      </c>
      <c r="F9548">
        <v>1976</v>
      </c>
      <c r="G9548" t="s">
        <v>30523</v>
      </c>
      <c r="H9548" t="s">
        <v>30524</v>
      </c>
      <c r="J9548" t="s">
        <v>30525</v>
      </c>
      <c r="K9548" s="2" t="str">
        <f>HYPERLINK("http://collections.slsa.sa.gov.au/mpcimg/32750/B32596.htm")</f>
        <v>http://collections.slsa.sa.gov.au/mpcimg/32750/B32596.htm</v>
      </c>
    </row>
    <row r="9549" spans="1:11" x14ac:dyDescent="0.25">
      <c r="A9549" t="s">
        <v>30526</v>
      </c>
      <c r="B9549" s="1" t="str">
        <f>HYPERLINK("https://www.catalog.slsa.sa.gov.au/record=b2064747")</f>
        <v>https://www.catalog.slsa.sa.gov.au/record=b2064747</v>
      </c>
      <c r="C9549" s="1" t="str">
        <f>HYPERLINK("https://www.catalog.slsa.sa.gov.au/xrecord=b2064747")</f>
        <v>https://www.catalog.slsa.sa.gov.au/xrecord=b2064747</v>
      </c>
      <c r="D9549" t="s">
        <v>16831</v>
      </c>
      <c r="E9549" t="s">
        <v>30522</v>
      </c>
      <c r="F9549">
        <v>1976</v>
      </c>
      <c r="G9549" t="s">
        <v>30527</v>
      </c>
      <c r="H9549" t="s">
        <v>30528</v>
      </c>
      <c r="J9549" t="s">
        <v>30525</v>
      </c>
      <c r="K9549" s="2" t="str">
        <f>HYPERLINK("http://collections.slsa.sa.gov.au/mpcimg/32750/B32595.htm")</f>
        <v>http://collections.slsa.sa.gov.au/mpcimg/32750/B32595.htm</v>
      </c>
    </row>
    <row r="9550" spans="1:11" x14ac:dyDescent="0.25">
      <c r="A9550" t="s">
        <v>30529</v>
      </c>
      <c r="B9550" s="1" t="str">
        <f>HYPERLINK("https://www.catalog.slsa.sa.gov.au/record=b2018942")</f>
        <v>https://www.catalog.slsa.sa.gov.au/record=b2018942</v>
      </c>
      <c r="C9550" s="1" t="str">
        <f>HYPERLINK("https://www.catalog.slsa.sa.gov.au/xrecord=b2018942")</f>
        <v>https://www.catalog.slsa.sa.gov.au/xrecord=b2018942</v>
      </c>
      <c r="D9550" t="s">
        <v>16831</v>
      </c>
      <c r="E9550" t="s">
        <v>30530</v>
      </c>
      <c r="F9550">
        <v>1977</v>
      </c>
      <c r="G9550" t="s">
        <v>14809</v>
      </c>
      <c r="H9550" t="s">
        <v>30531</v>
      </c>
      <c r="I9550" t="s">
        <v>30532</v>
      </c>
      <c r="J9550" t="s">
        <v>30533</v>
      </c>
      <c r="K9550" s="2" t="str">
        <f>HYPERLINK("http://collections.slsa.sa.gov.au/mpcimg/36500/B36445.htm")</f>
        <v>http://collections.slsa.sa.gov.au/mpcimg/36500/B36445.htm</v>
      </c>
    </row>
    <row r="9551" spans="1:11" x14ac:dyDescent="0.25">
      <c r="A9551" t="s">
        <v>30534</v>
      </c>
      <c r="B9551" s="1" t="str">
        <f>HYPERLINK("https://www.catalog.slsa.sa.gov.au/record=b2018943")</f>
        <v>https://www.catalog.slsa.sa.gov.au/record=b2018943</v>
      </c>
      <c r="C9551" s="1" t="str">
        <f>HYPERLINK("https://www.catalog.slsa.sa.gov.au/xrecord=b2018943")</f>
        <v>https://www.catalog.slsa.sa.gov.au/xrecord=b2018943</v>
      </c>
      <c r="D9551" t="s">
        <v>16831</v>
      </c>
      <c r="E9551" t="s">
        <v>30530</v>
      </c>
      <c r="F9551">
        <v>1977</v>
      </c>
      <c r="G9551" t="s">
        <v>14809</v>
      </c>
      <c r="H9551" t="s">
        <v>30535</v>
      </c>
      <c r="I9551" t="s">
        <v>30532</v>
      </c>
      <c r="J9551" t="s">
        <v>30533</v>
      </c>
      <c r="K9551" s="2" t="str">
        <f>HYPERLINK("http://collections.slsa.sa.gov.au/mpcimg/36500/B36446.htm")</f>
        <v>http://collections.slsa.sa.gov.au/mpcimg/36500/B36446.htm</v>
      </c>
    </row>
    <row r="9552" spans="1:11" x14ac:dyDescent="0.25">
      <c r="A9552" t="s">
        <v>30536</v>
      </c>
      <c r="B9552" s="1" t="str">
        <f>HYPERLINK("https://www.catalog.slsa.sa.gov.au/record=b2018944")</f>
        <v>https://www.catalog.slsa.sa.gov.au/record=b2018944</v>
      </c>
      <c r="C9552" s="1" t="str">
        <f>HYPERLINK("https://www.catalog.slsa.sa.gov.au/xrecord=b2018944")</f>
        <v>https://www.catalog.slsa.sa.gov.au/xrecord=b2018944</v>
      </c>
      <c r="D9552" t="s">
        <v>16831</v>
      </c>
      <c r="E9552" t="s">
        <v>30530</v>
      </c>
      <c r="F9552">
        <v>1977</v>
      </c>
      <c r="G9552" t="s">
        <v>15147</v>
      </c>
      <c r="H9552" t="s">
        <v>30537</v>
      </c>
      <c r="I9552" t="s">
        <v>30532</v>
      </c>
      <c r="J9552" t="s">
        <v>30533</v>
      </c>
      <c r="K9552" s="2" t="str">
        <f>HYPERLINK("http://collections.slsa.sa.gov.au/mpcimg/36500/B36447.htm")</f>
        <v>http://collections.slsa.sa.gov.au/mpcimg/36500/B36447.htm</v>
      </c>
    </row>
    <row r="9553" spans="1:11" x14ac:dyDescent="0.25">
      <c r="A9553" t="s">
        <v>30538</v>
      </c>
      <c r="B9553" s="1" t="str">
        <f>HYPERLINK("https://www.catalog.slsa.sa.gov.au/record=b2018945")</f>
        <v>https://www.catalog.slsa.sa.gov.au/record=b2018945</v>
      </c>
      <c r="C9553" s="1" t="str">
        <f>HYPERLINK("https://www.catalog.slsa.sa.gov.au/xrecord=b2018945")</f>
        <v>https://www.catalog.slsa.sa.gov.au/xrecord=b2018945</v>
      </c>
      <c r="D9553" t="s">
        <v>16831</v>
      </c>
      <c r="E9553" t="s">
        <v>30530</v>
      </c>
      <c r="F9553">
        <v>1977</v>
      </c>
      <c r="G9553" t="s">
        <v>14809</v>
      </c>
      <c r="H9553" t="s">
        <v>30539</v>
      </c>
      <c r="I9553" t="s">
        <v>30532</v>
      </c>
      <c r="J9553" t="s">
        <v>30533</v>
      </c>
      <c r="K9553" s="2" t="str">
        <f>HYPERLINK("http://collections.slsa.sa.gov.au/mpcimg/36500/B36448.htm")</f>
        <v>http://collections.slsa.sa.gov.au/mpcimg/36500/B36448.htm</v>
      </c>
    </row>
    <row r="9554" spans="1:11" x14ac:dyDescent="0.25">
      <c r="A9554" t="s">
        <v>30540</v>
      </c>
      <c r="B9554" s="1" t="str">
        <f>HYPERLINK("https://www.catalog.slsa.sa.gov.au/record=b2018946")</f>
        <v>https://www.catalog.slsa.sa.gov.au/record=b2018946</v>
      </c>
      <c r="C9554" s="1" t="str">
        <f>HYPERLINK("https://www.catalog.slsa.sa.gov.au/xrecord=b2018946")</f>
        <v>https://www.catalog.slsa.sa.gov.au/xrecord=b2018946</v>
      </c>
      <c r="D9554" t="s">
        <v>16831</v>
      </c>
      <c r="E9554" t="s">
        <v>30530</v>
      </c>
      <c r="F9554">
        <v>1977</v>
      </c>
      <c r="G9554" t="s">
        <v>14809</v>
      </c>
      <c r="H9554" t="s">
        <v>30541</v>
      </c>
      <c r="I9554" t="s">
        <v>30532</v>
      </c>
      <c r="J9554" t="s">
        <v>30533</v>
      </c>
      <c r="K9554" s="2" t="str">
        <f>HYPERLINK("http://collections.slsa.sa.gov.au/mpcimg/36500/B36449.htm")</f>
        <v>http://collections.slsa.sa.gov.au/mpcimg/36500/B36449.htm</v>
      </c>
    </row>
    <row r="9555" spans="1:11" x14ac:dyDescent="0.25">
      <c r="A9555" t="s">
        <v>30542</v>
      </c>
      <c r="B9555" s="1" t="str">
        <f>HYPERLINK("https://www.catalog.slsa.sa.gov.au/record=b2018947")</f>
        <v>https://www.catalog.slsa.sa.gov.au/record=b2018947</v>
      </c>
      <c r="C9555" s="1" t="str">
        <f>HYPERLINK("https://www.catalog.slsa.sa.gov.au/xrecord=b2018947")</f>
        <v>https://www.catalog.slsa.sa.gov.au/xrecord=b2018947</v>
      </c>
      <c r="D9555" t="s">
        <v>16831</v>
      </c>
      <c r="E9555" t="s">
        <v>30530</v>
      </c>
      <c r="F9555">
        <v>1977</v>
      </c>
      <c r="G9555" t="s">
        <v>14809</v>
      </c>
      <c r="H9555" t="s">
        <v>30543</v>
      </c>
      <c r="I9555" t="s">
        <v>30544</v>
      </c>
      <c r="J9555" t="s">
        <v>30533</v>
      </c>
      <c r="K9555" s="2" t="str">
        <f>HYPERLINK("http://collections.slsa.sa.gov.au/mpcimg/36500/B36450.htm")</f>
        <v>http://collections.slsa.sa.gov.au/mpcimg/36500/B36450.htm</v>
      </c>
    </row>
    <row r="9556" spans="1:11" x14ac:dyDescent="0.25">
      <c r="A9556" t="s">
        <v>30545</v>
      </c>
      <c r="B9556" s="1" t="str">
        <f>HYPERLINK("https://www.catalog.slsa.sa.gov.au/record=b2018948")</f>
        <v>https://www.catalog.slsa.sa.gov.au/record=b2018948</v>
      </c>
      <c r="C9556" s="1" t="str">
        <f>HYPERLINK("https://www.catalog.slsa.sa.gov.au/xrecord=b2018948")</f>
        <v>https://www.catalog.slsa.sa.gov.au/xrecord=b2018948</v>
      </c>
      <c r="D9556" t="s">
        <v>16831</v>
      </c>
      <c r="E9556" t="s">
        <v>30530</v>
      </c>
      <c r="F9556">
        <v>1977</v>
      </c>
      <c r="G9556" t="s">
        <v>14809</v>
      </c>
      <c r="H9556" t="s">
        <v>30546</v>
      </c>
      <c r="I9556" t="s">
        <v>30547</v>
      </c>
      <c r="J9556" t="s">
        <v>30533</v>
      </c>
      <c r="K9556" s="2" t="str">
        <f>HYPERLINK("http://collections.slsa.sa.gov.au/mpcimg/36500/B36451.htm")</f>
        <v>http://collections.slsa.sa.gov.au/mpcimg/36500/B36451.htm</v>
      </c>
    </row>
    <row r="9557" spans="1:11" x14ac:dyDescent="0.25">
      <c r="A9557" t="s">
        <v>30548</v>
      </c>
      <c r="B9557" s="1" t="str">
        <f>HYPERLINK("https://www.catalog.slsa.sa.gov.au/record=b2018949")</f>
        <v>https://www.catalog.slsa.sa.gov.au/record=b2018949</v>
      </c>
      <c r="C9557" s="1" t="str">
        <f>HYPERLINK("https://www.catalog.slsa.sa.gov.au/xrecord=b2018949")</f>
        <v>https://www.catalog.slsa.sa.gov.au/xrecord=b2018949</v>
      </c>
      <c r="D9557" t="s">
        <v>16831</v>
      </c>
      <c r="E9557" t="s">
        <v>30530</v>
      </c>
      <c r="F9557">
        <v>1977</v>
      </c>
      <c r="G9557" t="s">
        <v>14809</v>
      </c>
      <c r="H9557" t="s">
        <v>30549</v>
      </c>
      <c r="I9557" t="s">
        <v>30550</v>
      </c>
      <c r="J9557" t="s">
        <v>30533</v>
      </c>
      <c r="K9557" s="2" t="str">
        <f>HYPERLINK("http://collections.slsa.sa.gov.au/mpcimg/36500/B36452.htm")</f>
        <v>http://collections.slsa.sa.gov.au/mpcimg/36500/B36452.htm</v>
      </c>
    </row>
    <row r="9558" spans="1:11" x14ac:dyDescent="0.25">
      <c r="A9558" t="s">
        <v>30551</v>
      </c>
      <c r="B9558" s="1" t="str">
        <f>HYPERLINK("https://www.catalog.slsa.sa.gov.au/record=b2018950")</f>
        <v>https://www.catalog.slsa.sa.gov.au/record=b2018950</v>
      </c>
      <c r="C9558" s="1" t="str">
        <f>HYPERLINK("https://www.catalog.slsa.sa.gov.au/xrecord=b2018950")</f>
        <v>https://www.catalog.slsa.sa.gov.au/xrecord=b2018950</v>
      </c>
      <c r="D9558" t="s">
        <v>16831</v>
      </c>
      <c r="E9558" t="s">
        <v>30530</v>
      </c>
      <c r="F9558">
        <v>1977</v>
      </c>
      <c r="G9558" t="s">
        <v>14809</v>
      </c>
      <c r="H9558" t="s">
        <v>30549</v>
      </c>
      <c r="I9558" t="s">
        <v>30544</v>
      </c>
      <c r="J9558" t="s">
        <v>30533</v>
      </c>
      <c r="K9558" s="2" t="str">
        <f>HYPERLINK("http://collections.slsa.sa.gov.au/mpcimg/36500/B36453.htm")</f>
        <v>http://collections.slsa.sa.gov.au/mpcimg/36500/B36453.htm</v>
      </c>
    </row>
    <row r="9559" spans="1:11" x14ac:dyDescent="0.25">
      <c r="A9559" t="s">
        <v>30552</v>
      </c>
      <c r="B9559" s="1" t="str">
        <f>HYPERLINK("https://www.catalog.slsa.sa.gov.au/record=b2018951")</f>
        <v>https://www.catalog.slsa.sa.gov.au/record=b2018951</v>
      </c>
      <c r="C9559" s="1" t="str">
        <f>HYPERLINK("https://www.catalog.slsa.sa.gov.au/xrecord=b2018951")</f>
        <v>https://www.catalog.slsa.sa.gov.au/xrecord=b2018951</v>
      </c>
      <c r="D9559" t="s">
        <v>16831</v>
      </c>
      <c r="E9559" t="s">
        <v>30530</v>
      </c>
      <c r="F9559">
        <v>1977</v>
      </c>
      <c r="G9559" t="s">
        <v>14809</v>
      </c>
      <c r="H9559" t="s">
        <v>30549</v>
      </c>
      <c r="I9559" t="s">
        <v>30544</v>
      </c>
      <c r="J9559" t="s">
        <v>30533</v>
      </c>
      <c r="K9559" s="2" t="str">
        <f>HYPERLINK("http://collections.slsa.sa.gov.au/mpcimg/36500/B36454.htm")</f>
        <v>http://collections.slsa.sa.gov.au/mpcimg/36500/B36454.htm</v>
      </c>
    </row>
    <row r="9560" spans="1:11" x14ac:dyDescent="0.25">
      <c r="A9560" t="s">
        <v>30553</v>
      </c>
      <c r="B9560" s="1" t="str">
        <f>HYPERLINK("https://www.catalog.slsa.sa.gov.au/record=b2018952")</f>
        <v>https://www.catalog.slsa.sa.gov.au/record=b2018952</v>
      </c>
      <c r="C9560" s="1" t="str">
        <f>HYPERLINK("https://www.catalog.slsa.sa.gov.au/xrecord=b2018952")</f>
        <v>https://www.catalog.slsa.sa.gov.au/xrecord=b2018952</v>
      </c>
      <c r="D9560" t="s">
        <v>16831</v>
      </c>
      <c r="E9560" t="s">
        <v>30530</v>
      </c>
      <c r="F9560">
        <v>1977</v>
      </c>
      <c r="G9560" t="s">
        <v>14809</v>
      </c>
      <c r="H9560" t="s">
        <v>30554</v>
      </c>
      <c r="I9560" t="s">
        <v>30555</v>
      </c>
      <c r="J9560" t="s">
        <v>30533</v>
      </c>
      <c r="K9560" s="2" t="str">
        <f>HYPERLINK("http://collections.slsa.sa.gov.au/mpcimg/36500/B36456.htm")</f>
        <v>http://collections.slsa.sa.gov.au/mpcimg/36500/B36456.htm</v>
      </c>
    </row>
    <row r="9561" spans="1:11" x14ac:dyDescent="0.25">
      <c r="A9561" t="s">
        <v>30556</v>
      </c>
      <c r="B9561" s="1" t="str">
        <f>HYPERLINK("https://www.catalog.slsa.sa.gov.au/record=b2018953")</f>
        <v>https://www.catalog.slsa.sa.gov.au/record=b2018953</v>
      </c>
      <c r="C9561" s="1" t="str">
        <f>HYPERLINK("https://www.catalog.slsa.sa.gov.au/xrecord=b2018953")</f>
        <v>https://www.catalog.slsa.sa.gov.au/xrecord=b2018953</v>
      </c>
      <c r="D9561" t="s">
        <v>16831</v>
      </c>
      <c r="E9561" t="s">
        <v>30530</v>
      </c>
      <c r="F9561">
        <v>1977</v>
      </c>
      <c r="G9561" t="s">
        <v>14809</v>
      </c>
      <c r="H9561" t="s">
        <v>30557</v>
      </c>
      <c r="I9561" t="s">
        <v>30558</v>
      </c>
      <c r="J9561" t="s">
        <v>30533</v>
      </c>
      <c r="K9561" s="2" t="str">
        <f>HYPERLINK("http://collections.slsa.sa.gov.au/mpcimg/36500/B36455.htm")</f>
        <v>http://collections.slsa.sa.gov.au/mpcimg/36500/B36455.htm</v>
      </c>
    </row>
    <row r="9562" spans="1:11" x14ac:dyDescent="0.25">
      <c r="A9562" t="s">
        <v>30559</v>
      </c>
      <c r="B9562" s="1" t="str">
        <f>HYPERLINK("https://www.catalog.slsa.sa.gov.au/record=b2018954")</f>
        <v>https://www.catalog.slsa.sa.gov.au/record=b2018954</v>
      </c>
      <c r="C9562" s="1" t="str">
        <f>HYPERLINK("https://www.catalog.slsa.sa.gov.au/xrecord=b2018954")</f>
        <v>https://www.catalog.slsa.sa.gov.au/xrecord=b2018954</v>
      </c>
      <c r="D9562" t="s">
        <v>16831</v>
      </c>
      <c r="E9562" t="s">
        <v>30560</v>
      </c>
      <c r="F9562">
        <v>1977</v>
      </c>
      <c r="G9562" t="s">
        <v>14809</v>
      </c>
      <c r="H9562" t="s">
        <v>30549</v>
      </c>
      <c r="I9562" t="s">
        <v>30544</v>
      </c>
      <c r="J9562" t="s">
        <v>30533</v>
      </c>
      <c r="K9562" s="2" t="str">
        <f>HYPERLINK("http://collections.slsa.sa.gov.au/mpcimg/36500/B36457.htm")</f>
        <v>http://collections.slsa.sa.gov.au/mpcimg/36500/B36457.htm</v>
      </c>
    </row>
    <row r="9563" spans="1:11" x14ac:dyDescent="0.25">
      <c r="A9563" t="s">
        <v>30561</v>
      </c>
      <c r="B9563" s="1" t="str">
        <f>HYPERLINK("https://www.catalog.slsa.sa.gov.au/record=b2018956")</f>
        <v>https://www.catalog.slsa.sa.gov.au/record=b2018956</v>
      </c>
      <c r="C9563" s="1" t="str">
        <f>HYPERLINK("https://www.catalog.slsa.sa.gov.au/xrecord=b2018956")</f>
        <v>https://www.catalog.slsa.sa.gov.au/xrecord=b2018956</v>
      </c>
      <c r="D9563" t="s">
        <v>16831</v>
      </c>
      <c r="E9563" t="s">
        <v>30562</v>
      </c>
      <c r="F9563">
        <v>1977</v>
      </c>
      <c r="G9563" t="s">
        <v>14809</v>
      </c>
      <c r="H9563" t="s">
        <v>30563</v>
      </c>
      <c r="I9563" t="s">
        <v>30564</v>
      </c>
      <c r="J9563" t="s">
        <v>30533</v>
      </c>
      <c r="K9563" s="2" t="str">
        <f>HYPERLINK("http://collections.slsa.sa.gov.au/mpcimg/36500/B36459.htm")</f>
        <v>http://collections.slsa.sa.gov.au/mpcimg/36500/B36459.htm</v>
      </c>
    </row>
    <row r="9564" spans="1:11" x14ac:dyDescent="0.25">
      <c r="A9564" t="s">
        <v>30565</v>
      </c>
      <c r="B9564" s="1" t="str">
        <f>HYPERLINK("https://www.catalog.slsa.sa.gov.au/record=b2018957")</f>
        <v>https://www.catalog.slsa.sa.gov.au/record=b2018957</v>
      </c>
      <c r="C9564" s="1" t="str">
        <f>HYPERLINK("https://www.catalog.slsa.sa.gov.au/xrecord=b2018957")</f>
        <v>https://www.catalog.slsa.sa.gov.au/xrecord=b2018957</v>
      </c>
      <c r="D9564" t="s">
        <v>16831</v>
      </c>
      <c r="E9564" t="s">
        <v>30560</v>
      </c>
      <c r="F9564">
        <v>1977</v>
      </c>
      <c r="G9564" t="s">
        <v>22565</v>
      </c>
      <c r="H9564" t="s">
        <v>30566</v>
      </c>
      <c r="I9564" t="s">
        <v>30558</v>
      </c>
      <c r="J9564" t="s">
        <v>30533</v>
      </c>
      <c r="K9564" s="2" t="str">
        <f>HYPERLINK("http://collections.slsa.sa.gov.au/mpcimg/36500/B36460.htm")</f>
        <v>http://collections.slsa.sa.gov.au/mpcimg/36500/B36460.htm</v>
      </c>
    </row>
    <row r="9565" spans="1:11" x14ac:dyDescent="0.25">
      <c r="A9565" t="s">
        <v>30567</v>
      </c>
      <c r="B9565" s="1" t="str">
        <f>HYPERLINK("https://www.catalog.slsa.sa.gov.au/record=b2018958")</f>
        <v>https://www.catalog.slsa.sa.gov.au/record=b2018958</v>
      </c>
      <c r="C9565" s="1" t="str">
        <f>HYPERLINK("https://www.catalog.slsa.sa.gov.au/xrecord=b2018958")</f>
        <v>https://www.catalog.slsa.sa.gov.au/xrecord=b2018958</v>
      </c>
      <c r="D9565" t="s">
        <v>16831</v>
      </c>
      <c r="E9565" t="s">
        <v>30560</v>
      </c>
      <c r="F9565">
        <v>1977</v>
      </c>
      <c r="G9565" t="s">
        <v>22565</v>
      </c>
      <c r="H9565" t="s">
        <v>30568</v>
      </c>
      <c r="I9565" t="s">
        <v>30544</v>
      </c>
      <c r="J9565" t="s">
        <v>30533</v>
      </c>
      <c r="K9565" s="2" t="str">
        <f>HYPERLINK("http://collections.slsa.sa.gov.au/mpcimg/36500/B36461.htm")</f>
        <v>http://collections.slsa.sa.gov.au/mpcimg/36500/B36461.htm</v>
      </c>
    </row>
    <row r="9566" spans="1:11" x14ac:dyDescent="0.25">
      <c r="A9566" t="s">
        <v>30569</v>
      </c>
      <c r="B9566" s="1" t="str">
        <f>HYPERLINK("https://www.catalog.slsa.sa.gov.au/record=b2018959")</f>
        <v>https://www.catalog.slsa.sa.gov.au/record=b2018959</v>
      </c>
      <c r="C9566" s="1" t="str">
        <f>HYPERLINK("https://www.catalog.slsa.sa.gov.au/xrecord=b2018959")</f>
        <v>https://www.catalog.slsa.sa.gov.au/xrecord=b2018959</v>
      </c>
      <c r="D9566" t="s">
        <v>16831</v>
      </c>
      <c r="E9566" t="s">
        <v>30560</v>
      </c>
      <c r="F9566">
        <v>1977</v>
      </c>
      <c r="G9566" t="s">
        <v>22565</v>
      </c>
      <c r="H9566" t="s">
        <v>30570</v>
      </c>
      <c r="I9566" t="s">
        <v>30571</v>
      </c>
      <c r="J9566" t="s">
        <v>30533</v>
      </c>
      <c r="K9566" s="2" t="str">
        <f>HYPERLINK("http://collections.slsa.sa.gov.au/mpcimg/36500/B36462.htm")</f>
        <v>http://collections.slsa.sa.gov.au/mpcimg/36500/B36462.htm</v>
      </c>
    </row>
    <row r="9567" spans="1:11" x14ac:dyDescent="0.25">
      <c r="A9567" t="s">
        <v>30572</v>
      </c>
      <c r="B9567" s="1" t="str">
        <f>HYPERLINK("https://www.catalog.slsa.sa.gov.au/record=b2018960")</f>
        <v>https://www.catalog.slsa.sa.gov.au/record=b2018960</v>
      </c>
      <c r="C9567" s="1" t="str">
        <f>HYPERLINK("https://www.catalog.slsa.sa.gov.au/xrecord=b2018960")</f>
        <v>https://www.catalog.slsa.sa.gov.au/xrecord=b2018960</v>
      </c>
      <c r="D9567" t="s">
        <v>16831</v>
      </c>
      <c r="E9567" t="s">
        <v>30560</v>
      </c>
      <c r="F9567">
        <v>1977</v>
      </c>
      <c r="G9567" t="s">
        <v>22565</v>
      </c>
      <c r="H9567" t="s">
        <v>30573</v>
      </c>
      <c r="I9567" t="s">
        <v>30571</v>
      </c>
      <c r="J9567" t="s">
        <v>30533</v>
      </c>
      <c r="K9567" s="2" t="str">
        <f>HYPERLINK("http://collections.slsa.sa.gov.au/mpcimg/36500/B36463.htm")</f>
        <v>http://collections.slsa.sa.gov.au/mpcimg/36500/B36463.htm</v>
      </c>
    </row>
    <row r="9568" spans="1:11" x14ac:dyDescent="0.25">
      <c r="A9568" t="s">
        <v>30574</v>
      </c>
      <c r="B9568" s="1" t="str">
        <f>HYPERLINK("https://www.catalog.slsa.sa.gov.au/record=b2018961")</f>
        <v>https://www.catalog.slsa.sa.gov.au/record=b2018961</v>
      </c>
      <c r="C9568" s="1" t="str">
        <f>HYPERLINK("https://www.catalog.slsa.sa.gov.au/xrecord=b2018961")</f>
        <v>https://www.catalog.slsa.sa.gov.au/xrecord=b2018961</v>
      </c>
      <c r="D9568" t="s">
        <v>16831</v>
      </c>
      <c r="E9568" t="s">
        <v>30560</v>
      </c>
      <c r="F9568">
        <v>1977</v>
      </c>
      <c r="G9568" t="s">
        <v>22565</v>
      </c>
      <c r="H9568" t="s">
        <v>30575</v>
      </c>
      <c r="I9568" t="s">
        <v>30571</v>
      </c>
      <c r="J9568" t="s">
        <v>30533</v>
      </c>
      <c r="K9568" s="2" t="str">
        <f>HYPERLINK("http://collections.slsa.sa.gov.au/mpcimg/36500/B36464.htm")</f>
        <v>http://collections.slsa.sa.gov.au/mpcimg/36500/B36464.htm</v>
      </c>
    </row>
    <row r="9569" spans="1:11" x14ac:dyDescent="0.25">
      <c r="A9569" t="s">
        <v>30576</v>
      </c>
      <c r="B9569" s="1" t="str">
        <f>HYPERLINK("https://www.catalog.slsa.sa.gov.au/record=b2018962")</f>
        <v>https://www.catalog.slsa.sa.gov.au/record=b2018962</v>
      </c>
      <c r="C9569" s="1" t="str">
        <f>HYPERLINK("https://www.catalog.slsa.sa.gov.au/xrecord=b2018962")</f>
        <v>https://www.catalog.slsa.sa.gov.au/xrecord=b2018962</v>
      </c>
      <c r="D9569" t="s">
        <v>16831</v>
      </c>
      <c r="E9569" t="s">
        <v>30560</v>
      </c>
      <c r="F9569">
        <v>1977</v>
      </c>
      <c r="G9569" t="s">
        <v>14809</v>
      </c>
      <c r="H9569" t="s">
        <v>30577</v>
      </c>
      <c r="I9569" t="s">
        <v>30571</v>
      </c>
      <c r="J9569" t="s">
        <v>30533</v>
      </c>
      <c r="K9569" s="2" t="str">
        <f>HYPERLINK("http://collections.slsa.sa.gov.au/mpcimg/36500/B36465.htm")</f>
        <v>http://collections.slsa.sa.gov.au/mpcimg/36500/B36465.htm</v>
      </c>
    </row>
    <row r="9570" spans="1:11" x14ac:dyDescent="0.25">
      <c r="A9570" t="s">
        <v>30578</v>
      </c>
      <c r="B9570" s="1" t="str">
        <f>HYPERLINK("https://www.catalog.slsa.sa.gov.au/record=b2018963")</f>
        <v>https://www.catalog.slsa.sa.gov.au/record=b2018963</v>
      </c>
      <c r="C9570" s="1" t="str">
        <f>HYPERLINK("https://www.catalog.slsa.sa.gov.au/xrecord=b2018963")</f>
        <v>https://www.catalog.slsa.sa.gov.au/xrecord=b2018963</v>
      </c>
      <c r="D9570" t="s">
        <v>16831</v>
      </c>
      <c r="E9570" t="s">
        <v>30560</v>
      </c>
      <c r="F9570">
        <v>1977</v>
      </c>
      <c r="G9570" t="s">
        <v>22565</v>
      </c>
      <c r="H9570" t="s">
        <v>30579</v>
      </c>
      <c r="I9570" t="s">
        <v>30571</v>
      </c>
      <c r="J9570" t="s">
        <v>30533</v>
      </c>
      <c r="K9570" s="2" t="str">
        <f>HYPERLINK("http://collections.slsa.sa.gov.au/mpcimg/36500/B36466.htm")</f>
        <v>http://collections.slsa.sa.gov.au/mpcimg/36500/B36466.htm</v>
      </c>
    </row>
    <row r="9571" spans="1:11" x14ac:dyDescent="0.25">
      <c r="A9571" t="s">
        <v>30580</v>
      </c>
      <c r="B9571" s="1" t="str">
        <f>HYPERLINK("https://www.catalog.slsa.sa.gov.au/record=b2018964")</f>
        <v>https://www.catalog.slsa.sa.gov.au/record=b2018964</v>
      </c>
      <c r="C9571" s="1" t="str">
        <f>HYPERLINK("https://www.catalog.slsa.sa.gov.au/xrecord=b2018964")</f>
        <v>https://www.catalog.slsa.sa.gov.au/xrecord=b2018964</v>
      </c>
      <c r="D9571" t="s">
        <v>16831</v>
      </c>
      <c r="E9571" t="s">
        <v>30581</v>
      </c>
      <c r="F9571">
        <v>1977</v>
      </c>
      <c r="G9571" t="s">
        <v>22565</v>
      </c>
      <c r="H9571" t="s">
        <v>30582</v>
      </c>
      <c r="I9571" t="s">
        <v>30571</v>
      </c>
      <c r="J9571" t="s">
        <v>30533</v>
      </c>
      <c r="K9571" s="2" t="str">
        <f>HYPERLINK("http://collections.slsa.sa.gov.au/mpcimg/36500/B36467.htm")</f>
        <v>http://collections.slsa.sa.gov.au/mpcimg/36500/B36467.htm</v>
      </c>
    </row>
    <row r="9572" spans="1:11" x14ac:dyDescent="0.25">
      <c r="A9572" t="s">
        <v>30583</v>
      </c>
      <c r="B9572" s="1" t="str">
        <f>HYPERLINK("https://www.catalog.slsa.sa.gov.au/record=b2018965")</f>
        <v>https://www.catalog.slsa.sa.gov.au/record=b2018965</v>
      </c>
      <c r="C9572" s="1" t="str">
        <f>HYPERLINK("https://www.catalog.slsa.sa.gov.au/xrecord=b2018965")</f>
        <v>https://www.catalog.slsa.sa.gov.au/xrecord=b2018965</v>
      </c>
      <c r="D9572" t="s">
        <v>16831</v>
      </c>
      <c r="E9572" t="s">
        <v>30560</v>
      </c>
      <c r="F9572">
        <v>1977</v>
      </c>
      <c r="G9572" t="s">
        <v>22565</v>
      </c>
      <c r="H9572" t="s">
        <v>30584</v>
      </c>
      <c r="I9572" t="s">
        <v>30585</v>
      </c>
      <c r="J9572" t="s">
        <v>30533</v>
      </c>
      <c r="K9572" s="2" t="str">
        <f>HYPERLINK("http://collections.slsa.sa.gov.au/mpcimg/36500/B36468.htm")</f>
        <v>http://collections.slsa.sa.gov.au/mpcimg/36500/B36468.htm</v>
      </c>
    </row>
    <row r="9573" spans="1:11" x14ac:dyDescent="0.25">
      <c r="A9573" t="s">
        <v>30586</v>
      </c>
      <c r="B9573" s="1" t="str">
        <f>HYPERLINK("https://www.catalog.slsa.sa.gov.au/record=b2018966")</f>
        <v>https://www.catalog.slsa.sa.gov.au/record=b2018966</v>
      </c>
      <c r="C9573" s="1" t="str">
        <f>HYPERLINK("https://www.catalog.slsa.sa.gov.au/xrecord=b2018966")</f>
        <v>https://www.catalog.slsa.sa.gov.au/xrecord=b2018966</v>
      </c>
      <c r="D9573" t="s">
        <v>16831</v>
      </c>
      <c r="E9573" t="s">
        <v>30560</v>
      </c>
      <c r="F9573">
        <v>1977</v>
      </c>
      <c r="G9573" t="s">
        <v>22565</v>
      </c>
      <c r="H9573" t="s">
        <v>30587</v>
      </c>
      <c r="I9573" t="s">
        <v>30571</v>
      </c>
      <c r="J9573" t="s">
        <v>30533</v>
      </c>
      <c r="K9573" s="2" t="str">
        <f>HYPERLINK("http://collections.slsa.sa.gov.au/mpcimg/36500/B36469.htm")</f>
        <v>http://collections.slsa.sa.gov.au/mpcimg/36500/B36469.htm</v>
      </c>
    </row>
    <row r="9574" spans="1:11" x14ac:dyDescent="0.25">
      <c r="A9574" t="s">
        <v>30588</v>
      </c>
      <c r="B9574" s="1" t="str">
        <f>HYPERLINK("https://www.catalog.slsa.sa.gov.au/record=b2018967")</f>
        <v>https://www.catalog.slsa.sa.gov.au/record=b2018967</v>
      </c>
      <c r="C9574" s="1" t="str">
        <f>HYPERLINK("https://www.catalog.slsa.sa.gov.au/xrecord=b2018967")</f>
        <v>https://www.catalog.slsa.sa.gov.au/xrecord=b2018967</v>
      </c>
      <c r="D9574" t="s">
        <v>16831</v>
      </c>
      <c r="E9574" t="s">
        <v>30560</v>
      </c>
      <c r="F9574">
        <v>1977</v>
      </c>
      <c r="G9574" t="s">
        <v>22565</v>
      </c>
      <c r="H9574" t="s">
        <v>30589</v>
      </c>
      <c r="I9574" t="s">
        <v>30590</v>
      </c>
      <c r="J9574" t="s">
        <v>30533</v>
      </c>
      <c r="K9574" s="2" t="str">
        <f>HYPERLINK("http://collections.slsa.sa.gov.au/mpcimg/36500/B36470.htm")</f>
        <v>http://collections.slsa.sa.gov.au/mpcimg/36500/B36470.htm</v>
      </c>
    </row>
    <row r="9575" spans="1:11" x14ac:dyDescent="0.25">
      <c r="A9575" t="s">
        <v>30591</v>
      </c>
      <c r="B9575" s="1" t="str">
        <f>HYPERLINK("https://www.catalog.slsa.sa.gov.au/record=b2018968")</f>
        <v>https://www.catalog.slsa.sa.gov.au/record=b2018968</v>
      </c>
      <c r="C9575" s="1" t="str">
        <f>HYPERLINK("https://www.catalog.slsa.sa.gov.au/xrecord=b2018968")</f>
        <v>https://www.catalog.slsa.sa.gov.au/xrecord=b2018968</v>
      </c>
      <c r="D9575" t="s">
        <v>16831</v>
      </c>
      <c r="E9575" t="s">
        <v>30560</v>
      </c>
      <c r="F9575">
        <v>1977</v>
      </c>
      <c r="G9575" t="s">
        <v>22565</v>
      </c>
      <c r="H9575" t="s">
        <v>30592</v>
      </c>
      <c r="I9575" t="s">
        <v>30571</v>
      </c>
      <c r="J9575" t="s">
        <v>30533</v>
      </c>
      <c r="K9575" s="2" t="str">
        <f>HYPERLINK("http://collections.slsa.sa.gov.au/mpcimg/36500/B36471.htm")</f>
        <v>http://collections.slsa.sa.gov.au/mpcimg/36500/B36471.htm</v>
      </c>
    </row>
    <row r="9576" spans="1:11" x14ac:dyDescent="0.25">
      <c r="A9576" t="s">
        <v>30593</v>
      </c>
      <c r="B9576" s="1" t="str">
        <f>HYPERLINK("https://www.catalog.slsa.sa.gov.au/record=b2018969")</f>
        <v>https://www.catalog.slsa.sa.gov.au/record=b2018969</v>
      </c>
      <c r="C9576" s="1" t="str">
        <f>HYPERLINK("https://www.catalog.slsa.sa.gov.au/xrecord=b2018969")</f>
        <v>https://www.catalog.slsa.sa.gov.au/xrecord=b2018969</v>
      </c>
      <c r="D9576" t="s">
        <v>16831</v>
      </c>
      <c r="E9576" t="s">
        <v>30560</v>
      </c>
      <c r="F9576">
        <v>1977</v>
      </c>
      <c r="G9576" t="s">
        <v>22565</v>
      </c>
      <c r="H9576" t="s">
        <v>30594</v>
      </c>
      <c r="I9576" t="s">
        <v>30595</v>
      </c>
      <c r="J9576" t="s">
        <v>30533</v>
      </c>
      <c r="K9576" s="2" t="str">
        <f>HYPERLINK("http://collections.slsa.sa.gov.au/mpcimg/36500/B36472.htm")</f>
        <v>http://collections.slsa.sa.gov.au/mpcimg/36500/B36472.htm</v>
      </c>
    </row>
    <row r="9577" spans="1:11" x14ac:dyDescent="0.25">
      <c r="A9577" t="s">
        <v>30596</v>
      </c>
      <c r="B9577" s="1" t="str">
        <f>HYPERLINK("https://www.catalog.slsa.sa.gov.au/record=b2018970")</f>
        <v>https://www.catalog.slsa.sa.gov.au/record=b2018970</v>
      </c>
      <c r="C9577" s="1" t="str">
        <f>HYPERLINK("https://www.catalog.slsa.sa.gov.au/xrecord=b2018970")</f>
        <v>https://www.catalog.slsa.sa.gov.au/xrecord=b2018970</v>
      </c>
      <c r="D9577" t="s">
        <v>16831</v>
      </c>
      <c r="E9577" t="s">
        <v>30560</v>
      </c>
      <c r="F9577">
        <v>1977</v>
      </c>
      <c r="G9577" t="s">
        <v>22565</v>
      </c>
      <c r="H9577" t="s">
        <v>30597</v>
      </c>
      <c r="I9577" t="s">
        <v>30598</v>
      </c>
      <c r="J9577" t="s">
        <v>30533</v>
      </c>
      <c r="K9577" s="2" t="str">
        <f>HYPERLINK("http://collections.slsa.sa.gov.au/mpcimg/36500/B36473.htm")</f>
        <v>http://collections.slsa.sa.gov.au/mpcimg/36500/B36473.htm</v>
      </c>
    </row>
    <row r="9578" spans="1:11" x14ac:dyDescent="0.25">
      <c r="A9578" t="s">
        <v>30599</v>
      </c>
      <c r="B9578" s="1" t="str">
        <f>HYPERLINK("https://www.catalog.slsa.sa.gov.au/record=b2018971")</f>
        <v>https://www.catalog.slsa.sa.gov.au/record=b2018971</v>
      </c>
      <c r="C9578" s="1" t="str">
        <f>HYPERLINK("https://www.catalog.slsa.sa.gov.au/xrecord=b2018971")</f>
        <v>https://www.catalog.slsa.sa.gov.au/xrecord=b2018971</v>
      </c>
      <c r="D9578" t="s">
        <v>16831</v>
      </c>
      <c r="E9578" t="s">
        <v>30560</v>
      </c>
      <c r="F9578">
        <v>1977</v>
      </c>
      <c r="G9578" t="s">
        <v>22565</v>
      </c>
      <c r="H9578" t="s">
        <v>30600</v>
      </c>
      <c r="I9578" t="s">
        <v>30601</v>
      </c>
      <c r="J9578" t="s">
        <v>30533</v>
      </c>
      <c r="K9578" s="2" t="str">
        <f>HYPERLINK("http://collections.slsa.sa.gov.au/mpcimg/36500/B36474.htm")</f>
        <v>http://collections.slsa.sa.gov.au/mpcimg/36500/B36474.htm</v>
      </c>
    </row>
    <row r="9579" spans="1:11" x14ac:dyDescent="0.25">
      <c r="A9579" t="s">
        <v>30602</v>
      </c>
      <c r="B9579" s="1" t="str">
        <f>HYPERLINK("https://www.catalog.slsa.sa.gov.au/record=b2018972")</f>
        <v>https://www.catalog.slsa.sa.gov.au/record=b2018972</v>
      </c>
      <c r="C9579" s="1" t="str">
        <f>HYPERLINK("https://www.catalog.slsa.sa.gov.au/xrecord=b2018972")</f>
        <v>https://www.catalog.slsa.sa.gov.au/xrecord=b2018972</v>
      </c>
      <c r="D9579" t="s">
        <v>16831</v>
      </c>
      <c r="E9579" t="s">
        <v>30603</v>
      </c>
      <c r="F9579">
        <v>1977</v>
      </c>
      <c r="G9579" t="s">
        <v>22565</v>
      </c>
      <c r="H9579" t="s">
        <v>30604</v>
      </c>
      <c r="I9579" t="s">
        <v>30598</v>
      </c>
      <c r="J9579" t="s">
        <v>30533</v>
      </c>
      <c r="K9579" s="2" t="str">
        <f>HYPERLINK("http://collections.slsa.sa.gov.au/mpcimg/36500/B36475.htm")</f>
        <v>http://collections.slsa.sa.gov.au/mpcimg/36500/B36475.htm</v>
      </c>
    </row>
    <row r="9580" spans="1:11" x14ac:dyDescent="0.25">
      <c r="A9580" t="s">
        <v>30605</v>
      </c>
      <c r="B9580" s="1" t="str">
        <f>HYPERLINK("https://www.catalog.slsa.sa.gov.au/record=b2018973")</f>
        <v>https://www.catalog.slsa.sa.gov.au/record=b2018973</v>
      </c>
      <c r="C9580" s="1" t="str">
        <f>HYPERLINK("https://www.catalog.slsa.sa.gov.au/xrecord=b2018973")</f>
        <v>https://www.catalog.slsa.sa.gov.au/xrecord=b2018973</v>
      </c>
      <c r="D9580" t="s">
        <v>16831</v>
      </c>
      <c r="E9580" t="s">
        <v>30606</v>
      </c>
      <c r="F9580">
        <v>1977</v>
      </c>
      <c r="G9580" t="s">
        <v>22565</v>
      </c>
      <c r="H9580" t="s">
        <v>30607</v>
      </c>
      <c r="I9580" t="s">
        <v>30608</v>
      </c>
      <c r="J9580" t="s">
        <v>30533</v>
      </c>
      <c r="K9580" s="2" t="str">
        <f>HYPERLINK("http://collections.slsa.sa.gov.au/mpcimg/36500/B36476.htm")</f>
        <v>http://collections.slsa.sa.gov.au/mpcimg/36500/B36476.htm</v>
      </c>
    </row>
    <row r="9581" spans="1:11" x14ac:dyDescent="0.25">
      <c r="A9581" t="s">
        <v>30609</v>
      </c>
      <c r="B9581" s="1" t="str">
        <f>HYPERLINK("https://www.catalog.slsa.sa.gov.au/record=b2018974")</f>
        <v>https://www.catalog.slsa.sa.gov.au/record=b2018974</v>
      </c>
      <c r="C9581" s="1" t="str">
        <f>HYPERLINK("https://www.catalog.slsa.sa.gov.au/xrecord=b2018974")</f>
        <v>https://www.catalog.slsa.sa.gov.au/xrecord=b2018974</v>
      </c>
      <c r="D9581" t="s">
        <v>16831</v>
      </c>
      <c r="E9581" t="s">
        <v>30530</v>
      </c>
      <c r="F9581">
        <v>1977</v>
      </c>
      <c r="G9581" t="s">
        <v>22565</v>
      </c>
      <c r="H9581" t="s">
        <v>30610</v>
      </c>
      <c r="I9581" t="s">
        <v>30555</v>
      </c>
      <c r="J9581" t="s">
        <v>30533</v>
      </c>
      <c r="K9581" s="2" t="str">
        <f>HYPERLINK("http://collections.slsa.sa.gov.au/mpcimg/36500/B36477.htm")</f>
        <v>http://collections.slsa.sa.gov.au/mpcimg/36500/B36477.htm</v>
      </c>
    </row>
    <row r="9582" spans="1:11" x14ac:dyDescent="0.25">
      <c r="A9582" t="s">
        <v>30611</v>
      </c>
      <c r="B9582" s="1" t="str">
        <f>HYPERLINK("https://www.catalog.slsa.sa.gov.au/record=b2018975")</f>
        <v>https://www.catalog.slsa.sa.gov.au/record=b2018975</v>
      </c>
      <c r="C9582" s="1" t="str">
        <f>HYPERLINK("https://www.catalog.slsa.sa.gov.au/xrecord=b2018975")</f>
        <v>https://www.catalog.slsa.sa.gov.au/xrecord=b2018975</v>
      </c>
      <c r="D9582" t="s">
        <v>16831</v>
      </c>
      <c r="E9582" t="s">
        <v>30606</v>
      </c>
      <c r="F9582">
        <v>1977</v>
      </c>
      <c r="G9582" t="s">
        <v>22565</v>
      </c>
      <c r="H9582" t="s">
        <v>30612</v>
      </c>
      <c r="I9582" t="s">
        <v>30613</v>
      </c>
      <c r="J9582" t="s">
        <v>30533</v>
      </c>
      <c r="K9582" s="2" t="str">
        <f>HYPERLINK("http://collections.slsa.sa.gov.au/mpcimg/36500/B36478.htm")</f>
        <v>http://collections.slsa.sa.gov.au/mpcimg/36500/B36478.htm</v>
      </c>
    </row>
    <row r="9583" spans="1:11" x14ac:dyDescent="0.25">
      <c r="A9583" t="s">
        <v>30614</v>
      </c>
      <c r="B9583" s="1" t="str">
        <f>HYPERLINK("https://www.catalog.slsa.sa.gov.au/record=b2018976")</f>
        <v>https://www.catalog.slsa.sa.gov.au/record=b2018976</v>
      </c>
      <c r="C9583" s="1" t="str">
        <f>HYPERLINK("https://www.catalog.slsa.sa.gov.au/xrecord=b2018976")</f>
        <v>https://www.catalog.slsa.sa.gov.au/xrecord=b2018976</v>
      </c>
      <c r="D9583" t="s">
        <v>16831</v>
      </c>
      <c r="E9583" t="s">
        <v>30606</v>
      </c>
      <c r="F9583">
        <v>1977</v>
      </c>
      <c r="G9583" t="s">
        <v>22565</v>
      </c>
      <c r="H9583" t="s">
        <v>30615</v>
      </c>
      <c r="I9583" t="s">
        <v>30613</v>
      </c>
      <c r="J9583" t="s">
        <v>30533</v>
      </c>
      <c r="K9583" s="2" t="str">
        <f>HYPERLINK("http://collections.slsa.sa.gov.au/mpcimg/36500/B36479.htm")</f>
        <v>http://collections.slsa.sa.gov.au/mpcimg/36500/B36479.htm</v>
      </c>
    </row>
    <row r="9584" spans="1:11" x14ac:dyDescent="0.25">
      <c r="A9584" t="s">
        <v>30616</v>
      </c>
      <c r="B9584" s="1" t="str">
        <f>HYPERLINK("https://www.catalog.slsa.sa.gov.au/record=b2018977")</f>
        <v>https://www.catalog.slsa.sa.gov.au/record=b2018977</v>
      </c>
      <c r="C9584" s="1" t="str">
        <f>HYPERLINK("https://www.catalog.slsa.sa.gov.au/xrecord=b2018977")</f>
        <v>https://www.catalog.slsa.sa.gov.au/xrecord=b2018977</v>
      </c>
      <c r="D9584" t="s">
        <v>16831</v>
      </c>
      <c r="E9584" t="s">
        <v>30530</v>
      </c>
      <c r="F9584">
        <v>1977</v>
      </c>
      <c r="G9584" t="s">
        <v>22565</v>
      </c>
      <c r="H9584" t="s">
        <v>30617</v>
      </c>
      <c r="I9584" t="s">
        <v>30555</v>
      </c>
      <c r="J9584" t="s">
        <v>30533</v>
      </c>
      <c r="K9584" s="2" t="str">
        <f>HYPERLINK("http://collections.slsa.sa.gov.au/mpcimg/36500/B36480.htm")</f>
        <v>http://collections.slsa.sa.gov.au/mpcimg/36500/B36480.htm</v>
      </c>
    </row>
    <row r="9585" spans="1:11" x14ac:dyDescent="0.25">
      <c r="A9585" t="s">
        <v>30618</v>
      </c>
      <c r="B9585" s="1" t="str">
        <f>HYPERLINK("https://www.catalog.slsa.sa.gov.au/record=b2018978")</f>
        <v>https://www.catalog.slsa.sa.gov.au/record=b2018978</v>
      </c>
      <c r="C9585" s="1" t="str">
        <f>HYPERLINK("https://www.catalog.slsa.sa.gov.au/xrecord=b2018978")</f>
        <v>https://www.catalog.slsa.sa.gov.au/xrecord=b2018978</v>
      </c>
      <c r="D9585" t="s">
        <v>16831</v>
      </c>
      <c r="E9585" t="s">
        <v>30619</v>
      </c>
      <c r="F9585">
        <v>1977</v>
      </c>
      <c r="G9585" t="s">
        <v>22565</v>
      </c>
      <c r="H9585" t="s">
        <v>30620</v>
      </c>
      <c r="I9585" t="s">
        <v>30621</v>
      </c>
      <c r="J9585" t="s">
        <v>30533</v>
      </c>
      <c r="K9585" s="2" t="str">
        <f>HYPERLINK("http://collections.slsa.sa.gov.au/mpcimg/36500/B36481.htm")</f>
        <v>http://collections.slsa.sa.gov.au/mpcimg/36500/B36481.htm</v>
      </c>
    </row>
    <row r="9586" spans="1:11" x14ac:dyDescent="0.25">
      <c r="A9586" t="s">
        <v>30622</v>
      </c>
      <c r="B9586" s="1" t="str">
        <f>HYPERLINK("https://www.catalog.slsa.sa.gov.au/record=b2018979")</f>
        <v>https://www.catalog.slsa.sa.gov.au/record=b2018979</v>
      </c>
      <c r="C9586" s="1" t="str">
        <f>HYPERLINK("https://www.catalog.slsa.sa.gov.au/xrecord=b2018979")</f>
        <v>https://www.catalog.slsa.sa.gov.au/xrecord=b2018979</v>
      </c>
      <c r="D9586" t="s">
        <v>16831</v>
      </c>
      <c r="E9586" t="s">
        <v>30623</v>
      </c>
      <c r="F9586">
        <v>1977</v>
      </c>
      <c r="G9586" t="s">
        <v>22565</v>
      </c>
      <c r="H9586" t="s">
        <v>30624</v>
      </c>
      <c r="I9586" t="s">
        <v>30625</v>
      </c>
      <c r="J9586" t="s">
        <v>30533</v>
      </c>
      <c r="K9586" s="2" t="str">
        <f>HYPERLINK("http://collections.slsa.sa.gov.au/mpcimg/36500/B36482.htm")</f>
        <v>http://collections.slsa.sa.gov.au/mpcimg/36500/B36482.htm</v>
      </c>
    </row>
    <row r="9587" spans="1:11" x14ac:dyDescent="0.25">
      <c r="A9587" t="s">
        <v>30626</v>
      </c>
      <c r="B9587" s="1" t="str">
        <f>HYPERLINK("https://www.catalog.slsa.sa.gov.au/record=b2018980")</f>
        <v>https://www.catalog.slsa.sa.gov.au/record=b2018980</v>
      </c>
      <c r="C9587" s="1" t="str">
        <f>HYPERLINK("https://www.catalog.slsa.sa.gov.au/xrecord=b2018980")</f>
        <v>https://www.catalog.slsa.sa.gov.au/xrecord=b2018980</v>
      </c>
      <c r="D9587" t="s">
        <v>16831</v>
      </c>
      <c r="E9587" t="s">
        <v>30627</v>
      </c>
      <c r="F9587">
        <v>1977</v>
      </c>
      <c r="G9587" t="s">
        <v>22565</v>
      </c>
      <c r="H9587" t="s">
        <v>30628</v>
      </c>
      <c r="I9587" t="s">
        <v>30629</v>
      </c>
      <c r="J9587" t="s">
        <v>30533</v>
      </c>
      <c r="K9587" s="2" t="str">
        <f>HYPERLINK("http://collections.slsa.sa.gov.au/mpcimg/36500/B36483.htm")</f>
        <v>http://collections.slsa.sa.gov.au/mpcimg/36500/B36483.htm</v>
      </c>
    </row>
    <row r="9588" spans="1:11" x14ac:dyDescent="0.25">
      <c r="A9588" t="s">
        <v>30630</v>
      </c>
      <c r="B9588" s="1" t="str">
        <f>HYPERLINK("https://www.catalog.slsa.sa.gov.au/record=b2018981")</f>
        <v>https://www.catalog.slsa.sa.gov.au/record=b2018981</v>
      </c>
      <c r="C9588" s="1" t="str">
        <f>HYPERLINK("https://www.catalog.slsa.sa.gov.au/xrecord=b2018981")</f>
        <v>https://www.catalog.slsa.sa.gov.au/xrecord=b2018981</v>
      </c>
      <c r="D9588" t="s">
        <v>16831</v>
      </c>
      <c r="E9588" t="s">
        <v>30631</v>
      </c>
      <c r="F9588">
        <v>1977</v>
      </c>
      <c r="G9588" t="s">
        <v>22565</v>
      </c>
      <c r="H9588" t="s">
        <v>30632</v>
      </c>
      <c r="I9588" t="s">
        <v>30633</v>
      </c>
      <c r="J9588" t="s">
        <v>30533</v>
      </c>
      <c r="K9588" s="2" t="str">
        <f>HYPERLINK("http://collections.slsa.sa.gov.au/mpcimg/36500/B36484.htm")</f>
        <v>http://collections.slsa.sa.gov.au/mpcimg/36500/B36484.htm</v>
      </c>
    </row>
    <row r="9589" spans="1:11" x14ac:dyDescent="0.25">
      <c r="A9589" t="s">
        <v>30634</v>
      </c>
      <c r="B9589" s="1" t="str">
        <f>HYPERLINK("https://www.catalog.slsa.sa.gov.au/record=b2018982")</f>
        <v>https://www.catalog.slsa.sa.gov.au/record=b2018982</v>
      </c>
      <c r="C9589" s="1" t="str">
        <f>HYPERLINK("https://www.catalog.slsa.sa.gov.au/xrecord=b2018982")</f>
        <v>https://www.catalog.slsa.sa.gov.au/xrecord=b2018982</v>
      </c>
      <c r="D9589" t="s">
        <v>16831</v>
      </c>
      <c r="E9589" t="s">
        <v>30635</v>
      </c>
      <c r="F9589">
        <v>1977</v>
      </c>
      <c r="G9589" t="s">
        <v>22565</v>
      </c>
      <c r="H9589" t="s">
        <v>30636</v>
      </c>
      <c r="I9589" t="s">
        <v>30637</v>
      </c>
      <c r="J9589" t="s">
        <v>30533</v>
      </c>
      <c r="K9589" s="2" t="str">
        <f>HYPERLINK("http://collections.slsa.sa.gov.au/mpcimg/36500/B36485.htm")</f>
        <v>http://collections.slsa.sa.gov.au/mpcimg/36500/B36485.htm</v>
      </c>
    </row>
    <row r="9590" spans="1:11" x14ac:dyDescent="0.25">
      <c r="A9590" t="s">
        <v>30638</v>
      </c>
      <c r="B9590" s="1" t="str">
        <f>HYPERLINK("https://www.catalog.slsa.sa.gov.au/record=b2018983")</f>
        <v>https://www.catalog.slsa.sa.gov.au/record=b2018983</v>
      </c>
      <c r="C9590" s="1" t="str">
        <f>HYPERLINK("https://www.catalog.slsa.sa.gov.au/xrecord=b2018983")</f>
        <v>https://www.catalog.slsa.sa.gov.au/xrecord=b2018983</v>
      </c>
      <c r="D9590" t="s">
        <v>16831</v>
      </c>
      <c r="E9590" t="s">
        <v>30635</v>
      </c>
      <c r="F9590">
        <v>1977</v>
      </c>
      <c r="G9590" t="s">
        <v>22565</v>
      </c>
      <c r="H9590" t="s">
        <v>30639</v>
      </c>
      <c r="I9590" t="s">
        <v>30637</v>
      </c>
      <c r="J9590" t="s">
        <v>30533</v>
      </c>
      <c r="K9590" s="2" t="str">
        <f>HYPERLINK("http://collections.slsa.sa.gov.au/mpcimg/36500/B36486.htm")</f>
        <v>http://collections.slsa.sa.gov.au/mpcimg/36500/B36486.htm</v>
      </c>
    </row>
    <row r="9591" spans="1:11" x14ac:dyDescent="0.25">
      <c r="A9591" t="s">
        <v>30640</v>
      </c>
      <c r="B9591" s="1" t="str">
        <f>HYPERLINK("https://www.catalog.slsa.sa.gov.au/record=b2018984")</f>
        <v>https://www.catalog.slsa.sa.gov.au/record=b2018984</v>
      </c>
      <c r="C9591" s="1" t="str">
        <f>HYPERLINK("https://www.catalog.slsa.sa.gov.au/xrecord=b2018984")</f>
        <v>https://www.catalog.slsa.sa.gov.au/xrecord=b2018984</v>
      </c>
      <c r="D9591" t="s">
        <v>16831</v>
      </c>
      <c r="E9591" t="s">
        <v>30635</v>
      </c>
      <c r="F9591">
        <v>1977</v>
      </c>
      <c r="G9591" t="s">
        <v>22565</v>
      </c>
      <c r="H9591" t="s">
        <v>30641</v>
      </c>
      <c r="I9591" t="s">
        <v>30637</v>
      </c>
      <c r="J9591" t="s">
        <v>30533</v>
      </c>
      <c r="K9591" s="2" t="str">
        <f>HYPERLINK("http://collections.slsa.sa.gov.au/mpcimg/36500/B36487.htm")</f>
        <v>http://collections.slsa.sa.gov.au/mpcimg/36500/B36487.htm</v>
      </c>
    </row>
    <row r="9592" spans="1:11" x14ac:dyDescent="0.25">
      <c r="A9592" t="s">
        <v>30642</v>
      </c>
      <c r="B9592" s="1" t="str">
        <f>HYPERLINK("https://www.catalog.slsa.sa.gov.au/record=b2018985")</f>
        <v>https://www.catalog.slsa.sa.gov.au/record=b2018985</v>
      </c>
      <c r="C9592" s="1" t="str">
        <f>HYPERLINK("https://www.catalog.slsa.sa.gov.au/xrecord=b2018985")</f>
        <v>https://www.catalog.slsa.sa.gov.au/xrecord=b2018985</v>
      </c>
      <c r="D9592" t="s">
        <v>16831</v>
      </c>
      <c r="E9592" t="s">
        <v>30635</v>
      </c>
      <c r="F9592">
        <v>1977</v>
      </c>
      <c r="G9592" t="s">
        <v>22565</v>
      </c>
      <c r="H9592" t="s">
        <v>30643</v>
      </c>
      <c r="I9592" t="s">
        <v>30637</v>
      </c>
      <c r="J9592" t="s">
        <v>30533</v>
      </c>
      <c r="K9592" s="2" t="str">
        <f>HYPERLINK("http://collections.slsa.sa.gov.au/mpcimg/36500/B36488.htm")</f>
        <v>http://collections.slsa.sa.gov.au/mpcimg/36500/B36488.htm</v>
      </c>
    </row>
    <row r="9593" spans="1:11" x14ac:dyDescent="0.25">
      <c r="A9593" t="s">
        <v>30644</v>
      </c>
      <c r="B9593" s="1" t="str">
        <f>HYPERLINK("https://www.catalog.slsa.sa.gov.au/record=b2018986")</f>
        <v>https://www.catalog.slsa.sa.gov.au/record=b2018986</v>
      </c>
      <c r="C9593" s="1" t="str">
        <f>HYPERLINK("https://www.catalog.slsa.sa.gov.au/xrecord=b2018986")</f>
        <v>https://www.catalog.slsa.sa.gov.au/xrecord=b2018986</v>
      </c>
      <c r="D9593" t="s">
        <v>16831</v>
      </c>
      <c r="E9593" t="s">
        <v>30606</v>
      </c>
      <c r="F9593">
        <v>1977</v>
      </c>
      <c r="G9593" t="s">
        <v>22565</v>
      </c>
      <c r="H9593" t="s">
        <v>30645</v>
      </c>
      <c r="I9593" t="s">
        <v>30646</v>
      </c>
      <c r="J9593" t="s">
        <v>30533</v>
      </c>
      <c r="K9593" s="2" t="str">
        <f>HYPERLINK("http://collections.slsa.sa.gov.au/mpcimg/36500/B36489.htm")</f>
        <v>http://collections.slsa.sa.gov.au/mpcimg/36500/B36489.htm</v>
      </c>
    </row>
    <row r="9594" spans="1:11" x14ac:dyDescent="0.25">
      <c r="A9594" t="s">
        <v>30647</v>
      </c>
      <c r="B9594" s="1" t="str">
        <f>HYPERLINK("https://www.catalog.slsa.sa.gov.au/record=b2018987")</f>
        <v>https://www.catalog.slsa.sa.gov.au/record=b2018987</v>
      </c>
      <c r="C9594" s="1" t="str">
        <f>HYPERLINK("https://www.catalog.slsa.sa.gov.au/xrecord=b2018987")</f>
        <v>https://www.catalog.slsa.sa.gov.au/xrecord=b2018987</v>
      </c>
      <c r="D9594" t="s">
        <v>16831</v>
      </c>
      <c r="E9594" t="s">
        <v>30606</v>
      </c>
      <c r="F9594">
        <v>1977</v>
      </c>
      <c r="G9594" t="s">
        <v>22565</v>
      </c>
      <c r="H9594" t="s">
        <v>30648</v>
      </c>
      <c r="I9594" t="s">
        <v>30558</v>
      </c>
      <c r="J9594" t="s">
        <v>30533</v>
      </c>
      <c r="K9594" s="2" t="str">
        <f>HYPERLINK("http://collections.slsa.sa.gov.au/mpcimg/36500/B36490.htm")</f>
        <v>http://collections.slsa.sa.gov.au/mpcimg/36500/B36490.htm</v>
      </c>
    </row>
    <row r="9595" spans="1:11" x14ac:dyDescent="0.25">
      <c r="A9595" t="s">
        <v>30649</v>
      </c>
      <c r="B9595" s="1" t="str">
        <f>HYPERLINK("https://www.catalog.slsa.sa.gov.au/record=b2018988")</f>
        <v>https://www.catalog.slsa.sa.gov.au/record=b2018988</v>
      </c>
      <c r="C9595" s="1" t="str">
        <f>HYPERLINK("https://www.catalog.slsa.sa.gov.au/xrecord=b2018988")</f>
        <v>https://www.catalog.slsa.sa.gov.au/xrecord=b2018988</v>
      </c>
      <c r="D9595" t="s">
        <v>16831</v>
      </c>
      <c r="E9595" t="s">
        <v>30606</v>
      </c>
      <c r="F9595">
        <v>1977</v>
      </c>
      <c r="G9595" t="s">
        <v>22565</v>
      </c>
      <c r="H9595" t="s">
        <v>30650</v>
      </c>
      <c r="I9595" t="s">
        <v>30651</v>
      </c>
      <c r="J9595" t="s">
        <v>30533</v>
      </c>
      <c r="K9595" s="2" t="str">
        <f>HYPERLINK("http://collections.slsa.sa.gov.au/mpcimg/36500/B36491.htm")</f>
        <v>http://collections.slsa.sa.gov.au/mpcimg/36500/B36491.htm</v>
      </c>
    </row>
    <row r="9596" spans="1:11" x14ac:dyDescent="0.25">
      <c r="A9596" t="s">
        <v>30652</v>
      </c>
      <c r="B9596" s="1" t="str">
        <f>HYPERLINK("https://www.catalog.slsa.sa.gov.au/record=b2018989")</f>
        <v>https://www.catalog.slsa.sa.gov.au/record=b2018989</v>
      </c>
      <c r="C9596" s="1" t="str">
        <f>HYPERLINK("https://www.catalog.slsa.sa.gov.au/xrecord=b2018989")</f>
        <v>https://www.catalog.slsa.sa.gov.au/xrecord=b2018989</v>
      </c>
      <c r="D9596" t="s">
        <v>16831</v>
      </c>
      <c r="E9596" t="s">
        <v>30530</v>
      </c>
      <c r="F9596">
        <v>1977</v>
      </c>
      <c r="G9596" t="s">
        <v>22565</v>
      </c>
      <c r="H9596" t="s">
        <v>30653</v>
      </c>
      <c r="I9596" t="s">
        <v>30555</v>
      </c>
      <c r="J9596" t="s">
        <v>30533</v>
      </c>
      <c r="K9596" s="2" t="str">
        <f>HYPERLINK("http://collections.slsa.sa.gov.au/mpcimg/36500/B36492.htm")</f>
        <v>http://collections.slsa.sa.gov.au/mpcimg/36500/B36492.htm</v>
      </c>
    </row>
    <row r="9597" spans="1:11" x14ac:dyDescent="0.25">
      <c r="A9597" t="s">
        <v>30654</v>
      </c>
      <c r="B9597" s="1" t="str">
        <f>HYPERLINK("https://www.catalog.slsa.sa.gov.au/record=b2018990")</f>
        <v>https://www.catalog.slsa.sa.gov.au/record=b2018990</v>
      </c>
      <c r="C9597" s="1" t="str">
        <f>HYPERLINK("https://www.catalog.slsa.sa.gov.au/xrecord=b2018990")</f>
        <v>https://www.catalog.slsa.sa.gov.au/xrecord=b2018990</v>
      </c>
      <c r="D9597" t="s">
        <v>16831</v>
      </c>
      <c r="E9597" t="s">
        <v>30655</v>
      </c>
      <c r="F9597">
        <v>1977</v>
      </c>
      <c r="G9597" t="s">
        <v>22565</v>
      </c>
      <c r="H9597" t="s">
        <v>30656</v>
      </c>
      <c r="I9597" t="s">
        <v>30657</v>
      </c>
      <c r="J9597" t="s">
        <v>30533</v>
      </c>
      <c r="K9597" s="2" t="str">
        <f>HYPERLINK("http://collections.slsa.sa.gov.au/mpcimg/36500/B36493.htm")</f>
        <v>http://collections.slsa.sa.gov.au/mpcimg/36500/B36493.htm</v>
      </c>
    </row>
    <row r="9598" spans="1:11" x14ac:dyDescent="0.25">
      <c r="A9598" t="s">
        <v>30658</v>
      </c>
      <c r="B9598" s="1" t="str">
        <f>HYPERLINK("https://www.catalog.slsa.sa.gov.au/record=b2018991")</f>
        <v>https://www.catalog.slsa.sa.gov.au/record=b2018991</v>
      </c>
      <c r="C9598" s="1" t="str">
        <f>HYPERLINK("https://www.catalog.slsa.sa.gov.au/xrecord=b2018991")</f>
        <v>https://www.catalog.slsa.sa.gov.au/xrecord=b2018991</v>
      </c>
      <c r="D9598" t="s">
        <v>16831</v>
      </c>
      <c r="E9598" t="s">
        <v>30655</v>
      </c>
      <c r="F9598">
        <v>1977</v>
      </c>
      <c r="G9598" t="s">
        <v>22565</v>
      </c>
      <c r="H9598" t="s">
        <v>30659</v>
      </c>
      <c r="I9598" t="s">
        <v>30657</v>
      </c>
      <c r="J9598" t="s">
        <v>30533</v>
      </c>
      <c r="K9598" s="2" t="str">
        <f>HYPERLINK("http://collections.slsa.sa.gov.au/mpcimg/36500/B36494.htm")</f>
        <v>http://collections.slsa.sa.gov.au/mpcimg/36500/B36494.htm</v>
      </c>
    </row>
    <row r="9599" spans="1:11" x14ac:dyDescent="0.25">
      <c r="A9599" t="s">
        <v>30660</v>
      </c>
      <c r="B9599" s="1" t="str">
        <f>HYPERLINK("https://www.catalog.slsa.sa.gov.au/record=b2018992")</f>
        <v>https://www.catalog.slsa.sa.gov.au/record=b2018992</v>
      </c>
      <c r="C9599" s="1" t="str">
        <f>HYPERLINK("https://www.catalog.slsa.sa.gov.au/xrecord=b2018992")</f>
        <v>https://www.catalog.slsa.sa.gov.au/xrecord=b2018992</v>
      </c>
      <c r="D9599" t="s">
        <v>16831</v>
      </c>
      <c r="E9599" t="s">
        <v>30530</v>
      </c>
      <c r="F9599">
        <v>1977</v>
      </c>
      <c r="G9599" t="s">
        <v>22565</v>
      </c>
      <c r="H9599" t="s">
        <v>30661</v>
      </c>
      <c r="I9599" t="s">
        <v>30662</v>
      </c>
      <c r="J9599" t="s">
        <v>30533</v>
      </c>
      <c r="K9599" s="2" t="str">
        <f>HYPERLINK("http://collections.slsa.sa.gov.au/mpcimg/36500/B36495.htm")</f>
        <v>http://collections.slsa.sa.gov.au/mpcimg/36500/B36495.htm</v>
      </c>
    </row>
    <row r="9600" spans="1:11" x14ac:dyDescent="0.25">
      <c r="A9600" t="s">
        <v>30663</v>
      </c>
      <c r="B9600" s="1" t="str">
        <f>HYPERLINK("https://www.catalog.slsa.sa.gov.au/record=b2018993")</f>
        <v>https://www.catalog.slsa.sa.gov.au/record=b2018993</v>
      </c>
      <c r="C9600" s="1" t="str">
        <f>HYPERLINK("https://www.catalog.slsa.sa.gov.au/xrecord=b2018993")</f>
        <v>https://www.catalog.slsa.sa.gov.au/xrecord=b2018993</v>
      </c>
      <c r="D9600" t="s">
        <v>16831</v>
      </c>
      <c r="E9600" t="s">
        <v>30631</v>
      </c>
      <c r="F9600">
        <v>1977</v>
      </c>
      <c r="G9600" t="s">
        <v>22565</v>
      </c>
      <c r="H9600" t="s">
        <v>30664</v>
      </c>
      <c r="I9600" t="s">
        <v>30665</v>
      </c>
      <c r="J9600" t="s">
        <v>30533</v>
      </c>
      <c r="K9600" s="2" t="str">
        <f>HYPERLINK("http://collections.slsa.sa.gov.au/mpcimg/36500/B36496.htm")</f>
        <v>http://collections.slsa.sa.gov.au/mpcimg/36500/B36496.htm</v>
      </c>
    </row>
    <row r="9601" spans="1:11" x14ac:dyDescent="0.25">
      <c r="A9601" t="s">
        <v>30666</v>
      </c>
      <c r="B9601" s="1" t="str">
        <f>HYPERLINK("https://www.catalog.slsa.sa.gov.au/record=b2018994")</f>
        <v>https://www.catalog.slsa.sa.gov.au/record=b2018994</v>
      </c>
      <c r="C9601" s="1" t="str">
        <f>HYPERLINK("https://www.catalog.slsa.sa.gov.au/xrecord=b2018994")</f>
        <v>https://www.catalog.slsa.sa.gov.au/xrecord=b2018994</v>
      </c>
      <c r="D9601" t="s">
        <v>16831</v>
      </c>
      <c r="E9601" t="s">
        <v>30530</v>
      </c>
      <c r="F9601">
        <v>1977</v>
      </c>
      <c r="G9601" t="s">
        <v>22565</v>
      </c>
      <c r="H9601" t="s">
        <v>30667</v>
      </c>
      <c r="I9601" t="s">
        <v>30555</v>
      </c>
      <c r="J9601" t="s">
        <v>30533</v>
      </c>
      <c r="K9601" s="2" t="str">
        <f>HYPERLINK("http://collections.slsa.sa.gov.au/mpcimg/36500/B36497.htm")</f>
        <v>http://collections.slsa.sa.gov.au/mpcimg/36500/B36497.htm</v>
      </c>
    </row>
    <row r="9602" spans="1:11" x14ac:dyDescent="0.25">
      <c r="A9602" t="s">
        <v>30668</v>
      </c>
      <c r="B9602" s="1" t="str">
        <f>HYPERLINK("https://www.catalog.slsa.sa.gov.au/record=b2018995")</f>
        <v>https://www.catalog.slsa.sa.gov.au/record=b2018995</v>
      </c>
      <c r="C9602" s="1" t="str">
        <f>HYPERLINK("https://www.catalog.slsa.sa.gov.au/xrecord=b2018995")</f>
        <v>https://www.catalog.slsa.sa.gov.au/xrecord=b2018995</v>
      </c>
      <c r="D9602" t="s">
        <v>16831</v>
      </c>
      <c r="E9602" t="s">
        <v>30530</v>
      </c>
      <c r="F9602">
        <v>1977</v>
      </c>
      <c r="G9602" t="s">
        <v>22565</v>
      </c>
      <c r="H9602" t="s">
        <v>30667</v>
      </c>
      <c r="I9602" t="s">
        <v>30555</v>
      </c>
      <c r="J9602" t="s">
        <v>30533</v>
      </c>
      <c r="K9602" s="2" t="str">
        <f>HYPERLINK("http://collections.slsa.sa.gov.au/mpcimg/36500/B36498.htm")</f>
        <v>http://collections.slsa.sa.gov.au/mpcimg/36500/B36498.htm</v>
      </c>
    </row>
    <row r="9603" spans="1:11" x14ac:dyDescent="0.25">
      <c r="A9603" t="s">
        <v>30669</v>
      </c>
      <c r="B9603" s="1" t="str">
        <f>HYPERLINK("https://www.catalog.slsa.sa.gov.au/record=b2054597")</f>
        <v>https://www.catalog.slsa.sa.gov.au/record=b2054597</v>
      </c>
      <c r="C9603" s="1" t="str">
        <f>HYPERLINK("https://www.catalog.slsa.sa.gov.au/xrecord=b2054597")</f>
        <v>https://www.catalog.slsa.sa.gov.au/xrecord=b2054597</v>
      </c>
      <c r="D9603" t="s">
        <v>16831</v>
      </c>
      <c r="E9603" t="s">
        <v>28202</v>
      </c>
      <c r="F9603">
        <v>1977</v>
      </c>
      <c r="G9603" t="s">
        <v>30670</v>
      </c>
      <c r="H9603" t="s">
        <v>30671</v>
      </c>
      <c r="J9603" t="s">
        <v>30672</v>
      </c>
      <c r="K9603" s="2" t="str">
        <f>HYPERLINK("http://collections.slsa.sa.gov.au/mpcimg/33500/B33443.htm")</f>
        <v>http://collections.slsa.sa.gov.au/mpcimg/33500/B33443.htm</v>
      </c>
    </row>
    <row r="9604" spans="1:11" x14ac:dyDescent="0.25">
      <c r="A9604" t="s">
        <v>30673</v>
      </c>
      <c r="B9604" s="1" t="str">
        <f>HYPERLINK("https://www.catalog.slsa.sa.gov.au/record=b2054598")</f>
        <v>https://www.catalog.slsa.sa.gov.au/record=b2054598</v>
      </c>
      <c r="C9604" s="1" t="str">
        <f>HYPERLINK("https://www.catalog.slsa.sa.gov.au/xrecord=b2054598")</f>
        <v>https://www.catalog.slsa.sa.gov.au/xrecord=b2054598</v>
      </c>
      <c r="D9604" t="s">
        <v>16831</v>
      </c>
      <c r="E9604" t="s">
        <v>28202</v>
      </c>
      <c r="F9604">
        <v>1977</v>
      </c>
      <c r="G9604" t="s">
        <v>30670</v>
      </c>
      <c r="H9604" t="s">
        <v>30674</v>
      </c>
      <c r="J9604" t="s">
        <v>30672</v>
      </c>
      <c r="K9604" s="2" t="str">
        <f>HYPERLINK("http://collections.slsa.sa.gov.au/mpcimg/33500/B33444.htm")</f>
        <v>http://collections.slsa.sa.gov.au/mpcimg/33500/B33444.htm</v>
      </c>
    </row>
    <row r="9605" spans="1:11" x14ac:dyDescent="0.25">
      <c r="A9605" t="s">
        <v>30675</v>
      </c>
      <c r="B9605" s="1" t="str">
        <f>HYPERLINK("https://www.catalog.slsa.sa.gov.au/record=b2054599")</f>
        <v>https://www.catalog.slsa.sa.gov.au/record=b2054599</v>
      </c>
      <c r="C9605" s="1" t="str">
        <f>HYPERLINK("https://www.catalog.slsa.sa.gov.au/xrecord=b2054599")</f>
        <v>https://www.catalog.slsa.sa.gov.au/xrecord=b2054599</v>
      </c>
      <c r="D9605" t="s">
        <v>16831</v>
      </c>
      <c r="E9605" t="s">
        <v>28202</v>
      </c>
      <c r="F9605">
        <v>1977</v>
      </c>
      <c r="G9605" t="s">
        <v>30670</v>
      </c>
      <c r="H9605" t="s">
        <v>30674</v>
      </c>
      <c r="J9605" t="s">
        <v>30672</v>
      </c>
      <c r="K9605" s="2" t="str">
        <f>HYPERLINK("http://collections.slsa.sa.gov.au/mpcimg/33500/B33445.htm")</f>
        <v>http://collections.slsa.sa.gov.au/mpcimg/33500/B33445.htm</v>
      </c>
    </row>
    <row r="9606" spans="1:11" x14ac:dyDescent="0.25">
      <c r="A9606" t="s">
        <v>30676</v>
      </c>
      <c r="B9606" s="1" t="str">
        <f>HYPERLINK("https://www.catalog.slsa.sa.gov.au/record=b2054600")</f>
        <v>https://www.catalog.slsa.sa.gov.au/record=b2054600</v>
      </c>
      <c r="C9606" s="1" t="str">
        <f>HYPERLINK("https://www.catalog.slsa.sa.gov.au/xrecord=b2054600")</f>
        <v>https://www.catalog.slsa.sa.gov.au/xrecord=b2054600</v>
      </c>
      <c r="D9606" t="s">
        <v>16831</v>
      </c>
      <c r="E9606" t="s">
        <v>28202</v>
      </c>
      <c r="F9606">
        <v>1977</v>
      </c>
      <c r="G9606" t="s">
        <v>30670</v>
      </c>
      <c r="H9606" t="s">
        <v>30674</v>
      </c>
      <c r="J9606" t="s">
        <v>30672</v>
      </c>
      <c r="K9606" s="2" t="str">
        <f>HYPERLINK("http://collections.slsa.sa.gov.au/mpcimg/33500/B33446.htm")</f>
        <v>http://collections.slsa.sa.gov.au/mpcimg/33500/B33446.htm</v>
      </c>
    </row>
    <row r="9607" spans="1:11" x14ac:dyDescent="0.25">
      <c r="A9607" t="s">
        <v>30677</v>
      </c>
      <c r="B9607" s="1" t="str">
        <f>HYPERLINK("https://www.catalog.slsa.sa.gov.au/record=b2054833")</f>
        <v>https://www.catalog.slsa.sa.gov.au/record=b2054833</v>
      </c>
      <c r="C9607" s="1" t="str">
        <f>HYPERLINK("https://www.catalog.slsa.sa.gov.au/xrecord=b2054833")</f>
        <v>https://www.catalog.slsa.sa.gov.au/xrecord=b2054833</v>
      </c>
      <c r="D9607" t="s">
        <v>16831</v>
      </c>
      <c r="E9607" t="s">
        <v>30678</v>
      </c>
      <c r="F9607">
        <v>1977</v>
      </c>
      <c r="G9607" t="s">
        <v>4731</v>
      </c>
      <c r="H9607" t="s">
        <v>30679</v>
      </c>
      <c r="J9607" t="s">
        <v>27990</v>
      </c>
      <c r="K9607" s="2" t="str">
        <f>HYPERLINK("http://collections.slsa.sa.gov.au/mpcimg/35250/B35108.htm")</f>
        <v>http://collections.slsa.sa.gov.au/mpcimg/35250/B35108.htm</v>
      </c>
    </row>
    <row r="9608" spans="1:11" x14ac:dyDescent="0.25">
      <c r="A9608" t="s">
        <v>30680</v>
      </c>
      <c r="B9608" s="1" t="str">
        <f>HYPERLINK("https://www.catalog.slsa.sa.gov.au/record=b2055707")</f>
        <v>https://www.catalog.slsa.sa.gov.au/record=b2055707</v>
      </c>
      <c r="C9608" s="1" t="str">
        <f>HYPERLINK("https://www.catalog.slsa.sa.gov.au/xrecord=b2055707")</f>
        <v>https://www.catalog.slsa.sa.gov.au/xrecord=b2055707</v>
      </c>
      <c r="D9608" t="s">
        <v>16831</v>
      </c>
      <c r="E9608" t="s">
        <v>30681</v>
      </c>
      <c r="F9608">
        <v>1977</v>
      </c>
      <c r="G9608" t="s">
        <v>18403</v>
      </c>
      <c r="H9608" t="s">
        <v>30682</v>
      </c>
      <c r="J9608" t="s">
        <v>25292</v>
      </c>
      <c r="K9608" s="2" t="str">
        <f>HYPERLINK("http://collections.slsa.sa.gov.au/mpcimg/34250/B34059.htm")</f>
        <v>http://collections.slsa.sa.gov.au/mpcimg/34250/B34059.htm</v>
      </c>
    </row>
    <row r="9609" spans="1:11" x14ac:dyDescent="0.25">
      <c r="A9609" t="s">
        <v>30683</v>
      </c>
      <c r="B9609" s="1" t="str">
        <f>HYPERLINK("https://www.catalog.slsa.sa.gov.au/record=b2055708")</f>
        <v>https://www.catalog.slsa.sa.gov.au/record=b2055708</v>
      </c>
      <c r="C9609" s="1" t="str">
        <f>HYPERLINK("https://www.catalog.slsa.sa.gov.au/xrecord=b2055708")</f>
        <v>https://www.catalog.slsa.sa.gov.au/xrecord=b2055708</v>
      </c>
      <c r="D9609" t="s">
        <v>16831</v>
      </c>
      <c r="E9609" t="s">
        <v>30681</v>
      </c>
      <c r="F9609">
        <v>1977</v>
      </c>
      <c r="G9609" t="s">
        <v>16603</v>
      </c>
      <c r="H9609" t="s">
        <v>30684</v>
      </c>
      <c r="J9609" t="s">
        <v>25292</v>
      </c>
      <c r="K9609" s="2" t="str">
        <f>HYPERLINK("http://collections.slsa.sa.gov.au/mpcimg/34250/B34060.htm")</f>
        <v>http://collections.slsa.sa.gov.au/mpcimg/34250/B34060.htm</v>
      </c>
    </row>
    <row r="9610" spans="1:11" x14ac:dyDescent="0.25">
      <c r="A9610" t="s">
        <v>30685</v>
      </c>
      <c r="B9610" s="1" t="str">
        <f>HYPERLINK("https://www.catalog.slsa.sa.gov.au/record=b2055709")</f>
        <v>https://www.catalog.slsa.sa.gov.au/record=b2055709</v>
      </c>
      <c r="C9610" s="1" t="str">
        <f>HYPERLINK("https://www.catalog.slsa.sa.gov.au/xrecord=b2055709")</f>
        <v>https://www.catalog.slsa.sa.gov.au/xrecord=b2055709</v>
      </c>
      <c r="D9610" t="s">
        <v>16831</v>
      </c>
      <c r="E9610" t="s">
        <v>30686</v>
      </c>
      <c r="F9610">
        <v>1977</v>
      </c>
      <c r="G9610" t="s">
        <v>23836</v>
      </c>
      <c r="H9610" t="s">
        <v>30687</v>
      </c>
      <c r="J9610" t="s">
        <v>25292</v>
      </c>
      <c r="K9610" s="2" t="str">
        <f>HYPERLINK("http://collections.slsa.sa.gov.au/mpcimg/34250/B34061.htm")</f>
        <v>http://collections.slsa.sa.gov.au/mpcimg/34250/B34061.htm</v>
      </c>
    </row>
    <row r="9611" spans="1:11" x14ac:dyDescent="0.25">
      <c r="A9611" t="s">
        <v>30688</v>
      </c>
      <c r="B9611" s="1" t="str">
        <f>HYPERLINK("https://www.catalog.slsa.sa.gov.au/record=b2056451")</f>
        <v>https://www.catalog.slsa.sa.gov.au/record=b2056451</v>
      </c>
      <c r="C9611" s="1" t="str">
        <f>HYPERLINK("https://www.catalog.slsa.sa.gov.au/xrecord=b2056451")</f>
        <v>https://www.catalog.slsa.sa.gov.au/xrecord=b2056451</v>
      </c>
      <c r="D9611" t="s">
        <v>16831</v>
      </c>
      <c r="E9611" t="s">
        <v>30689</v>
      </c>
      <c r="F9611">
        <v>1977</v>
      </c>
      <c r="G9611" t="s">
        <v>27663</v>
      </c>
      <c r="H9611" t="s">
        <v>30690</v>
      </c>
      <c r="J9611" t="s">
        <v>20914</v>
      </c>
      <c r="K9611" s="2" t="str">
        <f>HYPERLINK("http://collections.slsa.sa.gov.au/mpcimg/34000/B33763.htm")</f>
        <v>http://collections.slsa.sa.gov.au/mpcimg/34000/B33763.htm</v>
      </c>
    </row>
    <row r="9612" spans="1:11" x14ac:dyDescent="0.25">
      <c r="A9612" t="s">
        <v>30691</v>
      </c>
      <c r="B9612" s="1" t="str">
        <f>HYPERLINK("https://www.catalog.slsa.sa.gov.au/record=b2056452")</f>
        <v>https://www.catalog.slsa.sa.gov.au/record=b2056452</v>
      </c>
      <c r="C9612" s="1" t="str">
        <f>HYPERLINK("https://www.catalog.slsa.sa.gov.au/xrecord=b2056452")</f>
        <v>https://www.catalog.slsa.sa.gov.au/xrecord=b2056452</v>
      </c>
      <c r="D9612" t="s">
        <v>16831</v>
      </c>
      <c r="E9612" t="s">
        <v>30689</v>
      </c>
      <c r="F9612">
        <v>1977</v>
      </c>
      <c r="G9612" t="s">
        <v>30692</v>
      </c>
      <c r="H9612" t="s">
        <v>30693</v>
      </c>
      <c r="J9612" t="s">
        <v>20914</v>
      </c>
      <c r="K9612" s="2" t="str">
        <f>HYPERLINK("http://collections.slsa.sa.gov.au/mpcimg/34000/B33764.htm")</f>
        <v>http://collections.slsa.sa.gov.au/mpcimg/34000/B33764.htm</v>
      </c>
    </row>
    <row r="9613" spans="1:11" x14ac:dyDescent="0.25">
      <c r="A9613" t="s">
        <v>30694</v>
      </c>
      <c r="B9613" s="1" t="str">
        <f>HYPERLINK("https://www.catalog.slsa.sa.gov.au/record=b2056453")</f>
        <v>https://www.catalog.slsa.sa.gov.au/record=b2056453</v>
      </c>
      <c r="C9613" s="1" t="str">
        <f>HYPERLINK("https://www.catalog.slsa.sa.gov.au/xrecord=b2056453")</f>
        <v>https://www.catalog.slsa.sa.gov.au/xrecord=b2056453</v>
      </c>
      <c r="D9613" t="s">
        <v>16831</v>
      </c>
      <c r="E9613" t="s">
        <v>30689</v>
      </c>
      <c r="F9613">
        <v>1977</v>
      </c>
      <c r="G9613" t="s">
        <v>30695</v>
      </c>
      <c r="H9613" t="s">
        <v>30693</v>
      </c>
      <c r="J9613" t="s">
        <v>20914</v>
      </c>
      <c r="K9613" s="2" t="str">
        <f>HYPERLINK("http://collections.slsa.sa.gov.au/mpcimg/34000/B33765.htm")</f>
        <v>http://collections.slsa.sa.gov.au/mpcimg/34000/B33765.htm</v>
      </c>
    </row>
    <row r="9614" spans="1:11" x14ac:dyDescent="0.25">
      <c r="A9614" t="s">
        <v>30696</v>
      </c>
      <c r="B9614" s="1" t="str">
        <f>HYPERLINK("https://www.catalog.slsa.sa.gov.au/record=b2056500")</f>
        <v>https://www.catalog.slsa.sa.gov.au/record=b2056500</v>
      </c>
      <c r="C9614" s="1" t="str">
        <f>HYPERLINK("https://www.catalog.slsa.sa.gov.au/xrecord=b2056500")</f>
        <v>https://www.catalog.slsa.sa.gov.au/xrecord=b2056500</v>
      </c>
      <c r="D9614" t="s">
        <v>16831</v>
      </c>
      <c r="E9614" t="s">
        <v>20933</v>
      </c>
      <c r="F9614">
        <v>1977</v>
      </c>
      <c r="G9614" t="s">
        <v>14771</v>
      </c>
      <c r="H9614" t="s">
        <v>30697</v>
      </c>
      <c r="J9614" t="s">
        <v>17605</v>
      </c>
      <c r="K9614" s="2" t="str">
        <f>HYPERLINK("http://collections.slsa.sa.gov.au/mpcimg/35250/B35007.htm")</f>
        <v>http://collections.slsa.sa.gov.au/mpcimg/35250/B35007.htm</v>
      </c>
    </row>
    <row r="9615" spans="1:11" x14ac:dyDescent="0.25">
      <c r="A9615" t="s">
        <v>30698</v>
      </c>
      <c r="B9615" s="1" t="str">
        <f>HYPERLINK("https://www.catalog.slsa.sa.gov.au/record=b2056501")</f>
        <v>https://www.catalog.slsa.sa.gov.au/record=b2056501</v>
      </c>
      <c r="C9615" s="1" t="str">
        <f>HYPERLINK("https://www.catalog.slsa.sa.gov.au/xrecord=b2056501")</f>
        <v>https://www.catalog.slsa.sa.gov.au/xrecord=b2056501</v>
      </c>
      <c r="D9615" t="s">
        <v>16831</v>
      </c>
      <c r="E9615" t="s">
        <v>20933</v>
      </c>
      <c r="F9615">
        <v>1977</v>
      </c>
      <c r="G9615" t="s">
        <v>14771</v>
      </c>
      <c r="H9615" t="s">
        <v>30699</v>
      </c>
      <c r="J9615" t="s">
        <v>17605</v>
      </c>
      <c r="K9615" s="2" t="str">
        <f>HYPERLINK("http://collections.slsa.sa.gov.au/mpcimg/35250/B35008.htm")</f>
        <v>http://collections.slsa.sa.gov.au/mpcimg/35250/B35008.htm</v>
      </c>
    </row>
    <row r="9616" spans="1:11" x14ac:dyDescent="0.25">
      <c r="A9616" t="s">
        <v>30700</v>
      </c>
      <c r="B9616" s="1" t="str">
        <f>HYPERLINK("https://www.catalog.slsa.sa.gov.au/record=b2056502")</f>
        <v>https://www.catalog.slsa.sa.gov.au/record=b2056502</v>
      </c>
      <c r="C9616" s="1" t="str">
        <f>HYPERLINK("https://www.catalog.slsa.sa.gov.au/xrecord=b2056502")</f>
        <v>https://www.catalog.slsa.sa.gov.au/xrecord=b2056502</v>
      </c>
      <c r="D9616" t="s">
        <v>16831</v>
      </c>
      <c r="E9616" t="s">
        <v>20933</v>
      </c>
      <c r="F9616">
        <v>1977</v>
      </c>
      <c r="G9616" t="s">
        <v>14771</v>
      </c>
      <c r="H9616" t="s">
        <v>30701</v>
      </c>
      <c r="J9616" t="s">
        <v>17605</v>
      </c>
      <c r="K9616" s="2" t="str">
        <f>HYPERLINK("http://collections.slsa.sa.gov.au/mpcimg/35250/B35009.htm")</f>
        <v>http://collections.slsa.sa.gov.au/mpcimg/35250/B35009.htm</v>
      </c>
    </row>
    <row r="9617" spans="1:11" x14ac:dyDescent="0.25">
      <c r="A9617" t="s">
        <v>30702</v>
      </c>
      <c r="B9617" s="1" t="str">
        <f>HYPERLINK("https://www.catalog.slsa.sa.gov.au/record=b2056503")</f>
        <v>https://www.catalog.slsa.sa.gov.au/record=b2056503</v>
      </c>
      <c r="C9617" s="1" t="str">
        <f>HYPERLINK("https://www.catalog.slsa.sa.gov.au/xrecord=b2056503")</f>
        <v>https://www.catalog.slsa.sa.gov.au/xrecord=b2056503</v>
      </c>
      <c r="D9617" t="s">
        <v>16831</v>
      </c>
      <c r="E9617" t="s">
        <v>30703</v>
      </c>
      <c r="F9617">
        <v>1977</v>
      </c>
      <c r="G9617" t="s">
        <v>16263</v>
      </c>
      <c r="H9617" t="s">
        <v>30704</v>
      </c>
      <c r="J9617" t="s">
        <v>17605</v>
      </c>
      <c r="K9617" s="2" t="str">
        <f>HYPERLINK("http://collections.slsa.sa.gov.au/mpcimg/35250/B35071.htm")</f>
        <v>http://collections.slsa.sa.gov.au/mpcimg/35250/B35071.htm</v>
      </c>
    </row>
    <row r="9618" spans="1:11" x14ac:dyDescent="0.25">
      <c r="A9618" t="s">
        <v>30705</v>
      </c>
      <c r="B9618" s="1" t="str">
        <f>HYPERLINK("https://www.catalog.slsa.sa.gov.au/record=b2056504")</f>
        <v>https://www.catalog.slsa.sa.gov.au/record=b2056504</v>
      </c>
      <c r="C9618" s="1" t="str">
        <f>HYPERLINK("https://www.catalog.slsa.sa.gov.au/xrecord=b2056504")</f>
        <v>https://www.catalog.slsa.sa.gov.au/xrecord=b2056504</v>
      </c>
      <c r="D9618" t="s">
        <v>16831</v>
      </c>
      <c r="E9618" t="s">
        <v>30703</v>
      </c>
      <c r="F9618">
        <v>1977</v>
      </c>
      <c r="G9618" t="s">
        <v>14771</v>
      </c>
      <c r="H9618" t="s">
        <v>30706</v>
      </c>
      <c r="J9618" t="s">
        <v>17605</v>
      </c>
      <c r="K9618" s="2" t="str">
        <f>HYPERLINK("http://collections.slsa.sa.gov.au/mpcimg/35250/B35072.htm")</f>
        <v>http://collections.slsa.sa.gov.au/mpcimg/35250/B35072.htm</v>
      </c>
    </row>
    <row r="9619" spans="1:11" x14ac:dyDescent="0.25">
      <c r="A9619" t="s">
        <v>30707</v>
      </c>
      <c r="B9619" s="1" t="str">
        <f>HYPERLINK("https://www.catalog.slsa.sa.gov.au/record=b2056505")</f>
        <v>https://www.catalog.slsa.sa.gov.au/record=b2056505</v>
      </c>
      <c r="C9619" s="1" t="str">
        <f>HYPERLINK("https://www.catalog.slsa.sa.gov.au/xrecord=b2056505")</f>
        <v>https://www.catalog.slsa.sa.gov.au/xrecord=b2056505</v>
      </c>
      <c r="D9619" t="s">
        <v>16831</v>
      </c>
      <c r="E9619" t="s">
        <v>30703</v>
      </c>
      <c r="F9619">
        <v>1977</v>
      </c>
      <c r="G9619" t="s">
        <v>19812</v>
      </c>
      <c r="H9619" t="s">
        <v>30706</v>
      </c>
      <c r="J9619" t="s">
        <v>17605</v>
      </c>
      <c r="K9619" s="2" t="str">
        <f>HYPERLINK("http://collections.slsa.sa.gov.au/mpcimg/35250/B35073.htm")</f>
        <v>http://collections.slsa.sa.gov.au/mpcimg/35250/B35073.htm</v>
      </c>
    </row>
    <row r="9620" spans="1:11" x14ac:dyDescent="0.25">
      <c r="A9620" t="s">
        <v>30708</v>
      </c>
      <c r="B9620" s="1" t="str">
        <f>HYPERLINK("https://www.catalog.slsa.sa.gov.au/record=b2056929")</f>
        <v>https://www.catalog.slsa.sa.gov.au/record=b2056929</v>
      </c>
      <c r="C9620" s="1" t="str">
        <f>HYPERLINK("https://www.catalog.slsa.sa.gov.au/xrecord=b2056929")</f>
        <v>https://www.catalog.slsa.sa.gov.au/xrecord=b2056929</v>
      </c>
      <c r="D9620" t="s">
        <v>16831</v>
      </c>
      <c r="E9620" t="s">
        <v>16791</v>
      </c>
      <c r="F9620">
        <v>1977</v>
      </c>
      <c r="G9620" t="s">
        <v>30670</v>
      </c>
      <c r="H9620" t="s">
        <v>30709</v>
      </c>
      <c r="J9620" t="s">
        <v>30456</v>
      </c>
      <c r="K9620" s="2" t="str">
        <f>HYPERLINK("http://collections.slsa.sa.gov.au/mpcimg/33500/B33440.htm")</f>
        <v>http://collections.slsa.sa.gov.au/mpcimg/33500/B33440.htm</v>
      </c>
    </row>
    <row r="9621" spans="1:11" x14ac:dyDescent="0.25">
      <c r="A9621" t="s">
        <v>30710</v>
      </c>
      <c r="B9621" s="1" t="str">
        <f>HYPERLINK("https://www.catalog.slsa.sa.gov.au/record=b2056930")</f>
        <v>https://www.catalog.slsa.sa.gov.au/record=b2056930</v>
      </c>
      <c r="C9621" s="1" t="str">
        <f>HYPERLINK("https://www.catalog.slsa.sa.gov.au/xrecord=b2056930")</f>
        <v>https://www.catalog.slsa.sa.gov.au/xrecord=b2056930</v>
      </c>
      <c r="D9621" t="s">
        <v>16831</v>
      </c>
      <c r="E9621" t="s">
        <v>16791</v>
      </c>
      <c r="F9621">
        <v>1977</v>
      </c>
      <c r="G9621" t="s">
        <v>30670</v>
      </c>
      <c r="H9621" t="s">
        <v>30711</v>
      </c>
      <c r="J9621" t="s">
        <v>30456</v>
      </c>
      <c r="K9621" s="2" t="str">
        <f>HYPERLINK("http://collections.slsa.sa.gov.au/mpcimg/33500/B33441.htm")</f>
        <v>http://collections.slsa.sa.gov.au/mpcimg/33500/B33441.htm</v>
      </c>
    </row>
    <row r="9622" spans="1:11" x14ac:dyDescent="0.25">
      <c r="A9622" t="s">
        <v>30712</v>
      </c>
      <c r="B9622" s="1" t="str">
        <f>HYPERLINK("https://www.catalog.slsa.sa.gov.au/record=b2056931")</f>
        <v>https://www.catalog.slsa.sa.gov.au/record=b2056931</v>
      </c>
      <c r="C9622" s="1" t="str">
        <f>HYPERLINK("https://www.catalog.slsa.sa.gov.au/xrecord=b2056931")</f>
        <v>https://www.catalog.slsa.sa.gov.au/xrecord=b2056931</v>
      </c>
      <c r="D9622" t="s">
        <v>16831</v>
      </c>
      <c r="E9622" t="s">
        <v>16791</v>
      </c>
      <c r="F9622">
        <v>1977</v>
      </c>
      <c r="G9622" t="s">
        <v>30670</v>
      </c>
      <c r="H9622" t="s">
        <v>30711</v>
      </c>
      <c r="J9622" t="s">
        <v>30456</v>
      </c>
      <c r="K9622" s="2" t="str">
        <f>HYPERLINK("http://collections.slsa.sa.gov.au/mpcimg/33500/B33442.htm")</f>
        <v>http://collections.slsa.sa.gov.au/mpcimg/33500/B33442.htm</v>
      </c>
    </row>
    <row r="9623" spans="1:11" x14ac:dyDescent="0.25">
      <c r="A9623" t="s">
        <v>30713</v>
      </c>
      <c r="B9623" s="1" t="str">
        <f>HYPERLINK("https://www.catalog.slsa.sa.gov.au/record=b2059421")</f>
        <v>https://www.catalog.slsa.sa.gov.au/record=b2059421</v>
      </c>
      <c r="C9623" s="1" t="str">
        <f>HYPERLINK("https://www.catalog.slsa.sa.gov.au/xrecord=b2059421")</f>
        <v>https://www.catalog.slsa.sa.gov.au/xrecord=b2059421</v>
      </c>
      <c r="D9623" t="s">
        <v>16831</v>
      </c>
      <c r="E9623" t="s">
        <v>30714</v>
      </c>
      <c r="F9623">
        <v>1977</v>
      </c>
      <c r="G9623" t="s">
        <v>30670</v>
      </c>
      <c r="H9623" t="s">
        <v>30715</v>
      </c>
      <c r="J9623" t="s">
        <v>25368</v>
      </c>
      <c r="K9623" s="2" t="str">
        <f>HYPERLINK("http://collections.slsa.sa.gov.au/mpcimg/33250/B33075.htm")</f>
        <v>http://collections.slsa.sa.gov.au/mpcimg/33250/B33075.htm</v>
      </c>
    </row>
    <row r="9624" spans="1:11" x14ac:dyDescent="0.25">
      <c r="A9624" t="s">
        <v>30716</v>
      </c>
      <c r="B9624" s="1" t="str">
        <f>HYPERLINK("https://www.catalog.slsa.sa.gov.au/record=b2059422")</f>
        <v>https://www.catalog.slsa.sa.gov.au/record=b2059422</v>
      </c>
      <c r="C9624" s="1" t="str">
        <f>HYPERLINK("https://www.catalog.slsa.sa.gov.au/xrecord=b2059422")</f>
        <v>https://www.catalog.slsa.sa.gov.au/xrecord=b2059422</v>
      </c>
      <c r="D9624" t="s">
        <v>16831</v>
      </c>
      <c r="E9624" t="s">
        <v>29780</v>
      </c>
      <c r="F9624">
        <v>1977</v>
      </c>
      <c r="G9624" t="s">
        <v>30670</v>
      </c>
      <c r="H9624" t="s">
        <v>30717</v>
      </c>
      <c r="J9624" t="s">
        <v>25368</v>
      </c>
      <c r="K9624" s="2" t="str">
        <f>HYPERLINK("http://collections.slsa.sa.gov.au/mpcimg/33250/B33076.htm")</f>
        <v>http://collections.slsa.sa.gov.au/mpcimg/33250/B33076.htm</v>
      </c>
    </row>
    <row r="9625" spans="1:11" x14ac:dyDescent="0.25">
      <c r="A9625" t="s">
        <v>30718</v>
      </c>
      <c r="B9625" s="1" t="str">
        <f>HYPERLINK("https://www.catalog.slsa.sa.gov.au/record=b2059423")</f>
        <v>https://www.catalog.slsa.sa.gov.au/record=b2059423</v>
      </c>
      <c r="C9625" s="1" t="str">
        <f>HYPERLINK("https://www.catalog.slsa.sa.gov.au/xrecord=b2059423")</f>
        <v>https://www.catalog.slsa.sa.gov.au/xrecord=b2059423</v>
      </c>
      <c r="D9625" t="s">
        <v>16831</v>
      </c>
      <c r="E9625" t="s">
        <v>30714</v>
      </c>
      <c r="F9625">
        <v>1977</v>
      </c>
      <c r="G9625" t="s">
        <v>30670</v>
      </c>
      <c r="H9625" t="s">
        <v>30719</v>
      </c>
      <c r="J9625" t="s">
        <v>25368</v>
      </c>
      <c r="K9625" s="2" t="str">
        <f>HYPERLINK("http://collections.slsa.sa.gov.au/mpcimg/33250/B33077.htm")</f>
        <v>http://collections.slsa.sa.gov.au/mpcimg/33250/B33077.htm</v>
      </c>
    </row>
    <row r="9626" spans="1:11" x14ac:dyDescent="0.25">
      <c r="A9626" t="s">
        <v>30720</v>
      </c>
      <c r="B9626" s="1" t="str">
        <f>HYPERLINK("https://www.catalog.slsa.sa.gov.au/record=b2059600")</f>
        <v>https://www.catalog.slsa.sa.gov.au/record=b2059600</v>
      </c>
      <c r="C9626" s="1" t="str">
        <f>HYPERLINK("https://www.catalog.slsa.sa.gov.au/xrecord=b2059600")</f>
        <v>https://www.catalog.slsa.sa.gov.au/xrecord=b2059600</v>
      </c>
      <c r="D9626" t="s">
        <v>16831</v>
      </c>
      <c r="E9626" t="s">
        <v>20096</v>
      </c>
      <c r="F9626">
        <v>1977</v>
      </c>
      <c r="G9626" t="s">
        <v>30721</v>
      </c>
      <c r="H9626" t="s">
        <v>30722</v>
      </c>
      <c r="J9626" t="s">
        <v>27336</v>
      </c>
      <c r="K9626" s="2" t="str">
        <f>HYPERLINK("http://collections.slsa.sa.gov.au/mpcimg/35000/B34984.htm")</f>
        <v>http://collections.slsa.sa.gov.au/mpcimg/35000/B34984.htm</v>
      </c>
    </row>
    <row r="9627" spans="1:11" x14ac:dyDescent="0.25">
      <c r="A9627" t="s">
        <v>30723</v>
      </c>
      <c r="B9627" s="1" t="str">
        <f>HYPERLINK("https://www.catalog.slsa.sa.gov.au/record=b2059601")</f>
        <v>https://www.catalog.slsa.sa.gov.au/record=b2059601</v>
      </c>
      <c r="C9627" s="1" t="str">
        <f>HYPERLINK("https://www.catalog.slsa.sa.gov.au/xrecord=b2059601")</f>
        <v>https://www.catalog.slsa.sa.gov.au/xrecord=b2059601</v>
      </c>
      <c r="D9627" t="s">
        <v>16831</v>
      </c>
      <c r="E9627" t="s">
        <v>20096</v>
      </c>
      <c r="F9627">
        <v>1977</v>
      </c>
      <c r="G9627" t="s">
        <v>14875</v>
      </c>
      <c r="H9627" t="s">
        <v>30724</v>
      </c>
      <c r="J9627" t="s">
        <v>27336</v>
      </c>
      <c r="K9627" s="2" t="str">
        <f>HYPERLINK("http://collections.slsa.sa.gov.au/mpcimg/35000/B34985.htm")</f>
        <v>http://collections.slsa.sa.gov.au/mpcimg/35000/B34985.htm</v>
      </c>
    </row>
    <row r="9628" spans="1:11" x14ac:dyDescent="0.25">
      <c r="A9628" t="s">
        <v>30725</v>
      </c>
      <c r="B9628" s="1" t="str">
        <f>HYPERLINK("https://www.catalog.slsa.sa.gov.au/record=b2059625")</f>
        <v>https://www.catalog.slsa.sa.gov.au/record=b2059625</v>
      </c>
      <c r="C9628" s="1" t="str">
        <f>HYPERLINK("https://www.catalog.slsa.sa.gov.au/xrecord=b2059625")</f>
        <v>https://www.catalog.slsa.sa.gov.au/xrecord=b2059625</v>
      </c>
      <c r="D9628" t="s">
        <v>16831</v>
      </c>
      <c r="E9628" t="s">
        <v>30726</v>
      </c>
      <c r="F9628">
        <v>1977</v>
      </c>
      <c r="G9628" t="s">
        <v>30727</v>
      </c>
      <c r="H9628" t="s">
        <v>30728</v>
      </c>
      <c r="J9628" t="s">
        <v>30729</v>
      </c>
      <c r="K9628" s="2" t="str">
        <f>HYPERLINK("http://collections.slsa.sa.gov.au/mpcimg/35250/B35069.htm")</f>
        <v>http://collections.slsa.sa.gov.au/mpcimg/35250/B35069.htm</v>
      </c>
    </row>
    <row r="9629" spans="1:11" x14ac:dyDescent="0.25">
      <c r="A9629" t="s">
        <v>30730</v>
      </c>
      <c r="B9629" s="1" t="str">
        <f>HYPERLINK("https://www.catalog.slsa.sa.gov.au/record=b2059626")</f>
        <v>https://www.catalog.slsa.sa.gov.au/record=b2059626</v>
      </c>
      <c r="C9629" s="1" t="str">
        <f>HYPERLINK("https://www.catalog.slsa.sa.gov.au/xrecord=b2059626")</f>
        <v>https://www.catalog.slsa.sa.gov.au/xrecord=b2059626</v>
      </c>
      <c r="D9629" t="s">
        <v>16831</v>
      </c>
      <c r="E9629" t="s">
        <v>30726</v>
      </c>
      <c r="F9629">
        <v>1977</v>
      </c>
      <c r="G9629" t="s">
        <v>27663</v>
      </c>
      <c r="H9629" t="s">
        <v>30731</v>
      </c>
      <c r="J9629" t="s">
        <v>30729</v>
      </c>
      <c r="K9629" s="2" t="str">
        <f>HYPERLINK("http://collections.slsa.sa.gov.au/mpcimg/35250/B35070.htm")</f>
        <v>http://collections.slsa.sa.gov.au/mpcimg/35250/B35070.htm</v>
      </c>
    </row>
    <row r="9630" spans="1:11" x14ac:dyDescent="0.25">
      <c r="A9630" t="s">
        <v>30732</v>
      </c>
      <c r="B9630" s="1" t="str">
        <f>HYPERLINK("https://www.catalog.slsa.sa.gov.au/record=b2059847")</f>
        <v>https://www.catalog.slsa.sa.gov.au/record=b2059847</v>
      </c>
      <c r="C9630" s="1" t="str">
        <f>HYPERLINK("https://www.catalog.slsa.sa.gov.au/xrecord=b2059847")</f>
        <v>https://www.catalog.slsa.sa.gov.au/xrecord=b2059847</v>
      </c>
      <c r="D9630" t="s">
        <v>16831</v>
      </c>
      <c r="E9630" t="s">
        <v>22862</v>
      </c>
      <c r="F9630">
        <v>1977</v>
      </c>
      <c r="G9630" t="s">
        <v>14799</v>
      </c>
      <c r="H9630" t="s">
        <v>30733</v>
      </c>
      <c r="J9630" t="s">
        <v>30734</v>
      </c>
      <c r="K9630" s="2" t="str">
        <f>HYPERLINK("http://collections.slsa.sa.gov.au/mpcimg/33750/B33682.htm")</f>
        <v>http://collections.slsa.sa.gov.au/mpcimg/33750/B33682.htm</v>
      </c>
    </row>
    <row r="9631" spans="1:11" x14ac:dyDescent="0.25">
      <c r="A9631" t="s">
        <v>30735</v>
      </c>
      <c r="B9631" s="1" t="str">
        <f>HYPERLINK("https://www.catalog.slsa.sa.gov.au/record=b2059848")</f>
        <v>https://www.catalog.slsa.sa.gov.au/record=b2059848</v>
      </c>
      <c r="C9631" s="1" t="str">
        <f>HYPERLINK("https://www.catalog.slsa.sa.gov.au/xrecord=b2059848")</f>
        <v>https://www.catalog.slsa.sa.gov.au/xrecord=b2059848</v>
      </c>
      <c r="D9631" t="s">
        <v>16831</v>
      </c>
      <c r="E9631" t="s">
        <v>22862</v>
      </c>
      <c r="F9631">
        <v>1977</v>
      </c>
      <c r="G9631" t="s">
        <v>14799</v>
      </c>
      <c r="H9631" t="s">
        <v>30736</v>
      </c>
      <c r="J9631" t="s">
        <v>30734</v>
      </c>
      <c r="K9631" s="2" t="str">
        <f>HYPERLINK("http://collections.slsa.sa.gov.au/mpcimg/33750/B33683.htm")</f>
        <v>http://collections.slsa.sa.gov.au/mpcimg/33750/B33683.htm</v>
      </c>
    </row>
    <row r="9632" spans="1:11" x14ac:dyDescent="0.25">
      <c r="A9632" t="s">
        <v>30737</v>
      </c>
      <c r="B9632" s="1" t="str">
        <f>HYPERLINK("https://www.catalog.slsa.sa.gov.au/record=b2059903")</f>
        <v>https://www.catalog.slsa.sa.gov.au/record=b2059903</v>
      </c>
      <c r="C9632" s="1" t="str">
        <f>HYPERLINK("https://www.catalog.slsa.sa.gov.au/xrecord=b2059903")</f>
        <v>https://www.catalog.slsa.sa.gov.au/xrecord=b2059903</v>
      </c>
      <c r="D9632" t="s">
        <v>16831</v>
      </c>
      <c r="E9632" t="s">
        <v>25538</v>
      </c>
      <c r="F9632">
        <v>1977</v>
      </c>
      <c r="G9632" t="s">
        <v>30670</v>
      </c>
      <c r="H9632" t="s">
        <v>30738</v>
      </c>
      <c r="J9632" t="s">
        <v>24272</v>
      </c>
      <c r="K9632" s="2" t="str">
        <f>HYPERLINK("http://collections.slsa.sa.gov.au/mpcimg/33250/B33060.htm")</f>
        <v>http://collections.slsa.sa.gov.au/mpcimg/33250/B33060.htm</v>
      </c>
    </row>
    <row r="9633" spans="1:11" x14ac:dyDescent="0.25">
      <c r="A9633" t="s">
        <v>30739</v>
      </c>
      <c r="B9633" s="1" t="str">
        <f>HYPERLINK("https://www.catalog.slsa.sa.gov.au/record=b2059904")</f>
        <v>https://www.catalog.slsa.sa.gov.au/record=b2059904</v>
      </c>
      <c r="C9633" s="1" t="str">
        <f>HYPERLINK("https://www.catalog.slsa.sa.gov.au/xrecord=b2059904")</f>
        <v>https://www.catalog.slsa.sa.gov.au/xrecord=b2059904</v>
      </c>
      <c r="D9633" t="s">
        <v>16831</v>
      </c>
      <c r="E9633" t="s">
        <v>25538</v>
      </c>
      <c r="F9633">
        <v>1977</v>
      </c>
      <c r="G9633" t="s">
        <v>30670</v>
      </c>
      <c r="H9633" t="s">
        <v>30740</v>
      </c>
      <c r="J9633" t="s">
        <v>24272</v>
      </c>
      <c r="K9633" s="2" t="str">
        <f>HYPERLINK("http://collections.slsa.sa.gov.au/mpcimg/33250/B33061.htm")</f>
        <v>http://collections.slsa.sa.gov.au/mpcimg/33250/B33061.htm</v>
      </c>
    </row>
    <row r="9634" spans="1:11" x14ac:dyDescent="0.25">
      <c r="A9634" t="s">
        <v>30741</v>
      </c>
      <c r="B9634" s="1" t="str">
        <f>HYPERLINK("https://www.catalog.slsa.sa.gov.au/record=b2059905")</f>
        <v>https://www.catalog.slsa.sa.gov.au/record=b2059905</v>
      </c>
      <c r="C9634" s="1" t="str">
        <f>HYPERLINK("https://www.catalog.slsa.sa.gov.au/xrecord=b2059905")</f>
        <v>https://www.catalog.slsa.sa.gov.au/xrecord=b2059905</v>
      </c>
      <c r="D9634" t="s">
        <v>16831</v>
      </c>
      <c r="E9634" t="s">
        <v>25538</v>
      </c>
      <c r="F9634">
        <v>1977</v>
      </c>
      <c r="G9634" t="s">
        <v>30670</v>
      </c>
      <c r="H9634" t="s">
        <v>30740</v>
      </c>
      <c r="J9634" t="s">
        <v>24272</v>
      </c>
      <c r="K9634" s="2" t="str">
        <f>HYPERLINK("http://collections.slsa.sa.gov.au/mpcimg/33250/B33062.htm")</f>
        <v>http://collections.slsa.sa.gov.au/mpcimg/33250/B33062.htm</v>
      </c>
    </row>
    <row r="9635" spans="1:11" x14ac:dyDescent="0.25">
      <c r="A9635" t="s">
        <v>30742</v>
      </c>
      <c r="B9635" s="1" t="str">
        <f>HYPERLINK("https://www.catalog.slsa.sa.gov.au/record=b2059906")</f>
        <v>https://www.catalog.slsa.sa.gov.au/record=b2059906</v>
      </c>
      <c r="C9635" s="1" t="str">
        <f>HYPERLINK("https://www.catalog.slsa.sa.gov.au/xrecord=b2059906")</f>
        <v>https://www.catalog.slsa.sa.gov.au/xrecord=b2059906</v>
      </c>
      <c r="D9635" t="s">
        <v>16831</v>
      </c>
      <c r="E9635" t="s">
        <v>25538</v>
      </c>
      <c r="F9635">
        <v>1977</v>
      </c>
      <c r="G9635" t="s">
        <v>30670</v>
      </c>
      <c r="H9635" t="s">
        <v>30740</v>
      </c>
      <c r="J9635" t="s">
        <v>24272</v>
      </c>
      <c r="K9635" s="2" t="str">
        <f>HYPERLINK("http://collections.slsa.sa.gov.au/mpcimg/33250/B33063.htm")</f>
        <v>http://collections.slsa.sa.gov.au/mpcimg/33250/B33063.htm</v>
      </c>
    </row>
    <row r="9636" spans="1:11" x14ac:dyDescent="0.25">
      <c r="A9636" t="s">
        <v>30743</v>
      </c>
      <c r="B9636" s="1" t="str">
        <f>HYPERLINK("https://www.catalog.slsa.sa.gov.au/record=b2059907")</f>
        <v>https://www.catalog.slsa.sa.gov.au/record=b2059907</v>
      </c>
      <c r="C9636" s="1" t="str">
        <f>HYPERLINK("https://www.catalog.slsa.sa.gov.au/xrecord=b2059907")</f>
        <v>https://www.catalog.slsa.sa.gov.au/xrecord=b2059907</v>
      </c>
      <c r="D9636" t="s">
        <v>16831</v>
      </c>
      <c r="E9636" t="s">
        <v>25538</v>
      </c>
      <c r="F9636">
        <v>1977</v>
      </c>
      <c r="G9636" t="s">
        <v>30670</v>
      </c>
      <c r="H9636" t="s">
        <v>30744</v>
      </c>
      <c r="J9636" t="s">
        <v>24272</v>
      </c>
      <c r="K9636" s="2" t="str">
        <f>HYPERLINK("http://collections.slsa.sa.gov.au/mpcimg/33250/B33064.htm")</f>
        <v>http://collections.slsa.sa.gov.au/mpcimg/33250/B33064.htm</v>
      </c>
    </row>
    <row r="9637" spans="1:11" x14ac:dyDescent="0.25">
      <c r="A9637" t="s">
        <v>30745</v>
      </c>
      <c r="B9637" s="1" t="str">
        <f>HYPERLINK("https://www.catalog.slsa.sa.gov.au/record=b2059908")</f>
        <v>https://www.catalog.slsa.sa.gov.au/record=b2059908</v>
      </c>
      <c r="C9637" s="1" t="str">
        <f>HYPERLINK("https://www.catalog.slsa.sa.gov.au/xrecord=b2059908")</f>
        <v>https://www.catalog.slsa.sa.gov.au/xrecord=b2059908</v>
      </c>
      <c r="D9637" t="s">
        <v>16831</v>
      </c>
      <c r="E9637" t="s">
        <v>25538</v>
      </c>
      <c r="F9637">
        <v>1977</v>
      </c>
      <c r="G9637" t="s">
        <v>30670</v>
      </c>
      <c r="H9637" t="s">
        <v>30744</v>
      </c>
      <c r="J9637" t="s">
        <v>24272</v>
      </c>
      <c r="K9637" s="2" t="str">
        <f>HYPERLINK("http://collections.slsa.sa.gov.au/mpcimg/33250/B33065.htm")</f>
        <v>http://collections.slsa.sa.gov.au/mpcimg/33250/B33065.htm</v>
      </c>
    </row>
    <row r="9638" spans="1:11" x14ac:dyDescent="0.25">
      <c r="A9638" t="s">
        <v>30746</v>
      </c>
      <c r="B9638" s="1" t="str">
        <f>HYPERLINK("https://www.catalog.slsa.sa.gov.au/record=b2059909")</f>
        <v>https://www.catalog.slsa.sa.gov.au/record=b2059909</v>
      </c>
      <c r="C9638" s="1" t="str">
        <f>HYPERLINK("https://www.catalog.slsa.sa.gov.au/xrecord=b2059909")</f>
        <v>https://www.catalog.slsa.sa.gov.au/xrecord=b2059909</v>
      </c>
      <c r="D9638" t="s">
        <v>16831</v>
      </c>
      <c r="E9638" t="s">
        <v>25538</v>
      </c>
      <c r="F9638">
        <v>1977</v>
      </c>
      <c r="G9638" t="s">
        <v>30670</v>
      </c>
      <c r="H9638" t="s">
        <v>30744</v>
      </c>
      <c r="J9638" t="s">
        <v>24272</v>
      </c>
      <c r="K9638" s="2" t="str">
        <f>HYPERLINK("http://collections.slsa.sa.gov.au/mpcimg/33250/B33066.htm")</f>
        <v>http://collections.slsa.sa.gov.au/mpcimg/33250/B33066.htm</v>
      </c>
    </row>
    <row r="9639" spans="1:11" x14ac:dyDescent="0.25">
      <c r="A9639" t="s">
        <v>30747</v>
      </c>
      <c r="B9639" s="1" t="str">
        <f>HYPERLINK("https://www.catalog.slsa.sa.gov.au/record=b2061388")</f>
        <v>https://www.catalog.slsa.sa.gov.au/record=b2061388</v>
      </c>
      <c r="C9639" s="1" t="str">
        <f>HYPERLINK("https://www.catalog.slsa.sa.gov.au/xrecord=b2061388")</f>
        <v>https://www.catalog.slsa.sa.gov.au/xrecord=b2061388</v>
      </c>
      <c r="D9639" t="s">
        <v>16831</v>
      </c>
      <c r="E9639" t="s">
        <v>29645</v>
      </c>
      <c r="F9639">
        <v>1977</v>
      </c>
      <c r="G9639" t="s">
        <v>30692</v>
      </c>
      <c r="H9639" t="s">
        <v>30748</v>
      </c>
      <c r="J9639" t="s">
        <v>21157</v>
      </c>
      <c r="K9639" s="2" t="str">
        <f>HYPERLINK("http://collections.slsa.sa.gov.au/mpcimg/33750/B33614.htm")</f>
        <v>http://collections.slsa.sa.gov.au/mpcimg/33750/B33614.htm</v>
      </c>
    </row>
    <row r="9640" spans="1:11" x14ac:dyDescent="0.25">
      <c r="A9640" t="s">
        <v>30749</v>
      </c>
      <c r="B9640" s="1" t="str">
        <f>HYPERLINK("https://www.catalog.slsa.sa.gov.au/record=b2061502")</f>
        <v>https://www.catalog.slsa.sa.gov.au/record=b2061502</v>
      </c>
      <c r="C9640" s="1" t="str">
        <f>HYPERLINK("https://www.catalog.slsa.sa.gov.au/xrecord=b2061502")</f>
        <v>https://www.catalog.slsa.sa.gov.au/xrecord=b2061502</v>
      </c>
      <c r="D9640" t="s">
        <v>16831</v>
      </c>
      <c r="E9640" t="s">
        <v>21178</v>
      </c>
      <c r="F9640">
        <v>1977</v>
      </c>
      <c r="G9640" t="s">
        <v>16271</v>
      </c>
      <c r="H9640" t="s">
        <v>30750</v>
      </c>
      <c r="J9640" t="s">
        <v>28447</v>
      </c>
      <c r="K9640" s="2" t="str">
        <f>HYPERLINK("http://collections.slsa.sa.gov.au/mpcimg/34750/B34628.htm")</f>
        <v>http://collections.slsa.sa.gov.au/mpcimg/34750/B34628.htm</v>
      </c>
    </row>
    <row r="9641" spans="1:11" x14ac:dyDescent="0.25">
      <c r="A9641" t="s">
        <v>30751</v>
      </c>
      <c r="B9641" s="1" t="str">
        <f>HYPERLINK("https://www.catalog.slsa.sa.gov.au/record=b2061503")</f>
        <v>https://www.catalog.slsa.sa.gov.au/record=b2061503</v>
      </c>
      <c r="C9641" s="1" t="str">
        <f>HYPERLINK("https://www.catalog.slsa.sa.gov.au/xrecord=b2061503")</f>
        <v>https://www.catalog.slsa.sa.gov.au/xrecord=b2061503</v>
      </c>
      <c r="D9641" t="s">
        <v>16831</v>
      </c>
      <c r="E9641" t="s">
        <v>21178</v>
      </c>
      <c r="F9641">
        <v>1977</v>
      </c>
      <c r="G9641" t="s">
        <v>30752</v>
      </c>
      <c r="H9641" t="s">
        <v>30753</v>
      </c>
      <c r="J9641" t="s">
        <v>28447</v>
      </c>
      <c r="K9641" s="2" t="str">
        <f>HYPERLINK("http://collections.slsa.sa.gov.au/mpcimg/34750/B34629.htm")</f>
        <v>http://collections.slsa.sa.gov.au/mpcimg/34750/B34629.htm</v>
      </c>
    </row>
    <row r="9642" spans="1:11" x14ac:dyDescent="0.25">
      <c r="A9642" t="s">
        <v>30754</v>
      </c>
      <c r="B9642" s="1" t="str">
        <f>HYPERLINK("https://www.catalog.slsa.sa.gov.au/record=b2061504")</f>
        <v>https://www.catalog.slsa.sa.gov.au/record=b2061504</v>
      </c>
      <c r="C9642" s="1" t="str">
        <f>HYPERLINK("https://www.catalog.slsa.sa.gov.au/xrecord=b2061504")</f>
        <v>https://www.catalog.slsa.sa.gov.au/xrecord=b2061504</v>
      </c>
      <c r="D9642" t="s">
        <v>16831</v>
      </c>
      <c r="E9642" t="s">
        <v>21178</v>
      </c>
      <c r="F9642">
        <v>1977</v>
      </c>
      <c r="G9642" t="s">
        <v>30752</v>
      </c>
      <c r="H9642" t="s">
        <v>30753</v>
      </c>
      <c r="J9642" t="s">
        <v>28447</v>
      </c>
      <c r="K9642" s="2" t="str">
        <f>HYPERLINK("http://collections.slsa.sa.gov.au/mpcimg/34750/B34630.htm")</f>
        <v>http://collections.slsa.sa.gov.au/mpcimg/34750/B34630.htm</v>
      </c>
    </row>
    <row r="9643" spans="1:11" x14ac:dyDescent="0.25">
      <c r="A9643" t="s">
        <v>30755</v>
      </c>
      <c r="B9643" s="1" t="str">
        <f>HYPERLINK("https://www.catalog.slsa.sa.gov.au/record=b2061840")</f>
        <v>https://www.catalog.slsa.sa.gov.au/record=b2061840</v>
      </c>
      <c r="C9643" s="1" t="str">
        <f>HYPERLINK("https://www.catalog.slsa.sa.gov.au/xrecord=b2061840")</f>
        <v>https://www.catalog.slsa.sa.gov.au/xrecord=b2061840</v>
      </c>
      <c r="D9643" t="s">
        <v>16831</v>
      </c>
      <c r="E9643" t="s">
        <v>30408</v>
      </c>
      <c r="F9643">
        <v>1977</v>
      </c>
      <c r="G9643" t="s">
        <v>30756</v>
      </c>
      <c r="H9643" t="s">
        <v>30757</v>
      </c>
      <c r="J9643" t="s">
        <v>21206</v>
      </c>
      <c r="K9643" s="2" t="str">
        <f>HYPERLINK("http://collections.slsa.sa.gov.au/mpcimg/35000/B34986.htm")</f>
        <v>http://collections.slsa.sa.gov.au/mpcimg/35000/B34986.htm</v>
      </c>
    </row>
    <row r="9644" spans="1:11" x14ac:dyDescent="0.25">
      <c r="A9644" t="s">
        <v>30758</v>
      </c>
      <c r="B9644" s="1" t="str">
        <f>HYPERLINK("https://www.catalog.slsa.sa.gov.au/record=b2061841")</f>
        <v>https://www.catalog.slsa.sa.gov.au/record=b2061841</v>
      </c>
      <c r="C9644" s="1" t="str">
        <f>HYPERLINK("https://www.catalog.slsa.sa.gov.au/xrecord=b2061841")</f>
        <v>https://www.catalog.slsa.sa.gov.au/xrecord=b2061841</v>
      </c>
      <c r="D9644" t="s">
        <v>16831</v>
      </c>
      <c r="E9644" t="s">
        <v>30408</v>
      </c>
      <c r="F9644">
        <v>1977</v>
      </c>
      <c r="G9644" t="s">
        <v>30759</v>
      </c>
      <c r="H9644" t="s">
        <v>30760</v>
      </c>
      <c r="J9644" t="s">
        <v>21206</v>
      </c>
      <c r="K9644" s="2" t="str">
        <f>HYPERLINK("http://collections.slsa.sa.gov.au/mpcimg/35000/B34987.htm")</f>
        <v>http://collections.slsa.sa.gov.au/mpcimg/35000/B34987.htm</v>
      </c>
    </row>
    <row r="9645" spans="1:11" x14ac:dyDescent="0.25">
      <c r="A9645" t="s">
        <v>30761</v>
      </c>
      <c r="B9645" s="1" t="str">
        <f>HYPERLINK("https://www.catalog.slsa.sa.gov.au/record=b2061892")</f>
        <v>https://www.catalog.slsa.sa.gov.au/record=b2061892</v>
      </c>
      <c r="C9645" s="1" t="str">
        <f>HYPERLINK("https://www.catalog.slsa.sa.gov.au/xrecord=b2061892")</f>
        <v>https://www.catalog.slsa.sa.gov.au/xrecord=b2061892</v>
      </c>
      <c r="D9645" t="s">
        <v>16831</v>
      </c>
      <c r="E9645" t="s">
        <v>21208</v>
      </c>
      <c r="F9645">
        <v>1977</v>
      </c>
      <c r="G9645" t="s">
        <v>30670</v>
      </c>
      <c r="H9645" t="s">
        <v>30762</v>
      </c>
      <c r="J9645" t="s">
        <v>26394</v>
      </c>
      <c r="K9645" s="2" t="str">
        <f>HYPERLINK("http://collections.slsa.sa.gov.au/mpcimg/33250/B33069.htm")</f>
        <v>http://collections.slsa.sa.gov.au/mpcimg/33250/B33069.htm</v>
      </c>
    </row>
    <row r="9646" spans="1:11" x14ac:dyDescent="0.25">
      <c r="A9646" t="s">
        <v>30763</v>
      </c>
      <c r="B9646" s="1" t="str">
        <f>HYPERLINK("https://www.catalog.slsa.sa.gov.au/record=b2061893")</f>
        <v>https://www.catalog.slsa.sa.gov.au/record=b2061893</v>
      </c>
      <c r="C9646" s="1" t="str">
        <f>HYPERLINK("https://www.catalog.slsa.sa.gov.au/xrecord=b2061893")</f>
        <v>https://www.catalog.slsa.sa.gov.au/xrecord=b2061893</v>
      </c>
      <c r="D9646" t="s">
        <v>16831</v>
      </c>
      <c r="E9646" t="s">
        <v>21208</v>
      </c>
      <c r="F9646">
        <v>1977</v>
      </c>
      <c r="G9646" t="s">
        <v>16674</v>
      </c>
      <c r="H9646" t="s">
        <v>30764</v>
      </c>
      <c r="J9646" t="s">
        <v>26394</v>
      </c>
      <c r="K9646" s="2" t="str">
        <f>HYPERLINK("http://collections.slsa.sa.gov.au/mpcimg/33250/B33070.htm")</f>
        <v>http://collections.slsa.sa.gov.au/mpcimg/33250/B33070.htm</v>
      </c>
    </row>
    <row r="9647" spans="1:11" x14ac:dyDescent="0.25">
      <c r="A9647" t="s">
        <v>30765</v>
      </c>
      <c r="B9647" s="1" t="str">
        <f>HYPERLINK("https://www.catalog.slsa.sa.gov.au/record=b2061894")</f>
        <v>https://www.catalog.slsa.sa.gov.au/record=b2061894</v>
      </c>
      <c r="C9647" s="1" t="str">
        <f>HYPERLINK("https://www.catalog.slsa.sa.gov.au/xrecord=b2061894")</f>
        <v>https://www.catalog.slsa.sa.gov.au/xrecord=b2061894</v>
      </c>
      <c r="D9647" t="s">
        <v>16831</v>
      </c>
      <c r="E9647" t="s">
        <v>21208</v>
      </c>
      <c r="F9647">
        <v>1977</v>
      </c>
      <c r="G9647" t="s">
        <v>30670</v>
      </c>
      <c r="H9647" t="s">
        <v>30766</v>
      </c>
      <c r="J9647" t="s">
        <v>26394</v>
      </c>
      <c r="K9647" s="2" t="str">
        <f>HYPERLINK("http://collections.slsa.sa.gov.au/mpcimg/33500/B33304.htm")</f>
        <v>http://collections.slsa.sa.gov.au/mpcimg/33500/B33304.htm</v>
      </c>
    </row>
    <row r="9648" spans="1:11" x14ac:dyDescent="0.25">
      <c r="A9648" t="s">
        <v>30767</v>
      </c>
      <c r="B9648" s="1" t="str">
        <f>HYPERLINK("https://www.catalog.slsa.sa.gov.au/record=b2061895")</f>
        <v>https://www.catalog.slsa.sa.gov.au/record=b2061895</v>
      </c>
      <c r="C9648" s="1" t="str">
        <f>HYPERLINK("https://www.catalog.slsa.sa.gov.au/xrecord=b2061895")</f>
        <v>https://www.catalog.slsa.sa.gov.au/xrecord=b2061895</v>
      </c>
      <c r="D9648" t="s">
        <v>16831</v>
      </c>
      <c r="E9648" t="s">
        <v>21208</v>
      </c>
      <c r="F9648">
        <v>1977</v>
      </c>
      <c r="G9648" t="s">
        <v>30670</v>
      </c>
      <c r="H9648" t="s">
        <v>30768</v>
      </c>
      <c r="J9648" t="s">
        <v>26394</v>
      </c>
      <c r="K9648" s="2" t="str">
        <f>HYPERLINK("http://collections.slsa.sa.gov.au/mpcimg/33500/B33305.htm")</f>
        <v>http://collections.slsa.sa.gov.au/mpcimg/33500/B33305.htm</v>
      </c>
    </row>
    <row r="9649" spans="1:11" x14ac:dyDescent="0.25">
      <c r="A9649" t="s">
        <v>30769</v>
      </c>
      <c r="B9649" s="1" t="str">
        <f>HYPERLINK("https://www.catalog.slsa.sa.gov.au/record=b2061906")</f>
        <v>https://www.catalog.slsa.sa.gov.au/record=b2061906</v>
      </c>
      <c r="C9649" s="1" t="str">
        <f>HYPERLINK("https://www.catalog.slsa.sa.gov.au/xrecord=b2061906")</f>
        <v>https://www.catalog.slsa.sa.gov.au/xrecord=b2061906</v>
      </c>
      <c r="D9649" t="s">
        <v>16831</v>
      </c>
      <c r="E9649" t="s">
        <v>21208</v>
      </c>
      <c r="F9649">
        <v>1977</v>
      </c>
      <c r="G9649" t="s">
        <v>30670</v>
      </c>
      <c r="H9649" t="s">
        <v>30770</v>
      </c>
      <c r="J9649" t="s">
        <v>30771</v>
      </c>
      <c r="K9649" s="2" t="str">
        <f>HYPERLINK("http://collections.slsa.sa.gov.au/mpcimg/33500/B33460.htm")</f>
        <v>http://collections.slsa.sa.gov.au/mpcimg/33500/B33460.htm</v>
      </c>
    </row>
    <row r="9650" spans="1:11" x14ac:dyDescent="0.25">
      <c r="A9650" t="s">
        <v>30772</v>
      </c>
      <c r="B9650" s="1" t="str">
        <f>HYPERLINK("https://www.catalog.slsa.sa.gov.au/record=b2061907")</f>
        <v>https://www.catalog.slsa.sa.gov.au/record=b2061907</v>
      </c>
      <c r="C9650" s="1" t="str">
        <f>HYPERLINK("https://www.catalog.slsa.sa.gov.au/xrecord=b2061907")</f>
        <v>https://www.catalog.slsa.sa.gov.au/xrecord=b2061907</v>
      </c>
      <c r="D9650" t="s">
        <v>16831</v>
      </c>
      <c r="E9650" t="s">
        <v>21208</v>
      </c>
      <c r="F9650">
        <v>1977</v>
      </c>
      <c r="G9650" t="s">
        <v>30670</v>
      </c>
      <c r="H9650" t="s">
        <v>30773</v>
      </c>
      <c r="J9650" t="s">
        <v>30771</v>
      </c>
      <c r="K9650" s="2" t="str">
        <f>HYPERLINK("http://collections.slsa.sa.gov.au/mpcimg/33500/B33461.htm")</f>
        <v>http://collections.slsa.sa.gov.au/mpcimg/33500/B33461.htm</v>
      </c>
    </row>
    <row r="9651" spans="1:11" x14ac:dyDescent="0.25">
      <c r="A9651" t="s">
        <v>30774</v>
      </c>
      <c r="B9651" s="1" t="str">
        <f>HYPERLINK("https://www.catalog.slsa.sa.gov.au/record=b2061941")</f>
        <v>https://www.catalog.slsa.sa.gov.au/record=b2061941</v>
      </c>
      <c r="C9651" s="1" t="str">
        <f>HYPERLINK("https://www.catalog.slsa.sa.gov.au/xrecord=b2061941")</f>
        <v>https://www.catalog.slsa.sa.gov.au/xrecord=b2061941</v>
      </c>
      <c r="D9651" t="s">
        <v>16831</v>
      </c>
      <c r="E9651" t="s">
        <v>25538</v>
      </c>
      <c r="F9651">
        <v>1977</v>
      </c>
      <c r="G9651" t="s">
        <v>14771</v>
      </c>
      <c r="H9651" t="s">
        <v>30775</v>
      </c>
      <c r="J9651" t="s">
        <v>25540</v>
      </c>
      <c r="K9651" s="2" t="str">
        <f>HYPERLINK("http://collections.slsa.sa.gov.au/mpcimg/35250/B35002.htm")</f>
        <v>http://collections.slsa.sa.gov.au/mpcimg/35250/B35002.htm</v>
      </c>
    </row>
    <row r="9652" spans="1:11" x14ac:dyDescent="0.25">
      <c r="A9652" t="s">
        <v>30776</v>
      </c>
      <c r="B9652" s="1" t="str">
        <f>HYPERLINK("https://www.catalog.slsa.sa.gov.au/record=b2061942")</f>
        <v>https://www.catalog.slsa.sa.gov.au/record=b2061942</v>
      </c>
      <c r="C9652" s="1" t="str">
        <f>HYPERLINK("https://www.catalog.slsa.sa.gov.au/xrecord=b2061942")</f>
        <v>https://www.catalog.slsa.sa.gov.au/xrecord=b2061942</v>
      </c>
      <c r="D9652" t="s">
        <v>16831</v>
      </c>
      <c r="E9652" t="s">
        <v>25538</v>
      </c>
      <c r="F9652">
        <v>1977</v>
      </c>
      <c r="G9652" t="s">
        <v>16263</v>
      </c>
      <c r="H9652" t="s">
        <v>30775</v>
      </c>
      <c r="J9652" t="s">
        <v>25540</v>
      </c>
      <c r="K9652" s="2" t="str">
        <f>HYPERLINK("http://collections.slsa.sa.gov.au/mpcimg/35250/B35003.htm")</f>
        <v>http://collections.slsa.sa.gov.au/mpcimg/35250/B35003.htm</v>
      </c>
    </row>
    <row r="9653" spans="1:11" x14ac:dyDescent="0.25">
      <c r="A9653" t="s">
        <v>30777</v>
      </c>
      <c r="B9653" s="1" t="str">
        <f>HYPERLINK("https://www.catalog.slsa.sa.gov.au/record=b2062247")</f>
        <v>https://www.catalog.slsa.sa.gov.au/record=b2062247</v>
      </c>
      <c r="C9653" s="1" t="str">
        <f>HYPERLINK("https://www.catalog.slsa.sa.gov.au/xrecord=b2062247")</f>
        <v>https://www.catalog.slsa.sa.gov.au/xrecord=b2062247</v>
      </c>
      <c r="D9653" t="s">
        <v>16831</v>
      </c>
      <c r="E9653" t="s">
        <v>30778</v>
      </c>
      <c r="F9653">
        <v>1977</v>
      </c>
      <c r="G9653" t="s">
        <v>30355</v>
      </c>
      <c r="H9653" t="s">
        <v>30779</v>
      </c>
      <c r="J9653" t="s">
        <v>22932</v>
      </c>
      <c r="K9653" s="2" t="str">
        <f>HYPERLINK("http://collections.slsa.sa.gov.au/mpcimg/34250/B34053.htm")</f>
        <v>http://collections.slsa.sa.gov.au/mpcimg/34250/B34053.htm</v>
      </c>
    </row>
    <row r="9654" spans="1:11" x14ac:dyDescent="0.25">
      <c r="A9654" t="s">
        <v>30780</v>
      </c>
      <c r="B9654" s="1" t="str">
        <f>HYPERLINK("https://www.catalog.slsa.sa.gov.au/record=b2062248")</f>
        <v>https://www.catalog.slsa.sa.gov.au/record=b2062248</v>
      </c>
      <c r="C9654" s="1" t="str">
        <f>HYPERLINK("https://www.catalog.slsa.sa.gov.au/xrecord=b2062248")</f>
        <v>https://www.catalog.slsa.sa.gov.au/xrecord=b2062248</v>
      </c>
      <c r="D9654" t="s">
        <v>16831</v>
      </c>
      <c r="E9654" t="s">
        <v>30778</v>
      </c>
      <c r="F9654">
        <v>1977</v>
      </c>
      <c r="G9654" t="s">
        <v>30781</v>
      </c>
      <c r="H9654" t="s">
        <v>30782</v>
      </c>
      <c r="J9654" t="s">
        <v>22932</v>
      </c>
      <c r="K9654" s="2" t="str">
        <f>HYPERLINK("http://collections.slsa.sa.gov.au/mpcimg/34250/B34054.htm")</f>
        <v>http://collections.slsa.sa.gov.au/mpcimg/34250/B34054.htm</v>
      </c>
    </row>
    <row r="9655" spans="1:11" x14ac:dyDescent="0.25">
      <c r="A9655" t="s">
        <v>30783</v>
      </c>
      <c r="B9655" s="1" t="str">
        <f>HYPERLINK("https://www.catalog.slsa.sa.gov.au/record=b2062249")</f>
        <v>https://www.catalog.slsa.sa.gov.au/record=b2062249</v>
      </c>
      <c r="C9655" s="1" t="str">
        <f>HYPERLINK("https://www.catalog.slsa.sa.gov.au/xrecord=b2062249")</f>
        <v>https://www.catalog.slsa.sa.gov.au/xrecord=b2062249</v>
      </c>
      <c r="D9655" t="s">
        <v>16831</v>
      </c>
      <c r="E9655" t="s">
        <v>30778</v>
      </c>
      <c r="F9655">
        <v>1977</v>
      </c>
      <c r="G9655" t="s">
        <v>30784</v>
      </c>
      <c r="H9655" t="s">
        <v>30785</v>
      </c>
      <c r="J9655" t="s">
        <v>22932</v>
      </c>
      <c r="K9655" s="2" t="str">
        <f>HYPERLINK("http://collections.slsa.sa.gov.au/mpcimg/34250/B34055.htm")</f>
        <v>http://collections.slsa.sa.gov.au/mpcimg/34250/B34055.htm</v>
      </c>
    </row>
    <row r="9656" spans="1:11" x14ac:dyDescent="0.25">
      <c r="A9656" t="s">
        <v>30786</v>
      </c>
      <c r="B9656" s="1" t="str">
        <f>HYPERLINK("https://www.catalog.slsa.sa.gov.au/record=b2062483")</f>
        <v>https://www.catalog.slsa.sa.gov.au/record=b2062483</v>
      </c>
      <c r="C9656" s="1" t="str">
        <f>HYPERLINK("https://www.catalog.slsa.sa.gov.au/xrecord=b2062483")</f>
        <v>https://www.catalog.slsa.sa.gov.au/xrecord=b2062483</v>
      </c>
      <c r="D9656" t="s">
        <v>16831</v>
      </c>
      <c r="E9656" t="s">
        <v>30787</v>
      </c>
      <c r="F9656">
        <v>1977</v>
      </c>
      <c r="G9656" t="s">
        <v>30670</v>
      </c>
      <c r="H9656" t="s">
        <v>30788</v>
      </c>
      <c r="J9656" t="s">
        <v>30789</v>
      </c>
      <c r="K9656" s="2" t="str">
        <f>HYPERLINK("http://collections.slsa.sa.gov.au/mpcimg/33500/B33463.htm")</f>
        <v>http://collections.slsa.sa.gov.au/mpcimg/33500/B33463.htm</v>
      </c>
    </row>
    <row r="9657" spans="1:11" x14ac:dyDescent="0.25">
      <c r="A9657" t="s">
        <v>30790</v>
      </c>
      <c r="B9657" s="1" t="str">
        <f>HYPERLINK("https://www.catalog.slsa.sa.gov.au/record=b2062484")</f>
        <v>https://www.catalog.slsa.sa.gov.au/record=b2062484</v>
      </c>
      <c r="C9657" s="1" t="str">
        <f>HYPERLINK("https://www.catalog.slsa.sa.gov.au/xrecord=b2062484")</f>
        <v>https://www.catalog.slsa.sa.gov.au/xrecord=b2062484</v>
      </c>
      <c r="D9657" t="s">
        <v>16831</v>
      </c>
      <c r="E9657" t="s">
        <v>30787</v>
      </c>
      <c r="F9657">
        <v>1977</v>
      </c>
      <c r="G9657" t="s">
        <v>30670</v>
      </c>
      <c r="H9657" t="s">
        <v>30791</v>
      </c>
      <c r="J9657" t="s">
        <v>30789</v>
      </c>
      <c r="K9657" s="2" t="str">
        <f>HYPERLINK("http://collections.slsa.sa.gov.au/mpcimg/33500/B33464.htm")</f>
        <v>http://collections.slsa.sa.gov.au/mpcimg/33500/B33464.htm</v>
      </c>
    </row>
    <row r="9658" spans="1:11" x14ac:dyDescent="0.25">
      <c r="A9658" t="s">
        <v>30792</v>
      </c>
      <c r="B9658" s="1" t="str">
        <f>HYPERLINK("https://www.catalog.slsa.sa.gov.au/record=b2062485")</f>
        <v>https://www.catalog.slsa.sa.gov.au/record=b2062485</v>
      </c>
      <c r="C9658" s="1" t="str">
        <f>HYPERLINK("https://www.catalog.slsa.sa.gov.au/xrecord=b2062485")</f>
        <v>https://www.catalog.slsa.sa.gov.au/xrecord=b2062485</v>
      </c>
      <c r="D9658" t="s">
        <v>16831</v>
      </c>
      <c r="E9658" t="s">
        <v>30787</v>
      </c>
      <c r="F9658">
        <v>1977</v>
      </c>
      <c r="G9658" t="s">
        <v>30670</v>
      </c>
      <c r="H9658" t="s">
        <v>30791</v>
      </c>
      <c r="J9658" t="s">
        <v>30789</v>
      </c>
      <c r="K9658" s="2" t="str">
        <f>HYPERLINK("http://collections.slsa.sa.gov.au/mpcimg/33500/B33462.htm")</f>
        <v>http://collections.slsa.sa.gov.au/mpcimg/33500/B33462.htm</v>
      </c>
    </row>
    <row r="9659" spans="1:11" x14ac:dyDescent="0.25">
      <c r="A9659" t="s">
        <v>30793</v>
      </c>
      <c r="B9659" s="1" t="str">
        <f>HYPERLINK("https://www.catalog.slsa.sa.gov.au/record=b2062486")</f>
        <v>https://www.catalog.slsa.sa.gov.au/record=b2062486</v>
      </c>
      <c r="C9659" s="1" t="str">
        <f>HYPERLINK("https://www.catalog.slsa.sa.gov.au/xrecord=b2062486")</f>
        <v>https://www.catalog.slsa.sa.gov.au/xrecord=b2062486</v>
      </c>
      <c r="D9659" t="s">
        <v>16831</v>
      </c>
      <c r="E9659" t="s">
        <v>30787</v>
      </c>
      <c r="F9659">
        <v>1977</v>
      </c>
      <c r="G9659" t="s">
        <v>30670</v>
      </c>
      <c r="H9659" t="s">
        <v>30791</v>
      </c>
      <c r="J9659" t="s">
        <v>30789</v>
      </c>
      <c r="K9659" s="2" t="str">
        <f>HYPERLINK("http://collections.slsa.sa.gov.au/mpcimg/33500/B33465.htm")</f>
        <v>http://collections.slsa.sa.gov.au/mpcimg/33500/B33465.htm</v>
      </c>
    </row>
    <row r="9660" spans="1:11" x14ac:dyDescent="0.25">
      <c r="A9660" t="s">
        <v>30794</v>
      </c>
      <c r="B9660" s="1" t="str">
        <f>HYPERLINK("https://www.catalog.slsa.sa.gov.au/record=b2062487")</f>
        <v>https://www.catalog.slsa.sa.gov.au/record=b2062487</v>
      </c>
      <c r="C9660" s="1" t="str">
        <f>HYPERLINK("https://www.catalog.slsa.sa.gov.au/xrecord=b2062487")</f>
        <v>https://www.catalog.slsa.sa.gov.au/xrecord=b2062487</v>
      </c>
      <c r="D9660" t="s">
        <v>16831</v>
      </c>
      <c r="E9660" t="s">
        <v>30787</v>
      </c>
      <c r="F9660">
        <v>1977</v>
      </c>
      <c r="G9660" t="s">
        <v>30670</v>
      </c>
      <c r="H9660" t="s">
        <v>30791</v>
      </c>
      <c r="J9660" t="s">
        <v>30789</v>
      </c>
      <c r="K9660" s="2" t="str">
        <f>HYPERLINK("http://collections.slsa.sa.gov.au/mpcimg/33500/B33466.htm")</f>
        <v>http://collections.slsa.sa.gov.au/mpcimg/33500/B33466.htm</v>
      </c>
    </row>
    <row r="9661" spans="1:11" x14ac:dyDescent="0.25">
      <c r="A9661" t="s">
        <v>30795</v>
      </c>
      <c r="B9661" s="1" t="str">
        <f>HYPERLINK("https://www.catalog.slsa.sa.gov.au/record=b2062488")</f>
        <v>https://www.catalog.slsa.sa.gov.au/record=b2062488</v>
      </c>
      <c r="C9661" s="1" t="str">
        <f>HYPERLINK("https://www.catalog.slsa.sa.gov.au/xrecord=b2062488")</f>
        <v>https://www.catalog.slsa.sa.gov.au/xrecord=b2062488</v>
      </c>
      <c r="D9661" t="s">
        <v>16831</v>
      </c>
      <c r="E9661" t="s">
        <v>30787</v>
      </c>
      <c r="F9661">
        <v>1977</v>
      </c>
      <c r="G9661" t="s">
        <v>30670</v>
      </c>
      <c r="H9661" t="s">
        <v>30796</v>
      </c>
      <c r="J9661" t="s">
        <v>30789</v>
      </c>
      <c r="K9661" s="2" t="str">
        <f>HYPERLINK("http://collections.slsa.sa.gov.au/mpcimg/33500/B33467.htm")</f>
        <v>http://collections.slsa.sa.gov.au/mpcimg/33500/B33467.htm</v>
      </c>
    </row>
    <row r="9662" spans="1:11" x14ac:dyDescent="0.25">
      <c r="A9662" t="s">
        <v>30797</v>
      </c>
      <c r="B9662" s="1" t="str">
        <f>HYPERLINK("https://www.catalog.slsa.sa.gov.au/record=b2062489")</f>
        <v>https://www.catalog.slsa.sa.gov.au/record=b2062489</v>
      </c>
      <c r="C9662" s="1" t="str">
        <f>HYPERLINK("https://www.catalog.slsa.sa.gov.au/xrecord=b2062489")</f>
        <v>https://www.catalog.slsa.sa.gov.au/xrecord=b2062489</v>
      </c>
      <c r="D9662" t="s">
        <v>16831</v>
      </c>
      <c r="E9662" t="s">
        <v>30787</v>
      </c>
      <c r="F9662">
        <v>1977</v>
      </c>
      <c r="G9662" t="s">
        <v>30670</v>
      </c>
      <c r="H9662" t="s">
        <v>30796</v>
      </c>
      <c r="J9662" t="s">
        <v>30789</v>
      </c>
      <c r="K9662" s="2" t="str">
        <f>HYPERLINK("http://collections.slsa.sa.gov.au/mpcimg/33500/B33468.htm")</f>
        <v>http://collections.slsa.sa.gov.au/mpcimg/33500/B33468.htm</v>
      </c>
    </row>
    <row r="9663" spans="1:11" x14ac:dyDescent="0.25">
      <c r="A9663" t="s">
        <v>30798</v>
      </c>
      <c r="B9663" s="1" t="str">
        <f>HYPERLINK("https://www.catalog.slsa.sa.gov.au/record=b2062490")</f>
        <v>https://www.catalog.slsa.sa.gov.au/record=b2062490</v>
      </c>
      <c r="C9663" s="1" t="str">
        <f>HYPERLINK("https://www.catalog.slsa.sa.gov.au/xrecord=b2062490")</f>
        <v>https://www.catalog.slsa.sa.gov.au/xrecord=b2062490</v>
      </c>
      <c r="D9663" t="s">
        <v>16831</v>
      </c>
      <c r="E9663" t="s">
        <v>30787</v>
      </c>
      <c r="F9663">
        <v>1977</v>
      </c>
      <c r="G9663" t="s">
        <v>30670</v>
      </c>
      <c r="H9663" t="s">
        <v>30799</v>
      </c>
      <c r="J9663" t="s">
        <v>30789</v>
      </c>
      <c r="K9663" s="2" t="str">
        <f>HYPERLINK("http://collections.slsa.sa.gov.au/mpcimg/33500/B33469.htm")</f>
        <v>http://collections.slsa.sa.gov.au/mpcimg/33500/B33469.htm</v>
      </c>
    </row>
    <row r="9664" spans="1:11" x14ac:dyDescent="0.25">
      <c r="A9664" t="s">
        <v>30800</v>
      </c>
      <c r="B9664" s="1" t="str">
        <f>HYPERLINK("https://www.catalog.slsa.sa.gov.au/record=b2063720")</f>
        <v>https://www.catalog.slsa.sa.gov.au/record=b2063720</v>
      </c>
      <c r="C9664" s="1" t="str">
        <f>HYPERLINK("https://www.catalog.slsa.sa.gov.au/xrecord=b2063720")</f>
        <v>https://www.catalog.slsa.sa.gov.au/xrecord=b2063720</v>
      </c>
      <c r="D9664" t="s">
        <v>16831</v>
      </c>
      <c r="E9664" t="s">
        <v>28840</v>
      </c>
      <c r="F9664">
        <v>1977</v>
      </c>
      <c r="G9664" t="s">
        <v>14809</v>
      </c>
      <c r="H9664" t="s">
        <v>30801</v>
      </c>
      <c r="I9664" t="s">
        <v>22447</v>
      </c>
      <c r="J9664" t="s">
        <v>28842</v>
      </c>
      <c r="K9664" s="2" t="str">
        <f>HYPERLINK("http://collections.slsa.sa.gov.au/mpcimg/34500/B34494.htm")</f>
        <v>http://collections.slsa.sa.gov.au/mpcimg/34500/B34494.htm</v>
      </c>
    </row>
    <row r="9665" spans="1:11" x14ac:dyDescent="0.25">
      <c r="A9665" t="s">
        <v>30802</v>
      </c>
      <c r="B9665" s="1" t="str">
        <f>HYPERLINK("https://www.catalog.slsa.sa.gov.au/record=b2066188")</f>
        <v>https://www.catalog.slsa.sa.gov.au/record=b2066188</v>
      </c>
      <c r="C9665" s="1" t="str">
        <f>HYPERLINK("https://www.catalog.slsa.sa.gov.au/xrecord=b2066188")</f>
        <v>https://www.catalog.slsa.sa.gov.au/xrecord=b2066188</v>
      </c>
      <c r="D9665" t="s">
        <v>16831</v>
      </c>
      <c r="E9665" t="s">
        <v>18095</v>
      </c>
      <c r="F9665">
        <v>1977</v>
      </c>
      <c r="G9665" t="s">
        <v>4731</v>
      </c>
      <c r="H9665" t="s">
        <v>30803</v>
      </c>
      <c r="J9665" t="s">
        <v>21351</v>
      </c>
      <c r="K9665" s="2" t="str">
        <f>HYPERLINK("http://collections.slsa.sa.gov.au/mpcimg/35250/B35106.htm")</f>
        <v>http://collections.slsa.sa.gov.au/mpcimg/35250/B35106.htm</v>
      </c>
    </row>
    <row r="9666" spans="1:11" x14ac:dyDescent="0.25">
      <c r="A9666" t="s">
        <v>30804</v>
      </c>
      <c r="B9666" s="1" t="str">
        <f>HYPERLINK("https://www.catalog.slsa.sa.gov.au/record=b2067831")</f>
        <v>https://www.catalog.slsa.sa.gov.au/record=b2067831</v>
      </c>
      <c r="C9666" s="1" t="str">
        <f>HYPERLINK("https://www.catalog.slsa.sa.gov.au/xrecord=b2067831")</f>
        <v>https://www.catalog.slsa.sa.gov.au/xrecord=b2067831</v>
      </c>
      <c r="D9666" t="s">
        <v>16831</v>
      </c>
      <c r="E9666" t="s">
        <v>30805</v>
      </c>
      <c r="F9666">
        <v>1977</v>
      </c>
      <c r="G9666" t="s">
        <v>30806</v>
      </c>
      <c r="H9666" t="s">
        <v>30807</v>
      </c>
      <c r="J9666" t="s">
        <v>30808</v>
      </c>
      <c r="K9666" s="2" t="str">
        <f>HYPERLINK("http://collections.slsa.sa.gov.au/mpcimg/35250/B35077.htm")</f>
        <v>http://collections.slsa.sa.gov.au/mpcimg/35250/B35077.htm</v>
      </c>
    </row>
    <row r="9667" spans="1:11" x14ac:dyDescent="0.25">
      <c r="A9667" t="s">
        <v>30809</v>
      </c>
      <c r="B9667" s="1" t="str">
        <f>HYPERLINK("https://www.catalog.slsa.sa.gov.au/record=b2067832")</f>
        <v>https://www.catalog.slsa.sa.gov.au/record=b2067832</v>
      </c>
      <c r="C9667" s="1" t="str">
        <f>HYPERLINK("https://www.catalog.slsa.sa.gov.au/xrecord=b2067832")</f>
        <v>https://www.catalog.slsa.sa.gov.au/xrecord=b2067832</v>
      </c>
      <c r="D9667" t="s">
        <v>16831</v>
      </c>
      <c r="E9667" t="s">
        <v>30805</v>
      </c>
      <c r="F9667">
        <v>1977</v>
      </c>
      <c r="G9667" t="s">
        <v>30810</v>
      </c>
      <c r="H9667" t="s">
        <v>30811</v>
      </c>
      <c r="J9667" t="s">
        <v>30808</v>
      </c>
      <c r="K9667" s="2" t="str">
        <f>HYPERLINK("http://collections.slsa.sa.gov.au/mpcimg/35250/B35078.htm")</f>
        <v>http://collections.slsa.sa.gov.au/mpcimg/35250/B35078.htm</v>
      </c>
    </row>
    <row r="9668" spans="1:11" x14ac:dyDescent="0.25">
      <c r="A9668" t="s">
        <v>30812</v>
      </c>
      <c r="B9668" s="1" t="str">
        <f>HYPERLINK("https://www.catalog.slsa.sa.gov.au/record=b2067833")</f>
        <v>https://www.catalog.slsa.sa.gov.au/record=b2067833</v>
      </c>
      <c r="C9668" s="1" t="str">
        <f>HYPERLINK("https://www.catalog.slsa.sa.gov.au/xrecord=b2067833")</f>
        <v>https://www.catalog.slsa.sa.gov.au/xrecord=b2067833</v>
      </c>
      <c r="D9668" t="s">
        <v>16831</v>
      </c>
      <c r="E9668" t="s">
        <v>30813</v>
      </c>
      <c r="F9668">
        <v>1977</v>
      </c>
      <c r="G9668" t="s">
        <v>30810</v>
      </c>
      <c r="H9668" t="s">
        <v>30814</v>
      </c>
      <c r="J9668" t="s">
        <v>30808</v>
      </c>
      <c r="K9668" s="2" t="str">
        <f>HYPERLINK("http://collections.slsa.sa.gov.au/mpcimg/35250/B35079.htm")</f>
        <v>http://collections.slsa.sa.gov.au/mpcimg/35250/B35079.htm</v>
      </c>
    </row>
    <row r="9669" spans="1:11" x14ac:dyDescent="0.25">
      <c r="A9669" t="s">
        <v>30815</v>
      </c>
      <c r="B9669" s="1" t="str">
        <f>HYPERLINK("https://www.catalog.slsa.sa.gov.au/record=b2067834")</f>
        <v>https://www.catalog.slsa.sa.gov.au/record=b2067834</v>
      </c>
      <c r="C9669" s="1" t="str">
        <f>HYPERLINK("https://www.catalog.slsa.sa.gov.au/xrecord=b2067834")</f>
        <v>https://www.catalog.slsa.sa.gov.au/xrecord=b2067834</v>
      </c>
      <c r="D9669" t="s">
        <v>16831</v>
      </c>
      <c r="E9669" t="s">
        <v>30805</v>
      </c>
      <c r="F9669">
        <v>1977</v>
      </c>
      <c r="G9669" t="s">
        <v>30816</v>
      </c>
      <c r="H9669" t="s">
        <v>30807</v>
      </c>
      <c r="J9669" t="s">
        <v>30808</v>
      </c>
      <c r="K9669" s="2" t="str">
        <f>HYPERLINK("http://collections.slsa.sa.gov.au/mpcimg/35250/B35080.htm")</f>
        <v>http://collections.slsa.sa.gov.au/mpcimg/35250/B35080.htm</v>
      </c>
    </row>
    <row r="9670" spans="1:11" x14ac:dyDescent="0.25">
      <c r="A9670" t="s">
        <v>30817</v>
      </c>
      <c r="B9670" s="1" t="str">
        <f>HYPERLINK("https://www.catalog.slsa.sa.gov.au/record=b2067835")</f>
        <v>https://www.catalog.slsa.sa.gov.au/record=b2067835</v>
      </c>
      <c r="C9670" s="1" t="str">
        <f>HYPERLINK("https://www.catalog.slsa.sa.gov.au/xrecord=b2067835")</f>
        <v>https://www.catalog.slsa.sa.gov.au/xrecord=b2067835</v>
      </c>
      <c r="D9670" t="s">
        <v>16831</v>
      </c>
      <c r="E9670" t="s">
        <v>26552</v>
      </c>
      <c r="F9670">
        <v>1977</v>
      </c>
      <c r="G9670" t="s">
        <v>14771</v>
      </c>
      <c r="H9670" t="s">
        <v>30818</v>
      </c>
      <c r="I9670" t="s">
        <v>30819</v>
      </c>
      <c r="J9670" t="s">
        <v>30808</v>
      </c>
      <c r="K9670" s="2" t="str">
        <f>HYPERLINK("http://collections.slsa.sa.gov.au/mpcimg/35250/B35082.htm")</f>
        <v>http://collections.slsa.sa.gov.au/mpcimg/35250/B35082.htm</v>
      </c>
    </row>
    <row r="9671" spans="1:11" x14ac:dyDescent="0.25">
      <c r="A9671" t="s">
        <v>30820</v>
      </c>
      <c r="B9671" s="1" t="str">
        <f>HYPERLINK("https://www.catalog.slsa.sa.gov.au/record=b2067836")</f>
        <v>https://www.catalog.slsa.sa.gov.au/record=b2067836</v>
      </c>
      <c r="C9671" s="1" t="str">
        <f>HYPERLINK("https://www.catalog.slsa.sa.gov.au/xrecord=b2067836")</f>
        <v>https://www.catalog.slsa.sa.gov.au/xrecord=b2067836</v>
      </c>
      <c r="D9671" t="s">
        <v>16831</v>
      </c>
      <c r="E9671" t="s">
        <v>26552</v>
      </c>
      <c r="F9671">
        <v>1977</v>
      </c>
      <c r="G9671" t="s">
        <v>16263</v>
      </c>
      <c r="H9671" t="s">
        <v>30821</v>
      </c>
      <c r="I9671" t="s">
        <v>30819</v>
      </c>
      <c r="J9671" t="s">
        <v>30808</v>
      </c>
      <c r="K9671" s="2" t="str">
        <f>HYPERLINK("http://collections.slsa.sa.gov.au/mpcimg/35250/B35083.htm")</f>
        <v>http://collections.slsa.sa.gov.au/mpcimg/35250/B35083.htm</v>
      </c>
    </row>
    <row r="9672" spans="1:11" x14ac:dyDescent="0.25">
      <c r="A9672" t="s">
        <v>30822</v>
      </c>
      <c r="B9672" s="1" t="str">
        <f>HYPERLINK("https://www.catalog.slsa.sa.gov.au/record=b2067837")</f>
        <v>https://www.catalog.slsa.sa.gov.au/record=b2067837</v>
      </c>
      <c r="C9672" s="1" t="str">
        <f>HYPERLINK("https://www.catalog.slsa.sa.gov.au/xrecord=b2067837")</f>
        <v>https://www.catalog.slsa.sa.gov.au/xrecord=b2067837</v>
      </c>
      <c r="D9672" t="s">
        <v>16831</v>
      </c>
      <c r="E9672" t="s">
        <v>26552</v>
      </c>
      <c r="F9672">
        <v>1977</v>
      </c>
      <c r="G9672" t="s">
        <v>30173</v>
      </c>
      <c r="H9672" t="s">
        <v>30818</v>
      </c>
      <c r="I9672" t="s">
        <v>30819</v>
      </c>
      <c r="J9672" t="s">
        <v>30808</v>
      </c>
      <c r="K9672" s="2" t="str">
        <f>HYPERLINK("http://collections.slsa.sa.gov.au/mpcimg/35250/B35084.htm")</f>
        <v>http://collections.slsa.sa.gov.au/mpcimg/35250/B35084.htm</v>
      </c>
    </row>
    <row r="9673" spans="1:11" x14ac:dyDescent="0.25">
      <c r="A9673" t="s">
        <v>30823</v>
      </c>
      <c r="B9673" s="1" t="str">
        <f>HYPERLINK("https://www.catalog.slsa.sa.gov.au/record=b2067838")</f>
        <v>https://www.catalog.slsa.sa.gov.au/record=b2067838</v>
      </c>
      <c r="C9673" s="1" t="str">
        <f>HYPERLINK("https://www.catalog.slsa.sa.gov.au/xrecord=b2067838")</f>
        <v>https://www.catalog.slsa.sa.gov.au/xrecord=b2067838</v>
      </c>
      <c r="D9673" t="s">
        <v>16831</v>
      </c>
      <c r="E9673" t="s">
        <v>26552</v>
      </c>
      <c r="F9673">
        <v>1977</v>
      </c>
      <c r="G9673" t="s">
        <v>4731</v>
      </c>
      <c r="H9673" t="s">
        <v>30818</v>
      </c>
      <c r="I9673" t="s">
        <v>30819</v>
      </c>
      <c r="J9673" t="s">
        <v>30808</v>
      </c>
      <c r="K9673" s="2" t="str">
        <f>HYPERLINK("http://collections.slsa.sa.gov.au/mpcimg/35250/B35085.htm")</f>
        <v>http://collections.slsa.sa.gov.au/mpcimg/35250/B35085.htm</v>
      </c>
    </row>
    <row r="9674" spans="1:11" x14ac:dyDescent="0.25">
      <c r="A9674" t="s">
        <v>30824</v>
      </c>
      <c r="B9674" s="1" t="str">
        <f>HYPERLINK("https://www.catalog.slsa.sa.gov.au/record=b2067839")</f>
        <v>https://www.catalog.slsa.sa.gov.au/record=b2067839</v>
      </c>
      <c r="C9674" s="1" t="str">
        <f>HYPERLINK("https://www.catalog.slsa.sa.gov.au/xrecord=b2067839")</f>
        <v>https://www.catalog.slsa.sa.gov.au/xrecord=b2067839</v>
      </c>
      <c r="D9674" t="s">
        <v>16831</v>
      </c>
      <c r="E9674" t="s">
        <v>26552</v>
      </c>
      <c r="F9674">
        <v>1977</v>
      </c>
      <c r="G9674" t="s">
        <v>14809</v>
      </c>
      <c r="H9674" t="s">
        <v>30825</v>
      </c>
      <c r="J9674" t="s">
        <v>30808</v>
      </c>
      <c r="K9674" s="2" t="str">
        <f>HYPERLINK("http://collections.slsa.sa.gov.au/mpcimg/35250/B35086.htm")</f>
        <v>http://collections.slsa.sa.gov.au/mpcimg/35250/B35086.htm</v>
      </c>
    </row>
    <row r="9675" spans="1:11" x14ac:dyDescent="0.25">
      <c r="A9675" t="s">
        <v>30826</v>
      </c>
      <c r="B9675" s="1" t="str">
        <f>HYPERLINK("https://www.catalog.slsa.sa.gov.au/record=b2067840")</f>
        <v>https://www.catalog.slsa.sa.gov.au/record=b2067840</v>
      </c>
      <c r="C9675" s="1" t="str">
        <f>HYPERLINK("https://www.catalog.slsa.sa.gov.au/xrecord=b2067840")</f>
        <v>https://www.catalog.slsa.sa.gov.au/xrecord=b2067840</v>
      </c>
      <c r="D9675" t="s">
        <v>16831</v>
      </c>
      <c r="E9675" t="s">
        <v>26552</v>
      </c>
      <c r="F9675">
        <v>1977</v>
      </c>
      <c r="G9675" t="s">
        <v>30827</v>
      </c>
      <c r="H9675" t="s">
        <v>30828</v>
      </c>
      <c r="J9675" t="s">
        <v>30808</v>
      </c>
      <c r="K9675" s="2" t="str">
        <f>HYPERLINK("http://collections.slsa.sa.gov.au/mpcimg/35250/B35087.htm")</f>
        <v>http://collections.slsa.sa.gov.au/mpcimg/35250/B35087.htm</v>
      </c>
    </row>
    <row r="9676" spans="1:11" x14ac:dyDescent="0.25">
      <c r="A9676" t="s">
        <v>30829</v>
      </c>
      <c r="B9676" s="1" t="str">
        <f>HYPERLINK("https://www.catalog.slsa.sa.gov.au/record=b2067841")</f>
        <v>https://www.catalog.slsa.sa.gov.au/record=b2067841</v>
      </c>
      <c r="C9676" s="1" t="str">
        <f>HYPERLINK("https://www.catalog.slsa.sa.gov.au/xrecord=b2067841")</f>
        <v>https://www.catalog.slsa.sa.gov.au/xrecord=b2067841</v>
      </c>
      <c r="D9676" t="s">
        <v>16831</v>
      </c>
      <c r="E9676" t="s">
        <v>26552</v>
      </c>
      <c r="F9676">
        <v>1977</v>
      </c>
      <c r="G9676" t="s">
        <v>14771</v>
      </c>
      <c r="H9676" t="s">
        <v>30828</v>
      </c>
      <c r="J9676" t="s">
        <v>30808</v>
      </c>
      <c r="K9676" s="2" t="str">
        <f>HYPERLINK("http://collections.slsa.sa.gov.au/mpcimg/35250/B35088.htm")</f>
        <v>http://collections.slsa.sa.gov.au/mpcimg/35250/B35088.htm</v>
      </c>
    </row>
    <row r="9677" spans="1:11" x14ac:dyDescent="0.25">
      <c r="A9677" t="s">
        <v>30830</v>
      </c>
      <c r="B9677" s="1" t="str">
        <f>HYPERLINK("https://www.catalog.slsa.sa.gov.au/record=b2067842")</f>
        <v>https://www.catalog.slsa.sa.gov.au/record=b2067842</v>
      </c>
      <c r="C9677" s="1" t="str">
        <f>HYPERLINK("https://www.catalog.slsa.sa.gov.au/xrecord=b2067842")</f>
        <v>https://www.catalog.slsa.sa.gov.au/xrecord=b2067842</v>
      </c>
      <c r="D9677" t="s">
        <v>16831</v>
      </c>
      <c r="E9677" t="s">
        <v>26552</v>
      </c>
      <c r="F9677">
        <v>1977</v>
      </c>
      <c r="G9677" t="s">
        <v>4731</v>
      </c>
      <c r="H9677" t="s">
        <v>30828</v>
      </c>
      <c r="J9677" t="s">
        <v>30808</v>
      </c>
      <c r="K9677" s="2" t="str">
        <f>HYPERLINK("http://collections.slsa.sa.gov.au/mpcimg/35250/B35089.htm")</f>
        <v>http://collections.slsa.sa.gov.au/mpcimg/35250/B35089.htm</v>
      </c>
    </row>
    <row r="9678" spans="1:11" x14ac:dyDescent="0.25">
      <c r="A9678" t="s">
        <v>30831</v>
      </c>
      <c r="B9678" s="1" t="str">
        <f>HYPERLINK("https://www.catalog.slsa.sa.gov.au/record=b2067843")</f>
        <v>https://www.catalog.slsa.sa.gov.au/record=b2067843</v>
      </c>
      <c r="C9678" s="1" t="str">
        <f>HYPERLINK("https://www.catalog.slsa.sa.gov.au/xrecord=b2067843")</f>
        <v>https://www.catalog.slsa.sa.gov.au/xrecord=b2067843</v>
      </c>
      <c r="D9678" t="s">
        <v>16831</v>
      </c>
      <c r="E9678" t="s">
        <v>26552</v>
      </c>
      <c r="F9678">
        <v>1977</v>
      </c>
      <c r="G9678" t="s">
        <v>30832</v>
      </c>
      <c r="H9678" t="s">
        <v>30833</v>
      </c>
      <c r="J9678" t="s">
        <v>30808</v>
      </c>
      <c r="K9678" s="2" t="str">
        <f>HYPERLINK("http://collections.slsa.sa.gov.au/mpcimg/35250/B35090.htm")</f>
        <v>http://collections.slsa.sa.gov.au/mpcimg/35250/B35090.htm</v>
      </c>
    </row>
    <row r="9679" spans="1:11" x14ac:dyDescent="0.25">
      <c r="A9679" t="s">
        <v>30834</v>
      </c>
      <c r="B9679" s="1" t="str">
        <f>HYPERLINK("https://www.catalog.slsa.sa.gov.au/record=b2067844")</f>
        <v>https://www.catalog.slsa.sa.gov.au/record=b2067844</v>
      </c>
      <c r="C9679" s="1" t="str">
        <f>HYPERLINK("https://www.catalog.slsa.sa.gov.au/xrecord=b2067844")</f>
        <v>https://www.catalog.slsa.sa.gov.au/xrecord=b2067844</v>
      </c>
      <c r="D9679" t="s">
        <v>16831</v>
      </c>
      <c r="E9679" t="s">
        <v>26552</v>
      </c>
      <c r="F9679">
        <v>1977</v>
      </c>
      <c r="G9679" t="s">
        <v>30832</v>
      </c>
      <c r="H9679" t="s">
        <v>30835</v>
      </c>
      <c r="J9679" t="s">
        <v>30808</v>
      </c>
      <c r="K9679" s="2" t="str">
        <f>HYPERLINK("http://collections.slsa.sa.gov.au/mpcimg/35250/B35091.htm")</f>
        <v>http://collections.slsa.sa.gov.au/mpcimg/35250/B35091.htm</v>
      </c>
    </row>
    <row r="9680" spans="1:11" x14ac:dyDescent="0.25">
      <c r="A9680" t="s">
        <v>30836</v>
      </c>
      <c r="B9680" s="1" t="str">
        <f>HYPERLINK("https://www.catalog.slsa.sa.gov.au/record=b2067845")</f>
        <v>https://www.catalog.slsa.sa.gov.au/record=b2067845</v>
      </c>
      <c r="C9680" s="1" t="str">
        <f>HYPERLINK("https://www.catalog.slsa.sa.gov.au/xrecord=b2067845")</f>
        <v>https://www.catalog.slsa.sa.gov.au/xrecord=b2067845</v>
      </c>
      <c r="D9680" t="s">
        <v>16831</v>
      </c>
      <c r="E9680" t="s">
        <v>26552</v>
      </c>
      <c r="F9680">
        <v>1977</v>
      </c>
      <c r="G9680" t="s">
        <v>4731</v>
      </c>
      <c r="H9680" t="s">
        <v>30837</v>
      </c>
      <c r="J9680" t="s">
        <v>30808</v>
      </c>
      <c r="K9680" s="2" t="str">
        <f>HYPERLINK("http://collections.slsa.sa.gov.au/mpcimg/35250/B35092.htm")</f>
        <v>http://collections.slsa.sa.gov.au/mpcimg/35250/B35092.htm</v>
      </c>
    </row>
    <row r="9681" spans="1:11" x14ac:dyDescent="0.25">
      <c r="A9681" t="s">
        <v>30838</v>
      </c>
      <c r="B9681" s="1" t="str">
        <f>HYPERLINK("https://www.catalog.slsa.sa.gov.au/record=b2067846")</f>
        <v>https://www.catalog.slsa.sa.gov.au/record=b2067846</v>
      </c>
      <c r="C9681" s="1" t="str">
        <f>HYPERLINK("https://www.catalog.slsa.sa.gov.au/xrecord=b2067846")</f>
        <v>https://www.catalog.slsa.sa.gov.au/xrecord=b2067846</v>
      </c>
      <c r="D9681" t="s">
        <v>16831</v>
      </c>
      <c r="E9681" t="s">
        <v>26552</v>
      </c>
      <c r="F9681">
        <v>1977</v>
      </c>
      <c r="G9681" t="s">
        <v>30839</v>
      </c>
      <c r="H9681" t="s">
        <v>30840</v>
      </c>
      <c r="I9681" t="s">
        <v>30819</v>
      </c>
      <c r="J9681" t="s">
        <v>30808</v>
      </c>
      <c r="K9681" s="2" t="str">
        <f>HYPERLINK("http://collections.slsa.sa.gov.au/mpcimg/35250/B35093.htm")</f>
        <v>http://collections.slsa.sa.gov.au/mpcimg/35250/B35093.htm</v>
      </c>
    </row>
    <row r="9682" spans="1:11" x14ac:dyDescent="0.25">
      <c r="A9682" t="s">
        <v>30841</v>
      </c>
      <c r="B9682" s="1" t="str">
        <f>HYPERLINK("https://www.catalog.slsa.sa.gov.au/record=b2067847")</f>
        <v>https://www.catalog.slsa.sa.gov.au/record=b2067847</v>
      </c>
      <c r="C9682" s="1" t="str">
        <f>HYPERLINK("https://www.catalog.slsa.sa.gov.au/xrecord=b2067847")</f>
        <v>https://www.catalog.slsa.sa.gov.au/xrecord=b2067847</v>
      </c>
      <c r="D9682" t="s">
        <v>16831</v>
      </c>
      <c r="E9682" t="s">
        <v>26552</v>
      </c>
      <c r="F9682">
        <v>1977</v>
      </c>
      <c r="G9682" t="s">
        <v>30832</v>
      </c>
      <c r="H9682" t="s">
        <v>30842</v>
      </c>
      <c r="J9682" t="s">
        <v>30808</v>
      </c>
      <c r="K9682" s="2" t="str">
        <f>HYPERLINK("http://collections.slsa.sa.gov.au/mpcimg/35250/B35095.htm")</f>
        <v>http://collections.slsa.sa.gov.au/mpcimg/35250/B35095.htm</v>
      </c>
    </row>
    <row r="9683" spans="1:11" x14ac:dyDescent="0.25">
      <c r="A9683" t="s">
        <v>30843</v>
      </c>
      <c r="B9683" s="1" t="str">
        <f>HYPERLINK("https://www.catalog.slsa.sa.gov.au/record=b2067848")</f>
        <v>https://www.catalog.slsa.sa.gov.au/record=b2067848</v>
      </c>
      <c r="C9683" s="1" t="str">
        <f>HYPERLINK("https://www.catalog.slsa.sa.gov.au/xrecord=b2067848")</f>
        <v>https://www.catalog.slsa.sa.gov.au/xrecord=b2067848</v>
      </c>
      <c r="D9683" t="s">
        <v>16831</v>
      </c>
      <c r="E9683" t="s">
        <v>26552</v>
      </c>
      <c r="F9683">
        <v>1977</v>
      </c>
      <c r="G9683" t="s">
        <v>21804</v>
      </c>
      <c r="H9683" t="s">
        <v>30842</v>
      </c>
      <c r="J9683" t="s">
        <v>30808</v>
      </c>
      <c r="K9683" s="2" t="str">
        <f>HYPERLINK("http://collections.slsa.sa.gov.au/mpcimg/35250/B35094.htm")</f>
        <v>http://collections.slsa.sa.gov.au/mpcimg/35250/B35094.htm</v>
      </c>
    </row>
    <row r="9684" spans="1:11" x14ac:dyDescent="0.25">
      <c r="A9684" t="s">
        <v>30844</v>
      </c>
      <c r="B9684" s="1" t="str">
        <f>HYPERLINK("https://www.catalog.slsa.sa.gov.au/record=b2067849")</f>
        <v>https://www.catalog.slsa.sa.gov.au/record=b2067849</v>
      </c>
      <c r="C9684" s="1" t="str">
        <f>HYPERLINK("https://www.catalog.slsa.sa.gov.au/xrecord=b2067849")</f>
        <v>https://www.catalog.slsa.sa.gov.au/xrecord=b2067849</v>
      </c>
      <c r="D9684" t="s">
        <v>16831</v>
      </c>
      <c r="E9684" t="s">
        <v>26552</v>
      </c>
      <c r="F9684">
        <v>1977</v>
      </c>
      <c r="G9684" t="s">
        <v>30832</v>
      </c>
      <c r="H9684" t="s">
        <v>30842</v>
      </c>
      <c r="J9684" t="s">
        <v>30808</v>
      </c>
      <c r="K9684" s="2" t="str">
        <f>HYPERLINK("http://collections.slsa.sa.gov.au/mpcimg/35250/B35096.htm")</f>
        <v>http://collections.slsa.sa.gov.au/mpcimg/35250/B35096.htm</v>
      </c>
    </row>
    <row r="9685" spans="1:11" x14ac:dyDescent="0.25">
      <c r="A9685" t="s">
        <v>30845</v>
      </c>
      <c r="B9685" s="1" t="str">
        <f>HYPERLINK("https://www.catalog.slsa.sa.gov.au/record=b2067850")</f>
        <v>https://www.catalog.slsa.sa.gov.au/record=b2067850</v>
      </c>
      <c r="C9685" s="1" t="str">
        <f>HYPERLINK("https://www.catalog.slsa.sa.gov.au/xrecord=b2067850")</f>
        <v>https://www.catalog.slsa.sa.gov.au/xrecord=b2067850</v>
      </c>
      <c r="D9685" t="s">
        <v>16831</v>
      </c>
      <c r="E9685" t="s">
        <v>26552</v>
      </c>
      <c r="F9685">
        <v>1977</v>
      </c>
      <c r="G9685" t="s">
        <v>30832</v>
      </c>
      <c r="H9685" t="s">
        <v>30842</v>
      </c>
      <c r="J9685" t="s">
        <v>30808</v>
      </c>
      <c r="K9685" s="2" t="str">
        <f>HYPERLINK("http://collections.slsa.sa.gov.au/mpcimg/35250/B35097.htm")</f>
        <v>http://collections.slsa.sa.gov.au/mpcimg/35250/B35097.htm</v>
      </c>
    </row>
    <row r="9686" spans="1:11" x14ac:dyDescent="0.25">
      <c r="A9686" t="s">
        <v>30846</v>
      </c>
      <c r="B9686" s="1" t="str">
        <f>HYPERLINK("https://www.catalog.slsa.sa.gov.au/record=b2067851")</f>
        <v>https://www.catalog.slsa.sa.gov.au/record=b2067851</v>
      </c>
      <c r="C9686" s="1" t="str">
        <f>HYPERLINK("https://www.catalog.slsa.sa.gov.au/xrecord=b2067851")</f>
        <v>https://www.catalog.slsa.sa.gov.au/xrecord=b2067851</v>
      </c>
      <c r="D9686" t="s">
        <v>16831</v>
      </c>
      <c r="E9686" t="s">
        <v>26552</v>
      </c>
      <c r="F9686">
        <v>1977</v>
      </c>
      <c r="G9686" t="s">
        <v>4731</v>
      </c>
      <c r="H9686" t="s">
        <v>30847</v>
      </c>
      <c r="J9686" t="s">
        <v>30808</v>
      </c>
      <c r="K9686" s="2" t="str">
        <f>HYPERLINK("http://collections.slsa.sa.gov.au/mpcimg/35250/B35098.htm")</f>
        <v>http://collections.slsa.sa.gov.au/mpcimg/35250/B35098.htm</v>
      </c>
    </row>
    <row r="9687" spans="1:11" x14ac:dyDescent="0.25">
      <c r="A9687" t="s">
        <v>30848</v>
      </c>
      <c r="B9687" s="1" t="str">
        <f>HYPERLINK("https://www.catalog.slsa.sa.gov.au/record=b2067854")</f>
        <v>https://www.catalog.slsa.sa.gov.au/record=b2067854</v>
      </c>
      <c r="C9687" s="1" t="str">
        <f>HYPERLINK("https://www.catalog.slsa.sa.gov.au/xrecord=b2067854")</f>
        <v>https://www.catalog.slsa.sa.gov.au/xrecord=b2067854</v>
      </c>
      <c r="D9687" t="s">
        <v>16831</v>
      </c>
      <c r="E9687" t="s">
        <v>30849</v>
      </c>
      <c r="F9687">
        <v>1977</v>
      </c>
      <c r="G9687" t="s">
        <v>30695</v>
      </c>
      <c r="H9687" t="s">
        <v>30850</v>
      </c>
      <c r="J9687" t="s">
        <v>30808</v>
      </c>
      <c r="K9687" s="2" t="str">
        <f>HYPERLINK("http://collections.slsa.sa.gov.au/mpcimg/35500/B35394.htm")</f>
        <v>http://collections.slsa.sa.gov.au/mpcimg/35500/B35394.htm</v>
      </c>
    </row>
    <row r="9688" spans="1:11" x14ac:dyDescent="0.25">
      <c r="A9688" t="s">
        <v>30851</v>
      </c>
      <c r="B9688" s="1" t="str">
        <f>HYPERLINK("https://www.catalog.slsa.sa.gov.au/record=b2843062")</f>
        <v>https://www.catalog.slsa.sa.gov.au/record=b2843062</v>
      </c>
      <c r="C9688" s="1" t="str">
        <f>HYPERLINK("https://www.catalog.slsa.sa.gov.au/xrecord=b2843062")</f>
        <v>https://www.catalog.slsa.sa.gov.au/xrecord=b2843062</v>
      </c>
      <c r="D9688" t="s">
        <v>16831</v>
      </c>
      <c r="E9688" t="s">
        <v>30852</v>
      </c>
      <c r="F9688" t="s">
        <v>30853</v>
      </c>
      <c r="G9688" t="s">
        <v>30854</v>
      </c>
      <c r="H9688" t="s">
        <v>30855</v>
      </c>
      <c r="J9688" t="s">
        <v>27982</v>
      </c>
      <c r="K9688" s="2" t="str">
        <f>HYPERLINK("http://collections.slsa.sa.gov.au/mpcimg/72750/B72592.htm")</f>
        <v>http://collections.slsa.sa.gov.au/mpcimg/72750/B72592.htm</v>
      </c>
    </row>
    <row r="9689" spans="1:11" x14ac:dyDescent="0.25">
      <c r="A9689" t="s">
        <v>30856</v>
      </c>
      <c r="B9689" s="1" t="str">
        <f>HYPERLINK("https://www.catalog.slsa.sa.gov.au/record=b2025957")</f>
        <v>https://www.catalog.slsa.sa.gov.au/record=b2025957</v>
      </c>
      <c r="C9689" s="1" t="str">
        <f>HYPERLINK("https://www.catalog.slsa.sa.gov.au/xrecord=b2025957")</f>
        <v>https://www.catalog.slsa.sa.gov.au/xrecord=b2025957</v>
      </c>
      <c r="D9689" t="s">
        <v>16831</v>
      </c>
      <c r="E9689" t="s">
        <v>30857</v>
      </c>
      <c r="F9689">
        <v>1978</v>
      </c>
      <c r="G9689" t="s">
        <v>30695</v>
      </c>
      <c r="H9689" t="s">
        <v>30858</v>
      </c>
      <c r="I9689" t="s">
        <v>30859</v>
      </c>
      <c r="J9689" t="s">
        <v>2807</v>
      </c>
      <c r="K9689" s="2" t="str">
        <f>HYPERLINK("http://collections.slsa.sa.gov.au/mpcimg/35250/B35026.htm")</f>
        <v>http://collections.slsa.sa.gov.au/mpcimg/35250/B35026.htm</v>
      </c>
    </row>
    <row r="9690" spans="1:11" x14ac:dyDescent="0.25">
      <c r="A9690" t="s">
        <v>30860</v>
      </c>
      <c r="B9690" s="1" t="str">
        <f>HYPERLINK("https://www.catalog.slsa.sa.gov.au/record=b2025958")</f>
        <v>https://www.catalog.slsa.sa.gov.au/record=b2025958</v>
      </c>
      <c r="C9690" s="1" t="str">
        <f>HYPERLINK("https://www.catalog.slsa.sa.gov.au/xrecord=b2025958")</f>
        <v>https://www.catalog.slsa.sa.gov.au/xrecord=b2025958</v>
      </c>
      <c r="D9690" t="s">
        <v>16831</v>
      </c>
      <c r="E9690" t="s">
        <v>30857</v>
      </c>
      <c r="F9690">
        <v>1978</v>
      </c>
      <c r="G9690" t="s">
        <v>30695</v>
      </c>
      <c r="H9690" t="s">
        <v>30861</v>
      </c>
      <c r="I9690" t="s">
        <v>30859</v>
      </c>
      <c r="J9690" t="s">
        <v>2807</v>
      </c>
      <c r="K9690" s="2" t="str">
        <f>HYPERLINK("http://collections.slsa.sa.gov.au/mpcimg/35250/B35027.htm")</f>
        <v>http://collections.slsa.sa.gov.au/mpcimg/35250/B35027.htm</v>
      </c>
    </row>
    <row r="9691" spans="1:11" x14ac:dyDescent="0.25">
      <c r="A9691" t="s">
        <v>30862</v>
      </c>
      <c r="B9691" s="1" t="str">
        <f>HYPERLINK("https://www.catalog.slsa.sa.gov.au/record=b2048264")</f>
        <v>https://www.catalog.slsa.sa.gov.au/record=b2048264</v>
      </c>
      <c r="C9691" s="1" t="str">
        <f>HYPERLINK("https://www.catalog.slsa.sa.gov.au/xrecord=b2048264")</f>
        <v>https://www.catalog.slsa.sa.gov.au/xrecord=b2048264</v>
      </c>
      <c r="D9691" t="s">
        <v>16831</v>
      </c>
      <c r="E9691" t="s">
        <v>30863</v>
      </c>
      <c r="F9691">
        <v>1978</v>
      </c>
      <c r="G9691" t="s">
        <v>15147</v>
      </c>
      <c r="H9691" t="s">
        <v>30864</v>
      </c>
      <c r="I9691" t="s">
        <v>30865</v>
      </c>
      <c r="J9691" t="s">
        <v>1809</v>
      </c>
      <c r="K9691" s="2" t="str">
        <f>HYPERLINK("http://collections.slsa.sa.gov.au/mpcimg/37000/B36915_1.htm")</f>
        <v>http://collections.slsa.sa.gov.au/mpcimg/37000/B36915_1.htm</v>
      </c>
    </row>
    <row r="9692" spans="1:11" x14ac:dyDescent="0.25">
      <c r="A9692" t="s">
        <v>30866</v>
      </c>
      <c r="B9692" s="1" t="str">
        <f>HYPERLINK("https://www.catalog.slsa.sa.gov.au/record=b2048265")</f>
        <v>https://www.catalog.slsa.sa.gov.au/record=b2048265</v>
      </c>
      <c r="C9692" s="1" t="str">
        <f>HYPERLINK("https://www.catalog.slsa.sa.gov.au/xrecord=b2048265")</f>
        <v>https://www.catalog.slsa.sa.gov.au/xrecord=b2048265</v>
      </c>
      <c r="D9692" t="s">
        <v>16831</v>
      </c>
      <c r="E9692" t="s">
        <v>30863</v>
      </c>
      <c r="F9692">
        <v>1978</v>
      </c>
      <c r="G9692" t="s">
        <v>15147</v>
      </c>
      <c r="H9692" t="s">
        <v>30867</v>
      </c>
      <c r="I9692" t="s">
        <v>30868</v>
      </c>
      <c r="J9692" t="s">
        <v>1809</v>
      </c>
      <c r="K9692" s="2" t="str">
        <f>HYPERLINK("http://collections.slsa.sa.gov.au/mpcimg/37000/B36915_2.htm")</f>
        <v>http://collections.slsa.sa.gov.au/mpcimg/37000/B36915_2.htm</v>
      </c>
    </row>
    <row r="9693" spans="1:11" x14ac:dyDescent="0.25">
      <c r="A9693" t="s">
        <v>30869</v>
      </c>
      <c r="B9693" s="1" t="str">
        <f>HYPERLINK("https://www.catalog.slsa.sa.gov.au/record=b2048266")</f>
        <v>https://www.catalog.slsa.sa.gov.au/record=b2048266</v>
      </c>
      <c r="C9693" s="1" t="str">
        <f>HYPERLINK("https://www.catalog.slsa.sa.gov.au/xrecord=b2048266")</f>
        <v>https://www.catalog.slsa.sa.gov.au/xrecord=b2048266</v>
      </c>
      <c r="D9693" t="s">
        <v>16831</v>
      </c>
      <c r="E9693" t="s">
        <v>30863</v>
      </c>
      <c r="F9693">
        <v>1978</v>
      </c>
      <c r="G9693" t="s">
        <v>15147</v>
      </c>
      <c r="H9693" t="s">
        <v>30867</v>
      </c>
      <c r="I9693" t="s">
        <v>30865</v>
      </c>
      <c r="J9693" t="s">
        <v>1809</v>
      </c>
      <c r="K9693" s="2" t="str">
        <f>HYPERLINK("http://collections.slsa.sa.gov.au/mpcimg/37000/B36915_3.htm")</f>
        <v>http://collections.slsa.sa.gov.au/mpcimg/37000/B36915_3.htm</v>
      </c>
    </row>
    <row r="9694" spans="1:11" x14ac:dyDescent="0.25">
      <c r="A9694" t="s">
        <v>30870</v>
      </c>
      <c r="B9694" s="1" t="str">
        <f>HYPERLINK("https://www.catalog.slsa.sa.gov.au/record=b2048267")</f>
        <v>https://www.catalog.slsa.sa.gov.au/record=b2048267</v>
      </c>
      <c r="C9694" s="1" t="str">
        <f>HYPERLINK("https://www.catalog.slsa.sa.gov.au/xrecord=b2048267")</f>
        <v>https://www.catalog.slsa.sa.gov.au/xrecord=b2048267</v>
      </c>
      <c r="D9694" t="s">
        <v>16831</v>
      </c>
      <c r="E9694" t="s">
        <v>30863</v>
      </c>
      <c r="F9694">
        <v>1978</v>
      </c>
      <c r="G9694" t="s">
        <v>15147</v>
      </c>
      <c r="H9694" t="s">
        <v>30871</v>
      </c>
      <c r="I9694" t="s">
        <v>30865</v>
      </c>
      <c r="J9694" t="s">
        <v>1809</v>
      </c>
      <c r="K9694" s="2" t="str">
        <f>HYPERLINK("http://collections.slsa.sa.gov.au/mpcimg/37000/B36915_4.htm")</f>
        <v>http://collections.slsa.sa.gov.au/mpcimg/37000/B36915_4.htm</v>
      </c>
    </row>
    <row r="9695" spans="1:11" x14ac:dyDescent="0.25">
      <c r="A9695" t="s">
        <v>30872</v>
      </c>
      <c r="B9695" s="1" t="str">
        <f>HYPERLINK("https://www.catalog.slsa.sa.gov.au/record=b2048268")</f>
        <v>https://www.catalog.slsa.sa.gov.au/record=b2048268</v>
      </c>
      <c r="C9695" s="1" t="str">
        <f>HYPERLINK("https://www.catalog.slsa.sa.gov.au/xrecord=b2048268")</f>
        <v>https://www.catalog.slsa.sa.gov.au/xrecord=b2048268</v>
      </c>
      <c r="D9695" t="s">
        <v>16831</v>
      </c>
      <c r="E9695" t="s">
        <v>30863</v>
      </c>
      <c r="F9695">
        <v>1978</v>
      </c>
      <c r="G9695" t="s">
        <v>15147</v>
      </c>
      <c r="H9695" t="s">
        <v>30867</v>
      </c>
      <c r="I9695" t="s">
        <v>30865</v>
      </c>
      <c r="J9695" t="s">
        <v>1809</v>
      </c>
      <c r="K9695" s="2" t="str">
        <f>HYPERLINK("http://collections.slsa.sa.gov.au/mpcimg/37000/B36915_5.htm")</f>
        <v>http://collections.slsa.sa.gov.au/mpcimg/37000/B36915_5.htm</v>
      </c>
    </row>
    <row r="9696" spans="1:11" x14ac:dyDescent="0.25">
      <c r="A9696" t="s">
        <v>30873</v>
      </c>
      <c r="B9696" s="1" t="str">
        <f>HYPERLINK("https://www.catalog.slsa.sa.gov.au/record=b2056069")</f>
        <v>https://www.catalog.slsa.sa.gov.au/record=b2056069</v>
      </c>
      <c r="C9696" s="1" t="str">
        <f>HYPERLINK("https://www.catalog.slsa.sa.gov.au/xrecord=b2056069")</f>
        <v>https://www.catalog.slsa.sa.gov.au/xrecord=b2056069</v>
      </c>
      <c r="D9696" t="s">
        <v>16831</v>
      </c>
      <c r="E9696" t="s">
        <v>30874</v>
      </c>
      <c r="F9696">
        <v>1978</v>
      </c>
      <c r="G9696" t="s">
        <v>14809</v>
      </c>
      <c r="H9696" t="s">
        <v>30875</v>
      </c>
      <c r="J9696" t="s">
        <v>24020</v>
      </c>
      <c r="K9696" s="2" t="str">
        <f>HYPERLINK("http://collections.slsa.sa.gov.au/mpcimg/36750/B36552.htm")</f>
        <v>http://collections.slsa.sa.gov.au/mpcimg/36750/B36552.htm</v>
      </c>
    </row>
    <row r="9697" spans="1:11" x14ac:dyDescent="0.25">
      <c r="A9697" t="s">
        <v>30876</v>
      </c>
      <c r="B9697" s="1" t="str">
        <f>HYPERLINK("https://www.catalog.slsa.sa.gov.au/record=b2056125")</f>
        <v>https://www.catalog.slsa.sa.gov.au/record=b2056125</v>
      </c>
      <c r="C9697" s="1" t="str">
        <f>HYPERLINK("https://www.catalog.slsa.sa.gov.au/xrecord=b2056125")</f>
        <v>https://www.catalog.slsa.sa.gov.au/xrecord=b2056125</v>
      </c>
      <c r="D9697" t="s">
        <v>16831</v>
      </c>
      <c r="E9697" t="s">
        <v>20904</v>
      </c>
      <c r="F9697">
        <v>1978</v>
      </c>
      <c r="G9697" t="s">
        <v>14809</v>
      </c>
      <c r="H9697" t="s">
        <v>30877</v>
      </c>
      <c r="J9697" t="s">
        <v>25806</v>
      </c>
      <c r="K9697" s="2" t="str">
        <f>HYPERLINK("http://collections.slsa.sa.gov.au/mpcimg/36750/B36550.htm")</f>
        <v>http://collections.slsa.sa.gov.au/mpcimg/36750/B36550.htm</v>
      </c>
    </row>
    <row r="9698" spans="1:11" x14ac:dyDescent="0.25">
      <c r="A9698" t="s">
        <v>30878</v>
      </c>
      <c r="B9698" s="1" t="str">
        <f>HYPERLINK("https://www.catalog.slsa.sa.gov.au/record=b2056126")</f>
        <v>https://www.catalog.slsa.sa.gov.au/record=b2056126</v>
      </c>
      <c r="C9698" s="1" t="str">
        <f>HYPERLINK("https://www.catalog.slsa.sa.gov.au/xrecord=b2056126")</f>
        <v>https://www.catalog.slsa.sa.gov.au/xrecord=b2056126</v>
      </c>
      <c r="D9698" t="s">
        <v>16831</v>
      </c>
      <c r="E9698" t="s">
        <v>20904</v>
      </c>
      <c r="F9698">
        <v>1978</v>
      </c>
      <c r="G9698" t="s">
        <v>14809</v>
      </c>
      <c r="H9698" t="s">
        <v>30879</v>
      </c>
      <c r="J9698" t="s">
        <v>25806</v>
      </c>
      <c r="K9698" s="2" t="str">
        <f>HYPERLINK("http://collections.slsa.sa.gov.au/mpcimg/36750/B36551.htm")</f>
        <v>http://collections.slsa.sa.gov.au/mpcimg/36750/B36551.htm</v>
      </c>
    </row>
    <row r="9699" spans="1:11" x14ac:dyDescent="0.25">
      <c r="A9699" t="s">
        <v>30880</v>
      </c>
      <c r="B9699" s="1" t="str">
        <f>HYPERLINK("https://www.catalog.slsa.sa.gov.au/record=b2056320")</f>
        <v>https://www.catalog.slsa.sa.gov.au/record=b2056320</v>
      </c>
      <c r="C9699" s="1" t="str">
        <f>HYPERLINK("https://www.catalog.slsa.sa.gov.au/xrecord=b2056320")</f>
        <v>https://www.catalog.slsa.sa.gov.au/xrecord=b2056320</v>
      </c>
      <c r="D9699" t="s">
        <v>16831</v>
      </c>
      <c r="E9699" t="s">
        <v>16771</v>
      </c>
      <c r="F9699">
        <v>1978</v>
      </c>
      <c r="G9699" t="s">
        <v>14809</v>
      </c>
      <c r="H9699" t="s">
        <v>30881</v>
      </c>
      <c r="J9699" t="s">
        <v>16775</v>
      </c>
      <c r="K9699" s="2" t="str">
        <f>HYPERLINK("http://collections.slsa.sa.gov.au/mpcimg/36750/B36702.htm")</f>
        <v>http://collections.slsa.sa.gov.au/mpcimg/36750/B36702.htm</v>
      </c>
    </row>
    <row r="9700" spans="1:11" x14ac:dyDescent="0.25">
      <c r="A9700" t="s">
        <v>30882</v>
      </c>
      <c r="B9700" s="1" t="str">
        <f>HYPERLINK("https://www.catalog.slsa.sa.gov.au/record=b2056321")</f>
        <v>https://www.catalog.slsa.sa.gov.au/record=b2056321</v>
      </c>
      <c r="C9700" s="1" t="str">
        <f>HYPERLINK("https://www.catalog.slsa.sa.gov.au/xrecord=b2056321")</f>
        <v>https://www.catalog.slsa.sa.gov.au/xrecord=b2056321</v>
      </c>
      <c r="D9700" t="s">
        <v>16831</v>
      </c>
      <c r="E9700" t="s">
        <v>16771</v>
      </c>
      <c r="F9700">
        <v>1978</v>
      </c>
      <c r="G9700" t="s">
        <v>14809</v>
      </c>
      <c r="H9700" t="s">
        <v>30883</v>
      </c>
      <c r="J9700" t="s">
        <v>16775</v>
      </c>
      <c r="K9700" s="2" t="str">
        <f>HYPERLINK("http://collections.slsa.sa.gov.au/mpcimg/36750/B36703.htm")</f>
        <v>http://collections.slsa.sa.gov.au/mpcimg/36750/B36703.htm</v>
      </c>
    </row>
    <row r="9701" spans="1:11" x14ac:dyDescent="0.25">
      <c r="A9701" t="s">
        <v>30884</v>
      </c>
      <c r="B9701" s="1" t="str">
        <f>HYPERLINK("https://www.catalog.slsa.sa.gov.au/record=b2056498")</f>
        <v>https://www.catalog.slsa.sa.gov.au/record=b2056498</v>
      </c>
      <c r="C9701" s="1" t="str">
        <f>HYPERLINK("https://www.catalog.slsa.sa.gov.au/xrecord=b2056498")</f>
        <v>https://www.catalog.slsa.sa.gov.au/xrecord=b2056498</v>
      </c>
      <c r="D9701" t="s">
        <v>16831</v>
      </c>
      <c r="E9701" t="s">
        <v>20933</v>
      </c>
      <c r="F9701">
        <v>1978</v>
      </c>
      <c r="G9701" t="s">
        <v>30885</v>
      </c>
      <c r="H9701" t="s">
        <v>30886</v>
      </c>
      <c r="J9701" t="s">
        <v>17605</v>
      </c>
      <c r="K9701" s="2" t="str">
        <f>HYPERLINK("http://collections.slsa.sa.gov.au/mpcimg/35000/B34977.htm")</f>
        <v>http://collections.slsa.sa.gov.au/mpcimg/35000/B34977.htm</v>
      </c>
    </row>
    <row r="9702" spans="1:11" x14ac:dyDescent="0.25">
      <c r="A9702" t="s">
        <v>30887</v>
      </c>
      <c r="B9702" s="1" t="str">
        <f>HYPERLINK("https://www.catalog.slsa.sa.gov.au/record=b2056499")</f>
        <v>https://www.catalog.slsa.sa.gov.au/record=b2056499</v>
      </c>
      <c r="C9702" s="1" t="str">
        <f>HYPERLINK("https://www.catalog.slsa.sa.gov.au/xrecord=b2056499")</f>
        <v>https://www.catalog.slsa.sa.gov.au/xrecord=b2056499</v>
      </c>
      <c r="D9702" t="s">
        <v>16831</v>
      </c>
      <c r="E9702" t="s">
        <v>20933</v>
      </c>
      <c r="F9702">
        <v>1978</v>
      </c>
      <c r="G9702" t="s">
        <v>30888</v>
      </c>
      <c r="H9702" t="s">
        <v>30889</v>
      </c>
      <c r="J9702" t="s">
        <v>17605</v>
      </c>
      <c r="K9702" s="2" t="str">
        <f>HYPERLINK("http://collections.slsa.sa.gov.au/mpcimg/35000/B34978.htm")</f>
        <v>http://collections.slsa.sa.gov.au/mpcimg/35000/B34978.htm</v>
      </c>
    </row>
    <row r="9703" spans="1:11" x14ac:dyDescent="0.25">
      <c r="A9703" t="s">
        <v>30890</v>
      </c>
      <c r="B9703" s="1" t="str">
        <f>HYPERLINK("https://www.catalog.slsa.sa.gov.au/record=b2056615")</f>
        <v>https://www.catalog.slsa.sa.gov.au/record=b2056615</v>
      </c>
      <c r="C9703" s="1" t="str">
        <f>HYPERLINK("https://www.catalog.slsa.sa.gov.au/xrecord=b2056615")</f>
        <v>https://www.catalog.slsa.sa.gov.au/xrecord=b2056615</v>
      </c>
      <c r="D9703" t="s">
        <v>16831</v>
      </c>
      <c r="E9703" t="s">
        <v>30703</v>
      </c>
      <c r="F9703">
        <v>1978</v>
      </c>
      <c r="G9703" t="s">
        <v>15147</v>
      </c>
      <c r="H9703" t="s">
        <v>30891</v>
      </c>
      <c r="J9703" t="s">
        <v>16780</v>
      </c>
      <c r="K9703" s="2" t="str">
        <f>HYPERLINK("http://collections.slsa.sa.gov.au/mpcimg/37000/B36773.htm")</f>
        <v>http://collections.slsa.sa.gov.au/mpcimg/37000/B36773.htm</v>
      </c>
    </row>
    <row r="9704" spans="1:11" x14ac:dyDescent="0.25">
      <c r="A9704" t="s">
        <v>30892</v>
      </c>
      <c r="B9704" s="1" t="str">
        <f>HYPERLINK("https://www.catalog.slsa.sa.gov.au/record=b2056907")</f>
        <v>https://www.catalog.slsa.sa.gov.au/record=b2056907</v>
      </c>
      <c r="C9704" s="1" t="str">
        <f>HYPERLINK("https://www.catalog.slsa.sa.gov.au/xrecord=b2056907")</f>
        <v>https://www.catalog.slsa.sa.gov.au/xrecord=b2056907</v>
      </c>
      <c r="D9704" t="s">
        <v>16831</v>
      </c>
      <c r="E9704" t="s">
        <v>30893</v>
      </c>
      <c r="F9704">
        <v>1978</v>
      </c>
      <c r="G9704" t="s">
        <v>14809</v>
      </c>
      <c r="H9704" t="s">
        <v>30894</v>
      </c>
      <c r="J9704" t="s">
        <v>20931</v>
      </c>
      <c r="K9704" s="2" t="str">
        <f>HYPERLINK("http://collections.slsa.sa.gov.au/mpcimg/37000/B36765.htm")</f>
        <v>http://collections.slsa.sa.gov.au/mpcimg/37000/B36765.htm</v>
      </c>
    </row>
    <row r="9705" spans="1:11" x14ac:dyDescent="0.25">
      <c r="A9705" t="s">
        <v>30895</v>
      </c>
      <c r="B9705" s="1" t="str">
        <f>HYPERLINK("https://www.catalog.slsa.sa.gov.au/record=b2056908")</f>
        <v>https://www.catalog.slsa.sa.gov.au/record=b2056908</v>
      </c>
      <c r="C9705" s="1" t="str">
        <f>HYPERLINK("https://www.catalog.slsa.sa.gov.au/xrecord=b2056908")</f>
        <v>https://www.catalog.slsa.sa.gov.au/xrecord=b2056908</v>
      </c>
      <c r="D9705" t="s">
        <v>16831</v>
      </c>
      <c r="E9705" t="s">
        <v>30893</v>
      </c>
      <c r="F9705">
        <v>1978</v>
      </c>
      <c r="G9705" t="s">
        <v>14809</v>
      </c>
      <c r="H9705" t="s">
        <v>30896</v>
      </c>
      <c r="J9705" t="s">
        <v>20931</v>
      </c>
      <c r="K9705" s="2" t="str">
        <f>HYPERLINK("http://collections.slsa.sa.gov.au/mpcimg/37000/B36766.htm")</f>
        <v>http://collections.slsa.sa.gov.au/mpcimg/37000/B36766.htm</v>
      </c>
    </row>
    <row r="9706" spans="1:11" x14ac:dyDescent="0.25">
      <c r="A9706" t="s">
        <v>30897</v>
      </c>
      <c r="B9706" s="1" t="str">
        <f>HYPERLINK("https://www.catalog.slsa.sa.gov.au/record=b2056909")</f>
        <v>https://www.catalog.slsa.sa.gov.au/record=b2056909</v>
      </c>
      <c r="C9706" s="1" t="str">
        <f>HYPERLINK("https://www.catalog.slsa.sa.gov.au/xrecord=b2056909")</f>
        <v>https://www.catalog.slsa.sa.gov.au/xrecord=b2056909</v>
      </c>
      <c r="D9706" t="s">
        <v>16831</v>
      </c>
      <c r="E9706" t="s">
        <v>30893</v>
      </c>
      <c r="F9706">
        <v>1978</v>
      </c>
      <c r="G9706" t="s">
        <v>14809</v>
      </c>
      <c r="H9706" t="s">
        <v>30896</v>
      </c>
      <c r="J9706" t="s">
        <v>20931</v>
      </c>
      <c r="K9706" s="2" t="str">
        <f>HYPERLINK("http://collections.slsa.sa.gov.au/mpcimg/37000/B36767.htm")</f>
        <v>http://collections.slsa.sa.gov.au/mpcimg/37000/B36767.htm</v>
      </c>
    </row>
    <row r="9707" spans="1:11" x14ac:dyDescent="0.25">
      <c r="A9707" t="s">
        <v>30898</v>
      </c>
      <c r="B9707" s="1" t="str">
        <f>HYPERLINK("https://www.catalog.slsa.sa.gov.au/record=b2057084")</f>
        <v>https://www.catalog.slsa.sa.gov.au/record=b2057084</v>
      </c>
      <c r="C9707" s="1" t="str">
        <f>HYPERLINK("https://www.catalog.slsa.sa.gov.au/xrecord=b2057084")</f>
        <v>https://www.catalog.slsa.sa.gov.au/xrecord=b2057084</v>
      </c>
      <c r="D9707" t="s">
        <v>16831</v>
      </c>
      <c r="E9707" t="s">
        <v>16791</v>
      </c>
      <c r="F9707">
        <v>1978</v>
      </c>
      <c r="G9707" t="s">
        <v>14809</v>
      </c>
      <c r="H9707" t="s">
        <v>30899</v>
      </c>
      <c r="J9707" t="s">
        <v>24038</v>
      </c>
      <c r="K9707" s="2" t="str">
        <f>HYPERLINK("http://collections.slsa.sa.gov.au/mpcimg/36750/B36671.htm")</f>
        <v>http://collections.slsa.sa.gov.au/mpcimg/36750/B36671.htm</v>
      </c>
    </row>
    <row r="9708" spans="1:11" x14ac:dyDescent="0.25">
      <c r="A9708" t="s">
        <v>30900</v>
      </c>
      <c r="B9708" s="1" t="str">
        <f>HYPERLINK("https://www.catalog.slsa.sa.gov.au/record=b2057516")</f>
        <v>https://www.catalog.slsa.sa.gov.au/record=b2057516</v>
      </c>
      <c r="C9708" s="1" t="str">
        <f>HYPERLINK("https://www.catalog.slsa.sa.gov.au/xrecord=b2057516")</f>
        <v>https://www.catalog.slsa.sa.gov.au/xrecord=b2057516</v>
      </c>
      <c r="D9708" t="s">
        <v>16831</v>
      </c>
      <c r="E9708" t="s">
        <v>16786</v>
      </c>
      <c r="F9708">
        <v>1978</v>
      </c>
      <c r="G9708" t="s">
        <v>14809</v>
      </c>
      <c r="H9708" t="s">
        <v>30901</v>
      </c>
      <c r="J9708" t="s">
        <v>30902</v>
      </c>
      <c r="K9708" s="2" t="str">
        <f>HYPERLINK("http://collections.slsa.sa.gov.au/mpcimg/37000/B36768.htm")</f>
        <v>http://collections.slsa.sa.gov.au/mpcimg/37000/B36768.htm</v>
      </c>
    </row>
    <row r="9709" spans="1:11" x14ac:dyDescent="0.25">
      <c r="A9709" t="s">
        <v>30903</v>
      </c>
      <c r="B9709" s="1" t="str">
        <f>HYPERLINK("https://www.catalog.slsa.sa.gov.au/record=b2057735")</f>
        <v>https://www.catalog.slsa.sa.gov.au/record=b2057735</v>
      </c>
      <c r="C9709" s="1" t="str">
        <f>HYPERLINK("https://www.catalog.slsa.sa.gov.au/xrecord=b2057735")</f>
        <v>https://www.catalog.slsa.sa.gov.au/xrecord=b2057735</v>
      </c>
      <c r="D9709" t="s">
        <v>16831</v>
      </c>
      <c r="E9709" t="s">
        <v>16791</v>
      </c>
      <c r="F9709">
        <v>1978</v>
      </c>
      <c r="G9709" t="s">
        <v>14809</v>
      </c>
      <c r="H9709" t="s">
        <v>30904</v>
      </c>
      <c r="J9709" t="s">
        <v>29541</v>
      </c>
      <c r="K9709" s="2" t="str">
        <f>HYPERLINK("http://collections.slsa.sa.gov.au/mpcimg/36750/B36638.htm")</f>
        <v>http://collections.slsa.sa.gov.au/mpcimg/36750/B36638.htm</v>
      </c>
    </row>
    <row r="9710" spans="1:11" x14ac:dyDescent="0.25">
      <c r="A9710" t="s">
        <v>30905</v>
      </c>
      <c r="B9710" s="1" t="str">
        <f>HYPERLINK("https://www.catalog.slsa.sa.gov.au/record=b2057736")</f>
        <v>https://www.catalog.slsa.sa.gov.au/record=b2057736</v>
      </c>
      <c r="C9710" s="1" t="str">
        <f>HYPERLINK("https://www.catalog.slsa.sa.gov.au/xrecord=b2057736")</f>
        <v>https://www.catalog.slsa.sa.gov.au/xrecord=b2057736</v>
      </c>
      <c r="D9710" t="s">
        <v>16831</v>
      </c>
      <c r="E9710" t="s">
        <v>16791</v>
      </c>
      <c r="F9710">
        <v>1978</v>
      </c>
      <c r="G9710" t="s">
        <v>14809</v>
      </c>
      <c r="H9710" t="s">
        <v>30906</v>
      </c>
      <c r="J9710" t="s">
        <v>29541</v>
      </c>
      <c r="K9710" s="2" t="str">
        <f>HYPERLINK("http://collections.slsa.sa.gov.au/mpcimg/36750/B36639.htm")</f>
        <v>http://collections.slsa.sa.gov.au/mpcimg/36750/B36639.htm</v>
      </c>
    </row>
    <row r="9711" spans="1:11" x14ac:dyDescent="0.25">
      <c r="A9711" t="s">
        <v>30907</v>
      </c>
      <c r="B9711" s="1" t="str">
        <f>HYPERLINK("https://www.catalog.slsa.sa.gov.au/record=b2058318")</f>
        <v>https://www.catalog.slsa.sa.gov.au/record=b2058318</v>
      </c>
      <c r="C9711" s="1" t="str">
        <f>HYPERLINK("https://www.catalog.slsa.sa.gov.au/xrecord=b2058318")</f>
        <v>https://www.catalog.slsa.sa.gov.au/xrecord=b2058318</v>
      </c>
      <c r="D9711" t="s">
        <v>16831</v>
      </c>
      <c r="E9711" t="s">
        <v>30908</v>
      </c>
      <c r="F9711">
        <v>1978</v>
      </c>
      <c r="G9711" t="s">
        <v>14809</v>
      </c>
      <c r="H9711" t="s">
        <v>30909</v>
      </c>
      <c r="J9711" t="s">
        <v>20976</v>
      </c>
      <c r="K9711" s="2" t="str">
        <f>HYPERLINK("http://collections.slsa.sa.gov.au/mpcimg/36750/B36630.htm")</f>
        <v>http://collections.slsa.sa.gov.au/mpcimg/36750/B36630.htm</v>
      </c>
    </row>
    <row r="9712" spans="1:11" x14ac:dyDescent="0.25">
      <c r="A9712" t="s">
        <v>30910</v>
      </c>
      <c r="B9712" s="1" t="str">
        <f>HYPERLINK("https://www.catalog.slsa.sa.gov.au/record=b2058355")</f>
        <v>https://www.catalog.slsa.sa.gov.au/record=b2058355</v>
      </c>
      <c r="C9712" s="1" t="str">
        <f>HYPERLINK("https://www.catalog.slsa.sa.gov.au/xrecord=b2058355")</f>
        <v>https://www.catalog.slsa.sa.gov.au/xrecord=b2058355</v>
      </c>
      <c r="D9712" t="s">
        <v>16831</v>
      </c>
      <c r="E9712" t="s">
        <v>20970</v>
      </c>
      <c r="F9712">
        <v>1978</v>
      </c>
      <c r="G9712" t="s">
        <v>14809</v>
      </c>
      <c r="H9712" t="s">
        <v>30911</v>
      </c>
      <c r="J9712" t="s">
        <v>25344</v>
      </c>
      <c r="K9712" s="2" t="str">
        <f>HYPERLINK("http://collections.slsa.sa.gov.au/mpcimg/36750/B36704.htm")</f>
        <v>http://collections.slsa.sa.gov.au/mpcimg/36750/B36704.htm</v>
      </c>
    </row>
    <row r="9713" spans="1:11" x14ac:dyDescent="0.25">
      <c r="A9713" t="s">
        <v>30912</v>
      </c>
      <c r="B9713" s="1" t="str">
        <f>HYPERLINK("https://www.catalog.slsa.sa.gov.au/record=b2058356")</f>
        <v>https://www.catalog.slsa.sa.gov.au/record=b2058356</v>
      </c>
      <c r="C9713" s="1" t="str">
        <f>HYPERLINK("https://www.catalog.slsa.sa.gov.au/xrecord=b2058356")</f>
        <v>https://www.catalog.slsa.sa.gov.au/xrecord=b2058356</v>
      </c>
      <c r="D9713" t="s">
        <v>16831</v>
      </c>
      <c r="E9713" t="s">
        <v>20970</v>
      </c>
      <c r="F9713">
        <v>1978</v>
      </c>
      <c r="G9713" t="s">
        <v>14809</v>
      </c>
      <c r="H9713" t="s">
        <v>30913</v>
      </c>
      <c r="J9713" t="s">
        <v>25344</v>
      </c>
      <c r="K9713" s="2" t="str">
        <f>HYPERLINK("http://collections.slsa.sa.gov.au/mpcimg/36750/B36705.htm")</f>
        <v>http://collections.slsa.sa.gov.au/mpcimg/36750/B36705.htm</v>
      </c>
    </row>
    <row r="9714" spans="1:11" x14ac:dyDescent="0.25">
      <c r="A9714" t="s">
        <v>30914</v>
      </c>
      <c r="B9714" s="1" t="str">
        <f>HYPERLINK("https://www.catalog.slsa.sa.gov.au/record=b2058712")</f>
        <v>https://www.catalog.slsa.sa.gov.au/record=b2058712</v>
      </c>
      <c r="C9714" s="1" t="str">
        <f>HYPERLINK("https://www.catalog.slsa.sa.gov.au/xrecord=b2058712")</f>
        <v>https://www.catalog.slsa.sa.gov.au/xrecord=b2058712</v>
      </c>
      <c r="D9714" t="s">
        <v>16831</v>
      </c>
      <c r="E9714" t="s">
        <v>16796</v>
      </c>
      <c r="F9714">
        <v>1978</v>
      </c>
      <c r="G9714" t="s">
        <v>14809</v>
      </c>
      <c r="H9714" t="s">
        <v>30915</v>
      </c>
      <c r="J9714" t="s">
        <v>28388</v>
      </c>
      <c r="K9714" s="2" t="str">
        <f>HYPERLINK("http://collections.slsa.sa.gov.au/mpcimg/36750/B36545.htm")</f>
        <v>http://collections.slsa.sa.gov.au/mpcimg/36750/B36545.htm</v>
      </c>
    </row>
    <row r="9715" spans="1:11" x14ac:dyDescent="0.25">
      <c r="A9715" t="s">
        <v>30916</v>
      </c>
      <c r="B9715" s="1" t="str">
        <f>HYPERLINK("https://www.catalog.slsa.sa.gov.au/record=b2058713")</f>
        <v>https://www.catalog.slsa.sa.gov.au/record=b2058713</v>
      </c>
      <c r="C9715" s="1" t="str">
        <f>HYPERLINK("https://www.catalog.slsa.sa.gov.au/xrecord=b2058713")</f>
        <v>https://www.catalog.slsa.sa.gov.au/xrecord=b2058713</v>
      </c>
      <c r="D9715" t="s">
        <v>16831</v>
      </c>
      <c r="E9715" t="s">
        <v>16796</v>
      </c>
      <c r="F9715">
        <v>1978</v>
      </c>
      <c r="G9715" t="s">
        <v>14809</v>
      </c>
      <c r="H9715" t="s">
        <v>30917</v>
      </c>
      <c r="J9715" t="s">
        <v>28388</v>
      </c>
      <c r="K9715" s="2" t="str">
        <f>HYPERLINK("http://collections.slsa.sa.gov.au/mpcimg/36750/B36546.htm")</f>
        <v>http://collections.slsa.sa.gov.au/mpcimg/36750/B36546.htm</v>
      </c>
    </row>
    <row r="9716" spans="1:11" x14ac:dyDescent="0.25">
      <c r="A9716" t="s">
        <v>30918</v>
      </c>
      <c r="B9716" s="1" t="str">
        <f>HYPERLINK("https://www.catalog.slsa.sa.gov.au/record=b2058714")</f>
        <v>https://www.catalog.slsa.sa.gov.au/record=b2058714</v>
      </c>
      <c r="C9716" s="1" t="str">
        <f>HYPERLINK("https://www.catalog.slsa.sa.gov.au/xrecord=b2058714")</f>
        <v>https://www.catalog.slsa.sa.gov.au/xrecord=b2058714</v>
      </c>
      <c r="D9716" t="s">
        <v>16831</v>
      </c>
      <c r="E9716" t="s">
        <v>16796</v>
      </c>
      <c r="F9716">
        <v>1978</v>
      </c>
      <c r="G9716" t="s">
        <v>14809</v>
      </c>
      <c r="H9716" t="s">
        <v>30919</v>
      </c>
      <c r="J9716" t="s">
        <v>28388</v>
      </c>
      <c r="K9716" s="2" t="str">
        <f>HYPERLINK("http://collections.slsa.sa.gov.au/mpcimg/36750/B36634.htm")</f>
        <v>http://collections.slsa.sa.gov.au/mpcimg/36750/B36634.htm</v>
      </c>
    </row>
    <row r="9717" spans="1:11" x14ac:dyDescent="0.25">
      <c r="A9717" t="s">
        <v>30920</v>
      </c>
      <c r="B9717" s="1" t="str">
        <f>HYPERLINK("https://www.catalog.slsa.sa.gov.au/record=b2058715")</f>
        <v>https://www.catalog.slsa.sa.gov.au/record=b2058715</v>
      </c>
      <c r="C9717" s="1" t="str">
        <f>HYPERLINK("https://www.catalog.slsa.sa.gov.au/xrecord=b2058715")</f>
        <v>https://www.catalog.slsa.sa.gov.au/xrecord=b2058715</v>
      </c>
      <c r="D9717" t="s">
        <v>16831</v>
      </c>
      <c r="E9717" t="s">
        <v>16796</v>
      </c>
      <c r="F9717">
        <v>1978</v>
      </c>
      <c r="G9717" t="s">
        <v>14809</v>
      </c>
      <c r="H9717" t="s">
        <v>30921</v>
      </c>
      <c r="J9717" t="s">
        <v>28388</v>
      </c>
      <c r="K9717" s="2" t="str">
        <f>HYPERLINK("http://collections.slsa.sa.gov.au/mpcimg/36750/B36635.htm")</f>
        <v>http://collections.slsa.sa.gov.au/mpcimg/36750/B36635.htm</v>
      </c>
    </row>
    <row r="9718" spans="1:11" x14ac:dyDescent="0.25">
      <c r="A9718" t="s">
        <v>30922</v>
      </c>
      <c r="B9718" s="1" t="str">
        <f>HYPERLINK("https://www.catalog.slsa.sa.gov.au/record=b2058716")</f>
        <v>https://www.catalog.slsa.sa.gov.au/record=b2058716</v>
      </c>
      <c r="C9718" s="1" t="str">
        <f>HYPERLINK("https://www.catalog.slsa.sa.gov.au/xrecord=b2058716")</f>
        <v>https://www.catalog.slsa.sa.gov.au/xrecord=b2058716</v>
      </c>
      <c r="D9718" t="s">
        <v>16831</v>
      </c>
      <c r="E9718" t="s">
        <v>16796</v>
      </c>
      <c r="F9718">
        <v>1978</v>
      </c>
      <c r="G9718" t="s">
        <v>14809</v>
      </c>
      <c r="H9718" t="s">
        <v>30921</v>
      </c>
      <c r="J9718" t="s">
        <v>28388</v>
      </c>
      <c r="K9718" s="2" t="str">
        <f>HYPERLINK("http://collections.slsa.sa.gov.au/mpcimg/36750/B36636.htm")</f>
        <v>http://collections.slsa.sa.gov.au/mpcimg/36750/B36636.htm</v>
      </c>
    </row>
    <row r="9719" spans="1:11" x14ac:dyDescent="0.25">
      <c r="A9719" t="s">
        <v>30923</v>
      </c>
      <c r="B9719" s="1" t="str">
        <f>HYPERLINK("https://www.catalog.slsa.sa.gov.au/record=b2058717")</f>
        <v>https://www.catalog.slsa.sa.gov.au/record=b2058717</v>
      </c>
      <c r="C9719" s="1" t="str">
        <f>HYPERLINK("https://www.catalog.slsa.sa.gov.au/xrecord=b2058717")</f>
        <v>https://www.catalog.slsa.sa.gov.au/xrecord=b2058717</v>
      </c>
      <c r="D9719" t="s">
        <v>16831</v>
      </c>
      <c r="E9719" t="s">
        <v>16796</v>
      </c>
      <c r="F9719">
        <v>1978</v>
      </c>
      <c r="G9719" t="s">
        <v>14809</v>
      </c>
      <c r="H9719" t="s">
        <v>30921</v>
      </c>
      <c r="J9719" t="s">
        <v>28388</v>
      </c>
      <c r="K9719" s="2" t="str">
        <f>HYPERLINK("http://collections.slsa.sa.gov.au/mpcimg/36750/B36637.htm")</f>
        <v>http://collections.slsa.sa.gov.au/mpcimg/36750/B36637.htm</v>
      </c>
    </row>
    <row r="9720" spans="1:11" x14ac:dyDescent="0.25">
      <c r="A9720" t="s">
        <v>30924</v>
      </c>
      <c r="B9720" s="1" t="str">
        <f>HYPERLINK("https://www.catalog.slsa.sa.gov.au/record=b2059233")</f>
        <v>https://www.catalog.slsa.sa.gov.au/record=b2059233</v>
      </c>
      <c r="C9720" s="1" t="str">
        <f>HYPERLINK("https://www.catalog.slsa.sa.gov.au/xrecord=b2059233")</f>
        <v>https://www.catalog.slsa.sa.gov.au/xrecord=b2059233</v>
      </c>
      <c r="D9720" t="s">
        <v>16831</v>
      </c>
      <c r="E9720" t="s">
        <v>16771</v>
      </c>
      <c r="F9720">
        <v>1978</v>
      </c>
      <c r="G9720" t="s">
        <v>14809</v>
      </c>
      <c r="H9720" t="s">
        <v>30925</v>
      </c>
      <c r="J9720" t="s">
        <v>17190</v>
      </c>
      <c r="K9720" s="2" t="str">
        <f>HYPERLINK("http://collections.slsa.sa.gov.au/mpcimg/36750/B36650.htm")</f>
        <v>http://collections.slsa.sa.gov.au/mpcimg/36750/B36650.htm</v>
      </c>
    </row>
    <row r="9721" spans="1:11" x14ac:dyDescent="0.25">
      <c r="A9721" t="s">
        <v>30926</v>
      </c>
      <c r="B9721" s="1" t="str">
        <f>HYPERLINK("https://www.catalog.slsa.sa.gov.au/record=b2059234")</f>
        <v>https://www.catalog.slsa.sa.gov.au/record=b2059234</v>
      </c>
      <c r="C9721" s="1" t="str">
        <f>HYPERLINK("https://www.catalog.slsa.sa.gov.au/xrecord=b2059234")</f>
        <v>https://www.catalog.slsa.sa.gov.au/xrecord=b2059234</v>
      </c>
      <c r="D9721" t="s">
        <v>16831</v>
      </c>
      <c r="E9721" t="s">
        <v>16771</v>
      </c>
      <c r="F9721">
        <v>1978</v>
      </c>
      <c r="G9721" t="s">
        <v>14809</v>
      </c>
      <c r="H9721" t="s">
        <v>30927</v>
      </c>
      <c r="J9721" t="s">
        <v>17190</v>
      </c>
      <c r="K9721" s="2" t="str">
        <f>HYPERLINK("http://collections.slsa.sa.gov.au/mpcimg/36750/B36651.htm")</f>
        <v>http://collections.slsa.sa.gov.au/mpcimg/36750/B36651.htm</v>
      </c>
    </row>
    <row r="9722" spans="1:11" x14ac:dyDescent="0.25">
      <c r="A9722" t="s">
        <v>30928</v>
      </c>
      <c r="B9722" s="1" t="str">
        <f>HYPERLINK("https://www.catalog.slsa.sa.gov.au/record=b2059263")</f>
        <v>https://www.catalog.slsa.sa.gov.au/record=b2059263</v>
      </c>
      <c r="C9722" s="1" t="str">
        <f>HYPERLINK("https://www.catalog.slsa.sa.gov.au/xrecord=b2059263")</f>
        <v>https://www.catalog.slsa.sa.gov.au/xrecord=b2059263</v>
      </c>
      <c r="D9722" t="s">
        <v>16831</v>
      </c>
      <c r="E9722" t="s">
        <v>28038</v>
      </c>
      <c r="F9722">
        <v>1978</v>
      </c>
      <c r="G9722" t="s">
        <v>22565</v>
      </c>
      <c r="H9722" t="s">
        <v>30929</v>
      </c>
      <c r="J9722" t="s">
        <v>17600</v>
      </c>
      <c r="K9722" s="2" t="str">
        <f>HYPERLINK("http://collections.slsa.sa.gov.au/mpcimg/36500/B36400.htm")</f>
        <v>http://collections.slsa.sa.gov.au/mpcimg/36500/B36400.htm</v>
      </c>
    </row>
    <row r="9723" spans="1:11" x14ac:dyDescent="0.25">
      <c r="A9723" t="s">
        <v>30930</v>
      </c>
      <c r="B9723" s="1" t="str">
        <f>HYPERLINK("https://www.catalog.slsa.sa.gov.au/record=b2059264")</f>
        <v>https://www.catalog.slsa.sa.gov.au/record=b2059264</v>
      </c>
      <c r="C9723" s="1" t="str">
        <f>HYPERLINK("https://www.catalog.slsa.sa.gov.au/xrecord=b2059264")</f>
        <v>https://www.catalog.slsa.sa.gov.au/xrecord=b2059264</v>
      </c>
      <c r="D9723" t="s">
        <v>16831</v>
      </c>
      <c r="E9723" t="s">
        <v>28038</v>
      </c>
      <c r="F9723">
        <v>1978</v>
      </c>
      <c r="G9723" t="s">
        <v>22565</v>
      </c>
      <c r="H9723" t="s">
        <v>30931</v>
      </c>
      <c r="J9723" t="s">
        <v>17600</v>
      </c>
      <c r="K9723" s="2" t="str">
        <f>HYPERLINK("http://collections.slsa.sa.gov.au/mpcimg/36500/B36401.htm")</f>
        <v>http://collections.slsa.sa.gov.au/mpcimg/36500/B36401.htm</v>
      </c>
    </row>
    <row r="9724" spans="1:11" x14ac:dyDescent="0.25">
      <c r="A9724" t="s">
        <v>30932</v>
      </c>
      <c r="B9724" s="1" t="str">
        <f>HYPERLINK("https://www.catalog.slsa.sa.gov.au/record=b2059265")</f>
        <v>https://www.catalog.slsa.sa.gov.au/record=b2059265</v>
      </c>
      <c r="C9724" s="1" t="str">
        <f>HYPERLINK("https://www.catalog.slsa.sa.gov.au/xrecord=b2059265")</f>
        <v>https://www.catalog.slsa.sa.gov.au/xrecord=b2059265</v>
      </c>
      <c r="D9724" t="s">
        <v>16831</v>
      </c>
      <c r="E9724" t="s">
        <v>28038</v>
      </c>
      <c r="F9724">
        <v>1978</v>
      </c>
      <c r="G9724" t="s">
        <v>22565</v>
      </c>
      <c r="H9724" t="s">
        <v>30933</v>
      </c>
      <c r="J9724" t="s">
        <v>17600</v>
      </c>
      <c r="K9724" s="2" t="str">
        <f>HYPERLINK("http://collections.slsa.sa.gov.au/mpcimg/36500/B36402.htm")</f>
        <v>http://collections.slsa.sa.gov.au/mpcimg/36500/B36402.htm</v>
      </c>
    </row>
    <row r="9725" spans="1:11" x14ac:dyDescent="0.25">
      <c r="A9725" t="s">
        <v>30934</v>
      </c>
      <c r="B9725" s="1" t="str">
        <f>HYPERLINK("https://www.catalog.slsa.sa.gov.au/record=b2059602")</f>
        <v>https://www.catalog.slsa.sa.gov.au/record=b2059602</v>
      </c>
      <c r="C9725" s="1" t="str">
        <f>HYPERLINK("https://www.catalog.slsa.sa.gov.au/xrecord=b2059602")</f>
        <v>https://www.catalog.slsa.sa.gov.au/xrecord=b2059602</v>
      </c>
      <c r="D9725" t="s">
        <v>16831</v>
      </c>
      <c r="E9725" t="s">
        <v>22149</v>
      </c>
      <c r="F9725">
        <v>1978</v>
      </c>
      <c r="G9725" t="s">
        <v>14809</v>
      </c>
      <c r="H9725" t="s">
        <v>30935</v>
      </c>
      <c r="J9725" t="s">
        <v>27336</v>
      </c>
      <c r="K9725" s="2" t="str">
        <f>HYPERLINK("http://collections.slsa.sa.gov.au/mpcimg/36750/B36656.htm")</f>
        <v>http://collections.slsa.sa.gov.au/mpcimg/36750/B36656.htm</v>
      </c>
    </row>
    <row r="9726" spans="1:11" x14ac:dyDescent="0.25">
      <c r="A9726" t="s">
        <v>30936</v>
      </c>
      <c r="B9726" s="1" t="str">
        <f>HYPERLINK("https://www.catalog.slsa.sa.gov.au/record=b2059603")</f>
        <v>https://www.catalog.slsa.sa.gov.au/record=b2059603</v>
      </c>
      <c r="C9726" s="1" t="str">
        <f>HYPERLINK("https://www.catalog.slsa.sa.gov.au/xrecord=b2059603")</f>
        <v>https://www.catalog.slsa.sa.gov.au/xrecord=b2059603</v>
      </c>
      <c r="D9726" t="s">
        <v>16831</v>
      </c>
      <c r="E9726" t="s">
        <v>22149</v>
      </c>
      <c r="F9726">
        <v>1978</v>
      </c>
      <c r="G9726" t="s">
        <v>14809</v>
      </c>
      <c r="H9726" t="s">
        <v>30935</v>
      </c>
      <c r="J9726" t="s">
        <v>27336</v>
      </c>
      <c r="K9726" s="2" t="str">
        <f>HYPERLINK("http://collections.slsa.sa.gov.au/mpcimg/36750/B36657.htm")</f>
        <v>http://collections.slsa.sa.gov.au/mpcimg/36750/B36657.htm</v>
      </c>
    </row>
    <row r="9727" spans="1:11" x14ac:dyDescent="0.25">
      <c r="A9727" t="s">
        <v>30937</v>
      </c>
      <c r="B9727" s="1" t="str">
        <f>HYPERLINK("https://www.catalog.slsa.sa.gov.au/record=b2059604")</f>
        <v>https://www.catalog.slsa.sa.gov.au/record=b2059604</v>
      </c>
      <c r="C9727" s="1" t="str">
        <f>HYPERLINK("https://www.catalog.slsa.sa.gov.au/xrecord=b2059604")</f>
        <v>https://www.catalog.slsa.sa.gov.au/xrecord=b2059604</v>
      </c>
      <c r="D9727" t="s">
        <v>16831</v>
      </c>
      <c r="E9727" t="s">
        <v>22149</v>
      </c>
      <c r="F9727">
        <v>1978</v>
      </c>
      <c r="G9727" t="s">
        <v>14809</v>
      </c>
      <c r="H9727" t="s">
        <v>30938</v>
      </c>
      <c r="J9727" t="s">
        <v>27336</v>
      </c>
      <c r="K9727" s="2" t="str">
        <f>HYPERLINK("http://collections.slsa.sa.gov.au/mpcimg/36750/B36658.htm")</f>
        <v>http://collections.slsa.sa.gov.au/mpcimg/36750/B36658.htm</v>
      </c>
    </row>
    <row r="9728" spans="1:11" x14ac:dyDescent="0.25">
      <c r="A9728" t="s">
        <v>30939</v>
      </c>
      <c r="B9728" s="1" t="str">
        <f>HYPERLINK("https://www.catalog.slsa.sa.gov.au/record=b2059605")</f>
        <v>https://www.catalog.slsa.sa.gov.au/record=b2059605</v>
      </c>
      <c r="C9728" s="1" t="str">
        <f>HYPERLINK("https://www.catalog.slsa.sa.gov.au/xrecord=b2059605")</f>
        <v>https://www.catalog.slsa.sa.gov.au/xrecord=b2059605</v>
      </c>
      <c r="D9728" t="s">
        <v>16831</v>
      </c>
      <c r="E9728" t="s">
        <v>22149</v>
      </c>
      <c r="F9728">
        <v>1978</v>
      </c>
      <c r="G9728" t="s">
        <v>14809</v>
      </c>
      <c r="H9728" t="s">
        <v>30938</v>
      </c>
      <c r="J9728" t="s">
        <v>27336</v>
      </c>
      <c r="K9728" s="2" t="str">
        <f>HYPERLINK("http://collections.slsa.sa.gov.au/mpcimg/36750/B36659.htm")</f>
        <v>http://collections.slsa.sa.gov.au/mpcimg/36750/B36659.htm</v>
      </c>
    </row>
    <row r="9729" spans="1:11" x14ac:dyDescent="0.25">
      <c r="A9729" t="s">
        <v>30940</v>
      </c>
      <c r="B9729" s="1" t="str">
        <f>HYPERLINK("https://www.catalog.slsa.sa.gov.au/record=b2059837")</f>
        <v>https://www.catalog.slsa.sa.gov.au/record=b2059837</v>
      </c>
      <c r="C9729" s="1" t="str">
        <f>HYPERLINK("https://www.catalog.slsa.sa.gov.au/xrecord=b2059837")</f>
        <v>https://www.catalog.slsa.sa.gov.au/xrecord=b2059837</v>
      </c>
      <c r="D9729" t="s">
        <v>16831</v>
      </c>
      <c r="E9729" t="s">
        <v>22862</v>
      </c>
      <c r="F9729">
        <v>1978</v>
      </c>
      <c r="G9729" t="s">
        <v>30941</v>
      </c>
      <c r="H9729" t="s">
        <v>30942</v>
      </c>
      <c r="J9729" t="s">
        <v>22864</v>
      </c>
      <c r="K9729" s="2" t="str">
        <f>HYPERLINK("http://collections.slsa.sa.gov.au/mpcimg/36000/B35772.htm")</f>
        <v>http://collections.slsa.sa.gov.au/mpcimg/36000/B35772.htm</v>
      </c>
    </row>
    <row r="9730" spans="1:11" x14ac:dyDescent="0.25">
      <c r="A9730" t="s">
        <v>30943</v>
      </c>
      <c r="B9730" s="1" t="str">
        <f>HYPERLINK("https://www.catalog.slsa.sa.gov.au/record=b2059838")</f>
        <v>https://www.catalog.slsa.sa.gov.au/record=b2059838</v>
      </c>
      <c r="C9730" s="1" t="str">
        <f>HYPERLINK("https://www.catalog.slsa.sa.gov.au/xrecord=b2059838")</f>
        <v>https://www.catalog.slsa.sa.gov.au/xrecord=b2059838</v>
      </c>
      <c r="D9730" t="s">
        <v>16831</v>
      </c>
      <c r="E9730" t="s">
        <v>22862</v>
      </c>
      <c r="F9730">
        <v>1978</v>
      </c>
      <c r="G9730" t="s">
        <v>30944</v>
      </c>
      <c r="H9730" t="s">
        <v>30945</v>
      </c>
      <c r="J9730" t="s">
        <v>22864</v>
      </c>
      <c r="K9730" s="2" t="str">
        <f>HYPERLINK("http://collections.slsa.sa.gov.au/mpcimg/36000/B35773.htm")</f>
        <v>http://collections.slsa.sa.gov.au/mpcimg/36000/B35773.htm</v>
      </c>
    </row>
    <row r="9731" spans="1:11" x14ac:dyDescent="0.25">
      <c r="A9731" t="s">
        <v>30946</v>
      </c>
      <c r="B9731" s="1" t="str">
        <f>HYPERLINK("https://www.catalog.slsa.sa.gov.au/record=b2059839")</f>
        <v>https://www.catalog.slsa.sa.gov.au/record=b2059839</v>
      </c>
      <c r="C9731" s="1" t="str">
        <f>HYPERLINK("https://www.catalog.slsa.sa.gov.au/xrecord=b2059839")</f>
        <v>https://www.catalog.slsa.sa.gov.au/xrecord=b2059839</v>
      </c>
      <c r="D9731" t="s">
        <v>16831</v>
      </c>
      <c r="E9731" t="s">
        <v>22862</v>
      </c>
      <c r="F9731">
        <v>1978</v>
      </c>
      <c r="G9731" t="s">
        <v>30947</v>
      </c>
      <c r="H9731" t="s">
        <v>30945</v>
      </c>
      <c r="J9731" t="s">
        <v>22864</v>
      </c>
      <c r="K9731" s="2" t="str">
        <f>HYPERLINK("http://collections.slsa.sa.gov.au/mpcimg/36000/B35774.htm")</f>
        <v>http://collections.slsa.sa.gov.au/mpcimg/36000/B35774.htm</v>
      </c>
    </row>
    <row r="9732" spans="1:11" x14ac:dyDescent="0.25">
      <c r="A9732" t="s">
        <v>30948</v>
      </c>
      <c r="B9732" s="1" t="str">
        <f>HYPERLINK("https://www.catalog.slsa.sa.gov.au/record=b2059849")</f>
        <v>https://www.catalog.slsa.sa.gov.au/record=b2059849</v>
      </c>
      <c r="C9732" s="1" t="str">
        <f>HYPERLINK("https://www.catalog.slsa.sa.gov.au/xrecord=b2059849")</f>
        <v>https://www.catalog.slsa.sa.gov.au/xrecord=b2059849</v>
      </c>
      <c r="D9732" t="s">
        <v>16831</v>
      </c>
      <c r="E9732" t="s">
        <v>22862</v>
      </c>
      <c r="F9732">
        <v>1978</v>
      </c>
      <c r="G9732" t="s">
        <v>30695</v>
      </c>
      <c r="H9732" t="s">
        <v>30949</v>
      </c>
      <c r="J9732" t="s">
        <v>30734</v>
      </c>
      <c r="K9732" s="2" t="str">
        <f>HYPERLINK("http://collections.slsa.sa.gov.au/mpcimg/35250/B35238.htm")</f>
        <v>http://collections.slsa.sa.gov.au/mpcimg/35250/B35238.htm</v>
      </c>
    </row>
    <row r="9733" spans="1:11" x14ac:dyDescent="0.25">
      <c r="A9733" t="s">
        <v>30950</v>
      </c>
      <c r="B9733" s="1" t="str">
        <f>HYPERLINK("https://www.catalog.slsa.sa.gov.au/record=b2059850")</f>
        <v>https://www.catalog.slsa.sa.gov.au/record=b2059850</v>
      </c>
      <c r="C9733" s="1" t="str">
        <f>HYPERLINK("https://www.catalog.slsa.sa.gov.au/xrecord=b2059850")</f>
        <v>https://www.catalog.slsa.sa.gov.au/xrecord=b2059850</v>
      </c>
      <c r="D9733" t="s">
        <v>16831</v>
      </c>
      <c r="E9733" t="s">
        <v>22862</v>
      </c>
      <c r="F9733">
        <v>1978</v>
      </c>
      <c r="G9733" t="s">
        <v>30695</v>
      </c>
      <c r="H9733" t="s">
        <v>30951</v>
      </c>
      <c r="J9733" t="s">
        <v>30734</v>
      </c>
      <c r="K9733" s="2" t="str">
        <f>HYPERLINK("http://collections.slsa.sa.gov.au/mpcimg/35250/B35239.htm")</f>
        <v>http://collections.slsa.sa.gov.au/mpcimg/35250/B35239.htm</v>
      </c>
    </row>
    <row r="9734" spans="1:11" x14ac:dyDescent="0.25">
      <c r="A9734" t="s">
        <v>30952</v>
      </c>
      <c r="B9734" s="1" t="str">
        <f>HYPERLINK("https://www.catalog.slsa.sa.gov.au/record=b2059851")</f>
        <v>https://www.catalog.slsa.sa.gov.au/record=b2059851</v>
      </c>
      <c r="C9734" s="1" t="str">
        <f>HYPERLINK("https://www.catalog.slsa.sa.gov.au/xrecord=b2059851")</f>
        <v>https://www.catalog.slsa.sa.gov.au/xrecord=b2059851</v>
      </c>
      <c r="D9734" t="s">
        <v>16831</v>
      </c>
      <c r="E9734" t="s">
        <v>30953</v>
      </c>
      <c r="F9734">
        <v>1978</v>
      </c>
      <c r="G9734" t="s">
        <v>30695</v>
      </c>
      <c r="H9734" t="s">
        <v>30954</v>
      </c>
      <c r="J9734" t="s">
        <v>30734</v>
      </c>
      <c r="K9734" s="2" t="str">
        <f>HYPERLINK("http://collections.slsa.sa.gov.au/mpcimg/35500/B35393.htm")</f>
        <v>http://collections.slsa.sa.gov.au/mpcimg/35500/B35393.htm</v>
      </c>
    </row>
    <row r="9735" spans="1:11" x14ac:dyDescent="0.25">
      <c r="A9735" t="s">
        <v>30955</v>
      </c>
      <c r="B9735" s="1" t="str">
        <f>HYPERLINK("https://www.catalog.slsa.sa.gov.au/record=b2059893")</f>
        <v>https://www.catalog.slsa.sa.gov.au/record=b2059893</v>
      </c>
      <c r="C9735" s="1" t="str">
        <f>HYPERLINK("https://www.catalog.slsa.sa.gov.au/xrecord=b2059893")</f>
        <v>https://www.catalog.slsa.sa.gov.au/xrecord=b2059893</v>
      </c>
      <c r="D9735" t="s">
        <v>16831</v>
      </c>
      <c r="E9735" t="s">
        <v>21046</v>
      </c>
      <c r="F9735">
        <v>1978</v>
      </c>
      <c r="G9735" t="s">
        <v>27663</v>
      </c>
      <c r="H9735" t="s">
        <v>30956</v>
      </c>
      <c r="J9735" t="s">
        <v>21044</v>
      </c>
      <c r="K9735" s="2" t="str">
        <f>HYPERLINK("http://collections.slsa.sa.gov.au/mpcimg/35250/B35124.htm")</f>
        <v>http://collections.slsa.sa.gov.au/mpcimg/35250/B35124.htm</v>
      </c>
    </row>
    <row r="9736" spans="1:11" x14ac:dyDescent="0.25">
      <c r="A9736" t="s">
        <v>30957</v>
      </c>
      <c r="B9736" s="1" t="str">
        <f>HYPERLINK("https://www.catalog.slsa.sa.gov.au/record=b2059894")</f>
        <v>https://www.catalog.slsa.sa.gov.au/record=b2059894</v>
      </c>
      <c r="C9736" s="1" t="str">
        <f>HYPERLINK("https://www.catalog.slsa.sa.gov.au/xrecord=b2059894")</f>
        <v>https://www.catalog.slsa.sa.gov.au/xrecord=b2059894</v>
      </c>
      <c r="D9736" t="s">
        <v>16831</v>
      </c>
      <c r="E9736" t="s">
        <v>30958</v>
      </c>
      <c r="F9736">
        <v>1978</v>
      </c>
      <c r="G9736" t="s">
        <v>30959</v>
      </c>
      <c r="H9736" t="s">
        <v>30960</v>
      </c>
      <c r="J9736" t="s">
        <v>21044</v>
      </c>
      <c r="K9736" s="2" t="str">
        <f>HYPERLINK("http://collections.slsa.sa.gov.au/mpcimg/35250/B35125.htm")</f>
        <v>http://collections.slsa.sa.gov.au/mpcimg/35250/B35125.htm</v>
      </c>
    </row>
    <row r="9737" spans="1:11" x14ac:dyDescent="0.25">
      <c r="A9737" t="s">
        <v>30961</v>
      </c>
      <c r="B9737" s="1" t="str">
        <f>HYPERLINK("https://www.catalog.slsa.sa.gov.au/record=b2060166")</f>
        <v>https://www.catalog.slsa.sa.gov.au/record=b2060166</v>
      </c>
      <c r="C9737" s="1" t="str">
        <f>HYPERLINK("https://www.catalog.slsa.sa.gov.au/xrecord=b2060166")</f>
        <v>https://www.catalog.slsa.sa.gov.au/xrecord=b2060166</v>
      </c>
      <c r="D9737" t="s">
        <v>16831</v>
      </c>
      <c r="E9737" t="s">
        <v>21061</v>
      </c>
      <c r="F9737">
        <v>1978</v>
      </c>
      <c r="G9737" t="s">
        <v>14809</v>
      </c>
      <c r="H9737" t="s">
        <v>30962</v>
      </c>
      <c r="J9737" t="s">
        <v>26330</v>
      </c>
      <c r="K9737" s="2" t="str">
        <f>HYPERLINK("http://collections.slsa.sa.gov.au/mpcimg/37000/B36774.htm")</f>
        <v>http://collections.slsa.sa.gov.au/mpcimg/37000/B36774.htm</v>
      </c>
    </row>
    <row r="9738" spans="1:11" x14ac:dyDescent="0.25">
      <c r="A9738" t="s">
        <v>30963</v>
      </c>
      <c r="B9738" s="1" t="str">
        <f>HYPERLINK("https://www.catalog.slsa.sa.gov.au/record=b2060167")</f>
        <v>https://www.catalog.slsa.sa.gov.au/record=b2060167</v>
      </c>
      <c r="C9738" s="1" t="str">
        <f>HYPERLINK("https://www.catalog.slsa.sa.gov.au/xrecord=b2060167")</f>
        <v>https://www.catalog.slsa.sa.gov.au/xrecord=b2060167</v>
      </c>
      <c r="D9738" t="s">
        <v>16831</v>
      </c>
      <c r="E9738" t="s">
        <v>21061</v>
      </c>
      <c r="F9738">
        <v>1978</v>
      </c>
      <c r="G9738" t="s">
        <v>15147</v>
      </c>
      <c r="H9738" t="s">
        <v>30962</v>
      </c>
      <c r="J9738" t="s">
        <v>26330</v>
      </c>
      <c r="K9738" s="2" t="str">
        <f>HYPERLINK("http://collections.slsa.sa.gov.au/mpcimg/37000/B36775.htm")</f>
        <v>http://collections.slsa.sa.gov.au/mpcimg/37000/B36775.htm</v>
      </c>
    </row>
    <row r="9739" spans="1:11" x14ac:dyDescent="0.25">
      <c r="A9739" t="s">
        <v>30964</v>
      </c>
      <c r="B9739" s="1" t="str">
        <f>HYPERLINK("https://www.catalog.slsa.sa.gov.au/record=b2060168")</f>
        <v>https://www.catalog.slsa.sa.gov.au/record=b2060168</v>
      </c>
      <c r="C9739" s="1" t="str">
        <f>HYPERLINK("https://www.catalog.slsa.sa.gov.au/xrecord=b2060168")</f>
        <v>https://www.catalog.slsa.sa.gov.au/xrecord=b2060168</v>
      </c>
      <c r="D9739" t="s">
        <v>16831</v>
      </c>
      <c r="E9739" t="s">
        <v>21061</v>
      </c>
      <c r="F9739">
        <v>1978</v>
      </c>
      <c r="G9739" t="s">
        <v>15147</v>
      </c>
      <c r="H9739" t="s">
        <v>30962</v>
      </c>
      <c r="J9739" t="s">
        <v>26330</v>
      </c>
      <c r="K9739" s="2" t="str">
        <f>HYPERLINK("http://collections.slsa.sa.gov.au/mpcimg/37000/B36776.htm")</f>
        <v>http://collections.slsa.sa.gov.au/mpcimg/37000/B36776.htm</v>
      </c>
    </row>
    <row r="9740" spans="1:11" x14ac:dyDescent="0.25">
      <c r="A9740" t="s">
        <v>30965</v>
      </c>
      <c r="B9740" s="1" t="str">
        <f>HYPERLINK("https://www.catalog.slsa.sa.gov.au/record=b2060169")</f>
        <v>https://www.catalog.slsa.sa.gov.au/record=b2060169</v>
      </c>
      <c r="C9740" s="1" t="str">
        <f>HYPERLINK("https://www.catalog.slsa.sa.gov.au/xrecord=b2060169")</f>
        <v>https://www.catalog.slsa.sa.gov.au/xrecord=b2060169</v>
      </c>
      <c r="D9740" t="s">
        <v>16831</v>
      </c>
      <c r="E9740" t="s">
        <v>21061</v>
      </c>
      <c r="F9740">
        <v>1978</v>
      </c>
      <c r="G9740" t="s">
        <v>15147</v>
      </c>
      <c r="H9740" t="s">
        <v>30966</v>
      </c>
      <c r="J9740" t="s">
        <v>26330</v>
      </c>
      <c r="K9740" s="2" t="str">
        <f>HYPERLINK("http://collections.slsa.sa.gov.au/mpcimg/37000/B36777.htm")</f>
        <v>http://collections.slsa.sa.gov.au/mpcimg/37000/B36777.htm</v>
      </c>
    </row>
    <row r="9741" spans="1:11" x14ac:dyDescent="0.25">
      <c r="A9741" t="s">
        <v>30967</v>
      </c>
      <c r="B9741" s="1" t="str">
        <f>HYPERLINK("https://www.catalog.slsa.sa.gov.au/record=b2060175")</f>
        <v>https://www.catalog.slsa.sa.gov.au/record=b2060175</v>
      </c>
      <c r="C9741" s="1" t="str">
        <f>HYPERLINK("https://www.catalog.slsa.sa.gov.au/xrecord=b2060175")</f>
        <v>https://www.catalog.slsa.sa.gov.au/xrecord=b2060175</v>
      </c>
      <c r="D9741" t="s">
        <v>16831</v>
      </c>
      <c r="E9741" t="s">
        <v>21061</v>
      </c>
      <c r="F9741">
        <v>1978</v>
      </c>
      <c r="G9741" t="s">
        <v>14771</v>
      </c>
      <c r="H9741" t="s">
        <v>30968</v>
      </c>
      <c r="J9741" t="s">
        <v>21066</v>
      </c>
      <c r="K9741" s="2" t="str">
        <f>HYPERLINK("http://collections.slsa.sa.gov.au/mpcimg/35250/B35118.htm")</f>
        <v>http://collections.slsa.sa.gov.au/mpcimg/35250/B35118.htm</v>
      </c>
    </row>
    <row r="9742" spans="1:11" x14ac:dyDescent="0.25">
      <c r="A9742" t="s">
        <v>30969</v>
      </c>
      <c r="B9742" s="1" t="str">
        <f>HYPERLINK("https://www.catalog.slsa.sa.gov.au/record=b2060176")</f>
        <v>https://www.catalog.slsa.sa.gov.au/record=b2060176</v>
      </c>
      <c r="C9742" s="1" t="str">
        <f>HYPERLINK("https://www.catalog.slsa.sa.gov.au/xrecord=b2060176")</f>
        <v>https://www.catalog.slsa.sa.gov.au/xrecord=b2060176</v>
      </c>
      <c r="D9742" t="s">
        <v>16831</v>
      </c>
      <c r="E9742" t="s">
        <v>21061</v>
      </c>
      <c r="F9742">
        <v>1978</v>
      </c>
      <c r="G9742" t="s">
        <v>30959</v>
      </c>
      <c r="H9742" t="s">
        <v>30970</v>
      </c>
      <c r="J9742" t="s">
        <v>21066</v>
      </c>
      <c r="K9742" s="2" t="str">
        <f>HYPERLINK("http://collections.slsa.sa.gov.au/mpcimg/35250/B35119.htm")</f>
        <v>http://collections.slsa.sa.gov.au/mpcimg/35250/B35119.htm</v>
      </c>
    </row>
    <row r="9743" spans="1:11" x14ac:dyDescent="0.25">
      <c r="A9743" t="s">
        <v>30971</v>
      </c>
      <c r="B9743" s="1" t="str">
        <f>HYPERLINK("https://www.catalog.slsa.sa.gov.au/record=b2060177")</f>
        <v>https://www.catalog.slsa.sa.gov.au/record=b2060177</v>
      </c>
      <c r="C9743" s="1" t="str">
        <f>HYPERLINK("https://www.catalog.slsa.sa.gov.au/xrecord=b2060177")</f>
        <v>https://www.catalog.slsa.sa.gov.au/xrecord=b2060177</v>
      </c>
      <c r="D9743" t="s">
        <v>16831</v>
      </c>
      <c r="E9743" t="s">
        <v>21061</v>
      </c>
      <c r="F9743">
        <v>1978</v>
      </c>
      <c r="G9743" t="s">
        <v>30692</v>
      </c>
      <c r="H9743" t="s">
        <v>30970</v>
      </c>
      <c r="J9743" t="s">
        <v>21066</v>
      </c>
      <c r="K9743" s="2" t="str">
        <f>HYPERLINK("http://collections.slsa.sa.gov.au/mpcimg/35250/B35120.htm")</f>
        <v>http://collections.slsa.sa.gov.au/mpcimg/35250/B35120.htm</v>
      </c>
    </row>
    <row r="9744" spans="1:11" x14ac:dyDescent="0.25">
      <c r="A9744" t="s">
        <v>30972</v>
      </c>
      <c r="B9744" s="1" t="str">
        <f>HYPERLINK("https://www.catalog.slsa.sa.gov.au/record=b2060178")</f>
        <v>https://www.catalog.slsa.sa.gov.au/record=b2060178</v>
      </c>
      <c r="C9744" s="1" t="str">
        <f>HYPERLINK("https://www.catalog.slsa.sa.gov.au/xrecord=b2060178")</f>
        <v>https://www.catalog.slsa.sa.gov.au/xrecord=b2060178</v>
      </c>
      <c r="D9744" t="s">
        <v>16831</v>
      </c>
      <c r="E9744" t="s">
        <v>21061</v>
      </c>
      <c r="F9744">
        <v>1978</v>
      </c>
      <c r="G9744" t="s">
        <v>30959</v>
      </c>
      <c r="H9744" t="s">
        <v>30973</v>
      </c>
      <c r="J9744" t="s">
        <v>21066</v>
      </c>
      <c r="K9744" s="2" t="str">
        <f>HYPERLINK("http://collections.slsa.sa.gov.au/mpcimg/35250/B35121.htm")</f>
        <v>http://collections.slsa.sa.gov.au/mpcimg/35250/B35121.htm</v>
      </c>
    </row>
    <row r="9745" spans="1:11" x14ac:dyDescent="0.25">
      <c r="A9745" t="s">
        <v>30974</v>
      </c>
      <c r="B9745" s="1" t="str">
        <f>HYPERLINK("https://www.catalog.slsa.sa.gov.au/record=b2060179")</f>
        <v>https://www.catalog.slsa.sa.gov.au/record=b2060179</v>
      </c>
      <c r="C9745" s="1" t="str">
        <f>HYPERLINK("https://www.catalog.slsa.sa.gov.au/xrecord=b2060179")</f>
        <v>https://www.catalog.slsa.sa.gov.au/xrecord=b2060179</v>
      </c>
      <c r="D9745" t="s">
        <v>16831</v>
      </c>
      <c r="E9745" t="s">
        <v>29584</v>
      </c>
      <c r="F9745">
        <v>1978</v>
      </c>
      <c r="G9745" t="s">
        <v>14809</v>
      </c>
      <c r="H9745" t="s">
        <v>30975</v>
      </c>
      <c r="J9745" t="s">
        <v>21066</v>
      </c>
      <c r="K9745" s="2" t="str">
        <f>HYPERLINK("http://collections.slsa.sa.gov.au/mpcimg/37000/B36778.htm")</f>
        <v>http://collections.slsa.sa.gov.au/mpcimg/37000/B36778.htm</v>
      </c>
    </row>
    <row r="9746" spans="1:11" x14ac:dyDescent="0.25">
      <c r="A9746" t="s">
        <v>30976</v>
      </c>
      <c r="B9746" s="1" t="str">
        <f>HYPERLINK("https://www.catalog.slsa.sa.gov.au/record=b2060180")</f>
        <v>https://www.catalog.slsa.sa.gov.au/record=b2060180</v>
      </c>
      <c r="C9746" s="1" t="str">
        <f>HYPERLINK("https://www.catalog.slsa.sa.gov.au/xrecord=b2060180")</f>
        <v>https://www.catalog.slsa.sa.gov.au/xrecord=b2060180</v>
      </c>
      <c r="D9746" t="s">
        <v>16831</v>
      </c>
      <c r="E9746" t="s">
        <v>21061</v>
      </c>
      <c r="F9746">
        <v>1978</v>
      </c>
      <c r="G9746" t="s">
        <v>14809</v>
      </c>
      <c r="H9746" t="s">
        <v>30975</v>
      </c>
      <c r="J9746" t="s">
        <v>21066</v>
      </c>
      <c r="K9746" s="2" t="str">
        <f>HYPERLINK("http://collections.slsa.sa.gov.au/mpcimg/37000/B36779.htm")</f>
        <v>http://collections.slsa.sa.gov.au/mpcimg/37000/B36779.htm</v>
      </c>
    </row>
    <row r="9747" spans="1:11" x14ac:dyDescent="0.25">
      <c r="A9747" t="s">
        <v>30977</v>
      </c>
      <c r="B9747" s="1" t="str">
        <f>HYPERLINK("https://www.catalog.slsa.sa.gov.au/record=b2060454")</f>
        <v>https://www.catalog.slsa.sa.gov.au/record=b2060454</v>
      </c>
      <c r="C9747" s="1" t="str">
        <f>HYPERLINK("https://www.catalog.slsa.sa.gov.au/xrecord=b2060454")</f>
        <v>https://www.catalog.slsa.sa.gov.au/xrecord=b2060454</v>
      </c>
      <c r="D9747" t="s">
        <v>16831</v>
      </c>
      <c r="E9747" t="s">
        <v>21061</v>
      </c>
      <c r="F9747">
        <v>1978</v>
      </c>
      <c r="G9747" t="s">
        <v>14809</v>
      </c>
      <c r="H9747" t="s">
        <v>30978</v>
      </c>
      <c r="J9747" t="s">
        <v>21078</v>
      </c>
      <c r="K9747" s="2" t="str">
        <f>HYPERLINK("http://collections.slsa.sa.gov.au/mpcimg/36750/B36660.htm")</f>
        <v>http://collections.slsa.sa.gov.au/mpcimg/36750/B36660.htm</v>
      </c>
    </row>
    <row r="9748" spans="1:11" x14ac:dyDescent="0.25">
      <c r="A9748" t="s">
        <v>30979</v>
      </c>
      <c r="B9748" s="1" t="str">
        <f>HYPERLINK("https://www.catalog.slsa.sa.gov.au/record=b2060456")</f>
        <v>https://www.catalog.slsa.sa.gov.au/record=b2060456</v>
      </c>
      <c r="C9748" s="1" t="str">
        <f>HYPERLINK("https://www.catalog.slsa.sa.gov.au/xrecord=b2060456")</f>
        <v>https://www.catalog.slsa.sa.gov.au/xrecord=b2060456</v>
      </c>
      <c r="D9748" t="s">
        <v>16831</v>
      </c>
      <c r="E9748" t="s">
        <v>21061</v>
      </c>
      <c r="F9748">
        <v>1978</v>
      </c>
      <c r="G9748" t="s">
        <v>14809</v>
      </c>
      <c r="H9748" t="s">
        <v>30978</v>
      </c>
      <c r="J9748" t="s">
        <v>21078</v>
      </c>
      <c r="K9748" s="2" t="str">
        <f>HYPERLINK("http://collections.slsa.sa.gov.au/mpcimg/36750/B36662.htm")</f>
        <v>http://collections.slsa.sa.gov.au/mpcimg/36750/B36662.htm</v>
      </c>
    </row>
    <row r="9749" spans="1:11" x14ac:dyDescent="0.25">
      <c r="A9749" t="s">
        <v>30980</v>
      </c>
      <c r="B9749" s="1" t="str">
        <f>HYPERLINK("https://www.catalog.slsa.sa.gov.au/record=b2060541")</f>
        <v>https://www.catalog.slsa.sa.gov.au/record=b2060541</v>
      </c>
      <c r="C9749" s="1" t="str">
        <f>HYPERLINK("https://www.catalog.slsa.sa.gov.au/xrecord=b2060541")</f>
        <v>https://www.catalog.slsa.sa.gov.au/xrecord=b2060541</v>
      </c>
      <c r="D9749" t="s">
        <v>16831</v>
      </c>
      <c r="E9749" t="s">
        <v>20100</v>
      </c>
      <c r="F9749">
        <v>1978</v>
      </c>
      <c r="G9749" t="s">
        <v>14809</v>
      </c>
      <c r="H9749" t="s">
        <v>30981</v>
      </c>
      <c r="J9749" t="s">
        <v>22871</v>
      </c>
      <c r="K9749" s="2" t="str">
        <f>HYPERLINK("http://collections.slsa.sa.gov.au/mpcimg/36750/B36553.htm")</f>
        <v>http://collections.slsa.sa.gov.au/mpcimg/36750/B36553.htm</v>
      </c>
    </row>
    <row r="9750" spans="1:11" x14ac:dyDescent="0.25">
      <c r="A9750" t="s">
        <v>30982</v>
      </c>
      <c r="B9750" s="1" t="str">
        <f>HYPERLINK("https://www.catalog.slsa.sa.gov.au/record=b2060542")</f>
        <v>https://www.catalog.slsa.sa.gov.au/record=b2060542</v>
      </c>
      <c r="C9750" s="1" t="str">
        <f>HYPERLINK("https://www.catalog.slsa.sa.gov.au/xrecord=b2060542")</f>
        <v>https://www.catalog.slsa.sa.gov.au/xrecord=b2060542</v>
      </c>
      <c r="D9750" t="s">
        <v>16831</v>
      </c>
      <c r="E9750" t="s">
        <v>20100</v>
      </c>
      <c r="F9750">
        <v>1978</v>
      </c>
      <c r="G9750" t="s">
        <v>14809</v>
      </c>
      <c r="H9750" t="s">
        <v>30983</v>
      </c>
      <c r="J9750" t="s">
        <v>22871</v>
      </c>
      <c r="K9750" s="2" t="str">
        <f>HYPERLINK("http://collections.slsa.sa.gov.au/mpcimg/36750/B36554.htm")</f>
        <v>http://collections.slsa.sa.gov.au/mpcimg/36750/B36554.htm</v>
      </c>
    </row>
    <row r="9751" spans="1:11" x14ac:dyDescent="0.25">
      <c r="A9751" t="s">
        <v>30984</v>
      </c>
      <c r="B9751" s="1" t="str">
        <f>HYPERLINK("https://www.catalog.slsa.sa.gov.au/record=b2060543")</f>
        <v>https://www.catalog.slsa.sa.gov.au/record=b2060543</v>
      </c>
      <c r="C9751" s="1" t="str">
        <f>HYPERLINK("https://www.catalog.slsa.sa.gov.au/xrecord=b2060543")</f>
        <v>https://www.catalog.slsa.sa.gov.au/xrecord=b2060543</v>
      </c>
      <c r="D9751" t="s">
        <v>16831</v>
      </c>
      <c r="E9751" t="s">
        <v>20100</v>
      </c>
      <c r="F9751">
        <v>1978</v>
      </c>
      <c r="G9751" t="s">
        <v>14809</v>
      </c>
      <c r="H9751" t="s">
        <v>30985</v>
      </c>
      <c r="J9751" t="s">
        <v>22871</v>
      </c>
      <c r="K9751" s="2" t="str">
        <f>HYPERLINK("http://collections.slsa.sa.gov.au/mpcimg/36750/B36555.htm")</f>
        <v>http://collections.slsa.sa.gov.au/mpcimg/36750/B36555.htm</v>
      </c>
    </row>
    <row r="9752" spans="1:11" x14ac:dyDescent="0.25">
      <c r="A9752" t="s">
        <v>30986</v>
      </c>
      <c r="B9752" s="1" t="str">
        <f>HYPERLINK("https://www.catalog.slsa.sa.gov.au/record=b2060802")</f>
        <v>https://www.catalog.slsa.sa.gov.au/record=b2060802</v>
      </c>
      <c r="C9752" s="1" t="str">
        <f>HYPERLINK("https://www.catalog.slsa.sa.gov.au/xrecord=b2060802")</f>
        <v>https://www.catalog.slsa.sa.gov.au/xrecord=b2060802</v>
      </c>
      <c r="D9752" t="s">
        <v>16831</v>
      </c>
      <c r="E9752" t="s">
        <v>30397</v>
      </c>
      <c r="F9752">
        <v>1978</v>
      </c>
      <c r="G9752" t="s">
        <v>14809</v>
      </c>
      <c r="H9752" t="s">
        <v>30987</v>
      </c>
      <c r="J9752" t="s">
        <v>30988</v>
      </c>
      <c r="K9752" s="2" t="str">
        <f>HYPERLINK("http://collections.slsa.sa.gov.au/mpcimg/36750/B36695.htm")</f>
        <v>http://collections.slsa.sa.gov.au/mpcimg/36750/B36695.htm</v>
      </c>
    </row>
    <row r="9753" spans="1:11" x14ac:dyDescent="0.25">
      <c r="A9753" t="s">
        <v>30989</v>
      </c>
      <c r="B9753" s="1" t="str">
        <f>HYPERLINK("https://www.catalog.slsa.sa.gov.au/record=b2060840")</f>
        <v>https://www.catalog.slsa.sa.gov.au/record=b2060840</v>
      </c>
      <c r="C9753" s="1" t="str">
        <f>HYPERLINK("https://www.catalog.slsa.sa.gov.au/xrecord=b2060840")</f>
        <v>https://www.catalog.slsa.sa.gov.au/xrecord=b2060840</v>
      </c>
      <c r="D9753" t="s">
        <v>16831</v>
      </c>
      <c r="E9753" t="s">
        <v>30142</v>
      </c>
      <c r="F9753">
        <v>1978</v>
      </c>
      <c r="G9753" t="s">
        <v>14809</v>
      </c>
      <c r="H9753" t="s">
        <v>30990</v>
      </c>
      <c r="J9753" t="s">
        <v>25430</v>
      </c>
      <c r="K9753" s="2" t="str">
        <f>HYPERLINK("http://collections.slsa.sa.gov.au/mpcimg/36250/B36113.htm")</f>
        <v>http://collections.slsa.sa.gov.au/mpcimg/36250/B36113.htm</v>
      </c>
    </row>
    <row r="9754" spans="1:11" x14ac:dyDescent="0.25">
      <c r="A9754" t="s">
        <v>30991</v>
      </c>
      <c r="B9754" s="1" t="str">
        <f>HYPERLINK("https://www.catalog.slsa.sa.gov.au/record=b2060841")</f>
        <v>https://www.catalog.slsa.sa.gov.au/record=b2060841</v>
      </c>
      <c r="C9754" s="1" t="str">
        <f>HYPERLINK("https://www.catalog.slsa.sa.gov.au/xrecord=b2060841")</f>
        <v>https://www.catalog.slsa.sa.gov.au/xrecord=b2060841</v>
      </c>
      <c r="D9754" t="s">
        <v>16831</v>
      </c>
      <c r="E9754" t="s">
        <v>30142</v>
      </c>
      <c r="F9754">
        <v>1978</v>
      </c>
      <c r="G9754" t="s">
        <v>14809</v>
      </c>
      <c r="H9754" t="s">
        <v>30992</v>
      </c>
      <c r="J9754" t="s">
        <v>25430</v>
      </c>
      <c r="K9754" s="2" t="str">
        <f>HYPERLINK("http://collections.slsa.sa.gov.au/mpcimg/36250/B36114.htm")</f>
        <v>http://collections.slsa.sa.gov.au/mpcimg/36250/B36114.htm</v>
      </c>
    </row>
    <row r="9755" spans="1:11" x14ac:dyDescent="0.25">
      <c r="A9755" t="s">
        <v>30993</v>
      </c>
      <c r="B9755" s="1" t="str">
        <f>HYPERLINK("https://www.catalog.slsa.sa.gov.au/record=b2061068")</f>
        <v>https://www.catalog.slsa.sa.gov.au/record=b2061068</v>
      </c>
      <c r="C9755" s="1" t="str">
        <f>HYPERLINK("https://www.catalog.slsa.sa.gov.au/xrecord=b2061068")</f>
        <v>https://www.catalog.slsa.sa.gov.au/xrecord=b2061068</v>
      </c>
      <c r="D9755" t="s">
        <v>16831</v>
      </c>
      <c r="E9755" t="s">
        <v>21118</v>
      </c>
      <c r="F9755">
        <v>1978</v>
      </c>
      <c r="G9755" t="s">
        <v>14809</v>
      </c>
      <c r="H9755" t="s">
        <v>30994</v>
      </c>
      <c r="J9755" t="s">
        <v>27764</v>
      </c>
      <c r="K9755" s="2" t="str">
        <f>HYPERLINK("http://collections.slsa.sa.gov.au/mpcimg/36750/B36632.htm")</f>
        <v>http://collections.slsa.sa.gov.au/mpcimg/36750/B36632.htm</v>
      </c>
    </row>
    <row r="9756" spans="1:11" x14ac:dyDescent="0.25">
      <c r="A9756" t="s">
        <v>30995</v>
      </c>
      <c r="B9756" s="1" t="str">
        <f>HYPERLINK("https://www.catalog.slsa.sa.gov.au/record=b2061069")</f>
        <v>https://www.catalog.slsa.sa.gov.au/record=b2061069</v>
      </c>
      <c r="C9756" s="1" t="str">
        <f>HYPERLINK("https://www.catalog.slsa.sa.gov.au/xrecord=b2061069")</f>
        <v>https://www.catalog.slsa.sa.gov.au/xrecord=b2061069</v>
      </c>
      <c r="D9756" t="s">
        <v>16831</v>
      </c>
      <c r="E9756" t="s">
        <v>21118</v>
      </c>
      <c r="F9756">
        <v>1978</v>
      </c>
      <c r="G9756" t="s">
        <v>14809</v>
      </c>
      <c r="H9756" t="s">
        <v>30994</v>
      </c>
      <c r="J9756" t="s">
        <v>27764</v>
      </c>
      <c r="K9756" s="2" t="str">
        <f>HYPERLINK("http://collections.slsa.sa.gov.au/mpcimg/36750/B36633.htm")</f>
        <v>http://collections.slsa.sa.gov.au/mpcimg/36750/B36633.htm</v>
      </c>
    </row>
    <row r="9757" spans="1:11" x14ac:dyDescent="0.25">
      <c r="A9757" t="s">
        <v>30996</v>
      </c>
      <c r="B9757" s="1" t="str">
        <f>HYPERLINK("https://www.catalog.slsa.sa.gov.au/record=b2061096")</f>
        <v>https://www.catalog.slsa.sa.gov.au/record=b2061096</v>
      </c>
      <c r="C9757" s="1" t="str">
        <f>HYPERLINK("https://www.catalog.slsa.sa.gov.au/xrecord=b2061096")</f>
        <v>https://www.catalog.slsa.sa.gov.au/xrecord=b2061096</v>
      </c>
      <c r="D9757" t="s">
        <v>16831</v>
      </c>
      <c r="E9757" t="s">
        <v>21118</v>
      </c>
      <c r="F9757">
        <v>1978</v>
      </c>
      <c r="G9757" t="s">
        <v>30997</v>
      </c>
      <c r="H9757" t="s">
        <v>30998</v>
      </c>
      <c r="J9757" t="s">
        <v>24371</v>
      </c>
      <c r="K9757" s="2" t="str">
        <f>HYPERLINK("http://collections.slsa.sa.gov.au/mpcimg/35250/B35223.htm")</f>
        <v>http://collections.slsa.sa.gov.au/mpcimg/35250/B35223.htm</v>
      </c>
    </row>
    <row r="9758" spans="1:11" x14ac:dyDescent="0.25">
      <c r="A9758" t="s">
        <v>30999</v>
      </c>
      <c r="B9758" s="1" t="str">
        <f>HYPERLINK("https://www.catalog.slsa.sa.gov.au/record=b2061097")</f>
        <v>https://www.catalog.slsa.sa.gov.au/record=b2061097</v>
      </c>
      <c r="C9758" s="1" t="str">
        <f>HYPERLINK("https://www.catalog.slsa.sa.gov.au/xrecord=b2061097")</f>
        <v>https://www.catalog.slsa.sa.gov.au/xrecord=b2061097</v>
      </c>
      <c r="D9758" t="s">
        <v>16831</v>
      </c>
      <c r="E9758" t="s">
        <v>21118</v>
      </c>
      <c r="F9758">
        <v>1978</v>
      </c>
      <c r="G9758" t="s">
        <v>31000</v>
      </c>
      <c r="H9758" t="s">
        <v>31001</v>
      </c>
      <c r="J9758" t="s">
        <v>24371</v>
      </c>
      <c r="K9758" s="2" t="str">
        <f>HYPERLINK("http://collections.slsa.sa.gov.au/mpcimg/35250/B35224.htm")</f>
        <v>http://collections.slsa.sa.gov.au/mpcimg/35250/B35224.htm</v>
      </c>
    </row>
    <row r="9759" spans="1:11" x14ac:dyDescent="0.25">
      <c r="A9759" t="s">
        <v>31002</v>
      </c>
      <c r="B9759" s="1" t="str">
        <f>HYPERLINK("https://www.catalog.slsa.sa.gov.au/record=b2061098")</f>
        <v>https://www.catalog.slsa.sa.gov.au/record=b2061098</v>
      </c>
      <c r="C9759" s="1" t="str">
        <f>HYPERLINK("https://www.catalog.slsa.sa.gov.au/xrecord=b2061098")</f>
        <v>https://www.catalog.slsa.sa.gov.au/xrecord=b2061098</v>
      </c>
      <c r="D9759" t="s">
        <v>16831</v>
      </c>
      <c r="E9759" t="s">
        <v>21118</v>
      </c>
      <c r="F9759">
        <v>1978</v>
      </c>
      <c r="G9759" t="s">
        <v>31003</v>
      </c>
      <c r="H9759" t="s">
        <v>31001</v>
      </c>
      <c r="J9759" t="s">
        <v>24371</v>
      </c>
      <c r="K9759" s="2" t="str">
        <f>HYPERLINK("http://collections.slsa.sa.gov.au/mpcimg/35250/B35225.htm")</f>
        <v>http://collections.slsa.sa.gov.au/mpcimg/35250/B35225.htm</v>
      </c>
    </row>
    <row r="9760" spans="1:11" x14ac:dyDescent="0.25">
      <c r="A9760" t="s">
        <v>31004</v>
      </c>
      <c r="B9760" s="1" t="str">
        <f>HYPERLINK("https://www.catalog.slsa.sa.gov.au/record=b2061443")</f>
        <v>https://www.catalog.slsa.sa.gov.au/record=b2061443</v>
      </c>
      <c r="C9760" s="1" t="str">
        <f>HYPERLINK("https://www.catalog.slsa.sa.gov.au/xrecord=b2061443")</f>
        <v>https://www.catalog.slsa.sa.gov.au/xrecord=b2061443</v>
      </c>
      <c r="D9760" t="s">
        <v>16831</v>
      </c>
      <c r="E9760" t="s">
        <v>25471</v>
      </c>
      <c r="F9760">
        <v>1978</v>
      </c>
      <c r="G9760" t="s">
        <v>30959</v>
      </c>
      <c r="H9760" t="s">
        <v>31005</v>
      </c>
      <c r="J9760" t="s">
        <v>28243</v>
      </c>
      <c r="K9760" s="2" t="str">
        <f>HYPERLINK("http://collections.slsa.sa.gov.au/mpcimg/35500/B35402.htm")</f>
        <v>http://collections.slsa.sa.gov.au/mpcimg/35500/B35402.htm</v>
      </c>
    </row>
    <row r="9761" spans="1:11" x14ac:dyDescent="0.25">
      <c r="A9761" t="s">
        <v>31006</v>
      </c>
      <c r="B9761" s="1" t="str">
        <f>HYPERLINK("https://www.catalog.slsa.sa.gov.au/record=b2061446")</f>
        <v>https://www.catalog.slsa.sa.gov.au/record=b2061446</v>
      </c>
      <c r="C9761" s="1" t="str">
        <f>HYPERLINK("https://www.catalog.slsa.sa.gov.au/xrecord=b2061446")</f>
        <v>https://www.catalog.slsa.sa.gov.au/xrecord=b2061446</v>
      </c>
      <c r="D9761" t="s">
        <v>16831</v>
      </c>
      <c r="E9761" t="s">
        <v>25471</v>
      </c>
      <c r="F9761">
        <v>1978</v>
      </c>
      <c r="G9761" t="s">
        <v>27663</v>
      </c>
      <c r="H9761" t="s">
        <v>31007</v>
      </c>
      <c r="J9761" t="s">
        <v>28243</v>
      </c>
      <c r="K9761" s="2" t="str">
        <f>HYPERLINK("http://collections.slsa.sa.gov.au/mpcimg/35500/B35403.htm")</f>
        <v>http://collections.slsa.sa.gov.au/mpcimg/35500/B35403.htm</v>
      </c>
    </row>
    <row r="9762" spans="1:11" x14ac:dyDescent="0.25">
      <c r="A9762" t="s">
        <v>31008</v>
      </c>
      <c r="B9762" s="1" t="str">
        <f>HYPERLINK("https://www.catalog.slsa.sa.gov.au/record=b2061447")</f>
        <v>https://www.catalog.slsa.sa.gov.au/record=b2061447</v>
      </c>
      <c r="C9762" s="1" t="str">
        <f>HYPERLINK("https://www.catalog.slsa.sa.gov.au/xrecord=b2061447")</f>
        <v>https://www.catalog.slsa.sa.gov.au/xrecord=b2061447</v>
      </c>
      <c r="D9762" t="s">
        <v>16831</v>
      </c>
      <c r="E9762" t="s">
        <v>25471</v>
      </c>
      <c r="F9762">
        <v>1978</v>
      </c>
      <c r="G9762" t="s">
        <v>27663</v>
      </c>
      <c r="H9762" t="s">
        <v>31009</v>
      </c>
      <c r="J9762" t="s">
        <v>28243</v>
      </c>
      <c r="K9762" s="2" t="str">
        <f>HYPERLINK("http://collections.slsa.sa.gov.au/mpcimg/35500/B35404.htm")</f>
        <v>http://collections.slsa.sa.gov.au/mpcimg/35500/B35404.htm</v>
      </c>
    </row>
    <row r="9763" spans="1:11" x14ac:dyDescent="0.25">
      <c r="A9763" t="s">
        <v>31010</v>
      </c>
      <c r="B9763" s="1" t="str">
        <f>HYPERLINK("https://www.catalog.slsa.sa.gov.au/record=b2061458")</f>
        <v>https://www.catalog.slsa.sa.gov.au/record=b2061458</v>
      </c>
      <c r="C9763" s="1" t="str">
        <f>HYPERLINK("https://www.catalog.slsa.sa.gov.au/xrecord=b2061458")</f>
        <v>https://www.catalog.slsa.sa.gov.au/xrecord=b2061458</v>
      </c>
      <c r="D9763" t="s">
        <v>16831</v>
      </c>
      <c r="E9763" t="s">
        <v>28442</v>
      </c>
      <c r="F9763">
        <v>1978</v>
      </c>
      <c r="G9763" t="s">
        <v>14809</v>
      </c>
      <c r="H9763" t="s">
        <v>31011</v>
      </c>
      <c r="J9763" t="s">
        <v>28444</v>
      </c>
      <c r="K9763" s="2" t="str">
        <f>HYPERLINK("http://collections.slsa.sa.gov.au/mpcimg/36750/B36700.htm")</f>
        <v>http://collections.slsa.sa.gov.au/mpcimg/36750/B36700.htm</v>
      </c>
    </row>
    <row r="9764" spans="1:11" x14ac:dyDescent="0.25">
      <c r="A9764" t="s">
        <v>31012</v>
      </c>
      <c r="B9764" s="1" t="str">
        <f>HYPERLINK("https://www.catalog.slsa.sa.gov.au/record=b2061523")</f>
        <v>https://www.catalog.slsa.sa.gov.au/record=b2061523</v>
      </c>
      <c r="C9764" s="1" t="str">
        <f>HYPERLINK("https://www.catalog.slsa.sa.gov.au/xrecord=b2061523")</f>
        <v>https://www.catalog.slsa.sa.gov.au/xrecord=b2061523</v>
      </c>
      <c r="D9764" t="s">
        <v>16831</v>
      </c>
      <c r="E9764" t="s">
        <v>21178</v>
      </c>
      <c r="F9764">
        <v>1978</v>
      </c>
      <c r="G9764" t="s">
        <v>31013</v>
      </c>
      <c r="H9764" t="s">
        <v>31014</v>
      </c>
      <c r="J9764" t="s">
        <v>26377</v>
      </c>
      <c r="K9764" s="2" t="str">
        <f>HYPERLINK("http://collections.slsa.sa.gov.au/mpcimg/36000/B35770.htm")</f>
        <v>http://collections.slsa.sa.gov.au/mpcimg/36000/B35770.htm</v>
      </c>
    </row>
    <row r="9765" spans="1:11" x14ac:dyDescent="0.25">
      <c r="A9765" t="s">
        <v>31015</v>
      </c>
      <c r="B9765" s="1" t="str">
        <f>HYPERLINK("https://www.catalog.slsa.sa.gov.au/record=b2061524")</f>
        <v>https://www.catalog.slsa.sa.gov.au/record=b2061524</v>
      </c>
      <c r="C9765" s="1" t="str">
        <f>HYPERLINK("https://www.catalog.slsa.sa.gov.au/xrecord=b2061524")</f>
        <v>https://www.catalog.slsa.sa.gov.au/xrecord=b2061524</v>
      </c>
      <c r="D9765" t="s">
        <v>16831</v>
      </c>
      <c r="E9765" t="s">
        <v>21178</v>
      </c>
      <c r="F9765">
        <v>1978</v>
      </c>
      <c r="G9765" t="s">
        <v>31016</v>
      </c>
      <c r="H9765" t="s">
        <v>31017</v>
      </c>
      <c r="J9765" t="s">
        <v>26377</v>
      </c>
      <c r="K9765" s="2" t="str">
        <f>HYPERLINK("http://collections.slsa.sa.gov.au/mpcimg/36000/B35771.htm")</f>
        <v>http://collections.slsa.sa.gov.au/mpcimg/36000/B35771.htm</v>
      </c>
    </row>
    <row r="9766" spans="1:11" x14ac:dyDescent="0.25">
      <c r="A9766" t="s">
        <v>31018</v>
      </c>
      <c r="B9766" s="1" t="str">
        <f>HYPERLINK("https://www.catalog.slsa.sa.gov.au/record=b2061719")</f>
        <v>https://www.catalog.slsa.sa.gov.au/record=b2061719</v>
      </c>
      <c r="C9766" s="1" t="str">
        <f>HYPERLINK("https://www.catalog.slsa.sa.gov.au/xrecord=b2061719")</f>
        <v>https://www.catalog.slsa.sa.gov.au/xrecord=b2061719</v>
      </c>
      <c r="D9766" t="s">
        <v>16831</v>
      </c>
      <c r="E9766" t="s">
        <v>24451</v>
      </c>
      <c r="F9766">
        <v>1978</v>
      </c>
      <c r="G9766" t="s">
        <v>14809</v>
      </c>
      <c r="H9766" t="s">
        <v>31019</v>
      </c>
      <c r="J9766" t="s">
        <v>31020</v>
      </c>
      <c r="K9766" s="2" t="str">
        <f>HYPERLINK("http://collections.slsa.sa.gov.au/mpcimg/37000/B36769.htm")</f>
        <v>http://collections.slsa.sa.gov.au/mpcimg/37000/B36769.htm</v>
      </c>
    </row>
    <row r="9767" spans="1:11" x14ac:dyDescent="0.25">
      <c r="A9767" t="s">
        <v>31021</v>
      </c>
      <c r="B9767" s="1" t="str">
        <f>HYPERLINK("https://www.catalog.slsa.sa.gov.au/record=b2061720")</f>
        <v>https://www.catalog.slsa.sa.gov.au/record=b2061720</v>
      </c>
      <c r="C9767" s="1" t="str">
        <f>HYPERLINK("https://www.catalog.slsa.sa.gov.au/xrecord=b2061720")</f>
        <v>https://www.catalog.slsa.sa.gov.au/xrecord=b2061720</v>
      </c>
      <c r="D9767" t="s">
        <v>16831</v>
      </c>
      <c r="E9767" t="s">
        <v>24451</v>
      </c>
      <c r="F9767">
        <v>1978</v>
      </c>
      <c r="G9767" t="s">
        <v>14809</v>
      </c>
      <c r="H9767" t="s">
        <v>31022</v>
      </c>
      <c r="J9767" t="s">
        <v>31020</v>
      </c>
      <c r="K9767" s="2" t="str">
        <f>HYPERLINK("http://collections.slsa.sa.gov.au/mpcimg/37000/B36770.htm")</f>
        <v>http://collections.slsa.sa.gov.au/mpcimg/37000/B36770.htm</v>
      </c>
    </row>
    <row r="9768" spans="1:11" x14ac:dyDescent="0.25">
      <c r="A9768" t="s">
        <v>31023</v>
      </c>
      <c r="B9768" s="1" t="str">
        <f>HYPERLINK("https://www.catalog.slsa.sa.gov.au/record=b2061801")</f>
        <v>https://www.catalog.slsa.sa.gov.au/record=b2061801</v>
      </c>
      <c r="C9768" s="1" t="str">
        <f>HYPERLINK("https://www.catalog.slsa.sa.gov.au/xrecord=b2061801")</f>
        <v>https://www.catalog.slsa.sa.gov.au/xrecord=b2061801</v>
      </c>
      <c r="D9768" t="s">
        <v>16831</v>
      </c>
      <c r="E9768" t="s">
        <v>24451</v>
      </c>
      <c r="F9768">
        <v>1978</v>
      </c>
      <c r="G9768" t="s">
        <v>14809</v>
      </c>
      <c r="H9768" t="s">
        <v>31024</v>
      </c>
      <c r="J9768" t="s">
        <v>24491</v>
      </c>
      <c r="K9768" s="2" t="str">
        <f>HYPERLINK("http://collections.slsa.sa.gov.au/mpcimg/36750/B36652.htm")</f>
        <v>http://collections.slsa.sa.gov.au/mpcimg/36750/B36652.htm</v>
      </c>
    </row>
    <row r="9769" spans="1:11" x14ac:dyDescent="0.25">
      <c r="A9769" t="s">
        <v>31025</v>
      </c>
      <c r="B9769" s="1" t="str">
        <f>HYPERLINK("https://www.catalog.slsa.sa.gov.au/record=b2061802")</f>
        <v>https://www.catalog.slsa.sa.gov.au/record=b2061802</v>
      </c>
      <c r="C9769" s="1" t="str">
        <f>HYPERLINK("https://www.catalog.slsa.sa.gov.au/xrecord=b2061802")</f>
        <v>https://www.catalog.slsa.sa.gov.au/xrecord=b2061802</v>
      </c>
      <c r="D9769" t="s">
        <v>16831</v>
      </c>
      <c r="E9769" t="s">
        <v>24451</v>
      </c>
      <c r="F9769">
        <v>1978</v>
      </c>
      <c r="G9769" t="s">
        <v>14809</v>
      </c>
      <c r="H9769" t="s">
        <v>31026</v>
      </c>
      <c r="J9769" t="s">
        <v>24491</v>
      </c>
      <c r="K9769" s="2" t="str">
        <f>HYPERLINK("http://collections.slsa.sa.gov.au/mpcimg/36750/B36653.htm")</f>
        <v>http://collections.slsa.sa.gov.au/mpcimg/36750/B36653.htm</v>
      </c>
    </row>
    <row r="9770" spans="1:11" x14ac:dyDescent="0.25">
      <c r="A9770" t="s">
        <v>31027</v>
      </c>
      <c r="B9770" s="1" t="str">
        <f>HYPERLINK("https://www.catalog.slsa.sa.gov.au/record=b2061803")</f>
        <v>https://www.catalog.slsa.sa.gov.au/record=b2061803</v>
      </c>
      <c r="C9770" s="1" t="str">
        <f>HYPERLINK("https://www.catalog.slsa.sa.gov.au/xrecord=b2061803")</f>
        <v>https://www.catalog.slsa.sa.gov.au/xrecord=b2061803</v>
      </c>
      <c r="D9770" t="s">
        <v>16831</v>
      </c>
      <c r="E9770" t="s">
        <v>24451</v>
      </c>
      <c r="F9770">
        <v>1978</v>
      </c>
      <c r="G9770" t="s">
        <v>14809</v>
      </c>
      <c r="H9770" t="s">
        <v>31026</v>
      </c>
      <c r="J9770" t="s">
        <v>24491</v>
      </c>
      <c r="K9770" s="2" t="str">
        <f>HYPERLINK("http://collections.slsa.sa.gov.au/mpcimg/36750/B36654.htm")</f>
        <v>http://collections.slsa.sa.gov.au/mpcimg/36750/B36654.htm</v>
      </c>
    </row>
    <row r="9771" spans="1:11" x14ac:dyDescent="0.25">
      <c r="A9771" t="s">
        <v>31028</v>
      </c>
      <c r="B9771" s="1" t="str">
        <f>HYPERLINK("https://www.catalog.slsa.sa.gov.au/record=b2061804")</f>
        <v>https://www.catalog.slsa.sa.gov.au/record=b2061804</v>
      </c>
      <c r="C9771" s="1" t="str">
        <f>HYPERLINK("https://www.catalog.slsa.sa.gov.au/xrecord=b2061804")</f>
        <v>https://www.catalog.slsa.sa.gov.au/xrecord=b2061804</v>
      </c>
      <c r="D9771" t="s">
        <v>16831</v>
      </c>
      <c r="E9771" t="s">
        <v>24451</v>
      </c>
      <c r="F9771">
        <v>1978</v>
      </c>
      <c r="G9771" t="s">
        <v>14809</v>
      </c>
      <c r="H9771" t="s">
        <v>31029</v>
      </c>
      <c r="J9771" t="s">
        <v>24491</v>
      </c>
      <c r="K9771" s="2" t="str">
        <f>HYPERLINK("http://collections.slsa.sa.gov.au/mpcimg/36750/B36655.htm")</f>
        <v>http://collections.slsa.sa.gov.au/mpcimg/36750/B36655.htm</v>
      </c>
    </row>
    <row r="9772" spans="1:11" x14ac:dyDescent="0.25">
      <c r="A9772" t="s">
        <v>31030</v>
      </c>
      <c r="B9772" s="1" t="str">
        <f>HYPERLINK("https://www.catalog.slsa.sa.gov.au/record=b2061931")</f>
        <v>https://www.catalog.slsa.sa.gov.au/record=b2061931</v>
      </c>
      <c r="C9772" s="1" t="str">
        <f>HYPERLINK("https://www.catalog.slsa.sa.gov.au/xrecord=b2061931")</f>
        <v>https://www.catalog.slsa.sa.gov.au/xrecord=b2061931</v>
      </c>
      <c r="D9772" t="s">
        <v>16831</v>
      </c>
      <c r="E9772" t="s">
        <v>31031</v>
      </c>
      <c r="F9772">
        <v>1978</v>
      </c>
      <c r="G9772" t="s">
        <v>30692</v>
      </c>
      <c r="H9772" t="s">
        <v>31032</v>
      </c>
      <c r="J9772" t="s">
        <v>25536</v>
      </c>
      <c r="K9772" s="2" t="str">
        <f>HYPERLINK("http://collections.slsa.sa.gov.au/mpcimg/35500/B35405.htm")</f>
        <v>http://collections.slsa.sa.gov.au/mpcimg/35500/B35405.htm</v>
      </c>
    </row>
    <row r="9773" spans="1:11" x14ac:dyDescent="0.25">
      <c r="A9773" t="s">
        <v>31033</v>
      </c>
      <c r="B9773" s="1" t="str">
        <f>HYPERLINK("https://www.catalog.slsa.sa.gov.au/record=b2061932")</f>
        <v>https://www.catalog.slsa.sa.gov.au/record=b2061932</v>
      </c>
      <c r="C9773" s="1" t="str">
        <f>HYPERLINK("https://www.catalog.slsa.sa.gov.au/xrecord=b2061932")</f>
        <v>https://www.catalog.slsa.sa.gov.au/xrecord=b2061932</v>
      </c>
      <c r="D9773" t="s">
        <v>16831</v>
      </c>
      <c r="E9773" t="s">
        <v>28283</v>
      </c>
      <c r="F9773">
        <v>1978</v>
      </c>
      <c r="G9773" t="s">
        <v>31034</v>
      </c>
      <c r="H9773" t="s">
        <v>31035</v>
      </c>
      <c r="J9773" t="s">
        <v>25536</v>
      </c>
      <c r="K9773" s="2" t="str">
        <f>HYPERLINK("http://collections.slsa.sa.gov.au/mpcimg/35500/B35406.htm")</f>
        <v>http://collections.slsa.sa.gov.au/mpcimg/35500/B35406.htm</v>
      </c>
    </row>
    <row r="9774" spans="1:11" x14ac:dyDescent="0.25">
      <c r="A9774" t="s">
        <v>31036</v>
      </c>
      <c r="B9774" s="1" t="str">
        <f>HYPERLINK("https://www.catalog.slsa.sa.gov.au/record=b2061940")</f>
        <v>https://www.catalog.slsa.sa.gov.au/record=b2061940</v>
      </c>
      <c r="C9774" s="1" t="str">
        <f>HYPERLINK("https://www.catalog.slsa.sa.gov.au/xrecord=b2061940")</f>
        <v>https://www.catalog.slsa.sa.gov.au/xrecord=b2061940</v>
      </c>
      <c r="D9774" t="s">
        <v>16831</v>
      </c>
      <c r="E9774" t="s">
        <v>31037</v>
      </c>
      <c r="F9774">
        <v>1978</v>
      </c>
      <c r="G9774" t="s">
        <v>14771</v>
      </c>
      <c r="H9774" t="s">
        <v>31038</v>
      </c>
      <c r="J9774" t="s">
        <v>25540</v>
      </c>
      <c r="K9774" s="2" t="str">
        <f>HYPERLINK("http://collections.slsa.sa.gov.au/mpcimg/35250/B35001.htm")</f>
        <v>http://collections.slsa.sa.gov.au/mpcimg/35250/B35001.htm</v>
      </c>
    </row>
    <row r="9775" spans="1:11" x14ac:dyDescent="0.25">
      <c r="A9775" t="s">
        <v>31039</v>
      </c>
      <c r="B9775" s="1" t="str">
        <f>HYPERLINK("https://www.catalog.slsa.sa.gov.au/record=b2062565")</f>
        <v>https://www.catalog.slsa.sa.gov.au/record=b2062565</v>
      </c>
      <c r="C9775" s="1" t="str">
        <f>HYPERLINK("https://www.catalog.slsa.sa.gov.au/xrecord=b2062565")</f>
        <v>https://www.catalog.slsa.sa.gov.au/xrecord=b2062565</v>
      </c>
      <c r="D9775" t="s">
        <v>16831</v>
      </c>
      <c r="E9775" t="s">
        <v>21236</v>
      </c>
      <c r="F9775">
        <v>1978</v>
      </c>
      <c r="G9775" t="s">
        <v>14809</v>
      </c>
      <c r="H9775" t="s">
        <v>31040</v>
      </c>
      <c r="J9775" t="s">
        <v>21246</v>
      </c>
      <c r="K9775" s="2" t="str">
        <f>HYPERLINK("http://collections.slsa.sa.gov.au/mpcimg/36750/B36631.htm")</f>
        <v>http://collections.slsa.sa.gov.au/mpcimg/36750/B36631.htm</v>
      </c>
    </row>
    <row r="9776" spans="1:11" x14ac:dyDescent="0.25">
      <c r="A9776" t="s">
        <v>31041</v>
      </c>
      <c r="B9776" s="1" t="str">
        <f>HYPERLINK("https://www.catalog.slsa.sa.gov.au/record=b2062758")</f>
        <v>https://www.catalog.slsa.sa.gov.au/record=b2062758</v>
      </c>
      <c r="C9776" s="1" t="str">
        <f>HYPERLINK("https://www.catalog.slsa.sa.gov.au/xrecord=b2062758")</f>
        <v>https://www.catalog.slsa.sa.gov.au/xrecord=b2062758</v>
      </c>
      <c r="D9776" t="s">
        <v>16831</v>
      </c>
      <c r="E9776" t="s">
        <v>21250</v>
      </c>
      <c r="F9776">
        <v>1978</v>
      </c>
      <c r="G9776" t="s">
        <v>14809</v>
      </c>
      <c r="H9776" t="s">
        <v>31042</v>
      </c>
      <c r="J9776" t="s">
        <v>26878</v>
      </c>
      <c r="K9776" s="2" t="str">
        <f>HYPERLINK("http://collections.slsa.sa.gov.au/mpcimg/37000/B36772.htm")</f>
        <v>http://collections.slsa.sa.gov.au/mpcimg/37000/B36772.htm</v>
      </c>
    </row>
    <row r="9777" spans="1:11" x14ac:dyDescent="0.25">
      <c r="A9777" t="s">
        <v>31043</v>
      </c>
      <c r="B9777" s="1" t="str">
        <f>HYPERLINK("https://www.catalog.slsa.sa.gov.au/record=b2062759")</f>
        <v>https://www.catalog.slsa.sa.gov.au/record=b2062759</v>
      </c>
      <c r="C9777" s="1" t="str">
        <f>HYPERLINK("https://www.catalog.slsa.sa.gov.au/xrecord=b2062759")</f>
        <v>https://www.catalog.slsa.sa.gov.au/xrecord=b2062759</v>
      </c>
      <c r="D9777" t="s">
        <v>16831</v>
      </c>
      <c r="E9777" t="s">
        <v>21250</v>
      </c>
      <c r="F9777">
        <v>1978</v>
      </c>
      <c r="G9777" t="s">
        <v>14809</v>
      </c>
      <c r="H9777" t="s">
        <v>31044</v>
      </c>
      <c r="J9777" t="s">
        <v>26878</v>
      </c>
      <c r="K9777" s="2" t="str">
        <f>HYPERLINK("http://collections.slsa.sa.gov.au/mpcimg/37000/B36771.htm")</f>
        <v>http://collections.slsa.sa.gov.au/mpcimg/37000/B36771.htm</v>
      </c>
    </row>
    <row r="9778" spans="1:11" x14ac:dyDescent="0.25">
      <c r="A9778" t="s">
        <v>31045</v>
      </c>
      <c r="B9778" s="1" t="str">
        <f>HYPERLINK("https://www.catalog.slsa.sa.gov.au/record=b2062935")</f>
        <v>https://www.catalog.slsa.sa.gov.au/record=b2062935</v>
      </c>
      <c r="C9778" s="1" t="str">
        <f>HYPERLINK("https://www.catalog.slsa.sa.gov.au/xrecord=b2062935")</f>
        <v>https://www.catalog.slsa.sa.gov.au/xrecord=b2062935</v>
      </c>
      <c r="D9778" t="s">
        <v>16831</v>
      </c>
      <c r="E9778" t="s">
        <v>21236</v>
      </c>
      <c r="F9778">
        <v>1978</v>
      </c>
      <c r="G9778" t="s">
        <v>30695</v>
      </c>
      <c r="H9778" t="s">
        <v>31046</v>
      </c>
      <c r="J9778" t="s">
        <v>21294</v>
      </c>
      <c r="K9778" s="2" t="str">
        <f>HYPERLINK("http://collections.slsa.sa.gov.au/mpcimg/35250/B35221.htm")</f>
        <v>http://collections.slsa.sa.gov.au/mpcimg/35250/B35221.htm</v>
      </c>
    </row>
    <row r="9779" spans="1:11" x14ac:dyDescent="0.25">
      <c r="A9779" t="s">
        <v>31047</v>
      </c>
      <c r="B9779" s="1" t="str">
        <f>HYPERLINK("https://www.catalog.slsa.sa.gov.au/record=b2062936")</f>
        <v>https://www.catalog.slsa.sa.gov.au/record=b2062936</v>
      </c>
      <c r="C9779" s="1" t="str">
        <f>HYPERLINK("https://www.catalog.slsa.sa.gov.au/xrecord=b2062936")</f>
        <v>https://www.catalog.slsa.sa.gov.au/xrecord=b2062936</v>
      </c>
      <c r="D9779" t="s">
        <v>16831</v>
      </c>
      <c r="E9779" t="s">
        <v>21236</v>
      </c>
      <c r="F9779">
        <v>1978</v>
      </c>
      <c r="G9779" t="s">
        <v>30695</v>
      </c>
      <c r="H9779" t="s">
        <v>31046</v>
      </c>
      <c r="J9779" t="s">
        <v>21294</v>
      </c>
      <c r="K9779" s="2" t="str">
        <f>HYPERLINK("http://collections.slsa.sa.gov.au/mpcimg/35250/B35222.htm")</f>
        <v>http://collections.slsa.sa.gov.au/mpcimg/35250/B35222.htm</v>
      </c>
    </row>
    <row r="9780" spans="1:11" x14ac:dyDescent="0.25">
      <c r="A9780" t="s">
        <v>31048</v>
      </c>
      <c r="B9780" s="1" t="str">
        <f>HYPERLINK("https://www.catalog.slsa.sa.gov.au/record=b2063397")</f>
        <v>https://www.catalog.slsa.sa.gov.au/record=b2063397</v>
      </c>
      <c r="C9780" s="1" t="str">
        <f>HYPERLINK("https://www.catalog.slsa.sa.gov.au/xrecord=b2063397")</f>
        <v>https://www.catalog.slsa.sa.gov.au/xrecord=b2063397</v>
      </c>
      <c r="D9780" t="s">
        <v>16831</v>
      </c>
      <c r="E9780" t="s">
        <v>25607</v>
      </c>
      <c r="F9780">
        <v>1978</v>
      </c>
      <c r="G9780" t="s">
        <v>14809</v>
      </c>
      <c r="H9780" t="s">
        <v>31049</v>
      </c>
      <c r="J9780" t="s">
        <v>31050</v>
      </c>
      <c r="K9780" s="2" t="str">
        <f>HYPERLINK("http://collections.slsa.sa.gov.au/mpcimg/36750/B36547.htm")</f>
        <v>http://collections.slsa.sa.gov.au/mpcimg/36750/B36547.htm</v>
      </c>
    </row>
    <row r="9781" spans="1:11" x14ac:dyDescent="0.25">
      <c r="A9781" t="s">
        <v>31051</v>
      </c>
      <c r="B9781" s="1" t="str">
        <f>HYPERLINK("https://www.catalog.slsa.sa.gov.au/record=b2063398")</f>
        <v>https://www.catalog.slsa.sa.gov.au/record=b2063398</v>
      </c>
      <c r="C9781" s="1" t="str">
        <f>HYPERLINK("https://www.catalog.slsa.sa.gov.au/xrecord=b2063398")</f>
        <v>https://www.catalog.slsa.sa.gov.au/xrecord=b2063398</v>
      </c>
      <c r="D9781" t="s">
        <v>16831</v>
      </c>
      <c r="E9781" t="s">
        <v>25607</v>
      </c>
      <c r="F9781">
        <v>1978</v>
      </c>
      <c r="G9781" t="s">
        <v>14809</v>
      </c>
      <c r="H9781" t="s">
        <v>31052</v>
      </c>
      <c r="J9781" t="s">
        <v>31050</v>
      </c>
      <c r="K9781" s="2" t="str">
        <f>HYPERLINK("http://collections.slsa.sa.gov.au/mpcimg/36750/B36548.htm")</f>
        <v>http://collections.slsa.sa.gov.au/mpcimg/36750/B36548.htm</v>
      </c>
    </row>
    <row r="9782" spans="1:11" x14ac:dyDescent="0.25">
      <c r="A9782" t="s">
        <v>31053</v>
      </c>
      <c r="B9782" s="1" t="str">
        <f>HYPERLINK("https://www.catalog.slsa.sa.gov.au/record=b2063399")</f>
        <v>https://www.catalog.slsa.sa.gov.au/record=b2063399</v>
      </c>
      <c r="C9782" s="1" t="str">
        <f>HYPERLINK("https://www.catalog.slsa.sa.gov.au/xrecord=b2063399")</f>
        <v>https://www.catalog.slsa.sa.gov.au/xrecord=b2063399</v>
      </c>
      <c r="D9782" t="s">
        <v>16831</v>
      </c>
      <c r="E9782" t="s">
        <v>25607</v>
      </c>
      <c r="F9782">
        <v>1978</v>
      </c>
      <c r="G9782" t="s">
        <v>14809</v>
      </c>
      <c r="H9782" t="s">
        <v>31054</v>
      </c>
      <c r="J9782" t="s">
        <v>31050</v>
      </c>
      <c r="K9782" s="2" t="str">
        <f>HYPERLINK("http://collections.slsa.sa.gov.au/mpcimg/36750/B36549.htm")</f>
        <v>http://collections.slsa.sa.gov.au/mpcimg/36750/B36549.htm</v>
      </c>
    </row>
    <row r="9783" spans="1:11" x14ac:dyDescent="0.25">
      <c r="A9783" t="s">
        <v>31055</v>
      </c>
      <c r="B9783" s="1" t="str">
        <f>HYPERLINK("https://www.catalog.slsa.sa.gov.au/record=b2063837")</f>
        <v>https://www.catalog.slsa.sa.gov.au/record=b2063837</v>
      </c>
      <c r="C9783" s="1" t="str">
        <f>HYPERLINK("https://www.catalog.slsa.sa.gov.au/xrecord=b2063837")</f>
        <v>https://www.catalog.slsa.sa.gov.au/xrecord=b2063837</v>
      </c>
      <c r="D9783" t="s">
        <v>16831</v>
      </c>
      <c r="E9783" t="s">
        <v>31056</v>
      </c>
      <c r="F9783">
        <v>1978</v>
      </c>
      <c r="G9783" t="s">
        <v>14809</v>
      </c>
      <c r="H9783" t="s">
        <v>31057</v>
      </c>
      <c r="J9783" t="s">
        <v>31058</v>
      </c>
      <c r="K9783" s="2" t="str">
        <f>HYPERLINK("http://collections.slsa.sa.gov.au/mpcimg/36750/B36642.htm")</f>
        <v>http://collections.slsa.sa.gov.au/mpcimg/36750/B36642.htm</v>
      </c>
    </row>
    <row r="9784" spans="1:11" x14ac:dyDescent="0.25">
      <c r="A9784" t="s">
        <v>31059</v>
      </c>
      <c r="B9784" s="1" t="str">
        <f>HYPERLINK("https://www.catalog.slsa.sa.gov.au/record=b2063838")</f>
        <v>https://www.catalog.slsa.sa.gov.au/record=b2063838</v>
      </c>
      <c r="C9784" s="1" t="str">
        <f>HYPERLINK("https://www.catalog.slsa.sa.gov.au/xrecord=b2063838")</f>
        <v>https://www.catalog.slsa.sa.gov.au/xrecord=b2063838</v>
      </c>
      <c r="D9784" t="s">
        <v>16831</v>
      </c>
      <c r="E9784" t="s">
        <v>31056</v>
      </c>
      <c r="F9784">
        <v>1978</v>
      </c>
      <c r="G9784" t="s">
        <v>14809</v>
      </c>
      <c r="H9784" t="s">
        <v>31060</v>
      </c>
      <c r="J9784" t="s">
        <v>31058</v>
      </c>
      <c r="K9784" s="2" t="str">
        <f>HYPERLINK("http://collections.slsa.sa.gov.au/mpcimg/36750/B36643.htm")</f>
        <v>http://collections.slsa.sa.gov.au/mpcimg/36750/B36643.htm</v>
      </c>
    </row>
    <row r="9785" spans="1:11" x14ac:dyDescent="0.25">
      <c r="A9785" t="s">
        <v>31061</v>
      </c>
      <c r="B9785" s="1" t="str">
        <f>HYPERLINK("https://www.catalog.slsa.sa.gov.au/record=b2063886")</f>
        <v>https://www.catalog.slsa.sa.gov.au/record=b2063886</v>
      </c>
      <c r="C9785" s="1" t="str">
        <f>HYPERLINK("https://www.catalog.slsa.sa.gov.au/xrecord=b2063886")</f>
        <v>https://www.catalog.slsa.sa.gov.au/xrecord=b2063886</v>
      </c>
      <c r="D9785" t="s">
        <v>16831</v>
      </c>
      <c r="E9785" t="s">
        <v>25643</v>
      </c>
      <c r="F9785">
        <v>1978</v>
      </c>
      <c r="G9785" t="s">
        <v>14809</v>
      </c>
      <c r="H9785" t="s">
        <v>31062</v>
      </c>
      <c r="J9785" t="s">
        <v>27513</v>
      </c>
      <c r="K9785" s="2" t="str">
        <f>HYPERLINK("http://collections.slsa.sa.gov.au/mpcimg/37000/B36762.htm")</f>
        <v>http://collections.slsa.sa.gov.au/mpcimg/37000/B36762.htm</v>
      </c>
    </row>
    <row r="9786" spans="1:11" x14ac:dyDescent="0.25">
      <c r="A9786" t="s">
        <v>31063</v>
      </c>
      <c r="B9786" s="1" t="str">
        <f>HYPERLINK("https://www.catalog.slsa.sa.gov.au/record=b2064185")</f>
        <v>https://www.catalog.slsa.sa.gov.au/record=b2064185</v>
      </c>
      <c r="C9786" s="1" t="str">
        <f>HYPERLINK("https://www.catalog.slsa.sa.gov.au/xrecord=b2064185")</f>
        <v>https://www.catalog.slsa.sa.gov.au/xrecord=b2064185</v>
      </c>
      <c r="D9786" t="s">
        <v>16831</v>
      </c>
      <c r="E9786" t="s">
        <v>26929</v>
      </c>
      <c r="F9786">
        <v>1978</v>
      </c>
      <c r="G9786" t="s">
        <v>15147</v>
      </c>
      <c r="H9786" t="s">
        <v>31064</v>
      </c>
      <c r="J9786" t="s">
        <v>31065</v>
      </c>
      <c r="K9786" s="2" t="str">
        <f>HYPERLINK("http://collections.slsa.sa.gov.au/mpcimg/37000/B36780.htm")</f>
        <v>http://collections.slsa.sa.gov.au/mpcimg/37000/B36780.htm</v>
      </c>
    </row>
    <row r="9787" spans="1:11" x14ac:dyDescent="0.25">
      <c r="A9787" t="s">
        <v>31066</v>
      </c>
      <c r="B9787" s="1" t="str">
        <f>HYPERLINK("https://www.catalog.slsa.sa.gov.au/record=b2064501")</f>
        <v>https://www.catalog.slsa.sa.gov.au/record=b2064501</v>
      </c>
      <c r="C9787" s="1" t="str">
        <f>HYPERLINK("https://www.catalog.slsa.sa.gov.au/xrecord=b2064501")</f>
        <v>https://www.catalog.slsa.sa.gov.au/xrecord=b2064501</v>
      </c>
      <c r="D9787" t="s">
        <v>16831</v>
      </c>
      <c r="E9787" t="s">
        <v>26509</v>
      </c>
      <c r="F9787">
        <v>1978</v>
      </c>
      <c r="G9787" t="s">
        <v>14809</v>
      </c>
      <c r="H9787" t="s">
        <v>31067</v>
      </c>
      <c r="J9787" t="s">
        <v>31068</v>
      </c>
      <c r="K9787" s="2" t="str">
        <f>HYPERLINK("http://collections.slsa.sa.gov.au/mpcimg/37000/B36763.htm")</f>
        <v>http://collections.slsa.sa.gov.au/mpcimg/37000/B36763.htm</v>
      </c>
    </row>
    <row r="9788" spans="1:11" x14ac:dyDescent="0.25">
      <c r="A9788" t="s">
        <v>31069</v>
      </c>
      <c r="B9788" s="1" t="str">
        <f>HYPERLINK("https://www.catalog.slsa.sa.gov.au/record=b2064502")</f>
        <v>https://www.catalog.slsa.sa.gov.au/record=b2064502</v>
      </c>
      <c r="C9788" s="1" t="str">
        <f>HYPERLINK("https://www.catalog.slsa.sa.gov.au/xrecord=b2064502")</f>
        <v>https://www.catalog.slsa.sa.gov.au/xrecord=b2064502</v>
      </c>
      <c r="D9788" t="s">
        <v>16831</v>
      </c>
      <c r="E9788" t="s">
        <v>26509</v>
      </c>
      <c r="F9788">
        <v>1978</v>
      </c>
      <c r="G9788" t="s">
        <v>14809</v>
      </c>
      <c r="H9788" t="s">
        <v>31067</v>
      </c>
      <c r="J9788" t="s">
        <v>31068</v>
      </c>
      <c r="K9788" s="2" t="str">
        <f>HYPERLINK("http://collections.slsa.sa.gov.au/mpcimg/37000/B36764.htm")</f>
        <v>http://collections.slsa.sa.gov.au/mpcimg/37000/B36764.htm</v>
      </c>
    </row>
    <row r="9789" spans="1:11" x14ac:dyDescent="0.25">
      <c r="A9789" t="s">
        <v>31070</v>
      </c>
      <c r="B9789" s="1" t="str">
        <f>HYPERLINK("https://www.catalog.slsa.sa.gov.au/record=b2064553")</f>
        <v>https://www.catalog.slsa.sa.gov.au/record=b2064553</v>
      </c>
      <c r="C9789" s="1" t="str">
        <f>HYPERLINK("https://www.catalog.slsa.sa.gov.au/xrecord=b2064553")</f>
        <v>https://www.catalog.slsa.sa.gov.au/xrecord=b2064553</v>
      </c>
      <c r="D9789" t="s">
        <v>16831</v>
      </c>
      <c r="E9789" t="s">
        <v>26509</v>
      </c>
      <c r="F9789">
        <v>1978</v>
      </c>
      <c r="G9789" t="s">
        <v>15147</v>
      </c>
      <c r="H9789" t="s">
        <v>31071</v>
      </c>
      <c r="J9789" t="s">
        <v>31072</v>
      </c>
      <c r="K9789" s="2" t="str">
        <f>HYPERLINK("http://collections.slsa.sa.gov.au/mpcimg/37000/B36781.htm")</f>
        <v>http://collections.slsa.sa.gov.au/mpcimg/37000/B36781.htm</v>
      </c>
    </row>
    <row r="9790" spans="1:11" x14ac:dyDescent="0.25">
      <c r="A9790" t="s">
        <v>31073</v>
      </c>
      <c r="B9790" s="1" t="str">
        <f>HYPERLINK("https://www.catalog.slsa.sa.gov.au/record=b2064554")</f>
        <v>https://www.catalog.slsa.sa.gov.au/record=b2064554</v>
      </c>
      <c r="C9790" s="1" t="str">
        <f>HYPERLINK("https://www.catalog.slsa.sa.gov.au/xrecord=b2064554")</f>
        <v>https://www.catalog.slsa.sa.gov.au/xrecord=b2064554</v>
      </c>
      <c r="D9790" t="s">
        <v>16831</v>
      </c>
      <c r="E9790" t="s">
        <v>26509</v>
      </c>
      <c r="F9790">
        <v>1978</v>
      </c>
      <c r="G9790" t="s">
        <v>15147</v>
      </c>
      <c r="H9790" t="s">
        <v>31074</v>
      </c>
      <c r="J9790" t="s">
        <v>31072</v>
      </c>
      <c r="K9790" s="2" t="str">
        <f>HYPERLINK("http://collections.slsa.sa.gov.au/mpcimg/37000/B36782.htm")</f>
        <v>http://collections.slsa.sa.gov.au/mpcimg/37000/B36782.htm</v>
      </c>
    </row>
    <row r="9791" spans="1:11" x14ac:dyDescent="0.25">
      <c r="A9791" t="s">
        <v>31075</v>
      </c>
      <c r="B9791" s="1" t="str">
        <f>HYPERLINK("https://www.catalog.slsa.sa.gov.au/record=b2067051")</f>
        <v>https://www.catalog.slsa.sa.gov.au/record=b2067051</v>
      </c>
      <c r="C9791" s="1" t="str">
        <f>HYPERLINK("https://www.catalog.slsa.sa.gov.au/xrecord=b2067051")</f>
        <v>https://www.catalog.slsa.sa.gov.au/xrecord=b2067051</v>
      </c>
      <c r="D9791" t="s">
        <v>16831</v>
      </c>
      <c r="E9791" t="s">
        <v>16858</v>
      </c>
      <c r="F9791">
        <v>1978</v>
      </c>
      <c r="G9791" t="s">
        <v>14809</v>
      </c>
      <c r="H9791" t="s">
        <v>31076</v>
      </c>
      <c r="J9791" t="s">
        <v>16860</v>
      </c>
      <c r="K9791" s="2" t="str">
        <f>HYPERLINK("http://collections.slsa.sa.gov.au/mpcimg/37000/B36759.htm")</f>
        <v>http://collections.slsa.sa.gov.au/mpcimg/37000/B36759.htm</v>
      </c>
    </row>
    <row r="9792" spans="1:11" x14ac:dyDescent="0.25">
      <c r="A9792" t="s">
        <v>31077</v>
      </c>
      <c r="B9792" s="1" t="str">
        <f>HYPERLINK("https://www.catalog.slsa.sa.gov.au/record=b2067052")</f>
        <v>https://www.catalog.slsa.sa.gov.au/record=b2067052</v>
      </c>
      <c r="C9792" s="1" t="str">
        <f>HYPERLINK("https://www.catalog.slsa.sa.gov.au/xrecord=b2067052")</f>
        <v>https://www.catalog.slsa.sa.gov.au/xrecord=b2067052</v>
      </c>
      <c r="D9792" t="s">
        <v>16831</v>
      </c>
      <c r="E9792" t="s">
        <v>16858</v>
      </c>
      <c r="F9792">
        <v>1978</v>
      </c>
      <c r="G9792" t="s">
        <v>14809</v>
      </c>
      <c r="H9792" t="s">
        <v>31078</v>
      </c>
      <c r="J9792" t="s">
        <v>16860</v>
      </c>
      <c r="K9792" s="2" t="str">
        <f>HYPERLINK("http://collections.slsa.sa.gov.au/mpcimg/37000/B36760.htm")</f>
        <v>http://collections.slsa.sa.gov.au/mpcimg/37000/B36760.htm</v>
      </c>
    </row>
    <row r="9793" spans="1:11" x14ac:dyDescent="0.25">
      <c r="A9793" t="s">
        <v>31079</v>
      </c>
      <c r="B9793" s="1" t="str">
        <f>HYPERLINK("https://www.catalog.slsa.sa.gov.au/record=b2067053")</f>
        <v>https://www.catalog.slsa.sa.gov.au/record=b2067053</v>
      </c>
      <c r="C9793" s="1" t="str">
        <f>HYPERLINK("https://www.catalog.slsa.sa.gov.au/xrecord=b2067053")</f>
        <v>https://www.catalog.slsa.sa.gov.au/xrecord=b2067053</v>
      </c>
      <c r="D9793" t="s">
        <v>16831</v>
      </c>
      <c r="E9793" t="s">
        <v>16858</v>
      </c>
      <c r="F9793">
        <v>1978</v>
      </c>
      <c r="G9793" t="s">
        <v>14809</v>
      </c>
      <c r="H9793" t="s">
        <v>31078</v>
      </c>
      <c r="J9793" t="s">
        <v>16860</v>
      </c>
      <c r="K9793" s="2" t="str">
        <f>HYPERLINK("http://collections.slsa.sa.gov.au/mpcimg/37000/B36761.htm")</f>
        <v>http://collections.slsa.sa.gov.au/mpcimg/37000/B36761.htm</v>
      </c>
    </row>
    <row r="9794" spans="1:11" x14ac:dyDescent="0.25">
      <c r="A9794" t="s">
        <v>31080</v>
      </c>
      <c r="B9794" s="1" t="str">
        <f>HYPERLINK("https://www.catalog.slsa.sa.gov.au/record=b2067852")</f>
        <v>https://www.catalog.slsa.sa.gov.au/record=b2067852</v>
      </c>
      <c r="C9794" s="1" t="str">
        <f>HYPERLINK("https://www.catalog.slsa.sa.gov.au/xrecord=b2067852")</f>
        <v>https://www.catalog.slsa.sa.gov.au/xrecord=b2067852</v>
      </c>
      <c r="D9794" t="s">
        <v>16831</v>
      </c>
      <c r="E9794" t="s">
        <v>31081</v>
      </c>
      <c r="F9794">
        <v>1978</v>
      </c>
      <c r="G9794" t="s">
        <v>27663</v>
      </c>
      <c r="H9794" t="s">
        <v>31082</v>
      </c>
      <c r="J9794" t="s">
        <v>30808</v>
      </c>
      <c r="K9794" s="2" t="str">
        <f>HYPERLINK("http://collections.slsa.sa.gov.au/mpcimg/35250/B35128.htm")</f>
        <v>http://collections.slsa.sa.gov.au/mpcimg/35250/B35128.htm</v>
      </c>
    </row>
    <row r="9795" spans="1:11" x14ac:dyDescent="0.25">
      <c r="A9795" t="s">
        <v>31083</v>
      </c>
      <c r="B9795" s="1" t="str">
        <f>HYPERLINK("https://www.catalog.slsa.sa.gov.au/record=b2067853")</f>
        <v>https://www.catalog.slsa.sa.gov.au/record=b2067853</v>
      </c>
      <c r="C9795" s="1" t="str">
        <f>HYPERLINK("https://www.catalog.slsa.sa.gov.au/xrecord=b2067853")</f>
        <v>https://www.catalog.slsa.sa.gov.au/xrecord=b2067853</v>
      </c>
      <c r="D9795" t="s">
        <v>16831</v>
      </c>
      <c r="E9795" t="s">
        <v>31084</v>
      </c>
      <c r="F9795">
        <v>1978</v>
      </c>
      <c r="G9795" t="s">
        <v>31085</v>
      </c>
      <c r="H9795" t="s">
        <v>31086</v>
      </c>
      <c r="J9795" t="s">
        <v>30808</v>
      </c>
      <c r="K9795" s="2" t="str">
        <f>HYPERLINK("http://collections.slsa.sa.gov.au/mpcimg/35250/B35129.htm")</f>
        <v>http://collections.slsa.sa.gov.au/mpcimg/35250/B35129.htm</v>
      </c>
    </row>
    <row r="9796" spans="1:11" x14ac:dyDescent="0.25">
      <c r="A9796" t="s">
        <v>31087</v>
      </c>
      <c r="B9796" s="1" t="str">
        <f>HYPERLINK("https://www.catalog.slsa.sa.gov.au/record=b2068429")</f>
        <v>https://www.catalog.slsa.sa.gov.au/record=b2068429</v>
      </c>
      <c r="C9796" s="1" t="str">
        <f>HYPERLINK("https://www.catalog.slsa.sa.gov.au/xrecord=b2068429")</f>
        <v>https://www.catalog.slsa.sa.gov.au/xrecord=b2068429</v>
      </c>
      <c r="D9796" t="s">
        <v>16831</v>
      </c>
      <c r="E9796" t="s">
        <v>5365</v>
      </c>
      <c r="F9796">
        <v>1978</v>
      </c>
      <c r="G9796" t="s">
        <v>14809</v>
      </c>
      <c r="H9796" t="s">
        <v>31088</v>
      </c>
      <c r="J9796" t="s">
        <v>5369</v>
      </c>
      <c r="K9796" s="2" t="str">
        <f>HYPERLINK("http://collections.slsa.sa.gov.au/mpcimg/36750/B36649.htm")</f>
        <v>http://collections.slsa.sa.gov.au/mpcimg/36750/B36649.htm</v>
      </c>
    </row>
    <row r="9797" spans="1:11" x14ac:dyDescent="0.25">
      <c r="A9797" t="s">
        <v>31089</v>
      </c>
      <c r="B9797" s="1" t="str">
        <f>HYPERLINK("https://www.catalog.slsa.sa.gov.au/record=b2068430")</f>
        <v>https://www.catalog.slsa.sa.gov.au/record=b2068430</v>
      </c>
      <c r="C9797" s="1" t="str">
        <f>HYPERLINK("https://www.catalog.slsa.sa.gov.au/xrecord=b2068430")</f>
        <v>https://www.catalog.slsa.sa.gov.au/xrecord=b2068430</v>
      </c>
      <c r="D9797" t="s">
        <v>16831</v>
      </c>
      <c r="E9797" t="s">
        <v>5365</v>
      </c>
      <c r="F9797">
        <v>1978</v>
      </c>
      <c r="G9797" t="s">
        <v>14809</v>
      </c>
      <c r="H9797" t="s">
        <v>31088</v>
      </c>
      <c r="J9797" t="s">
        <v>5369</v>
      </c>
      <c r="K9797" s="2" t="str">
        <f>HYPERLINK("http://collections.slsa.sa.gov.au/mpcimg/36750/B36648.htm")</f>
        <v>http://collections.slsa.sa.gov.au/mpcimg/36750/B36648.htm</v>
      </c>
    </row>
    <row r="9798" spans="1:11" x14ac:dyDescent="0.25">
      <c r="A9798" t="s">
        <v>31090</v>
      </c>
      <c r="B9798" s="1" t="str">
        <f>HYPERLINK("https://www.catalog.slsa.sa.gov.au/record=b2020596")</f>
        <v>https://www.catalog.slsa.sa.gov.au/record=b2020596</v>
      </c>
      <c r="C9798" s="1" t="str">
        <f>HYPERLINK("https://www.catalog.slsa.sa.gov.au/xrecord=b2020596")</f>
        <v>https://www.catalog.slsa.sa.gov.au/xrecord=b2020596</v>
      </c>
      <c r="D9798" t="s">
        <v>16831</v>
      </c>
      <c r="E9798" t="s">
        <v>31091</v>
      </c>
      <c r="F9798">
        <v>1979</v>
      </c>
      <c r="G9798" t="s">
        <v>14809</v>
      </c>
      <c r="H9798" t="s">
        <v>31092</v>
      </c>
      <c r="I9798" t="s">
        <v>31093</v>
      </c>
      <c r="J9798" t="s">
        <v>15814</v>
      </c>
      <c r="K9798" s="2" t="str">
        <f>HYPERLINK("http://collections.slsa.sa.gov.au/mpcimg/37500/B37269.htm")</f>
        <v>http://collections.slsa.sa.gov.au/mpcimg/37500/B37269.htm</v>
      </c>
    </row>
    <row r="9799" spans="1:11" x14ac:dyDescent="0.25">
      <c r="A9799" t="s">
        <v>31094</v>
      </c>
      <c r="B9799" s="1" t="str">
        <f>HYPERLINK("https://www.catalog.slsa.sa.gov.au/record=b2020597")</f>
        <v>https://www.catalog.slsa.sa.gov.au/record=b2020597</v>
      </c>
      <c r="C9799" s="1" t="str">
        <f>HYPERLINK("https://www.catalog.slsa.sa.gov.au/xrecord=b2020597")</f>
        <v>https://www.catalog.slsa.sa.gov.au/xrecord=b2020597</v>
      </c>
      <c r="D9799" t="s">
        <v>16831</v>
      </c>
      <c r="E9799" t="s">
        <v>31095</v>
      </c>
      <c r="F9799">
        <v>1979</v>
      </c>
      <c r="G9799" t="s">
        <v>14809</v>
      </c>
      <c r="H9799" t="s">
        <v>31096</v>
      </c>
      <c r="I9799" t="s">
        <v>31097</v>
      </c>
      <c r="J9799" t="s">
        <v>15814</v>
      </c>
      <c r="K9799" s="2" t="str">
        <f>HYPERLINK("http://collections.slsa.sa.gov.au/mpcimg/37500/B37270.htm")</f>
        <v>http://collections.slsa.sa.gov.au/mpcimg/37500/B37270.htm</v>
      </c>
    </row>
    <row r="9800" spans="1:11" x14ac:dyDescent="0.25">
      <c r="A9800" t="s">
        <v>31098</v>
      </c>
      <c r="B9800" s="1" t="str">
        <f>HYPERLINK("https://www.catalog.slsa.sa.gov.au/record=b2020598")</f>
        <v>https://www.catalog.slsa.sa.gov.au/record=b2020598</v>
      </c>
      <c r="C9800" s="1" t="str">
        <f>HYPERLINK("https://www.catalog.slsa.sa.gov.au/xrecord=b2020598")</f>
        <v>https://www.catalog.slsa.sa.gov.au/xrecord=b2020598</v>
      </c>
      <c r="D9800" t="s">
        <v>16831</v>
      </c>
      <c r="E9800" t="s">
        <v>31095</v>
      </c>
      <c r="F9800">
        <v>1979</v>
      </c>
      <c r="G9800" t="s">
        <v>14809</v>
      </c>
      <c r="H9800" t="s">
        <v>31099</v>
      </c>
      <c r="I9800" t="s">
        <v>31100</v>
      </c>
      <c r="J9800" t="s">
        <v>15814</v>
      </c>
      <c r="K9800" s="2" t="str">
        <f>HYPERLINK("http://collections.slsa.sa.gov.au/mpcimg/37500/B37271.htm")</f>
        <v>http://collections.slsa.sa.gov.au/mpcimg/37500/B37271.htm</v>
      </c>
    </row>
    <row r="9801" spans="1:11" x14ac:dyDescent="0.25">
      <c r="A9801" t="s">
        <v>31101</v>
      </c>
      <c r="B9801" s="1" t="str">
        <f>HYPERLINK("https://www.catalog.slsa.sa.gov.au/record=b2020599")</f>
        <v>https://www.catalog.slsa.sa.gov.au/record=b2020599</v>
      </c>
      <c r="C9801" s="1" t="str">
        <f>HYPERLINK("https://www.catalog.slsa.sa.gov.au/xrecord=b2020599")</f>
        <v>https://www.catalog.slsa.sa.gov.au/xrecord=b2020599</v>
      </c>
      <c r="D9801" t="s">
        <v>16831</v>
      </c>
      <c r="E9801" t="s">
        <v>31095</v>
      </c>
      <c r="F9801">
        <v>1979</v>
      </c>
      <c r="G9801" t="s">
        <v>14809</v>
      </c>
      <c r="H9801" t="s">
        <v>31102</v>
      </c>
      <c r="I9801" t="s">
        <v>31103</v>
      </c>
      <c r="J9801" t="s">
        <v>15814</v>
      </c>
      <c r="K9801" s="2" t="str">
        <f>HYPERLINK("http://collections.slsa.sa.gov.au/mpcimg/37500/B37272.htm")</f>
        <v>http://collections.slsa.sa.gov.au/mpcimg/37500/B37272.htm</v>
      </c>
    </row>
    <row r="9802" spans="1:11" x14ac:dyDescent="0.25">
      <c r="A9802" t="s">
        <v>31104</v>
      </c>
      <c r="B9802" s="1" t="str">
        <f>HYPERLINK("https://www.catalog.slsa.sa.gov.au/record=b2020600")</f>
        <v>https://www.catalog.slsa.sa.gov.au/record=b2020600</v>
      </c>
      <c r="C9802" s="1" t="str">
        <f>HYPERLINK("https://www.catalog.slsa.sa.gov.au/xrecord=b2020600")</f>
        <v>https://www.catalog.slsa.sa.gov.au/xrecord=b2020600</v>
      </c>
      <c r="D9802" t="s">
        <v>16831</v>
      </c>
      <c r="E9802" t="s">
        <v>31095</v>
      </c>
      <c r="F9802">
        <v>1979</v>
      </c>
      <c r="G9802" t="s">
        <v>14809</v>
      </c>
      <c r="H9802" t="s">
        <v>31105</v>
      </c>
      <c r="I9802" t="s">
        <v>31100</v>
      </c>
      <c r="J9802" t="s">
        <v>15814</v>
      </c>
      <c r="K9802" s="2" t="str">
        <f>HYPERLINK("http://collections.slsa.sa.gov.au/mpcimg/37500/B37273.htm")</f>
        <v>http://collections.slsa.sa.gov.au/mpcimg/37500/B37273.htm</v>
      </c>
    </row>
    <row r="9803" spans="1:11" x14ac:dyDescent="0.25">
      <c r="A9803" t="s">
        <v>31106</v>
      </c>
      <c r="B9803" s="1" t="str">
        <f>HYPERLINK("https://www.catalog.slsa.sa.gov.au/record=b2020601")</f>
        <v>https://www.catalog.slsa.sa.gov.au/record=b2020601</v>
      </c>
      <c r="C9803" s="1" t="str">
        <f>HYPERLINK("https://www.catalog.slsa.sa.gov.au/xrecord=b2020601")</f>
        <v>https://www.catalog.slsa.sa.gov.au/xrecord=b2020601</v>
      </c>
      <c r="D9803" t="s">
        <v>16831</v>
      </c>
      <c r="E9803" t="s">
        <v>31095</v>
      </c>
      <c r="F9803">
        <v>1979</v>
      </c>
      <c r="G9803" t="s">
        <v>14809</v>
      </c>
      <c r="H9803" t="s">
        <v>31107</v>
      </c>
      <c r="I9803" t="s">
        <v>31108</v>
      </c>
      <c r="J9803" t="s">
        <v>15814</v>
      </c>
      <c r="K9803" s="2" t="str">
        <f>HYPERLINK("http://collections.slsa.sa.gov.au/mpcimg/37500/B37274.htm")</f>
        <v>http://collections.slsa.sa.gov.au/mpcimg/37500/B37274.htm</v>
      </c>
    </row>
    <row r="9804" spans="1:11" x14ac:dyDescent="0.25">
      <c r="A9804" t="s">
        <v>31109</v>
      </c>
      <c r="B9804" s="1" t="str">
        <f>HYPERLINK("https://www.catalog.slsa.sa.gov.au/record=b2020602")</f>
        <v>https://www.catalog.slsa.sa.gov.au/record=b2020602</v>
      </c>
      <c r="C9804" s="1" t="str">
        <f>HYPERLINK("https://www.catalog.slsa.sa.gov.au/xrecord=b2020602")</f>
        <v>https://www.catalog.slsa.sa.gov.au/xrecord=b2020602</v>
      </c>
      <c r="D9804" t="s">
        <v>16831</v>
      </c>
      <c r="E9804" t="s">
        <v>31095</v>
      </c>
      <c r="F9804">
        <v>1979</v>
      </c>
      <c r="G9804" t="s">
        <v>14809</v>
      </c>
      <c r="H9804" t="s">
        <v>31110</v>
      </c>
      <c r="I9804" t="s">
        <v>31097</v>
      </c>
      <c r="J9804" t="s">
        <v>15814</v>
      </c>
      <c r="K9804" s="2" t="str">
        <f>HYPERLINK("http://collections.slsa.sa.gov.au/mpcimg/37500/B37275.htm")</f>
        <v>http://collections.slsa.sa.gov.au/mpcimg/37500/B37275.htm</v>
      </c>
    </row>
    <row r="9805" spans="1:11" x14ac:dyDescent="0.25">
      <c r="A9805" t="s">
        <v>31111</v>
      </c>
      <c r="B9805" s="1" t="str">
        <f>HYPERLINK("https://www.catalog.slsa.sa.gov.au/record=b2020603")</f>
        <v>https://www.catalog.slsa.sa.gov.au/record=b2020603</v>
      </c>
      <c r="C9805" s="1" t="str">
        <f>HYPERLINK("https://www.catalog.slsa.sa.gov.au/xrecord=b2020603")</f>
        <v>https://www.catalog.slsa.sa.gov.au/xrecord=b2020603</v>
      </c>
      <c r="D9805" t="s">
        <v>16831</v>
      </c>
      <c r="E9805" t="s">
        <v>31095</v>
      </c>
      <c r="F9805">
        <v>1979</v>
      </c>
      <c r="G9805" t="s">
        <v>14809</v>
      </c>
      <c r="H9805" t="s">
        <v>31112</v>
      </c>
      <c r="I9805" t="s">
        <v>31103</v>
      </c>
      <c r="J9805" t="s">
        <v>15814</v>
      </c>
      <c r="K9805" s="2" t="str">
        <f>HYPERLINK("http://collections.slsa.sa.gov.au/mpcimg/37500/B37276.htm")</f>
        <v>http://collections.slsa.sa.gov.au/mpcimg/37500/B37276.htm</v>
      </c>
    </row>
    <row r="9806" spans="1:11" x14ac:dyDescent="0.25">
      <c r="A9806" t="s">
        <v>31113</v>
      </c>
      <c r="B9806" s="1" t="str">
        <f>HYPERLINK("https://www.catalog.slsa.sa.gov.au/record=b2020604")</f>
        <v>https://www.catalog.slsa.sa.gov.au/record=b2020604</v>
      </c>
      <c r="C9806" s="1" t="str">
        <f>HYPERLINK("https://www.catalog.slsa.sa.gov.au/xrecord=b2020604")</f>
        <v>https://www.catalog.slsa.sa.gov.au/xrecord=b2020604</v>
      </c>
      <c r="D9806" t="s">
        <v>16831</v>
      </c>
      <c r="E9806" t="s">
        <v>31095</v>
      </c>
      <c r="F9806">
        <v>1979</v>
      </c>
      <c r="G9806" t="s">
        <v>14809</v>
      </c>
      <c r="H9806" t="s">
        <v>31114</v>
      </c>
      <c r="I9806" t="s">
        <v>31115</v>
      </c>
      <c r="J9806" t="s">
        <v>15814</v>
      </c>
      <c r="K9806" s="2" t="str">
        <f>HYPERLINK("http://collections.slsa.sa.gov.au/mpcimg/37500/B37277.htm")</f>
        <v>http://collections.slsa.sa.gov.au/mpcimg/37500/B37277.htm</v>
      </c>
    </row>
    <row r="9807" spans="1:11" x14ac:dyDescent="0.25">
      <c r="A9807" t="s">
        <v>31116</v>
      </c>
      <c r="B9807" s="1" t="str">
        <f>HYPERLINK("https://www.catalog.slsa.sa.gov.au/record=b2020605")</f>
        <v>https://www.catalog.slsa.sa.gov.au/record=b2020605</v>
      </c>
      <c r="C9807" s="1" t="str">
        <f>HYPERLINK("https://www.catalog.slsa.sa.gov.au/xrecord=b2020605")</f>
        <v>https://www.catalog.slsa.sa.gov.au/xrecord=b2020605</v>
      </c>
      <c r="D9807" t="s">
        <v>16831</v>
      </c>
      <c r="E9807" t="s">
        <v>31095</v>
      </c>
      <c r="F9807">
        <v>1979</v>
      </c>
      <c r="G9807" t="s">
        <v>14809</v>
      </c>
      <c r="H9807" t="s">
        <v>31117</v>
      </c>
      <c r="I9807" t="s">
        <v>31118</v>
      </c>
      <c r="J9807" t="s">
        <v>15814</v>
      </c>
      <c r="K9807" s="2" t="str">
        <f>HYPERLINK("http://collections.slsa.sa.gov.au/mpcimg/37500/B37278.htm")</f>
        <v>http://collections.slsa.sa.gov.au/mpcimg/37500/B37278.htm</v>
      </c>
    </row>
    <row r="9808" spans="1:11" x14ac:dyDescent="0.25">
      <c r="A9808" t="s">
        <v>31119</v>
      </c>
      <c r="B9808" s="1" t="str">
        <f>HYPERLINK("https://www.catalog.slsa.sa.gov.au/record=b2020606")</f>
        <v>https://www.catalog.slsa.sa.gov.au/record=b2020606</v>
      </c>
      <c r="C9808" s="1" t="str">
        <f>HYPERLINK("https://www.catalog.slsa.sa.gov.au/xrecord=b2020606")</f>
        <v>https://www.catalog.slsa.sa.gov.au/xrecord=b2020606</v>
      </c>
      <c r="D9808" t="s">
        <v>16831</v>
      </c>
      <c r="E9808" t="s">
        <v>31095</v>
      </c>
      <c r="F9808">
        <v>1979</v>
      </c>
      <c r="G9808" t="s">
        <v>14809</v>
      </c>
      <c r="H9808" t="s">
        <v>31120</v>
      </c>
      <c r="I9808" t="s">
        <v>31121</v>
      </c>
      <c r="J9808" t="s">
        <v>15814</v>
      </c>
      <c r="K9808" s="2" t="str">
        <f>HYPERLINK("http://collections.slsa.sa.gov.au/mpcimg/37500/B37279.htm")</f>
        <v>http://collections.slsa.sa.gov.au/mpcimg/37500/B37279.htm</v>
      </c>
    </row>
    <row r="9809" spans="1:11" x14ac:dyDescent="0.25">
      <c r="A9809" t="s">
        <v>31122</v>
      </c>
      <c r="B9809" s="1" t="str">
        <f>HYPERLINK("https://www.catalog.slsa.sa.gov.au/record=b2020607")</f>
        <v>https://www.catalog.slsa.sa.gov.au/record=b2020607</v>
      </c>
      <c r="C9809" s="1" t="str">
        <f>HYPERLINK("https://www.catalog.slsa.sa.gov.au/xrecord=b2020607")</f>
        <v>https://www.catalog.slsa.sa.gov.au/xrecord=b2020607</v>
      </c>
      <c r="D9809" t="s">
        <v>16831</v>
      </c>
      <c r="E9809" t="s">
        <v>31095</v>
      </c>
      <c r="F9809">
        <v>1979</v>
      </c>
      <c r="G9809" t="s">
        <v>14809</v>
      </c>
      <c r="H9809" t="s">
        <v>31123</v>
      </c>
      <c r="I9809" t="s">
        <v>31121</v>
      </c>
      <c r="J9809" t="s">
        <v>15814</v>
      </c>
      <c r="K9809" s="2" t="str">
        <f>HYPERLINK("http://collections.slsa.sa.gov.au/mpcimg/37500/B37280.htm")</f>
        <v>http://collections.slsa.sa.gov.au/mpcimg/37500/B37280.htm</v>
      </c>
    </row>
    <row r="9810" spans="1:11" x14ac:dyDescent="0.25">
      <c r="A9810" t="s">
        <v>31124</v>
      </c>
      <c r="B9810" s="1" t="str">
        <f>HYPERLINK("https://www.catalog.slsa.sa.gov.au/record=b2020608")</f>
        <v>https://www.catalog.slsa.sa.gov.au/record=b2020608</v>
      </c>
      <c r="C9810" s="1" t="str">
        <f>HYPERLINK("https://www.catalog.slsa.sa.gov.au/xrecord=b2020608")</f>
        <v>https://www.catalog.slsa.sa.gov.au/xrecord=b2020608</v>
      </c>
      <c r="D9810" t="s">
        <v>16831</v>
      </c>
      <c r="E9810" t="s">
        <v>31095</v>
      </c>
      <c r="F9810">
        <v>1979</v>
      </c>
      <c r="G9810" t="s">
        <v>14809</v>
      </c>
      <c r="H9810" t="s">
        <v>31125</v>
      </c>
      <c r="I9810" t="s">
        <v>31126</v>
      </c>
      <c r="J9810" t="s">
        <v>15814</v>
      </c>
      <c r="K9810" s="2" t="str">
        <f>HYPERLINK("http://collections.slsa.sa.gov.au/mpcimg/37500/B37281.htm")</f>
        <v>http://collections.slsa.sa.gov.au/mpcimg/37500/B37281.htm</v>
      </c>
    </row>
    <row r="9811" spans="1:11" x14ac:dyDescent="0.25">
      <c r="A9811" t="s">
        <v>31127</v>
      </c>
      <c r="B9811" s="1" t="str">
        <f>HYPERLINK("https://www.catalog.slsa.sa.gov.au/record=b2020609")</f>
        <v>https://www.catalog.slsa.sa.gov.au/record=b2020609</v>
      </c>
      <c r="C9811" s="1" t="str">
        <f>HYPERLINK("https://www.catalog.slsa.sa.gov.au/xrecord=b2020609")</f>
        <v>https://www.catalog.slsa.sa.gov.au/xrecord=b2020609</v>
      </c>
      <c r="D9811" t="s">
        <v>16831</v>
      </c>
      <c r="E9811" t="s">
        <v>31095</v>
      </c>
      <c r="F9811">
        <v>1979</v>
      </c>
      <c r="G9811" t="s">
        <v>14809</v>
      </c>
      <c r="H9811" t="s">
        <v>31128</v>
      </c>
      <c r="I9811" t="s">
        <v>31129</v>
      </c>
      <c r="J9811" t="s">
        <v>15814</v>
      </c>
      <c r="K9811" s="2" t="str">
        <f>HYPERLINK("http://collections.slsa.sa.gov.au/mpcimg/37500/B37282.htm")</f>
        <v>http://collections.slsa.sa.gov.au/mpcimg/37500/B37282.htm</v>
      </c>
    </row>
    <row r="9812" spans="1:11" x14ac:dyDescent="0.25">
      <c r="A9812" t="s">
        <v>31130</v>
      </c>
      <c r="B9812" s="1" t="str">
        <f>HYPERLINK("https://www.catalog.slsa.sa.gov.au/record=b2020610")</f>
        <v>https://www.catalog.slsa.sa.gov.au/record=b2020610</v>
      </c>
      <c r="C9812" s="1" t="str">
        <f>HYPERLINK("https://www.catalog.slsa.sa.gov.au/xrecord=b2020610")</f>
        <v>https://www.catalog.slsa.sa.gov.au/xrecord=b2020610</v>
      </c>
      <c r="D9812" t="s">
        <v>16831</v>
      </c>
      <c r="E9812" t="s">
        <v>31095</v>
      </c>
      <c r="F9812">
        <v>1979</v>
      </c>
      <c r="G9812" t="s">
        <v>14809</v>
      </c>
      <c r="H9812" t="s">
        <v>31131</v>
      </c>
      <c r="I9812" t="s">
        <v>31126</v>
      </c>
      <c r="J9812" t="s">
        <v>15814</v>
      </c>
      <c r="K9812" s="2" t="str">
        <f>HYPERLINK("http://collections.slsa.sa.gov.au/mpcimg/37500/B37283.htm")</f>
        <v>http://collections.slsa.sa.gov.au/mpcimg/37500/B37283.htm</v>
      </c>
    </row>
    <row r="9813" spans="1:11" x14ac:dyDescent="0.25">
      <c r="A9813" t="s">
        <v>31132</v>
      </c>
      <c r="B9813" s="1" t="str">
        <f>HYPERLINK("https://www.catalog.slsa.sa.gov.au/record=b2020611")</f>
        <v>https://www.catalog.slsa.sa.gov.au/record=b2020611</v>
      </c>
      <c r="C9813" s="1" t="str">
        <f>HYPERLINK("https://www.catalog.slsa.sa.gov.au/xrecord=b2020611")</f>
        <v>https://www.catalog.slsa.sa.gov.au/xrecord=b2020611</v>
      </c>
      <c r="D9813" t="s">
        <v>16831</v>
      </c>
      <c r="E9813" t="s">
        <v>31095</v>
      </c>
      <c r="F9813">
        <v>1979</v>
      </c>
      <c r="G9813" t="s">
        <v>14809</v>
      </c>
      <c r="H9813" t="s">
        <v>31133</v>
      </c>
      <c r="I9813" t="s">
        <v>31126</v>
      </c>
      <c r="J9813" t="s">
        <v>15814</v>
      </c>
      <c r="K9813" s="2" t="str">
        <f>HYPERLINK("http://collections.slsa.sa.gov.au/mpcimg/37500/B37284.htm")</f>
        <v>http://collections.slsa.sa.gov.au/mpcimg/37500/B37284.htm</v>
      </c>
    </row>
    <row r="9814" spans="1:11" x14ac:dyDescent="0.25">
      <c r="A9814" t="s">
        <v>31134</v>
      </c>
      <c r="B9814" s="1" t="str">
        <f>HYPERLINK("https://www.catalog.slsa.sa.gov.au/record=b2020612")</f>
        <v>https://www.catalog.slsa.sa.gov.au/record=b2020612</v>
      </c>
      <c r="C9814" s="1" t="str">
        <f>HYPERLINK("https://www.catalog.slsa.sa.gov.au/xrecord=b2020612")</f>
        <v>https://www.catalog.slsa.sa.gov.au/xrecord=b2020612</v>
      </c>
      <c r="D9814" t="s">
        <v>16831</v>
      </c>
      <c r="E9814" t="s">
        <v>31095</v>
      </c>
      <c r="F9814">
        <v>1979</v>
      </c>
      <c r="G9814" t="s">
        <v>14809</v>
      </c>
      <c r="H9814" t="s">
        <v>31135</v>
      </c>
      <c r="I9814" t="s">
        <v>31126</v>
      </c>
      <c r="J9814" t="s">
        <v>15814</v>
      </c>
      <c r="K9814" s="2" t="str">
        <f>HYPERLINK("http://collections.slsa.sa.gov.au/mpcimg/37500/B37285.htm")</f>
        <v>http://collections.slsa.sa.gov.au/mpcimg/37500/B37285.htm</v>
      </c>
    </row>
    <row r="9815" spans="1:11" x14ac:dyDescent="0.25">
      <c r="A9815" t="s">
        <v>31136</v>
      </c>
      <c r="B9815" s="1" t="str">
        <f>HYPERLINK("https://www.catalog.slsa.sa.gov.au/record=b2020613")</f>
        <v>https://www.catalog.slsa.sa.gov.au/record=b2020613</v>
      </c>
      <c r="C9815" s="1" t="str">
        <f>HYPERLINK("https://www.catalog.slsa.sa.gov.au/xrecord=b2020613")</f>
        <v>https://www.catalog.slsa.sa.gov.au/xrecord=b2020613</v>
      </c>
      <c r="D9815" t="s">
        <v>16831</v>
      </c>
      <c r="E9815" t="s">
        <v>31095</v>
      </c>
      <c r="F9815">
        <v>1979</v>
      </c>
      <c r="G9815" t="s">
        <v>14809</v>
      </c>
      <c r="H9815" t="s">
        <v>31137</v>
      </c>
      <c r="I9815" t="s">
        <v>31138</v>
      </c>
      <c r="J9815" t="s">
        <v>15814</v>
      </c>
      <c r="K9815" s="2" t="str">
        <f>HYPERLINK("http://collections.slsa.sa.gov.au/mpcimg/37500/B37286.htm")</f>
        <v>http://collections.slsa.sa.gov.au/mpcimg/37500/B37286.htm</v>
      </c>
    </row>
    <row r="9816" spans="1:11" x14ac:dyDescent="0.25">
      <c r="A9816" t="s">
        <v>31139</v>
      </c>
      <c r="B9816" s="1" t="str">
        <f>HYPERLINK("https://www.catalog.slsa.sa.gov.au/record=b2020614")</f>
        <v>https://www.catalog.slsa.sa.gov.au/record=b2020614</v>
      </c>
      <c r="C9816" s="1" t="str">
        <f>HYPERLINK("https://www.catalog.slsa.sa.gov.au/xrecord=b2020614")</f>
        <v>https://www.catalog.slsa.sa.gov.au/xrecord=b2020614</v>
      </c>
      <c r="D9816" t="s">
        <v>16831</v>
      </c>
      <c r="E9816" t="s">
        <v>31095</v>
      </c>
      <c r="F9816">
        <v>1979</v>
      </c>
      <c r="G9816" t="s">
        <v>14809</v>
      </c>
      <c r="H9816" t="s">
        <v>31140</v>
      </c>
      <c r="I9816" t="s">
        <v>31138</v>
      </c>
      <c r="J9816" t="s">
        <v>15814</v>
      </c>
      <c r="K9816" s="2" t="str">
        <f>HYPERLINK("http://collections.slsa.sa.gov.au/mpcimg/37500/B37287.htm")</f>
        <v>http://collections.slsa.sa.gov.au/mpcimg/37500/B37287.htm</v>
      </c>
    </row>
    <row r="9817" spans="1:11" x14ac:dyDescent="0.25">
      <c r="A9817" t="s">
        <v>31141</v>
      </c>
      <c r="B9817" s="1" t="str">
        <f>HYPERLINK("https://www.catalog.slsa.sa.gov.au/record=b2020615")</f>
        <v>https://www.catalog.slsa.sa.gov.au/record=b2020615</v>
      </c>
      <c r="C9817" s="1" t="str">
        <f>HYPERLINK("https://www.catalog.slsa.sa.gov.au/xrecord=b2020615")</f>
        <v>https://www.catalog.slsa.sa.gov.au/xrecord=b2020615</v>
      </c>
      <c r="D9817" t="s">
        <v>16831</v>
      </c>
      <c r="E9817" t="s">
        <v>31095</v>
      </c>
      <c r="F9817">
        <v>1979</v>
      </c>
      <c r="G9817" t="s">
        <v>14809</v>
      </c>
      <c r="H9817" t="s">
        <v>31142</v>
      </c>
      <c r="I9817" t="s">
        <v>31143</v>
      </c>
      <c r="J9817" t="s">
        <v>15814</v>
      </c>
      <c r="K9817" s="2" t="str">
        <f>HYPERLINK("http://collections.slsa.sa.gov.au/mpcimg/37500/B37288.htm")</f>
        <v>http://collections.slsa.sa.gov.au/mpcimg/37500/B37288.htm</v>
      </c>
    </row>
    <row r="9818" spans="1:11" x14ac:dyDescent="0.25">
      <c r="A9818" t="s">
        <v>31144</v>
      </c>
      <c r="B9818" s="1" t="str">
        <f>HYPERLINK("https://www.catalog.slsa.sa.gov.au/record=b2020616")</f>
        <v>https://www.catalog.slsa.sa.gov.au/record=b2020616</v>
      </c>
      <c r="C9818" s="1" t="str">
        <f>HYPERLINK("https://www.catalog.slsa.sa.gov.au/xrecord=b2020616")</f>
        <v>https://www.catalog.slsa.sa.gov.au/xrecord=b2020616</v>
      </c>
      <c r="D9818" t="s">
        <v>16831</v>
      </c>
      <c r="E9818" t="s">
        <v>31095</v>
      </c>
      <c r="F9818">
        <v>1979</v>
      </c>
      <c r="G9818" t="s">
        <v>14809</v>
      </c>
      <c r="H9818" t="s">
        <v>31145</v>
      </c>
      <c r="I9818" t="s">
        <v>31138</v>
      </c>
      <c r="J9818" t="s">
        <v>15814</v>
      </c>
      <c r="K9818" s="2" t="str">
        <f>HYPERLINK("http://collections.slsa.sa.gov.au/mpcimg/37500/B37289.htm")</f>
        <v>http://collections.slsa.sa.gov.au/mpcimg/37500/B37289.htm</v>
      </c>
    </row>
    <row r="9819" spans="1:11" x14ac:dyDescent="0.25">
      <c r="A9819" t="s">
        <v>31146</v>
      </c>
      <c r="B9819" s="1" t="str">
        <f>HYPERLINK("https://www.catalog.slsa.sa.gov.au/record=b2020617")</f>
        <v>https://www.catalog.slsa.sa.gov.au/record=b2020617</v>
      </c>
      <c r="C9819" s="1" t="str">
        <f>HYPERLINK("https://www.catalog.slsa.sa.gov.au/xrecord=b2020617")</f>
        <v>https://www.catalog.slsa.sa.gov.au/xrecord=b2020617</v>
      </c>
      <c r="D9819" t="s">
        <v>16831</v>
      </c>
      <c r="E9819" t="s">
        <v>31095</v>
      </c>
      <c r="F9819">
        <v>1979</v>
      </c>
      <c r="G9819" t="s">
        <v>14809</v>
      </c>
      <c r="H9819" t="s">
        <v>31147</v>
      </c>
      <c r="I9819" t="s">
        <v>31126</v>
      </c>
      <c r="J9819" t="s">
        <v>15814</v>
      </c>
      <c r="K9819" s="2" t="str">
        <f>HYPERLINK("http://collections.slsa.sa.gov.au/mpcimg/37500/B37290.htm")</f>
        <v>http://collections.slsa.sa.gov.au/mpcimg/37500/B37290.htm</v>
      </c>
    </row>
    <row r="9820" spans="1:11" x14ac:dyDescent="0.25">
      <c r="A9820" t="s">
        <v>31148</v>
      </c>
      <c r="B9820" s="1" t="str">
        <f>HYPERLINK("https://www.catalog.slsa.sa.gov.au/record=b2020618")</f>
        <v>https://www.catalog.slsa.sa.gov.au/record=b2020618</v>
      </c>
      <c r="C9820" s="1" t="str">
        <f>HYPERLINK("https://www.catalog.slsa.sa.gov.au/xrecord=b2020618")</f>
        <v>https://www.catalog.slsa.sa.gov.au/xrecord=b2020618</v>
      </c>
      <c r="D9820" t="s">
        <v>16831</v>
      </c>
      <c r="E9820" t="s">
        <v>31095</v>
      </c>
      <c r="F9820">
        <v>1979</v>
      </c>
      <c r="G9820" t="s">
        <v>14809</v>
      </c>
      <c r="H9820" t="s">
        <v>31149</v>
      </c>
      <c r="I9820" t="s">
        <v>31138</v>
      </c>
      <c r="J9820" t="s">
        <v>15814</v>
      </c>
      <c r="K9820" s="2" t="str">
        <f>HYPERLINK("http://collections.slsa.sa.gov.au/mpcimg/37500/B37291.htm")</f>
        <v>http://collections.slsa.sa.gov.au/mpcimg/37500/B37291.htm</v>
      </c>
    </row>
    <row r="9821" spans="1:11" x14ac:dyDescent="0.25">
      <c r="A9821" t="s">
        <v>31150</v>
      </c>
      <c r="B9821" s="1" t="str">
        <f>HYPERLINK("https://www.catalog.slsa.sa.gov.au/record=b2020619")</f>
        <v>https://www.catalog.slsa.sa.gov.au/record=b2020619</v>
      </c>
      <c r="C9821" s="1" t="str">
        <f>HYPERLINK("https://www.catalog.slsa.sa.gov.au/xrecord=b2020619")</f>
        <v>https://www.catalog.slsa.sa.gov.au/xrecord=b2020619</v>
      </c>
      <c r="D9821" t="s">
        <v>16831</v>
      </c>
      <c r="E9821" t="s">
        <v>31095</v>
      </c>
      <c r="F9821">
        <v>1979</v>
      </c>
      <c r="G9821" t="s">
        <v>14809</v>
      </c>
      <c r="H9821" t="s">
        <v>31151</v>
      </c>
      <c r="I9821" t="s">
        <v>31138</v>
      </c>
      <c r="J9821" t="s">
        <v>15814</v>
      </c>
      <c r="K9821" s="2" t="str">
        <f>HYPERLINK("http://collections.slsa.sa.gov.au/mpcimg/37500/B37292.htm")</f>
        <v>http://collections.slsa.sa.gov.au/mpcimg/37500/B37292.htm</v>
      </c>
    </row>
    <row r="9822" spans="1:11" x14ac:dyDescent="0.25">
      <c r="A9822" t="s">
        <v>31152</v>
      </c>
      <c r="B9822" s="1" t="str">
        <f>HYPERLINK("https://www.catalog.slsa.sa.gov.au/record=b2020620")</f>
        <v>https://www.catalog.slsa.sa.gov.au/record=b2020620</v>
      </c>
      <c r="C9822" s="1" t="str">
        <f>HYPERLINK("https://www.catalog.slsa.sa.gov.au/xrecord=b2020620")</f>
        <v>https://www.catalog.slsa.sa.gov.au/xrecord=b2020620</v>
      </c>
      <c r="D9822" t="s">
        <v>16831</v>
      </c>
      <c r="E9822" t="s">
        <v>31095</v>
      </c>
      <c r="F9822">
        <v>1979</v>
      </c>
      <c r="G9822" t="s">
        <v>14809</v>
      </c>
      <c r="H9822" t="s">
        <v>31153</v>
      </c>
      <c r="I9822" t="s">
        <v>31138</v>
      </c>
      <c r="J9822" t="s">
        <v>15814</v>
      </c>
      <c r="K9822" s="2" t="str">
        <f>HYPERLINK("http://collections.slsa.sa.gov.au/mpcimg/37500/B37293.htm")</f>
        <v>http://collections.slsa.sa.gov.au/mpcimg/37500/B37293.htm</v>
      </c>
    </row>
    <row r="9823" spans="1:11" x14ac:dyDescent="0.25">
      <c r="A9823" t="s">
        <v>31154</v>
      </c>
      <c r="B9823" s="1" t="str">
        <f>HYPERLINK("https://www.catalog.slsa.sa.gov.au/record=b2020621")</f>
        <v>https://www.catalog.slsa.sa.gov.au/record=b2020621</v>
      </c>
      <c r="C9823" s="1" t="str">
        <f>HYPERLINK("https://www.catalog.slsa.sa.gov.au/xrecord=b2020621")</f>
        <v>https://www.catalog.slsa.sa.gov.au/xrecord=b2020621</v>
      </c>
      <c r="D9823" t="s">
        <v>16831</v>
      </c>
      <c r="E9823" t="s">
        <v>31095</v>
      </c>
      <c r="F9823">
        <v>1979</v>
      </c>
      <c r="G9823" t="s">
        <v>14809</v>
      </c>
      <c r="H9823" t="s">
        <v>31155</v>
      </c>
      <c r="I9823" t="s">
        <v>31138</v>
      </c>
      <c r="J9823" t="s">
        <v>15814</v>
      </c>
      <c r="K9823" s="2" t="str">
        <f>HYPERLINK("http://collections.slsa.sa.gov.au/mpcimg/37500/B37294.htm")</f>
        <v>http://collections.slsa.sa.gov.au/mpcimg/37500/B37294.htm</v>
      </c>
    </row>
    <row r="9824" spans="1:11" x14ac:dyDescent="0.25">
      <c r="A9824" t="s">
        <v>31156</v>
      </c>
      <c r="B9824" s="1" t="str">
        <f>HYPERLINK("https://www.catalog.slsa.sa.gov.au/record=b2020622")</f>
        <v>https://www.catalog.slsa.sa.gov.au/record=b2020622</v>
      </c>
      <c r="C9824" s="1" t="str">
        <f>HYPERLINK("https://www.catalog.slsa.sa.gov.au/xrecord=b2020622")</f>
        <v>https://www.catalog.slsa.sa.gov.au/xrecord=b2020622</v>
      </c>
      <c r="D9824" t="s">
        <v>16831</v>
      </c>
      <c r="E9824" t="s">
        <v>31095</v>
      </c>
      <c r="F9824">
        <v>1979</v>
      </c>
      <c r="G9824" t="s">
        <v>14809</v>
      </c>
      <c r="H9824" t="s">
        <v>31155</v>
      </c>
      <c r="I9824" t="s">
        <v>31138</v>
      </c>
      <c r="J9824" t="s">
        <v>15814</v>
      </c>
      <c r="K9824" s="2" t="str">
        <f>HYPERLINK("http://collections.slsa.sa.gov.au/mpcimg/37500/B37295.htm")</f>
        <v>http://collections.slsa.sa.gov.au/mpcimg/37500/B37295.htm</v>
      </c>
    </row>
    <row r="9825" spans="1:11" x14ac:dyDescent="0.25">
      <c r="A9825" t="s">
        <v>31157</v>
      </c>
      <c r="B9825" s="1" t="str">
        <f>HYPERLINK("https://www.catalog.slsa.sa.gov.au/record=b2020624")</f>
        <v>https://www.catalog.slsa.sa.gov.au/record=b2020624</v>
      </c>
      <c r="C9825" s="1" t="str">
        <f>HYPERLINK("https://www.catalog.slsa.sa.gov.au/xrecord=b2020624")</f>
        <v>https://www.catalog.slsa.sa.gov.au/xrecord=b2020624</v>
      </c>
      <c r="D9825" t="s">
        <v>16831</v>
      </c>
      <c r="E9825" t="s">
        <v>31095</v>
      </c>
      <c r="F9825">
        <v>1979</v>
      </c>
      <c r="G9825" t="s">
        <v>14809</v>
      </c>
      <c r="H9825" t="s">
        <v>31158</v>
      </c>
      <c r="I9825" t="s">
        <v>31121</v>
      </c>
      <c r="J9825" t="s">
        <v>15814</v>
      </c>
      <c r="K9825" s="2" t="str">
        <f>HYPERLINK("http://collections.slsa.sa.gov.au/mpcimg/37500/B37297.htm")</f>
        <v>http://collections.slsa.sa.gov.au/mpcimg/37500/B37297.htm</v>
      </c>
    </row>
    <row r="9826" spans="1:11" x14ac:dyDescent="0.25">
      <c r="A9826" t="s">
        <v>31159</v>
      </c>
      <c r="B9826" s="1" t="str">
        <f>HYPERLINK("https://www.catalog.slsa.sa.gov.au/record=b2020625")</f>
        <v>https://www.catalog.slsa.sa.gov.au/record=b2020625</v>
      </c>
      <c r="C9826" s="1" t="str">
        <f>HYPERLINK("https://www.catalog.slsa.sa.gov.au/xrecord=b2020625")</f>
        <v>https://www.catalog.slsa.sa.gov.au/xrecord=b2020625</v>
      </c>
      <c r="D9826" t="s">
        <v>16831</v>
      </c>
      <c r="E9826" t="s">
        <v>31095</v>
      </c>
      <c r="F9826">
        <v>1979</v>
      </c>
      <c r="G9826" t="s">
        <v>14809</v>
      </c>
      <c r="H9826" t="s">
        <v>31160</v>
      </c>
      <c r="I9826" t="s">
        <v>31161</v>
      </c>
      <c r="J9826" t="s">
        <v>15814</v>
      </c>
      <c r="K9826" s="2" t="str">
        <f>HYPERLINK("http://collections.slsa.sa.gov.au/mpcimg/37500/B37298.htm")</f>
        <v>http://collections.slsa.sa.gov.au/mpcimg/37500/B37298.htm</v>
      </c>
    </row>
    <row r="9827" spans="1:11" x14ac:dyDescent="0.25">
      <c r="A9827" t="s">
        <v>31162</v>
      </c>
      <c r="B9827" s="1" t="str">
        <f>HYPERLINK("https://www.catalog.slsa.sa.gov.au/record=b2020626")</f>
        <v>https://www.catalog.slsa.sa.gov.au/record=b2020626</v>
      </c>
      <c r="C9827" s="1" t="str">
        <f>HYPERLINK("https://www.catalog.slsa.sa.gov.au/xrecord=b2020626")</f>
        <v>https://www.catalog.slsa.sa.gov.au/xrecord=b2020626</v>
      </c>
      <c r="D9827" t="s">
        <v>16831</v>
      </c>
      <c r="E9827" t="s">
        <v>31095</v>
      </c>
      <c r="F9827">
        <v>1979</v>
      </c>
      <c r="G9827" t="s">
        <v>14809</v>
      </c>
      <c r="H9827" t="s">
        <v>31163</v>
      </c>
      <c r="I9827" t="s">
        <v>31164</v>
      </c>
      <c r="J9827" t="s">
        <v>15814</v>
      </c>
      <c r="K9827" s="2" t="str">
        <f>HYPERLINK("http://collections.slsa.sa.gov.au/mpcimg/37500/B37299.htm")</f>
        <v>http://collections.slsa.sa.gov.au/mpcimg/37500/B37299.htm</v>
      </c>
    </row>
    <row r="9828" spans="1:11" x14ac:dyDescent="0.25">
      <c r="A9828" t="s">
        <v>31165</v>
      </c>
      <c r="B9828" s="1" t="str">
        <f>HYPERLINK("https://www.catalog.slsa.sa.gov.au/record=b2020627")</f>
        <v>https://www.catalog.slsa.sa.gov.au/record=b2020627</v>
      </c>
      <c r="C9828" s="1" t="str">
        <f>HYPERLINK("https://www.catalog.slsa.sa.gov.au/xrecord=b2020627")</f>
        <v>https://www.catalog.slsa.sa.gov.au/xrecord=b2020627</v>
      </c>
      <c r="D9828" t="s">
        <v>16831</v>
      </c>
      <c r="E9828" t="s">
        <v>31095</v>
      </c>
      <c r="F9828">
        <v>1979</v>
      </c>
      <c r="G9828" t="s">
        <v>14809</v>
      </c>
      <c r="H9828" t="s">
        <v>31163</v>
      </c>
      <c r="I9828" t="s">
        <v>31108</v>
      </c>
      <c r="J9828" t="s">
        <v>15814</v>
      </c>
      <c r="K9828" s="2" t="str">
        <f>HYPERLINK("http://collections.slsa.sa.gov.au/mpcimg/37500/B37300.htm")</f>
        <v>http://collections.slsa.sa.gov.au/mpcimg/37500/B37300.htm</v>
      </c>
    </row>
    <row r="9829" spans="1:11" x14ac:dyDescent="0.25">
      <c r="A9829" t="s">
        <v>31166</v>
      </c>
      <c r="B9829" s="1" t="str">
        <f>HYPERLINK("https://www.catalog.slsa.sa.gov.au/record=b2039874")</f>
        <v>https://www.catalog.slsa.sa.gov.au/record=b2039874</v>
      </c>
      <c r="C9829" s="1" t="str">
        <f>HYPERLINK("https://www.catalog.slsa.sa.gov.au/xrecord=b2039874")</f>
        <v>https://www.catalog.slsa.sa.gov.au/xrecord=b2039874</v>
      </c>
      <c r="D9829" t="s">
        <v>16831</v>
      </c>
      <c r="E9829" t="s">
        <v>31167</v>
      </c>
      <c r="F9829">
        <v>1979</v>
      </c>
      <c r="G9829" t="s">
        <v>31168</v>
      </c>
      <c r="H9829" t="s">
        <v>31169</v>
      </c>
      <c r="I9829" t="s">
        <v>31170</v>
      </c>
      <c r="J9829" t="s">
        <v>31171</v>
      </c>
      <c r="K9829" s="2" t="str">
        <f>HYPERLINK("http://collections.slsa.sa.gov.au/mpcimg/45000/B44968.htm")</f>
        <v>http://collections.slsa.sa.gov.au/mpcimg/45000/B44968.htm</v>
      </c>
    </row>
    <row r="9830" spans="1:11" x14ac:dyDescent="0.25">
      <c r="A9830" t="s">
        <v>31172</v>
      </c>
      <c r="B9830" s="1" t="str">
        <f>HYPERLINK("https://www.catalog.slsa.sa.gov.au/record=b2045464")</f>
        <v>https://www.catalog.slsa.sa.gov.au/record=b2045464</v>
      </c>
      <c r="C9830" s="1" t="str">
        <f>HYPERLINK("https://www.catalog.slsa.sa.gov.au/xrecord=b2045464")</f>
        <v>https://www.catalog.slsa.sa.gov.au/xrecord=b2045464</v>
      </c>
      <c r="D9830" t="s">
        <v>16831</v>
      </c>
      <c r="E9830" t="s">
        <v>31173</v>
      </c>
      <c r="F9830">
        <v>1979</v>
      </c>
      <c r="G9830" t="s">
        <v>14809</v>
      </c>
      <c r="H9830" t="s">
        <v>31174</v>
      </c>
      <c r="I9830" t="s">
        <v>31175</v>
      </c>
      <c r="J9830" t="s">
        <v>15664</v>
      </c>
      <c r="K9830" s="2" t="str">
        <f>HYPERLINK("http://collections.slsa.sa.gov.au/mpcimg/36750/B36564.htm")</f>
        <v>http://collections.slsa.sa.gov.au/mpcimg/36750/B36564.htm</v>
      </c>
    </row>
    <row r="9831" spans="1:11" x14ac:dyDescent="0.25">
      <c r="A9831" t="s">
        <v>31176</v>
      </c>
      <c r="B9831" s="1" t="str">
        <f>HYPERLINK("https://www.catalog.slsa.sa.gov.au/record=b2045465")</f>
        <v>https://www.catalog.slsa.sa.gov.au/record=b2045465</v>
      </c>
      <c r="C9831" s="1" t="str">
        <f>HYPERLINK("https://www.catalog.slsa.sa.gov.au/xrecord=b2045465")</f>
        <v>https://www.catalog.slsa.sa.gov.au/xrecord=b2045465</v>
      </c>
      <c r="D9831" t="s">
        <v>16831</v>
      </c>
      <c r="E9831" t="s">
        <v>31173</v>
      </c>
      <c r="F9831">
        <v>1979</v>
      </c>
      <c r="G9831" t="s">
        <v>14809</v>
      </c>
      <c r="H9831" t="s">
        <v>31174</v>
      </c>
      <c r="I9831" t="s">
        <v>31175</v>
      </c>
      <c r="J9831" t="s">
        <v>15664</v>
      </c>
      <c r="K9831" s="2" t="str">
        <f>HYPERLINK("http://collections.slsa.sa.gov.au/mpcimg/36750/B36565.htm")</f>
        <v>http://collections.slsa.sa.gov.au/mpcimg/36750/B36565.htm</v>
      </c>
    </row>
    <row r="9832" spans="1:11" x14ac:dyDescent="0.25">
      <c r="A9832" t="s">
        <v>31177</v>
      </c>
      <c r="B9832" s="1" t="str">
        <f>HYPERLINK("https://www.catalog.slsa.sa.gov.au/record=b2045466")</f>
        <v>https://www.catalog.slsa.sa.gov.au/record=b2045466</v>
      </c>
      <c r="C9832" s="1" t="str">
        <f>HYPERLINK("https://www.catalog.slsa.sa.gov.au/xrecord=b2045466")</f>
        <v>https://www.catalog.slsa.sa.gov.au/xrecord=b2045466</v>
      </c>
      <c r="D9832" t="s">
        <v>16831</v>
      </c>
      <c r="E9832" t="s">
        <v>31173</v>
      </c>
      <c r="F9832">
        <v>1979</v>
      </c>
      <c r="G9832" t="s">
        <v>14809</v>
      </c>
      <c r="H9832" t="s">
        <v>31174</v>
      </c>
      <c r="I9832" t="s">
        <v>31175</v>
      </c>
      <c r="J9832" t="s">
        <v>15664</v>
      </c>
      <c r="K9832" s="2" t="str">
        <f>HYPERLINK("http://collections.slsa.sa.gov.au/mpcimg/36750/B36566.htm")</f>
        <v>http://collections.slsa.sa.gov.au/mpcimg/36750/B36566.htm</v>
      </c>
    </row>
    <row r="9833" spans="1:11" x14ac:dyDescent="0.25">
      <c r="A9833" t="s">
        <v>31178</v>
      </c>
      <c r="B9833" s="1" t="str">
        <f>HYPERLINK("https://www.catalog.slsa.sa.gov.au/record=b2045467")</f>
        <v>https://www.catalog.slsa.sa.gov.au/record=b2045467</v>
      </c>
      <c r="C9833" s="1" t="str">
        <f>HYPERLINK("https://www.catalog.slsa.sa.gov.au/xrecord=b2045467")</f>
        <v>https://www.catalog.slsa.sa.gov.au/xrecord=b2045467</v>
      </c>
      <c r="D9833" t="s">
        <v>16831</v>
      </c>
      <c r="E9833" t="s">
        <v>31173</v>
      </c>
      <c r="F9833">
        <v>1979</v>
      </c>
      <c r="G9833" t="s">
        <v>14809</v>
      </c>
      <c r="H9833" t="s">
        <v>31174</v>
      </c>
      <c r="I9833" t="s">
        <v>31175</v>
      </c>
      <c r="J9833" t="s">
        <v>15664</v>
      </c>
      <c r="K9833" s="2" t="str">
        <f>HYPERLINK("http://collections.slsa.sa.gov.au/mpcimg/36750/B36567.htm")</f>
        <v>http://collections.slsa.sa.gov.au/mpcimg/36750/B36567.htm</v>
      </c>
    </row>
    <row r="9834" spans="1:11" x14ac:dyDescent="0.25">
      <c r="A9834" t="s">
        <v>31179</v>
      </c>
      <c r="B9834" s="1" t="str">
        <f>HYPERLINK("https://www.catalog.slsa.sa.gov.au/record=b2045468")</f>
        <v>https://www.catalog.slsa.sa.gov.au/record=b2045468</v>
      </c>
      <c r="C9834" s="1" t="str">
        <f>HYPERLINK("https://www.catalog.slsa.sa.gov.au/xrecord=b2045468")</f>
        <v>https://www.catalog.slsa.sa.gov.au/xrecord=b2045468</v>
      </c>
      <c r="D9834" t="s">
        <v>16831</v>
      </c>
      <c r="E9834" t="s">
        <v>31173</v>
      </c>
      <c r="F9834">
        <v>1979</v>
      </c>
      <c r="G9834" t="s">
        <v>14809</v>
      </c>
      <c r="H9834" t="s">
        <v>31174</v>
      </c>
      <c r="I9834" t="s">
        <v>31175</v>
      </c>
      <c r="J9834" t="s">
        <v>15664</v>
      </c>
      <c r="K9834" s="2" t="str">
        <f>HYPERLINK("http://collections.slsa.sa.gov.au/mpcimg/36750/B36568.htm")</f>
        <v>http://collections.slsa.sa.gov.au/mpcimg/36750/B36568.htm</v>
      </c>
    </row>
    <row r="9835" spans="1:11" x14ac:dyDescent="0.25">
      <c r="A9835" t="s">
        <v>31180</v>
      </c>
      <c r="B9835" s="1" t="str">
        <f>HYPERLINK("https://www.catalog.slsa.sa.gov.au/record=b2045469")</f>
        <v>https://www.catalog.slsa.sa.gov.au/record=b2045469</v>
      </c>
      <c r="C9835" s="1" t="str">
        <f>HYPERLINK("https://www.catalog.slsa.sa.gov.au/xrecord=b2045469")</f>
        <v>https://www.catalog.slsa.sa.gov.au/xrecord=b2045469</v>
      </c>
      <c r="D9835" t="s">
        <v>16831</v>
      </c>
      <c r="E9835" t="s">
        <v>31173</v>
      </c>
      <c r="F9835">
        <v>1979</v>
      </c>
      <c r="G9835" t="s">
        <v>14809</v>
      </c>
      <c r="H9835" t="s">
        <v>31174</v>
      </c>
      <c r="I9835" t="s">
        <v>31175</v>
      </c>
      <c r="J9835" t="s">
        <v>15664</v>
      </c>
      <c r="K9835" s="2" t="str">
        <f>HYPERLINK("http://collections.slsa.sa.gov.au/mpcimg/36750/B36569.htm")</f>
        <v>http://collections.slsa.sa.gov.au/mpcimg/36750/B36569.htm</v>
      </c>
    </row>
    <row r="9836" spans="1:11" x14ac:dyDescent="0.25">
      <c r="A9836" t="s">
        <v>31181</v>
      </c>
      <c r="B9836" s="1" t="str">
        <f>HYPERLINK("https://www.catalog.slsa.sa.gov.au/record=b2045470")</f>
        <v>https://www.catalog.slsa.sa.gov.au/record=b2045470</v>
      </c>
      <c r="C9836" s="1" t="str">
        <f>HYPERLINK("https://www.catalog.slsa.sa.gov.au/xrecord=b2045470")</f>
        <v>https://www.catalog.slsa.sa.gov.au/xrecord=b2045470</v>
      </c>
      <c r="D9836" t="s">
        <v>16831</v>
      </c>
      <c r="E9836" t="s">
        <v>31173</v>
      </c>
      <c r="F9836">
        <v>1979</v>
      </c>
      <c r="G9836" t="s">
        <v>14809</v>
      </c>
      <c r="H9836" t="s">
        <v>31174</v>
      </c>
      <c r="I9836" t="s">
        <v>31175</v>
      </c>
      <c r="J9836" t="s">
        <v>15664</v>
      </c>
      <c r="K9836" s="2" t="str">
        <f>HYPERLINK("http://collections.slsa.sa.gov.au/mpcimg/36750/B36570.htm")</f>
        <v>http://collections.slsa.sa.gov.au/mpcimg/36750/B36570.htm</v>
      </c>
    </row>
    <row r="9837" spans="1:11" x14ac:dyDescent="0.25">
      <c r="A9837" t="s">
        <v>31182</v>
      </c>
      <c r="B9837" s="1" t="str">
        <f>HYPERLINK("https://www.catalog.slsa.sa.gov.au/record=b2045471")</f>
        <v>https://www.catalog.slsa.sa.gov.au/record=b2045471</v>
      </c>
      <c r="C9837" s="1" t="str">
        <f>HYPERLINK("https://www.catalog.slsa.sa.gov.au/xrecord=b2045471")</f>
        <v>https://www.catalog.slsa.sa.gov.au/xrecord=b2045471</v>
      </c>
      <c r="D9837" t="s">
        <v>16831</v>
      </c>
      <c r="E9837" t="s">
        <v>31173</v>
      </c>
      <c r="F9837">
        <v>1979</v>
      </c>
      <c r="G9837" t="s">
        <v>14809</v>
      </c>
      <c r="H9837" t="s">
        <v>31174</v>
      </c>
      <c r="I9837" t="s">
        <v>31175</v>
      </c>
      <c r="J9837" t="s">
        <v>15664</v>
      </c>
      <c r="K9837" s="2" t="str">
        <f>HYPERLINK("http://collections.slsa.sa.gov.au/mpcimg/36750/B36571.htm")</f>
        <v>http://collections.slsa.sa.gov.au/mpcimg/36750/B36571.htm</v>
      </c>
    </row>
    <row r="9838" spans="1:11" x14ac:dyDescent="0.25">
      <c r="A9838" t="s">
        <v>31183</v>
      </c>
      <c r="B9838" s="1" t="str">
        <f>HYPERLINK("https://www.catalog.slsa.sa.gov.au/record=b2045472")</f>
        <v>https://www.catalog.slsa.sa.gov.au/record=b2045472</v>
      </c>
      <c r="C9838" s="1" t="str">
        <f>HYPERLINK("https://www.catalog.slsa.sa.gov.au/xrecord=b2045472")</f>
        <v>https://www.catalog.slsa.sa.gov.au/xrecord=b2045472</v>
      </c>
      <c r="D9838" t="s">
        <v>16831</v>
      </c>
      <c r="E9838" t="s">
        <v>31184</v>
      </c>
      <c r="F9838">
        <v>1979</v>
      </c>
      <c r="G9838" t="s">
        <v>14809</v>
      </c>
      <c r="H9838" t="s">
        <v>31185</v>
      </c>
      <c r="J9838" t="s">
        <v>15664</v>
      </c>
      <c r="K9838" s="2" t="str">
        <f>HYPERLINK("http://collections.slsa.sa.gov.au/mpcimg/36750/B36572.htm")</f>
        <v>http://collections.slsa.sa.gov.au/mpcimg/36750/B36572.htm</v>
      </c>
    </row>
    <row r="9839" spans="1:11" x14ac:dyDescent="0.25">
      <c r="A9839" t="s">
        <v>31186</v>
      </c>
      <c r="B9839" s="1" t="str">
        <f>HYPERLINK("https://www.catalog.slsa.sa.gov.au/record=b2045473")</f>
        <v>https://www.catalog.slsa.sa.gov.au/record=b2045473</v>
      </c>
      <c r="C9839" s="1" t="str">
        <f>HYPERLINK("https://www.catalog.slsa.sa.gov.au/xrecord=b2045473")</f>
        <v>https://www.catalog.slsa.sa.gov.au/xrecord=b2045473</v>
      </c>
      <c r="D9839" t="s">
        <v>16831</v>
      </c>
      <c r="E9839" t="s">
        <v>31184</v>
      </c>
      <c r="F9839">
        <v>1979</v>
      </c>
      <c r="G9839" t="s">
        <v>14809</v>
      </c>
      <c r="H9839" t="s">
        <v>31185</v>
      </c>
      <c r="J9839" t="s">
        <v>15664</v>
      </c>
      <c r="K9839" s="2" t="str">
        <f>HYPERLINK("http://collections.slsa.sa.gov.au/mpcimg/36750/B36573.htm")</f>
        <v>http://collections.slsa.sa.gov.au/mpcimg/36750/B36573.htm</v>
      </c>
    </row>
    <row r="9840" spans="1:11" x14ac:dyDescent="0.25">
      <c r="A9840" t="s">
        <v>31187</v>
      </c>
      <c r="B9840" s="1" t="str">
        <f>HYPERLINK("https://www.catalog.slsa.sa.gov.au/record=b2054487")</f>
        <v>https://www.catalog.slsa.sa.gov.au/record=b2054487</v>
      </c>
      <c r="C9840" s="1" t="str">
        <f>HYPERLINK("https://www.catalog.slsa.sa.gov.au/xrecord=b2054487")</f>
        <v>https://www.catalog.slsa.sa.gov.au/xrecord=b2054487</v>
      </c>
      <c r="D9840" t="s">
        <v>16831</v>
      </c>
      <c r="E9840" t="s">
        <v>31188</v>
      </c>
      <c r="F9840">
        <v>1979</v>
      </c>
      <c r="G9840" t="s">
        <v>14809</v>
      </c>
      <c r="H9840" t="s">
        <v>31189</v>
      </c>
      <c r="J9840" t="s">
        <v>22364</v>
      </c>
      <c r="K9840" s="2" t="str">
        <f>HYPERLINK("http://collections.slsa.sa.gov.au/mpcimg/37500/B37498.htm")</f>
        <v>http://collections.slsa.sa.gov.au/mpcimg/37500/B37498.htm</v>
      </c>
    </row>
    <row r="9841" spans="1:11" x14ac:dyDescent="0.25">
      <c r="A9841" t="s">
        <v>31190</v>
      </c>
      <c r="B9841" s="1" t="str">
        <f>HYPERLINK("https://www.catalog.slsa.sa.gov.au/record=b2054488")</f>
        <v>https://www.catalog.slsa.sa.gov.au/record=b2054488</v>
      </c>
      <c r="C9841" s="1" t="str">
        <f>HYPERLINK("https://www.catalog.slsa.sa.gov.au/xrecord=b2054488")</f>
        <v>https://www.catalog.slsa.sa.gov.au/xrecord=b2054488</v>
      </c>
      <c r="D9841" t="s">
        <v>16831</v>
      </c>
      <c r="E9841" t="s">
        <v>15201</v>
      </c>
      <c r="F9841">
        <v>1979</v>
      </c>
      <c r="G9841" t="s">
        <v>14809</v>
      </c>
      <c r="H9841" t="s">
        <v>31191</v>
      </c>
      <c r="J9841" t="s">
        <v>22364</v>
      </c>
      <c r="K9841" s="2" t="str">
        <f>HYPERLINK("http://collections.slsa.sa.gov.au/mpcimg/37500/B37499.htm")</f>
        <v>http://collections.slsa.sa.gov.au/mpcimg/37500/B37499.htm</v>
      </c>
    </row>
    <row r="9842" spans="1:11" x14ac:dyDescent="0.25">
      <c r="A9842" t="s">
        <v>31192</v>
      </c>
      <c r="B9842" s="1" t="str">
        <f>HYPERLINK("https://www.catalog.slsa.sa.gov.au/record=b2054642")</f>
        <v>https://www.catalog.slsa.sa.gov.au/record=b2054642</v>
      </c>
      <c r="C9842" s="1" t="str">
        <f>HYPERLINK("https://www.catalog.slsa.sa.gov.au/xrecord=b2054642")</f>
        <v>https://www.catalog.slsa.sa.gov.au/xrecord=b2054642</v>
      </c>
      <c r="D9842" t="s">
        <v>16831</v>
      </c>
      <c r="E9842" t="s">
        <v>28610</v>
      </c>
      <c r="F9842">
        <v>1979</v>
      </c>
      <c r="G9842" t="s">
        <v>15147</v>
      </c>
      <c r="H9842" t="s">
        <v>31193</v>
      </c>
      <c r="J9842" t="s">
        <v>24862</v>
      </c>
      <c r="K9842" s="2" t="str">
        <f>HYPERLINK("http://collections.slsa.sa.gov.au/mpcimg/37000/B36785.htm")</f>
        <v>http://collections.slsa.sa.gov.au/mpcimg/37000/B36785.htm</v>
      </c>
    </row>
    <row r="9843" spans="1:11" x14ac:dyDescent="0.25">
      <c r="A9843" t="s">
        <v>31194</v>
      </c>
      <c r="B9843" s="1" t="str">
        <f>HYPERLINK("https://www.catalog.slsa.sa.gov.au/record=b2054778")</f>
        <v>https://www.catalog.slsa.sa.gov.au/record=b2054778</v>
      </c>
      <c r="C9843" s="1" t="str">
        <f>HYPERLINK("https://www.catalog.slsa.sa.gov.au/xrecord=b2054778")</f>
        <v>https://www.catalog.slsa.sa.gov.au/xrecord=b2054778</v>
      </c>
      <c r="D9843" t="s">
        <v>16831</v>
      </c>
      <c r="E9843" t="s">
        <v>31195</v>
      </c>
      <c r="F9843">
        <v>1979</v>
      </c>
      <c r="G9843" t="s">
        <v>14809</v>
      </c>
      <c r="H9843" t="s">
        <v>31196</v>
      </c>
      <c r="J9843" t="s">
        <v>17650</v>
      </c>
      <c r="K9843" s="2" t="str">
        <f>HYPERLINK("http://collections.slsa.sa.gov.au/mpcimg/36750/B36667.htm")</f>
        <v>http://collections.slsa.sa.gov.au/mpcimg/36750/B36667.htm</v>
      </c>
    </row>
    <row r="9844" spans="1:11" x14ac:dyDescent="0.25">
      <c r="A9844" t="s">
        <v>31197</v>
      </c>
      <c r="B9844" s="1" t="str">
        <f>HYPERLINK("https://www.catalog.slsa.sa.gov.au/record=b2055093")</f>
        <v>https://www.catalog.slsa.sa.gov.au/record=b2055093</v>
      </c>
      <c r="C9844" s="1" t="str">
        <f>HYPERLINK("https://www.catalog.slsa.sa.gov.au/xrecord=b2055093")</f>
        <v>https://www.catalog.slsa.sa.gov.au/xrecord=b2055093</v>
      </c>
      <c r="D9844" t="s">
        <v>16831</v>
      </c>
      <c r="E9844" t="s">
        <v>16777</v>
      </c>
      <c r="F9844">
        <v>1979</v>
      </c>
      <c r="G9844" t="s">
        <v>15147</v>
      </c>
      <c r="H9844" t="s">
        <v>31198</v>
      </c>
      <c r="J9844" t="s">
        <v>22734</v>
      </c>
      <c r="K9844" s="2" t="str">
        <f>HYPERLINK("http://collections.slsa.sa.gov.au/mpcimg/37000/B36787.htm")</f>
        <v>http://collections.slsa.sa.gov.au/mpcimg/37000/B36787.htm</v>
      </c>
    </row>
    <row r="9845" spans="1:11" x14ac:dyDescent="0.25">
      <c r="A9845" t="s">
        <v>31199</v>
      </c>
      <c r="B9845" s="1" t="str">
        <f>HYPERLINK("https://www.catalog.slsa.sa.gov.au/record=b2055258")</f>
        <v>https://www.catalog.slsa.sa.gov.au/record=b2055258</v>
      </c>
      <c r="C9845" s="1" t="str">
        <f>HYPERLINK("https://www.catalog.slsa.sa.gov.au/xrecord=b2055258")</f>
        <v>https://www.catalog.slsa.sa.gov.au/xrecord=b2055258</v>
      </c>
      <c r="D9845" t="s">
        <v>16831</v>
      </c>
      <c r="E9845" t="s">
        <v>30703</v>
      </c>
      <c r="F9845">
        <v>1979</v>
      </c>
      <c r="G9845" t="s">
        <v>14809</v>
      </c>
      <c r="H9845" t="s">
        <v>31200</v>
      </c>
      <c r="J9845" t="s">
        <v>20897</v>
      </c>
      <c r="K9845" s="2" t="str">
        <f>HYPERLINK("http://collections.slsa.sa.gov.au/mpcimg/36750/B36628.htm")</f>
        <v>http://collections.slsa.sa.gov.au/mpcimg/36750/B36628.htm</v>
      </c>
    </row>
    <row r="9846" spans="1:11" x14ac:dyDescent="0.25">
      <c r="A9846" t="s">
        <v>31201</v>
      </c>
      <c r="B9846" s="1" t="str">
        <f>HYPERLINK("https://www.catalog.slsa.sa.gov.au/record=b2055495")</f>
        <v>https://www.catalog.slsa.sa.gov.au/record=b2055495</v>
      </c>
      <c r="C9846" s="1" t="str">
        <f>HYPERLINK("https://www.catalog.slsa.sa.gov.au/xrecord=b2055495")</f>
        <v>https://www.catalog.slsa.sa.gov.au/xrecord=b2055495</v>
      </c>
      <c r="D9846" t="s">
        <v>16831</v>
      </c>
      <c r="E9846" t="s">
        <v>31195</v>
      </c>
      <c r="F9846">
        <v>1979</v>
      </c>
      <c r="G9846" t="s">
        <v>14809</v>
      </c>
      <c r="H9846" t="s">
        <v>31202</v>
      </c>
      <c r="J9846" t="s">
        <v>17586</v>
      </c>
      <c r="K9846" s="2" t="str">
        <f>HYPERLINK("http://collections.slsa.sa.gov.au/mpcimg/36750/B36666.htm")</f>
        <v>http://collections.slsa.sa.gov.au/mpcimg/36750/B36666.htm</v>
      </c>
    </row>
    <row r="9847" spans="1:11" x14ac:dyDescent="0.25">
      <c r="A9847" t="s">
        <v>31203</v>
      </c>
      <c r="B9847" s="1" t="str">
        <f>HYPERLINK("https://www.catalog.slsa.sa.gov.au/record=b2055582")</f>
        <v>https://www.catalog.slsa.sa.gov.au/record=b2055582</v>
      </c>
      <c r="C9847" s="1" t="str">
        <f>HYPERLINK("https://www.catalog.slsa.sa.gov.au/xrecord=b2055582")</f>
        <v>https://www.catalog.slsa.sa.gov.au/xrecord=b2055582</v>
      </c>
      <c r="D9847" t="s">
        <v>16831</v>
      </c>
      <c r="E9847" t="s">
        <v>16771</v>
      </c>
      <c r="F9847">
        <v>1979</v>
      </c>
      <c r="G9847" t="s">
        <v>15147</v>
      </c>
      <c r="H9847" t="s">
        <v>31204</v>
      </c>
      <c r="J9847" t="s">
        <v>17577</v>
      </c>
      <c r="K9847" s="2" t="str">
        <f>HYPERLINK("http://collections.slsa.sa.gov.au/mpcimg/37750/B37507.htm")</f>
        <v>http://collections.slsa.sa.gov.au/mpcimg/37750/B37507.htm</v>
      </c>
    </row>
    <row r="9848" spans="1:11" x14ac:dyDescent="0.25">
      <c r="A9848" t="s">
        <v>31205</v>
      </c>
      <c r="B9848" s="1" t="str">
        <f>HYPERLINK("https://www.catalog.slsa.sa.gov.au/record=b2055674")</f>
        <v>https://www.catalog.slsa.sa.gov.au/record=b2055674</v>
      </c>
      <c r="C9848" s="1" t="str">
        <f>HYPERLINK("https://www.catalog.slsa.sa.gov.au/xrecord=b2055674")</f>
        <v>https://www.catalog.slsa.sa.gov.au/xrecord=b2055674</v>
      </c>
      <c r="D9848" t="s">
        <v>16831</v>
      </c>
      <c r="E9848" t="s">
        <v>28610</v>
      </c>
      <c r="F9848">
        <v>1979</v>
      </c>
      <c r="G9848" t="s">
        <v>14809</v>
      </c>
      <c r="H9848" t="s">
        <v>31206</v>
      </c>
      <c r="J9848" t="s">
        <v>16769</v>
      </c>
      <c r="K9848" s="2" t="str">
        <f>HYPERLINK("http://collections.slsa.sa.gov.au/mpcimg/38000/B37775.htm")</f>
        <v>http://collections.slsa.sa.gov.au/mpcimg/38000/B37775.htm</v>
      </c>
    </row>
    <row r="9849" spans="1:11" x14ac:dyDescent="0.25">
      <c r="A9849" t="s">
        <v>31207</v>
      </c>
      <c r="B9849" s="1" t="str">
        <f>HYPERLINK("https://www.catalog.slsa.sa.gov.au/record=b2055710")</f>
        <v>https://www.catalog.slsa.sa.gov.au/record=b2055710</v>
      </c>
      <c r="C9849" s="1" t="str">
        <f>HYPERLINK("https://www.catalog.slsa.sa.gov.au/xrecord=b2055710")</f>
        <v>https://www.catalog.slsa.sa.gov.au/xrecord=b2055710</v>
      </c>
      <c r="D9849" t="s">
        <v>16831</v>
      </c>
      <c r="E9849" t="s">
        <v>20904</v>
      </c>
      <c r="F9849">
        <v>1979</v>
      </c>
      <c r="G9849" t="s">
        <v>14809</v>
      </c>
      <c r="H9849" t="s">
        <v>31208</v>
      </c>
      <c r="J9849" t="s">
        <v>25292</v>
      </c>
      <c r="K9849" s="2" t="str">
        <f>HYPERLINK("http://collections.slsa.sa.gov.au/mpcimg/38000/B37770.htm")</f>
        <v>http://collections.slsa.sa.gov.au/mpcimg/38000/B37770.htm</v>
      </c>
    </row>
    <row r="9850" spans="1:11" x14ac:dyDescent="0.25">
      <c r="A9850" t="s">
        <v>31209</v>
      </c>
      <c r="B9850" s="1" t="str">
        <f>HYPERLINK("https://www.catalog.slsa.sa.gov.au/record=b2055752")</f>
        <v>https://www.catalog.slsa.sa.gov.au/record=b2055752</v>
      </c>
      <c r="C9850" s="1" t="str">
        <f>HYPERLINK("https://www.catalog.slsa.sa.gov.au/xrecord=b2055752")</f>
        <v>https://www.catalog.slsa.sa.gov.au/xrecord=b2055752</v>
      </c>
      <c r="D9850" t="s">
        <v>16831</v>
      </c>
      <c r="E9850" t="s">
        <v>22736</v>
      </c>
      <c r="F9850">
        <v>1979</v>
      </c>
      <c r="G9850" t="s">
        <v>15147</v>
      </c>
      <c r="H9850" t="s">
        <v>31210</v>
      </c>
      <c r="J9850" t="s">
        <v>22167</v>
      </c>
      <c r="K9850" s="2" t="str">
        <f>HYPERLINK("http://collections.slsa.sa.gov.au/mpcimg/37750/B37526.htm")</f>
        <v>http://collections.slsa.sa.gov.au/mpcimg/37750/B37526.htm</v>
      </c>
    </row>
    <row r="9851" spans="1:11" x14ac:dyDescent="0.25">
      <c r="A9851" t="s">
        <v>31211</v>
      </c>
      <c r="B9851" s="1" t="str">
        <f>HYPERLINK("https://www.catalog.slsa.sa.gov.au/record=b2055753")</f>
        <v>https://www.catalog.slsa.sa.gov.au/record=b2055753</v>
      </c>
      <c r="C9851" s="1" t="str">
        <f>HYPERLINK("https://www.catalog.slsa.sa.gov.au/xrecord=b2055753")</f>
        <v>https://www.catalog.slsa.sa.gov.au/xrecord=b2055753</v>
      </c>
      <c r="D9851" t="s">
        <v>16831</v>
      </c>
      <c r="E9851" t="s">
        <v>22736</v>
      </c>
      <c r="F9851">
        <v>1979</v>
      </c>
      <c r="G9851" t="s">
        <v>15147</v>
      </c>
      <c r="H9851" t="s">
        <v>31212</v>
      </c>
      <c r="J9851" t="s">
        <v>22167</v>
      </c>
      <c r="K9851" s="2" t="str">
        <f>HYPERLINK("http://collections.slsa.sa.gov.au/mpcimg/37750/B37527.htm")</f>
        <v>http://collections.slsa.sa.gov.au/mpcimg/37750/B37527.htm</v>
      </c>
    </row>
    <row r="9852" spans="1:11" x14ac:dyDescent="0.25">
      <c r="A9852" t="s">
        <v>31213</v>
      </c>
      <c r="B9852" s="1" t="str">
        <f>HYPERLINK("https://www.catalog.slsa.sa.gov.au/record=b2055754")</f>
        <v>https://www.catalog.slsa.sa.gov.au/record=b2055754</v>
      </c>
      <c r="C9852" s="1" t="str">
        <f>HYPERLINK("https://www.catalog.slsa.sa.gov.au/xrecord=b2055754")</f>
        <v>https://www.catalog.slsa.sa.gov.au/xrecord=b2055754</v>
      </c>
      <c r="D9852" t="s">
        <v>16831</v>
      </c>
      <c r="E9852" t="s">
        <v>22736</v>
      </c>
      <c r="F9852">
        <v>1979</v>
      </c>
      <c r="G9852" t="s">
        <v>15147</v>
      </c>
      <c r="H9852" t="s">
        <v>31212</v>
      </c>
      <c r="J9852" t="s">
        <v>22167</v>
      </c>
      <c r="K9852" s="2" t="str">
        <f>HYPERLINK("http://collections.slsa.sa.gov.au/mpcimg/37750/B37528.htm")</f>
        <v>http://collections.slsa.sa.gov.au/mpcimg/37750/B37528.htm</v>
      </c>
    </row>
    <row r="9853" spans="1:11" x14ac:dyDescent="0.25">
      <c r="A9853" t="s">
        <v>31214</v>
      </c>
      <c r="B9853" s="1" t="str">
        <f>HYPERLINK("https://www.catalog.slsa.sa.gov.au/record=b2055755")</f>
        <v>https://www.catalog.slsa.sa.gov.au/record=b2055755</v>
      </c>
      <c r="C9853" s="1" t="str">
        <f>HYPERLINK("https://www.catalog.slsa.sa.gov.au/xrecord=b2055755")</f>
        <v>https://www.catalog.slsa.sa.gov.au/xrecord=b2055755</v>
      </c>
      <c r="D9853" t="s">
        <v>16831</v>
      </c>
      <c r="E9853" t="s">
        <v>22736</v>
      </c>
      <c r="F9853">
        <v>1979</v>
      </c>
      <c r="G9853" t="s">
        <v>15147</v>
      </c>
      <c r="H9853" t="s">
        <v>31212</v>
      </c>
      <c r="J9853" t="s">
        <v>22167</v>
      </c>
      <c r="K9853" s="2" t="str">
        <f>HYPERLINK("http://collections.slsa.sa.gov.au/mpcimg/37750/B37529.htm")</f>
        <v>http://collections.slsa.sa.gov.au/mpcimg/37750/B37529.htm</v>
      </c>
    </row>
    <row r="9854" spans="1:11" x14ac:dyDescent="0.25">
      <c r="A9854" t="s">
        <v>31215</v>
      </c>
      <c r="B9854" s="1" t="str">
        <f>HYPERLINK("https://www.catalog.slsa.sa.gov.au/record=b2055929")</f>
        <v>https://www.catalog.slsa.sa.gov.au/record=b2055929</v>
      </c>
      <c r="C9854" s="1" t="str">
        <f>HYPERLINK("https://www.catalog.slsa.sa.gov.au/xrecord=b2055929")</f>
        <v>https://www.catalog.slsa.sa.gov.au/xrecord=b2055929</v>
      </c>
      <c r="D9854" t="s">
        <v>16831</v>
      </c>
      <c r="E9854" t="s">
        <v>31216</v>
      </c>
      <c r="F9854">
        <v>1979</v>
      </c>
      <c r="G9854" t="s">
        <v>15147</v>
      </c>
      <c r="H9854" t="s">
        <v>31217</v>
      </c>
      <c r="J9854" t="s">
        <v>31218</v>
      </c>
      <c r="K9854" s="2" t="str">
        <f>HYPERLINK("http://collections.slsa.sa.gov.au/mpcimg/37750/B37512.htm")</f>
        <v>http://collections.slsa.sa.gov.au/mpcimg/37750/B37512.htm</v>
      </c>
    </row>
    <row r="9855" spans="1:11" x14ac:dyDescent="0.25">
      <c r="A9855" t="s">
        <v>31219</v>
      </c>
      <c r="B9855" s="1" t="str">
        <f>HYPERLINK("https://www.catalog.slsa.sa.gov.au/record=b2055930")</f>
        <v>https://www.catalog.slsa.sa.gov.au/record=b2055930</v>
      </c>
      <c r="C9855" s="1" t="str">
        <f>HYPERLINK("https://www.catalog.slsa.sa.gov.au/xrecord=b2055930")</f>
        <v>https://www.catalog.slsa.sa.gov.au/xrecord=b2055930</v>
      </c>
      <c r="D9855" t="s">
        <v>16831</v>
      </c>
      <c r="E9855" t="s">
        <v>31220</v>
      </c>
      <c r="F9855">
        <v>1979</v>
      </c>
      <c r="G9855" t="s">
        <v>15147</v>
      </c>
      <c r="H9855" t="s">
        <v>31221</v>
      </c>
      <c r="J9855" t="s">
        <v>31218</v>
      </c>
      <c r="K9855" s="2" t="str">
        <f>HYPERLINK("http://collections.slsa.sa.gov.au/mpcimg/37750/B37513.htm")</f>
        <v>http://collections.slsa.sa.gov.au/mpcimg/37750/B37513.htm</v>
      </c>
    </row>
    <row r="9856" spans="1:11" x14ac:dyDescent="0.25">
      <c r="A9856" t="s">
        <v>31222</v>
      </c>
      <c r="B9856" s="1" t="str">
        <f>HYPERLINK("https://www.catalog.slsa.sa.gov.au/record=b2055980")</f>
        <v>https://www.catalog.slsa.sa.gov.au/record=b2055980</v>
      </c>
      <c r="C9856" s="1" t="str">
        <f>HYPERLINK("https://www.catalog.slsa.sa.gov.au/xrecord=b2055980")</f>
        <v>https://www.catalog.slsa.sa.gov.au/xrecord=b2055980</v>
      </c>
      <c r="D9856" t="s">
        <v>16831</v>
      </c>
      <c r="E9856" t="s">
        <v>31223</v>
      </c>
      <c r="F9856">
        <v>1979</v>
      </c>
      <c r="G9856" t="s">
        <v>14809</v>
      </c>
      <c r="H9856" t="s">
        <v>31224</v>
      </c>
      <c r="J9856" t="s">
        <v>22757</v>
      </c>
      <c r="K9856" s="2" t="str">
        <f>HYPERLINK("http://collections.slsa.sa.gov.au/mpcimg/38000/B37769.htm")</f>
        <v>http://collections.slsa.sa.gov.au/mpcimg/38000/B37769.htm</v>
      </c>
    </row>
    <row r="9857" spans="1:11" x14ac:dyDescent="0.25">
      <c r="A9857" t="s">
        <v>31225</v>
      </c>
      <c r="B9857" s="1" t="str">
        <f>HYPERLINK("https://www.catalog.slsa.sa.gov.au/record=b2056023")</f>
        <v>https://www.catalog.slsa.sa.gov.au/record=b2056023</v>
      </c>
      <c r="C9857" s="1" t="str">
        <f>HYPERLINK("https://www.catalog.slsa.sa.gov.au/xrecord=b2056023")</f>
        <v>https://www.catalog.slsa.sa.gov.au/xrecord=b2056023</v>
      </c>
      <c r="D9857" t="s">
        <v>16831</v>
      </c>
      <c r="E9857" t="s">
        <v>20904</v>
      </c>
      <c r="F9857">
        <v>1979</v>
      </c>
      <c r="G9857" t="s">
        <v>14809</v>
      </c>
      <c r="H9857" t="s">
        <v>31226</v>
      </c>
      <c r="J9857" t="s">
        <v>27079</v>
      </c>
      <c r="K9857" s="2" t="str">
        <f>HYPERLINK("http://collections.slsa.sa.gov.au/mpcimg/36750/B36672.htm")</f>
        <v>http://collections.slsa.sa.gov.au/mpcimg/36750/B36672.htm</v>
      </c>
    </row>
    <row r="9858" spans="1:11" x14ac:dyDescent="0.25">
      <c r="A9858" t="s">
        <v>31227</v>
      </c>
      <c r="B9858" s="1" t="str">
        <f>HYPERLINK("https://www.catalog.slsa.sa.gov.au/record=b2056205")</f>
        <v>https://www.catalog.slsa.sa.gov.au/record=b2056205</v>
      </c>
      <c r="C9858" s="1" t="str">
        <f>HYPERLINK("https://www.catalog.slsa.sa.gov.au/xrecord=b2056205")</f>
        <v>https://www.catalog.slsa.sa.gov.au/xrecord=b2056205</v>
      </c>
      <c r="D9858" t="s">
        <v>16831</v>
      </c>
      <c r="E9858" t="s">
        <v>16771</v>
      </c>
      <c r="F9858">
        <v>1979</v>
      </c>
      <c r="G9858" t="s">
        <v>14809</v>
      </c>
      <c r="H9858" t="s">
        <v>30925</v>
      </c>
      <c r="J9858" t="s">
        <v>22770</v>
      </c>
      <c r="K9858" s="2" t="str">
        <f>HYPERLINK("http://collections.slsa.sa.gov.au/mpcimg/36750/B36556.htm")</f>
        <v>http://collections.slsa.sa.gov.au/mpcimg/36750/B36556.htm</v>
      </c>
    </row>
    <row r="9859" spans="1:11" x14ac:dyDescent="0.25">
      <c r="A9859" t="s">
        <v>31228</v>
      </c>
      <c r="B9859" s="1" t="str">
        <f>HYPERLINK("https://www.catalog.slsa.sa.gov.au/record=b2056206")</f>
        <v>https://www.catalog.slsa.sa.gov.au/record=b2056206</v>
      </c>
      <c r="C9859" s="1" t="str">
        <f>HYPERLINK("https://www.catalog.slsa.sa.gov.au/xrecord=b2056206")</f>
        <v>https://www.catalog.slsa.sa.gov.au/xrecord=b2056206</v>
      </c>
      <c r="D9859" t="s">
        <v>16831</v>
      </c>
      <c r="E9859" t="s">
        <v>16771</v>
      </c>
      <c r="F9859">
        <v>1979</v>
      </c>
      <c r="G9859" t="s">
        <v>14809</v>
      </c>
      <c r="H9859" t="s">
        <v>30925</v>
      </c>
      <c r="J9859" t="s">
        <v>22770</v>
      </c>
      <c r="K9859" s="2" t="str">
        <f>HYPERLINK("http://collections.slsa.sa.gov.au/mpcimg/36750/B36557.htm")</f>
        <v>http://collections.slsa.sa.gov.au/mpcimg/36750/B36557.htm</v>
      </c>
    </row>
    <row r="9860" spans="1:11" x14ac:dyDescent="0.25">
      <c r="A9860" t="s">
        <v>31229</v>
      </c>
      <c r="B9860" s="1" t="str">
        <f>HYPERLINK("https://www.catalog.slsa.sa.gov.au/record=b2056207")</f>
        <v>https://www.catalog.slsa.sa.gov.au/record=b2056207</v>
      </c>
      <c r="C9860" s="1" t="str">
        <f>HYPERLINK("https://www.catalog.slsa.sa.gov.au/xrecord=b2056207")</f>
        <v>https://www.catalog.slsa.sa.gov.au/xrecord=b2056207</v>
      </c>
      <c r="D9860" t="s">
        <v>16831</v>
      </c>
      <c r="E9860" t="s">
        <v>16771</v>
      </c>
      <c r="F9860">
        <v>1979</v>
      </c>
      <c r="G9860" t="s">
        <v>14809</v>
      </c>
      <c r="H9860" t="s">
        <v>30925</v>
      </c>
      <c r="J9860" t="s">
        <v>22770</v>
      </c>
      <c r="K9860" s="2" t="str">
        <f>HYPERLINK("http://collections.slsa.sa.gov.au/mpcimg/36750/B36558.htm")</f>
        <v>http://collections.slsa.sa.gov.au/mpcimg/36750/B36558.htm</v>
      </c>
    </row>
    <row r="9861" spans="1:11" x14ac:dyDescent="0.25">
      <c r="A9861" t="s">
        <v>31230</v>
      </c>
      <c r="B9861" s="1" t="str">
        <f>HYPERLINK("https://www.catalog.slsa.sa.gov.au/record=b2056208")</f>
        <v>https://www.catalog.slsa.sa.gov.au/record=b2056208</v>
      </c>
      <c r="C9861" s="1" t="str">
        <f>HYPERLINK("https://www.catalog.slsa.sa.gov.au/xrecord=b2056208")</f>
        <v>https://www.catalog.slsa.sa.gov.au/xrecord=b2056208</v>
      </c>
      <c r="D9861" t="s">
        <v>16831</v>
      </c>
      <c r="E9861" t="s">
        <v>16771</v>
      </c>
      <c r="F9861">
        <v>1979</v>
      </c>
      <c r="G9861" t="s">
        <v>14809</v>
      </c>
      <c r="H9861" t="s">
        <v>31231</v>
      </c>
      <c r="J9861" t="s">
        <v>22770</v>
      </c>
      <c r="K9861" s="2" t="str">
        <f>HYPERLINK("http://collections.slsa.sa.gov.au/mpcimg/36750/B36559.htm")</f>
        <v>http://collections.slsa.sa.gov.au/mpcimg/36750/B36559.htm</v>
      </c>
    </row>
    <row r="9862" spans="1:11" x14ac:dyDescent="0.25">
      <c r="A9862" t="s">
        <v>31232</v>
      </c>
      <c r="B9862" s="1" t="str">
        <f>HYPERLINK("https://www.catalog.slsa.sa.gov.au/record=b2056209")</f>
        <v>https://www.catalog.slsa.sa.gov.au/record=b2056209</v>
      </c>
      <c r="C9862" s="1" t="str">
        <f>HYPERLINK("https://www.catalog.slsa.sa.gov.au/xrecord=b2056209")</f>
        <v>https://www.catalog.slsa.sa.gov.au/xrecord=b2056209</v>
      </c>
      <c r="D9862" t="s">
        <v>16831</v>
      </c>
      <c r="E9862" t="s">
        <v>16771</v>
      </c>
      <c r="F9862">
        <v>1979</v>
      </c>
      <c r="G9862" t="s">
        <v>14809</v>
      </c>
      <c r="H9862" t="s">
        <v>30925</v>
      </c>
      <c r="J9862" t="s">
        <v>22770</v>
      </c>
      <c r="K9862" s="2" t="str">
        <f>HYPERLINK("http://collections.slsa.sa.gov.au/mpcimg/36750/B36560.htm")</f>
        <v>http://collections.slsa.sa.gov.au/mpcimg/36750/B36560.htm</v>
      </c>
    </row>
    <row r="9863" spans="1:11" x14ac:dyDescent="0.25">
      <c r="A9863" t="s">
        <v>31233</v>
      </c>
      <c r="B9863" s="1" t="str">
        <f>HYPERLINK("https://www.catalog.slsa.sa.gov.au/record=b2056210")</f>
        <v>https://www.catalog.slsa.sa.gov.au/record=b2056210</v>
      </c>
      <c r="C9863" s="1" t="str">
        <f>HYPERLINK("https://www.catalog.slsa.sa.gov.au/xrecord=b2056210")</f>
        <v>https://www.catalog.slsa.sa.gov.au/xrecord=b2056210</v>
      </c>
      <c r="D9863" t="s">
        <v>16831</v>
      </c>
      <c r="E9863" t="s">
        <v>16771</v>
      </c>
      <c r="F9863">
        <v>1979</v>
      </c>
      <c r="G9863" t="s">
        <v>14809</v>
      </c>
      <c r="H9863" t="s">
        <v>30925</v>
      </c>
      <c r="J9863" t="s">
        <v>22770</v>
      </c>
      <c r="K9863" s="2" t="str">
        <f>HYPERLINK("http://collections.slsa.sa.gov.au/mpcimg/36750/B36561.htm")</f>
        <v>http://collections.slsa.sa.gov.au/mpcimg/36750/B36561.htm</v>
      </c>
    </row>
    <row r="9864" spans="1:11" x14ac:dyDescent="0.25">
      <c r="A9864" t="s">
        <v>31234</v>
      </c>
      <c r="B9864" s="1" t="str">
        <f>HYPERLINK("https://www.catalog.slsa.sa.gov.au/record=b2056322")</f>
        <v>https://www.catalog.slsa.sa.gov.au/record=b2056322</v>
      </c>
      <c r="C9864" s="1" t="str">
        <f>HYPERLINK("https://www.catalog.slsa.sa.gov.au/xrecord=b2056322")</f>
        <v>https://www.catalog.slsa.sa.gov.au/xrecord=b2056322</v>
      </c>
      <c r="D9864" t="s">
        <v>16831</v>
      </c>
      <c r="E9864" t="s">
        <v>30703</v>
      </c>
      <c r="F9864">
        <v>1979</v>
      </c>
      <c r="G9864" t="s">
        <v>15147</v>
      </c>
      <c r="H9864" t="s">
        <v>31235</v>
      </c>
      <c r="J9864" t="s">
        <v>16775</v>
      </c>
      <c r="K9864" s="2" t="str">
        <f>HYPERLINK("http://collections.slsa.sa.gov.au/mpcimg/37000/B36797.htm")</f>
        <v>http://collections.slsa.sa.gov.au/mpcimg/37000/B36797.htm</v>
      </c>
    </row>
    <row r="9865" spans="1:11" x14ac:dyDescent="0.25">
      <c r="A9865" t="s">
        <v>31236</v>
      </c>
      <c r="B9865" s="1" t="str">
        <f>HYPERLINK("https://www.catalog.slsa.sa.gov.au/record=b2056323")</f>
        <v>https://www.catalog.slsa.sa.gov.au/record=b2056323</v>
      </c>
      <c r="C9865" s="1" t="str">
        <f>HYPERLINK("https://www.catalog.slsa.sa.gov.au/xrecord=b2056323")</f>
        <v>https://www.catalog.slsa.sa.gov.au/xrecord=b2056323</v>
      </c>
      <c r="D9865" t="s">
        <v>16831</v>
      </c>
      <c r="E9865" t="s">
        <v>30703</v>
      </c>
      <c r="F9865">
        <v>1979</v>
      </c>
      <c r="G9865" t="s">
        <v>15147</v>
      </c>
      <c r="H9865" t="s">
        <v>31237</v>
      </c>
      <c r="J9865" t="s">
        <v>16775</v>
      </c>
      <c r="K9865" s="2" t="str">
        <f>HYPERLINK("http://collections.slsa.sa.gov.au/mpcimg/37000/B36798.htm")</f>
        <v>http://collections.slsa.sa.gov.au/mpcimg/37000/B36798.htm</v>
      </c>
    </row>
    <row r="9866" spans="1:11" x14ac:dyDescent="0.25">
      <c r="A9866" t="s">
        <v>31238</v>
      </c>
      <c r="B9866" s="1" t="str">
        <f>HYPERLINK("https://www.catalog.slsa.sa.gov.au/record=b2056328")</f>
        <v>https://www.catalog.slsa.sa.gov.au/record=b2056328</v>
      </c>
      <c r="C9866" s="1" t="str">
        <f>HYPERLINK("https://www.catalog.slsa.sa.gov.au/xrecord=b2056328")</f>
        <v>https://www.catalog.slsa.sa.gov.au/xrecord=b2056328</v>
      </c>
      <c r="D9866" t="s">
        <v>16831</v>
      </c>
      <c r="E9866" t="s">
        <v>16771</v>
      </c>
      <c r="F9866">
        <v>1979</v>
      </c>
      <c r="G9866" t="s">
        <v>15147</v>
      </c>
      <c r="H9866" t="s">
        <v>31239</v>
      </c>
      <c r="J9866" t="s">
        <v>16775</v>
      </c>
      <c r="K9866" s="2" t="str">
        <f>HYPERLINK("http://collections.slsa.sa.gov.au/mpcimg/37750/B37516.htm")</f>
        <v>http://collections.slsa.sa.gov.au/mpcimg/37750/B37516.htm</v>
      </c>
    </row>
    <row r="9867" spans="1:11" x14ac:dyDescent="0.25">
      <c r="A9867" t="s">
        <v>31240</v>
      </c>
      <c r="B9867" s="1" t="str">
        <f>HYPERLINK("https://www.catalog.slsa.sa.gov.au/record=b2056329")</f>
        <v>https://www.catalog.slsa.sa.gov.au/record=b2056329</v>
      </c>
      <c r="C9867" s="1" t="str">
        <f>HYPERLINK("https://www.catalog.slsa.sa.gov.au/xrecord=b2056329")</f>
        <v>https://www.catalog.slsa.sa.gov.au/xrecord=b2056329</v>
      </c>
      <c r="D9867" t="s">
        <v>16831</v>
      </c>
      <c r="E9867" t="s">
        <v>16771</v>
      </c>
      <c r="F9867">
        <v>1979</v>
      </c>
      <c r="G9867" t="s">
        <v>15147</v>
      </c>
      <c r="H9867" t="s">
        <v>31239</v>
      </c>
      <c r="J9867" t="s">
        <v>16775</v>
      </c>
      <c r="K9867" s="2" t="str">
        <f>HYPERLINK("http://collections.slsa.sa.gov.au/mpcimg/37750/B37517.htm")</f>
        <v>http://collections.slsa.sa.gov.au/mpcimg/37750/B37517.htm</v>
      </c>
    </row>
    <row r="9868" spans="1:11" x14ac:dyDescent="0.25">
      <c r="A9868" t="s">
        <v>31241</v>
      </c>
      <c r="B9868" s="1" t="str">
        <f>HYPERLINK("https://www.catalog.slsa.sa.gov.au/record=b2056330")</f>
        <v>https://www.catalog.slsa.sa.gov.au/record=b2056330</v>
      </c>
      <c r="C9868" s="1" t="str">
        <f>HYPERLINK("https://www.catalog.slsa.sa.gov.au/xrecord=b2056330")</f>
        <v>https://www.catalog.slsa.sa.gov.au/xrecord=b2056330</v>
      </c>
      <c r="D9868" t="s">
        <v>16831</v>
      </c>
      <c r="E9868" t="s">
        <v>16771</v>
      </c>
      <c r="F9868">
        <v>1979</v>
      </c>
      <c r="G9868" t="s">
        <v>15147</v>
      </c>
      <c r="H9868" t="s">
        <v>31239</v>
      </c>
      <c r="J9868" t="s">
        <v>16775</v>
      </c>
      <c r="K9868" s="2" t="str">
        <f>HYPERLINK("http://collections.slsa.sa.gov.au/mpcimg/37750/B37518.htm")</f>
        <v>http://collections.slsa.sa.gov.au/mpcimg/37750/B37518.htm</v>
      </c>
    </row>
    <row r="9869" spans="1:11" x14ac:dyDescent="0.25">
      <c r="A9869" t="s">
        <v>31242</v>
      </c>
      <c r="B9869" s="1" t="str">
        <f>HYPERLINK("https://www.catalog.slsa.sa.gov.au/record=b2056399")</f>
        <v>https://www.catalog.slsa.sa.gov.au/record=b2056399</v>
      </c>
      <c r="C9869" s="1" t="str">
        <f>HYPERLINK("https://www.catalog.slsa.sa.gov.au/xrecord=b2056399")</f>
        <v>https://www.catalog.slsa.sa.gov.au/xrecord=b2056399</v>
      </c>
      <c r="D9869" t="s">
        <v>16831</v>
      </c>
      <c r="E9869" t="s">
        <v>30703</v>
      </c>
      <c r="F9869">
        <v>1979</v>
      </c>
      <c r="G9869" t="s">
        <v>14809</v>
      </c>
      <c r="H9869" t="s">
        <v>31243</v>
      </c>
      <c r="J9869" t="s">
        <v>17615</v>
      </c>
      <c r="K9869" s="2" t="str">
        <f>HYPERLINK("http://collections.slsa.sa.gov.au/mpcimg/37000/B36799.htm")</f>
        <v>http://collections.slsa.sa.gov.au/mpcimg/37000/B36799.htm</v>
      </c>
    </row>
    <row r="9870" spans="1:11" x14ac:dyDescent="0.25">
      <c r="A9870" t="s">
        <v>31244</v>
      </c>
      <c r="B9870" s="1" t="str">
        <f>HYPERLINK("https://www.catalog.slsa.sa.gov.au/record=b2056400")</f>
        <v>https://www.catalog.slsa.sa.gov.au/record=b2056400</v>
      </c>
      <c r="C9870" s="1" t="str">
        <f>HYPERLINK("https://www.catalog.slsa.sa.gov.au/xrecord=b2056400")</f>
        <v>https://www.catalog.slsa.sa.gov.au/xrecord=b2056400</v>
      </c>
      <c r="D9870" t="s">
        <v>16831</v>
      </c>
      <c r="E9870" t="s">
        <v>30703</v>
      </c>
      <c r="F9870">
        <v>1979</v>
      </c>
      <c r="G9870" t="s">
        <v>14809</v>
      </c>
      <c r="H9870" t="s">
        <v>31245</v>
      </c>
      <c r="J9870" t="s">
        <v>17615</v>
      </c>
      <c r="K9870" s="2" t="str">
        <f>HYPERLINK("http://collections.slsa.sa.gov.au/mpcimg/37000/B36800.htm")</f>
        <v>http://collections.slsa.sa.gov.au/mpcimg/37000/B36800.htm</v>
      </c>
    </row>
    <row r="9871" spans="1:11" x14ac:dyDescent="0.25">
      <c r="A9871" t="s">
        <v>31246</v>
      </c>
      <c r="B9871" s="1" t="str">
        <f>HYPERLINK("https://www.catalog.slsa.sa.gov.au/record=b2056507")</f>
        <v>https://www.catalog.slsa.sa.gov.au/record=b2056507</v>
      </c>
      <c r="C9871" s="1" t="str">
        <f>HYPERLINK("https://www.catalog.slsa.sa.gov.au/xrecord=b2056507")</f>
        <v>https://www.catalog.slsa.sa.gov.au/xrecord=b2056507</v>
      </c>
      <c r="D9871" t="s">
        <v>16831</v>
      </c>
      <c r="E9871" t="s">
        <v>20933</v>
      </c>
      <c r="F9871">
        <v>1979</v>
      </c>
      <c r="G9871" t="s">
        <v>15147</v>
      </c>
      <c r="H9871" t="s">
        <v>31247</v>
      </c>
      <c r="J9871" t="s">
        <v>17605</v>
      </c>
      <c r="K9871" s="2" t="str">
        <f>HYPERLINK("http://collections.slsa.sa.gov.au/mpcimg/37500/B37474.htm")</f>
        <v>http://collections.slsa.sa.gov.au/mpcimg/37500/B37474.htm</v>
      </c>
    </row>
    <row r="9872" spans="1:11" x14ac:dyDescent="0.25">
      <c r="A9872" t="s">
        <v>31248</v>
      </c>
      <c r="B9872" s="1" t="str">
        <f>HYPERLINK("https://www.catalog.slsa.sa.gov.au/record=b2056508")</f>
        <v>https://www.catalog.slsa.sa.gov.au/record=b2056508</v>
      </c>
      <c r="C9872" s="1" t="str">
        <f>HYPERLINK("https://www.catalog.slsa.sa.gov.au/xrecord=b2056508")</f>
        <v>https://www.catalog.slsa.sa.gov.au/xrecord=b2056508</v>
      </c>
      <c r="D9872" t="s">
        <v>16831</v>
      </c>
      <c r="E9872" t="s">
        <v>31249</v>
      </c>
      <c r="F9872">
        <v>1979</v>
      </c>
      <c r="G9872" t="s">
        <v>15147</v>
      </c>
      <c r="H9872" t="s">
        <v>31250</v>
      </c>
      <c r="J9872" t="s">
        <v>17605</v>
      </c>
      <c r="K9872" s="2" t="str">
        <f>HYPERLINK("http://collections.slsa.sa.gov.au/mpcimg/37500/B37475.htm")</f>
        <v>http://collections.slsa.sa.gov.au/mpcimg/37500/B37475.htm</v>
      </c>
    </row>
    <row r="9873" spans="1:11" x14ac:dyDescent="0.25">
      <c r="A9873" t="s">
        <v>31251</v>
      </c>
      <c r="B9873" s="1" t="str">
        <f>HYPERLINK("https://www.catalog.slsa.sa.gov.au/record=b2056509")</f>
        <v>https://www.catalog.slsa.sa.gov.au/record=b2056509</v>
      </c>
      <c r="C9873" s="1" t="str">
        <f>HYPERLINK("https://www.catalog.slsa.sa.gov.au/xrecord=b2056509")</f>
        <v>https://www.catalog.slsa.sa.gov.au/xrecord=b2056509</v>
      </c>
      <c r="D9873" t="s">
        <v>16831</v>
      </c>
      <c r="E9873" t="s">
        <v>31249</v>
      </c>
      <c r="F9873">
        <v>1979</v>
      </c>
      <c r="G9873" t="s">
        <v>15147</v>
      </c>
      <c r="H9873" t="s">
        <v>31250</v>
      </c>
      <c r="J9873" t="s">
        <v>17605</v>
      </c>
      <c r="K9873" s="2" t="str">
        <f>HYPERLINK("http://collections.slsa.sa.gov.au/mpcimg/37500/B37476.htm")</f>
        <v>http://collections.slsa.sa.gov.au/mpcimg/37500/B37476.htm</v>
      </c>
    </row>
    <row r="9874" spans="1:11" x14ac:dyDescent="0.25">
      <c r="A9874" t="s">
        <v>31252</v>
      </c>
      <c r="B9874" s="1" t="str">
        <f>HYPERLINK("https://www.catalog.slsa.sa.gov.au/record=b2056510")</f>
        <v>https://www.catalog.slsa.sa.gov.au/record=b2056510</v>
      </c>
      <c r="C9874" s="1" t="str">
        <f>HYPERLINK("https://www.catalog.slsa.sa.gov.au/xrecord=b2056510")</f>
        <v>https://www.catalog.slsa.sa.gov.au/xrecord=b2056510</v>
      </c>
      <c r="D9874" t="s">
        <v>16831</v>
      </c>
      <c r="E9874" t="s">
        <v>20933</v>
      </c>
      <c r="F9874">
        <v>1979</v>
      </c>
      <c r="G9874" t="s">
        <v>15147</v>
      </c>
      <c r="H9874" t="s">
        <v>31250</v>
      </c>
      <c r="J9874" t="s">
        <v>17605</v>
      </c>
      <c r="K9874" s="2" t="str">
        <f>HYPERLINK("http://collections.slsa.sa.gov.au/mpcimg/37500/B37477.htm")</f>
        <v>http://collections.slsa.sa.gov.au/mpcimg/37500/B37477.htm</v>
      </c>
    </row>
    <row r="9875" spans="1:11" x14ac:dyDescent="0.25">
      <c r="A9875" t="s">
        <v>31253</v>
      </c>
      <c r="B9875" s="1" t="str">
        <f>HYPERLINK("https://www.catalog.slsa.sa.gov.au/record=b2056511")</f>
        <v>https://www.catalog.slsa.sa.gov.au/record=b2056511</v>
      </c>
      <c r="C9875" s="1" t="str">
        <f>HYPERLINK("https://www.catalog.slsa.sa.gov.au/xrecord=b2056511")</f>
        <v>https://www.catalog.slsa.sa.gov.au/xrecord=b2056511</v>
      </c>
      <c r="D9875" t="s">
        <v>16831</v>
      </c>
      <c r="E9875" t="s">
        <v>20933</v>
      </c>
      <c r="F9875">
        <v>1979</v>
      </c>
      <c r="G9875" t="s">
        <v>15147</v>
      </c>
      <c r="H9875" t="s">
        <v>31250</v>
      </c>
      <c r="J9875" t="s">
        <v>17605</v>
      </c>
      <c r="K9875" s="2" t="str">
        <f>HYPERLINK("http://collections.slsa.sa.gov.au/mpcimg/37500/B37478.htm")</f>
        <v>http://collections.slsa.sa.gov.au/mpcimg/37500/B37478.htm</v>
      </c>
    </row>
    <row r="9876" spans="1:11" x14ac:dyDescent="0.25">
      <c r="A9876" t="s">
        <v>31254</v>
      </c>
      <c r="B9876" s="1" t="str">
        <f>HYPERLINK("https://www.catalog.slsa.sa.gov.au/record=b2056512")</f>
        <v>https://www.catalog.slsa.sa.gov.au/record=b2056512</v>
      </c>
      <c r="C9876" s="1" t="str">
        <f>HYPERLINK("https://www.catalog.slsa.sa.gov.au/xrecord=b2056512")</f>
        <v>https://www.catalog.slsa.sa.gov.au/xrecord=b2056512</v>
      </c>
      <c r="D9876" t="s">
        <v>16831</v>
      </c>
      <c r="E9876" t="s">
        <v>20933</v>
      </c>
      <c r="F9876">
        <v>1979</v>
      </c>
      <c r="G9876" t="s">
        <v>15147</v>
      </c>
      <c r="H9876" t="s">
        <v>31255</v>
      </c>
      <c r="J9876" t="s">
        <v>17605</v>
      </c>
      <c r="K9876" s="2" t="str">
        <f>HYPERLINK("http://collections.slsa.sa.gov.au/mpcimg/37500/B37479.htm")</f>
        <v>http://collections.slsa.sa.gov.au/mpcimg/37500/B37479.htm</v>
      </c>
    </row>
    <row r="9877" spans="1:11" x14ac:dyDescent="0.25">
      <c r="A9877" t="s">
        <v>31256</v>
      </c>
      <c r="B9877" s="1" t="str">
        <f>HYPERLINK("https://www.catalog.slsa.sa.gov.au/record=b2056513")</f>
        <v>https://www.catalog.slsa.sa.gov.au/record=b2056513</v>
      </c>
      <c r="C9877" s="1" t="str">
        <f>HYPERLINK("https://www.catalog.slsa.sa.gov.au/xrecord=b2056513")</f>
        <v>https://www.catalog.slsa.sa.gov.au/xrecord=b2056513</v>
      </c>
      <c r="D9877" t="s">
        <v>16831</v>
      </c>
      <c r="E9877" t="s">
        <v>20933</v>
      </c>
      <c r="F9877">
        <v>1979</v>
      </c>
      <c r="G9877" t="s">
        <v>15147</v>
      </c>
      <c r="H9877" t="s">
        <v>31250</v>
      </c>
      <c r="J9877" t="s">
        <v>17605</v>
      </c>
      <c r="K9877" s="2" t="str">
        <f>HYPERLINK("http://collections.slsa.sa.gov.au/mpcimg/37500/B37480.htm")</f>
        <v>http://collections.slsa.sa.gov.au/mpcimg/37500/B37480.htm</v>
      </c>
    </row>
    <row r="9878" spans="1:11" x14ac:dyDescent="0.25">
      <c r="A9878" t="s">
        <v>31257</v>
      </c>
      <c r="B9878" s="1" t="str">
        <f>HYPERLINK("https://www.catalog.slsa.sa.gov.au/record=b2056514")</f>
        <v>https://www.catalog.slsa.sa.gov.au/record=b2056514</v>
      </c>
      <c r="C9878" s="1" t="str">
        <f>HYPERLINK("https://www.catalog.slsa.sa.gov.au/xrecord=b2056514")</f>
        <v>https://www.catalog.slsa.sa.gov.au/xrecord=b2056514</v>
      </c>
      <c r="D9878" t="s">
        <v>16831</v>
      </c>
      <c r="E9878" t="s">
        <v>20933</v>
      </c>
      <c r="F9878">
        <v>1979</v>
      </c>
      <c r="G9878" t="s">
        <v>15147</v>
      </c>
      <c r="H9878" t="s">
        <v>31250</v>
      </c>
      <c r="J9878" t="s">
        <v>17605</v>
      </c>
      <c r="K9878" s="2" t="str">
        <f>HYPERLINK("http://collections.slsa.sa.gov.au/mpcimg/37500/B37481.htm")</f>
        <v>http://collections.slsa.sa.gov.au/mpcimg/37500/B37481.htm</v>
      </c>
    </row>
    <row r="9879" spans="1:11" x14ac:dyDescent="0.25">
      <c r="A9879" t="s">
        <v>31258</v>
      </c>
      <c r="B9879" s="1" t="str">
        <f>HYPERLINK("https://www.catalog.slsa.sa.gov.au/record=b2056515")</f>
        <v>https://www.catalog.slsa.sa.gov.au/record=b2056515</v>
      </c>
      <c r="C9879" s="1" t="str">
        <f>HYPERLINK("https://www.catalog.slsa.sa.gov.au/xrecord=b2056515")</f>
        <v>https://www.catalog.slsa.sa.gov.au/xrecord=b2056515</v>
      </c>
      <c r="D9879" t="s">
        <v>16831</v>
      </c>
      <c r="E9879" t="s">
        <v>20933</v>
      </c>
      <c r="F9879">
        <v>1979</v>
      </c>
      <c r="G9879" t="s">
        <v>15147</v>
      </c>
      <c r="H9879" t="s">
        <v>31250</v>
      </c>
      <c r="J9879" t="s">
        <v>17605</v>
      </c>
      <c r="K9879" s="2" t="str">
        <f>HYPERLINK("http://collections.slsa.sa.gov.au/mpcimg/37500/B37482.htm")</f>
        <v>http://collections.slsa.sa.gov.au/mpcimg/37500/B37482.htm</v>
      </c>
    </row>
    <row r="9880" spans="1:11" x14ac:dyDescent="0.25">
      <c r="A9880" t="s">
        <v>31259</v>
      </c>
      <c r="B9880" s="1" t="str">
        <f>HYPERLINK("https://www.catalog.slsa.sa.gov.au/record=b2056652")</f>
        <v>https://www.catalog.slsa.sa.gov.au/record=b2056652</v>
      </c>
      <c r="C9880" s="1" t="str">
        <f>HYPERLINK("https://www.catalog.slsa.sa.gov.au/xrecord=b2056652")</f>
        <v>https://www.catalog.slsa.sa.gov.au/xrecord=b2056652</v>
      </c>
      <c r="D9880" t="s">
        <v>16831</v>
      </c>
      <c r="E9880" t="s">
        <v>30703</v>
      </c>
      <c r="F9880">
        <v>1979</v>
      </c>
      <c r="G9880" t="s">
        <v>15147</v>
      </c>
      <c r="H9880" t="s">
        <v>31260</v>
      </c>
      <c r="J9880" t="s">
        <v>31261</v>
      </c>
      <c r="K9880" s="2" t="str">
        <f>HYPERLINK("http://collections.slsa.sa.gov.au/mpcimg/37750/B37506.htm")</f>
        <v>http://collections.slsa.sa.gov.au/mpcimg/37750/B37506.htm</v>
      </c>
    </row>
    <row r="9881" spans="1:11" x14ac:dyDescent="0.25">
      <c r="A9881" t="s">
        <v>31262</v>
      </c>
      <c r="B9881" s="1" t="str">
        <f>HYPERLINK("https://www.catalog.slsa.sa.gov.au/record=b2056800")</f>
        <v>https://www.catalog.slsa.sa.gov.au/record=b2056800</v>
      </c>
      <c r="C9881" s="1" t="str">
        <f>HYPERLINK("https://www.catalog.slsa.sa.gov.au/xrecord=b2056800")</f>
        <v>https://www.catalog.slsa.sa.gov.au/xrecord=b2056800</v>
      </c>
      <c r="D9881" t="s">
        <v>16831</v>
      </c>
      <c r="E9881" t="s">
        <v>16777</v>
      </c>
      <c r="F9881">
        <v>1979</v>
      </c>
      <c r="G9881" t="s">
        <v>14809</v>
      </c>
      <c r="H9881" t="s">
        <v>31263</v>
      </c>
      <c r="J9881" t="s">
        <v>22773</v>
      </c>
      <c r="K9881" s="2" t="str">
        <f>HYPERLINK("http://collections.slsa.sa.gov.au/mpcimg/36750/B36640.htm")</f>
        <v>http://collections.slsa.sa.gov.au/mpcimg/36750/B36640.htm</v>
      </c>
    </row>
    <row r="9882" spans="1:11" x14ac:dyDescent="0.25">
      <c r="A9882" t="s">
        <v>31264</v>
      </c>
      <c r="B9882" s="1" t="str">
        <f>HYPERLINK("https://www.catalog.slsa.sa.gov.au/record=b2056801")</f>
        <v>https://www.catalog.slsa.sa.gov.au/record=b2056801</v>
      </c>
      <c r="C9882" s="1" t="str">
        <f>HYPERLINK("https://www.catalog.slsa.sa.gov.au/xrecord=b2056801")</f>
        <v>https://www.catalog.slsa.sa.gov.au/xrecord=b2056801</v>
      </c>
      <c r="D9882" t="s">
        <v>16831</v>
      </c>
      <c r="E9882" t="s">
        <v>16777</v>
      </c>
      <c r="F9882">
        <v>1979</v>
      </c>
      <c r="G9882" t="s">
        <v>14809</v>
      </c>
      <c r="H9882" t="s">
        <v>31265</v>
      </c>
      <c r="J9882" t="s">
        <v>22773</v>
      </c>
      <c r="K9882" s="2" t="str">
        <f>HYPERLINK("http://collections.slsa.sa.gov.au/mpcimg/36750/B36641.htm")</f>
        <v>http://collections.slsa.sa.gov.au/mpcimg/36750/B36641.htm</v>
      </c>
    </row>
    <row r="9883" spans="1:11" x14ac:dyDescent="0.25">
      <c r="A9883" t="s">
        <v>31266</v>
      </c>
      <c r="B9883" s="1" t="str">
        <f>HYPERLINK("https://www.catalog.slsa.sa.gov.au/record=b2056911")</f>
        <v>https://www.catalog.slsa.sa.gov.au/record=b2056911</v>
      </c>
      <c r="C9883" s="1" t="str">
        <f>HYPERLINK("https://www.catalog.slsa.sa.gov.au/xrecord=b2056911")</f>
        <v>https://www.catalog.slsa.sa.gov.au/xrecord=b2056911</v>
      </c>
      <c r="D9883" t="s">
        <v>16831</v>
      </c>
      <c r="E9883" t="s">
        <v>31267</v>
      </c>
      <c r="F9883">
        <v>1979</v>
      </c>
      <c r="G9883" t="s">
        <v>14809</v>
      </c>
      <c r="H9883" t="s">
        <v>31268</v>
      </c>
      <c r="J9883" t="s">
        <v>20931</v>
      </c>
      <c r="K9883" s="2" t="str">
        <f>HYPERLINK("http://collections.slsa.sa.gov.au/mpcimg/37500/B37448.htm")</f>
        <v>http://collections.slsa.sa.gov.au/mpcimg/37500/B37448.htm</v>
      </c>
    </row>
    <row r="9884" spans="1:11" x14ac:dyDescent="0.25">
      <c r="A9884" t="s">
        <v>31269</v>
      </c>
      <c r="B9884" s="1" t="str">
        <f>HYPERLINK("https://www.catalog.slsa.sa.gov.au/record=b2056912")</f>
        <v>https://www.catalog.slsa.sa.gov.au/record=b2056912</v>
      </c>
      <c r="C9884" s="1" t="str">
        <f>HYPERLINK("https://www.catalog.slsa.sa.gov.au/xrecord=b2056912")</f>
        <v>https://www.catalog.slsa.sa.gov.au/xrecord=b2056912</v>
      </c>
      <c r="D9884" t="s">
        <v>16831</v>
      </c>
      <c r="E9884" t="s">
        <v>31270</v>
      </c>
      <c r="F9884">
        <v>1979</v>
      </c>
      <c r="G9884" t="s">
        <v>14809</v>
      </c>
      <c r="H9884" t="s">
        <v>31268</v>
      </c>
      <c r="J9884" t="s">
        <v>20931</v>
      </c>
      <c r="K9884" s="2" t="str">
        <f>HYPERLINK("http://collections.slsa.sa.gov.au/mpcimg/37500/B37449.htm")</f>
        <v>http://collections.slsa.sa.gov.au/mpcimg/37500/B37449.htm</v>
      </c>
    </row>
    <row r="9885" spans="1:11" x14ac:dyDescent="0.25">
      <c r="A9885" t="s">
        <v>31271</v>
      </c>
      <c r="B9885" s="1" t="str">
        <f>HYPERLINK("https://www.catalog.slsa.sa.gov.au/record=b2056913")</f>
        <v>https://www.catalog.slsa.sa.gov.au/record=b2056913</v>
      </c>
      <c r="C9885" s="1" t="str">
        <f>HYPERLINK("https://www.catalog.slsa.sa.gov.au/xrecord=b2056913")</f>
        <v>https://www.catalog.slsa.sa.gov.au/xrecord=b2056913</v>
      </c>
      <c r="D9885" t="s">
        <v>16831</v>
      </c>
      <c r="E9885" t="s">
        <v>31270</v>
      </c>
      <c r="F9885">
        <v>1979</v>
      </c>
      <c r="G9885" t="s">
        <v>14809</v>
      </c>
      <c r="H9885" t="s">
        <v>31268</v>
      </c>
      <c r="J9885" t="s">
        <v>20931</v>
      </c>
      <c r="K9885" s="2" t="str">
        <f>HYPERLINK("http://collections.slsa.sa.gov.au/mpcimg/37500/B37450.htm")</f>
        <v>http://collections.slsa.sa.gov.au/mpcimg/37500/B37450.htm</v>
      </c>
    </row>
    <row r="9886" spans="1:11" x14ac:dyDescent="0.25">
      <c r="A9886" t="s">
        <v>31272</v>
      </c>
      <c r="B9886" s="1" t="str">
        <f>HYPERLINK("https://www.catalog.slsa.sa.gov.au/record=b2056914")</f>
        <v>https://www.catalog.slsa.sa.gov.au/record=b2056914</v>
      </c>
      <c r="C9886" s="1" t="str">
        <f>HYPERLINK("https://www.catalog.slsa.sa.gov.au/xrecord=b2056914")</f>
        <v>https://www.catalog.slsa.sa.gov.au/xrecord=b2056914</v>
      </c>
      <c r="D9886" t="s">
        <v>16831</v>
      </c>
      <c r="E9886" t="s">
        <v>31270</v>
      </c>
      <c r="F9886">
        <v>1979</v>
      </c>
      <c r="G9886" t="s">
        <v>14809</v>
      </c>
      <c r="H9886" t="s">
        <v>31268</v>
      </c>
      <c r="J9886" t="s">
        <v>20931</v>
      </c>
      <c r="K9886" s="2" t="str">
        <f>HYPERLINK("http://collections.slsa.sa.gov.au/mpcimg/37500/B37451.htm")</f>
        <v>http://collections.slsa.sa.gov.au/mpcimg/37500/B37451.htm</v>
      </c>
    </row>
    <row r="9887" spans="1:11" x14ac:dyDescent="0.25">
      <c r="A9887" t="s">
        <v>31273</v>
      </c>
      <c r="B9887" s="1" t="str">
        <f>HYPERLINK("https://www.catalog.slsa.sa.gov.au/record=b2056986")</f>
        <v>https://www.catalog.slsa.sa.gov.au/record=b2056986</v>
      </c>
      <c r="C9887" s="1" t="str">
        <f>HYPERLINK("https://www.catalog.slsa.sa.gov.au/xrecord=b2056986")</f>
        <v>https://www.catalog.slsa.sa.gov.au/xrecord=b2056986</v>
      </c>
      <c r="D9887" t="s">
        <v>16831</v>
      </c>
      <c r="E9887" t="s">
        <v>29070</v>
      </c>
      <c r="F9887">
        <v>1979</v>
      </c>
      <c r="G9887" t="s">
        <v>14809</v>
      </c>
      <c r="H9887" t="s">
        <v>31274</v>
      </c>
      <c r="J9887" t="s">
        <v>28788</v>
      </c>
      <c r="K9887" s="2" t="str">
        <f>HYPERLINK("http://collections.slsa.sa.gov.au/mpcimg/37500/B37500.htm")</f>
        <v>http://collections.slsa.sa.gov.au/mpcimg/37500/B37500.htm</v>
      </c>
    </row>
    <row r="9888" spans="1:11" x14ac:dyDescent="0.25">
      <c r="A9888" t="s">
        <v>31275</v>
      </c>
      <c r="B9888" s="1" t="str">
        <f>HYPERLINK("https://www.catalog.slsa.sa.gov.au/record=b2057714")</f>
        <v>https://www.catalog.slsa.sa.gov.au/record=b2057714</v>
      </c>
      <c r="C9888" s="1" t="str">
        <f>HYPERLINK("https://www.catalog.slsa.sa.gov.au/xrecord=b2057714")</f>
        <v>https://www.catalog.slsa.sa.gov.au/xrecord=b2057714</v>
      </c>
      <c r="D9888" t="s">
        <v>16831</v>
      </c>
      <c r="E9888" t="s">
        <v>16791</v>
      </c>
      <c r="F9888">
        <v>1979</v>
      </c>
      <c r="G9888" t="s">
        <v>15147</v>
      </c>
      <c r="H9888" t="s">
        <v>31276</v>
      </c>
      <c r="J9888" t="s">
        <v>22800</v>
      </c>
      <c r="K9888" s="2" t="str">
        <f>HYPERLINK("http://collections.slsa.sa.gov.au/mpcimg/37750/B37505.htm")</f>
        <v>http://collections.slsa.sa.gov.au/mpcimg/37750/B37505.htm</v>
      </c>
    </row>
    <row r="9889" spans="1:11" x14ac:dyDescent="0.25">
      <c r="A9889" t="s">
        <v>31277</v>
      </c>
      <c r="B9889" s="1" t="str">
        <f>HYPERLINK("https://www.catalog.slsa.sa.gov.au/record=b2058418")</f>
        <v>https://www.catalog.slsa.sa.gov.au/record=b2058418</v>
      </c>
      <c r="C9889" s="1" t="str">
        <f>HYPERLINK("https://www.catalog.slsa.sa.gov.au/xrecord=b2058418")</f>
        <v>https://www.catalog.slsa.sa.gov.au/xrecord=b2058418</v>
      </c>
      <c r="D9889" t="s">
        <v>16831</v>
      </c>
      <c r="E9889" t="s">
        <v>25893</v>
      </c>
      <c r="F9889">
        <v>1979</v>
      </c>
      <c r="G9889" t="s">
        <v>15147</v>
      </c>
      <c r="H9889" t="s">
        <v>31278</v>
      </c>
      <c r="J9889" t="s">
        <v>25864</v>
      </c>
      <c r="K9889" s="2" t="str">
        <f>HYPERLINK("http://collections.slsa.sa.gov.au/mpcimg/37750/B37530.htm")</f>
        <v>http://collections.slsa.sa.gov.au/mpcimg/37750/B37530.htm</v>
      </c>
    </row>
    <row r="9890" spans="1:11" x14ac:dyDescent="0.25">
      <c r="A9890" t="s">
        <v>31279</v>
      </c>
      <c r="B9890" s="1" t="str">
        <f>HYPERLINK("https://www.catalog.slsa.sa.gov.au/record=b2058419")</f>
        <v>https://www.catalog.slsa.sa.gov.au/record=b2058419</v>
      </c>
      <c r="C9890" s="1" t="str">
        <f>HYPERLINK("https://www.catalog.slsa.sa.gov.au/xrecord=b2058419")</f>
        <v>https://www.catalog.slsa.sa.gov.au/xrecord=b2058419</v>
      </c>
      <c r="D9890" t="s">
        <v>16831</v>
      </c>
      <c r="E9890" t="s">
        <v>25893</v>
      </c>
      <c r="F9890">
        <v>1979</v>
      </c>
      <c r="G9890" t="s">
        <v>15147</v>
      </c>
      <c r="H9890" t="s">
        <v>31280</v>
      </c>
      <c r="J9890" t="s">
        <v>25864</v>
      </c>
      <c r="K9890" s="2" t="str">
        <f>HYPERLINK("http://collections.slsa.sa.gov.au/mpcimg/37750/B37531.htm")</f>
        <v>http://collections.slsa.sa.gov.au/mpcimg/37750/B37531.htm</v>
      </c>
    </row>
    <row r="9891" spans="1:11" x14ac:dyDescent="0.25">
      <c r="A9891" t="s">
        <v>31281</v>
      </c>
      <c r="B9891" s="1" t="str">
        <f>HYPERLINK("https://www.catalog.slsa.sa.gov.au/record=b2058420")</f>
        <v>https://www.catalog.slsa.sa.gov.au/record=b2058420</v>
      </c>
      <c r="C9891" s="1" t="str">
        <f>HYPERLINK("https://www.catalog.slsa.sa.gov.au/xrecord=b2058420")</f>
        <v>https://www.catalog.slsa.sa.gov.au/xrecord=b2058420</v>
      </c>
      <c r="D9891" t="s">
        <v>16831</v>
      </c>
      <c r="E9891" t="s">
        <v>25893</v>
      </c>
      <c r="F9891">
        <v>1979</v>
      </c>
      <c r="G9891" t="s">
        <v>15147</v>
      </c>
      <c r="H9891" t="s">
        <v>31280</v>
      </c>
      <c r="J9891" t="s">
        <v>25864</v>
      </c>
      <c r="K9891" s="2" t="str">
        <f>HYPERLINK("http://collections.slsa.sa.gov.au/mpcimg/37750/B37532.htm")</f>
        <v>http://collections.slsa.sa.gov.au/mpcimg/37750/B37532.htm</v>
      </c>
    </row>
    <row r="9892" spans="1:11" x14ac:dyDescent="0.25">
      <c r="A9892" t="s">
        <v>31282</v>
      </c>
      <c r="B9892" s="1" t="str">
        <f>HYPERLINK("https://www.catalog.slsa.sa.gov.au/record=b2059044")</f>
        <v>https://www.catalog.slsa.sa.gov.au/record=b2059044</v>
      </c>
      <c r="C9892" s="1" t="str">
        <f>HYPERLINK("https://www.catalog.slsa.sa.gov.au/xrecord=b2059044")</f>
        <v>https://www.catalog.slsa.sa.gov.au/xrecord=b2059044</v>
      </c>
      <c r="D9892" t="s">
        <v>16831</v>
      </c>
      <c r="E9892" t="s">
        <v>25879</v>
      </c>
      <c r="F9892">
        <v>1979</v>
      </c>
      <c r="G9892" t="s">
        <v>15147</v>
      </c>
      <c r="H9892" t="s">
        <v>31283</v>
      </c>
      <c r="J9892" t="s">
        <v>25877</v>
      </c>
      <c r="K9892" s="2" t="str">
        <f>HYPERLINK("http://collections.slsa.sa.gov.au/mpcimg/37000/B36851.htm")</f>
        <v>http://collections.slsa.sa.gov.au/mpcimg/37000/B36851.htm</v>
      </c>
    </row>
    <row r="9893" spans="1:11" x14ac:dyDescent="0.25">
      <c r="A9893" t="s">
        <v>31284</v>
      </c>
      <c r="B9893" s="1" t="str">
        <f>HYPERLINK("https://www.catalog.slsa.sa.gov.au/record=b2059504")</f>
        <v>https://www.catalog.slsa.sa.gov.au/record=b2059504</v>
      </c>
      <c r="C9893" s="1" t="str">
        <f>HYPERLINK("https://www.catalog.slsa.sa.gov.au/xrecord=b2059504")</f>
        <v>https://www.catalog.slsa.sa.gov.au/xrecord=b2059504</v>
      </c>
      <c r="D9893" t="s">
        <v>16831</v>
      </c>
      <c r="E9893" t="s">
        <v>31285</v>
      </c>
      <c r="F9893">
        <v>1979</v>
      </c>
      <c r="G9893" t="s">
        <v>14809</v>
      </c>
      <c r="H9893" t="s">
        <v>31286</v>
      </c>
      <c r="J9893" t="s">
        <v>24201</v>
      </c>
      <c r="K9893" s="2" t="str">
        <f>HYPERLINK("http://collections.slsa.sa.gov.au/mpcimg/38000/B37784.htm")</f>
        <v>http://collections.slsa.sa.gov.au/mpcimg/38000/B37784.htm</v>
      </c>
    </row>
    <row r="9894" spans="1:11" x14ac:dyDescent="0.25">
      <c r="A9894" t="s">
        <v>31287</v>
      </c>
      <c r="B9894" s="1" t="str">
        <f>HYPERLINK("https://www.catalog.slsa.sa.gov.au/record=b2059546")</f>
        <v>https://www.catalog.slsa.sa.gov.au/record=b2059546</v>
      </c>
      <c r="C9894" s="1" t="str">
        <f>HYPERLINK("https://www.catalog.slsa.sa.gov.au/xrecord=b2059546")</f>
        <v>https://www.catalog.slsa.sa.gov.au/xrecord=b2059546</v>
      </c>
      <c r="D9894" t="s">
        <v>16831</v>
      </c>
      <c r="E9894" t="s">
        <v>20096</v>
      </c>
      <c r="F9894">
        <v>1979</v>
      </c>
      <c r="G9894" t="s">
        <v>14809</v>
      </c>
      <c r="H9894" t="s">
        <v>31288</v>
      </c>
      <c r="J9894" t="s">
        <v>24211</v>
      </c>
      <c r="K9894" s="2" t="str">
        <f>HYPERLINK("http://collections.slsa.sa.gov.au/mpcimg/38000/B37782.htm")</f>
        <v>http://collections.slsa.sa.gov.au/mpcimg/38000/B37782.htm</v>
      </c>
    </row>
    <row r="9895" spans="1:11" x14ac:dyDescent="0.25">
      <c r="A9895" t="s">
        <v>31289</v>
      </c>
      <c r="B9895" s="1" t="str">
        <f>HYPERLINK("https://www.catalog.slsa.sa.gov.au/record=b2059547")</f>
        <v>https://www.catalog.slsa.sa.gov.au/record=b2059547</v>
      </c>
      <c r="C9895" s="1" t="str">
        <f>HYPERLINK("https://www.catalog.slsa.sa.gov.au/xrecord=b2059547")</f>
        <v>https://www.catalog.slsa.sa.gov.au/xrecord=b2059547</v>
      </c>
      <c r="D9895" t="s">
        <v>16831</v>
      </c>
      <c r="E9895" t="s">
        <v>20096</v>
      </c>
      <c r="F9895">
        <v>1979</v>
      </c>
      <c r="G9895" t="s">
        <v>14809</v>
      </c>
      <c r="H9895" t="s">
        <v>31290</v>
      </c>
      <c r="J9895" t="s">
        <v>24211</v>
      </c>
      <c r="K9895" s="2" t="str">
        <f>HYPERLINK("http://collections.slsa.sa.gov.au/mpcimg/38000/B37783.htm")</f>
        <v>http://collections.slsa.sa.gov.au/mpcimg/38000/B37783.htm</v>
      </c>
    </row>
    <row r="9896" spans="1:11" x14ac:dyDescent="0.25">
      <c r="A9896" t="s">
        <v>31291</v>
      </c>
      <c r="B9896" s="1" t="str">
        <f>HYPERLINK("https://www.catalog.slsa.sa.gov.au/record=b2059872")</f>
        <v>https://www.catalog.slsa.sa.gov.au/record=b2059872</v>
      </c>
      <c r="C9896" s="1" t="str">
        <f>HYPERLINK("https://www.catalog.slsa.sa.gov.au/xrecord=b2059872")</f>
        <v>https://www.catalog.slsa.sa.gov.au/xrecord=b2059872</v>
      </c>
      <c r="D9896" t="s">
        <v>16831</v>
      </c>
      <c r="E9896" t="s">
        <v>22862</v>
      </c>
      <c r="F9896">
        <v>1979</v>
      </c>
      <c r="G9896" t="s">
        <v>14809</v>
      </c>
      <c r="H9896" t="s">
        <v>31292</v>
      </c>
      <c r="J9896" t="s">
        <v>25924</v>
      </c>
      <c r="K9896" s="2" t="str">
        <f>HYPERLINK("http://collections.slsa.sa.gov.au/mpcimg/38000/B37755.htm")</f>
        <v>http://collections.slsa.sa.gov.au/mpcimg/38000/B37755.htm</v>
      </c>
    </row>
    <row r="9897" spans="1:11" x14ac:dyDescent="0.25">
      <c r="A9897" t="s">
        <v>31293</v>
      </c>
      <c r="B9897" s="1" t="str">
        <f>HYPERLINK("https://www.catalog.slsa.sa.gov.au/record=b2059873")</f>
        <v>https://www.catalog.slsa.sa.gov.au/record=b2059873</v>
      </c>
      <c r="C9897" s="1" t="str">
        <f>HYPERLINK("https://www.catalog.slsa.sa.gov.au/xrecord=b2059873")</f>
        <v>https://www.catalog.slsa.sa.gov.au/xrecord=b2059873</v>
      </c>
      <c r="D9897" t="s">
        <v>16831</v>
      </c>
      <c r="E9897" t="s">
        <v>15191</v>
      </c>
      <c r="F9897">
        <v>1979</v>
      </c>
      <c r="G9897" t="s">
        <v>14809</v>
      </c>
      <c r="H9897" t="s">
        <v>31294</v>
      </c>
      <c r="J9897" t="s">
        <v>25924</v>
      </c>
      <c r="K9897" s="2" t="str">
        <f>HYPERLINK("http://collections.slsa.sa.gov.au/mpcimg/38000/B37756.htm")</f>
        <v>http://collections.slsa.sa.gov.au/mpcimg/38000/B37756.htm</v>
      </c>
    </row>
    <row r="9898" spans="1:11" x14ac:dyDescent="0.25">
      <c r="A9898" t="s">
        <v>31295</v>
      </c>
      <c r="B9898" s="1" t="str">
        <f>HYPERLINK("https://www.catalog.slsa.sa.gov.au/record=b2060455")</f>
        <v>https://www.catalog.slsa.sa.gov.au/record=b2060455</v>
      </c>
      <c r="C9898" s="1" t="str">
        <f>HYPERLINK("https://www.catalog.slsa.sa.gov.au/xrecord=b2060455")</f>
        <v>https://www.catalog.slsa.sa.gov.au/xrecord=b2060455</v>
      </c>
      <c r="D9898" t="s">
        <v>16831</v>
      </c>
      <c r="E9898" t="s">
        <v>21061</v>
      </c>
      <c r="F9898">
        <v>1979</v>
      </c>
      <c r="G9898" t="s">
        <v>14809</v>
      </c>
      <c r="H9898" t="s">
        <v>30978</v>
      </c>
      <c r="J9898" t="s">
        <v>21078</v>
      </c>
      <c r="K9898" s="2" t="str">
        <f>HYPERLINK("http://collections.slsa.sa.gov.au/mpcimg/36750/B36661.htm")</f>
        <v>http://collections.slsa.sa.gov.au/mpcimg/36750/B36661.htm</v>
      </c>
    </row>
    <row r="9899" spans="1:11" x14ac:dyDescent="0.25">
      <c r="A9899" t="s">
        <v>31296</v>
      </c>
      <c r="B9899" s="1" t="str">
        <f>HYPERLINK("https://www.catalog.slsa.sa.gov.au/record=b2060782")</f>
        <v>https://www.catalog.slsa.sa.gov.au/record=b2060782</v>
      </c>
      <c r="C9899" s="1" t="str">
        <f>HYPERLINK("https://www.catalog.slsa.sa.gov.au/xrecord=b2060782")</f>
        <v>https://www.catalog.slsa.sa.gov.au/xrecord=b2060782</v>
      </c>
      <c r="D9899" t="s">
        <v>16831</v>
      </c>
      <c r="E9899" t="s">
        <v>31297</v>
      </c>
      <c r="F9899">
        <v>1979</v>
      </c>
      <c r="G9899" t="s">
        <v>14809</v>
      </c>
      <c r="H9899" t="s">
        <v>31298</v>
      </c>
      <c r="J9899" t="s">
        <v>22875</v>
      </c>
      <c r="K9899" s="2" t="str">
        <f>HYPERLINK("http://collections.slsa.sa.gov.au/mpcimg/36750/B36663.htm")</f>
        <v>http://collections.slsa.sa.gov.au/mpcimg/36750/B36663.htm</v>
      </c>
    </row>
    <row r="9900" spans="1:11" x14ac:dyDescent="0.25">
      <c r="A9900" t="s">
        <v>31299</v>
      </c>
      <c r="B9900" s="1" t="str">
        <f>HYPERLINK("https://www.catalog.slsa.sa.gov.au/record=b2060783")</f>
        <v>https://www.catalog.slsa.sa.gov.au/record=b2060783</v>
      </c>
      <c r="C9900" s="1" t="str">
        <f>HYPERLINK("https://www.catalog.slsa.sa.gov.au/xrecord=b2060783")</f>
        <v>https://www.catalog.slsa.sa.gov.au/xrecord=b2060783</v>
      </c>
      <c r="D9900" t="s">
        <v>16831</v>
      </c>
      <c r="E9900" t="s">
        <v>20100</v>
      </c>
      <c r="F9900">
        <v>1979</v>
      </c>
      <c r="G9900" t="s">
        <v>14809</v>
      </c>
      <c r="H9900" t="s">
        <v>31300</v>
      </c>
      <c r="J9900" t="s">
        <v>22875</v>
      </c>
      <c r="K9900" s="2" t="str">
        <f>HYPERLINK("http://collections.slsa.sa.gov.au/mpcimg/36750/B36664.htm")</f>
        <v>http://collections.slsa.sa.gov.au/mpcimg/36750/B36664.htm</v>
      </c>
    </row>
    <row r="9901" spans="1:11" x14ac:dyDescent="0.25">
      <c r="A9901" t="s">
        <v>31301</v>
      </c>
      <c r="B9901" s="1" t="str">
        <f>HYPERLINK("https://www.catalog.slsa.sa.gov.au/record=b2060784")</f>
        <v>https://www.catalog.slsa.sa.gov.au/record=b2060784</v>
      </c>
      <c r="C9901" s="1" t="str">
        <f>HYPERLINK("https://www.catalog.slsa.sa.gov.au/xrecord=b2060784")</f>
        <v>https://www.catalog.slsa.sa.gov.au/xrecord=b2060784</v>
      </c>
      <c r="D9901" t="s">
        <v>16831</v>
      </c>
      <c r="E9901" t="s">
        <v>29789</v>
      </c>
      <c r="F9901">
        <v>1979</v>
      </c>
      <c r="G9901" t="s">
        <v>14809</v>
      </c>
      <c r="H9901" t="s">
        <v>31302</v>
      </c>
      <c r="J9901" t="s">
        <v>22875</v>
      </c>
      <c r="K9901" s="2" t="str">
        <f>HYPERLINK("http://collections.slsa.sa.gov.au/mpcimg/37750/B37533.htm")</f>
        <v>http://collections.slsa.sa.gov.au/mpcimg/37750/B37533.htm</v>
      </c>
    </row>
    <row r="9902" spans="1:11" x14ac:dyDescent="0.25">
      <c r="A9902" t="s">
        <v>31303</v>
      </c>
      <c r="B9902" s="1" t="str">
        <f>HYPERLINK("https://www.catalog.slsa.sa.gov.au/record=b2060970")</f>
        <v>https://www.catalog.slsa.sa.gov.au/record=b2060970</v>
      </c>
      <c r="C9902" s="1" t="str">
        <f>HYPERLINK("https://www.catalog.slsa.sa.gov.au/xrecord=b2060970")</f>
        <v>https://www.catalog.slsa.sa.gov.au/xrecord=b2060970</v>
      </c>
      <c r="D9902" t="s">
        <v>16831</v>
      </c>
      <c r="E9902" t="s">
        <v>21118</v>
      </c>
      <c r="F9902">
        <v>1979</v>
      </c>
      <c r="G9902" t="s">
        <v>14809</v>
      </c>
      <c r="H9902" t="s">
        <v>31304</v>
      </c>
      <c r="J9902" t="s">
        <v>26713</v>
      </c>
      <c r="K9902" s="2" t="str">
        <f>HYPERLINK("http://collections.slsa.sa.gov.au/mpcimg/36750/B36668.htm")</f>
        <v>http://collections.slsa.sa.gov.au/mpcimg/36750/B36668.htm</v>
      </c>
    </row>
    <row r="9903" spans="1:11" x14ac:dyDescent="0.25">
      <c r="A9903" t="s">
        <v>31305</v>
      </c>
      <c r="B9903" s="1" t="str">
        <f>HYPERLINK("https://www.catalog.slsa.sa.gov.au/record=b2060971")</f>
        <v>https://www.catalog.slsa.sa.gov.au/record=b2060971</v>
      </c>
      <c r="C9903" s="1" t="str">
        <f>HYPERLINK("https://www.catalog.slsa.sa.gov.au/xrecord=b2060971")</f>
        <v>https://www.catalog.slsa.sa.gov.au/xrecord=b2060971</v>
      </c>
      <c r="D9903" t="s">
        <v>16831</v>
      </c>
      <c r="E9903" t="s">
        <v>21118</v>
      </c>
      <c r="F9903">
        <v>1979</v>
      </c>
      <c r="G9903" t="s">
        <v>14809</v>
      </c>
      <c r="H9903" t="s">
        <v>31306</v>
      </c>
      <c r="J9903" t="s">
        <v>26713</v>
      </c>
      <c r="K9903" s="2" t="str">
        <f>HYPERLINK("http://collections.slsa.sa.gov.au/mpcimg/36750/B36669.htm")</f>
        <v>http://collections.slsa.sa.gov.au/mpcimg/36750/B36669.htm</v>
      </c>
    </row>
    <row r="9904" spans="1:11" x14ac:dyDescent="0.25">
      <c r="A9904" t="s">
        <v>31307</v>
      </c>
      <c r="B9904" s="1" t="str">
        <f>HYPERLINK("https://www.catalog.slsa.sa.gov.au/record=b2060972")</f>
        <v>https://www.catalog.slsa.sa.gov.au/record=b2060972</v>
      </c>
      <c r="C9904" s="1" t="str">
        <f>HYPERLINK("https://www.catalog.slsa.sa.gov.au/xrecord=b2060972")</f>
        <v>https://www.catalog.slsa.sa.gov.au/xrecord=b2060972</v>
      </c>
      <c r="D9904" t="s">
        <v>16831</v>
      </c>
      <c r="E9904" t="s">
        <v>21118</v>
      </c>
      <c r="F9904">
        <v>1979</v>
      </c>
      <c r="G9904" t="s">
        <v>14809</v>
      </c>
      <c r="H9904" t="s">
        <v>31306</v>
      </c>
      <c r="J9904" t="s">
        <v>26713</v>
      </c>
      <c r="K9904" s="2" t="str">
        <f>HYPERLINK("http://collections.slsa.sa.gov.au/mpcimg/36750/B36670.htm")</f>
        <v>http://collections.slsa.sa.gov.au/mpcimg/36750/B36670.htm</v>
      </c>
    </row>
    <row r="9905" spans="1:11" x14ac:dyDescent="0.25">
      <c r="A9905" t="s">
        <v>31308</v>
      </c>
      <c r="B9905" s="1" t="str">
        <f>HYPERLINK("https://www.catalog.slsa.sa.gov.au/record=b2061015")</f>
        <v>https://www.catalog.slsa.sa.gov.au/record=b2061015</v>
      </c>
      <c r="C9905" s="1" t="str">
        <f>HYPERLINK("https://www.catalog.slsa.sa.gov.au/xrecord=b2061015")</f>
        <v>https://www.catalog.slsa.sa.gov.au/xrecord=b2061015</v>
      </c>
      <c r="D9905" t="s">
        <v>16831</v>
      </c>
      <c r="E9905" t="s">
        <v>31309</v>
      </c>
      <c r="F9905">
        <v>1979</v>
      </c>
      <c r="G9905" t="s">
        <v>15147</v>
      </c>
      <c r="H9905" t="s">
        <v>31310</v>
      </c>
      <c r="J9905" t="s">
        <v>24353</v>
      </c>
      <c r="K9905" s="2" t="str">
        <f>HYPERLINK("http://collections.slsa.sa.gov.au/mpcimg/37750/B37519.htm")</f>
        <v>http://collections.slsa.sa.gov.au/mpcimg/37750/B37519.htm</v>
      </c>
    </row>
    <row r="9906" spans="1:11" x14ac:dyDescent="0.25">
      <c r="A9906" t="s">
        <v>31311</v>
      </c>
      <c r="B9906" s="1" t="str">
        <f>HYPERLINK("https://www.catalog.slsa.sa.gov.au/record=b2061167")</f>
        <v>https://www.catalog.slsa.sa.gov.au/record=b2061167</v>
      </c>
      <c r="C9906" s="1" t="str">
        <f>HYPERLINK("https://www.catalog.slsa.sa.gov.au/xrecord=b2061167")</f>
        <v>https://www.catalog.slsa.sa.gov.au/xrecord=b2061167</v>
      </c>
      <c r="D9906" t="s">
        <v>16831</v>
      </c>
      <c r="E9906" t="s">
        <v>21118</v>
      </c>
      <c r="F9906">
        <v>1979</v>
      </c>
      <c r="G9906" t="s">
        <v>14809</v>
      </c>
      <c r="H9906" t="s">
        <v>31312</v>
      </c>
      <c r="J9906" t="s">
        <v>25460</v>
      </c>
      <c r="K9906" s="2" t="str">
        <f>HYPERLINK("http://collections.slsa.sa.gov.au/mpcimg/36750/B36665.htm")</f>
        <v>http://collections.slsa.sa.gov.au/mpcimg/36750/B36665.htm</v>
      </c>
    </row>
    <row r="9907" spans="1:11" x14ac:dyDescent="0.25">
      <c r="A9907" t="s">
        <v>31313</v>
      </c>
      <c r="B9907" s="1" t="str">
        <f>HYPERLINK("https://www.catalog.slsa.sa.gov.au/record=b2061432")</f>
        <v>https://www.catalog.slsa.sa.gov.au/record=b2061432</v>
      </c>
      <c r="C9907" s="1" t="str">
        <f>HYPERLINK("https://www.catalog.slsa.sa.gov.au/xrecord=b2061432")</f>
        <v>https://www.catalog.slsa.sa.gov.au/xrecord=b2061432</v>
      </c>
      <c r="D9907" t="s">
        <v>16831</v>
      </c>
      <c r="E9907" t="s">
        <v>25471</v>
      </c>
      <c r="F9907">
        <v>1979</v>
      </c>
      <c r="G9907" t="s">
        <v>14809</v>
      </c>
      <c r="H9907" t="s">
        <v>31314</v>
      </c>
      <c r="J9907" t="s">
        <v>31315</v>
      </c>
      <c r="K9907" s="2" t="str">
        <f>HYPERLINK("http://collections.slsa.sa.gov.au/mpcimg/36750/B36644.htm")</f>
        <v>http://collections.slsa.sa.gov.au/mpcimg/36750/B36644.htm</v>
      </c>
    </row>
    <row r="9908" spans="1:11" x14ac:dyDescent="0.25">
      <c r="A9908" t="s">
        <v>31316</v>
      </c>
      <c r="B9908" s="1" t="str">
        <f>HYPERLINK("https://www.catalog.slsa.sa.gov.au/record=b2061433")</f>
        <v>https://www.catalog.slsa.sa.gov.au/record=b2061433</v>
      </c>
      <c r="C9908" s="1" t="str">
        <f>HYPERLINK("https://www.catalog.slsa.sa.gov.au/xrecord=b2061433")</f>
        <v>https://www.catalog.slsa.sa.gov.au/xrecord=b2061433</v>
      </c>
      <c r="D9908" t="s">
        <v>16831</v>
      </c>
      <c r="E9908" t="s">
        <v>25471</v>
      </c>
      <c r="F9908">
        <v>1979</v>
      </c>
      <c r="G9908" t="s">
        <v>14809</v>
      </c>
      <c r="H9908" t="s">
        <v>31317</v>
      </c>
      <c r="J9908" t="s">
        <v>31315</v>
      </c>
      <c r="K9908" s="2" t="str">
        <f>HYPERLINK("http://collections.slsa.sa.gov.au/mpcimg/36750/B36645.htm")</f>
        <v>http://collections.slsa.sa.gov.au/mpcimg/36750/B36645.htm</v>
      </c>
    </row>
    <row r="9909" spans="1:11" x14ac:dyDescent="0.25">
      <c r="A9909" t="s">
        <v>31318</v>
      </c>
      <c r="B9909" s="1" t="str">
        <f>HYPERLINK("https://www.catalog.slsa.sa.gov.au/record=b2061497")</f>
        <v>https://www.catalog.slsa.sa.gov.au/record=b2061497</v>
      </c>
      <c r="C9909" s="1" t="str">
        <f>HYPERLINK("https://www.catalog.slsa.sa.gov.au/xrecord=b2061497")</f>
        <v>https://www.catalog.slsa.sa.gov.au/xrecord=b2061497</v>
      </c>
      <c r="D9909" t="s">
        <v>16831</v>
      </c>
      <c r="E9909" t="s">
        <v>30172</v>
      </c>
      <c r="F9909">
        <v>1979</v>
      </c>
      <c r="G9909" t="s">
        <v>14809</v>
      </c>
      <c r="H9909" t="s">
        <v>31319</v>
      </c>
      <c r="J9909" t="s">
        <v>21186</v>
      </c>
      <c r="K9909" s="2" t="str">
        <f>HYPERLINK("http://collections.slsa.sa.gov.au/mpcimg/37500/B37452.htm")</f>
        <v>http://collections.slsa.sa.gov.au/mpcimg/37500/B37452.htm</v>
      </c>
    </row>
    <row r="9910" spans="1:11" x14ac:dyDescent="0.25">
      <c r="A9910" t="s">
        <v>31320</v>
      </c>
      <c r="B9910" s="1" t="str">
        <f>HYPERLINK("https://www.catalog.slsa.sa.gov.au/record=b2061673")</f>
        <v>https://www.catalog.slsa.sa.gov.au/record=b2061673</v>
      </c>
      <c r="C9910" s="1" t="str">
        <f>HYPERLINK("https://www.catalog.slsa.sa.gov.au/xrecord=b2061673")</f>
        <v>https://www.catalog.slsa.sa.gov.au/xrecord=b2061673</v>
      </c>
      <c r="D9910" t="s">
        <v>16831</v>
      </c>
      <c r="E9910" t="s">
        <v>24455</v>
      </c>
      <c r="F9910">
        <v>1979</v>
      </c>
      <c r="G9910" t="s">
        <v>14809</v>
      </c>
      <c r="H9910" t="s">
        <v>31321</v>
      </c>
      <c r="J9910" t="s">
        <v>24453</v>
      </c>
      <c r="K9910" s="2" t="str">
        <f>HYPERLINK("http://collections.slsa.sa.gov.au/mpcimg/36750/B36562.htm")</f>
        <v>http://collections.slsa.sa.gov.au/mpcimg/36750/B36562.htm</v>
      </c>
    </row>
    <row r="9911" spans="1:11" x14ac:dyDescent="0.25">
      <c r="A9911" t="s">
        <v>31322</v>
      </c>
      <c r="B9911" s="1" t="str">
        <f>HYPERLINK("https://www.catalog.slsa.sa.gov.au/record=b2061674")</f>
        <v>https://www.catalog.slsa.sa.gov.au/record=b2061674</v>
      </c>
      <c r="C9911" s="1" t="str">
        <f>HYPERLINK("https://www.catalog.slsa.sa.gov.au/xrecord=b2061674")</f>
        <v>https://www.catalog.slsa.sa.gov.au/xrecord=b2061674</v>
      </c>
      <c r="D9911" t="s">
        <v>16831</v>
      </c>
      <c r="E9911" t="s">
        <v>24455</v>
      </c>
      <c r="F9911">
        <v>1979</v>
      </c>
      <c r="G9911" t="s">
        <v>14809</v>
      </c>
      <c r="H9911" t="s">
        <v>31321</v>
      </c>
      <c r="J9911" t="s">
        <v>24453</v>
      </c>
      <c r="K9911" s="2" t="str">
        <f>HYPERLINK("http://collections.slsa.sa.gov.au/mpcimg/36750/B36563.htm")</f>
        <v>http://collections.slsa.sa.gov.au/mpcimg/36750/B36563.htm</v>
      </c>
    </row>
    <row r="9912" spans="1:11" x14ac:dyDescent="0.25">
      <c r="A9912" t="s">
        <v>31323</v>
      </c>
      <c r="B9912" s="1" t="str">
        <f>HYPERLINK("https://www.catalog.slsa.sa.gov.au/record=b2061974")</f>
        <v>https://www.catalog.slsa.sa.gov.au/record=b2061974</v>
      </c>
      <c r="C9912" s="1" t="str">
        <f>HYPERLINK("https://www.catalog.slsa.sa.gov.au/xrecord=b2061974")</f>
        <v>https://www.catalog.slsa.sa.gov.au/xrecord=b2061974</v>
      </c>
      <c r="D9912" t="s">
        <v>16831</v>
      </c>
      <c r="E9912" t="s">
        <v>21212</v>
      </c>
      <c r="F9912">
        <v>1979</v>
      </c>
      <c r="G9912" t="s">
        <v>15147</v>
      </c>
      <c r="H9912" t="s">
        <v>31324</v>
      </c>
      <c r="J9912" t="s">
        <v>31325</v>
      </c>
      <c r="K9912" s="2" t="str">
        <f>HYPERLINK("http://collections.slsa.sa.gov.au/mpcimg/37000/B36786.htm")</f>
        <v>http://collections.slsa.sa.gov.au/mpcimg/37000/B36786.htm</v>
      </c>
    </row>
    <row r="9913" spans="1:11" x14ac:dyDescent="0.25">
      <c r="A9913" t="s">
        <v>31326</v>
      </c>
      <c r="B9913" s="1" t="str">
        <f>HYPERLINK("https://www.catalog.slsa.sa.gov.au/record=b2062004")</f>
        <v>https://www.catalog.slsa.sa.gov.au/record=b2062004</v>
      </c>
      <c r="C9913" s="1" t="str">
        <f>HYPERLINK("https://www.catalog.slsa.sa.gov.au/xrecord=b2062004")</f>
        <v>https://www.catalog.slsa.sa.gov.au/xrecord=b2062004</v>
      </c>
      <c r="D9913" t="s">
        <v>16831</v>
      </c>
      <c r="E9913" t="s">
        <v>21232</v>
      </c>
      <c r="F9913">
        <v>1979</v>
      </c>
      <c r="G9913" t="s">
        <v>15147</v>
      </c>
      <c r="H9913" t="s">
        <v>31327</v>
      </c>
      <c r="J9913" t="s">
        <v>24504</v>
      </c>
      <c r="K9913" s="2" t="str">
        <f>HYPERLINK("http://collections.slsa.sa.gov.au/mpcimg/37000/B36789.htm")</f>
        <v>http://collections.slsa.sa.gov.au/mpcimg/37000/B36789.htm</v>
      </c>
    </row>
    <row r="9914" spans="1:11" x14ac:dyDescent="0.25">
      <c r="A9914" t="s">
        <v>31328</v>
      </c>
      <c r="B9914" s="1" t="str">
        <f>HYPERLINK("https://www.catalog.slsa.sa.gov.au/record=b2062019")</f>
        <v>https://www.catalog.slsa.sa.gov.au/record=b2062019</v>
      </c>
      <c r="C9914" s="1" t="str">
        <f>HYPERLINK("https://www.catalog.slsa.sa.gov.au/xrecord=b2062019")</f>
        <v>https://www.catalog.slsa.sa.gov.au/xrecord=b2062019</v>
      </c>
      <c r="D9914" t="s">
        <v>16831</v>
      </c>
      <c r="E9914" t="s">
        <v>21212</v>
      </c>
      <c r="F9914">
        <v>1979</v>
      </c>
      <c r="G9914" t="s">
        <v>15147</v>
      </c>
      <c r="H9914" t="s">
        <v>31329</v>
      </c>
      <c r="J9914" t="s">
        <v>31330</v>
      </c>
      <c r="K9914" s="2" t="str">
        <f>HYPERLINK("http://collections.slsa.sa.gov.au/mpcimg/37750/B37501.htm")</f>
        <v>http://collections.slsa.sa.gov.au/mpcimg/37750/B37501.htm</v>
      </c>
    </row>
    <row r="9915" spans="1:11" x14ac:dyDescent="0.25">
      <c r="A9915" t="s">
        <v>31331</v>
      </c>
      <c r="B9915" s="1" t="str">
        <f>HYPERLINK("https://www.catalog.slsa.sa.gov.au/record=b2062020")</f>
        <v>https://www.catalog.slsa.sa.gov.au/record=b2062020</v>
      </c>
      <c r="C9915" s="1" t="str">
        <f>HYPERLINK("https://www.catalog.slsa.sa.gov.au/xrecord=b2062020")</f>
        <v>https://www.catalog.slsa.sa.gov.au/xrecord=b2062020</v>
      </c>
      <c r="D9915" t="s">
        <v>16831</v>
      </c>
      <c r="E9915" t="s">
        <v>21212</v>
      </c>
      <c r="F9915">
        <v>1979</v>
      </c>
      <c r="G9915" t="s">
        <v>15147</v>
      </c>
      <c r="H9915" t="s">
        <v>31332</v>
      </c>
      <c r="J9915" t="s">
        <v>31330</v>
      </c>
      <c r="K9915" s="2" t="str">
        <f>HYPERLINK("http://collections.slsa.sa.gov.au/mpcimg/37750/B37502.htm")</f>
        <v>http://collections.slsa.sa.gov.au/mpcimg/37750/B37502.htm</v>
      </c>
    </row>
    <row r="9916" spans="1:11" x14ac:dyDescent="0.25">
      <c r="A9916" t="s">
        <v>31333</v>
      </c>
      <c r="B9916" s="1" t="str">
        <f>HYPERLINK("https://www.catalog.slsa.sa.gov.au/record=b2062021")</f>
        <v>https://www.catalog.slsa.sa.gov.au/record=b2062021</v>
      </c>
      <c r="C9916" s="1" t="str">
        <f>HYPERLINK("https://www.catalog.slsa.sa.gov.au/xrecord=b2062021")</f>
        <v>https://www.catalog.slsa.sa.gov.au/xrecord=b2062021</v>
      </c>
      <c r="D9916" t="s">
        <v>16831</v>
      </c>
      <c r="E9916" t="s">
        <v>21212</v>
      </c>
      <c r="F9916">
        <v>1979</v>
      </c>
      <c r="G9916" t="s">
        <v>15147</v>
      </c>
      <c r="H9916" t="s">
        <v>31332</v>
      </c>
      <c r="J9916" t="s">
        <v>31330</v>
      </c>
      <c r="K9916" s="2" t="str">
        <f>HYPERLINK("http://collections.slsa.sa.gov.au/mpcimg/37750/B37503.htm")</f>
        <v>http://collections.slsa.sa.gov.au/mpcimg/37750/B37503.htm</v>
      </c>
    </row>
    <row r="9917" spans="1:11" x14ac:dyDescent="0.25">
      <c r="A9917" t="s">
        <v>31334</v>
      </c>
      <c r="B9917" s="1" t="str">
        <f>HYPERLINK("https://www.catalog.slsa.sa.gov.au/record=b2062022")</f>
        <v>https://www.catalog.slsa.sa.gov.au/record=b2062022</v>
      </c>
      <c r="C9917" s="1" t="str">
        <f>HYPERLINK("https://www.catalog.slsa.sa.gov.au/xrecord=b2062022")</f>
        <v>https://www.catalog.slsa.sa.gov.au/xrecord=b2062022</v>
      </c>
      <c r="D9917" t="s">
        <v>16831</v>
      </c>
      <c r="E9917" t="s">
        <v>21212</v>
      </c>
      <c r="F9917">
        <v>1979</v>
      </c>
      <c r="G9917" t="s">
        <v>15147</v>
      </c>
      <c r="H9917" t="s">
        <v>31335</v>
      </c>
      <c r="J9917" t="s">
        <v>31330</v>
      </c>
      <c r="K9917" s="2" t="str">
        <f>HYPERLINK("http://collections.slsa.sa.gov.au/mpcimg/37750/B37504.htm")</f>
        <v>http://collections.slsa.sa.gov.au/mpcimg/37750/B37504.htm</v>
      </c>
    </row>
    <row r="9918" spans="1:11" x14ac:dyDescent="0.25">
      <c r="A9918" t="s">
        <v>31336</v>
      </c>
      <c r="B9918" s="1" t="str">
        <f>HYPERLINK("https://www.catalog.slsa.sa.gov.au/record=b2062110")</f>
        <v>https://www.catalog.slsa.sa.gov.au/record=b2062110</v>
      </c>
      <c r="C9918" s="1" t="str">
        <f>HYPERLINK("https://www.catalog.slsa.sa.gov.au/xrecord=b2062110")</f>
        <v>https://www.catalog.slsa.sa.gov.au/xrecord=b2062110</v>
      </c>
      <c r="D9918" t="s">
        <v>16831</v>
      </c>
      <c r="E9918" t="s">
        <v>26820</v>
      </c>
      <c r="F9918">
        <v>1979</v>
      </c>
      <c r="G9918" t="s">
        <v>14809</v>
      </c>
      <c r="H9918" t="s">
        <v>31337</v>
      </c>
      <c r="J9918" t="s">
        <v>21221</v>
      </c>
      <c r="K9918" s="2" t="str">
        <f>HYPERLINK("http://collections.slsa.sa.gov.au/mpcimg/37750/B37509.htm")</f>
        <v>http://collections.slsa.sa.gov.au/mpcimg/37750/B37509.htm</v>
      </c>
    </row>
    <row r="9919" spans="1:11" x14ac:dyDescent="0.25">
      <c r="A9919" t="s">
        <v>31338</v>
      </c>
      <c r="B9919" s="1" t="str">
        <f>HYPERLINK("https://www.catalog.slsa.sa.gov.au/record=b2062111")</f>
        <v>https://www.catalog.slsa.sa.gov.au/record=b2062111</v>
      </c>
      <c r="C9919" s="1" t="str">
        <f>HYPERLINK("https://www.catalog.slsa.sa.gov.au/xrecord=b2062111")</f>
        <v>https://www.catalog.slsa.sa.gov.au/xrecord=b2062111</v>
      </c>
      <c r="D9919" t="s">
        <v>16831</v>
      </c>
      <c r="E9919" t="s">
        <v>26820</v>
      </c>
      <c r="F9919">
        <v>1979</v>
      </c>
      <c r="G9919" t="s">
        <v>15147</v>
      </c>
      <c r="H9919" t="s">
        <v>31337</v>
      </c>
      <c r="J9919" t="s">
        <v>21221</v>
      </c>
      <c r="K9919" s="2" t="str">
        <f>HYPERLINK("http://collections.slsa.sa.gov.au/mpcimg/37750/B37510.htm")</f>
        <v>http://collections.slsa.sa.gov.au/mpcimg/37750/B37510.htm</v>
      </c>
    </row>
    <row r="9920" spans="1:11" x14ac:dyDescent="0.25">
      <c r="A9920" t="s">
        <v>31339</v>
      </c>
      <c r="B9920" s="1" t="str">
        <f>HYPERLINK("https://www.catalog.slsa.sa.gov.au/record=b2062112")</f>
        <v>https://www.catalog.slsa.sa.gov.au/record=b2062112</v>
      </c>
      <c r="C9920" s="1" t="str">
        <f>HYPERLINK("https://www.catalog.slsa.sa.gov.au/xrecord=b2062112")</f>
        <v>https://www.catalog.slsa.sa.gov.au/xrecord=b2062112</v>
      </c>
      <c r="D9920" t="s">
        <v>16831</v>
      </c>
      <c r="E9920" t="s">
        <v>26820</v>
      </c>
      <c r="F9920">
        <v>1979</v>
      </c>
      <c r="G9920" t="s">
        <v>15147</v>
      </c>
      <c r="H9920" t="s">
        <v>31340</v>
      </c>
      <c r="J9920" t="s">
        <v>21221</v>
      </c>
      <c r="K9920" s="2" t="str">
        <f>HYPERLINK("http://collections.slsa.sa.gov.au/mpcimg/37750/B37511.htm")</f>
        <v>http://collections.slsa.sa.gov.au/mpcimg/37750/B37511.htm</v>
      </c>
    </row>
    <row r="9921" spans="1:11" x14ac:dyDescent="0.25">
      <c r="A9921" t="s">
        <v>31341</v>
      </c>
      <c r="B9921" s="1" t="str">
        <f>HYPERLINK("https://www.catalog.slsa.sa.gov.au/record=b2062206")</f>
        <v>https://www.catalog.slsa.sa.gov.au/record=b2062206</v>
      </c>
      <c r="C9921" s="1" t="str">
        <f>HYPERLINK("https://www.catalog.slsa.sa.gov.au/xrecord=b2062206")</f>
        <v>https://www.catalog.slsa.sa.gov.au/xrecord=b2062206</v>
      </c>
      <c r="D9921" t="s">
        <v>16831</v>
      </c>
      <c r="E9921" t="s">
        <v>31342</v>
      </c>
      <c r="F9921">
        <v>1979</v>
      </c>
      <c r="G9921" t="s">
        <v>15147</v>
      </c>
      <c r="H9921" t="s">
        <v>31343</v>
      </c>
      <c r="J9921" t="s">
        <v>31344</v>
      </c>
      <c r="K9921" s="2" t="str">
        <f>HYPERLINK("http://collections.slsa.sa.gov.au/mpcimg/37000/B36788.htm")</f>
        <v>http://collections.slsa.sa.gov.au/mpcimg/37000/B36788.htm</v>
      </c>
    </row>
    <row r="9922" spans="1:11" x14ac:dyDescent="0.25">
      <c r="A9922" t="s">
        <v>31345</v>
      </c>
      <c r="B9922" s="1" t="str">
        <f>HYPERLINK("https://www.catalog.slsa.sa.gov.au/record=b2062238")</f>
        <v>https://www.catalog.slsa.sa.gov.au/record=b2062238</v>
      </c>
      <c r="C9922" s="1" t="str">
        <f>HYPERLINK("https://www.catalog.slsa.sa.gov.au/xrecord=b2062238")</f>
        <v>https://www.catalog.slsa.sa.gov.au/xrecord=b2062238</v>
      </c>
      <c r="D9922" t="s">
        <v>16831</v>
      </c>
      <c r="E9922" t="s">
        <v>10268</v>
      </c>
      <c r="F9922">
        <v>1979</v>
      </c>
      <c r="G9922" t="s">
        <v>14809</v>
      </c>
      <c r="H9922" t="s">
        <v>31346</v>
      </c>
      <c r="J9922" t="s">
        <v>26418</v>
      </c>
      <c r="K9922" s="2" t="str">
        <f>HYPERLINK("http://collections.slsa.sa.gov.au/mpcimg/37000/B36849.htm")</f>
        <v>http://collections.slsa.sa.gov.au/mpcimg/37000/B36849.htm</v>
      </c>
    </row>
    <row r="9923" spans="1:11" x14ac:dyDescent="0.25">
      <c r="A9923" t="s">
        <v>31347</v>
      </c>
      <c r="B9923" s="1" t="str">
        <f>HYPERLINK("https://www.catalog.slsa.sa.gov.au/record=b2062239")</f>
        <v>https://www.catalog.slsa.sa.gov.au/record=b2062239</v>
      </c>
      <c r="C9923" s="1" t="str">
        <f>HYPERLINK("https://www.catalog.slsa.sa.gov.au/xrecord=b2062239")</f>
        <v>https://www.catalog.slsa.sa.gov.au/xrecord=b2062239</v>
      </c>
      <c r="D9923" t="s">
        <v>16831</v>
      </c>
      <c r="E9923" t="s">
        <v>10268</v>
      </c>
      <c r="F9923">
        <v>1979</v>
      </c>
      <c r="G9923" t="s">
        <v>14809</v>
      </c>
      <c r="H9923" t="s">
        <v>31346</v>
      </c>
      <c r="J9923" t="s">
        <v>26418</v>
      </c>
      <c r="K9923" s="2" t="str">
        <f>HYPERLINK("http://collections.slsa.sa.gov.au/mpcimg/37000/B36850.htm")</f>
        <v>http://collections.slsa.sa.gov.au/mpcimg/37000/B36850.htm</v>
      </c>
    </row>
    <row r="9924" spans="1:11" x14ac:dyDescent="0.25">
      <c r="A9924" t="s">
        <v>31348</v>
      </c>
      <c r="B9924" s="1" t="str">
        <f>HYPERLINK("https://www.catalog.slsa.sa.gov.au/record=b2062251")</f>
        <v>https://www.catalog.slsa.sa.gov.au/record=b2062251</v>
      </c>
      <c r="C9924" s="1" t="str">
        <f>HYPERLINK("https://www.catalog.slsa.sa.gov.au/xrecord=b2062251")</f>
        <v>https://www.catalog.slsa.sa.gov.au/xrecord=b2062251</v>
      </c>
      <c r="D9924" t="s">
        <v>16831</v>
      </c>
      <c r="E9924" t="s">
        <v>10268</v>
      </c>
      <c r="F9924">
        <v>1979</v>
      </c>
      <c r="G9924" t="s">
        <v>14809</v>
      </c>
      <c r="H9924" t="s">
        <v>31349</v>
      </c>
      <c r="J9924" t="s">
        <v>22932</v>
      </c>
      <c r="K9924" s="2" t="str">
        <f>HYPERLINK("http://collections.slsa.sa.gov.au/mpcimg/38000/B37762.htm")</f>
        <v>http://collections.slsa.sa.gov.au/mpcimg/38000/B37762.htm</v>
      </c>
    </row>
    <row r="9925" spans="1:11" x14ac:dyDescent="0.25">
      <c r="A9925" t="s">
        <v>31350</v>
      </c>
      <c r="B9925" s="1" t="str">
        <f>HYPERLINK("https://www.catalog.slsa.sa.gov.au/record=b2062324")</f>
        <v>https://www.catalog.slsa.sa.gov.au/record=b2062324</v>
      </c>
      <c r="C9925" s="1" t="str">
        <f>HYPERLINK("https://www.catalog.slsa.sa.gov.au/xrecord=b2062324")</f>
        <v>https://www.catalog.slsa.sa.gov.au/xrecord=b2062324</v>
      </c>
      <c r="D9925" t="s">
        <v>16831</v>
      </c>
      <c r="E9925" t="s">
        <v>16771</v>
      </c>
      <c r="F9925">
        <v>1979</v>
      </c>
      <c r="G9925" t="s">
        <v>15147</v>
      </c>
      <c r="H9925" t="s">
        <v>31351</v>
      </c>
      <c r="J9925" t="s">
        <v>21227</v>
      </c>
      <c r="K9925" s="2" t="str">
        <f>HYPERLINK("http://collections.slsa.sa.gov.au/mpcimg/37750/B37514.htm")</f>
        <v>http://collections.slsa.sa.gov.au/mpcimg/37750/B37514.htm</v>
      </c>
    </row>
    <row r="9926" spans="1:11" x14ac:dyDescent="0.25">
      <c r="A9926" t="s">
        <v>31352</v>
      </c>
      <c r="B9926" s="1" t="str">
        <f>HYPERLINK("https://www.catalog.slsa.sa.gov.au/record=b2062325")</f>
        <v>https://www.catalog.slsa.sa.gov.au/record=b2062325</v>
      </c>
      <c r="C9926" s="1" t="str">
        <f>HYPERLINK("https://www.catalog.slsa.sa.gov.au/xrecord=b2062325")</f>
        <v>https://www.catalog.slsa.sa.gov.au/xrecord=b2062325</v>
      </c>
      <c r="D9926" t="s">
        <v>16831</v>
      </c>
      <c r="E9926" t="s">
        <v>16771</v>
      </c>
      <c r="F9926">
        <v>1979</v>
      </c>
      <c r="G9926" t="s">
        <v>15147</v>
      </c>
      <c r="H9926" t="s">
        <v>31353</v>
      </c>
      <c r="J9926" t="s">
        <v>21227</v>
      </c>
      <c r="K9926" s="2" t="str">
        <f>HYPERLINK("http://collections.slsa.sa.gov.au/mpcimg/37750/B37515.htm")</f>
        <v>http://collections.slsa.sa.gov.au/mpcimg/37750/B37515.htm</v>
      </c>
    </row>
    <row r="9927" spans="1:11" x14ac:dyDescent="0.25">
      <c r="A9927" t="s">
        <v>31354</v>
      </c>
      <c r="B9927" s="1" t="str">
        <f>HYPERLINK("https://www.catalog.slsa.sa.gov.au/record=b2062326")</f>
        <v>https://www.catalog.slsa.sa.gov.au/record=b2062326</v>
      </c>
      <c r="C9927" s="1" t="str">
        <f>HYPERLINK("https://www.catalog.slsa.sa.gov.au/xrecord=b2062326")</f>
        <v>https://www.catalog.slsa.sa.gov.au/xrecord=b2062326</v>
      </c>
      <c r="D9927" t="s">
        <v>16831</v>
      </c>
      <c r="E9927" t="s">
        <v>16771</v>
      </c>
      <c r="F9927">
        <v>1979</v>
      </c>
      <c r="G9927" t="s">
        <v>15147</v>
      </c>
      <c r="H9927" t="s">
        <v>31355</v>
      </c>
      <c r="J9927" t="s">
        <v>21227</v>
      </c>
      <c r="K9927" s="2" t="str">
        <f>HYPERLINK("http://collections.slsa.sa.gov.au/mpcimg/37750/B37521.htm")</f>
        <v>http://collections.slsa.sa.gov.au/mpcimg/37750/B37521.htm</v>
      </c>
    </row>
    <row r="9928" spans="1:11" x14ac:dyDescent="0.25">
      <c r="A9928" t="s">
        <v>31356</v>
      </c>
      <c r="B9928" s="1" t="str">
        <f>HYPERLINK("https://www.catalog.slsa.sa.gov.au/record=b2062611")</f>
        <v>https://www.catalog.slsa.sa.gov.au/record=b2062611</v>
      </c>
      <c r="C9928" s="1" t="str">
        <f>HYPERLINK("https://www.catalog.slsa.sa.gov.au/xrecord=b2062611")</f>
        <v>https://www.catalog.slsa.sa.gov.au/xrecord=b2062611</v>
      </c>
      <c r="D9928" t="s">
        <v>16831</v>
      </c>
      <c r="E9928" t="s">
        <v>16771</v>
      </c>
      <c r="F9928">
        <v>1979</v>
      </c>
      <c r="G9928" t="s">
        <v>14809</v>
      </c>
      <c r="H9928" t="s">
        <v>31357</v>
      </c>
      <c r="J9928" t="s">
        <v>26869</v>
      </c>
      <c r="K9928" s="2" t="str">
        <f>HYPERLINK("http://collections.slsa.sa.gov.au/mpcimg/37750/B37508.htm")</f>
        <v>http://collections.slsa.sa.gov.au/mpcimg/37750/B37508.htm</v>
      </c>
    </row>
    <row r="9929" spans="1:11" x14ac:dyDescent="0.25">
      <c r="A9929" t="s">
        <v>31358</v>
      </c>
      <c r="B9929" s="1" t="str">
        <f>HYPERLINK("https://www.catalog.slsa.sa.gov.au/record=b2062672")</f>
        <v>https://www.catalog.slsa.sa.gov.au/record=b2062672</v>
      </c>
      <c r="C9929" s="1" t="str">
        <f>HYPERLINK("https://www.catalog.slsa.sa.gov.au/xrecord=b2062672")</f>
        <v>https://www.catalog.slsa.sa.gov.au/xrecord=b2062672</v>
      </c>
      <c r="D9929" t="s">
        <v>16831</v>
      </c>
      <c r="E9929" t="s">
        <v>21250</v>
      </c>
      <c r="F9929">
        <v>1979</v>
      </c>
      <c r="G9929" t="s">
        <v>15147</v>
      </c>
      <c r="H9929" t="s">
        <v>31359</v>
      </c>
      <c r="J9929" t="s">
        <v>26872</v>
      </c>
      <c r="K9929" s="2" t="str">
        <f>HYPERLINK("http://collections.slsa.sa.gov.au/mpcimg/37750/B37522.htm")</f>
        <v>http://collections.slsa.sa.gov.au/mpcimg/37750/B37522.htm</v>
      </c>
    </row>
    <row r="9930" spans="1:11" x14ac:dyDescent="0.25">
      <c r="A9930" t="s">
        <v>31360</v>
      </c>
      <c r="B9930" s="1" t="str">
        <f>HYPERLINK("https://www.catalog.slsa.sa.gov.au/record=b2062673")</f>
        <v>https://www.catalog.slsa.sa.gov.au/record=b2062673</v>
      </c>
      <c r="C9930" s="1" t="str">
        <f>HYPERLINK("https://www.catalog.slsa.sa.gov.au/xrecord=b2062673")</f>
        <v>https://www.catalog.slsa.sa.gov.au/xrecord=b2062673</v>
      </c>
      <c r="D9930" t="s">
        <v>16831</v>
      </c>
      <c r="E9930" t="s">
        <v>21250</v>
      </c>
      <c r="F9930">
        <v>1979</v>
      </c>
      <c r="G9930" t="s">
        <v>15147</v>
      </c>
      <c r="H9930" t="s">
        <v>31361</v>
      </c>
      <c r="J9930" t="s">
        <v>26872</v>
      </c>
      <c r="K9930" s="2" t="str">
        <f>HYPERLINK("http://collections.slsa.sa.gov.au/mpcimg/37750/B37523.htm")</f>
        <v>http://collections.slsa.sa.gov.au/mpcimg/37750/B37523.htm</v>
      </c>
    </row>
    <row r="9931" spans="1:11" x14ac:dyDescent="0.25">
      <c r="A9931" t="s">
        <v>31362</v>
      </c>
      <c r="B9931" s="1" t="str">
        <f>HYPERLINK("https://www.catalog.slsa.sa.gov.au/record=b2062674")</f>
        <v>https://www.catalog.slsa.sa.gov.au/record=b2062674</v>
      </c>
      <c r="C9931" s="1" t="str">
        <f>HYPERLINK("https://www.catalog.slsa.sa.gov.au/xrecord=b2062674")</f>
        <v>https://www.catalog.slsa.sa.gov.au/xrecord=b2062674</v>
      </c>
      <c r="D9931" t="s">
        <v>16831</v>
      </c>
      <c r="E9931" t="s">
        <v>21250</v>
      </c>
      <c r="F9931">
        <v>1979</v>
      </c>
      <c r="G9931" t="s">
        <v>15147</v>
      </c>
      <c r="H9931" t="s">
        <v>31363</v>
      </c>
      <c r="J9931" t="s">
        <v>26872</v>
      </c>
      <c r="K9931" s="2" t="str">
        <f>HYPERLINK("http://collections.slsa.sa.gov.au/mpcimg/37750/B37524.htm")</f>
        <v>http://collections.slsa.sa.gov.au/mpcimg/37750/B37524.htm</v>
      </c>
    </row>
    <row r="9932" spans="1:11" x14ac:dyDescent="0.25">
      <c r="A9932" t="s">
        <v>31364</v>
      </c>
      <c r="B9932" s="1" t="str">
        <f>HYPERLINK("https://www.catalog.slsa.sa.gov.au/record=b2062675")</f>
        <v>https://www.catalog.slsa.sa.gov.au/record=b2062675</v>
      </c>
      <c r="C9932" s="1" t="str">
        <f>HYPERLINK("https://www.catalog.slsa.sa.gov.au/xrecord=b2062675")</f>
        <v>https://www.catalog.slsa.sa.gov.au/xrecord=b2062675</v>
      </c>
      <c r="D9932" t="s">
        <v>16831</v>
      </c>
      <c r="E9932" t="s">
        <v>21250</v>
      </c>
      <c r="F9932">
        <v>1979</v>
      </c>
      <c r="G9932" t="s">
        <v>15147</v>
      </c>
      <c r="H9932" t="s">
        <v>31363</v>
      </c>
      <c r="J9932" t="s">
        <v>26872</v>
      </c>
      <c r="K9932" s="2" t="str">
        <f>HYPERLINK("http://collections.slsa.sa.gov.au/mpcimg/37750/B37525.htm")</f>
        <v>http://collections.slsa.sa.gov.au/mpcimg/37750/B37525.htm</v>
      </c>
    </row>
    <row r="9933" spans="1:11" x14ac:dyDescent="0.25">
      <c r="A9933" t="s">
        <v>31365</v>
      </c>
      <c r="B9933" s="1" t="str">
        <f>HYPERLINK("https://www.catalog.slsa.sa.gov.au/record=b2062688")</f>
        <v>https://www.catalog.slsa.sa.gov.au/record=b2062688</v>
      </c>
      <c r="C9933" s="1" t="str">
        <f>HYPERLINK("https://www.catalog.slsa.sa.gov.au/xrecord=b2062688")</f>
        <v>https://www.catalog.slsa.sa.gov.au/xrecord=b2062688</v>
      </c>
      <c r="D9933" t="s">
        <v>16831</v>
      </c>
      <c r="E9933" t="s">
        <v>31366</v>
      </c>
      <c r="F9933">
        <v>1979</v>
      </c>
      <c r="G9933" t="s">
        <v>14809</v>
      </c>
      <c r="H9933" t="s">
        <v>31367</v>
      </c>
      <c r="J9933" t="s">
        <v>27467</v>
      </c>
      <c r="K9933" s="2" t="str">
        <f>HYPERLINK("http://collections.slsa.sa.gov.au/mpcimg/37000/B36790.htm")</f>
        <v>http://collections.slsa.sa.gov.au/mpcimg/37000/B36790.htm</v>
      </c>
    </row>
    <row r="9934" spans="1:11" x14ac:dyDescent="0.25">
      <c r="A9934" t="s">
        <v>31368</v>
      </c>
      <c r="B9934" s="1" t="str">
        <f>HYPERLINK("https://www.catalog.slsa.sa.gov.au/record=b2062900")</f>
        <v>https://www.catalog.slsa.sa.gov.au/record=b2062900</v>
      </c>
      <c r="C9934" s="1" t="str">
        <f>HYPERLINK("https://www.catalog.slsa.sa.gov.au/xrecord=b2062900")</f>
        <v>https://www.catalog.slsa.sa.gov.au/xrecord=b2062900</v>
      </c>
      <c r="D9934" t="s">
        <v>16831</v>
      </c>
      <c r="E9934" t="s">
        <v>21277</v>
      </c>
      <c r="F9934">
        <v>1979</v>
      </c>
      <c r="G9934" t="s">
        <v>14809</v>
      </c>
      <c r="H9934" t="s">
        <v>31369</v>
      </c>
      <c r="J9934" t="s">
        <v>22159</v>
      </c>
      <c r="K9934" s="2" t="str">
        <f>HYPERLINK("http://collections.slsa.sa.gov.au/mpcimg/36750/B36646.htm")</f>
        <v>http://collections.slsa.sa.gov.au/mpcimg/36750/B36646.htm</v>
      </c>
    </row>
    <row r="9935" spans="1:11" x14ac:dyDescent="0.25">
      <c r="A9935" t="s">
        <v>31370</v>
      </c>
      <c r="B9935" s="1" t="str">
        <f>HYPERLINK("https://www.catalog.slsa.sa.gov.au/record=b2062901")</f>
        <v>https://www.catalog.slsa.sa.gov.au/record=b2062901</v>
      </c>
      <c r="C9935" s="1" t="str">
        <f>HYPERLINK("https://www.catalog.slsa.sa.gov.au/xrecord=b2062901")</f>
        <v>https://www.catalog.slsa.sa.gov.au/xrecord=b2062901</v>
      </c>
      <c r="D9935" t="s">
        <v>16831</v>
      </c>
      <c r="E9935" t="s">
        <v>21277</v>
      </c>
      <c r="F9935">
        <v>1979</v>
      </c>
      <c r="G9935" t="s">
        <v>14809</v>
      </c>
      <c r="H9935" t="s">
        <v>31371</v>
      </c>
      <c r="J9935" t="s">
        <v>22159</v>
      </c>
      <c r="K9935" s="2" t="str">
        <f>HYPERLINK("http://collections.slsa.sa.gov.au/mpcimg/36750/B36647.htm")</f>
        <v>http://collections.slsa.sa.gov.au/mpcimg/36750/B36647.htm</v>
      </c>
    </row>
    <row r="9936" spans="1:11" x14ac:dyDescent="0.25">
      <c r="A9936" t="s">
        <v>31372</v>
      </c>
      <c r="B9936" s="1" t="str">
        <f>HYPERLINK("https://www.catalog.slsa.sa.gov.au/record=b2062937")</f>
        <v>https://www.catalog.slsa.sa.gov.au/record=b2062937</v>
      </c>
      <c r="C9936" s="1" t="str">
        <f>HYPERLINK("https://www.catalog.slsa.sa.gov.au/xrecord=b2062937")</f>
        <v>https://www.catalog.slsa.sa.gov.au/xrecord=b2062937</v>
      </c>
      <c r="D9936" t="s">
        <v>16831</v>
      </c>
      <c r="E9936" t="s">
        <v>31373</v>
      </c>
      <c r="F9936">
        <v>1979</v>
      </c>
      <c r="G9936" t="s">
        <v>14809</v>
      </c>
      <c r="H9936" t="s">
        <v>31374</v>
      </c>
      <c r="J9936" t="s">
        <v>21294</v>
      </c>
      <c r="K9936" s="2" t="str">
        <f>HYPERLINK("http://collections.slsa.sa.gov.au/mpcimg/38000/B37764.htm")</f>
        <v>http://collections.slsa.sa.gov.au/mpcimg/38000/B37764.htm</v>
      </c>
    </row>
    <row r="9937" spans="1:11" x14ac:dyDescent="0.25">
      <c r="A9937" t="s">
        <v>31375</v>
      </c>
      <c r="B9937" s="1" t="str">
        <f>HYPERLINK("https://www.catalog.slsa.sa.gov.au/record=b2062938")</f>
        <v>https://www.catalog.slsa.sa.gov.au/record=b2062938</v>
      </c>
      <c r="C9937" s="1" t="str">
        <f>HYPERLINK("https://www.catalog.slsa.sa.gov.au/xrecord=b2062938")</f>
        <v>https://www.catalog.slsa.sa.gov.au/xrecord=b2062938</v>
      </c>
      <c r="D9937" t="s">
        <v>16831</v>
      </c>
      <c r="E9937" t="s">
        <v>31373</v>
      </c>
      <c r="F9937">
        <v>1979</v>
      </c>
      <c r="G9937" t="s">
        <v>14809</v>
      </c>
      <c r="H9937" t="s">
        <v>31376</v>
      </c>
      <c r="J9937" t="s">
        <v>21294</v>
      </c>
      <c r="K9937" s="2" t="str">
        <f>HYPERLINK("http://collections.slsa.sa.gov.au/mpcimg/38000/B37765.htm")</f>
        <v>http://collections.slsa.sa.gov.au/mpcimg/38000/B37765.htm</v>
      </c>
    </row>
    <row r="9938" spans="1:11" x14ac:dyDescent="0.25">
      <c r="A9938" t="s">
        <v>31377</v>
      </c>
      <c r="B9938" s="1" t="str">
        <f>HYPERLINK("https://www.catalog.slsa.sa.gov.au/record=b2062939")</f>
        <v>https://www.catalog.slsa.sa.gov.au/record=b2062939</v>
      </c>
      <c r="C9938" s="1" t="str">
        <f>HYPERLINK("https://www.catalog.slsa.sa.gov.au/xrecord=b2062939")</f>
        <v>https://www.catalog.slsa.sa.gov.au/xrecord=b2062939</v>
      </c>
      <c r="D9938" t="s">
        <v>16831</v>
      </c>
      <c r="E9938" t="s">
        <v>31373</v>
      </c>
      <c r="F9938">
        <v>1979</v>
      </c>
      <c r="G9938" t="s">
        <v>14809</v>
      </c>
      <c r="H9938" t="s">
        <v>31378</v>
      </c>
      <c r="J9938" t="s">
        <v>21294</v>
      </c>
      <c r="K9938" s="2" t="str">
        <f>HYPERLINK("http://collections.slsa.sa.gov.au/mpcimg/38000/B37766.htm")</f>
        <v>http://collections.slsa.sa.gov.au/mpcimg/38000/B37766.htm</v>
      </c>
    </row>
    <row r="9939" spans="1:11" x14ac:dyDescent="0.25">
      <c r="A9939" t="s">
        <v>31379</v>
      </c>
      <c r="B9939" s="1" t="str">
        <f>HYPERLINK("https://www.catalog.slsa.sa.gov.au/record=b2063004")</f>
        <v>https://www.catalog.slsa.sa.gov.au/record=b2063004</v>
      </c>
      <c r="C9939" s="1" t="str">
        <f>HYPERLINK("https://www.catalog.slsa.sa.gov.au/xrecord=b2063004")</f>
        <v>https://www.catalog.slsa.sa.gov.au/xrecord=b2063004</v>
      </c>
      <c r="D9939" t="s">
        <v>16831</v>
      </c>
      <c r="E9939" t="s">
        <v>28691</v>
      </c>
      <c r="F9939">
        <v>1979</v>
      </c>
      <c r="G9939" t="s">
        <v>14809</v>
      </c>
      <c r="H9939" t="s">
        <v>31380</v>
      </c>
      <c r="J9939" t="s">
        <v>31381</v>
      </c>
      <c r="K9939" s="2" t="str">
        <f>HYPERLINK("http://collections.slsa.sa.gov.au/mpcimg/37500/B37463.htm")</f>
        <v>http://collections.slsa.sa.gov.au/mpcimg/37500/B37463.htm</v>
      </c>
    </row>
    <row r="9940" spans="1:11" x14ac:dyDescent="0.25">
      <c r="A9940" t="s">
        <v>31382</v>
      </c>
      <c r="B9940" s="1" t="str">
        <f>HYPERLINK("https://www.catalog.slsa.sa.gov.au/record=b2063170")</f>
        <v>https://www.catalog.slsa.sa.gov.au/record=b2063170</v>
      </c>
      <c r="C9940" s="1" t="str">
        <f>HYPERLINK("https://www.catalog.slsa.sa.gov.au/xrecord=b2063170")</f>
        <v>https://www.catalog.slsa.sa.gov.au/xrecord=b2063170</v>
      </c>
      <c r="D9940" t="s">
        <v>16831</v>
      </c>
      <c r="E9940" t="s">
        <v>31383</v>
      </c>
      <c r="F9940">
        <v>1979</v>
      </c>
      <c r="G9940" t="s">
        <v>15147</v>
      </c>
      <c r="H9940" t="s">
        <v>31384</v>
      </c>
      <c r="J9940" t="s">
        <v>21326</v>
      </c>
      <c r="K9940" s="2" t="str">
        <f>HYPERLINK("http://collections.slsa.sa.gov.au/mpcimg/37750/B37520.htm")</f>
        <v>http://collections.slsa.sa.gov.au/mpcimg/37750/B37520.htm</v>
      </c>
    </row>
    <row r="9941" spans="1:11" x14ac:dyDescent="0.25">
      <c r="A9941" t="s">
        <v>31385</v>
      </c>
      <c r="B9941" s="1" t="str">
        <f>HYPERLINK("https://www.catalog.slsa.sa.gov.au/record=b2063953")</f>
        <v>https://www.catalog.slsa.sa.gov.au/record=b2063953</v>
      </c>
      <c r="C9941" s="1" t="str">
        <f>HYPERLINK("https://www.catalog.slsa.sa.gov.au/xrecord=b2063953")</f>
        <v>https://www.catalog.slsa.sa.gov.au/xrecord=b2063953</v>
      </c>
      <c r="D9941" t="s">
        <v>16831</v>
      </c>
      <c r="E9941" t="s">
        <v>28510</v>
      </c>
      <c r="F9941">
        <v>1979</v>
      </c>
      <c r="G9941" t="s">
        <v>14809</v>
      </c>
      <c r="H9941" t="s">
        <v>31386</v>
      </c>
      <c r="J9941" t="s">
        <v>31387</v>
      </c>
      <c r="K9941" s="2" t="str">
        <f>HYPERLINK("http://collections.slsa.sa.gov.au/mpcimg/37000/B36842.htm")</f>
        <v>http://collections.slsa.sa.gov.au/mpcimg/37000/B36842.htm</v>
      </c>
    </row>
    <row r="9942" spans="1:11" x14ac:dyDescent="0.25">
      <c r="A9942" t="s">
        <v>31388</v>
      </c>
      <c r="B9942" s="1" t="str">
        <f>HYPERLINK("https://www.catalog.slsa.sa.gov.au/record=b2063954")</f>
        <v>https://www.catalog.slsa.sa.gov.au/record=b2063954</v>
      </c>
      <c r="C9942" s="1" t="str">
        <f>HYPERLINK("https://www.catalog.slsa.sa.gov.au/xrecord=b2063954")</f>
        <v>https://www.catalog.slsa.sa.gov.au/xrecord=b2063954</v>
      </c>
      <c r="D9942" t="s">
        <v>16831</v>
      </c>
      <c r="E9942" t="s">
        <v>28510</v>
      </c>
      <c r="F9942">
        <v>1979</v>
      </c>
      <c r="G9942" t="s">
        <v>15147</v>
      </c>
      <c r="H9942" t="s">
        <v>31389</v>
      </c>
      <c r="J9942" t="s">
        <v>31387</v>
      </c>
      <c r="K9942" s="2" t="str">
        <f>HYPERLINK("http://collections.slsa.sa.gov.au/mpcimg/37000/B36843.htm")</f>
        <v>http://collections.slsa.sa.gov.au/mpcimg/37000/B36843.htm</v>
      </c>
    </row>
    <row r="9943" spans="1:11" x14ac:dyDescent="0.25">
      <c r="A9943" t="s">
        <v>31390</v>
      </c>
      <c r="B9943" s="1" t="str">
        <f>HYPERLINK("https://www.catalog.slsa.sa.gov.au/record=b2063955")</f>
        <v>https://www.catalog.slsa.sa.gov.au/record=b2063955</v>
      </c>
      <c r="C9943" s="1" t="str">
        <f>HYPERLINK("https://www.catalog.slsa.sa.gov.au/xrecord=b2063955")</f>
        <v>https://www.catalog.slsa.sa.gov.au/xrecord=b2063955</v>
      </c>
      <c r="D9943" t="s">
        <v>16831</v>
      </c>
      <c r="E9943" t="s">
        <v>28510</v>
      </c>
      <c r="F9943">
        <v>1979</v>
      </c>
      <c r="G9943" t="s">
        <v>15147</v>
      </c>
      <c r="H9943" t="s">
        <v>31389</v>
      </c>
      <c r="J9943" t="s">
        <v>31387</v>
      </c>
      <c r="K9943" s="2" t="str">
        <f>HYPERLINK("http://collections.slsa.sa.gov.au/mpcimg/37000/B36844.htm")</f>
        <v>http://collections.slsa.sa.gov.au/mpcimg/37000/B36844.htm</v>
      </c>
    </row>
    <row r="9944" spans="1:11" x14ac:dyDescent="0.25">
      <c r="A9944" t="s">
        <v>31391</v>
      </c>
      <c r="B9944" s="1" t="str">
        <f>HYPERLINK("https://www.catalog.slsa.sa.gov.au/record=b2063956")</f>
        <v>https://www.catalog.slsa.sa.gov.au/record=b2063956</v>
      </c>
      <c r="C9944" s="1" t="str">
        <f>HYPERLINK("https://www.catalog.slsa.sa.gov.au/xrecord=b2063956")</f>
        <v>https://www.catalog.slsa.sa.gov.au/xrecord=b2063956</v>
      </c>
      <c r="D9944" t="s">
        <v>16831</v>
      </c>
      <c r="E9944" t="s">
        <v>28510</v>
      </c>
      <c r="F9944">
        <v>1979</v>
      </c>
      <c r="G9944" t="s">
        <v>15147</v>
      </c>
      <c r="H9944" t="s">
        <v>31389</v>
      </c>
      <c r="J9944" t="s">
        <v>31387</v>
      </c>
      <c r="K9944" s="2" t="str">
        <f>HYPERLINK("http://collections.slsa.sa.gov.au/mpcimg/37000/B36845.htm")</f>
        <v>http://collections.slsa.sa.gov.au/mpcimg/37000/B36845.htm</v>
      </c>
    </row>
    <row r="9945" spans="1:11" x14ac:dyDescent="0.25">
      <c r="A9945" t="s">
        <v>31392</v>
      </c>
      <c r="B9945" s="1" t="str">
        <f>HYPERLINK("https://www.catalog.slsa.sa.gov.au/record=b2063957")</f>
        <v>https://www.catalog.slsa.sa.gov.au/record=b2063957</v>
      </c>
      <c r="C9945" s="1" t="str">
        <f>HYPERLINK("https://www.catalog.slsa.sa.gov.au/xrecord=b2063957")</f>
        <v>https://www.catalog.slsa.sa.gov.au/xrecord=b2063957</v>
      </c>
      <c r="D9945" t="s">
        <v>16831</v>
      </c>
      <c r="E9945" t="s">
        <v>28510</v>
      </c>
      <c r="F9945">
        <v>1979</v>
      </c>
      <c r="G9945" t="s">
        <v>15147</v>
      </c>
      <c r="H9945" t="s">
        <v>31389</v>
      </c>
      <c r="J9945" t="s">
        <v>31387</v>
      </c>
      <c r="K9945" s="2" t="str">
        <f>HYPERLINK("http://collections.slsa.sa.gov.au/mpcimg/37000/B36846.htm")</f>
        <v>http://collections.slsa.sa.gov.au/mpcimg/37000/B36846.htm</v>
      </c>
    </row>
    <row r="9946" spans="1:11" x14ac:dyDescent="0.25">
      <c r="A9946" t="s">
        <v>31393</v>
      </c>
      <c r="B9946" s="1" t="str">
        <f>HYPERLINK("https://www.catalog.slsa.sa.gov.au/record=b2064038")</f>
        <v>https://www.catalog.slsa.sa.gov.au/record=b2064038</v>
      </c>
      <c r="C9946" s="1" t="str">
        <f>HYPERLINK("https://www.catalog.slsa.sa.gov.au/xrecord=b2064038")</f>
        <v>https://www.catalog.slsa.sa.gov.au/xrecord=b2064038</v>
      </c>
      <c r="D9946" t="s">
        <v>16831</v>
      </c>
      <c r="E9946" t="s">
        <v>26942</v>
      </c>
      <c r="F9946">
        <v>1979</v>
      </c>
      <c r="G9946" t="s">
        <v>15147</v>
      </c>
      <c r="H9946" t="s">
        <v>31394</v>
      </c>
      <c r="J9946" t="s">
        <v>31395</v>
      </c>
      <c r="K9946" s="2" t="str">
        <f>HYPERLINK("http://collections.slsa.sa.gov.au/mpcimg/37000/B36783.htm")</f>
        <v>http://collections.slsa.sa.gov.au/mpcimg/37000/B36783.htm</v>
      </c>
    </row>
    <row r="9947" spans="1:11" x14ac:dyDescent="0.25">
      <c r="A9947" t="s">
        <v>31396</v>
      </c>
      <c r="B9947" s="1" t="str">
        <f>HYPERLINK("https://www.catalog.slsa.sa.gov.au/record=b2064039")</f>
        <v>https://www.catalog.slsa.sa.gov.au/record=b2064039</v>
      </c>
      <c r="C9947" s="1" t="str">
        <f>HYPERLINK("https://www.catalog.slsa.sa.gov.au/xrecord=b2064039")</f>
        <v>https://www.catalog.slsa.sa.gov.au/xrecord=b2064039</v>
      </c>
      <c r="D9947" t="s">
        <v>16831</v>
      </c>
      <c r="E9947" t="s">
        <v>26942</v>
      </c>
      <c r="F9947">
        <v>1979</v>
      </c>
      <c r="G9947" t="s">
        <v>15147</v>
      </c>
      <c r="H9947" t="s">
        <v>31397</v>
      </c>
      <c r="J9947" t="s">
        <v>31395</v>
      </c>
      <c r="K9947" s="2" t="str">
        <f>HYPERLINK("http://collections.slsa.sa.gov.au/mpcimg/37000/B36784.htm")</f>
        <v>http://collections.slsa.sa.gov.au/mpcimg/37000/B36784.htm</v>
      </c>
    </row>
    <row r="9948" spans="1:11" x14ac:dyDescent="0.25">
      <c r="A9948" t="s">
        <v>31398</v>
      </c>
      <c r="B9948" s="1" t="str">
        <f>HYPERLINK("https://www.catalog.slsa.sa.gov.au/record=b2064169")</f>
        <v>https://www.catalog.slsa.sa.gov.au/record=b2064169</v>
      </c>
      <c r="C9948" s="1" t="str">
        <f>HYPERLINK("https://www.catalog.slsa.sa.gov.au/xrecord=b2064169")</f>
        <v>https://www.catalog.slsa.sa.gov.au/xrecord=b2064169</v>
      </c>
      <c r="D9948" t="s">
        <v>16831</v>
      </c>
      <c r="E9948" t="s">
        <v>25643</v>
      </c>
      <c r="F9948">
        <v>1979</v>
      </c>
      <c r="G9948" t="s">
        <v>15147</v>
      </c>
      <c r="H9948" t="s">
        <v>31399</v>
      </c>
      <c r="J9948" t="s">
        <v>24716</v>
      </c>
      <c r="K9948" s="2" t="str">
        <f>HYPERLINK("http://collections.slsa.sa.gov.au/mpcimg/37000/B36791.htm")</f>
        <v>http://collections.slsa.sa.gov.au/mpcimg/37000/B36791.htm</v>
      </c>
    </row>
    <row r="9949" spans="1:11" x14ac:dyDescent="0.25">
      <c r="A9949" t="s">
        <v>31400</v>
      </c>
      <c r="B9949" s="1" t="str">
        <f>HYPERLINK("https://www.catalog.slsa.sa.gov.au/record=b2064461")</f>
        <v>https://www.catalog.slsa.sa.gov.au/record=b2064461</v>
      </c>
      <c r="C9949" s="1" t="str">
        <f>HYPERLINK("https://www.catalog.slsa.sa.gov.au/xrecord=b2064461")</f>
        <v>https://www.catalog.slsa.sa.gov.au/xrecord=b2064461</v>
      </c>
      <c r="D9949" t="s">
        <v>16831</v>
      </c>
      <c r="E9949" t="s">
        <v>26153</v>
      </c>
      <c r="F9949">
        <v>1979</v>
      </c>
      <c r="G9949" t="s">
        <v>15147</v>
      </c>
      <c r="H9949" t="s">
        <v>31401</v>
      </c>
      <c r="J9949" t="s">
        <v>26155</v>
      </c>
      <c r="K9949" s="2" t="str">
        <f>HYPERLINK("http://collections.slsa.sa.gov.au/mpcimg/37000/B36792.htm")</f>
        <v>http://collections.slsa.sa.gov.au/mpcimg/37000/B36792.htm</v>
      </c>
    </row>
    <row r="9950" spans="1:11" x14ac:dyDescent="0.25">
      <c r="A9950" t="s">
        <v>31402</v>
      </c>
      <c r="B9950" s="1" t="str">
        <f>HYPERLINK("https://www.catalog.slsa.sa.gov.au/record=b2064462")</f>
        <v>https://www.catalog.slsa.sa.gov.au/record=b2064462</v>
      </c>
      <c r="C9950" s="1" t="str">
        <f>HYPERLINK("https://www.catalog.slsa.sa.gov.au/xrecord=b2064462")</f>
        <v>https://www.catalog.slsa.sa.gov.au/xrecord=b2064462</v>
      </c>
      <c r="D9950" t="s">
        <v>16831</v>
      </c>
      <c r="E9950" t="s">
        <v>26153</v>
      </c>
      <c r="F9950">
        <v>1979</v>
      </c>
      <c r="G9950" t="s">
        <v>15147</v>
      </c>
      <c r="H9950" t="s">
        <v>31403</v>
      </c>
      <c r="J9950" t="s">
        <v>26155</v>
      </c>
      <c r="K9950" s="2" t="str">
        <f>HYPERLINK("http://collections.slsa.sa.gov.au/mpcimg/37000/B36793.htm")</f>
        <v>http://collections.slsa.sa.gov.au/mpcimg/37000/B36793.htm</v>
      </c>
    </row>
    <row r="9951" spans="1:11" x14ac:dyDescent="0.25">
      <c r="A9951" t="s">
        <v>31404</v>
      </c>
      <c r="B9951" s="1" t="str">
        <f>HYPERLINK("https://www.catalog.slsa.sa.gov.au/record=b2064463")</f>
        <v>https://www.catalog.slsa.sa.gov.au/record=b2064463</v>
      </c>
      <c r="C9951" s="1" t="str">
        <f>HYPERLINK("https://www.catalog.slsa.sa.gov.au/xrecord=b2064463")</f>
        <v>https://www.catalog.slsa.sa.gov.au/xrecord=b2064463</v>
      </c>
      <c r="D9951" t="s">
        <v>16831</v>
      </c>
      <c r="E9951" t="s">
        <v>26153</v>
      </c>
      <c r="F9951">
        <v>1979</v>
      </c>
      <c r="G9951" t="s">
        <v>15147</v>
      </c>
      <c r="H9951" t="s">
        <v>31403</v>
      </c>
      <c r="J9951" t="s">
        <v>26155</v>
      </c>
      <c r="K9951" s="2" t="str">
        <f>HYPERLINK("http://collections.slsa.sa.gov.au/mpcimg/37000/B36794.htm")</f>
        <v>http://collections.slsa.sa.gov.au/mpcimg/37000/B36794.htm</v>
      </c>
    </row>
    <row r="9952" spans="1:11" x14ac:dyDescent="0.25">
      <c r="A9952" t="s">
        <v>31405</v>
      </c>
      <c r="B9952" s="1" t="str">
        <f>HYPERLINK("https://www.catalog.slsa.sa.gov.au/record=b2064464")</f>
        <v>https://www.catalog.slsa.sa.gov.au/record=b2064464</v>
      </c>
      <c r="C9952" s="1" t="str">
        <f>HYPERLINK("https://www.catalog.slsa.sa.gov.au/xrecord=b2064464")</f>
        <v>https://www.catalog.slsa.sa.gov.au/xrecord=b2064464</v>
      </c>
      <c r="D9952" t="s">
        <v>16831</v>
      </c>
      <c r="E9952" t="s">
        <v>26153</v>
      </c>
      <c r="F9952">
        <v>1979</v>
      </c>
      <c r="G9952" t="s">
        <v>15147</v>
      </c>
      <c r="H9952" t="s">
        <v>31403</v>
      </c>
      <c r="J9952" t="s">
        <v>26155</v>
      </c>
      <c r="K9952" s="2" t="str">
        <f>HYPERLINK("http://collections.slsa.sa.gov.au/mpcimg/37000/B36795.htm")</f>
        <v>http://collections.slsa.sa.gov.au/mpcimg/37000/B36795.htm</v>
      </c>
    </row>
    <row r="9953" spans="1:11" x14ac:dyDescent="0.25">
      <c r="A9953" t="s">
        <v>31406</v>
      </c>
      <c r="B9953" s="1" t="str">
        <f>HYPERLINK("https://www.catalog.slsa.sa.gov.au/record=b2064465")</f>
        <v>https://www.catalog.slsa.sa.gov.au/record=b2064465</v>
      </c>
      <c r="C9953" s="1" t="str">
        <f>HYPERLINK("https://www.catalog.slsa.sa.gov.au/xrecord=b2064465")</f>
        <v>https://www.catalog.slsa.sa.gov.au/xrecord=b2064465</v>
      </c>
      <c r="D9953" t="s">
        <v>16831</v>
      </c>
      <c r="E9953" t="s">
        <v>26153</v>
      </c>
      <c r="F9953">
        <v>1979</v>
      </c>
      <c r="G9953" t="s">
        <v>15147</v>
      </c>
      <c r="H9953" t="s">
        <v>31403</v>
      </c>
      <c r="J9953" t="s">
        <v>26155</v>
      </c>
      <c r="K9953" s="2" t="str">
        <f>HYPERLINK("http://collections.slsa.sa.gov.au/mpcimg/37000/B36796.htm")</f>
        <v>http://collections.slsa.sa.gov.au/mpcimg/37000/B36796.htm</v>
      </c>
    </row>
    <row r="9954" spans="1:11" x14ac:dyDescent="0.25">
      <c r="A9954" t="s">
        <v>31407</v>
      </c>
      <c r="B9954" s="1" t="str">
        <f>HYPERLINK("https://www.catalog.slsa.sa.gov.au/record=b2064661")</f>
        <v>https://www.catalog.slsa.sa.gov.au/record=b2064661</v>
      </c>
      <c r="C9954" s="1" t="str">
        <f>HYPERLINK("https://www.catalog.slsa.sa.gov.au/xrecord=b2064661")</f>
        <v>https://www.catalog.slsa.sa.gov.au/xrecord=b2064661</v>
      </c>
      <c r="D9954" t="s">
        <v>16831</v>
      </c>
      <c r="E9954" t="s">
        <v>26509</v>
      </c>
      <c r="F9954">
        <v>1979</v>
      </c>
      <c r="G9954" t="s">
        <v>15147</v>
      </c>
      <c r="H9954" t="s">
        <v>31408</v>
      </c>
      <c r="J9954" t="s">
        <v>31409</v>
      </c>
      <c r="K9954" s="2" t="str">
        <f>HYPERLINK("http://collections.slsa.sa.gov.au/mpcimg/37000/B36847.htm")</f>
        <v>http://collections.slsa.sa.gov.au/mpcimg/37000/B36847.htm</v>
      </c>
    </row>
    <row r="9955" spans="1:11" x14ac:dyDescent="0.25">
      <c r="A9955" t="s">
        <v>31410</v>
      </c>
      <c r="B9955" s="1" t="str">
        <f>HYPERLINK("https://www.catalog.slsa.sa.gov.au/record=b2064662")</f>
        <v>https://www.catalog.slsa.sa.gov.au/record=b2064662</v>
      </c>
      <c r="C9955" s="1" t="str">
        <f>HYPERLINK("https://www.catalog.slsa.sa.gov.au/xrecord=b2064662")</f>
        <v>https://www.catalog.slsa.sa.gov.au/xrecord=b2064662</v>
      </c>
      <c r="D9955" t="s">
        <v>16831</v>
      </c>
      <c r="E9955" t="s">
        <v>26509</v>
      </c>
      <c r="F9955">
        <v>1979</v>
      </c>
      <c r="G9955" t="s">
        <v>15147</v>
      </c>
      <c r="H9955" t="s">
        <v>31411</v>
      </c>
      <c r="J9955" t="s">
        <v>31409</v>
      </c>
      <c r="K9955" s="2" t="str">
        <f>HYPERLINK("http://collections.slsa.sa.gov.au/mpcimg/37000/B36848.htm")</f>
        <v>http://collections.slsa.sa.gov.au/mpcimg/37000/B36848.htm</v>
      </c>
    </row>
    <row r="9956" spans="1:11" x14ac:dyDescent="0.25">
      <c r="A9956" t="s">
        <v>31412</v>
      </c>
      <c r="B9956" s="1" t="str">
        <f>HYPERLINK("https://www.catalog.slsa.sa.gov.au/record=b2066992")</f>
        <v>https://www.catalog.slsa.sa.gov.au/record=b2066992</v>
      </c>
      <c r="C9956" s="1" t="str">
        <f>HYPERLINK("https://www.catalog.slsa.sa.gov.au/xrecord=b2066992")</f>
        <v>https://www.catalog.slsa.sa.gov.au/xrecord=b2066992</v>
      </c>
      <c r="D9956" t="s">
        <v>16831</v>
      </c>
      <c r="E9956" t="s">
        <v>15201</v>
      </c>
      <c r="F9956">
        <v>1979</v>
      </c>
      <c r="G9956" t="s">
        <v>15147</v>
      </c>
      <c r="H9956" t="s">
        <v>31413</v>
      </c>
      <c r="J9956" t="s">
        <v>15204</v>
      </c>
      <c r="K9956" s="2" t="str">
        <f>HYPERLINK("http://collections.slsa.sa.gov.au/mpcimg/37750/B37737.htm")</f>
        <v>http://collections.slsa.sa.gov.au/mpcimg/37750/B37737.htm</v>
      </c>
    </row>
    <row r="9957" spans="1:11" x14ac:dyDescent="0.25">
      <c r="A9957" t="s">
        <v>31414</v>
      </c>
      <c r="B9957" s="1" t="str">
        <f>HYPERLINK("https://www.catalog.slsa.sa.gov.au/record=b2066993")</f>
        <v>https://www.catalog.slsa.sa.gov.au/record=b2066993</v>
      </c>
      <c r="C9957" s="1" t="str">
        <f>HYPERLINK("https://www.catalog.slsa.sa.gov.au/xrecord=b2066993")</f>
        <v>https://www.catalog.slsa.sa.gov.au/xrecord=b2066993</v>
      </c>
      <c r="D9957" t="s">
        <v>16831</v>
      </c>
      <c r="E9957" t="s">
        <v>15201</v>
      </c>
      <c r="F9957">
        <v>1979</v>
      </c>
      <c r="G9957" t="s">
        <v>15147</v>
      </c>
      <c r="H9957" t="s">
        <v>31415</v>
      </c>
      <c r="J9957" t="s">
        <v>15204</v>
      </c>
      <c r="K9957" s="2" t="str">
        <f>HYPERLINK("http://collections.slsa.sa.gov.au/mpcimg/37750/B37738.htm")</f>
        <v>http://collections.slsa.sa.gov.au/mpcimg/37750/B37738.htm</v>
      </c>
    </row>
    <row r="9958" spans="1:11" x14ac:dyDescent="0.25">
      <c r="A9958" t="s">
        <v>31416</v>
      </c>
      <c r="B9958" s="1" t="str">
        <f>HYPERLINK("https://www.catalog.slsa.sa.gov.au/record=b2066994")</f>
        <v>https://www.catalog.slsa.sa.gov.au/record=b2066994</v>
      </c>
      <c r="C9958" s="1" t="str">
        <f>HYPERLINK("https://www.catalog.slsa.sa.gov.au/xrecord=b2066994")</f>
        <v>https://www.catalog.slsa.sa.gov.au/xrecord=b2066994</v>
      </c>
      <c r="D9958" t="s">
        <v>16831</v>
      </c>
      <c r="E9958" t="s">
        <v>15201</v>
      </c>
      <c r="F9958">
        <v>1979</v>
      </c>
      <c r="G9958" t="s">
        <v>15147</v>
      </c>
      <c r="H9958" t="s">
        <v>31417</v>
      </c>
      <c r="J9958" t="s">
        <v>15204</v>
      </c>
      <c r="K9958" s="2" t="str">
        <f>HYPERLINK("http://collections.slsa.sa.gov.au/mpcimg/37750/B37739.htm")</f>
        <v>http://collections.slsa.sa.gov.au/mpcimg/37750/B37739.htm</v>
      </c>
    </row>
    <row r="9959" spans="1:11" x14ac:dyDescent="0.25">
      <c r="A9959" t="s">
        <v>31418</v>
      </c>
      <c r="B9959" s="1" t="str">
        <f>HYPERLINK("https://www.catalog.slsa.sa.gov.au/record=b2066995")</f>
        <v>https://www.catalog.slsa.sa.gov.au/record=b2066995</v>
      </c>
      <c r="C9959" s="1" t="str">
        <f>HYPERLINK("https://www.catalog.slsa.sa.gov.au/xrecord=b2066995")</f>
        <v>https://www.catalog.slsa.sa.gov.au/xrecord=b2066995</v>
      </c>
      <c r="D9959" t="s">
        <v>16831</v>
      </c>
      <c r="E9959" t="s">
        <v>15201</v>
      </c>
      <c r="F9959">
        <v>1979</v>
      </c>
      <c r="G9959" t="s">
        <v>15147</v>
      </c>
      <c r="H9959" t="s">
        <v>31417</v>
      </c>
      <c r="J9959" t="s">
        <v>15204</v>
      </c>
      <c r="K9959" s="2" t="str">
        <f>HYPERLINK("http://collections.slsa.sa.gov.au/mpcimg/37750/B37740.htm")</f>
        <v>http://collections.slsa.sa.gov.au/mpcimg/37750/B37740.htm</v>
      </c>
    </row>
    <row r="9960" spans="1:11" x14ac:dyDescent="0.25">
      <c r="A9960" t="s">
        <v>31419</v>
      </c>
      <c r="B9960" s="1" t="str">
        <f>HYPERLINK("https://www.catalog.slsa.sa.gov.au/record=b2067328")</f>
        <v>https://www.catalog.slsa.sa.gov.au/record=b2067328</v>
      </c>
      <c r="C9960" s="1" t="str">
        <f>HYPERLINK("https://www.catalog.slsa.sa.gov.au/xrecord=b2067328")</f>
        <v>https://www.catalog.slsa.sa.gov.au/xrecord=b2067328</v>
      </c>
      <c r="D9960" t="s">
        <v>16831</v>
      </c>
      <c r="E9960" t="s">
        <v>16862</v>
      </c>
      <c r="F9960">
        <v>1979</v>
      </c>
      <c r="G9960" t="s">
        <v>14809</v>
      </c>
      <c r="H9960" t="s">
        <v>31420</v>
      </c>
      <c r="J9960" t="s">
        <v>16866</v>
      </c>
      <c r="K9960" s="2" t="str">
        <f>HYPERLINK("http://collections.slsa.sa.gov.au/mpcimg/37750/B37736.htm")</f>
        <v>http://collections.slsa.sa.gov.au/mpcimg/37750/B37736.htm</v>
      </c>
    </row>
    <row r="9961" spans="1:11" x14ac:dyDescent="0.25">
      <c r="A9961" t="s">
        <v>31421</v>
      </c>
      <c r="B9961" s="1" t="str">
        <f>HYPERLINK("https://www.catalog.slsa.sa.gov.au/record=b2074746")</f>
        <v>https://www.catalog.slsa.sa.gov.au/record=b2074746</v>
      </c>
      <c r="C9961" s="1" t="str">
        <f>HYPERLINK("https://www.catalog.slsa.sa.gov.au/xrecord=b2074746")</f>
        <v>https://www.catalog.slsa.sa.gov.au/xrecord=b2074746</v>
      </c>
      <c r="D9961" t="s">
        <v>16831</v>
      </c>
      <c r="E9961" t="s">
        <v>31422</v>
      </c>
      <c r="F9961">
        <v>1979</v>
      </c>
      <c r="G9961" t="s">
        <v>31423</v>
      </c>
      <c r="H9961" t="s">
        <v>31424</v>
      </c>
      <c r="I9961" t="s">
        <v>31425</v>
      </c>
      <c r="J9961" t="s">
        <v>15778</v>
      </c>
      <c r="K9961" s="2" t="str">
        <f>HYPERLINK("http://collections.slsa.sa.gov.au/mpcimg/64250/B64245.htm")</f>
        <v>http://collections.slsa.sa.gov.au/mpcimg/64250/B64245.htm</v>
      </c>
    </row>
    <row r="9962" spans="1:11" x14ac:dyDescent="0.25">
      <c r="A9962" t="s">
        <v>31426</v>
      </c>
      <c r="B9962" s="1" t="str">
        <f>HYPERLINK("https://www.catalog.slsa.sa.gov.au/record=b2044404")</f>
        <v>https://www.catalog.slsa.sa.gov.au/record=b2044404</v>
      </c>
      <c r="C9962" s="1" t="str">
        <f>HYPERLINK("https://www.catalog.slsa.sa.gov.au/xrecord=b2044404")</f>
        <v>https://www.catalog.slsa.sa.gov.au/xrecord=b2044404</v>
      </c>
      <c r="D9962" t="s">
        <v>16831</v>
      </c>
      <c r="E9962" t="s">
        <v>31427</v>
      </c>
      <c r="F9962">
        <v>1980</v>
      </c>
      <c r="G9962" t="s">
        <v>14809</v>
      </c>
      <c r="H9962" t="s">
        <v>31428</v>
      </c>
      <c r="I9962" t="s">
        <v>31429</v>
      </c>
      <c r="J9962" t="s">
        <v>15330</v>
      </c>
      <c r="K9962" s="2" t="str">
        <f>HYPERLINK("http://collections.slsa.sa.gov.au/mpcimg/39000/B38932.htm")</f>
        <v>http://collections.slsa.sa.gov.au/mpcimg/39000/B38932.htm</v>
      </c>
    </row>
    <row r="9963" spans="1:11" x14ac:dyDescent="0.25">
      <c r="A9963" t="s">
        <v>31430</v>
      </c>
      <c r="B9963" s="1" t="str">
        <f>HYPERLINK("https://www.catalog.slsa.sa.gov.au/record=b2044405")</f>
        <v>https://www.catalog.slsa.sa.gov.au/record=b2044405</v>
      </c>
      <c r="C9963" s="1" t="str">
        <f>HYPERLINK("https://www.catalog.slsa.sa.gov.au/xrecord=b2044405")</f>
        <v>https://www.catalog.slsa.sa.gov.au/xrecord=b2044405</v>
      </c>
      <c r="D9963" t="s">
        <v>16831</v>
      </c>
      <c r="E9963" t="s">
        <v>31427</v>
      </c>
      <c r="F9963">
        <v>1980</v>
      </c>
      <c r="G9963" t="s">
        <v>14809</v>
      </c>
      <c r="H9963" t="s">
        <v>31431</v>
      </c>
      <c r="I9963" t="s">
        <v>31429</v>
      </c>
      <c r="J9963" t="s">
        <v>15330</v>
      </c>
      <c r="K9963" s="2" t="str">
        <f>HYPERLINK("http://collections.slsa.sa.gov.au/mpcimg/39000/B38933.htm")</f>
        <v>http://collections.slsa.sa.gov.au/mpcimg/39000/B38933.htm</v>
      </c>
    </row>
    <row r="9964" spans="1:11" x14ac:dyDescent="0.25">
      <c r="A9964" t="s">
        <v>31432</v>
      </c>
      <c r="B9964" s="1" t="str">
        <f>HYPERLINK("https://www.catalog.slsa.sa.gov.au/record=b2044406")</f>
        <v>https://www.catalog.slsa.sa.gov.au/record=b2044406</v>
      </c>
      <c r="C9964" s="1" t="str">
        <f>HYPERLINK("https://www.catalog.slsa.sa.gov.au/xrecord=b2044406")</f>
        <v>https://www.catalog.slsa.sa.gov.au/xrecord=b2044406</v>
      </c>
      <c r="D9964" t="s">
        <v>16831</v>
      </c>
      <c r="E9964" t="s">
        <v>31427</v>
      </c>
      <c r="F9964">
        <v>1980</v>
      </c>
      <c r="G9964" t="s">
        <v>14809</v>
      </c>
      <c r="H9964" t="s">
        <v>31431</v>
      </c>
      <c r="I9964" t="s">
        <v>31429</v>
      </c>
      <c r="J9964" t="s">
        <v>15330</v>
      </c>
      <c r="K9964" s="2" t="str">
        <f>HYPERLINK("http://collections.slsa.sa.gov.au/mpcimg/39000/B38934.htm")</f>
        <v>http://collections.slsa.sa.gov.au/mpcimg/39000/B38934.htm</v>
      </c>
    </row>
    <row r="9965" spans="1:11" x14ac:dyDescent="0.25">
      <c r="A9965" t="s">
        <v>31433</v>
      </c>
      <c r="B9965" s="1" t="str">
        <f>HYPERLINK("https://www.catalog.slsa.sa.gov.au/record=b2044407")</f>
        <v>https://www.catalog.slsa.sa.gov.au/record=b2044407</v>
      </c>
      <c r="C9965" s="1" t="str">
        <f>HYPERLINK("https://www.catalog.slsa.sa.gov.au/xrecord=b2044407")</f>
        <v>https://www.catalog.slsa.sa.gov.au/xrecord=b2044407</v>
      </c>
      <c r="D9965" t="s">
        <v>16831</v>
      </c>
      <c r="E9965" t="s">
        <v>31427</v>
      </c>
      <c r="F9965">
        <v>1980</v>
      </c>
      <c r="G9965" t="s">
        <v>14809</v>
      </c>
      <c r="H9965" t="s">
        <v>31431</v>
      </c>
      <c r="I9965" t="s">
        <v>31429</v>
      </c>
      <c r="J9965" t="s">
        <v>15330</v>
      </c>
      <c r="K9965" s="2" t="str">
        <f>HYPERLINK("http://collections.slsa.sa.gov.au/mpcimg/39000/B38935.htm")</f>
        <v>http://collections.slsa.sa.gov.au/mpcimg/39000/B38935.htm</v>
      </c>
    </row>
    <row r="9966" spans="1:11" x14ac:dyDescent="0.25">
      <c r="A9966" t="s">
        <v>31434</v>
      </c>
      <c r="B9966" s="1" t="str">
        <f>HYPERLINK("https://www.catalog.slsa.sa.gov.au/record=b2044408")</f>
        <v>https://www.catalog.slsa.sa.gov.au/record=b2044408</v>
      </c>
      <c r="C9966" s="1" t="str">
        <f>HYPERLINK("https://www.catalog.slsa.sa.gov.au/xrecord=b2044408")</f>
        <v>https://www.catalog.slsa.sa.gov.au/xrecord=b2044408</v>
      </c>
      <c r="D9966" t="s">
        <v>16831</v>
      </c>
      <c r="E9966" t="s">
        <v>31427</v>
      </c>
      <c r="F9966">
        <v>1980</v>
      </c>
      <c r="G9966" t="s">
        <v>14809</v>
      </c>
      <c r="H9966" t="s">
        <v>31431</v>
      </c>
      <c r="I9966" t="s">
        <v>31429</v>
      </c>
      <c r="J9966" t="s">
        <v>15330</v>
      </c>
      <c r="K9966" s="2" t="str">
        <f>HYPERLINK("http://collections.slsa.sa.gov.au/mpcimg/39000/B38936.htm")</f>
        <v>http://collections.slsa.sa.gov.au/mpcimg/39000/B38936.htm</v>
      </c>
    </row>
    <row r="9967" spans="1:11" x14ac:dyDescent="0.25">
      <c r="A9967" t="s">
        <v>31435</v>
      </c>
      <c r="B9967" s="1" t="str">
        <f>HYPERLINK("https://www.catalog.slsa.sa.gov.au/record=b2044409")</f>
        <v>https://www.catalog.slsa.sa.gov.au/record=b2044409</v>
      </c>
      <c r="C9967" s="1" t="str">
        <f>HYPERLINK("https://www.catalog.slsa.sa.gov.au/xrecord=b2044409")</f>
        <v>https://www.catalog.slsa.sa.gov.au/xrecord=b2044409</v>
      </c>
      <c r="D9967" t="s">
        <v>16831</v>
      </c>
      <c r="E9967" t="s">
        <v>31427</v>
      </c>
      <c r="F9967">
        <v>1980</v>
      </c>
      <c r="G9967" t="s">
        <v>14809</v>
      </c>
      <c r="H9967" t="s">
        <v>31431</v>
      </c>
      <c r="I9967" t="s">
        <v>31429</v>
      </c>
      <c r="J9967" t="s">
        <v>15330</v>
      </c>
      <c r="K9967" s="2" t="str">
        <f>HYPERLINK("http://collections.slsa.sa.gov.au/mpcimg/39000/B38937.htm")</f>
        <v>http://collections.slsa.sa.gov.au/mpcimg/39000/B38937.htm</v>
      </c>
    </row>
    <row r="9968" spans="1:11" x14ac:dyDescent="0.25">
      <c r="A9968" t="s">
        <v>31436</v>
      </c>
      <c r="B9968" s="1" t="str">
        <f>HYPERLINK("https://www.catalog.slsa.sa.gov.au/record=b2054602")</f>
        <v>https://www.catalog.slsa.sa.gov.au/record=b2054602</v>
      </c>
      <c r="C9968" s="1" t="str">
        <f>HYPERLINK("https://www.catalog.slsa.sa.gov.au/xrecord=b2054602")</f>
        <v>https://www.catalog.slsa.sa.gov.au/xrecord=b2054602</v>
      </c>
      <c r="D9968" t="s">
        <v>16831</v>
      </c>
      <c r="E9968" t="s">
        <v>28202</v>
      </c>
      <c r="F9968">
        <v>1980</v>
      </c>
      <c r="G9968" t="s">
        <v>14809</v>
      </c>
      <c r="H9968" t="s">
        <v>31437</v>
      </c>
      <c r="J9968" t="s">
        <v>30672</v>
      </c>
      <c r="K9968" s="2" t="str">
        <f>HYPERLINK("http://collections.slsa.sa.gov.au/mpcimg/38000/B37965.htm")</f>
        <v>http://collections.slsa.sa.gov.au/mpcimg/38000/B37965.htm</v>
      </c>
    </row>
    <row r="9969" spans="1:11" x14ac:dyDescent="0.25">
      <c r="A9969" t="s">
        <v>31438</v>
      </c>
      <c r="B9969" s="1" t="str">
        <f>HYPERLINK("https://www.catalog.slsa.sa.gov.au/record=b2054603")</f>
        <v>https://www.catalog.slsa.sa.gov.au/record=b2054603</v>
      </c>
      <c r="C9969" s="1" t="str">
        <f>HYPERLINK("https://www.catalog.slsa.sa.gov.au/xrecord=b2054603")</f>
        <v>https://www.catalog.slsa.sa.gov.au/xrecord=b2054603</v>
      </c>
      <c r="D9969" t="s">
        <v>16831</v>
      </c>
      <c r="E9969" t="s">
        <v>28202</v>
      </c>
      <c r="F9969">
        <v>1980</v>
      </c>
      <c r="G9969" t="s">
        <v>31439</v>
      </c>
      <c r="H9969" t="s">
        <v>31440</v>
      </c>
      <c r="J9969" t="s">
        <v>30672</v>
      </c>
      <c r="K9969" s="2" t="str">
        <f>HYPERLINK("http://collections.slsa.sa.gov.au/mpcimg/38250/B38157.htm")</f>
        <v>http://collections.slsa.sa.gov.au/mpcimg/38250/B38157.htm</v>
      </c>
    </row>
    <row r="9970" spans="1:11" x14ac:dyDescent="0.25">
      <c r="A9970" t="s">
        <v>31441</v>
      </c>
      <c r="B9970" s="1" t="str">
        <f>HYPERLINK("https://www.catalog.slsa.sa.gov.au/record=b2054604")</f>
        <v>https://www.catalog.slsa.sa.gov.au/record=b2054604</v>
      </c>
      <c r="C9970" s="1" t="str">
        <f>HYPERLINK("https://www.catalog.slsa.sa.gov.au/xrecord=b2054604")</f>
        <v>https://www.catalog.slsa.sa.gov.au/xrecord=b2054604</v>
      </c>
      <c r="D9970" t="s">
        <v>16831</v>
      </c>
      <c r="E9970" t="s">
        <v>28202</v>
      </c>
      <c r="F9970">
        <v>1980</v>
      </c>
      <c r="G9970" t="s">
        <v>14809</v>
      </c>
      <c r="H9970" t="s">
        <v>31440</v>
      </c>
      <c r="J9970" t="s">
        <v>30672</v>
      </c>
      <c r="K9970" s="2" t="str">
        <f>HYPERLINK("http://collections.slsa.sa.gov.au/mpcimg/38250/B38158.htm")</f>
        <v>http://collections.slsa.sa.gov.au/mpcimg/38250/B38158.htm</v>
      </c>
    </row>
    <row r="9971" spans="1:11" x14ac:dyDescent="0.25">
      <c r="A9971" t="s">
        <v>31442</v>
      </c>
      <c r="B9971" s="1" t="str">
        <f>HYPERLINK("https://www.catalog.slsa.sa.gov.au/record=b2054605")</f>
        <v>https://www.catalog.slsa.sa.gov.au/record=b2054605</v>
      </c>
      <c r="C9971" s="1" t="str">
        <f>HYPERLINK("https://www.catalog.slsa.sa.gov.au/xrecord=b2054605")</f>
        <v>https://www.catalog.slsa.sa.gov.au/xrecord=b2054605</v>
      </c>
      <c r="D9971" t="s">
        <v>16831</v>
      </c>
      <c r="E9971" t="s">
        <v>28202</v>
      </c>
      <c r="F9971">
        <v>1980</v>
      </c>
      <c r="G9971" t="s">
        <v>14809</v>
      </c>
      <c r="H9971" t="s">
        <v>31443</v>
      </c>
      <c r="J9971" t="s">
        <v>30672</v>
      </c>
      <c r="K9971" s="2" t="str">
        <f>HYPERLINK("http://collections.slsa.sa.gov.au/mpcimg/38250/B38159.htm")</f>
        <v>http://collections.slsa.sa.gov.au/mpcimg/38250/B38159.htm</v>
      </c>
    </row>
    <row r="9972" spans="1:11" x14ac:dyDescent="0.25">
      <c r="A9972" t="s">
        <v>31444</v>
      </c>
      <c r="B9972" s="1" t="str">
        <f>HYPERLINK("https://www.catalog.slsa.sa.gov.au/record=b2054741")</f>
        <v>https://www.catalog.slsa.sa.gov.au/record=b2054741</v>
      </c>
      <c r="C9972" s="1" t="str">
        <f>HYPERLINK("https://www.catalog.slsa.sa.gov.au/xrecord=b2054741")</f>
        <v>https://www.catalog.slsa.sa.gov.au/xrecord=b2054741</v>
      </c>
      <c r="D9972" t="s">
        <v>16831</v>
      </c>
      <c r="E9972" t="s">
        <v>31445</v>
      </c>
      <c r="F9972">
        <v>1980</v>
      </c>
      <c r="G9972" t="s">
        <v>14809</v>
      </c>
      <c r="H9972" t="s">
        <v>31446</v>
      </c>
      <c r="J9972" t="s">
        <v>17113</v>
      </c>
      <c r="K9972" s="2" t="str">
        <f>HYPERLINK("http://collections.slsa.sa.gov.au/mpcimg/38000/B37964.htm")</f>
        <v>http://collections.slsa.sa.gov.au/mpcimg/38000/B37964.htm</v>
      </c>
    </row>
    <row r="9973" spans="1:11" x14ac:dyDescent="0.25">
      <c r="A9973" t="s">
        <v>31447</v>
      </c>
      <c r="B9973" s="1" t="str">
        <f>HYPERLINK("https://www.catalog.slsa.sa.gov.au/record=b2055711")</f>
        <v>https://www.catalog.slsa.sa.gov.au/record=b2055711</v>
      </c>
      <c r="C9973" s="1" t="str">
        <f>HYPERLINK("https://www.catalog.slsa.sa.gov.au/xrecord=b2055711")</f>
        <v>https://www.catalog.slsa.sa.gov.au/xrecord=b2055711</v>
      </c>
      <c r="D9973" t="s">
        <v>16831</v>
      </c>
      <c r="E9973" t="s">
        <v>20904</v>
      </c>
      <c r="F9973">
        <v>1980</v>
      </c>
      <c r="G9973" t="s">
        <v>15147</v>
      </c>
      <c r="H9973" t="s">
        <v>31448</v>
      </c>
      <c r="J9973" t="s">
        <v>25292</v>
      </c>
      <c r="K9973" s="2" t="str">
        <f>HYPERLINK("http://collections.slsa.sa.gov.au/mpcimg/38000/B37961.htm")</f>
        <v>http://collections.slsa.sa.gov.au/mpcimg/38000/B37961.htm</v>
      </c>
    </row>
    <row r="9974" spans="1:11" x14ac:dyDescent="0.25">
      <c r="A9974" t="s">
        <v>31449</v>
      </c>
      <c r="B9974" s="1" t="str">
        <f>HYPERLINK("https://www.catalog.slsa.sa.gov.au/record=b2055712")</f>
        <v>https://www.catalog.slsa.sa.gov.au/record=b2055712</v>
      </c>
      <c r="C9974" s="1" t="str">
        <f>HYPERLINK("https://www.catalog.slsa.sa.gov.au/xrecord=b2055712")</f>
        <v>https://www.catalog.slsa.sa.gov.au/xrecord=b2055712</v>
      </c>
      <c r="D9974" t="s">
        <v>16831</v>
      </c>
      <c r="E9974" t="s">
        <v>20904</v>
      </c>
      <c r="F9974">
        <v>1980</v>
      </c>
      <c r="G9974" t="s">
        <v>15147</v>
      </c>
      <c r="H9974" t="s">
        <v>31450</v>
      </c>
      <c r="J9974" t="s">
        <v>25292</v>
      </c>
      <c r="K9974" s="2" t="str">
        <f>HYPERLINK("http://collections.slsa.sa.gov.au/mpcimg/38000/B37966.htm")</f>
        <v>http://collections.slsa.sa.gov.au/mpcimg/38000/B37966.htm</v>
      </c>
    </row>
    <row r="9975" spans="1:11" x14ac:dyDescent="0.25">
      <c r="A9975" t="s">
        <v>31451</v>
      </c>
      <c r="B9975" s="1" t="str">
        <f>HYPERLINK("https://www.catalog.slsa.sa.gov.au/record=b2056456")</f>
        <v>https://www.catalog.slsa.sa.gov.au/record=b2056456</v>
      </c>
      <c r="C9975" s="1" t="str">
        <f>HYPERLINK("https://www.catalog.slsa.sa.gov.au/xrecord=b2056456")</f>
        <v>https://www.catalog.slsa.sa.gov.au/xrecord=b2056456</v>
      </c>
      <c r="D9975" t="s">
        <v>16831</v>
      </c>
      <c r="E9975" t="s">
        <v>29759</v>
      </c>
      <c r="F9975">
        <v>1980</v>
      </c>
      <c r="G9975" t="s">
        <v>14809</v>
      </c>
      <c r="H9975" t="s">
        <v>31452</v>
      </c>
      <c r="J9975" t="s">
        <v>20914</v>
      </c>
      <c r="K9975" s="2" t="str">
        <f>HYPERLINK("http://collections.slsa.sa.gov.au/mpcimg/38750/B38722.htm")</f>
        <v>http://collections.slsa.sa.gov.au/mpcimg/38750/B38722.htm</v>
      </c>
    </row>
    <row r="9976" spans="1:11" x14ac:dyDescent="0.25">
      <c r="A9976" t="s">
        <v>31453</v>
      </c>
      <c r="B9976" s="1" t="str">
        <f>HYPERLINK("https://www.catalog.slsa.sa.gov.au/record=b2056457")</f>
        <v>https://www.catalog.slsa.sa.gov.au/record=b2056457</v>
      </c>
      <c r="C9976" s="1" t="str">
        <f>HYPERLINK("https://www.catalog.slsa.sa.gov.au/xrecord=b2056457")</f>
        <v>https://www.catalog.slsa.sa.gov.au/xrecord=b2056457</v>
      </c>
      <c r="D9976" t="s">
        <v>16831</v>
      </c>
      <c r="E9976" t="s">
        <v>29759</v>
      </c>
      <c r="F9976">
        <v>1980</v>
      </c>
      <c r="G9976" t="s">
        <v>14809</v>
      </c>
      <c r="H9976" t="s">
        <v>31452</v>
      </c>
      <c r="J9976" t="s">
        <v>20914</v>
      </c>
      <c r="K9976" s="2" t="str">
        <f>HYPERLINK("http://collections.slsa.sa.gov.au/mpcimg/38750/B38723.htm")</f>
        <v>http://collections.slsa.sa.gov.au/mpcimg/38750/B38723.htm</v>
      </c>
    </row>
    <row r="9977" spans="1:11" x14ac:dyDescent="0.25">
      <c r="A9977" t="s">
        <v>31454</v>
      </c>
      <c r="B9977" s="1" t="str">
        <f>HYPERLINK("https://www.catalog.slsa.sa.gov.au/record=b2056458")</f>
        <v>https://www.catalog.slsa.sa.gov.au/record=b2056458</v>
      </c>
      <c r="C9977" s="1" t="str">
        <f>HYPERLINK("https://www.catalog.slsa.sa.gov.au/xrecord=b2056458")</f>
        <v>https://www.catalog.slsa.sa.gov.au/xrecord=b2056458</v>
      </c>
      <c r="D9977" t="s">
        <v>16831</v>
      </c>
      <c r="E9977" t="s">
        <v>29759</v>
      </c>
      <c r="F9977">
        <v>1980</v>
      </c>
      <c r="G9977" t="s">
        <v>14809</v>
      </c>
      <c r="H9977" t="s">
        <v>31455</v>
      </c>
      <c r="J9977" t="s">
        <v>20914</v>
      </c>
      <c r="K9977" s="2" t="str">
        <f>HYPERLINK("http://collections.slsa.sa.gov.au/mpcimg/38750/B38724.htm")</f>
        <v>http://collections.slsa.sa.gov.au/mpcimg/38750/B38724.htm</v>
      </c>
    </row>
    <row r="9978" spans="1:11" x14ac:dyDescent="0.25">
      <c r="A9978" t="s">
        <v>31456</v>
      </c>
      <c r="B9978" s="1" t="str">
        <f>HYPERLINK("https://www.catalog.slsa.sa.gov.au/record=b2056516")</f>
        <v>https://www.catalog.slsa.sa.gov.au/record=b2056516</v>
      </c>
      <c r="C9978" s="1" t="str">
        <f>HYPERLINK("https://www.catalog.slsa.sa.gov.au/xrecord=b2056516")</f>
        <v>https://www.catalog.slsa.sa.gov.au/xrecord=b2056516</v>
      </c>
      <c r="D9978" t="s">
        <v>16831</v>
      </c>
      <c r="E9978" t="s">
        <v>30703</v>
      </c>
      <c r="F9978">
        <v>1980</v>
      </c>
      <c r="G9978" t="s">
        <v>15147</v>
      </c>
      <c r="H9978" t="s">
        <v>31457</v>
      </c>
      <c r="J9978" t="s">
        <v>17605</v>
      </c>
      <c r="K9978" s="2" t="str">
        <f>HYPERLINK("http://collections.slsa.sa.gov.au/mpcimg/38250/B38168.htm")</f>
        <v>http://collections.slsa.sa.gov.au/mpcimg/38250/B38168.htm</v>
      </c>
    </row>
    <row r="9979" spans="1:11" x14ac:dyDescent="0.25">
      <c r="A9979" t="s">
        <v>31458</v>
      </c>
      <c r="B9979" s="1" t="str">
        <f>HYPERLINK("https://www.catalog.slsa.sa.gov.au/record=b2056915")</f>
        <v>https://www.catalog.slsa.sa.gov.au/record=b2056915</v>
      </c>
      <c r="C9979" s="1" t="str">
        <f>HYPERLINK("https://www.catalog.slsa.sa.gov.au/xrecord=b2056915")</f>
        <v>https://www.catalog.slsa.sa.gov.au/xrecord=b2056915</v>
      </c>
      <c r="D9979" t="s">
        <v>16831</v>
      </c>
      <c r="E9979" t="s">
        <v>31459</v>
      </c>
      <c r="F9979">
        <v>1980</v>
      </c>
      <c r="G9979" t="s">
        <v>14809</v>
      </c>
      <c r="H9979" t="s">
        <v>31460</v>
      </c>
      <c r="J9979" t="s">
        <v>20931</v>
      </c>
      <c r="K9979" s="2" t="str">
        <f>HYPERLINK("http://collections.slsa.sa.gov.au/mpcimg/38000/B37956.htm")</f>
        <v>http://collections.slsa.sa.gov.au/mpcimg/38000/B37956.htm</v>
      </c>
    </row>
    <row r="9980" spans="1:11" x14ac:dyDescent="0.25">
      <c r="A9980" t="s">
        <v>31461</v>
      </c>
      <c r="B9980" s="1" t="str">
        <f>HYPERLINK("https://www.catalog.slsa.sa.gov.au/record=b2056916")</f>
        <v>https://www.catalog.slsa.sa.gov.au/record=b2056916</v>
      </c>
      <c r="C9980" s="1" t="str">
        <f>HYPERLINK("https://www.catalog.slsa.sa.gov.au/xrecord=b2056916")</f>
        <v>https://www.catalog.slsa.sa.gov.au/xrecord=b2056916</v>
      </c>
      <c r="D9980" t="s">
        <v>16831</v>
      </c>
      <c r="E9980" t="s">
        <v>15183</v>
      </c>
      <c r="F9980">
        <v>1980</v>
      </c>
      <c r="G9980" t="s">
        <v>14809</v>
      </c>
      <c r="H9980" t="s">
        <v>31462</v>
      </c>
      <c r="J9980" t="s">
        <v>20931</v>
      </c>
      <c r="K9980" s="2" t="str">
        <f>HYPERLINK("http://collections.slsa.sa.gov.au/mpcimg/38000/B37957.htm")</f>
        <v>http://collections.slsa.sa.gov.au/mpcimg/38000/B37957.htm</v>
      </c>
    </row>
    <row r="9981" spans="1:11" x14ac:dyDescent="0.25">
      <c r="A9981" t="s">
        <v>31463</v>
      </c>
      <c r="B9981" s="1" t="str">
        <f>HYPERLINK("https://www.catalog.slsa.sa.gov.au/record=b2056917")</f>
        <v>https://www.catalog.slsa.sa.gov.au/record=b2056917</v>
      </c>
      <c r="C9981" s="1" t="str">
        <f>HYPERLINK("https://www.catalog.slsa.sa.gov.au/xrecord=b2056917")</f>
        <v>https://www.catalog.slsa.sa.gov.au/xrecord=b2056917</v>
      </c>
      <c r="D9981" t="s">
        <v>16831</v>
      </c>
      <c r="E9981" t="s">
        <v>15183</v>
      </c>
      <c r="F9981">
        <v>1980</v>
      </c>
      <c r="G9981" t="s">
        <v>14809</v>
      </c>
      <c r="H9981" t="s">
        <v>31462</v>
      </c>
      <c r="J9981" t="s">
        <v>20931</v>
      </c>
      <c r="K9981" s="2" t="str">
        <f>HYPERLINK("http://collections.slsa.sa.gov.au/mpcimg/38000/B37958.htm")</f>
        <v>http://collections.slsa.sa.gov.au/mpcimg/38000/B37958.htm</v>
      </c>
    </row>
    <row r="9982" spans="1:11" x14ac:dyDescent="0.25">
      <c r="A9982" t="s">
        <v>31464</v>
      </c>
      <c r="B9982" s="1" t="str">
        <f>HYPERLINK("https://www.catalog.slsa.sa.gov.au/record=b2056918")</f>
        <v>https://www.catalog.slsa.sa.gov.au/record=b2056918</v>
      </c>
      <c r="C9982" s="1" t="str">
        <f>HYPERLINK("https://www.catalog.slsa.sa.gov.au/xrecord=b2056918")</f>
        <v>https://www.catalog.slsa.sa.gov.au/xrecord=b2056918</v>
      </c>
      <c r="D9982" t="s">
        <v>16831</v>
      </c>
      <c r="E9982" t="s">
        <v>31459</v>
      </c>
      <c r="F9982">
        <v>1980</v>
      </c>
      <c r="G9982" t="s">
        <v>14809</v>
      </c>
      <c r="H9982" t="s">
        <v>31462</v>
      </c>
      <c r="J9982" t="s">
        <v>20931</v>
      </c>
      <c r="K9982" s="2" t="str">
        <f>HYPERLINK("http://collections.slsa.sa.gov.au/mpcimg/38000/B37959.htm")</f>
        <v>http://collections.slsa.sa.gov.au/mpcimg/38000/B37959.htm</v>
      </c>
    </row>
    <row r="9983" spans="1:11" x14ac:dyDescent="0.25">
      <c r="A9983" t="s">
        <v>31465</v>
      </c>
      <c r="B9983" s="1" t="str">
        <f>HYPERLINK("https://www.catalog.slsa.sa.gov.au/record=b2057078")</f>
        <v>https://www.catalog.slsa.sa.gov.au/record=b2057078</v>
      </c>
      <c r="C9983" s="1" t="str">
        <f>HYPERLINK("https://www.catalog.slsa.sa.gov.au/xrecord=b2057078")</f>
        <v>https://www.catalog.slsa.sa.gov.au/xrecord=b2057078</v>
      </c>
      <c r="D9983" t="s">
        <v>16831</v>
      </c>
      <c r="E9983" t="s">
        <v>24033</v>
      </c>
      <c r="F9983">
        <v>1980</v>
      </c>
      <c r="G9983" t="s">
        <v>15147</v>
      </c>
      <c r="H9983" t="s">
        <v>31466</v>
      </c>
      <c r="J9983" t="s">
        <v>24038</v>
      </c>
      <c r="K9983" s="2" t="str">
        <f>HYPERLINK("http://collections.slsa.sa.gov.au/mpcimg/39250/B39145.htm")</f>
        <v>http://collections.slsa.sa.gov.au/mpcimg/39250/B39145.htm</v>
      </c>
    </row>
    <row r="9984" spans="1:11" x14ac:dyDescent="0.25">
      <c r="A9984" t="s">
        <v>31467</v>
      </c>
      <c r="B9984" s="1" t="str">
        <f>HYPERLINK("https://www.catalog.slsa.sa.gov.au/record=b2057085")</f>
        <v>https://www.catalog.slsa.sa.gov.au/record=b2057085</v>
      </c>
      <c r="C9984" s="1" t="str">
        <f>HYPERLINK("https://www.catalog.slsa.sa.gov.au/xrecord=b2057085")</f>
        <v>https://www.catalog.slsa.sa.gov.au/xrecord=b2057085</v>
      </c>
      <c r="D9984" t="s">
        <v>16831</v>
      </c>
      <c r="E9984" t="s">
        <v>24033</v>
      </c>
      <c r="F9984">
        <v>1980</v>
      </c>
      <c r="G9984" t="s">
        <v>15147</v>
      </c>
      <c r="H9984" t="s">
        <v>31468</v>
      </c>
      <c r="J9984" t="s">
        <v>24038</v>
      </c>
      <c r="K9984" s="2" t="str">
        <f>HYPERLINK("http://collections.slsa.sa.gov.au/mpcimg/39250/B39144.htm")</f>
        <v>http://collections.slsa.sa.gov.au/mpcimg/39250/B39144.htm</v>
      </c>
    </row>
    <row r="9985" spans="1:11" x14ac:dyDescent="0.25">
      <c r="A9985" t="s">
        <v>31469</v>
      </c>
      <c r="B9985" s="1" t="str">
        <f>HYPERLINK("https://www.catalog.slsa.sa.gov.au/record=b2059266")</f>
        <v>https://www.catalog.slsa.sa.gov.au/record=b2059266</v>
      </c>
      <c r="C9985" s="1" t="str">
        <f>HYPERLINK("https://www.catalog.slsa.sa.gov.au/xrecord=b2059266")</f>
        <v>https://www.catalog.slsa.sa.gov.au/xrecord=b2059266</v>
      </c>
      <c r="D9985" t="s">
        <v>16831</v>
      </c>
      <c r="E9985" t="s">
        <v>28038</v>
      </c>
      <c r="F9985">
        <v>1980</v>
      </c>
      <c r="G9985" t="s">
        <v>14809</v>
      </c>
      <c r="H9985" t="s">
        <v>31470</v>
      </c>
      <c r="J9985" t="s">
        <v>17600</v>
      </c>
      <c r="K9985" s="2" t="str">
        <f>HYPERLINK("http://collections.slsa.sa.gov.au/mpcimg/38000/B37962.htm")</f>
        <v>http://collections.slsa.sa.gov.au/mpcimg/38000/B37962.htm</v>
      </c>
    </row>
    <row r="9986" spans="1:11" x14ac:dyDescent="0.25">
      <c r="A9986" t="s">
        <v>31471</v>
      </c>
      <c r="B9986" s="1" t="str">
        <f>HYPERLINK("https://www.catalog.slsa.sa.gov.au/record=b2059461")</f>
        <v>https://www.catalog.slsa.sa.gov.au/record=b2059461</v>
      </c>
      <c r="C9986" s="1" t="str">
        <f>HYPERLINK("https://www.catalog.slsa.sa.gov.au/xrecord=b2059461")</f>
        <v>https://www.catalog.slsa.sa.gov.au/xrecord=b2059461</v>
      </c>
      <c r="D9986" t="s">
        <v>16831</v>
      </c>
      <c r="E9986" t="s">
        <v>31472</v>
      </c>
      <c r="F9986">
        <v>1980</v>
      </c>
      <c r="G9986" t="s">
        <v>14809</v>
      </c>
      <c r="H9986" t="s">
        <v>31473</v>
      </c>
      <c r="J9986" t="s">
        <v>24187</v>
      </c>
      <c r="K9986" s="2" t="str">
        <f>HYPERLINK("http://collections.slsa.sa.gov.au/mpcimg/38250/B38117.htm")</f>
        <v>http://collections.slsa.sa.gov.au/mpcimg/38250/B38117.htm</v>
      </c>
    </row>
    <row r="9987" spans="1:11" x14ac:dyDescent="0.25">
      <c r="A9987" t="s">
        <v>31474</v>
      </c>
      <c r="B9987" s="1" t="str">
        <f>HYPERLINK("https://www.catalog.slsa.sa.gov.au/record=b2059918")</f>
        <v>https://www.catalog.slsa.sa.gov.au/record=b2059918</v>
      </c>
      <c r="C9987" s="1" t="str">
        <f>HYPERLINK("https://www.catalog.slsa.sa.gov.au/xrecord=b2059918")</f>
        <v>https://www.catalog.slsa.sa.gov.au/xrecord=b2059918</v>
      </c>
      <c r="D9987" t="s">
        <v>16831</v>
      </c>
      <c r="E9987" t="s">
        <v>28061</v>
      </c>
      <c r="F9987">
        <v>1980</v>
      </c>
      <c r="G9987" t="s">
        <v>14809</v>
      </c>
      <c r="H9987" t="s">
        <v>31475</v>
      </c>
      <c r="J9987" t="s">
        <v>28063</v>
      </c>
      <c r="K9987" s="2" t="str">
        <f>HYPERLINK("http://collections.slsa.sa.gov.au/mpcimg/38750/B38728.htm")</f>
        <v>http://collections.slsa.sa.gov.au/mpcimg/38750/B38728.htm</v>
      </c>
    </row>
    <row r="9988" spans="1:11" x14ac:dyDescent="0.25">
      <c r="A9988" t="s">
        <v>31476</v>
      </c>
      <c r="B9988" s="1" t="str">
        <f>HYPERLINK("https://www.catalog.slsa.sa.gov.au/record=b2060224")</f>
        <v>https://www.catalog.slsa.sa.gov.au/record=b2060224</v>
      </c>
      <c r="C9988" s="1" t="str">
        <f>HYPERLINK("https://www.catalog.slsa.sa.gov.au/xrecord=b2060224")</f>
        <v>https://www.catalog.slsa.sa.gov.au/xrecord=b2060224</v>
      </c>
      <c r="D9988" t="s">
        <v>16831</v>
      </c>
      <c r="E9988" t="s">
        <v>29584</v>
      </c>
      <c r="F9988">
        <v>1980</v>
      </c>
      <c r="G9988" t="s">
        <v>14809</v>
      </c>
      <c r="H9988" t="s">
        <v>31477</v>
      </c>
      <c r="J9988" t="s">
        <v>24284</v>
      </c>
      <c r="K9988" s="2" t="str">
        <f>HYPERLINK("http://collections.slsa.sa.gov.au/mpcimg/39000/B38908.htm")</f>
        <v>http://collections.slsa.sa.gov.au/mpcimg/39000/B38908.htm</v>
      </c>
    </row>
    <row r="9989" spans="1:11" x14ac:dyDescent="0.25">
      <c r="A9989" t="s">
        <v>31478</v>
      </c>
      <c r="B9989" s="1" t="str">
        <f>HYPERLINK("https://www.catalog.slsa.sa.gov.au/record=b2060225")</f>
        <v>https://www.catalog.slsa.sa.gov.au/record=b2060225</v>
      </c>
      <c r="C9989" s="1" t="str">
        <f>HYPERLINK("https://www.catalog.slsa.sa.gov.au/xrecord=b2060225")</f>
        <v>https://www.catalog.slsa.sa.gov.au/xrecord=b2060225</v>
      </c>
      <c r="D9989" t="s">
        <v>16831</v>
      </c>
      <c r="E9989" t="s">
        <v>29584</v>
      </c>
      <c r="F9989">
        <v>1980</v>
      </c>
      <c r="G9989" t="s">
        <v>14809</v>
      </c>
      <c r="H9989" t="s">
        <v>31477</v>
      </c>
      <c r="J9989" t="s">
        <v>24284</v>
      </c>
      <c r="K9989" s="2" t="str">
        <f>HYPERLINK("http://collections.slsa.sa.gov.au/mpcimg/39000/B38909.htm")</f>
        <v>http://collections.slsa.sa.gov.au/mpcimg/39000/B38909.htm</v>
      </c>
    </row>
    <row r="9990" spans="1:11" x14ac:dyDescent="0.25">
      <c r="A9990" t="s">
        <v>31479</v>
      </c>
      <c r="B9990" s="1" t="str">
        <f>HYPERLINK("https://www.catalog.slsa.sa.gov.au/record=b2060247")</f>
        <v>https://www.catalog.slsa.sa.gov.au/record=b2060247</v>
      </c>
      <c r="C9990" s="1" t="str">
        <f>HYPERLINK("https://www.catalog.slsa.sa.gov.au/xrecord=b2060247")</f>
        <v>https://www.catalog.slsa.sa.gov.au/xrecord=b2060247</v>
      </c>
      <c r="D9990" t="s">
        <v>16831</v>
      </c>
      <c r="E9990" t="s">
        <v>29584</v>
      </c>
      <c r="F9990">
        <v>1980</v>
      </c>
      <c r="G9990" t="s">
        <v>14809</v>
      </c>
      <c r="H9990" t="s">
        <v>31480</v>
      </c>
      <c r="J9990" t="s">
        <v>25951</v>
      </c>
      <c r="K9990" s="2" t="str">
        <f>HYPERLINK("http://collections.slsa.sa.gov.au/mpcimg/38500/B38286.htm")</f>
        <v>http://collections.slsa.sa.gov.au/mpcimg/38500/B38286.htm</v>
      </c>
    </row>
    <row r="9991" spans="1:11" x14ac:dyDescent="0.25">
      <c r="A9991" t="s">
        <v>31481</v>
      </c>
      <c r="B9991" s="1" t="str">
        <f>HYPERLINK("https://www.catalog.slsa.sa.gov.au/record=b2060763")</f>
        <v>https://www.catalog.slsa.sa.gov.au/record=b2060763</v>
      </c>
      <c r="C9991" s="1" t="str">
        <f>HYPERLINK("https://www.catalog.slsa.sa.gov.au/xrecord=b2060763")</f>
        <v>https://www.catalog.slsa.sa.gov.au/xrecord=b2060763</v>
      </c>
      <c r="D9991" t="s">
        <v>16831</v>
      </c>
      <c r="E9991" t="s">
        <v>30127</v>
      </c>
      <c r="F9991">
        <v>1980</v>
      </c>
      <c r="G9991" t="s">
        <v>15147</v>
      </c>
      <c r="H9991" t="s">
        <v>31482</v>
      </c>
      <c r="J9991" t="s">
        <v>24318</v>
      </c>
      <c r="K9991" s="2" t="str">
        <f>HYPERLINK("http://collections.slsa.sa.gov.au/mpcimg/38500/B38280.htm")</f>
        <v>http://collections.slsa.sa.gov.au/mpcimg/38500/B38280.htm</v>
      </c>
    </row>
    <row r="9992" spans="1:11" x14ac:dyDescent="0.25">
      <c r="A9992" t="s">
        <v>31483</v>
      </c>
      <c r="B9992" s="1" t="str">
        <f>HYPERLINK("https://www.catalog.slsa.sa.gov.au/record=b2060764")</f>
        <v>https://www.catalog.slsa.sa.gov.au/record=b2060764</v>
      </c>
      <c r="C9992" s="1" t="str">
        <f>HYPERLINK("https://www.catalog.slsa.sa.gov.au/xrecord=b2060764")</f>
        <v>https://www.catalog.slsa.sa.gov.au/xrecord=b2060764</v>
      </c>
      <c r="D9992" t="s">
        <v>16831</v>
      </c>
      <c r="E9992" t="s">
        <v>30127</v>
      </c>
      <c r="F9992">
        <v>1980</v>
      </c>
      <c r="G9992" t="s">
        <v>14809</v>
      </c>
      <c r="H9992" t="s">
        <v>31482</v>
      </c>
      <c r="J9992" t="s">
        <v>24318</v>
      </c>
      <c r="K9992" s="2" t="str">
        <f>HYPERLINK("http://collections.slsa.sa.gov.au/mpcimg/38500/B38281.htm")</f>
        <v>http://collections.slsa.sa.gov.au/mpcimg/38500/B38281.htm</v>
      </c>
    </row>
    <row r="9993" spans="1:11" x14ac:dyDescent="0.25">
      <c r="A9993" t="s">
        <v>31484</v>
      </c>
      <c r="B9993" s="1" t="str">
        <f>HYPERLINK("https://www.catalog.slsa.sa.gov.au/record=b2060765")</f>
        <v>https://www.catalog.slsa.sa.gov.au/record=b2060765</v>
      </c>
      <c r="C9993" s="1" t="str">
        <f>HYPERLINK("https://www.catalog.slsa.sa.gov.au/xrecord=b2060765")</f>
        <v>https://www.catalog.slsa.sa.gov.au/xrecord=b2060765</v>
      </c>
      <c r="D9993" t="s">
        <v>16831</v>
      </c>
      <c r="E9993" t="s">
        <v>30127</v>
      </c>
      <c r="F9993">
        <v>1980</v>
      </c>
      <c r="G9993" t="s">
        <v>14809</v>
      </c>
      <c r="H9993" t="s">
        <v>31485</v>
      </c>
      <c r="J9993" t="s">
        <v>24318</v>
      </c>
      <c r="K9993" s="2" t="str">
        <f>HYPERLINK("http://collections.slsa.sa.gov.au/mpcimg/38500/B38282.htm")</f>
        <v>http://collections.slsa.sa.gov.au/mpcimg/38500/B38282.htm</v>
      </c>
    </row>
    <row r="9994" spans="1:11" x14ac:dyDescent="0.25">
      <c r="A9994" t="s">
        <v>31486</v>
      </c>
      <c r="B9994" s="1" t="str">
        <f>HYPERLINK("https://www.catalog.slsa.sa.gov.au/record=b2061099")</f>
        <v>https://www.catalog.slsa.sa.gov.au/record=b2061099</v>
      </c>
      <c r="C9994" s="1" t="str">
        <f>HYPERLINK("https://www.catalog.slsa.sa.gov.au/xrecord=b2061099")</f>
        <v>https://www.catalog.slsa.sa.gov.au/xrecord=b2061099</v>
      </c>
      <c r="D9994" t="s">
        <v>16831</v>
      </c>
      <c r="E9994" t="s">
        <v>31487</v>
      </c>
      <c r="F9994">
        <v>1980</v>
      </c>
      <c r="G9994" t="s">
        <v>22565</v>
      </c>
      <c r="H9994" t="s">
        <v>31488</v>
      </c>
      <c r="J9994" t="s">
        <v>24371</v>
      </c>
      <c r="K9994" s="2" t="str">
        <f>HYPERLINK("http://collections.slsa.sa.gov.au/mpcimg/38750/B38733.htm")</f>
        <v>http://collections.slsa.sa.gov.au/mpcimg/38750/B38733.htm</v>
      </c>
    </row>
    <row r="9995" spans="1:11" x14ac:dyDescent="0.25">
      <c r="A9995" t="s">
        <v>31489</v>
      </c>
      <c r="B9995" s="1" t="str">
        <f>HYPERLINK("https://www.catalog.slsa.sa.gov.au/record=b2061100")</f>
        <v>https://www.catalog.slsa.sa.gov.au/record=b2061100</v>
      </c>
      <c r="C9995" s="1" t="str">
        <f>HYPERLINK("https://www.catalog.slsa.sa.gov.au/xrecord=b2061100")</f>
        <v>https://www.catalog.slsa.sa.gov.au/xrecord=b2061100</v>
      </c>
      <c r="D9995" t="s">
        <v>16831</v>
      </c>
      <c r="E9995" t="s">
        <v>31487</v>
      </c>
      <c r="F9995">
        <v>1980</v>
      </c>
      <c r="G9995" t="s">
        <v>22565</v>
      </c>
      <c r="H9995" t="s">
        <v>31488</v>
      </c>
      <c r="J9995" t="s">
        <v>24371</v>
      </c>
      <c r="K9995" s="2" t="str">
        <f>HYPERLINK("http://collections.slsa.sa.gov.au/mpcimg/38750/B38734.htm")</f>
        <v>http://collections.slsa.sa.gov.au/mpcimg/38750/B38734.htm</v>
      </c>
    </row>
    <row r="9996" spans="1:11" x14ac:dyDescent="0.25">
      <c r="A9996" t="s">
        <v>31490</v>
      </c>
      <c r="B9996" s="1" t="str">
        <f>HYPERLINK("https://www.catalog.slsa.sa.gov.au/record=b2061361")</f>
        <v>https://www.catalog.slsa.sa.gov.au/record=b2061361</v>
      </c>
      <c r="C9996" s="1" t="str">
        <f>HYPERLINK("https://www.catalog.slsa.sa.gov.au/xrecord=b2061361")</f>
        <v>https://www.catalog.slsa.sa.gov.au/xrecord=b2061361</v>
      </c>
      <c r="D9996" t="s">
        <v>16831</v>
      </c>
      <c r="E9996" t="s">
        <v>25471</v>
      </c>
      <c r="F9996">
        <v>1980</v>
      </c>
      <c r="G9996" t="s">
        <v>14809</v>
      </c>
      <c r="H9996" t="s">
        <v>31491</v>
      </c>
      <c r="J9996" t="s">
        <v>21154</v>
      </c>
      <c r="K9996" s="2" t="str">
        <f>HYPERLINK("http://collections.slsa.sa.gov.au/mpcimg/38500/B38292.htm")</f>
        <v>http://collections.slsa.sa.gov.au/mpcimg/38500/B38292.htm</v>
      </c>
    </row>
    <row r="9997" spans="1:11" x14ac:dyDescent="0.25">
      <c r="A9997" t="s">
        <v>31492</v>
      </c>
      <c r="B9997" s="1" t="str">
        <f>HYPERLINK("https://www.catalog.slsa.sa.gov.au/record=b2061399")</f>
        <v>https://www.catalog.slsa.sa.gov.au/record=b2061399</v>
      </c>
      <c r="C9997" s="1" t="str">
        <f>HYPERLINK("https://www.catalog.slsa.sa.gov.au/xrecord=b2061399")</f>
        <v>https://www.catalog.slsa.sa.gov.au/xrecord=b2061399</v>
      </c>
      <c r="D9997" t="s">
        <v>16831</v>
      </c>
      <c r="E9997" t="s">
        <v>31493</v>
      </c>
      <c r="F9997">
        <v>1980</v>
      </c>
      <c r="G9997" t="s">
        <v>14809</v>
      </c>
      <c r="H9997" t="s">
        <v>31494</v>
      </c>
      <c r="J9997" t="s">
        <v>21163</v>
      </c>
      <c r="K9997" s="2" t="str">
        <f>HYPERLINK("http://collections.slsa.sa.gov.au/mpcimg/39000/B38916.htm")</f>
        <v>http://collections.slsa.sa.gov.au/mpcimg/39000/B38916.htm</v>
      </c>
    </row>
    <row r="9998" spans="1:11" x14ac:dyDescent="0.25">
      <c r="A9998" t="s">
        <v>31495</v>
      </c>
      <c r="B9998" s="1" t="str">
        <f>HYPERLINK("https://www.catalog.slsa.sa.gov.au/record=b2061400")</f>
        <v>https://www.catalog.slsa.sa.gov.au/record=b2061400</v>
      </c>
      <c r="C9998" s="1" t="str">
        <f>HYPERLINK("https://www.catalog.slsa.sa.gov.au/xrecord=b2061400")</f>
        <v>https://www.catalog.slsa.sa.gov.au/xrecord=b2061400</v>
      </c>
      <c r="D9998" t="s">
        <v>16831</v>
      </c>
      <c r="E9998" t="s">
        <v>31496</v>
      </c>
      <c r="F9998">
        <v>1980</v>
      </c>
      <c r="G9998" t="s">
        <v>14809</v>
      </c>
      <c r="H9998" t="s">
        <v>31497</v>
      </c>
      <c r="J9998" t="s">
        <v>21163</v>
      </c>
      <c r="K9998" s="2" t="str">
        <f>HYPERLINK("http://collections.slsa.sa.gov.au/mpcimg/39000/B38917.htm")</f>
        <v>http://collections.slsa.sa.gov.au/mpcimg/39000/B38917.htm</v>
      </c>
    </row>
    <row r="9999" spans="1:11" x14ac:dyDescent="0.25">
      <c r="A9999" t="s">
        <v>31498</v>
      </c>
      <c r="B9999" s="1" t="str">
        <f>HYPERLINK("https://www.catalog.slsa.sa.gov.au/record=b2061401")</f>
        <v>https://www.catalog.slsa.sa.gov.au/record=b2061401</v>
      </c>
      <c r="C9999" s="1" t="str">
        <f>HYPERLINK("https://www.catalog.slsa.sa.gov.au/xrecord=b2061401")</f>
        <v>https://www.catalog.slsa.sa.gov.au/xrecord=b2061401</v>
      </c>
      <c r="D9999" t="s">
        <v>16831</v>
      </c>
      <c r="E9999" t="s">
        <v>31496</v>
      </c>
      <c r="F9999">
        <v>1980</v>
      </c>
      <c r="G9999" t="s">
        <v>14809</v>
      </c>
      <c r="H9999" t="s">
        <v>31499</v>
      </c>
      <c r="J9999" t="s">
        <v>21163</v>
      </c>
      <c r="K9999" s="2" t="str">
        <f>HYPERLINK("http://collections.slsa.sa.gov.au/mpcimg/39000/B38918.htm")</f>
        <v>http://collections.slsa.sa.gov.au/mpcimg/39000/B38918.htm</v>
      </c>
    </row>
    <row r="10000" spans="1:11" x14ac:dyDescent="0.25">
      <c r="A10000" t="s">
        <v>31500</v>
      </c>
      <c r="B10000" s="1" t="str">
        <f>HYPERLINK("https://www.catalog.slsa.sa.gov.au/record=b2061422")</f>
        <v>https://www.catalog.slsa.sa.gov.au/record=b2061422</v>
      </c>
      <c r="C10000" s="1" t="str">
        <f>HYPERLINK("https://www.catalog.slsa.sa.gov.au/xrecord=b2061422")</f>
        <v>https://www.catalog.slsa.sa.gov.au/xrecord=b2061422</v>
      </c>
      <c r="D10000" t="s">
        <v>16831</v>
      </c>
      <c r="E10000" t="s">
        <v>21099</v>
      </c>
      <c r="F10000">
        <v>1980</v>
      </c>
      <c r="G10000" t="s">
        <v>14809</v>
      </c>
      <c r="H10000" t="s">
        <v>31501</v>
      </c>
      <c r="J10000" t="s">
        <v>24408</v>
      </c>
      <c r="K10000" s="2" t="str">
        <f>HYPERLINK("http://collections.slsa.sa.gov.au/mpcimg/39000/B38758.htm")</f>
        <v>http://collections.slsa.sa.gov.au/mpcimg/39000/B38758.htm</v>
      </c>
    </row>
    <row r="10001" spans="1:11" x14ac:dyDescent="0.25">
      <c r="A10001" t="s">
        <v>31502</v>
      </c>
      <c r="B10001" s="1" t="str">
        <f>HYPERLINK("https://www.catalog.slsa.sa.gov.au/record=b2061423")</f>
        <v>https://www.catalog.slsa.sa.gov.au/record=b2061423</v>
      </c>
      <c r="C10001" s="1" t="str">
        <f>HYPERLINK("https://www.catalog.slsa.sa.gov.au/xrecord=b2061423")</f>
        <v>https://www.catalog.slsa.sa.gov.au/xrecord=b2061423</v>
      </c>
      <c r="D10001" t="s">
        <v>16831</v>
      </c>
      <c r="E10001" t="s">
        <v>25471</v>
      </c>
      <c r="F10001">
        <v>1980</v>
      </c>
      <c r="G10001" t="s">
        <v>14809</v>
      </c>
      <c r="H10001" t="s">
        <v>31503</v>
      </c>
      <c r="I10001" t="s">
        <v>31504</v>
      </c>
      <c r="J10001" t="s">
        <v>24408</v>
      </c>
      <c r="K10001" s="2" t="str">
        <f>HYPERLINK("http://collections.slsa.sa.gov.au/mpcimg/39000/B38757.htm")</f>
        <v>http://collections.slsa.sa.gov.au/mpcimg/39000/B38757.htm</v>
      </c>
    </row>
    <row r="10002" spans="1:11" x14ac:dyDescent="0.25">
      <c r="A10002" t="s">
        <v>31505</v>
      </c>
      <c r="B10002" s="1" t="str">
        <f>HYPERLINK("https://www.catalog.slsa.sa.gov.au/record=b2061424")</f>
        <v>https://www.catalog.slsa.sa.gov.au/record=b2061424</v>
      </c>
      <c r="C10002" s="1" t="str">
        <f>HYPERLINK("https://www.catalog.slsa.sa.gov.au/xrecord=b2061424")</f>
        <v>https://www.catalog.slsa.sa.gov.au/xrecord=b2061424</v>
      </c>
      <c r="D10002" t="s">
        <v>16831</v>
      </c>
      <c r="E10002" t="s">
        <v>21099</v>
      </c>
      <c r="F10002">
        <v>1980</v>
      </c>
      <c r="G10002" t="s">
        <v>14809</v>
      </c>
      <c r="H10002" t="s">
        <v>31503</v>
      </c>
      <c r="J10002" t="s">
        <v>24408</v>
      </c>
      <c r="K10002" s="2" t="str">
        <f>HYPERLINK("http://collections.slsa.sa.gov.au/mpcimg/39000/B38759.htm")</f>
        <v>http://collections.slsa.sa.gov.au/mpcimg/39000/B38759.htm</v>
      </c>
    </row>
    <row r="10003" spans="1:11" x14ac:dyDescent="0.25">
      <c r="A10003" t="s">
        <v>31506</v>
      </c>
      <c r="B10003" s="1" t="str">
        <f>HYPERLINK("https://www.catalog.slsa.sa.gov.au/record=b2061429")</f>
        <v>https://www.catalog.slsa.sa.gov.au/record=b2061429</v>
      </c>
      <c r="C10003" s="1" t="str">
        <f>HYPERLINK("https://www.catalog.slsa.sa.gov.au/xrecord=b2061429")</f>
        <v>https://www.catalog.slsa.sa.gov.au/xrecord=b2061429</v>
      </c>
      <c r="D10003" t="s">
        <v>16831</v>
      </c>
      <c r="E10003" t="s">
        <v>25538</v>
      </c>
      <c r="F10003">
        <v>1980</v>
      </c>
      <c r="G10003" t="s">
        <v>14809</v>
      </c>
      <c r="H10003" t="s">
        <v>31507</v>
      </c>
      <c r="J10003" t="s">
        <v>26374</v>
      </c>
      <c r="K10003" s="2" t="str">
        <f>HYPERLINK("http://collections.slsa.sa.gov.au/mpcimg/38750/B38721.htm")</f>
        <v>http://collections.slsa.sa.gov.au/mpcimg/38750/B38721.htm</v>
      </c>
    </row>
    <row r="10004" spans="1:11" x14ac:dyDescent="0.25">
      <c r="A10004" t="s">
        <v>31508</v>
      </c>
      <c r="B10004" s="1" t="str">
        <f>HYPERLINK("https://www.catalog.slsa.sa.gov.au/record=b2061430")</f>
        <v>https://www.catalog.slsa.sa.gov.au/record=b2061430</v>
      </c>
      <c r="C10004" s="1" t="str">
        <f>HYPERLINK("https://www.catalog.slsa.sa.gov.au/xrecord=b2061430")</f>
        <v>https://www.catalog.slsa.sa.gov.au/xrecord=b2061430</v>
      </c>
      <c r="D10004" t="s">
        <v>16831</v>
      </c>
      <c r="E10004" t="s">
        <v>25471</v>
      </c>
      <c r="F10004">
        <v>1980</v>
      </c>
      <c r="G10004" t="s">
        <v>14809</v>
      </c>
      <c r="H10004" t="s">
        <v>31509</v>
      </c>
      <c r="I10004" t="s">
        <v>31510</v>
      </c>
      <c r="J10004" t="s">
        <v>26374</v>
      </c>
      <c r="K10004" s="2" t="str">
        <f>HYPERLINK("http://collections.slsa.sa.gov.au/mpcimg/38750/B38744.htm")</f>
        <v>http://collections.slsa.sa.gov.au/mpcimg/38750/B38744.htm</v>
      </c>
    </row>
    <row r="10005" spans="1:11" x14ac:dyDescent="0.25">
      <c r="A10005" t="s">
        <v>31511</v>
      </c>
      <c r="B10005" s="1" t="str">
        <f>HYPERLINK("https://www.catalog.slsa.sa.gov.au/record=b2061431")</f>
        <v>https://www.catalog.slsa.sa.gov.au/record=b2061431</v>
      </c>
      <c r="C10005" s="1" t="str">
        <f>HYPERLINK("https://www.catalog.slsa.sa.gov.au/xrecord=b2061431")</f>
        <v>https://www.catalog.slsa.sa.gov.au/xrecord=b2061431</v>
      </c>
      <c r="D10005" t="s">
        <v>16831</v>
      </c>
      <c r="E10005" t="s">
        <v>25471</v>
      </c>
      <c r="F10005">
        <v>1980</v>
      </c>
      <c r="G10005" t="s">
        <v>14809</v>
      </c>
      <c r="H10005" t="s">
        <v>31512</v>
      </c>
      <c r="J10005" t="s">
        <v>26374</v>
      </c>
      <c r="K10005" s="2" t="str">
        <f>HYPERLINK("http://collections.slsa.sa.gov.au/mpcimg/38750/B38745.htm")</f>
        <v>http://collections.slsa.sa.gov.au/mpcimg/38750/B38745.htm</v>
      </c>
    </row>
    <row r="10006" spans="1:11" x14ac:dyDescent="0.25">
      <c r="A10006" t="s">
        <v>31513</v>
      </c>
      <c r="B10006" s="1" t="str">
        <f>HYPERLINK("https://www.catalog.slsa.sa.gov.au/record=b2061448")</f>
        <v>https://www.catalog.slsa.sa.gov.au/record=b2061448</v>
      </c>
      <c r="C10006" s="1" t="str">
        <f>HYPERLINK("https://www.catalog.slsa.sa.gov.au/xrecord=b2061448")</f>
        <v>https://www.catalog.slsa.sa.gov.au/xrecord=b2061448</v>
      </c>
      <c r="D10006" t="s">
        <v>16831</v>
      </c>
      <c r="E10006" t="s">
        <v>25471</v>
      </c>
      <c r="F10006">
        <v>1980</v>
      </c>
      <c r="G10006" t="s">
        <v>14809</v>
      </c>
      <c r="H10006" t="s">
        <v>31514</v>
      </c>
      <c r="J10006" t="s">
        <v>28243</v>
      </c>
      <c r="K10006" s="2" t="str">
        <f>HYPERLINK("http://collections.slsa.sa.gov.au/mpcimg/38250/B38114.htm")</f>
        <v>http://collections.slsa.sa.gov.au/mpcimg/38250/B38114.htm</v>
      </c>
    </row>
    <row r="10007" spans="1:11" x14ac:dyDescent="0.25">
      <c r="A10007" t="s">
        <v>31515</v>
      </c>
      <c r="B10007" s="1" t="str">
        <f>HYPERLINK("https://www.catalog.slsa.sa.gov.au/record=b2061449")</f>
        <v>https://www.catalog.slsa.sa.gov.au/record=b2061449</v>
      </c>
      <c r="C10007" s="1" t="str">
        <f>HYPERLINK("https://www.catalog.slsa.sa.gov.au/xrecord=b2061449")</f>
        <v>https://www.catalog.slsa.sa.gov.au/xrecord=b2061449</v>
      </c>
      <c r="D10007" t="s">
        <v>16831</v>
      </c>
      <c r="E10007" t="s">
        <v>25471</v>
      </c>
      <c r="F10007">
        <v>1980</v>
      </c>
      <c r="G10007" t="s">
        <v>14809</v>
      </c>
      <c r="H10007" t="s">
        <v>31516</v>
      </c>
      <c r="J10007" t="s">
        <v>28243</v>
      </c>
      <c r="K10007" s="2" t="str">
        <f>HYPERLINK("http://collections.slsa.sa.gov.au/mpcimg/38250/B38115.htm")</f>
        <v>http://collections.slsa.sa.gov.au/mpcimg/38250/B38115.htm</v>
      </c>
    </row>
    <row r="10008" spans="1:11" x14ac:dyDescent="0.25">
      <c r="A10008" t="s">
        <v>31517</v>
      </c>
      <c r="B10008" s="1" t="str">
        <f>HYPERLINK("https://www.catalog.slsa.sa.gov.au/record=b2061450")</f>
        <v>https://www.catalog.slsa.sa.gov.au/record=b2061450</v>
      </c>
      <c r="C10008" s="1" t="str">
        <f>HYPERLINK("https://www.catalog.slsa.sa.gov.au/xrecord=b2061450")</f>
        <v>https://www.catalog.slsa.sa.gov.au/xrecord=b2061450</v>
      </c>
      <c r="D10008" t="s">
        <v>16831</v>
      </c>
      <c r="E10008" t="s">
        <v>25471</v>
      </c>
      <c r="F10008">
        <v>1980</v>
      </c>
      <c r="G10008" t="s">
        <v>14809</v>
      </c>
      <c r="H10008" t="s">
        <v>31518</v>
      </c>
      <c r="J10008" t="s">
        <v>28243</v>
      </c>
      <c r="K10008" s="2" t="str">
        <f>HYPERLINK("http://collections.slsa.sa.gov.au/mpcimg/38250/B38116.htm")</f>
        <v>http://collections.slsa.sa.gov.au/mpcimg/38250/B38116.htm</v>
      </c>
    </row>
    <row r="10009" spans="1:11" x14ac:dyDescent="0.25">
      <c r="A10009" t="s">
        <v>31519</v>
      </c>
      <c r="B10009" s="1" t="str">
        <f>HYPERLINK("https://www.catalog.slsa.sa.gov.au/record=b2061471")</f>
        <v>https://www.catalog.slsa.sa.gov.au/record=b2061471</v>
      </c>
      <c r="C10009" s="1" t="str">
        <f>HYPERLINK("https://www.catalog.slsa.sa.gov.au/xrecord=b2061471")</f>
        <v>https://www.catalog.slsa.sa.gov.au/xrecord=b2061471</v>
      </c>
      <c r="D10009" t="s">
        <v>16831</v>
      </c>
      <c r="E10009" t="s">
        <v>30397</v>
      </c>
      <c r="F10009">
        <v>1980</v>
      </c>
      <c r="G10009" t="s">
        <v>14809</v>
      </c>
      <c r="H10009" t="s">
        <v>31520</v>
      </c>
      <c r="J10009" t="s">
        <v>31521</v>
      </c>
      <c r="K10009" s="2" t="str">
        <f>HYPERLINK("http://collections.slsa.sa.gov.au/mpcimg/39000/B38926.htm")</f>
        <v>http://collections.slsa.sa.gov.au/mpcimg/39000/B38926.htm</v>
      </c>
    </row>
    <row r="10010" spans="1:11" x14ac:dyDescent="0.25">
      <c r="A10010" t="s">
        <v>31522</v>
      </c>
      <c r="B10010" s="1" t="str">
        <f>HYPERLINK("https://www.catalog.slsa.sa.gov.au/record=b2061472")</f>
        <v>https://www.catalog.slsa.sa.gov.au/record=b2061472</v>
      </c>
      <c r="C10010" s="1" t="str">
        <f>HYPERLINK("https://www.catalog.slsa.sa.gov.au/xrecord=b2061472")</f>
        <v>https://www.catalog.slsa.sa.gov.au/xrecord=b2061472</v>
      </c>
      <c r="D10010" t="s">
        <v>16831</v>
      </c>
      <c r="E10010" t="s">
        <v>30397</v>
      </c>
      <c r="F10010">
        <v>1980</v>
      </c>
      <c r="G10010" t="s">
        <v>14809</v>
      </c>
      <c r="H10010" t="s">
        <v>31523</v>
      </c>
      <c r="J10010" t="s">
        <v>31521</v>
      </c>
      <c r="K10010" s="2" t="str">
        <f>HYPERLINK("http://collections.slsa.sa.gov.au/mpcimg/39000/B38927.htm")</f>
        <v>http://collections.slsa.sa.gov.au/mpcimg/39000/B38927.htm</v>
      </c>
    </row>
    <row r="10011" spans="1:11" x14ac:dyDescent="0.25">
      <c r="A10011" t="s">
        <v>31524</v>
      </c>
      <c r="B10011" s="1" t="str">
        <f>HYPERLINK("https://www.catalog.slsa.sa.gov.au/record=b2061473")</f>
        <v>https://www.catalog.slsa.sa.gov.au/record=b2061473</v>
      </c>
      <c r="C10011" s="1" t="str">
        <f>HYPERLINK("https://www.catalog.slsa.sa.gov.au/xrecord=b2061473")</f>
        <v>https://www.catalog.slsa.sa.gov.au/xrecord=b2061473</v>
      </c>
      <c r="D10011" t="s">
        <v>16831</v>
      </c>
      <c r="E10011" t="s">
        <v>30394</v>
      </c>
      <c r="F10011">
        <v>1980</v>
      </c>
      <c r="G10011" t="s">
        <v>14809</v>
      </c>
      <c r="H10011" t="s">
        <v>31525</v>
      </c>
      <c r="J10011" t="s">
        <v>31521</v>
      </c>
      <c r="K10011" s="2" t="str">
        <f>HYPERLINK("http://collections.slsa.sa.gov.au/mpcimg/39000/B38928.htm")</f>
        <v>http://collections.slsa.sa.gov.au/mpcimg/39000/B38928.htm</v>
      </c>
    </row>
    <row r="10012" spans="1:11" x14ac:dyDescent="0.25">
      <c r="A10012" t="s">
        <v>31526</v>
      </c>
      <c r="B10012" s="1" t="str">
        <f>HYPERLINK("https://www.catalog.slsa.sa.gov.au/record=b2061474")</f>
        <v>https://www.catalog.slsa.sa.gov.au/record=b2061474</v>
      </c>
      <c r="C10012" s="1" t="str">
        <f>HYPERLINK("https://www.catalog.slsa.sa.gov.au/xrecord=b2061474")</f>
        <v>https://www.catalog.slsa.sa.gov.au/xrecord=b2061474</v>
      </c>
      <c r="D10012" t="s">
        <v>16831</v>
      </c>
      <c r="E10012" t="s">
        <v>30397</v>
      </c>
      <c r="F10012">
        <v>1980</v>
      </c>
      <c r="G10012" t="s">
        <v>14809</v>
      </c>
      <c r="H10012" t="s">
        <v>31520</v>
      </c>
      <c r="J10012" t="s">
        <v>31521</v>
      </c>
      <c r="K10012" s="2" t="str">
        <f>HYPERLINK("http://collections.slsa.sa.gov.au/mpcimg/39000/B38929.htm")</f>
        <v>http://collections.slsa.sa.gov.au/mpcimg/39000/B38929.htm</v>
      </c>
    </row>
    <row r="10013" spans="1:11" x14ac:dyDescent="0.25">
      <c r="A10013" t="s">
        <v>31527</v>
      </c>
      <c r="B10013" s="1" t="str">
        <f>HYPERLINK("https://www.catalog.slsa.sa.gov.au/record=b2061475")</f>
        <v>https://www.catalog.slsa.sa.gov.au/record=b2061475</v>
      </c>
      <c r="C10013" s="1" t="str">
        <f>HYPERLINK("https://www.catalog.slsa.sa.gov.au/xrecord=b2061475")</f>
        <v>https://www.catalog.slsa.sa.gov.au/xrecord=b2061475</v>
      </c>
      <c r="D10013" t="s">
        <v>16831</v>
      </c>
      <c r="E10013" t="s">
        <v>30397</v>
      </c>
      <c r="F10013">
        <v>1980</v>
      </c>
      <c r="G10013" t="s">
        <v>14809</v>
      </c>
      <c r="H10013" t="s">
        <v>31520</v>
      </c>
      <c r="J10013" t="s">
        <v>31521</v>
      </c>
      <c r="K10013" s="2" t="str">
        <f>HYPERLINK("http://collections.slsa.sa.gov.au/mpcimg/39000/B38930.htm")</f>
        <v>http://collections.slsa.sa.gov.au/mpcimg/39000/B38930.htm</v>
      </c>
    </row>
    <row r="10014" spans="1:11" x14ac:dyDescent="0.25">
      <c r="A10014" t="s">
        <v>31528</v>
      </c>
      <c r="B10014" s="1" t="str">
        <f>HYPERLINK("https://www.catalog.slsa.sa.gov.au/record=b2061476")</f>
        <v>https://www.catalog.slsa.sa.gov.au/record=b2061476</v>
      </c>
      <c r="C10014" s="1" t="str">
        <f>HYPERLINK("https://www.catalog.slsa.sa.gov.au/xrecord=b2061476")</f>
        <v>https://www.catalog.slsa.sa.gov.au/xrecord=b2061476</v>
      </c>
      <c r="D10014" t="s">
        <v>16831</v>
      </c>
      <c r="E10014" t="s">
        <v>30397</v>
      </c>
      <c r="F10014">
        <v>1980</v>
      </c>
      <c r="G10014" t="s">
        <v>14809</v>
      </c>
      <c r="H10014" t="s">
        <v>31529</v>
      </c>
      <c r="J10014" t="s">
        <v>31521</v>
      </c>
      <c r="K10014" s="2" t="str">
        <f>HYPERLINK("http://collections.slsa.sa.gov.au/mpcimg/39000/B38931.htm")</f>
        <v>http://collections.slsa.sa.gov.au/mpcimg/39000/B38931.htm</v>
      </c>
    </row>
    <row r="10015" spans="1:11" x14ac:dyDescent="0.25">
      <c r="A10015" t="s">
        <v>31530</v>
      </c>
      <c r="B10015" s="1" t="str">
        <f>HYPERLINK("https://www.catalog.slsa.sa.gov.au/record=b2061915")</f>
        <v>https://www.catalog.slsa.sa.gov.au/record=b2061915</v>
      </c>
      <c r="C10015" s="1" t="str">
        <f>HYPERLINK("https://www.catalog.slsa.sa.gov.au/xrecord=b2061915")</f>
        <v>https://www.catalog.slsa.sa.gov.au/xrecord=b2061915</v>
      </c>
      <c r="D10015" t="s">
        <v>16831</v>
      </c>
      <c r="E10015" t="s">
        <v>21208</v>
      </c>
      <c r="F10015">
        <v>1980</v>
      </c>
      <c r="G10015" t="s">
        <v>14809</v>
      </c>
      <c r="H10015" t="s">
        <v>31531</v>
      </c>
      <c r="J10015" t="s">
        <v>24501</v>
      </c>
      <c r="K10015" s="2" t="str">
        <f>HYPERLINK("http://collections.slsa.sa.gov.au/mpcimg/39000/B38910.htm")</f>
        <v>http://collections.slsa.sa.gov.au/mpcimg/39000/B38910.htm</v>
      </c>
    </row>
    <row r="10016" spans="1:11" x14ac:dyDescent="0.25">
      <c r="A10016" t="s">
        <v>31532</v>
      </c>
      <c r="B10016" s="1" t="str">
        <f>HYPERLINK("https://www.catalog.slsa.sa.gov.au/record=b2061916")</f>
        <v>https://www.catalog.slsa.sa.gov.au/record=b2061916</v>
      </c>
      <c r="C10016" s="1" t="str">
        <f>HYPERLINK("https://www.catalog.slsa.sa.gov.au/xrecord=b2061916")</f>
        <v>https://www.catalog.slsa.sa.gov.au/xrecord=b2061916</v>
      </c>
      <c r="D10016" t="s">
        <v>16831</v>
      </c>
      <c r="E10016" t="s">
        <v>21208</v>
      </c>
      <c r="F10016">
        <v>1980</v>
      </c>
      <c r="G10016" t="s">
        <v>14809</v>
      </c>
      <c r="H10016" t="s">
        <v>31533</v>
      </c>
      <c r="J10016" t="s">
        <v>24501</v>
      </c>
      <c r="K10016" s="2" t="str">
        <f>HYPERLINK("http://collections.slsa.sa.gov.au/mpcimg/39000/B38911.htm")</f>
        <v>http://collections.slsa.sa.gov.au/mpcimg/39000/B38911.htm</v>
      </c>
    </row>
    <row r="10017" spans="1:11" x14ac:dyDescent="0.25">
      <c r="A10017" t="s">
        <v>31534</v>
      </c>
      <c r="B10017" s="1" t="str">
        <f>HYPERLINK("https://www.catalog.slsa.sa.gov.au/record=b2061933")</f>
        <v>https://www.catalog.slsa.sa.gov.au/record=b2061933</v>
      </c>
      <c r="C10017" s="1" t="str">
        <f>HYPERLINK("https://www.catalog.slsa.sa.gov.au/xrecord=b2061933")</f>
        <v>https://www.catalog.slsa.sa.gov.au/xrecord=b2061933</v>
      </c>
      <c r="D10017" t="s">
        <v>16831</v>
      </c>
      <c r="E10017" t="s">
        <v>28283</v>
      </c>
      <c r="F10017">
        <v>1980</v>
      </c>
      <c r="G10017" t="s">
        <v>14809</v>
      </c>
      <c r="H10017" t="s">
        <v>31535</v>
      </c>
      <c r="J10017" t="s">
        <v>25536</v>
      </c>
      <c r="K10017" s="2" t="str">
        <f>HYPERLINK("http://collections.slsa.sa.gov.au/mpcimg/39250/B39045.htm")</f>
        <v>http://collections.slsa.sa.gov.au/mpcimg/39250/B39045.htm</v>
      </c>
    </row>
    <row r="10018" spans="1:11" x14ac:dyDescent="0.25">
      <c r="A10018" t="s">
        <v>31536</v>
      </c>
      <c r="B10018" s="1" t="str">
        <f>HYPERLINK("https://www.catalog.slsa.sa.gov.au/record=b2061934")</f>
        <v>https://www.catalog.slsa.sa.gov.au/record=b2061934</v>
      </c>
      <c r="C10018" s="1" t="str">
        <f>HYPERLINK("https://www.catalog.slsa.sa.gov.au/xrecord=b2061934")</f>
        <v>https://www.catalog.slsa.sa.gov.au/xrecord=b2061934</v>
      </c>
      <c r="D10018" t="s">
        <v>16831</v>
      </c>
      <c r="E10018" t="s">
        <v>28283</v>
      </c>
      <c r="F10018">
        <v>1980</v>
      </c>
      <c r="G10018" t="s">
        <v>14809</v>
      </c>
      <c r="H10018" t="s">
        <v>31537</v>
      </c>
      <c r="J10018" t="s">
        <v>25536</v>
      </c>
      <c r="K10018" s="2" t="str">
        <f>HYPERLINK("http://collections.slsa.sa.gov.au/mpcimg/39250/B39046.htm")</f>
        <v>http://collections.slsa.sa.gov.au/mpcimg/39250/B39046.htm</v>
      </c>
    </row>
    <row r="10019" spans="1:11" x14ac:dyDescent="0.25">
      <c r="A10019" t="s">
        <v>31538</v>
      </c>
      <c r="B10019" s="1" t="str">
        <f>HYPERLINK("https://www.catalog.slsa.sa.gov.au/record=b2061945")</f>
        <v>https://www.catalog.slsa.sa.gov.au/record=b2061945</v>
      </c>
      <c r="C10019" s="1" t="str">
        <f>HYPERLINK("https://www.catalog.slsa.sa.gov.au/xrecord=b2061945")</f>
        <v>https://www.catalog.slsa.sa.gov.au/xrecord=b2061945</v>
      </c>
      <c r="D10019" t="s">
        <v>16831</v>
      </c>
      <c r="E10019" t="s">
        <v>21208</v>
      </c>
      <c r="F10019">
        <v>1980</v>
      </c>
      <c r="G10019" t="s">
        <v>14809</v>
      </c>
      <c r="H10019" t="s">
        <v>31539</v>
      </c>
      <c r="J10019" t="s">
        <v>28661</v>
      </c>
      <c r="K10019" s="2" t="str">
        <f>HYPERLINK("http://collections.slsa.sa.gov.au/mpcimg/38250/B38097.htm")</f>
        <v>http://collections.slsa.sa.gov.au/mpcimg/38250/B38097.htm</v>
      </c>
    </row>
    <row r="10020" spans="1:11" x14ac:dyDescent="0.25">
      <c r="A10020" t="s">
        <v>31540</v>
      </c>
      <c r="B10020" s="1" t="str">
        <f>HYPERLINK("https://www.catalog.slsa.sa.gov.au/record=b2061946")</f>
        <v>https://www.catalog.slsa.sa.gov.au/record=b2061946</v>
      </c>
      <c r="C10020" s="1" t="str">
        <f>HYPERLINK("https://www.catalog.slsa.sa.gov.au/xrecord=b2061946")</f>
        <v>https://www.catalog.slsa.sa.gov.au/xrecord=b2061946</v>
      </c>
      <c r="D10020" t="s">
        <v>16831</v>
      </c>
      <c r="E10020" t="s">
        <v>21208</v>
      </c>
      <c r="F10020">
        <v>1980</v>
      </c>
      <c r="G10020" t="s">
        <v>14809</v>
      </c>
      <c r="H10020" t="s">
        <v>31541</v>
      </c>
      <c r="J10020" t="s">
        <v>28661</v>
      </c>
      <c r="K10020" s="2" t="str">
        <f>HYPERLINK("http://collections.slsa.sa.gov.au/mpcimg/38750/B38746.htm")</f>
        <v>http://collections.slsa.sa.gov.au/mpcimg/38750/B38746.htm</v>
      </c>
    </row>
    <row r="10021" spans="1:11" x14ac:dyDescent="0.25">
      <c r="A10021" t="s">
        <v>31542</v>
      </c>
      <c r="B10021" s="1" t="str">
        <f>HYPERLINK("https://www.catalog.slsa.sa.gov.au/record=b2061947")</f>
        <v>https://www.catalog.slsa.sa.gov.au/record=b2061947</v>
      </c>
      <c r="C10021" s="1" t="str">
        <f>HYPERLINK("https://www.catalog.slsa.sa.gov.au/xrecord=b2061947")</f>
        <v>https://www.catalog.slsa.sa.gov.au/xrecord=b2061947</v>
      </c>
      <c r="D10021" t="s">
        <v>16831</v>
      </c>
      <c r="E10021" t="s">
        <v>21208</v>
      </c>
      <c r="F10021">
        <v>1980</v>
      </c>
      <c r="G10021" t="s">
        <v>14809</v>
      </c>
      <c r="H10021" t="s">
        <v>31541</v>
      </c>
      <c r="J10021" t="s">
        <v>28661</v>
      </c>
      <c r="K10021" s="2" t="str">
        <f>HYPERLINK("http://collections.slsa.sa.gov.au/mpcimg/38750/B38747.htm")</f>
        <v>http://collections.slsa.sa.gov.au/mpcimg/38750/B38747.htm</v>
      </c>
    </row>
    <row r="10022" spans="1:11" x14ac:dyDescent="0.25">
      <c r="A10022" t="s">
        <v>31543</v>
      </c>
      <c r="B10022" s="1" t="str">
        <f>HYPERLINK("https://www.catalog.slsa.sa.gov.au/record=b2062252")</f>
        <v>https://www.catalog.slsa.sa.gov.au/record=b2062252</v>
      </c>
      <c r="C10022" s="1" t="str">
        <f>HYPERLINK("https://www.catalog.slsa.sa.gov.au/xrecord=b2062252")</f>
        <v>https://www.catalog.slsa.sa.gov.au/xrecord=b2062252</v>
      </c>
      <c r="D10022" t="s">
        <v>16831</v>
      </c>
      <c r="E10022" t="s">
        <v>10268</v>
      </c>
      <c r="F10022">
        <v>1980</v>
      </c>
      <c r="G10022" t="s">
        <v>14809</v>
      </c>
      <c r="H10022" t="s">
        <v>31544</v>
      </c>
      <c r="J10022" t="s">
        <v>22932</v>
      </c>
      <c r="K10022" s="2" t="str">
        <f>HYPERLINK("http://collections.slsa.sa.gov.au/mpcimg/39250/B39047.htm")</f>
        <v>http://collections.slsa.sa.gov.au/mpcimg/39250/B39047.htm</v>
      </c>
    </row>
    <row r="10023" spans="1:11" x14ac:dyDescent="0.25">
      <c r="A10023" t="s">
        <v>31545</v>
      </c>
      <c r="B10023" s="1" t="str">
        <f>HYPERLINK("https://www.catalog.slsa.sa.gov.au/record=b2062253")</f>
        <v>https://www.catalog.slsa.sa.gov.au/record=b2062253</v>
      </c>
      <c r="C10023" s="1" t="str">
        <f>HYPERLINK("https://www.catalog.slsa.sa.gov.au/xrecord=b2062253")</f>
        <v>https://www.catalog.slsa.sa.gov.au/xrecord=b2062253</v>
      </c>
      <c r="D10023" t="s">
        <v>16831</v>
      </c>
      <c r="E10023" t="s">
        <v>10268</v>
      </c>
      <c r="F10023">
        <v>1980</v>
      </c>
      <c r="G10023" t="s">
        <v>15147</v>
      </c>
      <c r="H10023" t="s">
        <v>31546</v>
      </c>
      <c r="J10023" t="s">
        <v>22932</v>
      </c>
      <c r="K10023" s="2" t="str">
        <f>HYPERLINK("http://collections.slsa.sa.gov.au/mpcimg/39250/B39048.htm")</f>
        <v>http://collections.slsa.sa.gov.au/mpcimg/39250/B39048.htm</v>
      </c>
    </row>
    <row r="10024" spans="1:11" x14ac:dyDescent="0.25">
      <c r="A10024" t="s">
        <v>31547</v>
      </c>
      <c r="B10024" s="1" t="str">
        <f>HYPERLINK("https://www.catalog.slsa.sa.gov.au/record=b2062254")</f>
        <v>https://www.catalog.slsa.sa.gov.au/record=b2062254</v>
      </c>
      <c r="C10024" s="1" t="str">
        <f>HYPERLINK("https://www.catalog.slsa.sa.gov.au/xrecord=b2062254")</f>
        <v>https://www.catalog.slsa.sa.gov.au/xrecord=b2062254</v>
      </c>
      <c r="D10024" t="s">
        <v>16831</v>
      </c>
      <c r="E10024" t="s">
        <v>10268</v>
      </c>
      <c r="F10024">
        <v>1980</v>
      </c>
      <c r="G10024" t="s">
        <v>14809</v>
      </c>
      <c r="H10024" t="s">
        <v>31548</v>
      </c>
      <c r="J10024" t="s">
        <v>22932</v>
      </c>
      <c r="K10024" s="2" t="str">
        <f>HYPERLINK("http://collections.slsa.sa.gov.au/mpcimg/39250/B39049.htm")</f>
        <v>http://collections.slsa.sa.gov.au/mpcimg/39250/B39049.htm</v>
      </c>
    </row>
    <row r="10025" spans="1:11" x14ac:dyDescent="0.25">
      <c r="A10025" t="s">
        <v>31549</v>
      </c>
      <c r="B10025" s="1" t="str">
        <f>HYPERLINK("https://www.catalog.slsa.sa.gov.au/record=b2062255")</f>
        <v>https://www.catalog.slsa.sa.gov.au/record=b2062255</v>
      </c>
      <c r="C10025" s="1" t="str">
        <f>HYPERLINK("https://www.catalog.slsa.sa.gov.au/xrecord=b2062255")</f>
        <v>https://www.catalog.slsa.sa.gov.au/xrecord=b2062255</v>
      </c>
      <c r="D10025" t="s">
        <v>16831</v>
      </c>
      <c r="E10025" t="s">
        <v>10268</v>
      </c>
      <c r="F10025">
        <v>1980</v>
      </c>
      <c r="G10025" t="s">
        <v>14809</v>
      </c>
      <c r="H10025" t="s">
        <v>31548</v>
      </c>
      <c r="J10025" t="s">
        <v>22932</v>
      </c>
      <c r="K10025" s="2" t="str">
        <f>HYPERLINK("http://collections.slsa.sa.gov.au/mpcimg/39250/B39050.htm")</f>
        <v>http://collections.slsa.sa.gov.au/mpcimg/39250/B39050.htm</v>
      </c>
    </row>
    <row r="10026" spans="1:11" x14ac:dyDescent="0.25">
      <c r="A10026" t="s">
        <v>31550</v>
      </c>
      <c r="B10026" s="1" t="str">
        <f>HYPERLINK("https://www.catalog.slsa.sa.gov.au/record=b2062256")</f>
        <v>https://www.catalog.slsa.sa.gov.au/record=b2062256</v>
      </c>
      <c r="C10026" s="1" t="str">
        <f>HYPERLINK("https://www.catalog.slsa.sa.gov.au/xrecord=b2062256")</f>
        <v>https://www.catalog.slsa.sa.gov.au/xrecord=b2062256</v>
      </c>
      <c r="D10026" t="s">
        <v>16831</v>
      </c>
      <c r="E10026" t="s">
        <v>10268</v>
      </c>
      <c r="F10026">
        <v>1980</v>
      </c>
      <c r="G10026" t="s">
        <v>14809</v>
      </c>
      <c r="H10026" t="s">
        <v>31548</v>
      </c>
      <c r="J10026" t="s">
        <v>22932</v>
      </c>
      <c r="K10026" s="2" t="str">
        <f>HYPERLINK("http://collections.slsa.sa.gov.au/mpcimg/39250/B39051.htm")</f>
        <v>http://collections.slsa.sa.gov.au/mpcimg/39250/B39051.htm</v>
      </c>
    </row>
    <row r="10027" spans="1:11" x14ac:dyDescent="0.25">
      <c r="A10027" t="s">
        <v>31551</v>
      </c>
      <c r="B10027" s="1" t="str">
        <f>HYPERLINK("https://www.catalog.slsa.sa.gov.au/record=b2062491")</f>
        <v>https://www.catalog.slsa.sa.gov.au/record=b2062491</v>
      </c>
      <c r="C10027" s="1" t="str">
        <f>HYPERLINK("https://www.catalog.slsa.sa.gov.au/xrecord=b2062491")</f>
        <v>https://www.catalog.slsa.sa.gov.au/xrecord=b2062491</v>
      </c>
      <c r="D10027" t="s">
        <v>16831</v>
      </c>
      <c r="E10027" t="s">
        <v>21277</v>
      </c>
      <c r="F10027">
        <v>1980</v>
      </c>
      <c r="G10027" t="s">
        <v>14809</v>
      </c>
      <c r="H10027" t="s">
        <v>31552</v>
      </c>
      <c r="J10027" t="s">
        <v>30789</v>
      </c>
      <c r="K10027" s="2" t="str">
        <f>HYPERLINK("http://collections.slsa.sa.gov.au/mpcimg/38250/B38163.htm")</f>
        <v>http://collections.slsa.sa.gov.au/mpcimg/38250/B38163.htm</v>
      </c>
    </row>
    <row r="10028" spans="1:11" x14ac:dyDescent="0.25">
      <c r="A10028" t="s">
        <v>31553</v>
      </c>
      <c r="B10028" s="1" t="str">
        <f>HYPERLINK("https://www.catalog.slsa.sa.gov.au/record=b2062492")</f>
        <v>https://www.catalog.slsa.sa.gov.au/record=b2062492</v>
      </c>
      <c r="C10028" s="1" t="str">
        <f>HYPERLINK("https://www.catalog.slsa.sa.gov.au/xrecord=b2062492")</f>
        <v>https://www.catalog.slsa.sa.gov.au/xrecord=b2062492</v>
      </c>
      <c r="D10028" t="s">
        <v>16831</v>
      </c>
      <c r="E10028" t="s">
        <v>21277</v>
      </c>
      <c r="F10028">
        <v>1980</v>
      </c>
      <c r="G10028" t="s">
        <v>14809</v>
      </c>
      <c r="H10028" t="s">
        <v>31552</v>
      </c>
      <c r="J10028" t="s">
        <v>30789</v>
      </c>
      <c r="K10028" s="2" t="str">
        <f>HYPERLINK("http://collections.slsa.sa.gov.au/mpcimg/38250/B38164.htm")</f>
        <v>http://collections.slsa.sa.gov.au/mpcimg/38250/B38164.htm</v>
      </c>
    </row>
    <row r="10029" spans="1:11" x14ac:dyDescent="0.25">
      <c r="A10029" t="s">
        <v>31554</v>
      </c>
      <c r="B10029" s="1" t="str">
        <f>HYPERLINK("https://www.catalog.slsa.sa.gov.au/record=b2062493")</f>
        <v>https://www.catalog.slsa.sa.gov.au/record=b2062493</v>
      </c>
      <c r="C10029" s="1" t="str">
        <f>HYPERLINK("https://www.catalog.slsa.sa.gov.au/xrecord=b2062493")</f>
        <v>https://www.catalog.slsa.sa.gov.au/xrecord=b2062493</v>
      </c>
      <c r="D10029" t="s">
        <v>16831</v>
      </c>
      <c r="E10029" t="s">
        <v>21277</v>
      </c>
      <c r="F10029">
        <v>1980</v>
      </c>
      <c r="G10029" t="s">
        <v>14809</v>
      </c>
      <c r="H10029" t="s">
        <v>31555</v>
      </c>
      <c r="J10029" t="s">
        <v>30789</v>
      </c>
      <c r="K10029" s="2" t="str">
        <f>HYPERLINK("http://collections.slsa.sa.gov.au/mpcimg/38250/B38165.htm")</f>
        <v>http://collections.slsa.sa.gov.au/mpcimg/38250/B38165.htm</v>
      </c>
    </row>
    <row r="10030" spans="1:11" x14ac:dyDescent="0.25">
      <c r="A10030" t="s">
        <v>31556</v>
      </c>
      <c r="B10030" s="1" t="str">
        <f>HYPERLINK("https://www.catalog.slsa.sa.gov.au/record=b2062971")</f>
        <v>https://www.catalog.slsa.sa.gov.au/record=b2062971</v>
      </c>
      <c r="C10030" s="1" t="str">
        <f>HYPERLINK("https://www.catalog.slsa.sa.gov.au/xrecord=b2062971")</f>
        <v>https://www.catalog.slsa.sa.gov.au/xrecord=b2062971</v>
      </c>
      <c r="D10030" t="s">
        <v>16831</v>
      </c>
      <c r="E10030" t="s">
        <v>28691</v>
      </c>
      <c r="F10030">
        <v>1980</v>
      </c>
      <c r="G10030" t="s">
        <v>14809</v>
      </c>
      <c r="H10030" t="s">
        <v>31557</v>
      </c>
      <c r="J10030" t="s">
        <v>26463</v>
      </c>
      <c r="K10030" s="2" t="str">
        <f>HYPERLINK("http://collections.slsa.sa.gov.au/mpcimg/38000/B37970.htm")</f>
        <v>http://collections.slsa.sa.gov.au/mpcimg/38000/B37970.htm</v>
      </c>
    </row>
    <row r="10031" spans="1:11" x14ac:dyDescent="0.25">
      <c r="A10031" t="s">
        <v>31558</v>
      </c>
      <c r="B10031" s="1" t="str">
        <f>HYPERLINK("https://www.catalog.slsa.sa.gov.au/record=b2062972")</f>
        <v>https://www.catalog.slsa.sa.gov.au/record=b2062972</v>
      </c>
      <c r="C10031" s="1" t="str">
        <f>HYPERLINK("https://www.catalog.slsa.sa.gov.au/xrecord=b2062972")</f>
        <v>https://www.catalog.slsa.sa.gov.au/xrecord=b2062972</v>
      </c>
      <c r="D10031" t="s">
        <v>16831</v>
      </c>
      <c r="E10031" t="s">
        <v>28691</v>
      </c>
      <c r="F10031">
        <v>1980</v>
      </c>
      <c r="G10031" t="s">
        <v>14809</v>
      </c>
      <c r="H10031" t="s">
        <v>31557</v>
      </c>
      <c r="J10031" t="s">
        <v>26463</v>
      </c>
      <c r="K10031" s="2" t="str">
        <f>HYPERLINK("http://collections.slsa.sa.gov.au/mpcimg/38000/B37971.htm")</f>
        <v>http://collections.slsa.sa.gov.au/mpcimg/38000/B37971.htm</v>
      </c>
    </row>
    <row r="10032" spans="1:11" x14ac:dyDescent="0.25">
      <c r="A10032" t="s">
        <v>31559</v>
      </c>
      <c r="B10032" s="1" t="str">
        <f>HYPERLINK("https://www.catalog.slsa.sa.gov.au/record=b2062973")</f>
        <v>https://www.catalog.slsa.sa.gov.au/record=b2062973</v>
      </c>
      <c r="C10032" s="1" t="str">
        <f>HYPERLINK("https://www.catalog.slsa.sa.gov.au/xrecord=b2062973")</f>
        <v>https://www.catalog.slsa.sa.gov.au/xrecord=b2062973</v>
      </c>
      <c r="D10032" t="s">
        <v>16831</v>
      </c>
      <c r="E10032" t="s">
        <v>28691</v>
      </c>
      <c r="F10032">
        <v>1980</v>
      </c>
      <c r="G10032" t="s">
        <v>14809</v>
      </c>
      <c r="H10032" t="s">
        <v>31557</v>
      </c>
      <c r="J10032" t="s">
        <v>26463</v>
      </c>
      <c r="K10032" s="2" t="str">
        <f>HYPERLINK("http://collections.slsa.sa.gov.au/mpcimg/38000/B37972.htm")</f>
        <v>http://collections.slsa.sa.gov.au/mpcimg/38000/B37972.htm</v>
      </c>
    </row>
    <row r="10033" spans="1:11" x14ac:dyDescent="0.25">
      <c r="A10033" t="s">
        <v>31560</v>
      </c>
      <c r="B10033" s="1" t="str">
        <f>HYPERLINK("https://www.catalog.slsa.sa.gov.au/record=b2062974")</f>
        <v>https://www.catalog.slsa.sa.gov.au/record=b2062974</v>
      </c>
      <c r="C10033" s="1" t="str">
        <f>HYPERLINK("https://www.catalog.slsa.sa.gov.au/xrecord=b2062974")</f>
        <v>https://www.catalog.slsa.sa.gov.au/xrecord=b2062974</v>
      </c>
      <c r="D10033" t="s">
        <v>16831</v>
      </c>
      <c r="E10033" t="s">
        <v>28691</v>
      </c>
      <c r="F10033">
        <v>1980</v>
      </c>
      <c r="G10033" t="s">
        <v>14809</v>
      </c>
      <c r="H10033" t="s">
        <v>31561</v>
      </c>
      <c r="J10033" t="s">
        <v>26463</v>
      </c>
      <c r="K10033" s="2" t="str">
        <f>HYPERLINK("http://collections.slsa.sa.gov.au/mpcimg/38000/B37973.htm")</f>
        <v>http://collections.slsa.sa.gov.au/mpcimg/38000/B37973.htm</v>
      </c>
    </row>
    <row r="10034" spans="1:11" x14ac:dyDescent="0.25">
      <c r="A10034" t="s">
        <v>31562</v>
      </c>
      <c r="B10034" s="1" t="str">
        <f>HYPERLINK("https://www.catalog.slsa.sa.gov.au/record=b2062975")</f>
        <v>https://www.catalog.slsa.sa.gov.au/record=b2062975</v>
      </c>
      <c r="C10034" s="1" t="str">
        <f>HYPERLINK("https://www.catalog.slsa.sa.gov.au/xrecord=b2062975")</f>
        <v>https://www.catalog.slsa.sa.gov.au/xrecord=b2062975</v>
      </c>
      <c r="D10034" t="s">
        <v>16831</v>
      </c>
      <c r="E10034" t="s">
        <v>28691</v>
      </c>
      <c r="F10034">
        <v>1980</v>
      </c>
      <c r="G10034" t="s">
        <v>14809</v>
      </c>
      <c r="H10034" t="s">
        <v>31561</v>
      </c>
      <c r="J10034" t="s">
        <v>26463</v>
      </c>
      <c r="K10034" s="2" t="str">
        <f>HYPERLINK("http://collections.slsa.sa.gov.au/mpcimg/38000/B37974.htm")</f>
        <v>http://collections.slsa.sa.gov.au/mpcimg/38000/B37974.htm</v>
      </c>
    </row>
    <row r="10035" spans="1:11" x14ac:dyDescent="0.25">
      <c r="A10035" t="s">
        <v>31563</v>
      </c>
      <c r="B10035" s="1" t="str">
        <f>HYPERLINK("https://www.catalog.slsa.sa.gov.au/record=b2062976")</f>
        <v>https://www.catalog.slsa.sa.gov.au/record=b2062976</v>
      </c>
      <c r="C10035" s="1" t="str">
        <f>HYPERLINK("https://www.catalog.slsa.sa.gov.au/xrecord=b2062976")</f>
        <v>https://www.catalog.slsa.sa.gov.au/xrecord=b2062976</v>
      </c>
      <c r="D10035" t="s">
        <v>16831</v>
      </c>
      <c r="E10035" t="s">
        <v>31564</v>
      </c>
      <c r="F10035">
        <v>1980</v>
      </c>
      <c r="G10035" t="s">
        <v>14809</v>
      </c>
      <c r="H10035" t="s">
        <v>31565</v>
      </c>
      <c r="J10035" t="s">
        <v>26463</v>
      </c>
      <c r="K10035" s="2" t="str">
        <f>HYPERLINK("http://collections.slsa.sa.gov.au/mpcimg/38000/B37975.htm")</f>
        <v>http://collections.slsa.sa.gov.au/mpcimg/38000/B37975.htm</v>
      </c>
    </row>
    <row r="10036" spans="1:11" x14ac:dyDescent="0.25">
      <c r="A10036" t="s">
        <v>31566</v>
      </c>
      <c r="B10036" s="1" t="str">
        <f>HYPERLINK("https://www.catalog.slsa.sa.gov.au/record=b2062977")</f>
        <v>https://www.catalog.slsa.sa.gov.au/record=b2062977</v>
      </c>
      <c r="C10036" s="1" t="str">
        <f>HYPERLINK("https://www.catalog.slsa.sa.gov.au/xrecord=b2062977")</f>
        <v>https://www.catalog.slsa.sa.gov.au/xrecord=b2062977</v>
      </c>
      <c r="D10036" t="s">
        <v>16831</v>
      </c>
      <c r="E10036" t="s">
        <v>31564</v>
      </c>
      <c r="F10036">
        <v>1980</v>
      </c>
      <c r="G10036" t="s">
        <v>14809</v>
      </c>
      <c r="H10036" t="s">
        <v>31567</v>
      </c>
      <c r="J10036" t="s">
        <v>26463</v>
      </c>
      <c r="K10036" s="2" t="str">
        <f>HYPERLINK("http://collections.slsa.sa.gov.au/mpcimg/38000/B37976.htm")</f>
        <v>http://collections.slsa.sa.gov.au/mpcimg/38000/B37976.htm</v>
      </c>
    </row>
    <row r="10037" spans="1:11" x14ac:dyDescent="0.25">
      <c r="A10037" t="s">
        <v>31568</v>
      </c>
      <c r="B10037" s="1" t="str">
        <f>HYPERLINK("https://www.catalog.slsa.sa.gov.au/record=b2063091")</f>
        <v>https://www.catalog.slsa.sa.gov.au/record=b2063091</v>
      </c>
      <c r="C10037" s="1" t="str">
        <f>HYPERLINK("https://www.catalog.slsa.sa.gov.au/xrecord=b2063091")</f>
        <v>https://www.catalog.slsa.sa.gov.au/xrecord=b2063091</v>
      </c>
      <c r="D10037" t="s">
        <v>16831</v>
      </c>
      <c r="E10037" t="s">
        <v>21304</v>
      </c>
      <c r="F10037">
        <v>1980</v>
      </c>
      <c r="G10037" t="s">
        <v>14809</v>
      </c>
      <c r="H10037" t="s">
        <v>31569</v>
      </c>
      <c r="J10037" t="s">
        <v>27813</v>
      </c>
      <c r="K10037" s="2" t="str">
        <f>HYPERLINK("http://collections.slsa.sa.gov.au/mpcimg/38750/B38739.htm")</f>
        <v>http://collections.slsa.sa.gov.au/mpcimg/38750/B38739.htm</v>
      </c>
    </row>
    <row r="10038" spans="1:11" x14ac:dyDescent="0.25">
      <c r="A10038" t="s">
        <v>31570</v>
      </c>
      <c r="B10038" s="1" t="str">
        <f>HYPERLINK("https://www.catalog.slsa.sa.gov.au/record=b2063092")</f>
        <v>https://www.catalog.slsa.sa.gov.au/record=b2063092</v>
      </c>
      <c r="C10038" s="1" t="str">
        <f>HYPERLINK("https://www.catalog.slsa.sa.gov.au/xrecord=b2063092")</f>
        <v>https://www.catalog.slsa.sa.gov.au/xrecord=b2063092</v>
      </c>
      <c r="D10038" t="s">
        <v>16831</v>
      </c>
      <c r="E10038" t="s">
        <v>21304</v>
      </c>
      <c r="F10038">
        <v>1980</v>
      </c>
      <c r="G10038" t="s">
        <v>14809</v>
      </c>
      <c r="H10038" t="s">
        <v>31571</v>
      </c>
      <c r="J10038" t="s">
        <v>27813</v>
      </c>
      <c r="K10038" s="2" t="str">
        <f>HYPERLINK("http://collections.slsa.sa.gov.au/mpcimg/38750/B38740.htm")</f>
        <v>http://collections.slsa.sa.gov.au/mpcimg/38750/B38740.htm</v>
      </c>
    </row>
    <row r="10039" spans="1:11" x14ac:dyDescent="0.25">
      <c r="A10039" t="s">
        <v>31572</v>
      </c>
      <c r="B10039" s="1" t="str">
        <f>HYPERLINK("https://www.catalog.slsa.sa.gov.au/record=b2063093")</f>
        <v>https://www.catalog.slsa.sa.gov.au/record=b2063093</v>
      </c>
      <c r="C10039" s="1" t="str">
        <f>HYPERLINK("https://www.catalog.slsa.sa.gov.au/xrecord=b2063093")</f>
        <v>https://www.catalog.slsa.sa.gov.au/xrecord=b2063093</v>
      </c>
      <c r="D10039" t="s">
        <v>16831</v>
      </c>
      <c r="E10039" t="s">
        <v>31573</v>
      </c>
      <c r="F10039">
        <v>1980</v>
      </c>
      <c r="G10039" t="s">
        <v>14809</v>
      </c>
      <c r="H10039" t="s">
        <v>31574</v>
      </c>
      <c r="J10039" t="s">
        <v>27813</v>
      </c>
      <c r="K10039" s="2" t="str">
        <f>HYPERLINK("http://collections.slsa.sa.gov.au/mpcimg/38750/B38741.htm")</f>
        <v>http://collections.slsa.sa.gov.au/mpcimg/38750/B38741.htm</v>
      </c>
    </row>
    <row r="10040" spans="1:11" x14ac:dyDescent="0.25">
      <c r="A10040" t="s">
        <v>31575</v>
      </c>
      <c r="B10040" s="1" t="str">
        <f>HYPERLINK("https://www.catalog.slsa.sa.gov.au/record=b2065177")</f>
        <v>https://www.catalog.slsa.sa.gov.au/record=b2065177</v>
      </c>
      <c r="C10040" s="1" t="str">
        <f>HYPERLINK("https://www.catalog.slsa.sa.gov.au/xrecord=b2065177")</f>
        <v>https://www.catalog.slsa.sa.gov.au/xrecord=b2065177</v>
      </c>
      <c r="D10040" t="s">
        <v>16831</v>
      </c>
      <c r="E10040" t="s">
        <v>31576</v>
      </c>
      <c r="F10040">
        <v>1980</v>
      </c>
      <c r="G10040" t="s">
        <v>15147</v>
      </c>
      <c r="H10040" t="s">
        <v>31577</v>
      </c>
      <c r="J10040" t="s">
        <v>31578</v>
      </c>
      <c r="K10040" s="2" t="str">
        <f>HYPERLINK("http://collections.slsa.sa.gov.au/mpcimg/38250/B38106.htm")</f>
        <v>http://collections.slsa.sa.gov.au/mpcimg/38250/B38106.htm</v>
      </c>
    </row>
    <row r="10041" spans="1:11" x14ac:dyDescent="0.25">
      <c r="A10041" t="s">
        <v>31579</v>
      </c>
      <c r="B10041" s="1" t="str">
        <f>HYPERLINK("https://www.catalog.slsa.sa.gov.au/record=b2065178")</f>
        <v>https://www.catalog.slsa.sa.gov.au/record=b2065178</v>
      </c>
      <c r="C10041" s="1" t="str">
        <f>HYPERLINK("https://www.catalog.slsa.sa.gov.au/xrecord=b2065178")</f>
        <v>https://www.catalog.slsa.sa.gov.au/xrecord=b2065178</v>
      </c>
      <c r="D10041" t="s">
        <v>16831</v>
      </c>
      <c r="E10041" t="s">
        <v>31576</v>
      </c>
      <c r="F10041">
        <v>1980</v>
      </c>
      <c r="G10041" t="s">
        <v>15147</v>
      </c>
      <c r="H10041" t="s">
        <v>31580</v>
      </c>
      <c r="J10041" t="s">
        <v>31578</v>
      </c>
      <c r="K10041" s="2" t="str">
        <f>HYPERLINK("http://collections.slsa.sa.gov.au/mpcimg/38250/B38107.htm")</f>
        <v>http://collections.slsa.sa.gov.au/mpcimg/38250/B38107.htm</v>
      </c>
    </row>
    <row r="10042" spans="1:11" x14ac:dyDescent="0.25">
      <c r="A10042" t="s">
        <v>31581</v>
      </c>
      <c r="B10042" s="1" t="str">
        <f>HYPERLINK("https://www.catalog.slsa.sa.gov.au/record=b2065179")</f>
        <v>https://www.catalog.slsa.sa.gov.au/record=b2065179</v>
      </c>
      <c r="C10042" s="1" t="str">
        <f>HYPERLINK("https://www.catalog.slsa.sa.gov.au/xrecord=b2065179")</f>
        <v>https://www.catalog.slsa.sa.gov.au/xrecord=b2065179</v>
      </c>
      <c r="D10042" t="s">
        <v>16831</v>
      </c>
      <c r="E10042" t="s">
        <v>31576</v>
      </c>
      <c r="F10042">
        <v>1980</v>
      </c>
      <c r="G10042" t="s">
        <v>15147</v>
      </c>
      <c r="H10042" t="s">
        <v>31582</v>
      </c>
      <c r="J10042" t="s">
        <v>31578</v>
      </c>
      <c r="K10042" s="2" t="str">
        <f>HYPERLINK("http://collections.slsa.sa.gov.au/mpcimg/38250/B38108.htm")</f>
        <v>http://collections.slsa.sa.gov.au/mpcimg/38250/B38108.htm</v>
      </c>
    </row>
    <row r="10043" spans="1:11" x14ac:dyDescent="0.25">
      <c r="A10043" t="s">
        <v>31583</v>
      </c>
      <c r="B10043" s="1" t="str">
        <f>HYPERLINK("https://www.catalog.slsa.sa.gov.au/record=b2065180")</f>
        <v>https://www.catalog.slsa.sa.gov.au/record=b2065180</v>
      </c>
      <c r="C10043" s="1" t="str">
        <f>HYPERLINK("https://www.catalog.slsa.sa.gov.au/xrecord=b2065180")</f>
        <v>https://www.catalog.slsa.sa.gov.au/xrecord=b2065180</v>
      </c>
      <c r="D10043" t="s">
        <v>16831</v>
      </c>
      <c r="E10043" t="s">
        <v>31576</v>
      </c>
      <c r="F10043">
        <v>1980</v>
      </c>
      <c r="G10043" t="s">
        <v>15147</v>
      </c>
      <c r="H10043" t="s">
        <v>31582</v>
      </c>
      <c r="J10043" t="s">
        <v>31578</v>
      </c>
      <c r="K10043" s="2" t="str">
        <f>HYPERLINK("http://collections.slsa.sa.gov.au/mpcimg/38250/B38109.htm")</f>
        <v>http://collections.slsa.sa.gov.au/mpcimg/38250/B38109.htm</v>
      </c>
    </row>
    <row r="10044" spans="1:11" x14ac:dyDescent="0.25">
      <c r="A10044" t="s">
        <v>31584</v>
      </c>
      <c r="B10044" s="1" t="str">
        <f>HYPERLINK("https://www.catalog.slsa.sa.gov.au/record=b2065181")</f>
        <v>https://www.catalog.slsa.sa.gov.au/record=b2065181</v>
      </c>
      <c r="C10044" s="1" t="str">
        <f>HYPERLINK("https://www.catalog.slsa.sa.gov.au/xrecord=b2065181")</f>
        <v>https://www.catalog.slsa.sa.gov.au/xrecord=b2065181</v>
      </c>
      <c r="D10044" t="s">
        <v>16831</v>
      </c>
      <c r="E10044" t="s">
        <v>31576</v>
      </c>
      <c r="F10044">
        <v>1980</v>
      </c>
      <c r="G10044" t="s">
        <v>15147</v>
      </c>
      <c r="H10044" t="s">
        <v>31585</v>
      </c>
      <c r="J10044" t="s">
        <v>31578</v>
      </c>
      <c r="K10044" s="2" t="str">
        <f>HYPERLINK("http://collections.slsa.sa.gov.au/mpcimg/38250/B38110.htm")</f>
        <v>http://collections.slsa.sa.gov.au/mpcimg/38250/B38110.htm</v>
      </c>
    </row>
    <row r="10045" spans="1:11" x14ac:dyDescent="0.25">
      <c r="A10045" t="s">
        <v>31586</v>
      </c>
      <c r="B10045" s="1" t="str">
        <f>HYPERLINK("https://www.catalog.slsa.sa.gov.au/record=b2065182")</f>
        <v>https://www.catalog.slsa.sa.gov.au/record=b2065182</v>
      </c>
      <c r="C10045" s="1" t="str">
        <f>HYPERLINK("https://www.catalog.slsa.sa.gov.au/xrecord=b2065182")</f>
        <v>https://www.catalog.slsa.sa.gov.au/xrecord=b2065182</v>
      </c>
      <c r="D10045" t="s">
        <v>16831</v>
      </c>
      <c r="E10045" t="s">
        <v>31576</v>
      </c>
      <c r="F10045">
        <v>1980</v>
      </c>
      <c r="G10045" t="s">
        <v>15147</v>
      </c>
      <c r="H10045" t="s">
        <v>31587</v>
      </c>
      <c r="J10045" t="s">
        <v>31578</v>
      </c>
      <c r="K10045" s="2" t="str">
        <f>HYPERLINK("http://collections.slsa.sa.gov.au/mpcimg/38250/B38111.htm")</f>
        <v>http://collections.slsa.sa.gov.au/mpcimg/38250/B38111.htm</v>
      </c>
    </row>
    <row r="10046" spans="1:11" x14ac:dyDescent="0.25">
      <c r="A10046" t="s">
        <v>31588</v>
      </c>
      <c r="B10046" s="1" t="str">
        <f>HYPERLINK("https://www.catalog.slsa.sa.gov.au/record=b2065183")</f>
        <v>https://www.catalog.slsa.sa.gov.au/record=b2065183</v>
      </c>
      <c r="C10046" s="1" t="str">
        <f>HYPERLINK("https://www.catalog.slsa.sa.gov.au/xrecord=b2065183")</f>
        <v>https://www.catalog.slsa.sa.gov.au/xrecord=b2065183</v>
      </c>
      <c r="D10046" t="s">
        <v>16831</v>
      </c>
      <c r="E10046" t="s">
        <v>31576</v>
      </c>
      <c r="F10046">
        <v>1980</v>
      </c>
      <c r="G10046" t="s">
        <v>15147</v>
      </c>
      <c r="H10046" t="s">
        <v>31589</v>
      </c>
      <c r="J10046" t="s">
        <v>31578</v>
      </c>
      <c r="K10046" s="2" t="str">
        <f>HYPERLINK("http://collections.slsa.sa.gov.au/mpcimg/38250/B38149.htm")</f>
        <v>http://collections.slsa.sa.gov.au/mpcimg/38250/B38149.htm</v>
      </c>
    </row>
    <row r="10047" spans="1:11" x14ac:dyDescent="0.25">
      <c r="A10047" t="s">
        <v>31590</v>
      </c>
      <c r="B10047" s="1" t="str">
        <f>HYPERLINK("https://www.catalog.slsa.sa.gov.au/record=b2065184")</f>
        <v>https://www.catalog.slsa.sa.gov.au/record=b2065184</v>
      </c>
      <c r="C10047" s="1" t="str">
        <f>HYPERLINK("https://www.catalog.slsa.sa.gov.au/xrecord=b2065184")</f>
        <v>https://www.catalog.slsa.sa.gov.au/xrecord=b2065184</v>
      </c>
      <c r="D10047" t="s">
        <v>16831</v>
      </c>
      <c r="E10047" t="s">
        <v>31576</v>
      </c>
      <c r="F10047">
        <v>1980</v>
      </c>
      <c r="G10047" t="s">
        <v>15147</v>
      </c>
      <c r="H10047" t="s">
        <v>31591</v>
      </c>
      <c r="J10047" t="s">
        <v>31578</v>
      </c>
      <c r="K10047" s="2" t="str">
        <f>HYPERLINK("http://collections.slsa.sa.gov.au/mpcimg/38250/B38150.htm")</f>
        <v>http://collections.slsa.sa.gov.au/mpcimg/38250/B38150.htm</v>
      </c>
    </row>
    <row r="10048" spans="1:11" x14ac:dyDescent="0.25">
      <c r="A10048" t="s">
        <v>31592</v>
      </c>
      <c r="B10048" s="1" t="str">
        <f>HYPERLINK("https://www.catalog.slsa.sa.gov.au/record=b2065185")</f>
        <v>https://www.catalog.slsa.sa.gov.au/record=b2065185</v>
      </c>
      <c r="C10048" s="1" t="str">
        <f>HYPERLINK("https://www.catalog.slsa.sa.gov.au/xrecord=b2065185")</f>
        <v>https://www.catalog.slsa.sa.gov.au/xrecord=b2065185</v>
      </c>
      <c r="D10048" t="s">
        <v>16831</v>
      </c>
      <c r="E10048" t="s">
        <v>31576</v>
      </c>
      <c r="F10048">
        <v>1980</v>
      </c>
      <c r="G10048" t="s">
        <v>15147</v>
      </c>
      <c r="H10048" t="s">
        <v>31593</v>
      </c>
      <c r="J10048" t="s">
        <v>31578</v>
      </c>
      <c r="K10048" s="2" t="str">
        <f>HYPERLINK("http://collections.slsa.sa.gov.au/mpcimg/38250/B38151.htm")</f>
        <v>http://collections.slsa.sa.gov.au/mpcimg/38250/B38151.htm</v>
      </c>
    </row>
    <row r="10049" spans="1:11" x14ac:dyDescent="0.25">
      <c r="A10049" t="s">
        <v>31594</v>
      </c>
      <c r="B10049" s="1" t="str">
        <f>HYPERLINK("https://www.catalog.slsa.sa.gov.au/record=b2065186")</f>
        <v>https://www.catalog.slsa.sa.gov.au/record=b2065186</v>
      </c>
      <c r="C10049" s="1" t="str">
        <f>HYPERLINK("https://www.catalog.slsa.sa.gov.au/xrecord=b2065186")</f>
        <v>https://www.catalog.slsa.sa.gov.au/xrecord=b2065186</v>
      </c>
      <c r="D10049" t="s">
        <v>16831</v>
      </c>
      <c r="E10049" t="s">
        <v>31576</v>
      </c>
      <c r="F10049">
        <v>1980</v>
      </c>
      <c r="G10049" t="s">
        <v>15147</v>
      </c>
      <c r="H10049" t="s">
        <v>31595</v>
      </c>
      <c r="J10049" t="s">
        <v>31578</v>
      </c>
      <c r="K10049" s="2" t="str">
        <f>HYPERLINK("http://collections.slsa.sa.gov.au/mpcimg/38250/B38152.htm")</f>
        <v>http://collections.slsa.sa.gov.au/mpcimg/38250/B38152.htm</v>
      </c>
    </row>
    <row r="10050" spans="1:11" x14ac:dyDescent="0.25">
      <c r="A10050" t="s">
        <v>31596</v>
      </c>
      <c r="B10050" s="1" t="str">
        <f>HYPERLINK("https://www.catalog.slsa.sa.gov.au/record=b2065187")</f>
        <v>https://www.catalog.slsa.sa.gov.au/record=b2065187</v>
      </c>
      <c r="C10050" s="1" t="str">
        <f>HYPERLINK("https://www.catalog.slsa.sa.gov.au/xrecord=b2065187")</f>
        <v>https://www.catalog.slsa.sa.gov.au/xrecord=b2065187</v>
      </c>
      <c r="D10050" t="s">
        <v>16831</v>
      </c>
      <c r="E10050" t="s">
        <v>31576</v>
      </c>
      <c r="F10050">
        <v>1980</v>
      </c>
      <c r="G10050" t="s">
        <v>15147</v>
      </c>
      <c r="H10050" t="s">
        <v>31597</v>
      </c>
      <c r="J10050" t="s">
        <v>31578</v>
      </c>
      <c r="K10050" s="2" t="str">
        <f>HYPERLINK("http://collections.slsa.sa.gov.au/mpcimg/38250/B38153.htm")</f>
        <v>http://collections.slsa.sa.gov.au/mpcimg/38250/B38153.htm</v>
      </c>
    </row>
    <row r="10051" spans="1:11" x14ac:dyDescent="0.25">
      <c r="A10051" t="s">
        <v>31598</v>
      </c>
      <c r="B10051" s="1" t="str">
        <f>HYPERLINK("https://www.catalog.slsa.sa.gov.au/record=b2065188")</f>
        <v>https://www.catalog.slsa.sa.gov.au/record=b2065188</v>
      </c>
      <c r="C10051" s="1" t="str">
        <f>HYPERLINK("https://www.catalog.slsa.sa.gov.au/xrecord=b2065188")</f>
        <v>https://www.catalog.slsa.sa.gov.au/xrecord=b2065188</v>
      </c>
      <c r="D10051" t="s">
        <v>16831</v>
      </c>
      <c r="E10051" t="s">
        <v>31576</v>
      </c>
      <c r="F10051">
        <v>1980</v>
      </c>
      <c r="G10051" t="s">
        <v>15147</v>
      </c>
      <c r="H10051" t="s">
        <v>31599</v>
      </c>
      <c r="J10051" t="s">
        <v>31578</v>
      </c>
      <c r="K10051" s="2" t="str">
        <f>HYPERLINK("http://collections.slsa.sa.gov.au/mpcimg/38250/B38154.htm")</f>
        <v>http://collections.slsa.sa.gov.au/mpcimg/38250/B38154.htm</v>
      </c>
    </row>
    <row r="10052" spans="1:11" x14ac:dyDescent="0.25">
      <c r="A10052" t="s">
        <v>31600</v>
      </c>
      <c r="B10052" s="1" t="str">
        <f>HYPERLINK("https://www.catalog.slsa.sa.gov.au/record=b2065745")</f>
        <v>https://www.catalog.slsa.sa.gov.au/record=b2065745</v>
      </c>
      <c r="C10052" s="1" t="str">
        <f>HYPERLINK("https://www.catalog.slsa.sa.gov.au/xrecord=b2065745")</f>
        <v>https://www.catalog.slsa.sa.gov.au/xrecord=b2065745</v>
      </c>
      <c r="D10052" t="s">
        <v>16831</v>
      </c>
      <c r="E10052" t="s">
        <v>31601</v>
      </c>
      <c r="F10052">
        <v>1980</v>
      </c>
      <c r="G10052" t="s">
        <v>14809</v>
      </c>
      <c r="H10052" t="s">
        <v>31602</v>
      </c>
      <c r="I10052" t="s">
        <v>31603</v>
      </c>
      <c r="J10052" t="s">
        <v>31604</v>
      </c>
      <c r="K10052" s="2" t="str">
        <f>HYPERLINK("http://collections.slsa.sa.gov.au/mpcimg/39000/B38859.htm")</f>
        <v>http://collections.slsa.sa.gov.au/mpcimg/39000/B38859.htm</v>
      </c>
    </row>
    <row r="10053" spans="1:11" x14ac:dyDescent="0.25">
      <c r="A10053" t="s">
        <v>31605</v>
      </c>
      <c r="B10053" s="1" t="str">
        <f>HYPERLINK("https://www.catalog.slsa.sa.gov.au/record=b2065746")</f>
        <v>https://www.catalog.slsa.sa.gov.au/record=b2065746</v>
      </c>
      <c r="C10053" s="1" t="str">
        <f>HYPERLINK("https://www.catalog.slsa.sa.gov.au/xrecord=b2065746")</f>
        <v>https://www.catalog.slsa.sa.gov.au/xrecord=b2065746</v>
      </c>
      <c r="D10053" t="s">
        <v>16831</v>
      </c>
      <c r="E10053" t="s">
        <v>31601</v>
      </c>
      <c r="F10053">
        <v>1980</v>
      </c>
      <c r="G10053" t="s">
        <v>14809</v>
      </c>
      <c r="H10053" t="s">
        <v>31602</v>
      </c>
      <c r="I10053" t="s">
        <v>31603</v>
      </c>
      <c r="J10053" t="s">
        <v>31604</v>
      </c>
      <c r="K10053" s="2" t="str">
        <f>HYPERLINK("http://collections.slsa.sa.gov.au/mpcimg/39000/B38860.htm")</f>
        <v>http://collections.slsa.sa.gov.au/mpcimg/39000/B38860.htm</v>
      </c>
    </row>
    <row r="10054" spans="1:11" x14ac:dyDescent="0.25">
      <c r="A10054" t="s">
        <v>31606</v>
      </c>
      <c r="B10054" s="1" t="str">
        <f>HYPERLINK("https://www.catalog.slsa.sa.gov.au/record=b2065747")</f>
        <v>https://www.catalog.slsa.sa.gov.au/record=b2065747</v>
      </c>
      <c r="C10054" s="1" t="str">
        <f>HYPERLINK("https://www.catalog.slsa.sa.gov.au/xrecord=b2065747")</f>
        <v>https://www.catalog.slsa.sa.gov.au/xrecord=b2065747</v>
      </c>
      <c r="D10054" t="s">
        <v>16831</v>
      </c>
      <c r="E10054" t="s">
        <v>31601</v>
      </c>
      <c r="F10054">
        <v>1980</v>
      </c>
      <c r="G10054" t="s">
        <v>14809</v>
      </c>
      <c r="H10054" t="s">
        <v>31602</v>
      </c>
      <c r="I10054" t="s">
        <v>31603</v>
      </c>
      <c r="J10054" t="s">
        <v>31604</v>
      </c>
      <c r="K10054" s="2" t="str">
        <f>HYPERLINK("http://collections.slsa.sa.gov.au/mpcimg/39000/B38861.htm")</f>
        <v>http://collections.slsa.sa.gov.au/mpcimg/39000/B38861.htm</v>
      </c>
    </row>
    <row r="10055" spans="1:11" x14ac:dyDescent="0.25">
      <c r="A10055" t="s">
        <v>31607</v>
      </c>
      <c r="B10055" s="1" t="str">
        <f>HYPERLINK("https://www.catalog.slsa.sa.gov.au/record=b2065748")</f>
        <v>https://www.catalog.slsa.sa.gov.au/record=b2065748</v>
      </c>
      <c r="C10055" s="1" t="str">
        <f>HYPERLINK("https://www.catalog.slsa.sa.gov.au/xrecord=b2065748")</f>
        <v>https://www.catalog.slsa.sa.gov.au/xrecord=b2065748</v>
      </c>
      <c r="D10055" t="s">
        <v>16831</v>
      </c>
      <c r="E10055" t="s">
        <v>31601</v>
      </c>
      <c r="F10055">
        <v>1980</v>
      </c>
      <c r="G10055" t="s">
        <v>14809</v>
      </c>
      <c r="H10055" t="s">
        <v>31602</v>
      </c>
      <c r="I10055" t="s">
        <v>31603</v>
      </c>
      <c r="J10055" t="s">
        <v>31604</v>
      </c>
      <c r="K10055" s="2" t="str">
        <f>HYPERLINK("http://collections.slsa.sa.gov.au/mpcimg/39000/B38862.htm")</f>
        <v>http://collections.slsa.sa.gov.au/mpcimg/39000/B38862.htm</v>
      </c>
    </row>
    <row r="10056" spans="1:11" x14ac:dyDescent="0.25">
      <c r="A10056" t="s">
        <v>31608</v>
      </c>
      <c r="B10056" s="1" t="str">
        <f>HYPERLINK("https://www.catalog.slsa.sa.gov.au/record=b2065749")</f>
        <v>https://www.catalog.slsa.sa.gov.au/record=b2065749</v>
      </c>
      <c r="C10056" s="1" t="str">
        <f>HYPERLINK("https://www.catalog.slsa.sa.gov.au/xrecord=b2065749")</f>
        <v>https://www.catalog.slsa.sa.gov.au/xrecord=b2065749</v>
      </c>
      <c r="D10056" t="s">
        <v>16831</v>
      </c>
      <c r="E10056" t="s">
        <v>31601</v>
      </c>
      <c r="F10056">
        <v>1980</v>
      </c>
      <c r="G10056" t="s">
        <v>14809</v>
      </c>
      <c r="H10056" t="s">
        <v>31602</v>
      </c>
      <c r="I10056" t="s">
        <v>31603</v>
      </c>
      <c r="J10056" t="s">
        <v>31604</v>
      </c>
      <c r="K10056" s="2" t="str">
        <f>HYPERLINK("http://collections.slsa.sa.gov.au/mpcimg/39000/B38863.htm")</f>
        <v>http://collections.slsa.sa.gov.au/mpcimg/39000/B38863.htm</v>
      </c>
    </row>
    <row r="10057" spans="1:11" x14ac:dyDescent="0.25">
      <c r="A10057" t="s">
        <v>31609</v>
      </c>
      <c r="B10057" s="1" t="str">
        <f>HYPERLINK("https://www.catalog.slsa.sa.gov.au/record=b2065750")</f>
        <v>https://www.catalog.slsa.sa.gov.au/record=b2065750</v>
      </c>
      <c r="C10057" s="1" t="str">
        <f>HYPERLINK("https://www.catalog.slsa.sa.gov.au/xrecord=b2065750")</f>
        <v>https://www.catalog.slsa.sa.gov.au/xrecord=b2065750</v>
      </c>
      <c r="D10057" t="s">
        <v>16831</v>
      </c>
      <c r="E10057" t="s">
        <v>31601</v>
      </c>
      <c r="F10057">
        <v>1980</v>
      </c>
      <c r="G10057" t="s">
        <v>14809</v>
      </c>
      <c r="H10057" t="s">
        <v>31602</v>
      </c>
      <c r="I10057" t="s">
        <v>31603</v>
      </c>
      <c r="J10057" t="s">
        <v>31604</v>
      </c>
      <c r="K10057" s="2" t="str">
        <f>HYPERLINK("http://collections.slsa.sa.gov.au/mpcimg/39000/B38864.htm")</f>
        <v>http://collections.slsa.sa.gov.au/mpcimg/39000/B38864.htm</v>
      </c>
    </row>
    <row r="10058" spans="1:11" x14ac:dyDescent="0.25">
      <c r="A10058" t="s">
        <v>31610</v>
      </c>
      <c r="B10058" s="1" t="str">
        <f>HYPERLINK("https://www.catalog.slsa.sa.gov.au/record=b2065751")</f>
        <v>https://www.catalog.slsa.sa.gov.au/record=b2065751</v>
      </c>
      <c r="C10058" s="1" t="str">
        <f>HYPERLINK("https://www.catalog.slsa.sa.gov.au/xrecord=b2065751")</f>
        <v>https://www.catalog.slsa.sa.gov.au/xrecord=b2065751</v>
      </c>
      <c r="D10058" t="s">
        <v>16831</v>
      </c>
      <c r="E10058" t="s">
        <v>31601</v>
      </c>
      <c r="F10058">
        <v>1980</v>
      </c>
      <c r="G10058" t="s">
        <v>14809</v>
      </c>
      <c r="H10058" t="s">
        <v>31602</v>
      </c>
      <c r="I10058" t="s">
        <v>31603</v>
      </c>
      <c r="J10058" t="s">
        <v>31604</v>
      </c>
      <c r="K10058" s="2" t="str">
        <f>HYPERLINK("http://collections.slsa.sa.gov.au/mpcimg/39000/B38865.htm")</f>
        <v>http://collections.slsa.sa.gov.au/mpcimg/39000/B38865.htm</v>
      </c>
    </row>
    <row r="10059" spans="1:11" x14ac:dyDescent="0.25">
      <c r="A10059" t="s">
        <v>31611</v>
      </c>
      <c r="B10059" s="1" t="str">
        <f>HYPERLINK("https://www.catalog.slsa.sa.gov.au/record=b2065752")</f>
        <v>https://www.catalog.slsa.sa.gov.au/record=b2065752</v>
      </c>
      <c r="C10059" s="1" t="str">
        <f>HYPERLINK("https://www.catalog.slsa.sa.gov.au/xrecord=b2065752")</f>
        <v>https://www.catalog.slsa.sa.gov.au/xrecord=b2065752</v>
      </c>
      <c r="D10059" t="s">
        <v>16831</v>
      </c>
      <c r="E10059" t="s">
        <v>31601</v>
      </c>
      <c r="F10059">
        <v>1980</v>
      </c>
      <c r="G10059" t="s">
        <v>14809</v>
      </c>
      <c r="H10059" t="s">
        <v>31602</v>
      </c>
      <c r="J10059" t="s">
        <v>31604</v>
      </c>
      <c r="K10059" s="2" t="str">
        <f>HYPERLINK("http://collections.slsa.sa.gov.au/mpcimg/39000/B38866.htm")</f>
        <v>http://collections.slsa.sa.gov.au/mpcimg/39000/B38866.htm</v>
      </c>
    </row>
    <row r="10060" spans="1:11" x14ac:dyDescent="0.25">
      <c r="A10060" t="s">
        <v>31612</v>
      </c>
      <c r="B10060" s="1" t="str">
        <f>HYPERLINK("https://www.catalog.slsa.sa.gov.au/record=b2065753")</f>
        <v>https://www.catalog.slsa.sa.gov.au/record=b2065753</v>
      </c>
      <c r="C10060" s="1" t="str">
        <f>HYPERLINK("https://www.catalog.slsa.sa.gov.au/xrecord=b2065753")</f>
        <v>https://www.catalog.slsa.sa.gov.au/xrecord=b2065753</v>
      </c>
      <c r="D10060" t="s">
        <v>16831</v>
      </c>
      <c r="E10060" t="s">
        <v>31601</v>
      </c>
      <c r="F10060">
        <v>1980</v>
      </c>
      <c r="G10060" t="s">
        <v>14809</v>
      </c>
      <c r="H10060" t="s">
        <v>31602</v>
      </c>
      <c r="J10060" t="s">
        <v>31604</v>
      </c>
      <c r="K10060" s="2" t="str">
        <f>HYPERLINK("http://collections.slsa.sa.gov.au/mpcimg/39000/B38867.htm")</f>
        <v>http://collections.slsa.sa.gov.au/mpcimg/39000/B38867.htm</v>
      </c>
    </row>
    <row r="10061" spans="1:11" x14ac:dyDescent="0.25">
      <c r="A10061" t="s">
        <v>31613</v>
      </c>
      <c r="B10061" s="1" t="str">
        <f>HYPERLINK("https://www.catalog.slsa.sa.gov.au/record=b2065754")</f>
        <v>https://www.catalog.slsa.sa.gov.au/record=b2065754</v>
      </c>
      <c r="C10061" s="1" t="str">
        <f>HYPERLINK("https://www.catalog.slsa.sa.gov.au/xrecord=b2065754")</f>
        <v>https://www.catalog.slsa.sa.gov.au/xrecord=b2065754</v>
      </c>
      <c r="D10061" t="s">
        <v>16831</v>
      </c>
      <c r="E10061" t="s">
        <v>31601</v>
      </c>
      <c r="F10061">
        <v>1980</v>
      </c>
      <c r="G10061" t="s">
        <v>14809</v>
      </c>
      <c r="H10061" t="s">
        <v>31602</v>
      </c>
      <c r="J10061" t="s">
        <v>31604</v>
      </c>
      <c r="K10061" s="2" t="str">
        <f>HYPERLINK("http://collections.slsa.sa.gov.au/mpcimg/39000/B38868.htm")</f>
        <v>http://collections.slsa.sa.gov.au/mpcimg/39000/B38868.htm</v>
      </c>
    </row>
    <row r="10062" spans="1:11" x14ac:dyDescent="0.25">
      <c r="A10062" t="s">
        <v>31614</v>
      </c>
      <c r="B10062" s="1" t="str">
        <f>HYPERLINK("https://www.catalog.slsa.sa.gov.au/record=b2065755")</f>
        <v>https://www.catalog.slsa.sa.gov.au/record=b2065755</v>
      </c>
      <c r="C10062" s="1" t="str">
        <f>HYPERLINK("https://www.catalog.slsa.sa.gov.au/xrecord=b2065755")</f>
        <v>https://www.catalog.slsa.sa.gov.au/xrecord=b2065755</v>
      </c>
      <c r="D10062" t="s">
        <v>16831</v>
      </c>
      <c r="E10062" t="s">
        <v>31601</v>
      </c>
      <c r="F10062">
        <v>1980</v>
      </c>
      <c r="G10062" t="s">
        <v>14809</v>
      </c>
      <c r="H10062" t="s">
        <v>31602</v>
      </c>
      <c r="J10062" t="s">
        <v>31604</v>
      </c>
      <c r="K10062" s="2" t="str">
        <f>HYPERLINK("http://collections.slsa.sa.gov.au/mpcimg/39000/B38869.htm")</f>
        <v>http://collections.slsa.sa.gov.au/mpcimg/39000/B38869.htm</v>
      </c>
    </row>
    <row r="10063" spans="1:11" x14ac:dyDescent="0.25">
      <c r="A10063" t="s">
        <v>31615</v>
      </c>
      <c r="B10063" s="1" t="str">
        <f>HYPERLINK("https://www.catalog.slsa.sa.gov.au/record=b2065756")</f>
        <v>https://www.catalog.slsa.sa.gov.au/record=b2065756</v>
      </c>
      <c r="C10063" s="1" t="str">
        <f>HYPERLINK("https://www.catalog.slsa.sa.gov.au/xrecord=b2065756")</f>
        <v>https://www.catalog.slsa.sa.gov.au/xrecord=b2065756</v>
      </c>
      <c r="D10063" t="s">
        <v>16831</v>
      </c>
      <c r="E10063" t="s">
        <v>31601</v>
      </c>
      <c r="F10063">
        <v>1980</v>
      </c>
      <c r="G10063" t="s">
        <v>14809</v>
      </c>
      <c r="H10063" t="s">
        <v>31602</v>
      </c>
      <c r="J10063" t="s">
        <v>31604</v>
      </c>
      <c r="K10063" s="2" t="str">
        <f>HYPERLINK("http://collections.slsa.sa.gov.au/mpcimg/39000/B38870.htm")</f>
        <v>http://collections.slsa.sa.gov.au/mpcimg/39000/B38870.htm</v>
      </c>
    </row>
    <row r="10064" spans="1:11" x14ac:dyDescent="0.25">
      <c r="A10064" t="s">
        <v>31616</v>
      </c>
      <c r="B10064" s="1" t="str">
        <f>HYPERLINK("https://www.catalog.slsa.sa.gov.au/record=b2066516")</f>
        <v>https://www.catalog.slsa.sa.gov.au/record=b2066516</v>
      </c>
      <c r="C10064" s="1" t="str">
        <f>HYPERLINK("https://www.catalog.slsa.sa.gov.au/xrecord=b2066516")</f>
        <v>https://www.catalog.slsa.sa.gov.au/xrecord=b2066516</v>
      </c>
      <c r="D10064" t="s">
        <v>16831</v>
      </c>
      <c r="E10064" t="s">
        <v>31617</v>
      </c>
      <c r="F10064">
        <v>1980</v>
      </c>
      <c r="G10064" t="s">
        <v>14809</v>
      </c>
      <c r="H10064" t="s">
        <v>31618</v>
      </c>
      <c r="J10064" t="s">
        <v>31619</v>
      </c>
      <c r="K10064" s="2" t="str">
        <f>HYPERLINK("http://collections.slsa.sa.gov.au/mpcimg/38750/B38707.htm")</f>
        <v>http://collections.slsa.sa.gov.au/mpcimg/38750/B38707.htm</v>
      </c>
    </row>
    <row r="10065" spans="1:11" x14ac:dyDescent="0.25">
      <c r="A10065" t="s">
        <v>31620</v>
      </c>
      <c r="B10065" s="1" t="str">
        <f>HYPERLINK("https://www.catalog.slsa.sa.gov.au/record=b2066517")</f>
        <v>https://www.catalog.slsa.sa.gov.au/record=b2066517</v>
      </c>
      <c r="C10065" s="1" t="str">
        <f>HYPERLINK("https://www.catalog.slsa.sa.gov.au/xrecord=b2066517")</f>
        <v>https://www.catalog.slsa.sa.gov.au/xrecord=b2066517</v>
      </c>
      <c r="D10065" t="s">
        <v>16831</v>
      </c>
      <c r="E10065" t="s">
        <v>31617</v>
      </c>
      <c r="F10065">
        <v>1980</v>
      </c>
      <c r="G10065" t="s">
        <v>14809</v>
      </c>
      <c r="H10065" t="s">
        <v>31618</v>
      </c>
      <c r="J10065" t="s">
        <v>31619</v>
      </c>
      <c r="K10065" s="2" t="str">
        <f>HYPERLINK("http://collections.slsa.sa.gov.au/mpcimg/38750/B38708.htm")</f>
        <v>http://collections.slsa.sa.gov.au/mpcimg/38750/B38708.htm</v>
      </c>
    </row>
    <row r="10066" spans="1:11" x14ac:dyDescent="0.25">
      <c r="A10066" t="s">
        <v>31621</v>
      </c>
      <c r="B10066" s="1" t="str">
        <f>HYPERLINK("https://www.catalog.slsa.sa.gov.au/record=b2067855")</f>
        <v>https://www.catalog.slsa.sa.gov.au/record=b2067855</v>
      </c>
      <c r="C10066" s="1" t="str">
        <f>HYPERLINK("https://www.catalog.slsa.sa.gov.au/xrecord=b2067855")</f>
        <v>https://www.catalog.slsa.sa.gov.au/xrecord=b2067855</v>
      </c>
      <c r="D10066" t="s">
        <v>16831</v>
      </c>
      <c r="E10066" t="s">
        <v>31622</v>
      </c>
      <c r="F10066">
        <v>1980</v>
      </c>
      <c r="G10066" t="s">
        <v>14809</v>
      </c>
      <c r="H10066" t="s">
        <v>31623</v>
      </c>
      <c r="J10066" t="s">
        <v>30808</v>
      </c>
      <c r="K10066" s="2" t="str">
        <f>HYPERLINK("http://collections.slsa.sa.gov.au/mpcimg/38250/B38001.htm")</f>
        <v>http://collections.slsa.sa.gov.au/mpcimg/38250/B38001.htm</v>
      </c>
    </row>
    <row r="10067" spans="1:11" x14ac:dyDescent="0.25">
      <c r="A10067" t="s">
        <v>31624</v>
      </c>
      <c r="B10067" s="1" t="str">
        <f>HYPERLINK("https://www.catalog.slsa.sa.gov.au/record=b2067856")</f>
        <v>https://www.catalog.slsa.sa.gov.au/record=b2067856</v>
      </c>
      <c r="C10067" s="1" t="str">
        <f>HYPERLINK("https://www.catalog.slsa.sa.gov.au/xrecord=b2067856")</f>
        <v>https://www.catalog.slsa.sa.gov.au/xrecord=b2067856</v>
      </c>
      <c r="D10067" t="s">
        <v>16831</v>
      </c>
      <c r="E10067" t="s">
        <v>31625</v>
      </c>
      <c r="F10067">
        <v>1980</v>
      </c>
      <c r="G10067" t="s">
        <v>14809</v>
      </c>
      <c r="H10067" t="s">
        <v>31626</v>
      </c>
      <c r="J10067" t="s">
        <v>30808</v>
      </c>
      <c r="K10067" s="2" t="str">
        <f>HYPERLINK("http://collections.slsa.sa.gov.au/mpcimg/38750/B38525.htm")</f>
        <v>http://collections.slsa.sa.gov.au/mpcimg/38750/B38525.htm</v>
      </c>
    </row>
    <row r="10068" spans="1:11" x14ac:dyDescent="0.25">
      <c r="A10068" t="s">
        <v>31627</v>
      </c>
      <c r="B10068" s="1" t="str">
        <f>HYPERLINK("https://www.catalog.slsa.sa.gov.au/record=b2067857")</f>
        <v>https://www.catalog.slsa.sa.gov.au/record=b2067857</v>
      </c>
      <c r="C10068" s="1" t="str">
        <f>HYPERLINK("https://www.catalog.slsa.sa.gov.au/xrecord=b2067857")</f>
        <v>https://www.catalog.slsa.sa.gov.au/xrecord=b2067857</v>
      </c>
      <c r="D10068" t="s">
        <v>16831</v>
      </c>
      <c r="E10068" t="s">
        <v>31625</v>
      </c>
      <c r="F10068">
        <v>1980</v>
      </c>
      <c r="G10068" t="s">
        <v>14809</v>
      </c>
      <c r="H10068" t="s">
        <v>31626</v>
      </c>
      <c r="J10068" t="s">
        <v>30808</v>
      </c>
      <c r="K10068" s="2" t="str">
        <f>HYPERLINK("http://collections.slsa.sa.gov.au/mpcimg/38750/B38526.htm")</f>
        <v>http://collections.slsa.sa.gov.au/mpcimg/38750/B38526.htm</v>
      </c>
    </row>
    <row r="10069" spans="1:11" x14ac:dyDescent="0.25">
      <c r="A10069" t="s">
        <v>31628</v>
      </c>
      <c r="B10069" s="1" t="str">
        <f>HYPERLINK("https://www.catalog.slsa.sa.gov.au/record=b2067858")</f>
        <v>https://www.catalog.slsa.sa.gov.au/record=b2067858</v>
      </c>
      <c r="C10069" s="1" t="str">
        <f>HYPERLINK("https://www.catalog.slsa.sa.gov.au/xrecord=b2067858")</f>
        <v>https://www.catalog.slsa.sa.gov.au/xrecord=b2067858</v>
      </c>
      <c r="D10069" t="s">
        <v>16831</v>
      </c>
      <c r="E10069" t="s">
        <v>31625</v>
      </c>
      <c r="F10069">
        <v>1980</v>
      </c>
      <c r="G10069" t="s">
        <v>14809</v>
      </c>
      <c r="H10069" t="s">
        <v>31626</v>
      </c>
      <c r="J10069" t="s">
        <v>30808</v>
      </c>
      <c r="K10069" s="2" t="str">
        <f>HYPERLINK("http://collections.slsa.sa.gov.au/mpcimg/38750/B38527.htm")</f>
        <v>http://collections.slsa.sa.gov.au/mpcimg/38750/B38527.htm</v>
      </c>
    </row>
    <row r="10070" spans="1:11" x14ac:dyDescent="0.25">
      <c r="A10070" t="s">
        <v>31629</v>
      </c>
      <c r="B10070" s="1" t="str">
        <f>HYPERLINK("https://www.catalog.slsa.sa.gov.au/record=b2067859")</f>
        <v>https://www.catalog.slsa.sa.gov.au/record=b2067859</v>
      </c>
      <c r="C10070" s="1" t="str">
        <f>HYPERLINK("https://www.catalog.slsa.sa.gov.au/xrecord=b2067859")</f>
        <v>https://www.catalog.slsa.sa.gov.au/xrecord=b2067859</v>
      </c>
      <c r="D10070" t="s">
        <v>16831</v>
      </c>
      <c r="E10070" t="s">
        <v>30703</v>
      </c>
      <c r="F10070">
        <v>1980</v>
      </c>
      <c r="G10070" t="s">
        <v>14809</v>
      </c>
      <c r="H10070" t="s">
        <v>31630</v>
      </c>
      <c r="J10070" t="s">
        <v>30808</v>
      </c>
      <c r="K10070" s="2" t="str">
        <f>HYPERLINK("http://collections.slsa.sa.gov.au/mpcimg/39000/B38881.htm")</f>
        <v>http://collections.slsa.sa.gov.au/mpcimg/39000/B38881.htm</v>
      </c>
    </row>
    <row r="10071" spans="1:11" x14ac:dyDescent="0.25">
      <c r="A10071" t="s">
        <v>31631</v>
      </c>
      <c r="B10071" s="1" t="str">
        <f>HYPERLINK("https://www.catalog.slsa.sa.gov.au/record=b2067860")</f>
        <v>https://www.catalog.slsa.sa.gov.au/record=b2067860</v>
      </c>
      <c r="C10071" s="1" t="str">
        <f>HYPERLINK("https://www.catalog.slsa.sa.gov.au/xrecord=b2067860")</f>
        <v>https://www.catalog.slsa.sa.gov.au/xrecord=b2067860</v>
      </c>
      <c r="D10071" t="s">
        <v>16831</v>
      </c>
      <c r="E10071" t="s">
        <v>30703</v>
      </c>
      <c r="F10071">
        <v>1980</v>
      </c>
      <c r="G10071" t="s">
        <v>14809</v>
      </c>
      <c r="H10071" t="s">
        <v>31632</v>
      </c>
      <c r="J10071" t="s">
        <v>30808</v>
      </c>
      <c r="K10071" s="2" t="str">
        <f>HYPERLINK("http://collections.slsa.sa.gov.au/mpcimg/39000/B38882.htm")</f>
        <v>http://collections.slsa.sa.gov.au/mpcimg/39000/B38882.htm</v>
      </c>
    </row>
    <row r="10072" spans="1:11" x14ac:dyDescent="0.25">
      <c r="A10072" t="s">
        <v>31633</v>
      </c>
      <c r="B10072" s="1" t="str">
        <f>HYPERLINK("https://www.catalog.slsa.sa.gov.au/record=b2067861")</f>
        <v>https://www.catalog.slsa.sa.gov.au/record=b2067861</v>
      </c>
      <c r="C10072" s="1" t="str">
        <f>HYPERLINK("https://www.catalog.slsa.sa.gov.au/xrecord=b2067861")</f>
        <v>https://www.catalog.slsa.sa.gov.au/xrecord=b2067861</v>
      </c>
      <c r="D10072" t="s">
        <v>16831</v>
      </c>
      <c r="E10072" t="s">
        <v>30703</v>
      </c>
      <c r="F10072">
        <v>1980</v>
      </c>
      <c r="G10072" t="s">
        <v>14809</v>
      </c>
      <c r="H10072" t="s">
        <v>31630</v>
      </c>
      <c r="J10072" t="s">
        <v>30808</v>
      </c>
      <c r="K10072" s="2" t="str">
        <f>HYPERLINK("http://collections.slsa.sa.gov.au/mpcimg/39000/B38883.htm")</f>
        <v>http://collections.slsa.sa.gov.au/mpcimg/39000/B38883.htm</v>
      </c>
    </row>
    <row r="10073" spans="1:11" x14ac:dyDescent="0.25">
      <c r="A10073" t="s">
        <v>31634</v>
      </c>
      <c r="B10073" s="1" t="str">
        <f>HYPERLINK("https://www.catalog.slsa.sa.gov.au/record=b2067862")</f>
        <v>https://www.catalog.slsa.sa.gov.au/record=b2067862</v>
      </c>
      <c r="C10073" s="1" t="str">
        <f>HYPERLINK("https://www.catalog.slsa.sa.gov.au/xrecord=b2067862")</f>
        <v>https://www.catalog.slsa.sa.gov.au/xrecord=b2067862</v>
      </c>
      <c r="D10073" t="s">
        <v>16831</v>
      </c>
      <c r="E10073" t="s">
        <v>30703</v>
      </c>
      <c r="F10073">
        <v>1980</v>
      </c>
      <c r="G10073" t="s">
        <v>14809</v>
      </c>
      <c r="H10073" t="s">
        <v>31630</v>
      </c>
      <c r="J10073" t="s">
        <v>30808</v>
      </c>
      <c r="K10073" s="2" t="str">
        <f>HYPERLINK("http://collections.slsa.sa.gov.au/mpcimg/39000/B38884.htm")</f>
        <v>http://collections.slsa.sa.gov.au/mpcimg/39000/B38884.htm</v>
      </c>
    </row>
    <row r="10074" spans="1:11" x14ac:dyDescent="0.25">
      <c r="A10074" t="s">
        <v>31635</v>
      </c>
      <c r="B10074" s="1" t="str">
        <f>HYPERLINK("https://www.catalog.slsa.sa.gov.au/record=b3120591")</f>
        <v>https://www.catalog.slsa.sa.gov.au/record=b3120591</v>
      </c>
      <c r="C10074" s="1" t="str">
        <f>HYPERLINK("https://www.catalog.slsa.sa.gov.au/xrecord=b3120591")</f>
        <v>https://www.catalog.slsa.sa.gov.au/xrecord=b3120591</v>
      </c>
      <c r="D10074" t="s">
        <v>31636</v>
      </c>
      <c r="E10074" t="s">
        <v>31637</v>
      </c>
      <c r="F10074">
        <v>1980</v>
      </c>
      <c r="G10074" t="s">
        <v>31638</v>
      </c>
      <c r="H10074" t="s">
        <v>31639</v>
      </c>
      <c r="I10074" t="s">
        <v>31640</v>
      </c>
      <c r="J10074" t="s">
        <v>15023</v>
      </c>
      <c r="K10074" s="2" t="str">
        <f>HYPERLINK("http://collections.slsa.sa.gov.au/resource/B+75105")</f>
        <v>http://collections.slsa.sa.gov.au/resource/B+75105</v>
      </c>
    </row>
    <row r="10075" spans="1:11" x14ac:dyDescent="0.25">
      <c r="A10075" t="s">
        <v>31641</v>
      </c>
      <c r="B10075" s="1" t="str">
        <f>HYPERLINK("https://www.catalog.slsa.sa.gov.au/record=b3120596")</f>
        <v>https://www.catalog.slsa.sa.gov.au/record=b3120596</v>
      </c>
      <c r="C10075" s="1" t="str">
        <f>HYPERLINK("https://www.catalog.slsa.sa.gov.au/xrecord=b3120596")</f>
        <v>https://www.catalog.slsa.sa.gov.au/xrecord=b3120596</v>
      </c>
      <c r="D10075" t="s">
        <v>31636</v>
      </c>
      <c r="E10075" t="s">
        <v>31637</v>
      </c>
      <c r="F10075">
        <v>1980</v>
      </c>
      <c r="G10075" t="s">
        <v>31642</v>
      </c>
      <c r="H10075" t="s">
        <v>31643</v>
      </c>
      <c r="I10075" t="s">
        <v>31644</v>
      </c>
      <c r="J10075" t="s">
        <v>15023</v>
      </c>
      <c r="K10075" s="2" t="str">
        <f>HYPERLINK("http://collections.slsa.sa.gov.au/resource/B+75106")</f>
        <v>http://collections.slsa.sa.gov.au/resource/B+75106</v>
      </c>
    </row>
    <row r="10076" spans="1:11" x14ac:dyDescent="0.25">
      <c r="A10076" t="s">
        <v>31645</v>
      </c>
      <c r="B10076" s="1" t="str">
        <f>HYPERLINK("https://www.catalog.slsa.sa.gov.au/record=b2067532")</f>
        <v>https://www.catalog.slsa.sa.gov.au/record=b2067532</v>
      </c>
      <c r="C10076" s="1" t="str">
        <f>HYPERLINK("https://www.catalog.slsa.sa.gov.au/xrecord=b2067532")</f>
        <v>https://www.catalog.slsa.sa.gov.au/xrecord=b2067532</v>
      </c>
      <c r="D10076" t="s">
        <v>16831</v>
      </c>
      <c r="E10076" t="s">
        <v>31646</v>
      </c>
      <c r="F10076" t="s">
        <v>14170</v>
      </c>
      <c r="G10076" t="s">
        <v>31647</v>
      </c>
      <c r="H10076" t="s">
        <v>31648</v>
      </c>
      <c r="J10076" t="s">
        <v>16866</v>
      </c>
      <c r="K10076" s="2" t="str">
        <f>HYPERLINK("http://collections.slsa.sa.gov.au/mpcimg/53500/B53347.htm")</f>
        <v>http://collections.slsa.sa.gov.au/mpcimg/53500/B53347.htm</v>
      </c>
    </row>
    <row r="10077" spans="1:11" x14ac:dyDescent="0.25">
      <c r="A10077" t="s">
        <v>31649</v>
      </c>
      <c r="B10077" s="1" t="str">
        <f>HYPERLINK("https://www.catalog.slsa.sa.gov.au/record=b2843122")</f>
        <v>https://www.catalog.slsa.sa.gov.au/record=b2843122</v>
      </c>
      <c r="C10077" s="1" t="str">
        <f>HYPERLINK("https://www.catalog.slsa.sa.gov.au/xrecord=b2843122")</f>
        <v>https://www.catalog.slsa.sa.gov.au/xrecord=b2843122</v>
      </c>
      <c r="D10077" t="s">
        <v>16831</v>
      </c>
      <c r="E10077" t="s">
        <v>31650</v>
      </c>
      <c r="F10077" t="s">
        <v>31651</v>
      </c>
      <c r="G10077" t="s">
        <v>31652</v>
      </c>
      <c r="H10077" t="s">
        <v>31653</v>
      </c>
      <c r="J10077" t="s">
        <v>27982</v>
      </c>
      <c r="K10077" s="2" t="str">
        <f>HYPERLINK("http://collections.slsa.sa.gov.au/mpcimg/72750/B72593.htm")</f>
        <v>http://collections.slsa.sa.gov.au/mpcimg/72750/B72593.htm</v>
      </c>
    </row>
    <row r="10078" spans="1:11" x14ac:dyDescent="0.25">
      <c r="A10078" t="s">
        <v>31654</v>
      </c>
      <c r="B10078" s="1" t="str">
        <f>HYPERLINK("https://www.catalog.slsa.sa.gov.au/record=b2893340")</f>
        <v>https://www.catalog.slsa.sa.gov.au/record=b2893340</v>
      </c>
      <c r="C10078" s="1" t="str">
        <f>HYPERLINK("https://www.catalog.slsa.sa.gov.au/xrecord=b2893340")</f>
        <v>https://www.catalog.slsa.sa.gov.au/xrecord=b2893340</v>
      </c>
      <c r="D10078" t="s">
        <v>31655</v>
      </c>
      <c r="E10078" t="s">
        <v>31656</v>
      </c>
      <c r="F10078" t="s">
        <v>31651</v>
      </c>
      <c r="G10078" t="s">
        <v>31657</v>
      </c>
      <c r="H10078" t="s">
        <v>31658</v>
      </c>
      <c r="J10078" t="s">
        <v>31659</v>
      </c>
      <c r="K10078" s="2" t="str">
        <f>HYPERLINK("http://collections.slsa.sa.gov.au/resource/B+72790/62")</f>
        <v>http://collections.slsa.sa.gov.au/resource/B+72790/62</v>
      </c>
    </row>
    <row r="10079" spans="1:11" x14ac:dyDescent="0.25">
      <c r="A10079" t="s">
        <v>31660</v>
      </c>
      <c r="B10079" s="1" t="str">
        <f>HYPERLINK("https://www.catalog.slsa.sa.gov.au/record=b3017237")</f>
        <v>https://www.catalog.slsa.sa.gov.au/record=b3017237</v>
      </c>
      <c r="C10079" s="1" t="str">
        <f>HYPERLINK("https://www.catalog.slsa.sa.gov.au/xrecord=b3017237")</f>
        <v>https://www.catalog.slsa.sa.gov.au/xrecord=b3017237</v>
      </c>
      <c r="D10079" t="s">
        <v>18855</v>
      </c>
      <c r="E10079" t="s">
        <v>31661</v>
      </c>
      <c r="F10079" t="s">
        <v>31662</v>
      </c>
      <c r="G10079" t="s">
        <v>31663</v>
      </c>
      <c r="H10079" t="s">
        <v>31664</v>
      </c>
      <c r="I10079" t="s">
        <v>18868</v>
      </c>
      <c r="J10079" t="s">
        <v>2510</v>
      </c>
      <c r="K10079" s="2" t="str">
        <f>HYPERLINK("http://collections.slsa.sa.gov.au/resource/B+74130/9")</f>
        <v>http://collections.slsa.sa.gov.au/resource/B+74130/9</v>
      </c>
    </row>
    <row r="10080" spans="1:11" x14ac:dyDescent="0.25">
      <c r="A10080" t="s">
        <v>31665</v>
      </c>
      <c r="B10080" s="1" t="str">
        <f>HYPERLINK("https://www.catalog.slsa.sa.gov.au/record=b2055260")</f>
        <v>https://www.catalog.slsa.sa.gov.au/record=b2055260</v>
      </c>
      <c r="C10080" s="1" t="str">
        <f>HYPERLINK("https://www.catalog.slsa.sa.gov.au/xrecord=b2055260")</f>
        <v>https://www.catalog.slsa.sa.gov.au/xrecord=b2055260</v>
      </c>
      <c r="D10080" t="s">
        <v>16831</v>
      </c>
      <c r="E10080" t="s">
        <v>30703</v>
      </c>
      <c r="F10080">
        <v>1981</v>
      </c>
      <c r="G10080" t="s">
        <v>14809</v>
      </c>
      <c r="H10080" t="s">
        <v>31666</v>
      </c>
      <c r="J10080" t="s">
        <v>20897</v>
      </c>
      <c r="K10080" s="2" t="str">
        <f>HYPERLINK("http://collections.slsa.sa.gov.au/mpcimg/40000/B39888.htm")</f>
        <v>http://collections.slsa.sa.gov.au/mpcimg/40000/B39888.htm</v>
      </c>
    </row>
    <row r="10081" spans="1:11" x14ac:dyDescent="0.25">
      <c r="A10081" t="s">
        <v>31667</v>
      </c>
      <c r="B10081" s="1" t="str">
        <f>HYPERLINK("https://www.catalog.slsa.sa.gov.au/record=b2055261")</f>
        <v>https://www.catalog.slsa.sa.gov.au/record=b2055261</v>
      </c>
      <c r="C10081" s="1" t="str">
        <f>HYPERLINK("https://www.catalog.slsa.sa.gov.au/xrecord=b2055261")</f>
        <v>https://www.catalog.slsa.sa.gov.au/xrecord=b2055261</v>
      </c>
      <c r="D10081" t="s">
        <v>16831</v>
      </c>
      <c r="E10081" t="s">
        <v>30703</v>
      </c>
      <c r="F10081">
        <v>1981</v>
      </c>
      <c r="G10081" t="s">
        <v>14809</v>
      </c>
      <c r="H10081" t="s">
        <v>31668</v>
      </c>
      <c r="J10081" t="s">
        <v>20897</v>
      </c>
      <c r="K10081" s="2" t="str">
        <f>HYPERLINK("http://collections.slsa.sa.gov.au/mpcimg/40000/B39889.htm")</f>
        <v>http://collections.slsa.sa.gov.au/mpcimg/40000/B39889.htm</v>
      </c>
    </row>
    <row r="10082" spans="1:11" x14ac:dyDescent="0.25">
      <c r="A10082" t="s">
        <v>31669</v>
      </c>
      <c r="B10082" s="1" t="str">
        <f>HYPERLINK("https://www.catalog.slsa.sa.gov.au/record=b2055262")</f>
        <v>https://www.catalog.slsa.sa.gov.au/record=b2055262</v>
      </c>
      <c r="C10082" s="1" t="str">
        <f>HYPERLINK("https://www.catalog.slsa.sa.gov.au/xrecord=b2055262")</f>
        <v>https://www.catalog.slsa.sa.gov.au/xrecord=b2055262</v>
      </c>
      <c r="D10082" t="s">
        <v>16831</v>
      </c>
      <c r="E10082" t="s">
        <v>30703</v>
      </c>
      <c r="F10082">
        <v>1981</v>
      </c>
      <c r="G10082" t="s">
        <v>14809</v>
      </c>
      <c r="H10082" t="s">
        <v>31670</v>
      </c>
      <c r="J10082" t="s">
        <v>20897</v>
      </c>
      <c r="K10082" s="2" t="str">
        <f>HYPERLINK("http://collections.slsa.sa.gov.au/mpcimg/40000/B39890.htm")</f>
        <v>http://collections.slsa.sa.gov.au/mpcimg/40000/B39890.htm</v>
      </c>
    </row>
    <row r="10083" spans="1:11" x14ac:dyDescent="0.25">
      <c r="A10083" t="s">
        <v>31671</v>
      </c>
      <c r="B10083" s="1" t="str">
        <f>HYPERLINK("https://www.catalog.slsa.sa.gov.au/record=b2055263")</f>
        <v>https://www.catalog.slsa.sa.gov.au/record=b2055263</v>
      </c>
      <c r="C10083" s="1" t="str">
        <f>HYPERLINK("https://www.catalog.slsa.sa.gov.au/xrecord=b2055263")</f>
        <v>https://www.catalog.slsa.sa.gov.au/xrecord=b2055263</v>
      </c>
      <c r="D10083" t="s">
        <v>16831</v>
      </c>
      <c r="E10083" t="s">
        <v>30703</v>
      </c>
      <c r="F10083">
        <v>1981</v>
      </c>
      <c r="G10083" t="s">
        <v>14809</v>
      </c>
      <c r="H10083" t="s">
        <v>31672</v>
      </c>
      <c r="J10083" t="s">
        <v>20897</v>
      </c>
      <c r="K10083" s="2" t="str">
        <f>HYPERLINK("http://collections.slsa.sa.gov.au/mpcimg/40000/B39891.htm")</f>
        <v>http://collections.slsa.sa.gov.au/mpcimg/40000/B39891.htm</v>
      </c>
    </row>
    <row r="10084" spans="1:11" x14ac:dyDescent="0.25">
      <c r="A10084" t="s">
        <v>31673</v>
      </c>
      <c r="B10084" s="1" t="str">
        <f>HYPERLINK("https://www.catalog.slsa.sa.gov.au/record=b2056459")</f>
        <v>https://www.catalog.slsa.sa.gov.au/record=b2056459</v>
      </c>
      <c r="C10084" s="1" t="str">
        <f>HYPERLINK("https://www.catalog.slsa.sa.gov.au/xrecord=b2056459")</f>
        <v>https://www.catalog.slsa.sa.gov.au/xrecord=b2056459</v>
      </c>
      <c r="D10084" t="s">
        <v>16831</v>
      </c>
      <c r="E10084" t="s">
        <v>31674</v>
      </c>
      <c r="F10084">
        <v>1981</v>
      </c>
      <c r="G10084" t="s">
        <v>14809</v>
      </c>
      <c r="H10084" t="s">
        <v>31675</v>
      </c>
      <c r="J10084" t="s">
        <v>20914</v>
      </c>
      <c r="K10084" s="2" t="str">
        <f>HYPERLINK("http://collections.slsa.sa.gov.au/mpcimg/39250/B39140.htm")</f>
        <v>http://collections.slsa.sa.gov.au/mpcimg/39250/B39140.htm</v>
      </c>
    </row>
    <row r="10085" spans="1:11" x14ac:dyDescent="0.25">
      <c r="A10085" t="s">
        <v>31676</v>
      </c>
      <c r="B10085" s="1" t="str">
        <f>HYPERLINK("https://www.catalog.slsa.sa.gov.au/record=b2056460")</f>
        <v>https://www.catalog.slsa.sa.gov.au/record=b2056460</v>
      </c>
      <c r="C10085" s="1" t="str">
        <f>HYPERLINK("https://www.catalog.slsa.sa.gov.au/xrecord=b2056460")</f>
        <v>https://www.catalog.slsa.sa.gov.au/xrecord=b2056460</v>
      </c>
      <c r="D10085" t="s">
        <v>16831</v>
      </c>
      <c r="E10085" t="s">
        <v>31677</v>
      </c>
      <c r="F10085">
        <v>1981</v>
      </c>
      <c r="G10085" t="s">
        <v>14809</v>
      </c>
      <c r="H10085" t="s">
        <v>31678</v>
      </c>
      <c r="J10085" t="s">
        <v>20914</v>
      </c>
      <c r="K10085" s="2" t="str">
        <f>HYPERLINK("http://collections.slsa.sa.gov.au/mpcimg/39500/B39402.htm")</f>
        <v>http://collections.slsa.sa.gov.au/mpcimg/39500/B39402.htm</v>
      </c>
    </row>
    <row r="10086" spans="1:11" x14ac:dyDescent="0.25">
      <c r="A10086" t="s">
        <v>31679</v>
      </c>
      <c r="B10086" s="1" t="str">
        <f>HYPERLINK("https://www.catalog.slsa.sa.gov.au/record=b2056461")</f>
        <v>https://www.catalog.slsa.sa.gov.au/record=b2056461</v>
      </c>
      <c r="C10086" s="1" t="str">
        <f>HYPERLINK("https://www.catalog.slsa.sa.gov.au/xrecord=b2056461")</f>
        <v>https://www.catalog.slsa.sa.gov.au/xrecord=b2056461</v>
      </c>
      <c r="D10086" t="s">
        <v>16831</v>
      </c>
      <c r="E10086" t="s">
        <v>31680</v>
      </c>
      <c r="F10086">
        <v>1981</v>
      </c>
      <c r="G10086" t="s">
        <v>14809</v>
      </c>
      <c r="H10086" t="s">
        <v>31681</v>
      </c>
      <c r="J10086" t="s">
        <v>20914</v>
      </c>
      <c r="K10086" s="2" t="str">
        <f>HYPERLINK("http://collections.slsa.sa.gov.au/mpcimg/39500/B39474.htm")</f>
        <v>http://collections.slsa.sa.gov.au/mpcimg/39500/B39474.htm</v>
      </c>
    </row>
    <row r="10087" spans="1:11" x14ac:dyDescent="0.25">
      <c r="A10087" t="s">
        <v>31682</v>
      </c>
      <c r="B10087" s="1" t="str">
        <f>HYPERLINK("https://www.catalog.slsa.sa.gov.au/record=b2056517")</f>
        <v>https://www.catalog.slsa.sa.gov.au/record=b2056517</v>
      </c>
      <c r="C10087" s="1" t="str">
        <f>HYPERLINK("https://www.catalog.slsa.sa.gov.au/xrecord=b2056517")</f>
        <v>https://www.catalog.slsa.sa.gov.au/xrecord=b2056517</v>
      </c>
      <c r="D10087" t="s">
        <v>16831</v>
      </c>
      <c r="E10087" t="s">
        <v>30703</v>
      </c>
      <c r="F10087">
        <v>1981</v>
      </c>
      <c r="G10087" t="s">
        <v>14809</v>
      </c>
      <c r="H10087" t="s">
        <v>31683</v>
      </c>
      <c r="J10087" t="s">
        <v>17605</v>
      </c>
      <c r="K10087" s="2" t="str">
        <f>HYPERLINK("http://collections.slsa.sa.gov.au/mpcimg/39500/B39403.htm")</f>
        <v>http://collections.slsa.sa.gov.au/mpcimg/39500/B39403.htm</v>
      </c>
    </row>
    <row r="10088" spans="1:11" x14ac:dyDescent="0.25">
      <c r="A10088" t="s">
        <v>31684</v>
      </c>
      <c r="B10088" s="1" t="str">
        <f>HYPERLINK("https://www.catalog.slsa.sa.gov.au/record=b2056518")</f>
        <v>https://www.catalog.slsa.sa.gov.au/record=b2056518</v>
      </c>
      <c r="C10088" s="1" t="str">
        <f>HYPERLINK("https://www.catalog.slsa.sa.gov.au/xrecord=b2056518")</f>
        <v>https://www.catalog.slsa.sa.gov.au/xrecord=b2056518</v>
      </c>
      <c r="D10088" t="s">
        <v>16831</v>
      </c>
      <c r="E10088" t="s">
        <v>30703</v>
      </c>
      <c r="F10088">
        <v>1981</v>
      </c>
      <c r="G10088" t="s">
        <v>31685</v>
      </c>
      <c r="H10088" t="s">
        <v>31686</v>
      </c>
      <c r="J10088" t="s">
        <v>17605</v>
      </c>
      <c r="K10088" s="2" t="str">
        <f>HYPERLINK("http://collections.slsa.sa.gov.au/mpcimg/40500/B40378.htm")</f>
        <v>http://collections.slsa.sa.gov.au/mpcimg/40500/B40378.htm</v>
      </c>
    </row>
    <row r="10089" spans="1:11" x14ac:dyDescent="0.25">
      <c r="A10089" t="s">
        <v>31687</v>
      </c>
      <c r="B10089" s="1" t="str">
        <f>HYPERLINK("https://www.catalog.slsa.sa.gov.au/record=b2056519")</f>
        <v>https://www.catalog.slsa.sa.gov.au/record=b2056519</v>
      </c>
      <c r="C10089" s="1" t="str">
        <f>HYPERLINK("https://www.catalog.slsa.sa.gov.au/xrecord=b2056519")</f>
        <v>https://www.catalog.slsa.sa.gov.au/xrecord=b2056519</v>
      </c>
      <c r="D10089" t="s">
        <v>16831</v>
      </c>
      <c r="E10089" t="s">
        <v>30703</v>
      </c>
      <c r="F10089">
        <v>1981</v>
      </c>
      <c r="G10089" t="s">
        <v>31688</v>
      </c>
      <c r="H10089" t="s">
        <v>31686</v>
      </c>
      <c r="J10089" t="s">
        <v>17605</v>
      </c>
      <c r="K10089" s="2" t="str">
        <f>HYPERLINK("http://collections.slsa.sa.gov.au/mpcimg/40500/B40379.htm")</f>
        <v>http://collections.slsa.sa.gov.au/mpcimg/40500/B40379.htm</v>
      </c>
    </row>
    <row r="10090" spans="1:11" x14ac:dyDescent="0.25">
      <c r="A10090" t="s">
        <v>31689</v>
      </c>
      <c r="B10090" s="1" t="str">
        <f>HYPERLINK("https://www.catalog.slsa.sa.gov.au/record=b2059410")</f>
        <v>https://www.catalog.slsa.sa.gov.au/record=b2059410</v>
      </c>
      <c r="C10090" s="1" t="str">
        <f>HYPERLINK("https://www.catalog.slsa.sa.gov.au/xrecord=b2059410")</f>
        <v>https://www.catalog.slsa.sa.gov.au/xrecord=b2059410</v>
      </c>
      <c r="D10090" t="s">
        <v>16831</v>
      </c>
      <c r="E10090" t="s">
        <v>31690</v>
      </c>
      <c r="F10090">
        <v>1981</v>
      </c>
      <c r="G10090" t="s">
        <v>22565</v>
      </c>
      <c r="H10090" t="s">
        <v>31691</v>
      </c>
      <c r="J10090" t="s">
        <v>30272</v>
      </c>
      <c r="K10090" s="2" t="str">
        <f>HYPERLINK("http://collections.slsa.sa.gov.au/mpcimg/40000/B39755.htm")</f>
        <v>http://collections.slsa.sa.gov.au/mpcimg/40000/B39755.htm</v>
      </c>
    </row>
    <row r="10091" spans="1:11" x14ac:dyDescent="0.25">
      <c r="A10091" t="s">
        <v>31692</v>
      </c>
      <c r="B10091" s="1" t="str">
        <f>HYPERLINK("https://www.catalog.slsa.sa.gov.au/record=b2059430")</f>
        <v>https://www.catalog.slsa.sa.gov.au/record=b2059430</v>
      </c>
      <c r="C10091" s="1" t="str">
        <f>HYPERLINK("https://www.catalog.slsa.sa.gov.au/xrecord=b2059430")</f>
        <v>https://www.catalog.slsa.sa.gov.au/xrecord=b2059430</v>
      </c>
      <c r="D10091" t="s">
        <v>16831</v>
      </c>
      <c r="E10091" t="s">
        <v>25893</v>
      </c>
      <c r="F10091">
        <v>1981</v>
      </c>
      <c r="G10091" t="s">
        <v>22565</v>
      </c>
      <c r="H10091" t="s">
        <v>31693</v>
      </c>
      <c r="J10091" t="s">
        <v>25895</v>
      </c>
      <c r="K10091" s="2" t="str">
        <f>HYPERLINK("http://collections.slsa.sa.gov.au/mpcimg/40000/B39768.htm")</f>
        <v>http://collections.slsa.sa.gov.au/mpcimg/40000/B39768.htm</v>
      </c>
    </row>
    <row r="10092" spans="1:11" x14ac:dyDescent="0.25">
      <c r="A10092" t="s">
        <v>31694</v>
      </c>
      <c r="B10092" s="1" t="str">
        <f>HYPERLINK("https://www.catalog.slsa.sa.gov.au/record=b2059432")</f>
        <v>https://www.catalog.slsa.sa.gov.au/record=b2059432</v>
      </c>
      <c r="C10092" s="1" t="str">
        <f>HYPERLINK("https://www.catalog.slsa.sa.gov.au/xrecord=b2059432")</f>
        <v>https://www.catalog.slsa.sa.gov.au/xrecord=b2059432</v>
      </c>
      <c r="D10092" t="s">
        <v>16831</v>
      </c>
      <c r="E10092" t="s">
        <v>25893</v>
      </c>
      <c r="F10092">
        <v>1981</v>
      </c>
      <c r="G10092" t="s">
        <v>14809</v>
      </c>
      <c r="H10092" t="s">
        <v>31695</v>
      </c>
      <c r="J10092" t="s">
        <v>25895</v>
      </c>
      <c r="K10092" s="2" t="str">
        <f>HYPERLINK("http://collections.slsa.sa.gov.au/mpcimg/40000/B39769.htm")</f>
        <v>http://collections.slsa.sa.gov.au/mpcimg/40000/B39769.htm</v>
      </c>
    </row>
    <row r="10093" spans="1:11" x14ac:dyDescent="0.25">
      <c r="A10093" t="s">
        <v>31696</v>
      </c>
      <c r="B10093" s="1" t="str">
        <f>HYPERLINK("https://www.catalog.slsa.sa.gov.au/record=b2059595")</f>
        <v>https://www.catalog.slsa.sa.gov.au/record=b2059595</v>
      </c>
      <c r="C10093" s="1" t="str">
        <f>HYPERLINK("https://www.catalog.slsa.sa.gov.au/xrecord=b2059595")</f>
        <v>https://www.catalog.slsa.sa.gov.au/xrecord=b2059595</v>
      </c>
      <c r="D10093" t="s">
        <v>16831</v>
      </c>
      <c r="E10093" t="s">
        <v>31697</v>
      </c>
      <c r="F10093">
        <v>1981</v>
      </c>
      <c r="G10093" t="s">
        <v>14809</v>
      </c>
      <c r="H10093" t="s">
        <v>31698</v>
      </c>
      <c r="J10093" t="s">
        <v>25390</v>
      </c>
      <c r="K10093" s="2" t="str">
        <f>HYPERLINK("http://collections.slsa.sa.gov.au/mpcimg/39500/B39292.htm")</f>
        <v>http://collections.slsa.sa.gov.au/mpcimg/39500/B39292.htm</v>
      </c>
    </row>
    <row r="10094" spans="1:11" x14ac:dyDescent="0.25">
      <c r="A10094" t="s">
        <v>31699</v>
      </c>
      <c r="B10094" s="1" t="str">
        <f>HYPERLINK("https://www.catalog.slsa.sa.gov.au/record=b2059596")</f>
        <v>https://www.catalog.slsa.sa.gov.au/record=b2059596</v>
      </c>
      <c r="C10094" s="1" t="str">
        <f>HYPERLINK("https://www.catalog.slsa.sa.gov.au/xrecord=b2059596")</f>
        <v>https://www.catalog.slsa.sa.gov.au/xrecord=b2059596</v>
      </c>
      <c r="D10094" t="s">
        <v>16831</v>
      </c>
      <c r="E10094" t="s">
        <v>31697</v>
      </c>
      <c r="F10094">
        <v>1981</v>
      </c>
      <c r="G10094" t="s">
        <v>14809</v>
      </c>
      <c r="H10094" t="s">
        <v>31700</v>
      </c>
      <c r="J10094" t="s">
        <v>25390</v>
      </c>
      <c r="K10094" s="2" t="str">
        <f>HYPERLINK("http://collections.slsa.sa.gov.au/mpcimg/39500/B39293.htm")</f>
        <v>http://collections.slsa.sa.gov.au/mpcimg/39500/B39293.htm</v>
      </c>
    </row>
    <row r="10095" spans="1:11" x14ac:dyDescent="0.25">
      <c r="A10095" t="s">
        <v>31701</v>
      </c>
      <c r="B10095" s="1" t="str">
        <f>HYPERLINK("https://www.catalog.slsa.sa.gov.au/record=b2059689")</f>
        <v>https://www.catalog.slsa.sa.gov.au/record=b2059689</v>
      </c>
      <c r="C10095" s="1" t="str">
        <f>HYPERLINK("https://www.catalog.slsa.sa.gov.au/xrecord=b2059689")</f>
        <v>https://www.catalog.slsa.sa.gov.au/xrecord=b2059689</v>
      </c>
      <c r="D10095" t="s">
        <v>16831</v>
      </c>
      <c r="E10095" t="s">
        <v>31702</v>
      </c>
      <c r="F10095">
        <v>1981</v>
      </c>
      <c r="G10095" t="s">
        <v>14809</v>
      </c>
      <c r="H10095" t="s">
        <v>31703</v>
      </c>
      <c r="J10095" t="s">
        <v>24237</v>
      </c>
      <c r="K10095" s="2" t="str">
        <f>HYPERLINK("http://collections.slsa.sa.gov.au/mpcimg/39500/B39407.htm")</f>
        <v>http://collections.slsa.sa.gov.au/mpcimg/39500/B39407.htm</v>
      </c>
    </row>
    <row r="10096" spans="1:11" x14ac:dyDescent="0.25">
      <c r="A10096" t="s">
        <v>31704</v>
      </c>
      <c r="B10096" s="1" t="str">
        <f>HYPERLINK("https://www.catalog.slsa.sa.gov.au/record=b2059824")</f>
        <v>https://www.catalog.slsa.sa.gov.au/record=b2059824</v>
      </c>
      <c r="C10096" s="1" t="str">
        <f>HYPERLINK("https://www.catalog.slsa.sa.gov.au/xrecord=b2059824")</f>
        <v>https://www.catalog.slsa.sa.gov.au/xrecord=b2059824</v>
      </c>
      <c r="D10096" t="s">
        <v>16831</v>
      </c>
      <c r="E10096" t="s">
        <v>22862</v>
      </c>
      <c r="F10096">
        <v>1981</v>
      </c>
      <c r="G10096" t="s">
        <v>14809</v>
      </c>
      <c r="H10096" t="s">
        <v>31705</v>
      </c>
      <c r="J10096" t="s">
        <v>21039</v>
      </c>
      <c r="K10096" s="2" t="str">
        <f>HYPERLINK("http://collections.slsa.sa.gov.au/mpcimg/39750/B39614.htm")</f>
        <v>http://collections.slsa.sa.gov.au/mpcimg/39750/B39614.htm</v>
      </c>
    </row>
    <row r="10097" spans="1:11" x14ac:dyDescent="0.25">
      <c r="A10097" t="s">
        <v>31706</v>
      </c>
      <c r="B10097" s="1" t="str">
        <f>HYPERLINK("https://www.catalog.slsa.sa.gov.au/record=b2059919")</f>
        <v>https://www.catalog.slsa.sa.gov.au/record=b2059919</v>
      </c>
      <c r="C10097" s="1" t="str">
        <f>HYPERLINK("https://www.catalog.slsa.sa.gov.au/xrecord=b2059919")</f>
        <v>https://www.catalog.slsa.sa.gov.au/xrecord=b2059919</v>
      </c>
      <c r="D10097" t="s">
        <v>16831</v>
      </c>
      <c r="E10097" t="s">
        <v>31707</v>
      </c>
      <c r="F10097">
        <v>1981</v>
      </c>
      <c r="G10097" t="s">
        <v>14809</v>
      </c>
      <c r="H10097" t="s">
        <v>31708</v>
      </c>
      <c r="J10097" t="s">
        <v>28063</v>
      </c>
      <c r="K10097" s="2" t="str">
        <f>HYPERLINK("http://collections.slsa.sa.gov.au/mpcimg/39500/B39410.htm")</f>
        <v>http://collections.slsa.sa.gov.au/mpcimg/39500/B39410.htm</v>
      </c>
    </row>
    <row r="10098" spans="1:11" x14ac:dyDescent="0.25">
      <c r="A10098" t="s">
        <v>31709</v>
      </c>
      <c r="B10098" s="1" t="str">
        <f>HYPERLINK("https://www.catalog.slsa.sa.gov.au/record=b2059920")</f>
        <v>https://www.catalog.slsa.sa.gov.au/record=b2059920</v>
      </c>
      <c r="C10098" s="1" t="str">
        <f>HYPERLINK("https://www.catalog.slsa.sa.gov.au/xrecord=b2059920")</f>
        <v>https://www.catalog.slsa.sa.gov.au/xrecord=b2059920</v>
      </c>
      <c r="D10098" t="s">
        <v>16831</v>
      </c>
      <c r="E10098" t="s">
        <v>31710</v>
      </c>
      <c r="F10098">
        <v>1981</v>
      </c>
      <c r="G10098" t="s">
        <v>14809</v>
      </c>
      <c r="H10098" t="s">
        <v>31711</v>
      </c>
      <c r="J10098" t="s">
        <v>28063</v>
      </c>
      <c r="K10098" s="2" t="str">
        <f>HYPERLINK("http://collections.slsa.sa.gov.au/mpcimg/39500/B39460.htm")</f>
        <v>http://collections.slsa.sa.gov.au/mpcimg/39500/B39460.htm</v>
      </c>
    </row>
    <row r="10099" spans="1:11" x14ac:dyDescent="0.25">
      <c r="A10099" t="s">
        <v>31712</v>
      </c>
      <c r="B10099" s="1" t="str">
        <f>HYPERLINK("https://www.catalog.slsa.sa.gov.au/record=b2059921")</f>
        <v>https://www.catalog.slsa.sa.gov.au/record=b2059921</v>
      </c>
      <c r="C10099" s="1" t="str">
        <f>HYPERLINK("https://www.catalog.slsa.sa.gov.au/xrecord=b2059921")</f>
        <v>https://www.catalog.slsa.sa.gov.au/xrecord=b2059921</v>
      </c>
      <c r="D10099" t="s">
        <v>16831</v>
      </c>
      <c r="E10099" t="s">
        <v>31710</v>
      </c>
      <c r="F10099">
        <v>1981</v>
      </c>
      <c r="G10099" t="s">
        <v>14809</v>
      </c>
      <c r="H10099" t="s">
        <v>31713</v>
      </c>
      <c r="J10099" t="s">
        <v>28063</v>
      </c>
      <c r="K10099" s="2" t="str">
        <f>HYPERLINK("http://collections.slsa.sa.gov.au/mpcimg/39500/B39461.htm")</f>
        <v>http://collections.slsa.sa.gov.au/mpcimg/39500/B39461.htm</v>
      </c>
    </row>
    <row r="10100" spans="1:11" x14ac:dyDescent="0.25">
      <c r="A10100" t="s">
        <v>31714</v>
      </c>
      <c r="B10100" s="1" t="str">
        <f>HYPERLINK("https://www.catalog.slsa.sa.gov.au/record=b2059973")</f>
        <v>https://www.catalog.slsa.sa.gov.au/record=b2059973</v>
      </c>
      <c r="C10100" s="1" t="str">
        <f>HYPERLINK("https://www.catalog.slsa.sa.gov.au/xrecord=b2059973")</f>
        <v>https://www.catalog.slsa.sa.gov.au/xrecord=b2059973</v>
      </c>
      <c r="D10100" t="s">
        <v>16831</v>
      </c>
      <c r="E10100" t="s">
        <v>20100</v>
      </c>
      <c r="F10100">
        <v>1981</v>
      </c>
      <c r="G10100" t="s">
        <v>15147</v>
      </c>
      <c r="H10100" t="s">
        <v>31715</v>
      </c>
      <c r="J10100" t="s">
        <v>21055</v>
      </c>
      <c r="K10100" s="2" t="str">
        <f>HYPERLINK("http://collections.slsa.sa.gov.au/mpcimg/39500/B39306.htm")</f>
        <v>http://collections.slsa.sa.gov.au/mpcimg/39500/B39306.htm</v>
      </c>
    </row>
    <row r="10101" spans="1:11" x14ac:dyDescent="0.25">
      <c r="A10101" t="s">
        <v>31716</v>
      </c>
      <c r="B10101" s="1" t="str">
        <f>HYPERLINK("https://www.catalog.slsa.sa.gov.au/record=b2060809")</f>
        <v>https://www.catalog.slsa.sa.gov.au/record=b2060809</v>
      </c>
      <c r="C10101" s="1" t="str">
        <f>HYPERLINK("https://www.catalog.slsa.sa.gov.au/xrecord=b2060809")</f>
        <v>https://www.catalog.slsa.sa.gov.au/xrecord=b2060809</v>
      </c>
      <c r="D10101" t="s">
        <v>16831</v>
      </c>
      <c r="E10101" t="s">
        <v>31717</v>
      </c>
      <c r="F10101">
        <v>1981</v>
      </c>
      <c r="G10101" t="s">
        <v>14809</v>
      </c>
      <c r="H10101" t="s">
        <v>31718</v>
      </c>
      <c r="J10101" t="s">
        <v>27144</v>
      </c>
      <c r="K10101" s="2" t="str">
        <f>HYPERLINK("http://collections.slsa.sa.gov.au/mpcimg/39750/B39631.htm")</f>
        <v>http://collections.slsa.sa.gov.au/mpcimg/39750/B39631.htm</v>
      </c>
    </row>
    <row r="10102" spans="1:11" x14ac:dyDescent="0.25">
      <c r="A10102" t="s">
        <v>31719</v>
      </c>
      <c r="B10102" s="1" t="str">
        <f>HYPERLINK("https://www.catalog.slsa.sa.gov.au/record=b2060810")</f>
        <v>https://www.catalog.slsa.sa.gov.au/record=b2060810</v>
      </c>
      <c r="C10102" s="1" t="str">
        <f>HYPERLINK("https://www.catalog.slsa.sa.gov.au/xrecord=b2060810")</f>
        <v>https://www.catalog.slsa.sa.gov.au/xrecord=b2060810</v>
      </c>
      <c r="D10102" t="s">
        <v>16831</v>
      </c>
      <c r="E10102" t="s">
        <v>31717</v>
      </c>
      <c r="F10102">
        <v>1981</v>
      </c>
      <c r="G10102" t="s">
        <v>14809</v>
      </c>
      <c r="H10102" t="s">
        <v>31720</v>
      </c>
      <c r="J10102" t="s">
        <v>27144</v>
      </c>
      <c r="K10102" s="2" t="str">
        <f>HYPERLINK("http://collections.slsa.sa.gov.au/mpcimg/39750/B39632.htm")</f>
        <v>http://collections.slsa.sa.gov.au/mpcimg/39750/B39632.htm</v>
      </c>
    </row>
    <row r="10103" spans="1:11" x14ac:dyDescent="0.25">
      <c r="A10103" t="s">
        <v>31721</v>
      </c>
      <c r="B10103" s="1" t="str">
        <f>HYPERLINK("https://www.catalog.slsa.sa.gov.au/record=b2061101")</f>
        <v>https://www.catalog.slsa.sa.gov.au/record=b2061101</v>
      </c>
      <c r="C10103" s="1" t="str">
        <f>HYPERLINK("https://www.catalog.slsa.sa.gov.au/xrecord=b2061101")</f>
        <v>https://www.catalog.slsa.sa.gov.au/xrecord=b2061101</v>
      </c>
      <c r="D10103" t="s">
        <v>16831</v>
      </c>
      <c r="E10103" t="s">
        <v>21118</v>
      </c>
      <c r="F10103">
        <v>1981</v>
      </c>
      <c r="G10103" t="s">
        <v>14809</v>
      </c>
      <c r="H10103" t="s">
        <v>31722</v>
      </c>
      <c r="J10103" t="s">
        <v>24371</v>
      </c>
      <c r="K10103" s="2" t="str">
        <f>HYPERLINK("http://collections.slsa.sa.gov.au/mpcimg/39750/B39627.htm")</f>
        <v>http://collections.slsa.sa.gov.au/mpcimg/39750/B39627.htm</v>
      </c>
    </row>
    <row r="10104" spans="1:11" x14ac:dyDescent="0.25">
      <c r="A10104" t="s">
        <v>31723</v>
      </c>
      <c r="B10104" s="1" t="str">
        <f>HYPERLINK("https://www.catalog.slsa.sa.gov.au/record=b2061466")</f>
        <v>https://www.catalog.slsa.sa.gov.au/record=b2061466</v>
      </c>
      <c r="C10104" s="1" t="str">
        <f>HYPERLINK("https://www.catalog.slsa.sa.gov.au/xrecord=b2061466")</f>
        <v>https://www.catalog.slsa.sa.gov.au/xrecord=b2061466</v>
      </c>
      <c r="D10104" t="s">
        <v>16831</v>
      </c>
      <c r="E10104" t="s">
        <v>28442</v>
      </c>
      <c r="F10104">
        <v>1981</v>
      </c>
      <c r="G10104" t="s">
        <v>14809</v>
      </c>
      <c r="H10104" t="s">
        <v>31724</v>
      </c>
      <c r="J10104" t="s">
        <v>25473</v>
      </c>
      <c r="K10104" s="2" t="str">
        <f>HYPERLINK("http://collections.slsa.sa.gov.au/mpcimg/40000/B39772.htm")</f>
        <v>http://collections.slsa.sa.gov.au/mpcimg/40000/B39772.htm</v>
      </c>
    </row>
    <row r="10105" spans="1:11" x14ac:dyDescent="0.25">
      <c r="A10105" t="s">
        <v>31725</v>
      </c>
      <c r="B10105" s="1" t="str">
        <f>HYPERLINK("https://www.catalog.slsa.sa.gov.au/record=b2061467")</f>
        <v>https://www.catalog.slsa.sa.gov.au/record=b2061467</v>
      </c>
      <c r="C10105" s="1" t="str">
        <f>HYPERLINK("https://www.catalog.slsa.sa.gov.au/xrecord=b2061467")</f>
        <v>https://www.catalog.slsa.sa.gov.au/xrecord=b2061467</v>
      </c>
      <c r="D10105" t="s">
        <v>16831</v>
      </c>
      <c r="E10105" t="s">
        <v>30397</v>
      </c>
      <c r="F10105">
        <v>1981</v>
      </c>
      <c r="G10105" t="s">
        <v>14809</v>
      </c>
      <c r="H10105" t="s">
        <v>31726</v>
      </c>
      <c r="J10105" t="s">
        <v>25473</v>
      </c>
      <c r="K10105" s="2" t="str">
        <f>HYPERLINK("http://collections.slsa.sa.gov.au/mpcimg/40000/B39776.htm")</f>
        <v>http://collections.slsa.sa.gov.au/mpcimg/40000/B39776.htm</v>
      </c>
    </row>
    <row r="10106" spans="1:11" x14ac:dyDescent="0.25">
      <c r="A10106" t="s">
        <v>31727</v>
      </c>
      <c r="B10106" s="1" t="str">
        <f>HYPERLINK("https://www.catalog.slsa.sa.gov.au/record=b2061468")</f>
        <v>https://www.catalog.slsa.sa.gov.au/record=b2061468</v>
      </c>
      <c r="C10106" s="1" t="str">
        <f>HYPERLINK("https://www.catalog.slsa.sa.gov.au/xrecord=b2061468")</f>
        <v>https://www.catalog.slsa.sa.gov.au/xrecord=b2061468</v>
      </c>
      <c r="D10106" t="s">
        <v>16831</v>
      </c>
      <c r="E10106" t="s">
        <v>30397</v>
      </c>
      <c r="F10106">
        <v>1981</v>
      </c>
      <c r="G10106" t="s">
        <v>14809</v>
      </c>
      <c r="H10106" t="s">
        <v>31728</v>
      </c>
      <c r="J10106" t="s">
        <v>25473</v>
      </c>
      <c r="K10106" s="2" t="str">
        <f>HYPERLINK("http://collections.slsa.sa.gov.au/mpcimg/40000/B39777.htm")</f>
        <v>http://collections.slsa.sa.gov.au/mpcimg/40000/B39777.htm</v>
      </c>
    </row>
    <row r="10107" spans="1:11" x14ac:dyDescent="0.25">
      <c r="A10107" t="s">
        <v>31729</v>
      </c>
      <c r="B10107" s="1" t="str">
        <f>HYPERLINK("https://www.catalog.slsa.sa.gov.au/record=b2061469")</f>
        <v>https://www.catalog.slsa.sa.gov.au/record=b2061469</v>
      </c>
      <c r="C10107" s="1" t="str">
        <f>HYPERLINK("https://www.catalog.slsa.sa.gov.au/xrecord=b2061469")</f>
        <v>https://www.catalog.slsa.sa.gov.au/xrecord=b2061469</v>
      </c>
      <c r="D10107" t="s">
        <v>16831</v>
      </c>
      <c r="E10107" t="s">
        <v>30397</v>
      </c>
      <c r="F10107">
        <v>1981</v>
      </c>
      <c r="G10107" t="s">
        <v>14809</v>
      </c>
      <c r="H10107" t="s">
        <v>31730</v>
      </c>
      <c r="J10107" t="s">
        <v>25473</v>
      </c>
      <c r="K10107" s="2" t="str">
        <f>HYPERLINK("http://collections.slsa.sa.gov.au/mpcimg/40000/B39778.htm")</f>
        <v>http://collections.slsa.sa.gov.au/mpcimg/40000/B39778.htm</v>
      </c>
    </row>
    <row r="10108" spans="1:11" x14ac:dyDescent="0.25">
      <c r="A10108" t="s">
        <v>31731</v>
      </c>
      <c r="B10108" s="1" t="str">
        <f>HYPERLINK("https://www.catalog.slsa.sa.gov.au/record=b2061470")</f>
        <v>https://www.catalog.slsa.sa.gov.au/record=b2061470</v>
      </c>
      <c r="C10108" s="1" t="str">
        <f>HYPERLINK("https://www.catalog.slsa.sa.gov.au/xrecord=b2061470")</f>
        <v>https://www.catalog.slsa.sa.gov.au/xrecord=b2061470</v>
      </c>
      <c r="D10108" t="s">
        <v>16831</v>
      </c>
      <c r="E10108" t="s">
        <v>30397</v>
      </c>
      <c r="F10108">
        <v>1981</v>
      </c>
      <c r="G10108" t="s">
        <v>14809</v>
      </c>
      <c r="H10108" t="s">
        <v>31732</v>
      </c>
      <c r="J10108" t="s">
        <v>25473</v>
      </c>
      <c r="K10108" s="2" t="str">
        <f>HYPERLINK("http://collections.slsa.sa.gov.au/mpcimg/40000/B39779.htm")</f>
        <v>http://collections.slsa.sa.gov.au/mpcimg/40000/B39779.htm</v>
      </c>
    </row>
    <row r="10109" spans="1:11" x14ac:dyDescent="0.25">
      <c r="A10109" t="s">
        <v>31733</v>
      </c>
      <c r="B10109" s="1" t="str">
        <f>HYPERLINK("https://www.catalog.slsa.sa.gov.au/record=b2061498")</f>
        <v>https://www.catalog.slsa.sa.gov.au/record=b2061498</v>
      </c>
      <c r="C10109" s="1" t="str">
        <f>HYPERLINK("https://www.catalog.slsa.sa.gov.au/xrecord=b2061498")</f>
        <v>https://www.catalog.slsa.sa.gov.au/xrecord=b2061498</v>
      </c>
      <c r="D10109" t="s">
        <v>16831</v>
      </c>
      <c r="E10109" t="s">
        <v>31734</v>
      </c>
      <c r="F10109">
        <v>1981</v>
      </c>
      <c r="G10109" t="s">
        <v>14809</v>
      </c>
      <c r="H10109" t="s">
        <v>31735</v>
      </c>
      <c r="J10109" t="s">
        <v>21186</v>
      </c>
      <c r="K10109" s="2" t="str">
        <f>HYPERLINK("http://collections.slsa.sa.gov.au/mpcimg/39750/B39619.htm")</f>
        <v>http://collections.slsa.sa.gov.au/mpcimg/39750/B39619.htm</v>
      </c>
    </row>
    <row r="10110" spans="1:11" x14ac:dyDescent="0.25">
      <c r="A10110" t="s">
        <v>31736</v>
      </c>
      <c r="B10110" s="1" t="str">
        <f>HYPERLINK("https://www.catalog.slsa.sa.gov.au/record=b2061499")</f>
        <v>https://www.catalog.slsa.sa.gov.au/record=b2061499</v>
      </c>
      <c r="C10110" s="1" t="str">
        <f>HYPERLINK("https://www.catalog.slsa.sa.gov.au/xrecord=b2061499")</f>
        <v>https://www.catalog.slsa.sa.gov.au/xrecord=b2061499</v>
      </c>
      <c r="D10110" t="s">
        <v>16831</v>
      </c>
      <c r="E10110" t="s">
        <v>31737</v>
      </c>
      <c r="F10110">
        <v>1981</v>
      </c>
      <c r="G10110" t="s">
        <v>14809</v>
      </c>
      <c r="H10110" t="s">
        <v>31738</v>
      </c>
      <c r="J10110" t="s">
        <v>21186</v>
      </c>
      <c r="K10110" s="2" t="str">
        <f>HYPERLINK("http://collections.slsa.sa.gov.au/mpcimg/39750/B39620.htm")</f>
        <v>http://collections.slsa.sa.gov.au/mpcimg/39750/B39620.htm</v>
      </c>
    </row>
    <row r="10111" spans="1:11" x14ac:dyDescent="0.25">
      <c r="A10111" t="s">
        <v>31739</v>
      </c>
      <c r="B10111" s="1" t="str">
        <f>HYPERLINK("https://www.catalog.slsa.sa.gov.au/record=b2061500")</f>
        <v>https://www.catalog.slsa.sa.gov.au/record=b2061500</v>
      </c>
      <c r="C10111" s="1" t="str">
        <f>HYPERLINK("https://www.catalog.slsa.sa.gov.au/xrecord=b2061500")</f>
        <v>https://www.catalog.slsa.sa.gov.au/xrecord=b2061500</v>
      </c>
      <c r="D10111" t="s">
        <v>16831</v>
      </c>
      <c r="E10111" t="s">
        <v>31737</v>
      </c>
      <c r="F10111">
        <v>1981</v>
      </c>
      <c r="G10111" t="s">
        <v>14809</v>
      </c>
      <c r="H10111" t="s">
        <v>31740</v>
      </c>
      <c r="J10111" t="s">
        <v>21186</v>
      </c>
      <c r="K10111" s="2" t="str">
        <f>HYPERLINK("http://collections.slsa.sa.gov.au/mpcimg/39750/B39621.htm")</f>
        <v>http://collections.slsa.sa.gov.au/mpcimg/39750/B39621.htm</v>
      </c>
    </row>
    <row r="10112" spans="1:11" x14ac:dyDescent="0.25">
      <c r="A10112" t="s">
        <v>31741</v>
      </c>
      <c r="B10112" s="1" t="str">
        <f>HYPERLINK("https://www.catalog.slsa.sa.gov.au/record=b2061515")</f>
        <v>https://www.catalog.slsa.sa.gov.au/record=b2061515</v>
      </c>
      <c r="C10112" s="1" t="str">
        <f>HYPERLINK("https://www.catalog.slsa.sa.gov.au/xrecord=b2061515")</f>
        <v>https://www.catalog.slsa.sa.gov.au/xrecord=b2061515</v>
      </c>
      <c r="D10112" t="s">
        <v>16831</v>
      </c>
      <c r="E10112" t="s">
        <v>28283</v>
      </c>
      <c r="F10112">
        <v>1981</v>
      </c>
      <c r="G10112" t="s">
        <v>14809</v>
      </c>
      <c r="H10112" t="s">
        <v>31742</v>
      </c>
      <c r="J10112" t="s">
        <v>24413</v>
      </c>
      <c r="K10112" s="2" t="str">
        <f>HYPERLINK("http://collections.slsa.sa.gov.au/mpcimg/39250/B39146.htm")</f>
        <v>http://collections.slsa.sa.gov.au/mpcimg/39250/B39146.htm</v>
      </c>
    </row>
    <row r="10113" spans="1:11" x14ac:dyDescent="0.25">
      <c r="A10113" t="s">
        <v>31743</v>
      </c>
      <c r="B10113" s="1" t="str">
        <f>HYPERLINK("https://www.catalog.slsa.sa.gov.au/record=b2061516")</f>
        <v>https://www.catalog.slsa.sa.gov.au/record=b2061516</v>
      </c>
      <c r="C10113" s="1" t="str">
        <f>HYPERLINK("https://www.catalog.slsa.sa.gov.au/xrecord=b2061516")</f>
        <v>https://www.catalog.slsa.sa.gov.au/xrecord=b2061516</v>
      </c>
      <c r="D10113" t="s">
        <v>16831</v>
      </c>
      <c r="E10113" t="s">
        <v>21232</v>
      </c>
      <c r="F10113">
        <v>1981</v>
      </c>
      <c r="G10113" t="s">
        <v>14809</v>
      </c>
      <c r="H10113" t="s">
        <v>31744</v>
      </c>
      <c r="J10113" t="s">
        <v>24413</v>
      </c>
      <c r="K10113" s="2" t="str">
        <f>HYPERLINK("http://collections.slsa.sa.gov.au/mpcimg/39250/B39147.htm")</f>
        <v>http://collections.slsa.sa.gov.au/mpcimg/39250/B39147.htm</v>
      </c>
    </row>
    <row r="10114" spans="1:11" x14ac:dyDescent="0.25">
      <c r="A10114" t="s">
        <v>31745</v>
      </c>
      <c r="B10114" s="1" t="str">
        <f>HYPERLINK("https://www.catalog.slsa.sa.gov.au/record=b2061517")</f>
        <v>https://www.catalog.slsa.sa.gov.au/record=b2061517</v>
      </c>
      <c r="C10114" s="1" t="str">
        <f>HYPERLINK("https://www.catalog.slsa.sa.gov.au/xrecord=b2061517")</f>
        <v>https://www.catalog.slsa.sa.gov.au/xrecord=b2061517</v>
      </c>
      <c r="D10114" t="s">
        <v>16831</v>
      </c>
      <c r="E10114" t="s">
        <v>21232</v>
      </c>
      <c r="F10114">
        <v>1981</v>
      </c>
      <c r="G10114" t="s">
        <v>14809</v>
      </c>
      <c r="H10114" t="s">
        <v>31742</v>
      </c>
      <c r="J10114" t="s">
        <v>24413</v>
      </c>
      <c r="K10114" s="2" t="str">
        <f>HYPERLINK("http://collections.slsa.sa.gov.au/mpcimg/39250/B39148.htm")</f>
        <v>http://collections.slsa.sa.gov.au/mpcimg/39250/B39148.htm</v>
      </c>
    </row>
    <row r="10115" spans="1:11" x14ac:dyDescent="0.25">
      <c r="A10115" t="s">
        <v>31746</v>
      </c>
      <c r="B10115" s="1" t="str">
        <f>HYPERLINK("https://www.catalog.slsa.sa.gov.au/record=b2061527")</f>
        <v>https://www.catalog.slsa.sa.gov.au/record=b2061527</v>
      </c>
      <c r="C10115" s="1" t="str">
        <f>HYPERLINK("https://www.catalog.slsa.sa.gov.au/xrecord=b2061527")</f>
        <v>https://www.catalog.slsa.sa.gov.au/xrecord=b2061527</v>
      </c>
      <c r="D10115" t="s">
        <v>16831</v>
      </c>
      <c r="E10115" t="s">
        <v>29805</v>
      </c>
      <c r="F10115">
        <v>1981</v>
      </c>
      <c r="G10115" t="s">
        <v>14809</v>
      </c>
      <c r="H10115" t="s">
        <v>31747</v>
      </c>
      <c r="J10115" t="s">
        <v>24417</v>
      </c>
      <c r="K10115" s="2" t="str">
        <f>HYPERLINK("http://collections.slsa.sa.gov.au/mpcimg/39750/B39617.htm")</f>
        <v>http://collections.slsa.sa.gov.au/mpcimg/39750/B39617.htm</v>
      </c>
    </row>
    <row r="10116" spans="1:11" x14ac:dyDescent="0.25">
      <c r="A10116" t="s">
        <v>31748</v>
      </c>
      <c r="B10116" s="1" t="str">
        <f>HYPERLINK("https://www.catalog.slsa.sa.gov.au/record=b2061528")</f>
        <v>https://www.catalog.slsa.sa.gov.au/record=b2061528</v>
      </c>
      <c r="C10116" s="1" t="str">
        <f>HYPERLINK("https://www.catalog.slsa.sa.gov.au/xrecord=b2061528")</f>
        <v>https://www.catalog.slsa.sa.gov.au/xrecord=b2061528</v>
      </c>
      <c r="D10116" t="s">
        <v>16831</v>
      </c>
      <c r="E10116" t="s">
        <v>29805</v>
      </c>
      <c r="F10116">
        <v>1981</v>
      </c>
      <c r="G10116" t="s">
        <v>14809</v>
      </c>
      <c r="H10116" t="s">
        <v>31747</v>
      </c>
      <c r="J10116" t="s">
        <v>24417</v>
      </c>
      <c r="K10116" s="2" t="str">
        <f>HYPERLINK("http://collections.slsa.sa.gov.au/mpcimg/39750/B39618.htm")</f>
        <v>http://collections.slsa.sa.gov.au/mpcimg/39750/B39618.htm</v>
      </c>
    </row>
    <row r="10117" spans="1:11" x14ac:dyDescent="0.25">
      <c r="A10117" t="s">
        <v>31749</v>
      </c>
      <c r="B10117" s="1" t="str">
        <f>HYPERLINK("https://www.catalog.slsa.sa.gov.au/record=b2061529")</f>
        <v>https://www.catalog.slsa.sa.gov.au/record=b2061529</v>
      </c>
      <c r="C10117" s="1" t="str">
        <f>HYPERLINK("https://www.catalog.slsa.sa.gov.au/xrecord=b2061529")</f>
        <v>https://www.catalog.slsa.sa.gov.au/xrecord=b2061529</v>
      </c>
      <c r="D10117" t="s">
        <v>16831</v>
      </c>
      <c r="E10117" t="s">
        <v>21165</v>
      </c>
      <c r="F10117">
        <v>1981</v>
      </c>
      <c r="G10117" t="s">
        <v>14809</v>
      </c>
      <c r="H10117" t="s">
        <v>31750</v>
      </c>
      <c r="J10117" t="s">
        <v>24417</v>
      </c>
      <c r="K10117" s="2" t="str">
        <f>HYPERLINK("http://collections.slsa.sa.gov.au/mpcimg/39750/B39633.htm")</f>
        <v>http://collections.slsa.sa.gov.au/mpcimg/39750/B39633.htm</v>
      </c>
    </row>
    <row r="10118" spans="1:11" x14ac:dyDescent="0.25">
      <c r="A10118" t="s">
        <v>31751</v>
      </c>
      <c r="B10118" s="1" t="str">
        <f>HYPERLINK("https://www.catalog.slsa.sa.gov.au/record=b2061896")</f>
        <v>https://www.catalog.slsa.sa.gov.au/record=b2061896</v>
      </c>
      <c r="C10118" s="1" t="str">
        <f>HYPERLINK("https://www.catalog.slsa.sa.gov.au/xrecord=b2061896")</f>
        <v>https://www.catalog.slsa.sa.gov.au/xrecord=b2061896</v>
      </c>
      <c r="D10118" t="s">
        <v>16831</v>
      </c>
      <c r="E10118" t="s">
        <v>21208</v>
      </c>
      <c r="F10118">
        <v>1981</v>
      </c>
      <c r="G10118" t="s">
        <v>14809</v>
      </c>
      <c r="H10118" t="s">
        <v>31752</v>
      </c>
      <c r="J10118" t="s">
        <v>26394</v>
      </c>
      <c r="K10118" s="2" t="str">
        <f>HYPERLINK("http://collections.slsa.sa.gov.au/mpcimg/39250/B39141.htm")</f>
        <v>http://collections.slsa.sa.gov.au/mpcimg/39250/B39141.htm</v>
      </c>
    </row>
    <row r="10119" spans="1:11" x14ac:dyDescent="0.25">
      <c r="A10119" t="s">
        <v>31753</v>
      </c>
      <c r="B10119" s="1" t="str">
        <f>HYPERLINK("https://www.catalog.slsa.sa.gov.au/record=b2061897")</f>
        <v>https://www.catalog.slsa.sa.gov.au/record=b2061897</v>
      </c>
      <c r="C10119" s="1" t="str">
        <f>HYPERLINK("https://www.catalog.slsa.sa.gov.au/xrecord=b2061897")</f>
        <v>https://www.catalog.slsa.sa.gov.au/xrecord=b2061897</v>
      </c>
      <c r="D10119" t="s">
        <v>16831</v>
      </c>
      <c r="E10119" t="s">
        <v>21208</v>
      </c>
      <c r="F10119">
        <v>1981</v>
      </c>
      <c r="G10119" t="s">
        <v>14809</v>
      </c>
      <c r="H10119" t="s">
        <v>31754</v>
      </c>
      <c r="J10119" t="s">
        <v>26394</v>
      </c>
      <c r="K10119" s="2" t="str">
        <f>HYPERLINK("http://collections.slsa.sa.gov.au/mpcimg/39250/B39142.htm")</f>
        <v>http://collections.slsa.sa.gov.au/mpcimg/39250/B39142.htm</v>
      </c>
    </row>
    <row r="10120" spans="1:11" x14ac:dyDescent="0.25">
      <c r="A10120" t="s">
        <v>31755</v>
      </c>
      <c r="B10120" s="1" t="str">
        <f>HYPERLINK("https://www.catalog.slsa.sa.gov.au/record=b2063512")</f>
        <v>https://www.catalog.slsa.sa.gov.au/record=b2063512</v>
      </c>
      <c r="C10120" s="1" t="str">
        <f>HYPERLINK("https://www.catalog.slsa.sa.gov.au/xrecord=b2063512")</f>
        <v>https://www.catalog.slsa.sa.gov.au/xrecord=b2063512</v>
      </c>
      <c r="D10120" t="s">
        <v>16831</v>
      </c>
      <c r="E10120" t="s">
        <v>31756</v>
      </c>
      <c r="F10120">
        <v>1981</v>
      </c>
      <c r="G10120" t="s">
        <v>14809</v>
      </c>
      <c r="H10120" t="s">
        <v>31757</v>
      </c>
      <c r="J10120" t="s">
        <v>31758</v>
      </c>
      <c r="K10120" s="2" t="str">
        <f>HYPERLINK("http://collections.slsa.sa.gov.au/mpcimg/39750/B39597.htm")</f>
        <v>http://collections.slsa.sa.gov.au/mpcimg/39750/B39597.htm</v>
      </c>
    </row>
    <row r="10121" spans="1:11" x14ac:dyDescent="0.25">
      <c r="A10121" t="s">
        <v>31759</v>
      </c>
      <c r="B10121" s="1" t="str">
        <f>HYPERLINK("https://www.catalog.slsa.sa.gov.au/record=b2064279")</f>
        <v>https://www.catalog.slsa.sa.gov.au/record=b2064279</v>
      </c>
      <c r="C10121" s="1" t="str">
        <f>HYPERLINK("https://www.catalog.slsa.sa.gov.au/xrecord=b2064279")</f>
        <v>https://www.catalog.slsa.sa.gov.au/xrecord=b2064279</v>
      </c>
      <c r="D10121" t="s">
        <v>16831</v>
      </c>
      <c r="E10121" t="s">
        <v>25643</v>
      </c>
      <c r="F10121">
        <v>1981</v>
      </c>
      <c r="G10121" t="s">
        <v>14809</v>
      </c>
      <c r="H10121" t="s">
        <v>31760</v>
      </c>
      <c r="J10121" t="s">
        <v>26146</v>
      </c>
      <c r="K10121" s="2" t="str">
        <f>HYPERLINK("http://collections.slsa.sa.gov.au/mpcimg/39750/B39626.htm")</f>
        <v>http://collections.slsa.sa.gov.au/mpcimg/39750/B39626.htm</v>
      </c>
    </row>
    <row r="10122" spans="1:11" x14ac:dyDescent="0.25">
      <c r="A10122" t="s">
        <v>31761</v>
      </c>
      <c r="B10122" s="1" t="str">
        <f>HYPERLINK("https://www.catalog.slsa.sa.gov.au/record=b2067863")</f>
        <v>https://www.catalog.slsa.sa.gov.au/record=b2067863</v>
      </c>
      <c r="C10122" s="1" t="str">
        <f>HYPERLINK("https://www.catalog.slsa.sa.gov.au/xrecord=b2067863")</f>
        <v>https://www.catalog.slsa.sa.gov.au/xrecord=b2067863</v>
      </c>
      <c r="D10122" t="s">
        <v>16831</v>
      </c>
      <c r="E10122" t="s">
        <v>31762</v>
      </c>
      <c r="F10122">
        <v>1981</v>
      </c>
      <c r="G10122" t="s">
        <v>14809</v>
      </c>
      <c r="H10122" t="s">
        <v>31672</v>
      </c>
      <c r="J10122" t="s">
        <v>30808</v>
      </c>
      <c r="K10122" s="2" t="str">
        <f>HYPERLINK("http://collections.slsa.sa.gov.au/mpcimg/40000/B39892.htm")</f>
        <v>http://collections.slsa.sa.gov.au/mpcimg/40000/B39892.htm</v>
      </c>
    </row>
    <row r="10123" spans="1:11" x14ac:dyDescent="0.25">
      <c r="A10123" t="s">
        <v>31763</v>
      </c>
      <c r="B10123" s="1" t="str">
        <f>HYPERLINK("https://www.catalog.slsa.sa.gov.au/record=b2067864")</f>
        <v>https://www.catalog.slsa.sa.gov.au/record=b2067864</v>
      </c>
      <c r="C10123" s="1" t="str">
        <f>HYPERLINK("https://www.catalog.slsa.sa.gov.au/xrecord=b2067864")</f>
        <v>https://www.catalog.slsa.sa.gov.au/xrecord=b2067864</v>
      </c>
      <c r="D10123" t="s">
        <v>16831</v>
      </c>
      <c r="E10123" t="s">
        <v>30703</v>
      </c>
      <c r="F10123">
        <v>1981</v>
      </c>
      <c r="G10123" t="s">
        <v>14809</v>
      </c>
      <c r="H10123" t="s">
        <v>31672</v>
      </c>
      <c r="J10123" t="s">
        <v>30808</v>
      </c>
      <c r="K10123" s="2" t="str">
        <f>HYPERLINK("http://collections.slsa.sa.gov.au/mpcimg/40000/B39893.htm")</f>
        <v>http://collections.slsa.sa.gov.au/mpcimg/40000/B39893.htm</v>
      </c>
    </row>
    <row r="10124" spans="1:11" x14ac:dyDescent="0.25">
      <c r="A10124" t="s">
        <v>31764</v>
      </c>
      <c r="B10124" s="1" t="str">
        <f>HYPERLINK("https://www.catalog.slsa.sa.gov.au/record=b2067865")</f>
        <v>https://www.catalog.slsa.sa.gov.au/record=b2067865</v>
      </c>
      <c r="C10124" s="1" t="str">
        <f>HYPERLINK("https://www.catalog.slsa.sa.gov.au/xrecord=b2067865")</f>
        <v>https://www.catalog.slsa.sa.gov.au/xrecord=b2067865</v>
      </c>
      <c r="D10124" t="s">
        <v>16831</v>
      </c>
      <c r="E10124" t="s">
        <v>30703</v>
      </c>
      <c r="F10124">
        <v>1981</v>
      </c>
      <c r="G10124" t="s">
        <v>14809</v>
      </c>
      <c r="H10124" t="s">
        <v>31672</v>
      </c>
      <c r="J10124" t="s">
        <v>30808</v>
      </c>
      <c r="K10124" s="2" t="str">
        <f>HYPERLINK("http://collections.slsa.sa.gov.au/mpcimg/40000/B39894.htm")</f>
        <v>http://collections.slsa.sa.gov.au/mpcimg/40000/B39894.htm</v>
      </c>
    </row>
    <row r="10125" spans="1:11" x14ac:dyDescent="0.25">
      <c r="A10125" t="s">
        <v>31765</v>
      </c>
      <c r="B10125" s="1" t="str">
        <f>HYPERLINK("https://www.catalog.slsa.sa.gov.au/record=b2067866")</f>
        <v>https://www.catalog.slsa.sa.gov.au/record=b2067866</v>
      </c>
      <c r="C10125" s="1" t="str">
        <f>HYPERLINK("https://www.catalog.slsa.sa.gov.au/xrecord=b2067866")</f>
        <v>https://www.catalog.slsa.sa.gov.au/xrecord=b2067866</v>
      </c>
      <c r="D10125" t="s">
        <v>16831</v>
      </c>
      <c r="E10125" t="s">
        <v>30703</v>
      </c>
      <c r="F10125">
        <v>1981</v>
      </c>
      <c r="G10125" t="s">
        <v>14809</v>
      </c>
      <c r="H10125" t="s">
        <v>31672</v>
      </c>
      <c r="J10125" t="s">
        <v>30808</v>
      </c>
      <c r="K10125" s="2" t="str">
        <f>HYPERLINK("http://collections.slsa.sa.gov.au/mpcimg/40000/B39895.htm")</f>
        <v>http://collections.slsa.sa.gov.au/mpcimg/40000/B39895.htm</v>
      </c>
    </row>
    <row r="10126" spans="1:11" x14ac:dyDescent="0.25">
      <c r="A10126" t="s">
        <v>31766</v>
      </c>
      <c r="B10126" s="1" t="str">
        <f>HYPERLINK("https://www.catalog.slsa.sa.gov.au/record=b2067867")</f>
        <v>https://www.catalog.slsa.sa.gov.au/record=b2067867</v>
      </c>
      <c r="C10126" s="1" t="str">
        <f>HYPERLINK("https://www.catalog.slsa.sa.gov.au/xrecord=b2067867")</f>
        <v>https://www.catalog.slsa.sa.gov.au/xrecord=b2067867</v>
      </c>
      <c r="D10126" t="s">
        <v>16831</v>
      </c>
      <c r="E10126" t="s">
        <v>30703</v>
      </c>
      <c r="F10126">
        <v>1981</v>
      </c>
      <c r="G10126" t="s">
        <v>14809</v>
      </c>
      <c r="H10126" t="s">
        <v>31672</v>
      </c>
      <c r="J10126" t="s">
        <v>30808</v>
      </c>
      <c r="K10126" s="2" t="str">
        <f>HYPERLINK("http://collections.slsa.sa.gov.au/mpcimg/40000/B39896.htm")</f>
        <v>http://collections.slsa.sa.gov.au/mpcimg/40000/B39896.htm</v>
      </c>
    </row>
    <row r="10127" spans="1:11" x14ac:dyDescent="0.25">
      <c r="A10127" t="s">
        <v>31767</v>
      </c>
      <c r="B10127" s="1" t="str">
        <f>HYPERLINK("https://www.catalog.slsa.sa.gov.au/record=b2067868")</f>
        <v>https://www.catalog.slsa.sa.gov.au/record=b2067868</v>
      </c>
      <c r="C10127" s="1" t="str">
        <f>HYPERLINK("https://www.catalog.slsa.sa.gov.au/xrecord=b2067868")</f>
        <v>https://www.catalog.slsa.sa.gov.au/xrecord=b2067868</v>
      </c>
      <c r="D10127" t="s">
        <v>16831</v>
      </c>
      <c r="E10127" t="s">
        <v>30703</v>
      </c>
      <c r="F10127">
        <v>1981</v>
      </c>
      <c r="G10127" t="s">
        <v>14809</v>
      </c>
      <c r="H10127" t="s">
        <v>31672</v>
      </c>
      <c r="J10127" t="s">
        <v>30808</v>
      </c>
      <c r="K10127" s="2" t="str">
        <f>HYPERLINK("http://collections.slsa.sa.gov.au/mpcimg/40000/B39897.htm")</f>
        <v>http://collections.slsa.sa.gov.au/mpcimg/40000/B39897.htm</v>
      </c>
    </row>
    <row r="10128" spans="1:11" x14ac:dyDescent="0.25">
      <c r="A10128" t="s">
        <v>31768</v>
      </c>
      <c r="B10128" s="1" t="str">
        <f>HYPERLINK("https://www.catalog.slsa.sa.gov.au/record=b2067869")</f>
        <v>https://www.catalog.slsa.sa.gov.au/record=b2067869</v>
      </c>
      <c r="C10128" s="1" t="str">
        <f>HYPERLINK("https://www.catalog.slsa.sa.gov.au/xrecord=b2067869")</f>
        <v>https://www.catalog.slsa.sa.gov.au/xrecord=b2067869</v>
      </c>
      <c r="D10128" t="s">
        <v>16831</v>
      </c>
      <c r="E10128" t="s">
        <v>30703</v>
      </c>
      <c r="F10128">
        <v>1981</v>
      </c>
      <c r="G10128" t="s">
        <v>14809</v>
      </c>
      <c r="H10128" t="s">
        <v>31672</v>
      </c>
      <c r="J10128" t="s">
        <v>30808</v>
      </c>
      <c r="K10128" s="2" t="str">
        <f>HYPERLINK("http://collections.slsa.sa.gov.au/mpcimg/40000/B39898.htm")</f>
        <v>http://collections.slsa.sa.gov.au/mpcimg/40000/B39898.htm</v>
      </c>
    </row>
    <row r="10129" spans="1:11" x14ac:dyDescent="0.25">
      <c r="A10129" t="s">
        <v>31769</v>
      </c>
      <c r="B10129" s="1" t="str">
        <f>HYPERLINK("https://www.catalog.slsa.sa.gov.au/record=b2067888")</f>
        <v>https://www.catalog.slsa.sa.gov.au/record=b2067888</v>
      </c>
      <c r="C10129" s="1" t="str">
        <f>HYPERLINK("https://www.catalog.slsa.sa.gov.au/xrecord=b2067888")</f>
        <v>https://www.catalog.slsa.sa.gov.au/xrecord=b2067888</v>
      </c>
      <c r="D10129" t="s">
        <v>16831</v>
      </c>
      <c r="E10129" t="s">
        <v>31770</v>
      </c>
      <c r="F10129">
        <v>1981</v>
      </c>
      <c r="G10129" t="s">
        <v>14809</v>
      </c>
      <c r="H10129" t="s">
        <v>31771</v>
      </c>
      <c r="J10129" t="s">
        <v>31772</v>
      </c>
      <c r="K10129" s="2" t="str">
        <f>HYPERLINK("http://collections.slsa.sa.gov.au/mpcimg/39500/B39392.htm")</f>
        <v>http://collections.slsa.sa.gov.au/mpcimg/39500/B39392.htm</v>
      </c>
    </row>
    <row r="10130" spans="1:11" x14ac:dyDescent="0.25">
      <c r="A10130" t="s">
        <v>31773</v>
      </c>
      <c r="B10130" s="1" t="str">
        <f>HYPERLINK("https://www.catalog.slsa.sa.gov.au/record=b2067889")</f>
        <v>https://www.catalog.slsa.sa.gov.au/record=b2067889</v>
      </c>
      <c r="C10130" s="1" t="str">
        <f>HYPERLINK("https://www.catalog.slsa.sa.gov.au/xrecord=b2067889")</f>
        <v>https://www.catalog.slsa.sa.gov.au/xrecord=b2067889</v>
      </c>
      <c r="D10130" t="s">
        <v>16831</v>
      </c>
      <c r="E10130" t="s">
        <v>31770</v>
      </c>
      <c r="F10130">
        <v>1981</v>
      </c>
      <c r="G10130" t="s">
        <v>14809</v>
      </c>
      <c r="H10130" t="s">
        <v>31771</v>
      </c>
      <c r="J10130" t="s">
        <v>31772</v>
      </c>
      <c r="K10130" s="2" t="str">
        <f>HYPERLINK("http://collections.slsa.sa.gov.au/mpcimg/39500/B39393.htm")</f>
        <v>http://collections.slsa.sa.gov.au/mpcimg/39500/B39393.htm</v>
      </c>
    </row>
    <row r="10131" spans="1:11" x14ac:dyDescent="0.25">
      <c r="A10131" t="s">
        <v>31774</v>
      </c>
      <c r="B10131" s="1" t="str">
        <f>HYPERLINK("https://www.catalog.slsa.sa.gov.au/record=b2074745")</f>
        <v>https://www.catalog.slsa.sa.gov.au/record=b2074745</v>
      </c>
      <c r="C10131" s="1" t="str">
        <f>HYPERLINK("https://www.catalog.slsa.sa.gov.au/xrecord=b2074745")</f>
        <v>https://www.catalog.slsa.sa.gov.au/xrecord=b2074745</v>
      </c>
      <c r="D10131" t="s">
        <v>16831</v>
      </c>
      <c r="E10131" t="s">
        <v>31775</v>
      </c>
      <c r="F10131">
        <v>1981</v>
      </c>
      <c r="G10131" t="s">
        <v>31423</v>
      </c>
      <c r="H10131" t="s">
        <v>31776</v>
      </c>
      <c r="I10131" t="s">
        <v>31777</v>
      </c>
      <c r="J10131" t="s">
        <v>2963</v>
      </c>
      <c r="K10131" s="2" t="str">
        <f>HYPERLINK("http://collections.slsa.sa.gov.au/mpcimg/64250/B64244.htm")</f>
        <v>http://collections.slsa.sa.gov.au/mpcimg/64250/B64244.htm</v>
      </c>
    </row>
    <row r="10132" spans="1:11" x14ac:dyDescent="0.25">
      <c r="A10132" t="s">
        <v>31778</v>
      </c>
      <c r="B10132" s="1" t="str">
        <f>HYPERLINK("https://www.catalog.slsa.sa.gov.au/record=b2843016")</f>
        <v>https://www.catalog.slsa.sa.gov.au/record=b2843016</v>
      </c>
      <c r="C10132" s="1" t="str">
        <f>HYPERLINK("https://www.catalog.slsa.sa.gov.au/xrecord=b2843016")</f>
        <v>https://www.catalog.slsa.sa.gov.au/xrecord=b2843016</v>
      </c>
      <c r="D10132" t="s">
        <v>16831</v>
      </c>
      <c r="E10132" t="s">
        <v>31779</v>
      </c>
      <c r="F10132">
        <v>1981</v>
      </c>
      <c r="G10132" t="s">
        <v>31780</v>
      </c>
      <c r="H10132" t="s">
        <v>31781</v>
      </c>
      <c r="I10132" t="s">
        <v>31782</v>
      </c>
      <c r="J10132" t="s">
        <v>27982</v>
      </c>
      <c r="K10132" s="2" t="str">
        <f>HYPERLINK("http://collections.slsa.sa.gov.au/mpcimg/72750/B72584.htm")</f>
        <v>http://collections.slsa.sa.gov.au/mpcimg/72750/B72584.htm</v>
      </c>
    </row>
    <row r="10133" spans="1:11" x14ac:dyDescent="0.25">
      <c r="A10133" t="s">
        <v>31783</v>
      </c>
      <c r="B10133" s="1" t="str">
        <f>HYPERLINK("https://www.catalog.slsa.sa.gov.au/record=b3120961")</f>
        <v>https://www.catalog.slsa.sa.gov.au/record=b3120961</v>
      </c>
      <c r="C10133" s="1" t="str">
        <f>HYPERLINK("https://www.catalog.slsa.sa.gov.au/xrecord=b3120961")</f>
        <v>https://www.catalog.slsa.sa.gov.au/xrecord=b3120961</v>
      </c>
      <c r="E10133" t="s">
        <v>31784</v>
      </c>
      <c r="F10133" t="s">
        <v>31785</v>
      </c>
      <c r="G10133" t="s">
        <v>31786</v>
      </c>
      <c r="H10133" t="s">
        <v>31787</v>
      </c>
      <c r="I10133" t="s">
        <v>31788</v>
      </c>
      <c r="J10133" t="s">
        <v>31789</v>
      </c>
      <c r="K10133" s="2" t="str">
        <f>HYPERLINK("http://collections.slsa.sa.gov.au/resource/B+18900")</f>
        <v>http://collections.slsa.sa.gov.au/resource/B+18900</v>
      </c>
    </row>
    <row r="10134" spans="1:11" x14ac:dyDescent="0.25">
      <c r="A10134" t="s">
        <v>31790</v>
      </c>
      <c r="B10134" s="1" t="str">
        <f>HYPERLINK("https://www.catalog.slsa.sa.gov.au/record=b2055675")</f>
        <v>https://www.catalog.slsa.sa.gov.au/record=b2055675</v>
      </c>
      <c r="C10134" s="1" t="str">
        <f>HYPERLINK("https://www.catalog.slsa.sa.gov.au/xrecord=b2055675")</f>
        <v>https://www.catalog.slsa.sa.gov.au/xrecord=b2055675</v>
      </c>
      <c r="D10134" t="s">
        <v>16831</v>
      </c>
      <c r="E10134" t="s">
        <v>30340</v>
      </c>
      <c r="F10134">
        <v>1982</v>
      </c>
      <c r="G10134" t="s">
        <v>31791</v>
      </c>
      <c r="H10134" t="s">
        <v>31792</v>
      </c>
      <c r="J10134" t="s">
        <v>16769</v>
      </c>
      <c r="K10134" s="2" t="str">
        <f>HYPERLINK("http://collections.slsa.sa.gov.au/mpcimg/40250/B40105.htm")</f>
        <v>http://collections.slsa.sa.gov.au/mpcimg/40250/B40105.htm</v>
      </c>
    </row>
    <row r="10135" spans="1:11" x14ac:dyDescent="0.25">
      <c r="A10135" t="s">
        <v>31793</v>
      </c>
      <c r="B10135" s="1" t="str">
        <f>HYPERLINK("https://www.catalog.slsa.sa.gov.au/record=b2055676")</f>
        <v>https://www.catalog.slsa.sa.gov.au/record=b2055676</v>
      </c>
      <c r="C10135" s="1" t="str">
        <f>HYPERLINK("https://www.catalog.slsa.sa.gov.au/xrecord=b2055676")</f>
        <v>https://www.catalog.slsa.sa.gov.au/xrecord=b2055676</v>
      </c>
      <c r="D10135" t="s">
        <v>16831</v>
      </c>
      <c r="E10135" t="s">
        <v>31794</v>
      </c>
      <c r="F10135">
        <v>1982</v>
      </c>
      <c r="G10135" t="s">
        <v>31795</v>
      </c>
      <c r="H10135" t="s">
        <v>31796</v>
      </c>
      <c r="J10135" t="s">
        <v>16769</v>
      </c>
      <c r="K10135" s="2" t="str">
        <f>HYPERLINK("http://collections.slsa.sa.gov.au/mpcimg/40250/B40106.htm")</f>
        <v>http://collections.slsa.sa.gov.au/mpcimg/40250/B40106.htm</v>
      </c>
    </row>
    <row r="10136" spans="1:11" x14ac:dyDescent="0.25">
      <c r="A10136" t="s">
        <v>31797</v>
      </c>
      <c r="B10136" s="1" t="str">
        <f>HYPERLINK("https://www.catalog.slsa.sa.gov.au/record=b2055677")</f>
        <v>https://www.catalog.slsa.sa.gov.au/record=b2055677</v>
      </c>
      <c r="C10136" s="1" t="str">
        <f>HYPERLINK("https://www.catalog.slsa.sa.gov.au/xrecord=b2055677")</f>
        <v>https://www.catalog.slsa.sa.gov.au/xrecord=b2055677</v>
      </c>
      <c r="D10136" t="s">
        <v>16831</v>
      </c>
      <c r="E10136" t="s">
        <v>31794</v>
      </c>
      <c r="F10136">
        <v>1982</v>
      </c>
      <c r="G10136" t="s">
        <v>31798</v>
      </c>
      <c r="H10136" t="s">
        <v>31799</v>
      </c>
      <c r="J10136" t="s">
        <v>16769</v>
      </c>
      <c r="K10136" s="2" t="str">
        <f>HYPERLINK("http://collections.slsa.sa.gov.au/mpcimg/40250/B40107.htm")</f>
        <v>http://collections.slsa.sa.gov.au/mpcimg/40250/B40107.htm</v>
      </c>
    </row>
    <row r="10137" spans="1:11" x14ac:dyDescent="0.25">
      <c r="A10137" t="s">
        <v>31800</v>
      </c>
      <c r="B10137" s="1" t="str">
        <f>HYPERLINK("https://www.catalog.slsa.sa.gov.au/record=b2055931")</f>
        <v>https://www.catalog.slsa.sa.gov.au/record=b2055931</v>
      </c>
      <c r="C10137" s="1" t="str">
        <f>HYPERLINK("https://www.catalog.slsa.sa.gov.au/xrecord=b2055931")</f>
        <v>https://www.catalog.slsa.sa.gov.au/xrecord=b2055931</v>
      </c>
      <c r="D10137" t="s">
        <v>16831</v>
      </c>
      <c r="E10137" t="s">
        <v>31801</v>
      </c>
      <c r="F10137">
        <v>1982</v>
      </c>
      <c r="G10137" t="s">
        <v>31802</v>
      </c>
      <c r="H10137" t="s">
        <v>31803</v>
      </c>
      <c r="J10137" t="s">
        <v>31804</v>
      </c>
      <c r="K10137" s="2" t="str">
        <f>HYPERLINK("http://collections.slsa.sa.gov.au/mpcimg/42500/B42321.htm")</f>
        <v>http://collections.slsa.sa.gov.au/mpcimg/42500/B42321.htm</v>
      </c>
    </row>
    <row r="10138" spans="1:11" x14ac:dyDescent="0.25">
      <c r="A10138" t="s">
        <v>31805</v>
      </c>
      <c r="B10138" s="1" t="str">
        <f>HYPERLINK("https://www.catalog.slsa.sa.gov.au/record=b2055932")</f>
        <v>https://www.catalog.slsa.sa.gov.au/record=b2055932</v>
      </c>
      <c r="C10138" s="1" t="str">
        <f>HYPERLINK("https://www.catalog.slsa.sa.gov.au/xrecord=b2055932")</f>
        <v>https://www.catalog.slsa.sa.gov.au/xrecord=b2055932</v>
      </c>
      <c r="D10138" t="s">
        <v>16831</v>
      </c>
      <c r="E10138" t="s">
        <v>31801</v>
      </c>
      <c r="F10138">
        <v>1982</v>
      </c>
      <c r="G10138" t="s">
        <v>31806</v>
      </c>
      <c r="H10138" t="s">
        <v>31807</v>
      </c>
      <c r="J10138" t="s">
        <v>31808</v>
      </c>
      <c r="K10138" s="2" t="str">
        <f>HYPERLINK("http://collections.slsa.sa.gov.au/mpcimg/42500/B42322.htm")</f>
        <v>http://collections.slsa.sa.gov.au/mpcimg/42500/B42322.htm</v>
      </c>
    </row>
    <row r="10139" spans="1:11" x14ac:dyDescent="0.25">
      <c r="A10139" t="s">
        <v>31809</v>
      </c>
      <c r="B10139" s="1" t="str">
        <f>HYPERLINK("https://www.catalog.slsa.sa.gov.au/record=b2057018")</f>
        <v>https://www.catalog.slsa.sa.gov.au/record=b2057018</v>
      </c>
      <c r="C10139" s="1" t="str">
        <f>HYPERLINK("https://www.catalog.slsa.sa.gov.au/xrecord=b2057018")</f>
        <v>https://www.catalog.slsa.sa.gov.au/xrecord=b2057018</v>
      </c>
      <c r="D10139" t="s">
        <v>16831</v>
      </c>
      <c r="E10139" t="s">
        <v>25308</v>
      </c>
      <c r="F10139">
        <v>1982</v>
      </c>
      <c r="G10139" t="s">
        <v>31791</v>
      </c>
      <c r="H10139" t="s">
        <v>31810</v>
      </c>
      <c r="J10139" t="s">
        <v>25324</v>
      </c>
      <c r="K10139" s="2" t="str">
        <f>HYPERLINK("http://collections.slsa.sa.gov.au/mpcimg/40500/B40382.htm")</f>
        <v>http://collections.slsa.sa.gov.au/mpcimg/40500/B40382.htm</v>
      </c>
    </row>
    <row r="10140" spans="1:11" x14ac:dyDescent="0.25">
      <c r="A10140" t="s">
        <v>31811</v>
      </c>
      <c r="B10140" s="1" t="str">
        <f>HYPERLINK("https://www.catalog.slsa.sa.gov.au/record=b2057019")</f>
        <v>https://www.catalog.slsa.sa.gov.au/record=b2057019</v>
      </c>
      <c r="C10140" s="1" t="str">
        <f>HYPERLINK("https://www.catalog.slsa.sa.gov.au/xrecord=b2057019")</f>
        <v>https://www.catalog.slsa.sa.gov.au/xrecord=b2057019</v>
      </c>
      <c r="D10140" t="s">
        <v>16831</v>
      </c>
      <c r="E10140" t="s">
        <v>16791</v>
      </c>
      <c r="F10140">
        <v>1982</v>
      </c>
      <c r="G10140" t="s">
        <v>31812</v>
      </c>
      <c r="H10140" t="s">
        <v>31813</v>
      </c>
      <c r="J10140" t="s">
        <v>25324</v>
      </c>
      <c r="K10140" s="2" t="str">
        <f>HYPERLINK("http://collections.slsa.sa.gov.au/mpcimg/40500/B40383.htm")</f>
        <v>http://collections.slsa.sa.gov.au/mpcimg/40500/B40383.htm</v>
      </c>
    </row>
    <row r="10141" spans="1:11" x14ac:dyDescent="0.25">
      <c r="A10141" t="s">
        <v>31814</v>
      </c>
      <c r="B10141" s="1" t="str">
        <f>HYPERLINK("https://www.catalog.slsa.sa.gov.au/record=b2057020")</f>
        <v>https://www.catalog.slsa.sa.gov.au/record=b2057020</v>
      </c>
      <c r="C10141" s="1" t="str">
        <f>HYPERLINK("https://www.catalog.slsa.sa.gov.au/xrecord=b2057020")</f>
        <v>https://www.catalog.slsa.sa.gov.au/xrecord=b2057020</v>
      </c>
      <c r="D10141" t="s">
        <v>16831</v>
      </c>
      <c r="E10141" t="s">
        <v>16791</v>
      </c>
      <c r="F10141">
        <v>1982</v>
      </c>
      <c r="G10141" t="s">
        <v>31795</v>
      </c>
      <c r="H10141" t="s">
        <v>31815</v>
      </c>
      <c r="J10141" t="s">
        <v>25324</v>
      </c>
      <c r="K10141" s="2" t="str">
        <f>HYPERLINK("http://collections.slsa.sa.gov.au/mpcimg/40500/B40384.htm")</f>
        <v>http://collections.slsa.sa.gov.au/mpcimg/40500/B40384.htm</v>
      </c>
    </row>
    <row r="10142" spans="1:11" x14ac:dyDescent="0.25">
      <c r="A10142" t="s">
        <v>31816</v>
      </c>
      <c r="B10142" s="1" t="str">
        <f>HYPERLINK("https://www.catalog.slsa.sa.gov.au/record=b2057021")</f>
        <v>https://www.catalog.slsa.sa.gov.au/record=b2057021</v>
      </c>
      <c r="C10142" s="1" t="str">
        <f>HYPERLINK("https://www.catalog.slsa.sa.gov.au/xrecord=b2057021")</f>
        <v>https://www.catalog.slsa.sa.gov.au/xrecord=b2057021</v>
      </c>
      <c r="D10142" t="s">
        <v>16831</v>
      </c>
      <c r="E10142" t="s">
        <v>31817</v>
      </c>
      <c r="F10142">
        <v>1982</v>
      </c>
      <c r="G10142" t="s">
        <v>31818</v>
      </c>
      <c r="H10142" t="s">
        <v>31819</v>
      </c>
      <c r="J10142" t="s">
        <v>25324</v>
      </c>
      <c r="K10142" s="2" t="str">
        <f>HYPERLINK("http://collections.slsa.sa.gov.au/mpcimg/40500/B40385.htm")</f>
        <v>http://collections.slsa.sa.gov.au/mpcimg/40500/B40385.htm</v>
      </c>
    </row>
    <row r="10143" spans="1:11" x14ac:dyDescent="0.25">
      <c r="A10143" t="s">
        <v>31820</v>
      </c>
      <c r="B10143" s="1" t="str">
        <f>HYPERLINK("https://www.catalog.slsa.sa.gov.au/record=b2057079")</f>
        <v>https://www.catalog.slsa.sa.gov.au/record=b2057079</v>
      </c>
      <c r="C10143" s="1" t="str">
        <f>HYPERLINK("https://www.catalog.slsa.sa.gov.au/xrecord=b2057079")</f>
        <v>https://www.catalog.slsa.sa.gov.au/xrecord=b2057079</v>
      </c>
      <c r="D10143" t="s">
        <v>16831</v>
      </c>
      <c r="E10143" t="s">
        <v>31821</v>
      </c>
      <c r="F10143">
        <v>1982</v>
      </c>
      <c r="G10143" t="s">
        <v>31822</v>
      </c>
      <c r="H10143" t="s">
        <v>31823</v>
      </c>
      <c r="J10143" t="s">
        <v>24038</v>
      </c>
      <c r="K10143" s="2" t="str">
        <f>HYPERLINK("http://collections.slsa.sa.gov.au/mpcimg/40250/B40108.htm")</f>
        <v>http://collections.slsa.sa.gov.au/mpcimg/40250/B40108.htm</v>
      </c>
    </row>
    <row r="10144" spans="1:11" x14ac:dyDescent="0.25">
      <c r="A10144" t="s">
        <v>31824</v>
      </c>
      <c r="B10144" s="1" t="str">
        <f>HYPERLINK("https://www.catalog.slsa.sa.gov.au/record=b2057080")</f>
        <v>https://www.catalog.slsa.sa.gov.au/record=b2057080</v>
      </c>
      <c r="C10144" s="1" t="str">
        <f>HYPERLINK("https://www.catalog.slsa.sa.gov.au/xrecord=b2057080")</f>
        <v>https://www.catalog.slsa.sa.gov.au/xrecord=b2057080</v>
      </c>
      <c r="D10144" t="s">
        <v>16831</v>
      </c>
      <c r="E10144" t="s">
        <v>31825</v>
      </c>
      <c r="F10144">
        <v>1982</v>
      </c>
      <c r="G10144" t="s">
        <v>31826</v>
      </c>
      <c r="H10144" t="s">
        <v>31827</v>
      </c>
      <c r="J10144" t="s">
        <v>24038</v>
      </c>
      <c r="K10144" s="2" t="str">
        <f>HYPERLINK("http://collections.slsa.sa.gov.au/mpcimg/40250/B40109.htm")</f>
        <v>http://collections.slsa.sa.gov.au/mpcimg/40250/B40109.htm</v>
      </c>
    </row>
    <row r="10145" spans="1:11" x14ac:dyDescent="0.25">
      <c r="A10145" t="s">
        <v>31828</v>
      </c>
      <c r="B10145" s="1" t="str">
        <f>HYPERLINK("https://www.catalog.slsa.sa.gov.au/record=b2059825")</f>
        <v>https://www.catalog.slsa.sa.gov.au/record=b2059825</v>
      </c>
      <c r="C10145" s="1" t="str">
        <f>HYPERLINK("https://www.catalog.slsa.sa.gov.au/xrecord=b2059825")</f>
        <v>https://www.catalog.slsa.sa.gov.au/xrecord=b2059825</v>
      </c>
      <c r="D10145" t="s">
        <v>16831</v>
      </c>
      <c r="E10145" t="s">
        <v>15191</v>
      </c>
      <c r="F10145">
        <v>1982</v>
      </c>
      <c r="G10145" t="s">
        <v>31829</v>
      </c>
      <c r="H10145" t="s">
        <v>31830</v>
      </c>
      <c r="J10145" t="s">
        <v>21039</v>
      </c>
      <c r="K10145" s="2" t="str">
        <f>HYPERLINK("http://collections.slsa.sa.gov.au/mpcimg/40250/B40161.htm")</f>
        <v>http://collections.slsa.sa.gov.au/mpcimg/40250/B40161.htm</v>
      </c>
    </row>
    <row r="10146" spans="1:11" x14ac:dyDescent="0.25">
      <c r="A10146" t="s">
        <v>31831</v>
      </c>
      <c r="B10146" s="1" t="str">
        <f>HYPERLINK("https://www.catalog.slsa.sa.gov.au/record=b2059826")</f>
        <v>https://www.catalog.slsa.sa.gov.au/record=b2059826</v>
      </c>
      <c r="C10146" s="1" t="str">
        <f>HYPERLINK("https://www.catalog.slsa.sa.gov.au/xrecord=b2059826")</f>
        <v>https://www.catalog.slsa.sa.gov.au/xrecord=b2059826</v>
      </c>
      <c r="D10146" t="s">
        <v>16831</v>
      </c>
      <c r="E10146" t="s">
        <v>24175</v>
      </c>
      <c r="F10146">
        <v>1982</v>
      </c>
      <c r="G10146" t="s">
        <v>14859</v>
      </c>
      <c r="H10146" t="s">
        <v>31832</v>
      </c>
      <c r="J10146" t="s">
        <v>21039</v>
      </c>
      <c r="K10146" s="2" t="str">
        <f>HYPERLINK("http://collections.slsa.sa.gov.au/mpcimg/40250/B40162.htm")</f>
        <v>http://collections.slsa.sa.gov.au/mpcimg/40250/B40162.htm</v>
      </c>
    </row>
    <row r="10147" spans="1:11" x14ac:dyDescent="0.25">
      <c r="A10147" t="s">
        <v>31833</v>
      </c>
      <c r="B10147" s="1" t="str">
        <f>HYPERLINK("https://www.catalog.slsa.sa.gov.au/record=b2059827")</f>
        <v>https://www.catalog.slsa.sa.gov.au/record=b2059827</v>
      </c>
      <c r="C10147" s="1" t="str">
        <f>HYPERLINK("https://www.catalog.slsa.sa.gov.au/xrecord=b2059827")</f>
        <v>https://www.catalog.slsa.sa.gov.au/xrecord=b2059827</v>
      </c>
      <c r="D10147" t="s">
        <v>16831</v>
      </c>
      <c r="E10147" t="s">
        <v>24175</v>
      </c>
      <c r="F10147">
        <v>1982</v>
      </c>
      <c r="G10147" t="s">
        <v>31834</v>
      </c>
      <c r="H10147" t="s">
        <v>31832</v>
      </c>
      <c r="J10147" t="s">
        <v>21039</v>
      </c>
      <c r="K10147" s="2" t="str">
        <f>HYPERLINK("http://collections.slsa.sa.gov.au/mpcimg/40250/B40163.htm")</f>
        <v>http://collections.slsa.sa.gov.au/mpcimg/40250/B40163.htm</v>
      </c>
    </row>
    <row r="10148" spans="1:11" x14ac:dyDescent="0.25">
      <c r="A10148" t="s">
        <v>31835</v>
      </c>
      <c r="B10148" s="1" t="str">
        <f>HYPERLINK("https://www.catalog.slsa.sa.gov.au/record=b2059895")</f>
        <v>https://www.catalog.slsa.sa.gov.au/record=b2059895</v>
      </c>
      <c r="C10148" s="1" t="str">
        <f>HYPERLINK("https://www.catalog.slsa.sa.gov.au/xrecord=b2059895")</f>
        <v>https://www.catalog.slsa.sa.gov.au/xrecord=b2059895</v>
      </c>
      <c r="D10148" t="s">
        <v>16831</v>
      </c>
      <c r="E10148" t="s">
        <v>15191</v>
      </c>
      <c r="F10148">
        <v>1982</v>
      </c>
      <c r="G10148" t="s">
        <v>14809</v>
      </c>
      <c r="H10148" t="s">
        <v>31836</v>
      </c>
      <c r="J10148" t="s">
        <v>21044</v>
      </c>
      <c r="K10148" s="2" t="str">
        <f>HYPERLINK("http://collections.slsa.sa.gov.au/mpcimg/40000/B39994.htm")</f>
        <v>http://collections.slsa.sa.gov.au/mpcimg/40000/B39994.htm</v>
      </c>
    </row>
    <row r="10149" spans="1:11" x14ac:dyDescent="0.25">
      <c r="A10149" t="s">
        <v>31837</v>
      </c>
      <c r="B10149" s="1" t="str">
        <f>HYPERLINK("https://www.catalog.slsa.sa.gov.au/record=b2059896")</f>
        <v>https://www.catalog.slsa.sa.gov.au/record=b2059896</v>
      </c>
      <c r="C10149" s="1" t="str">
        <f>HYPERLINK("https://www.catalog.slsa.sa.gov.au/xrecord=b2059896")</f>
        <v>https://www.catalog.slsa.sa.gov.au/xrecord=b2059896</v>
      </c>
      <c r="D10149" t="s">
        <v>16831</v>
      </c>
      <c r="E10149" t="s">
        <v>15191</v>
      </c>
      <c r="F10149">
        <v>1982</v>
      </c>
      <c r="G10149" t="s">
        <v>14809</v>
      </c>
      <c r="H10149" t="s">
        <v>31838</v>
      </c>
      <c r="J10149" t="s">
        <v>21044</v>
      </c>
      <c r="K10149" s="2" t="str">
        <f>HYPERLINK("http://collections.slsa.sa.gov.au/mpcimg/40000/B39995.htm")</f>
        <v>http://collections.slsa.sa.gov.au/mpcimg/40000/B39995.htm</v>
      </c>
    </row>
    <row r="10150" spans="1:11" x14ac:dyDescent="0.25">
      <c r="A10150" t="s">
        <v>31839</v>
      </c>
      <c r="B10150" s="1" t="str">
        <f>HYPERLINK("https://www.catalog.slsa.sa.gov.au/record=b2059897")</f>
        <v>https://www.catalog.slsa.sa.gov.au/record=b2059897</v>
      </c>
      <c r="C10150" s="1" t="str">
        <f>HYPERLINK("https://www.catalog.slsa.sa.gov.au/xrecord=b2059897")</f>
        <v>https://www.catalog.slsa.sa.gov.au/xrecord=b2059897</v>
      </c>
      <c r="D10150" t="s">
        <v>16831</v>
      </c>
      <c r="E10150" t="s">
        <v>24265</v>
      </c>
      <c r="F10150">
        <v>1982</v>
      </c>
      <c r="G10150" t="s">
        <v>31840</v>
      </c>
      <c r="H10150" t="s">
        <v>31841</v>
      </c>
      <c r="J10150" t="s">
        <v>21044</v>
      </c>
      <c r="K10150" s="2" t="str">
        <f>HYPERLINK("http://collections.slsa.sa.gov.au/mpcimg/40250/B40164.htm")</f>
        <v>http://collections.slsa.sa.gov.au/mpcimg/40250/B40164.htm</v>
      </c>
    </row>
    <row r="10151" spans="1:11" x14ac:dyDescent="0.25">
      <c r="A10151" t="s">
        <v>31842</v>
      </c>
      <c r="B10151" s="1" t="str">
        <f>HYPERLINK("https://www.catalog.slsa.sa.gov.au/record=b2059898")</f>
        <v>https://www.catalog.slsa.sa.gov.au/record=b2059898</v>
      </c>
      <c r="C10151" s="1" t="str">
        <f>HYPERLINK("https://www.catalog.slsa.sa.gov.au/xrecord=b2059898")</f>
        <v>https://www.catalog.slsa.sa.gov.au/xrecord=b2059898</v>
      </c>
      <c r="D10151" t="s">
        <v>16831</v>
      </c>
      <c r="E10151" t="s">
        <v>24265</v>
      </c>
      <c r="F10151">
        <v>1982</v>
      </c>
      <c r="G10151" t="s">
        <v>31843</v>
      </c>
      <c r="H10151" t="s">
        <v>31844</v>
      </c>
      <c r="J10151" t="s">
        <v>21044</v>
      </c>
      <c r="K10151" s="2" t="str">
        <f>HYPERLINK("http://collections.slsa.sa.gov.au/mpcimg/40250/B40165.htm")</f>
        <v>http://collections.slsa.sa.gov.au/mpcimg/40250/B40165.htm</v>
      </c>
    </row>
    <row r="10152" spans="1:11" x14ac:dyDescent="0.25">
      <c r="A10152" t="s">
        <v>31845</v>
      </c>
      <c r="B10152" s="1" t="str">
        <f>HYPERLINK("https://www.catalog.slsa.sa.gov.au/record=b2059899")</f>
        <v>https://www.catalog.slsa.sa.gov.au/record=b2059899</v>
      </c>
      <c r="C10152" s="1" t="str">
        <f>HYPERLINK("https://www.catalog.slsa.sa.gov.au/xrecord=b2059899")</f>
        <v>https://www.catalog.slsa.sa.gov.au/xrecord=b2059899</v>
      </c>
      <c r="D10152" t="s">
        <v>16831</v>
      </c>
      <c r="E10152" t="s">
        <v>24265</v>
      </c>
      <c r="F10152">
        <v>1982</v>
      </c>
      <c r="G10152" t="s">
        <v>31846</v>
      </c>
      <c r="H10152" t="s">
        <v>31844</v>
      </c>
      <c r="J10152" t="s">
        <v>21044</v>
      </c>
      <c r="K10152" s="2" t="str">
        <f>HYPERLINK("http://collections.slsa.sa.gov.au/mpcimg/40250/B40166.htm")</f>
        <v>http://collections.slsa.sa.gov.au/mpcimg/40250/B40166.htm</v>
      </c>
    </row>
    <row r="10153" spans="1:11" x14ac:dyDescent="0.25">
      <c r="A10153" t="s">
        <v>31847</v>
      </c>
      <c r="B10153" s="1" t="str">
        <f>HYPERLINK("https://www.catalog.slsa.sa.gov.au/record=b2059922")</f>
        <v>https://www.catalog.slsa.sa.gov.au/record=b2059922</v>
      </c>
      <c r="C10153" s="1" t="str">
        <f>HYPERLINK("https://www.catalog.slsa.sa.gov.au/xrecord=b2059922")</f>
        <v>https://www.catalog.slsa.sa.gov.au/xrecord=b2059922</v>
      </c>
      <c r="D10153" t="s">
        <v>16831</v>
      </c>
      <c r="E10153" t="s">
        <v>25404</v>
      </c>
      <c r="F10153">
        <v>1982</v>
      </c>
      <c r="G10153" t="s">
        <v>14809</v>
      </c>
      <c r="H10153" t="s">
        <v>31848</v>
      </c>
      <c r="J10153" t="s">
        <v>28063</v>
      </c>
      <c r="K10153" s="2" t="str">
        <f>HYPERLINK("http://collections.slsa.sa.gov.au/mpcimg/40000/B39853.htm")</f>
        <v>http://collections.slsa.sa.gov.au/mpcimg/40000/B39853.htm</v>
      </c>
    </row>
    <row r="10154" spans="1:11" x14ac:dyDescent="0.25">
      <c r="A10154" t="s">
        <v>31849</v>
      </c>
      <c r="B10154" s="1" t="str">
        <f>HYPERLINK("https://www.catalog.slsa.sa.gov.au/record=b2059975")</f>
        <v>https://www.catalog.slsa.sa.gov.au/record=b2059975</v>
      </c>
      <c r="C10154" s="1" t="str">
        <f>HYPERLINK("https://www.catalog.slsa.sa.gov.au/xrecord=b2059975")</f>
        <v>https://www.catalog.slsa.sa.gov.au/xrecord=b2059975</v>
      </c>
      <c r="D10154" t="s">
        <v>16831</v>
      </c>
      <c r="E10154" t="s">
        <v>24316</v>
      </c>
      <c r="F10154">
        <v>1982</v>
      </c>
      <c r="G10154" t="s">
        <v>14859</v>
      </c>
      <c r="H10154" t="s">
        <v>31850</v>
      </c>
      <c r="J10154" t="s">
        <v>31851</v>
      </c>
      <c r="K10154" s="2" t="str">
        <f>HYPERLINK("http://collections.slsa.sa.gov.au/mpcimg/40250/B40167.htm")</f>
        <v>http://collections.slsa.sa.gov.au/mpcimg/40250/B40167.htm</v>
      </c>
    </row>
    <row r="10155" spans="1:11" x14ac:dyDescent="0.25">
      <c r="A10155" t="s">
        <v>31852</v>
      </c>
      <c r="B10155" s="1" t="str">
        <f>HYPERLINK("https://www.catalog.slsa.sa.gov.au/record=b2059976")</f>
        <v>https://www.catalog.slsa.sa.gov.au/record=b2059976</v>
      </c>
      <c r="C10155" s="1" t="str">
        <f>HYPERLINK("https://www.catalog.slsa.sa.gov.au/xrecord=b2059976")</f>
        <v>https://www.catalog.slsa.sa.gov.au/xrecord=b2059976</v>
      </c>
      <c r="D10155" t="s">
        <v>16831</v>
      </c>
      <c r="E10155" t="s">
        <v>20100</v>
      </c>
      <c r="F10155">
        <v>1982</v>
      </c>
      <c r="G10155" t="s">
        <v>14859</v>
      </c>
      <c r="H10155" t="s">
        <v>31850</v>
      </c>
      <c r="J10155" t="s">
        <v>31851</v>
      </c>
      <c r="K10155" s="2" t="str">
        <f>HYPERLINK("http://collections.slsa.sa.gov.au/mpcimg/40250/B40168.htm")</f>
        <v>http://collections.slsa.sa.gov.au/mpcimg/40250/B40168.htm</v>
      </c>
    </row>
    <row r="10156" spans="1:11" x14ac:dyDescent="0.25">
      <c r="A10156" t="s">
        <v>31853</v>
      </c>
      <c r="B10156" s="1" t="str">
        <f>HYPERLINK("https://www.catalog.slsa.sa.gov.au/record=b2059977")</f>
        <v>https://www.catalog.slsa.sa.gov.au/record=b2059977</v>
      </c>
      <c r="C10156" s="1" t="str">
        <f>HYPERLINK("https://www.catalog.slsa.sa.gov.au/xrecord=b2059977")</f>
        <v>https://www.catalog.slsa.sa.gov.au/xrecord=b2059977</v>
      </c>
      <c r="D10156" t="s">
        <v>16831</v>
      </c>
      <c r="E10156" t="s">
        <v>20100</v>
      </c>
      <c r="F10156">
        <v>1982</v>
      </c>
      <c r="G10156" t="s">
        <v>14903</v>
      </c>
      <c r="H10156" t="s">
        <v>31850</v>
      </c>
      <c r="J10156" t="s">
        <v>31851</v>
      </c>
      <c r="K10156" s="2" t="str">
        <f>HYPERLINK("http://collections.slsa.sa.gov.au/mpcimg/40250/B40169.htm")</f>
        <v>http://collections.slsa.sa.gov.au/mpcimg/40250/B40169.htm</v>
      </c>
    </row>
    <row r="10157" spans="1:11" x14ac:dyDescent="0.25">
      <c r="A10157" t="s">
        <v>31854</v>
      </c>
      <c r="B10157" s="1" t="str">
        <f>HYPERLINK("https://www.catalog.slsa.sa.gov.au/record=b2060791")</f>
        <v>https://www.catalog.slsa.sa.gov.au/record=b2060791</v>
      </c>
      <c r="C10157" s="1" t="str">
        <f>HYPERLINK("https://www.catalog.slsa.sa.gov.au/xrecord=b2060791")</f>
        <v>https://www.catalog.slsa.sa.gov.au/xrecord=b2060791</v>
      </c>
      <c r="D10157" t="s">
        <v>16831</v>
      </c>
      <c r="E10157" t="s">
        <v>31855</v>
      </c>
      <c r="F10157">
        <v>1982</v>
      </c>
      <c r="G10157" t="s">
        <v>14859</v>
      </c>
      <c r="H10157" t="s">
        <v>31856</v>
      </c>
      <c r="J10157" t="s">
        <v>22878</v>
      </c>
      <c r="K10157" s="2" t="str">
        <f>HYPERLINK("http://collections.slsa.sa.gov.au/mpcimg/40500/B40386.htm")</f>
        <v>http://collections.slsa.sa.gov.au/mpcimg/40500/B40386.htm</v>
      </c>
    </row>
    <row r="10158" spans="1:11" x14ac:dyDescent="0.25">
      <c r="A10158" t="s">
        <v>31857</v>
      </c>
      <c r="B10158" s="1" t="str">
        <f>HYPERLINK("https://www.catalog.slsa.sa.gov.au/record=b2060792")</f>
        <v>https://www.catalog.slsa.sa.gov.au/record=b2060792</v>
      </c>
      <c r="C10158" s="1" t="str">
        <f>HYPERLINK("https://www.catalog.slsa.sa.gov.au/xrecord=b2060792")</f>
        <v>https://www.catalog.slsa.sa.gov.au/xrecord=b2060792</v>
      </c>
      <c r="D10158" t="s">
        <v>16831</v>
      </c>
      <c r="E10158" t="s">
        <v>31855</v>
      </c>
      <c r="F10158">
        <v>1982</v>
      </c>
      <c r="G10158" t="s">
        <v>14859</v>
      </c>
      <c r="H10158" t="s">
        <v>31858</v>
      </c>
      <c r="J10158" t="s">
        <v>22878</v>
      </c>
      <c r="K10158" s="2" t="str">
        <f>HYPERLINK("http://collections.slsa.sa.gov.au/mpcimg/40500/B40387.htm")</f>
        <v>http://collections.slsa.sa.gov.au/mpcimg/40500/B40387.htm</v>
      </c>
    </row>
    <row r="10159" spans="1:11" x14ac:dyDescent="0.25">
      <c r="A10159" t="s">
        <v>31859</v>
      </c>
      <c r="B10159" s="1" t="str">
        <f>HYPERLINK("https://www.catalog.slsa.sa.gov.au/record=b2060811")</f>
        <v>https://www.catalog.slsa.sa.gov.au/record=b2060811</v>
      </c>
      <c r="C10159" s="1" t="str">
        <f>HYPERLINK("https://www.catalog.slsa.sa.gov.au/xrecord=b2060811")</f>
        <v>https://www.catalog.slsa.sa.gov.au/xrecord=b2060811</v>
      </c>
      <c r="D10159" t="s">
        <v>16831</v>
      </c>
      <c r="E10159" t="s">
        <v>30142</v>
      </c>
      <c r="F10159">
        <v>1982</v>
      </c>
      <c r="G10159" t="s">
        <v>14809</v>
      </c>
      <c r="H10159" t="s">
        <v>31860</v>
      </c>
      <c r="J10159" t="s">
        <v>27144</v>
      </c>
      <c r="K10159" s="2" t="str">
        <f>HYPERLINK("http://collections.slsa.sa.gov.au/mpcimg/40000/B39847.htm")</f>
        <v>http://collections.slsa.sa.gov.au/mpcimg/40000/B39847.htm</v>
      </c>
    </row>
    <row r="10160" spans="1:11" x14ac:dyDescent="0.25">
      <c r="A10160" t="s">
        <v>31861</v>
      </c>
      <c r="B10160" s="1" t="str">
        <f>HYPERLINK("https://www.catalog.slsa.sa.gov.au/record=b2061425")</f>
        <v>https://www.catalog.slsa.sa.gov.au/record=b2061425</v>
      </c>
      <c r="C10160" s="1" t="str">
        <f>HYPERLINK("https://www.catalog.slsa.sa.gov.au/xrecord=b2061425")</f>
        <v>https://www.catalog.slsa.sa.gov.au/xrecord=b2061425</v>
      </c>
      <c r="D10160" t="s">
        <v>16831</v>
      </c>
      <c r="E10160" t="s">
        <v>21232</v>
      </c>
      <c r="F10160">
        <v>1982</v>
      </c>
      <c r="G10160" t="s">
        <v>14809</v>
      </c>
      <c r="H10160" t="s">
        <v>31862</v>
      </c>
      <c r="J10160" t="s">
        <v>24408</v>
      </c>
      <c r="K10160" s="2" t="str">
        <f>HYPERLINK("http://collections.slsa.sa.gov.au/mpcimg/40000/B39848.htm")</f>
        <v>http://collections.slsa.sa.gov.au/mpcimg/40000/B39848.htm</v>
      </c>
    </row>
    <row r="10161" spans="1:11" x14ac:dyDescent="0.25">
      <c r="A10161" t="s">
        <v>31863</v>
      </c>
      <c r="B10161" s="1" t="str">
        <f>HYPERLINK("https://www.catalog.slsa.sa.gov.au/record=b2061426")</f>
        <v>https://www.catalog.slsa.sa.gov.au/record=b2061426</v>
      </c>
      <c r="C10161" s="1" t="str">
        <f>HYPERLINK("https://www.catalog.slsa.sa.gov.au/xrecord=b2061426")</f>
        <v>https://www.catalog.slsa.sa.gov.au/xrecord=b2061426</v>
      </c>
      <c r="D10161" t="s">
        <v>16831</v>
      </c>
      <c r="E10161" t="s">
        <v>28283</v>
      </c>
      <c r="F10161">
        <v>1982</v>
      </c>
      <c r="G10161" t="s">
        <v>14809</v>
      </c>
      <c r="H10161" t="s">
        <v>31864</v>
      </c>
      <c r="J10161" t="s">
        <v>24408</v>
      </c>
      <c r="K10161" s="2" t="str">
        <f>HYPERLINK("http://collections.slsa.sa.gov.au/mpcimg/40000/B39849.htm")</f>
        <v>http://collections.slsa.sa.gov.au/mpcimg/40000/B39849.htm</v>
      </c>
    </row>
    <row r="10162" spans="1:11" x14ac:dyDescent="0.25">
      <c r="A10162" t="s">
        <v>31865</v>
      </c>
      <c r="B10162" s="1" t="str">
        <f>HYPERLINK("https://www.catalog.slsa.sa.gov.au/record=b2061427")</f>
        <v>https://www.catalog.slsa.sa.gov.au/record=b2061427</v>
      </c>
      <c r="C10162" s="1" t="str">
        <f>HYPERLINK("https://www.catalog.slsa.sa.gov.au/xrecord=b2061427")</f>
        <v>https://www.catalog.slsa.sa.gov.au/xrecord=b2061427</v>
      </c>
      <c r="D10162" t="s">
        <v>16831</v>
      </c>
      <c r="E10162" t="s">
        <v>31866</v>
      </c>
      <c r="F10162">
        <v>1982</v>
      </c>
      <c r="G10162" t="s">
        <v>14809</v>
      </c>
      <c r="H10162" t="s">
        <v>31867</v>
      </c>
      <c r="J10162" t="s">
        <v>24408</v>
      </c>
      <c r="K10162" s="2" t="str">
        <f>HYPERLINK("http://collections.slsa.sa.gov.au/mpcimg/40000/B39850.htm")</f>
        <v>http://collections.slsa.sa.gov.au/mpcimg/40000/B39850.htm</v>
      </c>
    </row>
    <row r="10163" spans="1:11" x14ac:dyDescent="0.25">
      <c r="A10163" t="s">
        <v>31868</v>
      </c>
      <c r="B10163" s="1" t="str">
        <f>HYPERLINK("https://www.catalog.slsa.sa.gov.au/record=b2061434")</f>
        <v>https://www.catalog.slsa.sa.gov.au/record=b2061434</v>
      </c>
      <c r="C10163" s="1" t="str">
        <f>HYPERLINK("https://www.catalog.slsa.sa.gov.au/xrecord=b2061434")</f>
        <v>https://www.catalog.slsa.sa.gov.au/xrecord=b2061434</v>
      </c>
      <c r="D10163" t="s">
        <v>16831</v>
      </c>
      <c r="E10163" t="s">
        <v>31869</v>
      </c>
      <c r="F10163">
        <v>1982</v>
      </c>
      <c r="G10163" t="s">
        <v>14809</v>
      </c>
      <c r="H10163" t="s">
        <v>31870</v>
      </c>
      <c r="J10163" t="s">
        <v>31315</v>
      </c>
      <c r="K10163" s="2" t="str">
        <f>HYPERLINK("http://collections.slsa.sa.gov.au/mpcimg/40000/B39854.htm")</f>
        <v>http://collections.slsa.sa.gov.au/mpcimg/40000/B39854.htm</v>
      </c>
    </row>
    <row r="10164" spans="1:11" x14ac:dyDescent="0.25">
      <c r="A10164" t="s">
        <v>31871</v>
      </c>
      <c r="B10164" s="1" t="str">
        <f>HYPERLINK("https://www.catalog.slsa.sa.gov.au/record=b2061435")</f>
        <v>https://www.catalog.slsa.sa.gov.au/record=b2061435</v>
      </c>
      <c r="C10164" s="1" t="str">
        <f>HYPERLINK("https://www.catalog.slsa.sa.gov.au/xrecord=b2061435")</f>
        <v>https://www.catalog.slsa.sa.gov.au/xrecord=b2061435</v>
      </c>
      <c r="D10164" t="s">
        <v>16831</v>
      </c>
      <c r="E10164" t="s">
        <v>31869</v>
      </c>
      <c r="F10164">
        <v>1982</v>
      </c>
      <c r="G10164" t="s">
        <v>14809</v>
      </c>
      <c r="H10164" t="s">
        <v>31872</v>
      </c>
      <c r="J10164" t="s">
        <v>31315</v>
      </c>
      <c r="K10164" s="2" t="str">
        <f>HYPERLINK("http://collections.slsa.sa.gov.au/mpcimg/40000/B39855.htm")</f>
        <v>http://collections.slsa.sa.gov.au/mpcimg/40000/B39855.htm</v>
      </c>
    </row>
    <row r="10165" spans="1:11" x14ac:dyDescent="0.25">
      <c r="A10165" t="s">
        <v>31873</v>
      </c>
      <c r="B10165" s="1" t="str">
        <f>HYPERLINK("https://www.catalog.slsa.sa.gov.au/record=b2061436")</f>
        <v>https://www.catalog.slsa.sa.gov.au/record=b2061436</v>
      </c>
      <c r="C10165" s="1" t="str">
        <f>HYPERLINK("https://www.catalog.slsa.sa.gov.au/xrecord=b2061436")</f>
        <v>https://www.catalog.slsa.sa.gov.au/xrecord=b2061436</v>
      </c>
      <c r="D10165" t="s">
        <v>16831</v>
      </c>
      <c r="E10165" t="s">
        <v>31869</v>
      </c>
      <c r="F10165">
        <v>1982</v>
      </c>
      <c r="G10165" t="s">
        <v>14809</v>
      </c>
      <c r="H10165" t="s">
        <v>31870</v>
      </c>
      <c r="J10165" t="s">
        <v>31315</v>
      </c>
      <c r="K10165" s="2" t="str">
        <f>HYPERLINK("http://collections.slsa.sa.gov.au/mpcimg/40000/B39856.htm")</f>
        <v>http://collections.slsa.sa.gov.au/mpcimg/40000/B39856.htm</v>
      </c>
    </row>
    <row r="10166" spans="1:11" x14ac:dyDescent="0.25">
      <c r="A10166" t="s">
        <v>31874</v>
      </c>
      <c r="B10166" s="1" t="str">
        <f>HYPERLINK("https://www.catalog.slsa.sa.gov.au/record=b2061437")</f>
        <v>https://www.catalog.slsa.sa.gov.au/record=b2061437</v>
      </c>
      <c r="C10166" s="1" t="str">
        <f>HYPERLINK("https://www.catalog.slsa.sa.gov.au/xrecord=b2061437")</f>
        <v>https://www.catalog.slsa.sa.gov.au/xrecord=b2061437</v>
      </c>
      <c r="D10166" t="s">
        <v>16831</v>
      </c>
      <c r="E10166" t="s">
        <v>25471</v>
      </c>
      <c r="F10166">
        <v>1982</v>
      </c>
      <c r="G10166" t="s">
        <v>14809</v>
      </c>
      <c r="H10166" t="s">
        <v>31875</v>
      </c>
      <c r="J10166" t="s">
        <v>31315</v>
      </c>
      <c r="K10166" s="2" t="str">
        <f>HYPERLINK("http://collections.slsa.sa.gov.au/mpcimg/40000/B39979.htm")</f>
        <v>http://collections.slsa.sa.gov.au/mpcimg/40000/B39979.htm</v>
      </c>
    </row>
    <row r="10167" spans="1:11" x14ac:dyDescent="0.25">
      <c r="A10167" t="s">
        <v>31876</v>
      </c>
      <c r="B10167" s="1" t="str">
        <f>HYPERLINK("https://www.catalog.slsa.sa.gov.au/record=b2061438")</f>
        <v>https://www.catalog.slsa.sa.gov.au/record=b2061438</v>
      </c>
      <c r="C10167" s="1" t="str">
        <f>HYPERLINK("https://www.catalog.slsa.sa.gov.au/xrecord=b2061438")</f>
        <v>https://www.catalog.slsa.sa.gov.au/xrecord=b2061438</v>
      </c>
      <c r="D10167" t="s">
        <v>16831</v>
      </c>
      <c r="E10167" t="s">
        <v>25471</v>
      </c>
      <c r="F10167">
        <v>1982</v>
      </c>
      <c r="G10167" t="s">
        <v>14809</v>
      </c>
      <c r="H10167" t="s">
        <v>31875</v>
      </c>
      <c r="J10167" t="s">
        <v>31315</v>
      </c>
      <c r="K10167" s="2" t="str">
        <f>HYPERLINK("http://collections.slsa.sa.gov.au/mpcimg/40000/B39980.htm")</f>
        <v>http://collections.slsa.sa.gov.au/mpcimg/40000/B39980.htm</v>
      </c>
    </row>
    <row r="10168" spans="1:11" x14ac:dyDescent="0.25">
      <c r="A10168" t="s">
        <v>31877</v>
      </c>
      <c r="B10168" s="1" t="str">
        <f>HYPERLINK("https://www.catalog.slsa.sa.gov.au/record=b2061439")</f>
        <v>https://www.catalog.slsa.sa.gov.au/record=b2061439</v>
      </c>
      <c r="C10168" s="1" t="str">
        <f>HYPERLINK("https://www.catalog.slsa.sa.gov.au/xrecord=b2061439")</f>
        <v>https://www.catalog.slsa.sa.gov.au/xrecord=b2061439</v>
      </c>
      <c r="D10168" t="s">
        <v>16831</v>
      </c>
      <c r="E10168" t="s">
        <v>25471</v>
      </c>
      <c r="F10168">
        <v>1982</v>
      </c>
      <c r="G10168" t="s">
        <v>14809</v>
      </c>
      <c r="H10168" t="s">
        <v>31878</v>
      </c>
      <c r="J10168" t="s">
        <v>31315</v>
      </c>
      <c r="K10168" s="2" t="str">
        <f>HYPERLINK("http://collections.slsa.sa.gov.au/mpcimg/40000/B39981.htm")</f>
        <v>http://collections.slsa.sa.gov.au/mpcimg/40000/B39981.htm</v>
      </c>
    </row>
    <row r="10169" spans="1:11" x14ac:dyDescent="0.25">
      <c r="A10169" t="s">
        <v>31879</v>
      </c>
      <c r="B10169" s="1" t="str">
        <f>HYPERLINK("https://www.catalog.slsa.sa.gov.au/record=b2061959")</f>
        <v>https://www.catalog.slsa.sa.gov.au/record=b2061959</v>
      </c>
      <c r="C10169" s="1" t="str">
        <f>HYPERLINK("https://www.catalog.slsa.sa.gov.au/xrecord=b2061959")</f>
        <v>https://www.catalog.slsa.sa.gov.au/xrecord=b2061959</v>
      </c>
      <c r="D10169" t="s">
        <v>16831</v>
      </c>
      <c r="E10169" t="s">
        <v>21208</v>
      </c>
      <c r="F10169">
        <v>1982</v>
      </c>
      <c r="G10169" t="s">
        <v>14936</v>
      </c>
      <c r="H10169" t="s">
        <v>31880</v>
      </c>
      <c r="J10169" t="s">
        <v>31881</v>
      </c>
      <c r="K10169" s="2" t="str">
        <f>HYPERLINK("http://collections.slsa.sa.gov.au/mpcimg/40250/B40170.htm")</f>
        <v>http://collections.slsa.sa.gov.au/mpcimg/40250/B40170.htm</v>
      </c>
    </row>
    <row r="10170" spans="1:11" x14ac:dyDescent="0.25">
      <c r="A10170" t="s">
        <v>31882</v>
      </c>
      <c r="B10170" s="1" t="str">
        <f>HYPERLINK("https://www.catalog.slsa.sa.gov.au/record=b2061960")</f>
        <v>https://www.catalog.slsa.sa.gov.au/record=b2061960</v>
      </c>
      <c r="C10170" s="1" t="str">
        <f>HYPERLINK("https://www.catalog.slsa.sa.gov.au/xrecord=b2061960")</f>
        <v>https://www.catalog.slsa.sa.gov.au/xrecord=b2061960</v>
      </c>
      <c r="D10170" t="s">
        <v>16831</v>
      </c>
      <c r="E10170" t="s">
        <v>21208</v>
      </c>
      <c r="F10170">
        <v>1982</v>
      </c>
      <c r="G10170" t="s">
        <v>31834</v>
      </c>
      <c r="H10170" t="s">
        <v>31883</v>
      </c>
      <c r="J10170" t="s">
        <v>31881</v>
      </c>
      <c r="K10170" s="2" t="str">
        <f>HYPERLINK("http://collections.slsa.sa.gov.au/mpcimg/40250/B40171.htm")</f>
        <v>http://collections.slsa.sa.gov.au/mpcimg/40250/B40171.htm</v>
      </c>
    </row>
    <row r="10171" spans="1:11" x14ac:dyDescent="0.25">
      <c r="A10171" t="s">
        <v>31884</v>
      </c>
      <c r="B10171" s="1" t="str">
        <f>HYPERLINK("https://www.catalog.slsa.sa.gov.au/record=b2062817")</f>
        <v>https://www.catalog.slsa.sa.gov.au/record=b2062817</v>
      </c>
      <c r="C10171" s="1" t="str">
        <f>HYPERLINK("https://www.catalog.slsa.sa.gov.au/xrecord=b2062817")</f>
        <v>https://www.catalog.slsa.sa.gov.au/xrecord=b2062817</v>
      </c>
      <c r="D10171" t="s">
        <v>16831</v>
      </c>
      <c r="E10171" t="s">
        <v>31885</v>
      </c>
      <c r="F10171">
        <v>1982</v>
      </c>
      <c r="G10171" t="s">
        <v>31886</v>
      </c>
      <c r="H10171" t="s">
        <v>31887</v>
      </c>
      <c r="J10171" t="s">
        <v>28676</v>
      </c>
      <c r="K10171" s="2" t="str">
        <f>HYPERLINK("http://collections.slsa.sa.gov.au/mpcimg/41000/B40927.htm")</f>
        <v>http://collections.slsa.sa.gov.au/mpcimg/41000/B40927.htm</v>
      </c>
    </row>
    <row r="10172" spans="1:11" x14ac:dyDescent="0.25">
      <c r="A10172" t="s">
        <v>31888</v>
      </c>
      <c r="B10172" s="1" t="str">
        <f>HYPERLINK("https://www.catalog.slsa.sa.gov.au/record=b2062818")</f>
        <v>https://www.catalog.slsa.sa.gov.au/record=b2062818</v>
      </c>
      <c r="C10172" s="1" t="str">
        <f>HYPERLINK("https://www.catalog.slsa.sa.gov.au/xrecord=b2062818")</f>
        <v>https://www.catalog.slsa.sa.gov.au/xrecord=b2062818</v>
      </c>
      <c r="D10172" t="s">
        <v>16831</v>
      </c>
      <c r="E10172" t="s">
        <v>31885</v>
      </c>
      <c r="F10172">
        <v>1982</v>
      </c>
      <c r="G10172" t="s">
        <v>27218</v>
      </c>
      <c r="H10172" t="s">
        <v>31887</v>
      </c>
      <c r="J10172" t="s">
        <v>28676</v>
      </c>
      <c r="K10172" s="2" t="str">
        <f>HYPERLINK("http://collections.slsa.sa.gov.au/mpcimg/41000/B40928.htm")</f>
        <v>http://collections.slsa.sa.gov.au/mpcimg/41000/B40928.htm</v>
      </c>
    </row>
    <row r="10173" spans="1:11" x14ac:dyDescent="0.25">
      <c r="A10173" t="s">
        <v>31889</v>
      </c>
      <c r="B10173" s="1" t="str">
        <f>HYPERLINK("https://www.catalog.slsa.sa.gov.au/record=b2062819")</f>
        <v>https://www.catalog.slsa.sa.gov.au/record=b2062819</v>
      </c>
      <c r="C10173" s="1" t="str">
        <f>HYPERLINK("https://www.catalog.slsa.sa.gov.au/xrecord=b2062819")</f>
        <v>https://www.catalog.slsa.sa.gov.au/xrecord=b2062819</v>
      </c>
      <c r="D10173" t="s">
        <v>16831</v>
      </c>
      <c r="E10173" t="s">
        <v>31885</v>
      </c>
      <c r="F10173">
        <v>1982</v>
      </c>
      <c r="G10173" t="s">
        <v>31886</v>
      </c>
      <c r="H10173" t="s">
        <v>31890</v>
      </c>
      <c r="J10173" t="s">
        <v>28676</v>
      </c>
      <c r="K10173" s="2" t="str">
        <f>HYPERLINK("http://collections.slsa.sa.gov.au/mpcimg/41000/B40929.htm")</f>
        <v>http://collections.slsa.sa.gov.au/mpcimg/41000/B40929.htm</v>
      </c>
    </row>
    <row r="10174" spans="1:11" x14ac:dyDescent="0.25">
      <c r="A10174" t="s">
        <v>31891</v>
      </c>
      <c r="B10174" s="1" t="str">
        <f>HYPERLINK("https://www.catalog.slsa.sa.gov.au/record=b2062950")</f>
        <v>https://www.catalog.slsa.sa.gov.au/record=b2062950</v>
      </c>
      <c r="C10174" s="1" t="str">
        <f>HYPERLINK("https://www.catalog.slsa.sa.gov.au/xrecord=b2062950")</f>
        <v>https://www.catalog.slsa.sa.gov.au/xrecord=b2062950</v>
      </c>
      <c r="D10174" t="s">
        <v>16831</v>
      </c>
      <c r="E10174" t="s">
        <v>31892</v>
      </c>
      <c r="F10174">
        <v>1982</v>
      </c>
      <c r="G10174" t="s">
        <v>15147</v>
      </c>
      <c r="H10174" t="s">
        <v>31893</v>
      </c>
      <c r="J10174" t="s">
        <v>31894</v>
      </c>
      <c r="K10174" s="2" t="str">
        <f>HYPERLINK("http://collections.slsa.sa.gov.au/mpcimg/40000/B39985.htm")</f>
        <v>http://collections.slsa.sa.gov.au/mpcimg/40000/B39985.htm</v>
      </c>
    </row>
    <row r="10175" spans="1:11" x14ac:dyDescent="0.25">
      <c r="A10175" t="s">
        <v>31895</v>
      </c>
      <c r="B10175" s="1" t="str">
        <f>HYPERLINK("https://www.catalog.slsa.sa.gov.au/record=b2062951")</f>
        <v>https://www.catalog.slsa.sa.gov.au/record=b2062951</v>
      </c>
      <c r="C10175" s="1" t="str">
        <f>HYPERLINK("https://www.catalog.slsa.sa.gov.au/xrecord=b2062951")</f>
        <v>https://www.catalog.slsa.sa.gov.au/xrecord=b2062951</v>
      </c>
      <c r="D10175" t="s">
        <v>16831</v>
      </c>
      <c r="E10175" t="s">
        <v>31896</v>
      </c>
      <c r="F10175">
        <v>1982</v>
      </c>
      <c r="G10175" t="s">
        <v>15147</v>
      </c>
      <c r="H10175" t="s">
        <v>31897</v>
      </c>
      <c r="J10175" t="s">
        <v>31894</v>
      </c>
      <c r="K10175" s="2" t="str">
        <f>HYPERLINK("http://collections.slsa.sa.gov.au/mpcimg/40000/B39986.htm")</f>
        <v>http://collections.slsa.sa.gov.au/mpcimg/40000/B39986.htm</v>
      </c>
    </row>
    <row r="10176" spans="1:11" x14ac:dyDescent="0.25">
      <c r="A10176" t="s">
        <v>31898</v>
      </c>
      <c r="B10176" s="1" t="str">
        <f>HYPERLINK("https://www.catalog.slsa.sa.gov.au/record=b2062952")</f>
        <v>https://www.catalog.slsa.sa.gov.au/record=b2062952</v>
      </c>
      <c r="C10176" s="1" t="str">
        <f>HYPERLINK("https://www.catalog.slsa.sa.gov.au/xrecord=b2062952")</f>
        <v>https://www.catalog.slsa.sa.gov.au/xrecord=b2062952</v>
      </c>
      <c r="D10176" t="s">
        <v>16831</v>
      </c>
      <c r="E10176" t="s">
        <v>25404</v>
      </c>
      <c r="F10176">
        <v>1982</v>
      </c>
      <c r="G10176" t="s">
        <v>15147</v>
      </c>
      <c r="H10176" t="s">
        <v>31899</v>
      </c>
      <c r="J10176" t="s">
        <v>31894</v>
      </c>
      <c r="K10176" s="2" t="str">
        <f>HYPERLINK("http://collections.slsa.sa.gov.au/mpcimg/40000/B39987.htm")</f>
        <v>http://collections.slsa.sa.gov.au/mpcimg/40000/B39987.htm</v>
      </c>
    </row>
    <row r="10177" spans="1:11" x14ac:dyDescent="0.25">
      <c r="A10177" t="s">
        <v>31900</v>
      </c>
      <c r="B10177" s="1" t="str">
        <f>HYPERLINK("https://www.catalog.slsa.sa.gov.au/record=b2062953")</f>
        <v>https://www.catalog.slsa.sa.gov.au/record=b2062953</v>
      </c>
      <c r="C10177" s="1" t="str">
        <f>HYPERLINK("https://www.catalog.slsa.sa.gov.au/xrecord=b2062953")</f>
        <v>https://www.catalog.slsa.sa.gov.au/xrecord=b2062953</v>
      </c>
      <c r="D10177" t="s">
        <v>16831</v>
      </c>
      <c r="E10177" t="s">
        <v>25404</v>
      </c>
      <c r="F10177">
        <v>1982</v>
      </c>
      <c r="G10177" t="s">
        <v>15147</v>
      </c>
      <c r="H10177" t="s">
        <v>31899</v>
      </c>
      <c r="J10177" t="s">
        <v>31894</v>
      </c>
      <c r="K10177" s="2" t="str">
        <f>HYPERLINK("http://collections.slsa.sa.gov.au/mpcimg/40000/B39988.htm")</f>
        <v>http://collections.slsa.sa.gov.au/mpcimg/40000/B39988.htm</v>
      </c>
    </row>
    <row r="10178" spans="1:11" x14ac:dyDescent="0.25">
      <c r="A10178" t="s">
        <v>31901</v>
      </c>
      <c r="B10178" s="1" t="str">
        <f>HYPERLINK("https://www.catalog.slsa.sa.gov.au/record=b2204722")</f>
        <v>https://www.catalog.slsa.sa.gov.au/record=b2204722</v>
      </c>
      <c r="C10178" s="1" t="str">
        <f>HYPERLINK("https://www.catalog.slsa.sa.gov.au/xrecord=b2204722")</f>
        <v>https://www.catalog.slsa.sa.gov.au/xrecord=b2204722</v>
      </c>
      <c r="D10178" t="s">
        <v>31902</v>
      </c>
      <c r="E10178" t="s">
        <v>31903</v>
      </c>
      <c r="F10178">
        <v>1982</v>
      </c>
      <c r="G10178" t="s">
        <v>18310</v>
      </c>
      <c r="H10178" t="s">
        <v>31904</v>
      </c>
      <c r="J10178" t="s">
        <v>14768</v>
      </c>
      <c r="K10178" s="2" t="str">
        <f>HYPERLINK("http://collections.slsa.sa.gov.au/mpcimg/69500/B69282_41.htm")</f>
        <v>http://collections.slsa.sa.gov.au/mpcimg/69500/B69282_41.htm</v>
      </c>
    </row>
    <row r="10179" spans="1:11" x14ac:dyDescent="0.25">
      <c r="A10179" t="s">
        <v>31905</v>
      </c>
      <c r="B10179" s="1" t="str">
        <f>HYPERLINK("https://www.catalog.slsa.sa.gov.au/record=b2843057")</f>
        <v>https://www.catalog.slsa.sa.gov.au/record=b2843057</v>
      </c>
      <c r="C10179" s="1" t="str">
        <f>HYPERLINK("https://www.catalog.slsa.sa.gov.au/xrecord=b2843057")</f>
        <v>https://www.catalog.slsa.sa.gov.au/xrecord=b2843057</v>
      </c>
      <c r="D10179" t="s">
        <v>16831</v>
      </c>
      <c r="E10179" t="s">
        <v>31779</v>
      </c>
      <c r="F10179">
        <v>1982</v>
      </c>
      <c r="G10179" t="s">
        <v>31906</v>
      </c>
      <c r="H10179" t="s">
        <v>31907</v>
      </c>
      <c r="I10179" t="s">
        <v>31782</v>
      </c>
      <c r="J10179" t="s">
        <v>27982</v>
      </c>
      <c r="K10179" s="2" t="str">
        <f>HYPERLINK("http://collections.slsa.sa.gov.au/mpcimg/72750/B72585.htm")</f>
        <v>http://collections.slsa.sa.gov.au/mpcimg/72750/B72585.htm</v>
      </c>
    </row>
    <row r="10180" spans="1:11" x14ac:dyDescent="0.25">
      <c r="A10180" t="s">
        <v>31908</v>
      </c>
      <c r="B10180" s="1" t="str">
        <f>HYPERLINK("https://www.catalog.slsa.sa.gov.au/record=b2923995")</f>
        <v>https://www.catalog.slsa.sa.gov.au/record=b2923995</v>
      </c>
      <c r="C10180" s="1" t="str">
        <f>HYPERLINK("https://www.catalog.slsa.sa.gov.au/xrecord=b2923995")</f>
        <v>https://www.catalog.slsa.sa.gov.au/xrecord=b2923995</v>
      </c>
      <c r="E10180" t="s">
        <v>31909</v>
      </c>
      <c r="F10180">
        <v>1982</v>
      </c>
      <c r="G10180" t="s">
        <v>31910</v>
      </c>
      <c r="H10180" t="s">
        <v>31911</v>
      </c>
      <c r="I10180" t="s">
        <v>31912</v>
      </c>
      <c r="J10180" t="s">
        <v>27982</v>
      </c>
      <c r="K10180" s="2" t="str">
        <f>HYPERLINK("http://collections.slsa.sa.gov.au/mpcimg/73250/B73241.htm")</f>
        <v>http://collections.slsa.sa.gov.au/mpcimg/73250/B73241.htm</v>
      </c>
    </row>
    <row r="10181" spans="1:11" x14ac:dyDescent="0.25">
      <c r="A10181" t="s">
        <v>31913</v>
      </c>
      <c r="B10181" s="1" t="str">
        <f>HYPERLINK("https://www.catalog.slsa.sa.gov.au/record=b2924005")</f>
        <v>https://www.catalog.slsa.sa.gov.au/record=b2924005</v>
      </c>
      <c r="C10181" s="1" t="str">
        <f>HYPERLINK("https://www.catalog.slsa.sa.gov.au/xrecord=b2924005")</f>
        <v>https://www.catalog.slsa.sa.gov.au/xrecord=b2924005</v>
      </c>
      <c r="E10181" t="s">
        <v>31909</v>
      </c>
      <c r="F10181">
        <v>1982</v>
      </c>
      <c r="G10181" t="s">
        <v>31910</v>
      </c>
      <c r="H10181" t="s">
        <v>31914</v>
      </c>
      <c r="I10181" t="s">
        <v>31915</v>
      </c>
      <c r="J10181" t="s">
        <v>27982</v>
      </c>
      <c r="K10181" s="2" t="str">
        <f>HYPERLINK("http://collections.slsa.sa.gov.au/mpcimg/73250/B73242.htm")</f>
        <v>http://collections.slsa.sa.gov.au/mpcimg/73250/B73242.htm</v>
      </c>
    </row>
    <row r="10182" spans="1:11" x14ac:dyDescent="0.25">
      <c r="A10182" t="s">
        <v>31916</v>
      </c>
      <c r="B10182" s="1" t="str">
        <f>HYPERLINK("https://www.catalog.slsa.sa.gov.au/record=b2100901")</f>
        <v>https://www.catalog.slsa.sa.gov.au/record=b2100901</v>
      </c>
      <c r="C10182" s="1" t="str">
        <f>HYPERLINK("https://www.catalog.slsa.sa.gov.au/xrecord=b2100901")</f>
        <v>https://www.catalog.slsa.sa.gov.au/xrecord=b2100901</v>
      </c>
      <c r="D10182" t="s">
        <v>31917</v>
      </c>
      <c r="E10182" t="s">
        <v>31918</v>
      </c>
      <c r="F10182" t="s">
        <v>31919</v>
      </c>
      <c r="G10182" t="s">
        <v>31920</v>
      </c>
      <c r="H10182" t="s">
        <v>31921</v>
      </c>
      <c r="I10182" t="s">
        <v>31922</v>
      </c>
      <c r="J10182" t="s">
        <v>14768</v>
      </c>
      <c r="K10182" s="2" t="str">
        <f>HYPERLINK("http://collections.slsa.sa.gov.au/mpcimg/63750/B63595_2.htm")</f>
        <v>http://collections.slsa.sa.gov.au/mpcimg/63750/B63595_2.htm</v>
      </c>
    </row>
    <row r="10183" spans="1:11" x14ac:dyDescent="0.25">
      <c r="A10183" t="s">
        <v>31923</v>
      </c>
      <c r="B10183" s="1" t="str">
        <f>HYPERLINK("https://www.catalog.slsa.sa.gov.au/record=b2059387")</f>
        <v>https://www.catalog.slsa.sa.gov.au/record=b2059387</v>
      </c>
      <c r="C10183" s="1" t="str">
        <f>HYPERLINK("https://www.catalog.slsa.sa.gov.au/xrecord=b2059387")</f>
        <v>https://www.catalog.slsa.sa.gov.au/xrecord=b2059387</v>
      </c>
      <c r="D10183" t="s">
        <v>16831</v>
      </c>
      <c r="E10183" t="s">
        <v>20096</v>
      </c>
      <c r="F10183">
        <v>1983</v>
      </c>
      <c r="G10183" t="s">
        <v>31924</v>
      </c>
      <c r="H10183" t="s">
        <v>31925</v>
      </c>
      <c r="J10183" t="s">
        <v>27742</v>
      </c>
      <c r="K10183" s="2" t="str">
        <f>HYPERLINK("http://collections.slsa.sa.gov.au/mpcimg/43000/B42956.htm")</f>
        <v>http://collections.slsa.sa.gov.au/mpcimg/43000/B42956.htm</v>
      </c>
    </row>
    <row r="10184" spans="1:11" x14ac:dyDescent="0.25">
      <c r="A10184" t="s">
        <v>31926</v>
      </c>
      <c r="B10184" s="1" t="str">
        <f>HYPERLINK("https://www.catalog.slsa.sa.gov.au/record=b2059388")</f>
        <v>https://www.catalog.slsa.sa.gov.au/record=b2059388</v>
      </c>
      <c r="C10184" s="1" t="str">
        <f>HYPERLINK("https://www.catalog.slsa.sa.gov.au/xrecord=b2059388")</f>
        <v>https://www.catalog.slsa.sa.gov.au/xrecord=b2059388</v>
      </c>
      <c r="D10184" t="s">
        <v>16831</v>
      </c>
      <c r="E10184" t="s">
        <v>20096</v>
      </c>
      <c r="F10184">
        <v>1983</v>
      </c>
      <c r="G10184" t="s">
        <v>31924</v>
      </c>
      <c r="H10184" t="s">
        <v>31927</v>
      </c>
      <c r="J10184" t="s">
        <v>27742</v>
      </c>
      <c r="K10184" s="2" t="str">
        <f>HYPERLINK("http://collections.slsa.sa.gov.au/mpcimg/43000/B42957.htm")</f>
        <v>http://collections.slsa.sa.gov.au/mpcimg/43000/B42957.htm</v>
      </c>
    </row>
    <row r="10185" spans="1:11" x14ac:dyDescent="0.25">
      <c r="A10185" t="s">
        <v>31928</v>
      </c>
      <c r="B10185" s="1" t="str">
        <f>HYPERLINK("https://www.catalog.slsa.sa.gov.au/record=b2059389")</f>
        <v>https://www.catalog.slsa.sa.gov.au/record=b2059389</v>
      </c>
      <c r="C10185" s="1" t="str">
        <f>HYPERLINK("https://www.catalog.slsa.sa.gov.au/xrecord=b2059389")</f>
        <v>https://www.catalog.slsa.sa.gov.au/xrecord=b2059389</v>
      </c>
      <c r="D10185" t="s">
        <v>16831</v>
      </c>
      <c r="E10185" t="s">
        <v>20096</v>
      </c>
      <c r="F10185">
        <v>1983</v>
      </c>
      <c r="G10185" t="s">
        <v>31924</v>
      </c>
      <c r="H10185" t="s">
        <v>31929</v>
      </c>
      <c r="J10185" t="s">
        <v>27742</v>
      </c>
      <c r="K10185" s="2" t="str">
        <f>HYPERLINK("http://collections.slsa.sa.gov.au/mpcimg/43000/B42958.htm")</f>
        <v>http://collections.slsa.sa.gov.au/mpcimg/43000/B42958.htm</v>
      </c>
    </row>
    <row r="10186" spans="1:11" x14ac:dyDescent="0.25">
      <c r="A10186" t="s">
        <v>31930</v>
      </c>
      <c r="B10186" s="1" t="str">
        <f>HYPERLINK("https://www.catalog.slsa.sa.gov.au/record=b2060863")</f>
        <v>https://www.catalog.slsa.sa.gov.au/record=b2060863</v>
      </c>
      <c r="C10186" s="1" t="str">
        <f>HYPERLINK("https://www.catalog.slsa.sa.gov.au/xrecord=b2060863")</f>
        <v>https://www.catalog.slsa.sa.gov.au/xrecord=b2060863</v>
      </c>
      <c r="D10186" t="s">
        <v>16831</v>
      </c>
      <c r="E10186" t="s">
        <v>31931</v>
      </c>
      <c r="F10186">
        <v>1983</v>
      </c>
      <c r="G10186" t="s">
        <v>31932</v>
      </c>
      <c r="H10186" t="s">
        <v>31933</v>
      </c>
      <c r="J10186" t="s">
        <v>24331</v>
      </c>
      <c r="K10186" s="2" t="str">
        <f>HYPERLINK("http://collections.slsa.sa.gov.au/mpcimg/43000/B42813.htm")</f>
        <v>http://collections.slsa.sa.gov.au/mpcimg/43000/B42813.htm</v>
      </c>
    </row>
    <row r="10187" spans="1:11" x14ac:dyDescent="0.25">
      <c r="A10187" t="s">
        <v>31934</v>
      </c>
      <c r="B10187" s="1" t="str">
        <f>HYPERLINK("https://www.catalog.slsa.sa.gov.au/record=b2061389")</f>
        <v>https://www.catalog.slsa.sa.gov.au/record=b2061389</v>
      </c>
      <c r="C10187" s="1" t="str">
        <f>HYPERLINK("https://www.catalog.slsa.sa.gov.au/xrecord=b2061389")</f>
        <v>https://www.catalog.slsa.sa.gov.au/xrecord=b2061389</v>
      </c>
      <c r="D10187" t="s">
        <v>16831</v>
      </c>
      <c r="E10187" t="s">
        <v>21014</v>
      </c>
      <c r="F10187">
        <v>1983</v>
      </c>
      <c r="G10187" t="s">
        <v>31924</v>
      </c>
      <c r="H10187" t="s">
        <v>31935</v>
      </c>
      <c r="J10187" t="s">
        <v>21157</v>
      </c>
      <c r="K10187" s="2" t="str">
        <f>HYPERLINK("http://collections.slsa.sa.gov.au/mpcimg/43000/B42959.htm")</f>
        <v>http://collections.slsa.sa.gov.au/mpcimg/43000/B42959.htm</v>
      </c>
    </row>
    <row r="10188" spans="1:11" x14ac:dyDescent="0.25">
      <c r="A10188" t="s">
        <v>31936</v>
      </c>
      <c r="B10188" s="1" t="str">
        <f>HYPERLINK("https://www.catalog.slsa.sa.gov.au/record=b2061390")</f>
        <v>https://www.catalog.slsa.sa.gov.au/record=b2061390</v>
      </c>
      <c r="C10188" s="1" t="str">
        <f>HYPERLINK("https://www.catalog.slsa.sa.gov.au/xrecord=b2061390")</f>
        <v>https://www.catalog.slsa.sa.gov.au/xrecord=b2061390</v>
      </c>
      <c r="D10188" t="s">
        <v>16831</v>
      </c>
      <c r="E10188" t="s">
        <v>21014</v>
      </c>
      <c r="F10188">
        <v>1983</v>
      </c>
      <c r="G10188" t="s">
        <v>31924</v>
      </c>
      <c r="H10188" t="s">
        <v>31937</v>
      </c>
      <c r="J10188" t="s">
        <v>21157</v>
      </c>
      <c r="K10188" s="2" t="str">
        <f>HYPERLINK("http://collections.slsa.sa.gov.au/mpcimg/43000/B42960.htm")</f>
        <v>http://collections.slsa.sa.gov.au/mpcimg/43000/B42960.htm</v>
      </c>
    </row>
    <row r="10189" spans="1:11" x14ac:dyDescent="0.25">
      <c r="A10189" t="s">
        <v>31938</v>
      </c>
      <c r="B10189" s="1" t="str">
        <f>HYPERLINK("https://www.catalog.slsa.sa.gov.au/record=b2061863")</f>
        <v>https://www.catalog.slsa.sa.gov.au/record=b2061863</v>
      </c>
      <c r="C10189" s="1" t="str">
        <f>HYPERLINK("https://www.catalog.slsa.sa.gov.au/xrecord=b2061863")</f>
        <v>https://www.catalog.slsa.sa.gov.au/xrecord=b2061863</v>
      </c>
      <c r="D10189" t="s">
        <v>16831</v>
      </c>
      <c r="E10189" t="s">
        <v>21208</v>
      </c>
      <c r="F10189">
        <v>1983</v>
      </c>
      <c r="G10189" t="s">
        <v>14903</v>
      </c>
      <c r="H10189" t="s">
        <v>31939</v>
      </c>
      <c r="J10189" t="s">
        <v>26390</v>
      </c>
      <c r="K10189" s="2" t="str">
        <f>HYPERLINK("http://collections.slsa.sa.gov.au/mpcimg/41250/B41120.htm")</f>
        <v>http://collections.slsa.sa.gov.au/mpcimg/41250/B41120.htm</v>
      </c>
    </row>
    <row r="10190" spans="1:11" x14ac:dyDescent="0.25">
      <c r="A10190" t="s">
        <v>31940</v>
      </c>
      <c r="B10190" s="1" t="str">
        <f>HYPERLINK("https://www.catalog.slsa.sa.gov.au/record=b2061864")</f>
        <v>https://www.catalog.slsa.sa.gov.au/record=b2061864</v>
      </c>
      <c r="C10190" s="1" t="str">
        <f>HYPERLINK("https://www.catalog.slsa.sa.gov.au/xrecord=b2061864")</f>
        <v>https://www.catalog.slsa.sa.gov.au/xrecord=b2061864</v>
      </c>
      <c r="D10190" t="s">
        <v>16831</v>
      </c>
      <c r="E10190" t="s">
        <v>21208</v>
      </c>
      <c r="F10190">
        <v>1983</v>
      </c>
      <c r="G10190" t="s">
        <v>14997</v>
      </c>
      <c r="H10190" t="s">
        <v>31941</v>
      </c>
      <c r="J10190" t="s">
        <v>26390</v>
      </c>
      <c r="K10190" s="2" t="str">
        <f>HYPERLINK("http://collections.slsa.sa.gov.au/mpcimg/41250/B41121.htm")</f>
        <v>http://collections.slsa.sa.gov.au/mpcimg/41250/B41121.htm</v>
      </c>
    </row>
    <row r="10191" spans="1:11" x14ac:dyDescent="0.25">
      <c r="A10191" t="s">
        <v>31942</v>
      </c>
      <c r="B10191" s="1" t="str">
        <f>HYPERLINK("https://www.catalog.slsa.sa.gov.au/record=b2061865")</f>
        <v>https://www.catalog.slsa.sa.gov.au/record=b2061865</v>
      </c>
      <c r="C10191" s="1" t="str">
        <f>HYPERLINK("https://www.catalog.slsa.sa.gov.au/xrecord=b2061865")</f>
        <v>https://www.catalog.slsa.sa.gov.au/xrecord=b2061865</v>
      </c>
      <c r="D10191" t="s">
        <v>16831</v>
      </c>
      <c r="E10191" t="s">
        <v>21208</v>
      </c>
      <c r="F10191">
        <v>1983</v>
      </c>
      <c r="G10191" t="s">
        <v>14854</v>
      </c>
      <c r="H10191" t="s">
        <v>31943</v>
      </c>
      <c r="J10191" t="s">
        <v>26390</v>
      </c>
      <c r="K10191" s="2" t="str">
        <f>HYPERLINK("http://collections.slsa.sa.gov.au/mpcimg/41250/B41122.htm")</f>
        <v>http://collections.slsa.sa.gov.au/mpcimg/41250/B41122.htm</v>
      </c>
    </row>
    <row r="10192" spans="1:11" x14ac:dyDescent="0.25">
      <c r="A10192" t="s">
        <v>31944</v>
      </c>
      <c r="B10192" s="1" t="str">
        <f>HYPERLINK("https://www.catalog.slsa.sa.gov.au/record=b2064778")</f>
        <v>https://www.catalog.slsa.sa.gov.au/record=b2064778</v>
      </c>
      <c r="C10192" s="1" t="str">
        <f>HYPERLINK("https://www.catalog.slsa.sa.gov.au/xrecord=b2064778")</f>
        <v>https://www.catalog.slsa.sa.gov.au/xrecord=b2064778</v>
      </c>
      <c r="D10192" t="s">
        <v>16831</v>
      </c>
      <c r="E10192" t="s">
        <v>31945</v>
      </c>
      <c r="F10192">
        <v>1983</v>
      </c>
      <c r="G10192" t="s">
        <v>31946</v>
      </c>
      <c r="H10192" t="s">
        <v>31947</v>
      </c>
      <c r="J10192" t="s">
        <v>31948</v>
      </c>
      <c r="K10192" s="2" t="str">
        <f>HYPERLINK("http://collections.slsa.sa.gov.au/mpcimg/42750/B42674.htm")</f>
        <v>http://collections.slsa.sa.gov.au/mpcimg/42750/B42674.htm</v>
      </c>
    </row>
    <row r="10193" spans="1:11" x14ac:dyDescent="0.25">
      <c r="A10193" t="s">
        <v>31949</v>
      </c>
      <c r="B10193" s="1" t="str">
        <f>HYPERLINK("https://www.catalog.slsa.sa.gov.au/record=b2927250")</f>
        <v>https://www.catalog.slsa.sa.gov.au/record=b2927250</v>
      </c>
      <c r="C10193" s="1" t="str">
        <f>HYPERLINK("https://www.catalog.slsa.sa.gov.au/xrecord=b2927250")</f>
        <v>https://www.catalog.slsa.sa.gov.au/xrecord=b2927250</v>
      </c>
      <c r="D10193" t="s">
        <v>31636</v>
      </c>
      <c r="E10193" t="s">
        <v>31950</v>
      </c>
      <c r="F10193" t="s">
        <v>31951</v>
      </c>
      <c r="G10193" t="s">
        <v>31952</v>
      </c>
      <c r="H10193" t="s">
        <v>31953</v>
      </c>
      <c r="I10193" t="s">
        <v>31954</v>
      </c>
      <c r="J10193" t="s">
        <v>31955</v>
      </c>
      <c r="K10193" s="2" t="str">
        <f>HYPERLINK("http://collections.slsa.sa.gov.au/mpcimg/73500/B73289.htm")</f>
        <v>http://collections.slsa.sa.gov.au/mpcimg/73500/B73289.htm</v>
      </c>
    </row>
    <row r="10194" spans="1:11" x14ac:dyDescent="0.25">
      <c r="A10194" t="s">
        <v>31956</v>
      </c>
      <c r="B10194" s="1" t="str">
        <f>HYPERLINK("https://www.catalog.slsa.sa.gov.au/record=b2927253")</f>
        <v>https://www.catalog.slsa.sa.gov.au/record=b2927253</v>
      </c>
      <c r="C10194" s="1" t="str">
        <f>HYPERLINK("https://www.catalog.slsa.sa.gov.au/xrecord=b2927253")</f>
        <v>https://www.catalog.slsa.sa.gov.au/xrecord=b2927253</v>
      </c>
      <c r="D10194" t="s">
        <v>31636</v>
      </c>
      <c r="E10194" t="s">
        <v>31950</v>
      </c>
      <c r="F10194" t="s">
        <v>31951</v>
      </c>
      <c r="G10194" t="s">
        <v>31957</v>
      </c>
      <c r="H10194" t="s">
        <v>31958</v>
      </c>
      <c r="I10194" t="s">
        <v>31954</v>
      </c>
      <c r="J10194" t="s">
        <v>31955</v>
      </c>
      <c r="K10194" s="2" t="str">
        <f>HYPERLINK("http://collections.slsa.sa.gov.au/mpcimg/73500/B73290.htm")</f>
        <v>http://collections.slsa.sa.gov.au/mpcimg/73500/B73290.htm</v>
      </c>
    </row>
    <row r="10195" spans="1:11" x14ac:dyDescent="0.25">
      <c r="A10195" t="s">
        <v>31959</v>
      </c>
      <c r="B10195" s="1" t="str">
        <f>HYPERLINK("https://www.catalog.slsa.sa.gov.au/record=b2927254")</f>
        <v>https://www.catalog.slsa.sa.gov.au/record=b2927254</v>
      </c>
      <c r="C10195" s="1" t="str">
        <f>HYPERLINK("https://www.catalog.slsa.sa.gov.au/xrecord=b2927254")</f>
        <v>https://www.catalog.slsa.sa.gov.au/xrecord=b2927254</v>
      </c>
      <c r="D10195" t="s">
        <v>31636</v>
      </c>
      <c r="E10195" t="s">
        <v>31960</v>
      </c>
      <c r="F10195" t="s">
        <v>31951</v>
      </c>
      <c r="G10195" t="s">
        <v>31961</v>
      </c>
      <c r="H10195" t="s">
        <v>31962</v>
      </c>
      <c r="I10195" t="s">
        <v>31963</v>
      </c>
      <c r="J10195" t="s">
        <v>31955</v>
      </c>
      <c r="K10195" s="2" t="str">
        <f>HYPERLINK("http://collections.slsa.sa.gov.au/mpcimg/73500/B73291.htm")</f>
        <v>http://collections.slsa.sa.gov.au/mpcimg/73500/B73291.htm</v>
      </c>
    </row>
    <row r="10196" spans="1:11" x14ac:dyDescent="0.25">
      <c r="A10196" t="s">
        <v>31964</v>
      </c>
      <c r="B10196" s="1" t="str">
        <f>HYPERLINK("https://www.catalog.slsa.sa.gov.au/record=b2927255")</f>
        <v>https://www.catalog.slsa.sa.gov.au/record=b2927255</v>
      </c>
      <c r="C10196" s="1" t="str">
        <f>HYPERLINK("https://www.catalog.slsa.sa.gov.au/xrecord=b2927255")</f>
        <v>https://www.catalog.slsa.sa.gov.au/xrecord=b2927255</v>
      </c>
      <c r="D10196" t="s">
        <v>31636</v>
      </c>
      <c r="E10196" t="s">
        <v>31960</v>
      </c>
      <c r="F10196" t="s">
        <v>31951</v>
      </c>
      <c r="G10196" t="s">
        <v>31965</v>
      </c>
      <c r="H10196" t="s">
        <v>31966</v>
      </c>
      <c r="I10196" t="s">
        <v>31963</v>
      </c>
      <c r="J10196" t="s">
        <v>31955</v>
      </c>
      <c r="K10196" s="2" t="str">
        <f>HYPERLINK("http://collections.slsa.sa.gov.au/mpcimg/73500/B73292.htm")</f>
        <v>http://collections.slsa.sa.gov.au/mpcimg/73500/B73292.htm</v>
      </c>
    </row>
    <row r="10197" spans="1:11" x14ac:dyDescent="0.25">
      <c r="A10197" t="s">
        <v>31967</v>
      </c>
      <c r="B10197" s="1" t="str">
        <f>HYPERLINK("https://www.catalog.slsa.sa.gov.au/record=b2927256")</f>
        <v>https://www.catalog.slsa.sa.gov.au/record=b2927256</v>
      </c>
      <c r="C10197" s="1" t="str">
        <f>HYPERLINK("https://www.catalog.slsa.sa.gov.au/xrecord=b2927256")</f>
        <v>https://www.catalog.slsa.sa.gov.au/xrecord=b2927256</v>
      </c>
      <c r="D10197" t="s">
        <v>31636</v>
      </c>
      <c r="E10197" t="s">
        <v>31968</v>
      </c>
      <c r="F10197" t="s">
        <v>31951</v>
      </c>
      <c r="G10197" t="s">
        <v>31969</v>
      </c>
      <c r="H10197" t="s">
        <v>31970</v>
      </c>
      <c r="I10197" t="s">
        <v>31971</v>
      </c>
      <c r="J10197" t="s">
        <v>31955</v>
      </c>
      <c r="K10197" s="2" t="str">
        <f>HYPERLINK("http://collections.slsa.sa.gov.au/mpcimg/73500/B73293.htm")</f>
        <v>http://collections.slsa.sa.gov.au/mpcimg/73500/B73293.htm</v>
      </c>
    </row>
    <row r="10198" spans="1:11" x14ac:dyDescent="0.25">
      <c r="A10198" t="s">
        <v>31972</v>
      </c>
      <c r="B10198" s="1" t="str">
        <f>HYPERLINK("https://www.catalog.slsa.sa.gov.au/record=b2927259")</f>
        <v>https://www.catalog.slsa.sa.gov.au/record=b2927259</v>
      </c>
      <c r="C10198" s="1" t="str">
        <f>HYPERLINK("https://www.catalog.slsa.sa.gov.au/xrecord=b2927259")</f>
        <v>https://www.catalog.slsa.sa.gov.au/xrecord=b2927259</v>
      </c>
      <c r="D10198" t="s">
        <v>31636</v>
      </c>
      <c r="E10198" t="s">
        <v>31968</v>
      </c>
      <c r="F10198" t="s">
        <v>31951</v>
      </c>
      <c r="G10198" t="s">
        <v>31973</v>
      </c>
      <c r="H10198" t="s">
        <v>31974</v>
      </c>
      <c r="I10198" t="s">
        <v>31971</v>
      </c>
      <c r="J10198" t="s">
        <v>31955</v>
      </c>
      <c r="K10198" s="2" t="str">
        <f>HYPERLINK("http://collections.slsa.sa.gov.au/mpcimg/73500/B73294.htm")</f>
        <v>http://collections.slsa.sa.gov.au/mpcimg/73500/B73294.htm</v>
      </c>
    </row>
    <row r="10199" spans="1:11" x14ac:dyDescent="0.25">
      <c r="A10199" t="s">
        <v>31975</v>
      </c>
      <c r="B10199" s="1" t="str">
        <f>HYPERLINK("https://www.catalog.slsa.sa.gov.au/record=b2927260")</f>
        <v>https://www.catalog.slsa.sa.gov.au/record=b2927260</v>
      </c>
      <c r="C10199" s="1" t="str">
        <f>HYPERLINK("https://www.catalog.slsa.sa.gov.au/xrecord=b2927260")</f>
        <v>https://www.catalog.slsa.sa.gov.au/xrecord=b2927260</v>
      </c>
      <c r="D10199" t="s">
        <v>31636</v>
      </c>
      <c r="E10199" t="s">
        <v>31976</v>
      </c>
      <c r="F10199" t="s">
        <v>31951</v>
      </c>
      <c r="G10199" t="s">
        <v>31977</v>
      </c>
      <c r="H10199" t="s">
        <v>31978</v>
      </c>
      <c r="I10199" t="s">
        <v>31979</v>
      </c>
      <c r="J10199" t="s">
        <v>31955</v>
      </c>
      <c r="K10199" s="2" t="str">
        <f>HYPERLINK("http://collections.slsa.sa.gov.au/mpcimg/73500/B73295.htm")</f>
        <v>http://collections.slsa.sa.gov.au/mpcimg/73500/B73295.htm</v>
      </c>
    </row>
    <row r="10200" spans="1:11" x14ac:dyDescent="0.25">
      <c r="A10200" t="s">
        <v>31980</v>
      </c>
      <c r="B10200" s="1" t="str">
        <f>HYPERLINK("https://www.catalog.slsa.sa.gov.au/record=b2927261")</f>
        <v>https://www.catalog.slsa.sa.gov.au/record=b2927261</v>
      </c>
      <c r="C10200" s="1" t="str">
        <f>HYPERLINK("https://www.catalog.slsa.sa.gov.au/xrecord=b2927261")</f>
        <v>https://www.catalog.slsa.sa.gov.au/xrecord=b2927261</v>
      </c>
      <c r="D10200" t="s">
        <v>31636</v>
      </c>
      <c r="E10200" t="s">
        <v>31981</v>
      </c>
      <c r="F10200" t="s">
        <v>31951</v>
      </c>
      <c r="G10200" t="s">
        <v>31973</v>
      </c>
      <c r="H10200" t="s">
        <v>31982</v>
      </c>
      <c r="I10200" t="s">
        <v>31983</v>
      </c>
      <c r="J10200" t="s">
        <v>31955</v>
      </c>
      <c r="K10200" s="2" t="str">
        <f>HYPERLINK("http://collections.slsa.sa.gov.au/mpcimg/73500/B73296.htm")</f>
        <v>http://collections.slsa.sa.gov.au/mpcimg/73500/B73296.htm</v>
      </c>
    </row>
    <row r="10201" spans="1:11" x14ac:dyDescent="0.25">
      <c r="A10201" t="s">
        <v>31984</v>
      </c>
      <c r="B10201" s="1" t="str">
        <f>HYPERLINK("https://www.catalog.slsa.sa.gov.au/record=b2927262")</f>
        <v>https://www.catalog.slsa.sa.gov.au/record=b2927262</v>
      </c>
      <c r="C10201" s="1" t="str">
        <f>HYPERLINK("https://www.catalog.slsa.sa.gov.au/xrecord=b2927262")</f>
        <v>https://www.catalog.slsa.sa.gov.au/xrecord=b2927262</v>
      </c>
      <c r="D10201" t="s">
        <v>31636</v>
      </c>
      <c r="E10201" t="s">
        <v>31985</v>
      </c>
      <c r="F10201" t="s">
        <v>31951</v>
      </c>
      <c r="G10201" t="s">
        <v>31986</v>
      </c>
      <c r="H10201" t="s">
        <v>31987</v>
      </c>
      <c r="I10201" t="s">
        <v>31988</v>
      </c>
      <c r="J10201" t="s">
        <v>31955</v>
      </c>
      <c r="K10201" s="2" t="str">
        <f>HYPERLINK("http://collections.slsa.sa.gov.au/mpcimg/73500/B73297.htm")</f>
        <v>http://collections.slsa.sa.gov.au/mpcimg/73500/B73297.htm</v>
      </c>
    </row>
    <row r="10202" spans="1:11" x14ac:dyDescent="0.25">
      <c r="A10202" t="s">
        <v>31989</v>
      </c>
      <c r="B10202" s="1" t="str">
        <f>HYPERLINK("https://www.catalog.slsa.sa.gov.au/record=b2927264")</f>
        <v>https://www.catalog.slsa.sa.gov.au/record=b2927264</v>
      </c>
      <c r="C10202" s="1" t="str">
        <f>HYPERLINK("https://www.catalog.slsa.sa.gov.au/xrecord=b2927264")</f>
        <v>https://www.catalog.slsa.sa.gov.au/xrecord=b2927264</v>
      </c>
      <c r="D10202" t="s">
        <v>31636</v>
      </c>
      <c r="E10202" t="s">
        <v>31968</v>
      </c>
      <c r="F10202" t="s">
        <v>31951</v>
      </c>
      <c r="G10202" t="s">
        <v>31986</v>
      </c>
      <c r="H10202" t="s">
        <v>31990</v>
      </c>
      <c r="I10202" t="s">
        <v>31991</v>
      </c>
      <c r="J10202" t="s">
        <v>31955</v>
      </c>
      <c r="K10202" s="2" t="str">
        <f>HYPERLINK("http://collections.slsa.sa.gov.au/mpcimg/73500/B73298.htm")</f>
        <v>http://collections.slsa.sa.gov.au/mpcimg/73500/B73298.htm</v>
      </c>
    </row>
    <row r="10203" spans="1:11" x14ac:dyDescent="0.25">
      <c r="A10203" t="s">
        <v>31992</v>
      </c>
      <c r="B10203" s="1" t="str">
        <f>HYPERLINK("https://www.catalog.slsa.sa.gov.au/record=b2927266")</f>
        <v>https://www.catalog.slsa.sa.gov.au/record=b2927266</v>
      </c>
      <c r="C10203" s="1" t="str">
        <f>HYPERLINK("https://www.catalog.slsa.sa.gov.au/xrecord=b2927266")</f>
        <v>https://www.catalog.slsa.sa.gov.au/xrecord=b2927266</v>
      </c>
      <c r="D10203" t="s">
        <v>31636</v>
      </c>
      <c r="E10203" t="s">
        <v>31968</v>
      </c>
      <c r="F10203" t="s">
        <v>31951</v>
      </c>
      <c r="G10203" t="s">
        <v>31993</v>
      </c>
      <c r="H10203" t="s">
        <v>31994</v>
      </c>
      <c r="I10203" t="s">
        <v>31991</v>
      </c>
      <c r="J10203" t="s">
        <v>31955</v>
      </c>
      <c r="K10203" s="2" t="str">
        <f>HYPERLINK("http://collections.slsa.sa.gov.au/mpcimg/73500/B73298.htm")</f>
        <v>http://collections.slsa.sa.gov.au/mpcimg/73500/B73298.htm</v>
      </c>
    </row>
    <row r="10204" spans="1:11" x14ac:dyDescent="0.25">
      <c r="A10204" t="s">
        <v>31995</v>
      </c>
      <c r="B10204" s="1" t="str">
        <f>HYPERLINK("https://www.catalog.slsa.sa.gov.au/record=b2064220")</f>
        <v>https://www.catalog.slsa.sa.gov.au/record=b2064220</v>
      </c>
      <c r="C10204" s="1" t="str">
        <f>HYPERLINK("https://www.catalog.slsa.sa.gov.au/xrecord=b2064220")</f>
        <v>https://www.catalog.slsa.sa.gov.au/xrecord=b2064220</v>
      </c>
      <c r="D10204" t="s">
        <v>16831</v>
      </c>
      <c r="E10204" t="s">
        <v>26951</v>
      </c>
      <c r="F10204">
        <v>1984</v>
      </c>
      <c r="G10204" t="s">
        <v>15031</v>
      </c>
      <c r="H10204" t="s">
        <v>31996</v>
      </c>
      <c r="J10204" t="s">
        <v>29672</v>
      </c>
      <c r="K10204" s="2" t="str">
        <f>HYPERLINK("http://collections.slsa.sa.gov.au/mpcimg/53000/B52971.htm")</f>
        <v>http://collections.slsa.sa.gov.au/mpcimg/53000/B52971.htm</v>
      </c>
    </row>
    <row r="10205" spans="1:11" x14ac:dyDescent="0.25">
      <c r="A10205" t="s">
        <v>31997</v>
      </c>
      <c r="B10205" s="1" t="str">
        <f>HYPERLINK("https://www.catalog.slsa.sa.gov.au/record=b2064221")</f>
        <v>https://www.catalog.slsa.sa.gov.au/record=b2064221</v>
      </c>
      <c r="C10205" s="1" t="str">
        <f>HYPERLINK("https://www.catalog.slsa.sa.gov.au/xrecord=b2064221")</f>
        <v>https://www.catalog.slsa.sa.gov.au/xrecord=b2064221</v>
      </c>
      <c r="D10205" t="s">
        <v>16831</v>
      </c>
      <c r="E10205" t="s">
        <v>26951</v>
      </c>
      <c r="F10205">
        <v>1984</v>
      </c>
      <c r="G10205" t="s">
        <v>16312</v>
      </c>
      <c r="H10205" t="s">
        <v>31998</v>
      </c>
      <c r="J10205" t="s">
        <v>29672</v>
      </c>
      <c r="K10205" s="2" t="str">
        <f>HYPERLINK("http://collections.slsa.sa.gov.au/mpcimg/53000/B52972.htm")</f>
        <v>http://collections.slsa.sa.gov.au/mpcimg/53000/B52972.htm</v>
      </c>
    </row>
    <row r="10206" spans="1:11" x14ac:dyDescent="0.25">
      <c r="A10206" t="s">
        <v>31999</v>
      </c>
      <c r="B10206" s="1" t="str">
        <f>HYPERLINK("https://www.catalog.slsa.sa.gov.au/record=b2065404")</f>
        <v>https://www.catalog.slsa.sa.gov.au/record=b2065404</v>
      </c>
      <c r="C10206" s="1" t="str">
        <f>HYPERLINK("https://www.catalog.slsa.sa.gov.au/xrecord=b2065404")</f>
        <v>https://www.catalog.slsa.sa.gov.au/xrecord=b2065404</v>
      </c>
      <c r="D10206" t="s">
        <v>16831</v>
      </c>
      <c r="E10206" t="s">
        <v>32000</v>
      </c>
      <c r="F10206">
        <v>1984</v>
      </c>
      <c r="G10206" t="s">
        <v>32001</v>
      </c>
      <c r="H10206" t="s">
        <v>32002</v>
      </c>
      <c r="J10206" t="s">
        <v>32003</v>
      </c>
      <c r="K10206" s="2" t="str">
        <f>HYPERLINK("http://collections.slsa.sa.gov.au/mpcimg/43750/B43700.htm")</f>
        <v>http://collections.slsa.sa.gov.au/mpcimg/43750/B43700.htm</v>
      </c>
    </row>
    <row r="10207" spans="1:11" x14ac:dyDescent="0.25">
      <c r="A10207" t="s">
        <v>32004</v>
      </c>
      <c r="B10207" s="1" t="str">
        <f>HYPERLINK("https://www.catalog.slsa.sa.gov.au/record=b2065405")</f>
        <v>https://www.catalog.slsa.sa.gov.au/record=b2065405</v>
      </c>
      <c r="C10207" s="1" t="str">
        <f>HYPERLINK("https://www.catalog.slsa.sa.gov.au/xrecord=b2065405")</f>
        <v>https://www.catalog.slsa.sa.gov.au/xrecord=b2065405</v>
      </c>
      <c r="D10207" t="s">
        <v>16831</v>
      </c>
      <c r="E10207" t="s">
        <v>32000</v>
      </c>
      <c r="F10207">
        <v>1984</v>
      </c>
      <c r="G10207" t="s">
        <v>18995</v>
      </c>
      <c r="H10207" t="s">
        <v>32005</v>
      </c>
      <c r="J10207" t="s">
        <v>32003</v>
      </c>
      <c r="K10207" s="2" t="str">
        <f>HYPERLINK("http://collections.slsa.sa.gov.au/mpcimg/43750/B43701.htm")</f>
        <v>http://collections.slsa.sa.gov.au/mpcimg/43750/B43701.htm</v>
      </c>
    </row>
    <row r="10208" spans="1:11" x14ac:dyDescent="0.25">
      <c r="A10208" t="s">
        <v>32006</v>
      </c>
      <c r="B10208" s="1" t="str">
        <f>HYPERLINK("https://www.catalog.slsa.sa.gov.au/record=b2066621")</f>
        <v>https://www.catalog.slsa.sa.gov.au/record=b2066621</v>
      </c>
      <c r="C10208" s="1" t="str">
        <f>HYPERLINK("https://www.catalog.slsa.sa.gov.au/xrecord=b2066621")</f>
        <v>https://www.catalog.slsa.sa.gov.au/xrecord=b2066621</v>
      </c>
      <c r="D10208" t="s">
        <v>16831</v>
      </c>
      <c r="E10208" t="s">
        <v>32007</v>
      </c>
      <c r="F10208">
        <v>1984</v>
      </c>
      <c r="G10208" t="s">
        <v>15031</v>
      </c>
      <c r="H10208" t="s">
        <v>32008</v>
      </c>
      <c r="J10208" t="s">
        <v>32009</v>
      </c>
      <c r="K10208" s="2" t="str">
        <f>HYPERLINK("http://collections.slsa.sa.gov.au/mpcimg/51000/B50784.htm")</f>
        <v>http://collections.slsa.sa.gov.au/mpcimg/51000/B50784.htm</v>
      </c>
    </row>
    <row r="10209" spans="1:11" x14ac:dyDescent="0.25">
      <c r="A10209" t="s">
        <v>32010</v>
      </c>
      <c r="B10209" s="1" t="str">
        <f>HYPERLINK("https://www.catalog.slsa.sa.gov.au/record=b2066622")</f>
        <v>https://www.catalog.slsa.sa.gov.au/record=b2066622</v>
      </c>
      <c r="C10209" s="1" t="str">
        <f>HYPERLINK("https://www.catalog.slsa.sa.gov.au/xrecord=b2066622")</f>
        <v>https://www.catalog.slsa.sa.gov.au/xrecord=b2066622</v>
      </c>
      <c r="D10209" t="s">
        <v>16831</v>
      </c>
      <c r="E10209" t="s">
        <v>32007</v>
      </c>
      <c r="F10209">
        <v>1984</v>
      </c>
      <c r="G10209" t="s">
        <v>15031</v>
      </c>
      <c r="H10209" t="s">
        <v>32011</v>
      </c>
      <c r="J10209" t="s">
        <v>32009</v>
      </c>
      <c r="K10209" s="2" t="str">
        <f>HYPERLINK("http://collections.slsa.sa.gov.au/mpcimg/51000/B50785.htm")</f>
        <v>http://collections.slsa.sa.gov.au/mpcimg/51000/B50785.htm</v>
      </c>
    </row>
    <row r="10210" spans="1:11" x14ac:dyDescent="0.25">
      <c r="A10210" t="s">
        <v>32012</v>
      </c>
      <c r="B10210" s="1" t="str">
        <f>HYPERLINK("https://www.catalog.slsa.sa.gov.au/record=b2066623")</f>
        <v>https://www.catalog.slsa.sa.gov.au/record=b2066623</v>
      </c>
      <c r="C10210" s="1" t="str">
        <f>HYPERLINK("https://www.catalog.slsa.sa.gov.au/xrecord=b2066623")</f>
        <v>https://www.catalog.slsa.sa.gov.au/xrecord=b2066623</v>
      </c>
      <c r="D10210" t="s">
        <v>16831</v>
      </c>
      <c r="E10210" t="s">
        <v>32007</v>
      </c>
      <c r="F10210">
        <v>1984</v>
      </c>
      <c r="G10210" t="s">
        <v>15031</v>
      </c>
      <c r="H10210" t="s">
        <v>32013</v>
      </c>
      <c r="J10210" t="s">
        <v>32009</v>
      </c>
      <c r="K10210" s="2" t="str">
        <f>HYPERLINK("http://collections.slsa.sa.gov.au/mpcimg/51000/B50786.htm")</f>
        <v>http://collections.slsa.sa.gov.au/mpcimg/51000/B50786.htm</v>
      </c>
    </row>
    <row r="10211" spans="1:11" x14ac:dyDescent="0.25">
      <c r="A10211" t="s">
        <v>32014</v>
      </c>
      <c r="B10211" s="1" t="str">
        <f>HYPERLINK("https://www.catalog.slsa.sa.gov.au/record=b2066744")</f>
        <v>https://www.catalog.slsa.sa.gov.au/record=b2066744</v>
      </c>
      <c r="C10211" s="1" t="str">
        <f>HYPERLINK("https://www.catalog.slsa.sa.gov.au/xrecord=b2066744")</f>
        <v>https://www.catalog.slsa.sa.gov.au/xrecord=b2066744</v>
      </c>
      <c r="D10211" t="s">
        <v>16831</v>
      </c>
      <c r="E10211" t="s">
        <v>32007</v>
      </c>
      <c r="F10211">
        <v>1984</v>
      </c>
      <c r="G10211" t="s">
        <v>15031</v>
      </c>
      <c r="H10211" t="s">
        <v>32015</v>
      </c>
      <c r="J10211" t="s">
        <v>32009</v>
      </c>
      <c r="K10211" s="2" t="str">
        <f>HYPERLINK("http://collections.slsa.sa.gov.au/mpcimg/51000/B50904.htm")</f>
        <v>http://collections.slsa.sa.gov.au/mpcimg/51000/B50904.htm</v>
      </c>
    </row>
    <row r="10212" spans="1:11" x14ac:dyDescent="0.25">
      <c r="A10212" t="s">
        <v>32016</v>
      </c>
      <c r="B10212" s="1" t="str">
        <f>HYPERLINK("https://www.catalog.slsa.sa.gov.au/record=b2067509")</f>
        <v>https://www.catalog.slsa.sa.gov.au/record=b2067509</v>
      </c>
      <c r="C10212" s="1" t="str">
        <f>HYPERLINK("https://www.catalog.slsa.sa.gov.au/xrecord=b2067509")</f>
        <v>https://www.catalog.slsa.sa.gov.au/xrecord=b2067509</v>
      </c>
      <c r="D10212" t="s">
        <v>16831</v>
      </c>
      <c r="E10212" t="s">
        <v>16862</v>
      </c>
      <c r="F10212">
        <v>1984</v>
      </c>
      <c r="G10212" t="s">
        <v>32017</v>
      </c>
      <c r="H10212" t="s">
        <v>32018</v>
      </c>
      <c r="J10212" t="s">
        <v>16866</v>
      </c>
      <c r="K10212" s="2" t="str">
        <f>HYPERLINK("http://collections.slsa.sa.gov.au/mpcimg/53500/B53314.htm")</f>
        <v>http://collections.slsa.sa.gov.au/mpcimg/53500/B53314.htm</v>
      </c>
    </row>
    <row r="10213" spans="1:11" x14ac:dyDescent="0.25">
      <c r="A10213" t="s">
        <v>32019</v>
      </c>
      <c r="B10213" s="1" t="str">
        <f>HYPERLINK("https://www.catalog.slsa.sa.gov.au/record=b2067510")</f>
        <v>https://www.catalog.slsa.sa.gov.au/record=b2067510</v>
      </c>
      <c r="C10213" s="1" t="str">
        <f>HYPERLINK("https://www.catalog.slsa.sa.gov.au/xrecord=b2067510")</f>
        <v>https://www.catalog.slsa.sa.gov.au/xrecord=b2067510</v>
      </c>
      <c r="D10213" t="s">
        <v>16831</v>
      </c>
      <c r="E10213" t="s">
        <v>16862</v>
      </c>
      <c r="F10213">
        <v>1984</v>
      </c>
      <c r="G10213" t="s">
        <v>32020</v>
      </c>
      <c r="H10213" t="s">
        <v>32021</v>
      </c>
      <c r="J10213" t="s">
        <v>16866</v>
      </c>
      <c r="K10213" s="2" t="str">
        <f>HYPERLINK("http://collections.slsa.sa.gov.au/mpcimg/53500/B53316.htm")</f>
        <v>http://collections.slsa.sa.gov.au/mpcimg/53500/B53316.htm</v>
      </c>
    </row>
    <row r="10214" spans="1:11" x14ac:dyDescent="0.25">
      <c r="A10214" t="s">
        <v>32022</v>
      </c>
      <c r="B10214" s="1" t="str">
        <f>HYPERLINK("https://www.catalog.slsa.sa.gov.au/record=b2067511")</f>
        <v>https://www.catalog.slsa.sa.gov.au/record=b2067511</v>
      </c>
      <c r="C10214" s="1" t="str">
        <f>HYPERLINK("https://www.catalog.slsa.sa.gov.au/xrecord=b2067511")</f>
        <v>https://www.catalog.slsa.sa.gov.au/xrecord=b2067511</v>
      </c>
      <c r="D10214" t="s">
        <v>16831</v>
      </c>
      <c r="E10214" t="s">
        <v>16862</v>
      </c>
      <c r="F10214">
        <v>1984</v>
      </c>
      <c r="G10214" t="s">
        <v>32023</v>
      </c>
      <c r="H10214" t="s">
        <v>32024</v>
      </c>
      <c r="J10214" t="s">
        <v>16866</v>
      </c>
      <c r="K10214" s="2" t="str">
        <f>HYPERLINK("http://collections.slsa.sa.gov.au/mpcimg/53500/B53315.htm")</f>
        <v>http://collections.slsa.sa.gov.au/mpcimg/53500/B53315.htm</v>
      </c>
    </row>
    <row r="10215" spans="1:11" x14ac:dyDescent="0.25">
      <c r="A10215" t="s">
        <v>32025</v>
      </c>
      <c r="B10215" s="1" t="str">
        <f>HYPERLINK("https://www.catalog.slsa.sa.gov.au/record=b2067512")</f>
        <v>https://www.catalog.slsa.sa.gov.au/record=b2067512</v>
      </c>
      <c r="C10215" s="1" t="str">
        <f>HYPERLINK("https://www.catalog.slsa.sa.gov.au/xrecord=b2067512")</f>
        <v>https://www.catalog.slsa.sa.gov.au/xrecord=b2067512</v>
      </c>
      <c r="D10215" t="s">
        <v>16831</v>
      </c>
      <c r="E10215" t="s">
        <v>16862</v>
      </c>
      <c r="F10215">
        <v>1984</v>
      </c>
      <c r="G10215" t="s">
        <v>32026</v>
      </c>
      <c r="H10215" t="s">
        <v>32027</v>
      </c>
      <c r="J10215" t="s">
        <v>16866</v>
      </c>
      <c r="K10215" s="2" t="str">
        <f>HYPERLINK("http://collections.slsa.sa.gov.au/mpcimg/53500/B53317.htm")</f>
        <v>http://collections.slsa.sa.gov.au/mpcimg/53500/B53317.htm</v>
      </c>
    </row>
    <row r="10216" spans="1:11" x14ac:dyDescent="0.25">
      <c r="A10216" t="s">
        <v>32028</v>
      </c>
      <c r="B10216" s="1" t="str">
        <f>HYPERLINK("https://www.catalog.slsa.sa.gov.au/record=b2067513")</f>
        <v>https://www.catalog.slsa.sa.gov.au/record=b2067513</v>
      </c>
      <c r="C10216" s="1" t="str">
        <f>HYPERLINK("https://www.catalog.slsa.sa.gov.au/xrecord=b2067513")</f>
        <v>https://www.catalog.slsa.sa.gov.au/xrecord=b2067513</v>
      </c>
      <c r="D10216" t="s">
        <v>16831</v>
      </c>
      <c r="E10216" t="s">
        <v>16862</v>
      </c>
      <c r="F10216">
        <v>1984</v>
      </c>
      <c r="G10216" t="s">
        <v>32029</v>
      </c>
      <c r="H10216" t="s">
        <v>32030</v>
      </c>
      <c r="J10216" t="s">
        <v>16866</v>
      </c>
      <c r="K10216" s="2" t="str">
        <f>HYPERLINK("http://collections.slsa.sa.gov.au/mpcimg/53500/B53318.htm")</f>
        <v>http://collections.slsa.sa.gov.au/mpcimg/53500/B53318.htm</v>
      </c>
    </row>
    <row r="10217" spans="1:11" x14ac:dyDescent="0.25">
      <c r="A10217" t="s">
        <v>32031</v>
      </c>
      <c r="B10217" s="1" t="str">
        <f>HYPERLINK("https://www.catalog.slsa.sa.gov.au/record=b2067514")</f>
        <v>https://www.catalog.slsa.sa.gov.au/record=b2067514</v>
      </c>
      <c r="C10217" s="1" t="str">
        <f>HYPERLINK("https://www.catalog.slsa.sa.gov.au/xrecord=b2067514")</f>
        <v>https://www.catalog.slsa.sa.gov.au/xrecord=b2067514</v>
      </c>
      <c r="D10217" t="s">
        <v>16831</v>
      </c>
      <c r="E10217" t="s">
        <v>16862</v>
      </c>
      <c r="F10217">
        <v>1984</v>
      </c>
      <c r="G10217" t="s">
        <v>32032</v>
      </c>
      <c r="H10217" t="s">
        <v>32033</v>
      </c>
      <c r="J10217" t="s">
        <v>16866</v>
      </c>
      <c r="K10217" s="2" t="str">
        <f>HYPERLINK("http://collections.slsa.sa.gov.au/mpcimg/53500/B53319.htm")</f>
        <v>http://collections.slsa.sa.gov.au/mpcimg/53500/B53319.htm</v>
      </c>
    </row>
    <row r="10218" spans="1:11" x14ac:dyDescent="0.25">
      <c r="A10218" t="s">
        <v>32034</v>
      </c>
      <c r="B10218" s="1" t="str">
        <f>HYPERLINK("https://www.catalog.slsa.sa.gov.au/record=b2067515")</f>
        <v>https://www.catalog.slsa.sa.gov.au/record=b2067515</v>
      </c>
      <c r="C10218" s="1" t="str">
        <f>HYPERLINK("https://www.catalog.slsa.sa.gov.au/xrecord=b2067515")</f>
        <v>https://www.catalog.slsa.sa.gov.au/xrecord=b2067515</v>
      </c>
      <c r="D10218" t="s">
        <v>16831</v>
      </c>
      <c r="E10218" t="s">
        <v>16862</v>
      </c>
      <c r="F10218">
        <v>1984</v>
      </c>
      <c r="G10218" t="s">
        <v>32035</v>
      </c>
      <c r="H10218" t="s">
        <v>32036</v>
      </c>
      <c r="J10218" t="s">
        <v>16866</v>
      </c>
      <c r="K10218" s="2" t="str">
        <f>HYPERLINK("http://collections.slsa.sa.gov.au/mpcimg/53500/B53320.htm")</f>
        <v>http://collections.slsa.sa.gov.au/mpcimg/53500/B53320.htm</v>
      </c>
    </row>
    <row r="10219" spans="1:11" x14ac:dyDescent="0.25">
      <c r="A10219" t="s">
        <v>32037</v>
      </c>
      <c r="B10219" s="1" t="str">
        <f>HYPERLINK("https://www.catalog.slsa.sa.gov.au/record=b2067516")</f>
        <v>https://www.catalog.slsa.sa.gov.au/record=b2067516</v>
      </c>
      <c r="C10219" s="1" t="str">
        <f>HYPERLINK("https://www.catalog.slsa.sa.gov.au/xrecord=b2067516")</f>
        <v>https://www.catalog.slsa.sa.gov.au/xrecord=b2067516</v>
      </c>
      <c r="D10219" t="s">
        <v>16831</v>
      </c>
      <c r="E10219" t="s">
        <v>16862</v>
      </c>
      <c r="F10219">
        <v>1984</v>
      </c>
      <c r="G10219" t="s">
        <v>32038</v>
      </c>
      <c r="H10219" t="s">
        <v>32039</v>
      </c>
      <c r="J10219" t="s">
        <v>16866</v>
      </c>
      <c r="K10219" s="2" t="str">
        <f>HYPERLINK("http://collections.slsa.sa.gov.au/mpcimg/53500/B53321.htm")</f>
        <v>http://collections.slsa.sa.gov.au/mpcimg/53500/B53321.htm</v>
      </c>
    </row>
    <row r="10220" spans="1:11" x14ac:dyDescent="0.25">
      <c r="A10220" t="s">
        <v>32040</v>
      </c>
      <c r="B10220" s="1" t="str">
        <f>HYPERLINK("https://www.catalog.slsa.sa.gov.au/record=b2067517")</f>
        <v>https://www.catalog.slsa.sa.gov.au/record=b2067517</v>
      </c>
      <c r="C10220" s="1" t="str">
        <f>HYPERLINK("https://www.catalog.slsa.sa.gov.au/xrecord=b2067517")</f>
        <v>https://www.catalog.slsa.sa.gov.au/xrecord=b2067517</v>
      </c>
      <c r="D10220" t="s">
        <v>16831</v>
      </c>
      <c r="E10220" t="s">
        <v>16862</v>
      </c>
      <c r="F10220">
        <v>1984</v>
      </c>
      <c r="G10220" t="s">
        <v>32041</v>
      </c>
      <c r="H10220" t="s">
        <v>32042</v>
      </c>
      <c r="J10220" t="s">
        <v>32043</v>
      </c>
      <c r="K10220" s="2" t="str">
        <f>HYPERLINK("http://collections.slsa.sa.gov.au/mpcimg/53500/B53322.htm")</f>
        <v>http://collections.slsa.sa.gov.au/mpcimg/53500/B53322.htm</v>
      </c>
    </row>
    <row r="10221" spans="1:11" x14ac:dyDescent="0.25">
      <c r="A10221" t="s">
        <v>32044</v>
      </c>
      <c r="B10221" s="1" t="str">
        <f>HYPERLINK("https://www.catalog.slsa.sa.gov.au/record=b2067518")</f>
        <v>https://www.catalog.slsa.sa.gov.au/record=b2067518</v>
      </c>
      <c r="C10221" s="1" t="str">
        <f>HYPERLINK("https://www.catalog.slsa.sa.gov.au/xrecord=b2067518")</f>
        <v>https://www.catalog.slsa.sa.gov.au/xrecord=b2067518</v>
      </c>
      <c r="D10221" t="s">
        <v>16831</v>
      </c>
      <c r="E10221" t="s">
        <v>16862</v>
      </c>
      <c r="F10221">
        <v>1984</v>
      </c>
      <c r="G10221" t="s">
        <v>32045</v>
      </c>
      <c r="H10221" t="s">
        <v>32046</v>
      </c>
      <c r="J10221" t="s">
        <v>16866</v>
      </c>
      <c r="K10221" s="2" t="str">
        <f>HYPERLINK("http://collections.slsa.sa.gov.au/mpcimg/53500/B53323.htm")</f>
        <v>http://collections.slsa.sa.gov.au/mpcimg/53500/B53323.htm</v>
      </c>
    </row>
    <row r="10222" spans="1:11" x14ac:dyDescent="0.25">
      <c r="A10222" t="s">
        <v>32047</v>
      </c>
      <c r="B10222" s="1" t="str">
        <f>HYPERLINK("https://www.catalog.slsa.sa.gov.au/record=b2067519")</f>
        <v>https://www.catalog.slsa.sa.gov.au/record=b2067519</v>
      </c>
      <c r="C10222" s="1" t="str">
        <f>HYPERLINK("https://www.catalog.slsa.sa.gov.au/xrecord=b2067519")</f>
        <v>https://www.catalog.slsa.sa.gov.au/xrecord=b2067519</v>
      </c>
      <c r="D10222" t="s">
        <v>16831</v>
      </c>
      <c r="E10222" t="s">
        <v>16862</v>
      </c>
      <c r="F10222">
        <v>1984</v>
      </c>
      <c r="G10222" t="s">
        <v>32048</v>
      </c>
      <c r="H10222" t="s">
        <v>32049</v>
      </c>
      <c r="J10222" t="s">
        <v>16866</v>
      </c>
      <c r="K10222" s="2" t="str">
        <f>HYPERLINK("http://collections.slsa.sa.gov.au/mpcimg/53500/B53334.htm")</f>
        <v>http://collections.slsa.sa.gov.au/mpcimg/53500/B53334.htm</v>
      </c>
    </row>
    <row r="10223" spans="1:11" x14ac:dyDescent="0.25">
      <c r="A10223" t="s">
        <v>32050</v>
      </c>
      <c r="B10223" s="1" t="str">
        <f>HYPERLINK("https://www.catalog.slsa.sa.gov.au/record=b2067520")</f>
        <v>https://www.catalog.slsa.sa.gov.au/record=b2067520</v>
      </c>
      <c r="C10223" s="1" t="str">
        <f>HYPERLINK("https://www.catalog.slsa.sa.gov.au/xrecord=b2067520")</f>
        <v>https://www.catalog.slsa.sa.gov.au/xrecord=b2067520</v>
      </c>
      <c r="D10223" t="s">
        <v>16831</v>
      </c>
      <c r="E10223" t="s">
        <v>16862</v>
      </c>
      <c r="F10223">
        <v>1984</v>
      </c>
      <c r="G10223" t="s">
        <v>15031</v>
      </c>
      <c r="H10223" t="s">
        <v>32051</v>
      </c>
      <c r="J10223" t="s">
        <v>16866</v>
      </c>
      <c r="K10223" s="2" t="str">
        <f>HYPERLINK("http://collections.slsa.sa.gov.au/mpcimg/53500/B53335.htm")</f>
        <v>http://collections.slsa.sa.gov.au/mpcimg/53500/B53335.htm</v>
      </c>
    </row>
    <row r="10224" spans="1:11" x14ac:dyDescent="0.25">
      <c r="A10224" t="s">
        <v>32052</v>
      </c>
      <c r="B10224" s="1" t="str">
        <f>HYPERLINK("https://www.catalog.slsa.sa.gov.au/record=b2067521")</f>
        <v>https://www.catalog.slsa.sa.gov.au/record=b2067521</v>
      </c>
      <c r="C10224" s="1" t="str">
        <f>HYPERLINK("https://www.catalog.slsa.sa.gov.au/xrecord=b2067521")</f>
        <v>https://www.catalog.slsa.sa.gov.au/xrecord=b2067521</v>
      </c>
      <c r="D10224" t="s">
        <v>16831</v>
      </c>
      <c r="E10224" t="s">
        <v>16862</v>
      </c>
      <c r="F10224">
        <v>1984</v>
      </c>
      <c r="G10224" t="s">
        <v>15031</v>
      </c>
      <c r="H10224" t="s">
        <v>32053</v>
      </c>
      <c r="J10224" t="s">
        <v>16866</v>
      </c>
      <c r="K10224" s="2" t="str">
        <f>HYPERLINK("http://collections.slsa.sa.gov.au/mpcimg/53500/B53336.htm")</f>
        <v>http://collections.slsa.sa.gov.au/mpcimg/53500/B53336.htm</v>
      </c>
    </row>
    <row r="10225" spans="1:11" x14ac:dyDescent="0.25">
      <c r="A10225" t="s">
        <v>32054</v>
      </c>
      <c r="B10225" s="1" t="str">
        <f>HYPERLINK("https://www.catalog.slsa.sa.gov.au/record=b2072753")</f>
        <v>https://www.catalog.slsa.sa.gov.au/record=b2072753</v>
      </c>
      <c r="C10225" s="1" t="str">
        <f>HYPERLINK("https://www.catalog.slsa.sa.gov.au/xrecord=b2072753")</f>
        <v>https://www.catalog.slsa.sa.gov.au/xrecord=b2072753</v>
      </c>
      <c r="D10225" t="s">
        <v>16831</v>
      </c>
      <c r="E10225" t="s">
        <v>32055</v>
      </c>
      <c r="F10225">
        <v>1984</v>
      </c>
      <c r="G10225" t="s">
        <v>32056</v>
      </c>
      <c r="H10225" t="s">
        <v>32057</v>
      </c>
      <c r="I10225" t="s">
        <v>32058</v>
      </c>
      <c r="J10225" t="s">
        <v>32059</v>
      </c>
      <c r="K10225" s="2" t="str">
        <f>HYPERLINK("http://collections.slsa.sa.gov.au/mpcimg/45000/B44842.htm")</f>
        <v>http://collections.slsa.sa.gov.au/mpcimg/45000/B44842.htm</v>
      </c>
    </row>
    <row r="10226" spans="1:11" x14ac:dyDescent="0.25">
      <c r="A10226" t="s">
        <v>32060</v>
      </c>
      <c r="B10226" s="1" t="str">
        <f>HYPERLINK("https://www.catalog.slsa.sa.gov.au/record=b2072754")</f>
        <v>https://www.catalog.slsa.sa.gov.au/record=b2072754</v>
      </c>
      <c r="C10226" s="1" t="str">
        <f>HYPERLINK("https://www.catalog.slsa.sa.gov.au/xrecord=b2072754")</f>
        <v>https://www.catalog.slsa.sa.gov.au/xrecord=b2072754</v>
      </c>
      <c r="D10226" t="s">
        <v>16831</v>
      </c>
      <c r="E10226" t="s">
        <v>32061</v>
      </c>
      <c r="F10226">
        <v>1984</v>
      </c>
      <c r="G10226" t="s">
        <v>32056</v>
      </c>
      <c r="H10226" t="s">
        <v>32062</v>
      </c>
      <c r="I10226" t="s">
        <v>32063</v>
      </c>
      <c r="J10226" t="s">
        <v>32059</v>
      </c>
      <c r="K10226" s="2" t="str">
        <f>HYPERLINK("http://collections.slsa.sa.gov.au/mpcimg/45000/B44843.htm")</f>
        <v>http://collections.slsa.sa.gov.au/mpcimg/45000/B44843.htm</v>
      </c>
    </row>
    <row r="10227" spans="1:11" x14ac:dyDescent="0.25">
      <c r="A10227" t="s">
        <v>32064</v>
      </c>
      <c r="B10227" s="1" t="str">
        <f>HYPERLINK("https://www.catalog.slsa.sa.gov.au/record=b2072755")</f>
        <v>https://www.catalog.slsa.sa.gov.au/record=b2072755</v>
      </c>
      <c r="C10227" s="1" t="str">
        <f>HYPERLINK("https://www.catalog.slsa.sa.gov.au/xrecord=b2072755")</f>
        <v>https://www.catalog.slsa.sa.gov.au/xrecord=b2072755</v>
      </c>
      <c r="D10227" t="s">
        <v>16831</v>
      </c>
      <c r="E10227" t="s">
        <v>32055</v>
      </c>
      <c r="F10227">
        <v>1984</v>
      </c>
      <c r="G10227" t="s">
        <v>32056</v>
      </c>
      <c r="H10227" t="s">
        <v>32065</v>
      </c>
      <c r="I10227" t="s">
        <v>32066</v>
      </c>
      <c r="J10227" t="s">
        <v>32059</v>
      </c>
      <c r="K10227" s="2" t="str">
        <f>HYPERLINK("http://collections.slsa.sa.gov.au/mpcimg/45000/B44844.htm")</f>
        <v>http://collections.slsa.sa.gov.au/mpcimg/45000/B44844.htm</v>
      </c>
    </row>
    <row r="10228" spans="1:11" x14ac:dyDescent="0.25">
      <c r="A10228" t="s">
        <v>32067</v>
      </c>
      <c r="B10228" s="1" t="str">
        <f>HYPERLINK("https://www.catalog.slsa.sa.gov.au/record=b2072756")</f>
        <v>https://www.catalog.slsa.sa.gov.au/record=b2072756</v>
      </c>
      <c r="C10228" s="1" t="str">
        <f>HYPERLINK("https://www.catalog.slsa.sa.gov.au/xrecord=b2072756")</f>
        <v>https://www.catalog.slsa.sa.gov.au/xrecord=b2072756</v>
      </c>
      <c r="D10228" t="s">
        <v>16831</v>
      </c>
      <c r="E10228" t="s">
        <v>32055</v>
      </c>
      <c r="F10228">
        <v>1984</v>
      </c>
      <c r="G10228" t="s">
        <v>32056</v>
      </c>
      <c r="H10228" t="s">
        <v>32068</v>
      </c>
      <c r="I10228" t="s">
        <v>32066</v>
      </c>
      <c r="J10228" t="s">
        <v>32059</v>
      </c>
      <c r="K10228" s="2" t="str">
        <f>HYPERLINK("http://collections.slsa.sa.gov.au/mpcimg/45000/B44845.htm")</f>
        <v>http://collections.slsa.sa.gov.au/mpcimg/45000/B44845.htm</v>
      </c>
    </row>
    <row r="10229" spans="1:11" x14ac:dyDescent="0.25">
      <c r="A10229" t="s">
        <v>32069</v>
      </c>
      <c r="B10229" s="1" t="str">
        <f>HYPERLINK("https://www.catalog.slsa.sa.gov.au/record=b2072757")</f>
        <v>https://www.catalog.slsa.sa.gov.au/record=b2072757</v>
      </c>
      <c r="C10229" s="1" t="str">
        <f>HYPERLINK("https://www.catalog.slsa.sa.gov.au/xrecord=b2072757")</f>
        <v>https://www.catalog.slsa.sa.gov.au/xrecord=b2072757</v>
      </c>
      <c r="D10229" t="s">
        <v>16831</v>
      </c>
      <c r="E10229" t="s">
        <v>32055</v>
      </c>
      <c r="F10229">
        <v>1984</v>
      </c>
      <c r="G10229" t="s">
        <v>32056</v>
      </c>
      <c r="H10229" t="s">
        <v>32070</v>
      </c>
      <c r="I10229" t="s">
        <v>32071</v>
      </c>
      <c r="J10229" t="s">
        <v>32059</v>
      </c>
      <c r="K10229" s="2" t="str">
        <f>HYPERLINK("http://collections.slsa.sa.gov.au/mpcimg/45000/B44846.htm")</f>
        <v>http://collections.slsa.sa.gov.au/mpcimg/45000/B44846.htm</v>
      </c>
    </row>
    <row r="10230" spans="1:11" x14ac:dyDescent="0.25">
      <c r="A10230" t="s">
        <v>32072</v>
      </c>
      <c r="B10230" s="1" t="str">
        <f>HYPERLINK("https://www.catalog.slsa.sa.gov.au/record=b2072758")</f>
        <v>https://www.catalog.slsa.sa.gov.au/record=b2072758</v>
      </c>
      <c r="C10230" s="1" t="str">
        <f>HYPERLINK("https://www.catalog.slsa.sa.gov.au/xrecord=b2072758")</f>
        <v>https://www.catalog.slsa.sa.gov.au/xrecord=b2072758</v>
      </c>
      <c r="D10230" t="s">
        <v>16831</v>
      </c>
      <c r="E10230" t="s">
        <v>32055</v>
      </c>
      <c r="F10230">
        <v>1984</v>
      </c>
      <c r="G10230" t="s">
        <v>32056</v>
      </c>
      <c r="H10230" t="s">
        <v>32073</v>
      </c>
      <c r="I10230" t="s">
        <v>32074</v>
      </c>
      <c r="J10230" t="s">
        <v>32059</v>
      </c>
      <c r="K10230" s="2" t="str">
        <f>HYPERLINK("http://collections.slsa.sa.gov.au/mpcimg/45000/B44847.htm")</f>
        <v>http://collections.slsa.sa.gov.au/mpcimg/45000/B44847.htm</v>
      </c>
    </row>
    <row r="10231" spans="1:11" x14ac:dyDescent="0.25">
      <c r="A10231" t="s">
        <v>32075</v>
      </c>
      <c r="B10231" s="1" t="str">
        <f>HYPERLINK("https://www.catalog.slsa.sa.gov.au/record=b2072759")</f>
        <v>https://www.catalog.slsa.sa.gov.au/record=b2072759</v>
      </c>
      <c r="C10231" s="1" t="str">
        <f>HYPERLINK("https://www.catalog.slsa.sa.gov.au/xrecord=b2072759")</f>
        <v>https://www.catalog.slsa.sa.gov.au/xrecord=b2072759</v>
      </c>
      <c r="D10231" t="s">
        <v>16831</v>
      </c>
      <c r="E10231" t="s">
        <v>32055</v>
      </c>
      <c r="F10231">
        <v>1984</v>
      </c>
      <c r="G10231" t="s">
        <v>32056</v>
      </c>
      <c r="H10231" t="s">
        <v>32073</v>
      </c>
      <c r="I10231" t="s">
        <v>32074</v>
      </c>
      <c r="J10231" t="s">
        <v>32059</v>
      </c>
      <c r="K10231" s="2" t="str">
        <f>HYPERLINK("http://collections.slsa.sa.gov.au/mpcimg/45000/B44848.htm")</f>
        <v>http://collections.slsa.sa.gov.au/mpcimg/45000/B44848.htm</v>
      </c>
    </row>
    <row r="10232" spans="1:11" x14ac:dyDescent="0.25">
      <c r="A10232" t="s">
        <v>32076</v>
      </c>
      <c r="B10232" s="1" t="str">
        <f>HYPERLINK("https://www.catalog.slsa.sa.gov.au/record=b2072760")</f>
        <v>https://www.catalog.slsa.sa.gov.au/record=b2072760</v>
      </c>
      <c r="C10232" s="1" t="str">
        <f>HYPERLINK("https://www.catalog.slsa.sa.gov.au/xrecord=b2072760")</f>
        <v>https://www.catalog.slsa.sa.gov.au/xrecord=b2072760</v>
      </c>
      <c r="D10232" t="s">
        <v>16831</v>
      </c>
      <c r="E10232" t="s">
        <v>32055</v>
      </c>
      <c r="F10232">
        <v>1984</v>
      </c>
      <c r="G10232" t="s">
        <v>32056</v>
      </c>
      <c r="H10232" t="s">
        <v>32077</v>
      </c>
      <c r="I10232" t="s">
        <v>32058</v>
      </c>
      <c r="J10232" t="s">
        <v>32059</v>
      </c>
      <c r="K10232" s="2" t="str">
        <f>HYPERLINK("http://collections.slsa.sa.gov.au/mpcimg/45000/B44849.htm")</f>
        <v>http://collections.slsa.sa.gov.au/mpcimg/45000/B44849.htm</v>
      </c>
    </row>
    <row r="10233" spans="1:11" x14ac:dyDescent="0.25">
      <c r="A10233" t="s">
        <v>32078</v>
      </c>
      <c r="B10233" s="1" t="str">
        <f>HYPERLINK("https://www.catalog.slsa.sa.gov.au/record=b2072761")</f>
        <v>https://www.catalog.slsa.sa.gov.au/record=b2072761</v>
      </c>
      <c r="C10233" s="1" t="str">
        <f>HYPERLINK("https://www.catalog.slsa.sa.gov.au/xrecord=b2072761")</f>
        <v>https://www.catalog.slsa.sa.gov.au/xrecord=b2072761</v>
      </c>
      <c r="D10233" t="s">
        <v>16831</v>
      </c>
      <c r="E10233" t="s">
        <v>32055</v>
      </c>
      <c r="F10233">
        <v>1984</v>
      </c>
      <c r="G10233" t="s">
        <v>32056</v>
      </c>
      <c r="H10233" t="s">
        <v>32079</v>
      </c>
      <c r="I10233" t="s">
        <v>32071</v>
      </c>
      <c r="J10233" t="s">
        <v>32059</v>
      </c>
      <c r="K10233" s="2" t="str">
        <f>HYPERLINK("http://collections.slsa.sa.gov.au/mpcimg/45000/B44850.htm")</f>
        <v>http://collections.slsa.sa.gov.au/mpcimg/45000/B44850.htm</v>
      </c>
    </row>
    <row r="10234" spans="1:11" x14ac:dyDescent="0.25">
      <c r="A10234" t="s">
        <v>32080</v>
      </c>
      <c r="B10234" s="1" t="str">
        <f>HYPERLINK("https://www.catalog.slsa.sa.gov.au/record=b2072762")</f>
        <v>https://www.catalog.slsa.sa.gov.au/record=b2072762</v>
      </c>
      <c r="C10234" s="1" t="str">
        <f>HYPERLINK("https://www.catalog.slsa.sa.gov.au/xrecord=b2072762")</f>
        <v>https://www.catalog.slsa.sa.gov.au/xrecord=b2072762</v>
      </c>
      <c r="D10234" t="s">
        <v>16831</v>
      </c>
      <c r="E10234" t="s">
        <v>32055</v>
      </c>
      <c r="F10234">
        <v>1984</v>
      </c>
      <c r="G10234" t="s">
        <v>32056</v>
      </c>
      <c r="H10234" t="s">
        <v>32081</v>
      </c>
      <c r="I10234" t="s">
        <v>32071</v>
      </c>
      <c r="J10234" t="s">
        <v>32059</v>
      </c>
      <c r="K10234" s="2" t="str">
        <f>HYPERLINK("http://collections.slsa.sa.gov.au/mpcimg/45000/B44851.htm")</f>
        <v>http://collections.slsa.sa.gov.au/mpcimg/45000/B44851.htm</v>
      </c>
    </row>
    <row r="10235" spans="1:11" x14ac:dyDescent="0.25">
      <c r="A10235" t="s">
        <v>32082</v>
      </c>
      <c r="B10235" s="1" t="str">
        <f>HYPERLINK("https://www.catalog.slsa.sa.gov.au/record=b2072763")</f>
        <v>https://www.catalog.slsa.sa.gov.au/record=b2072763</v>
      </c>
      <c r="C10235" s="1" t="str">
        <f>HYPERLINK("https://www.catalog.slsa.sa.gov.au/xrecord=b2072763")</f>
        <v>https://www.catalog.slsa.sa.gov.au/xrecord=b2072763</v>
      </c>
      <c r="D10235" t="s">
        <v>16831</v>
      </c>
      <c r="E10235" t="s">
        <v>32055</v>
      </c>
      <c r="F10235">
        <v>1984</v>
      </c>
      <c r="G10235" t="s">
        <v>32056</v>
      </c>
      <c r="H10235" t="s">
        <v>32083</v>
      </c>
      <c r="I10235" t="s">
        <v>32066</v>
      </c>
      <c r="J10235" t="s">
        <v>32059</v>
      </c>
      <c r="K10235" s="2" t="str">
        <f>HYPERLINK("http://collections.slsa.sa.gov.au/mpcimg/45000/B44852.htm")</f>
        <v>http://collections.slsa.sa.gov.au/mpcimg/45000/B44852.htm</v>
      </c>
    </row>
    <row r="10236" spans="1:11" x14ac:dyDescent="0.25">
      <c r="A10236" t="s">
        <v>32084</v>
      </c>
      <c r="B10236" s="1" t="str">
        <f>HYPERLINK("https://www.catalog.slsa.sa.gov.au/record=b2072764")</f>
        <v>https://www.catalog.slsa.sa.gov.au/record=b2072764</v>
      </c>
      <c r="C10236" s="1" t="str">
        <f>HYPERLINK("https://www.catalog.slsa.sa.gov.au/xrecord=b2072764")</f>
        <v>https://www.catalog.slsa.sa.gov.au/xrecord=b2072764</v>
      </c>
      <c r="D10236" t="s">
        <v>16831</v>
      </c>
      <c r="E10236" t="s">
        <v>32055</v>
      </c>
      <c r="F10236">
        <v>1984</v>
      </c>
      <c r="G10236" t="s">
        <v>32056</v>
      </c>
      <c r="H10236" t="s">
        <v>32085</v>
      </c>
      <c r="I10236" t="s">
        <v>32071</v>
      </c>
      <c r="J10236" t="s">
        <v>32059</v>
      </c>
      <c r="K10236" s="2" t="str">
        <f>HYPERLINK("http://collections.slsa.sa.gov.au/mpcimg/45000/B44853.htm")</f>
        <v>http://collections.slsa.sa.gov.au/mpcimg/45000/B44853.htm</v>
      </c>
    </row>
    <row r="10237" spans="1:11" x14ac:dyDescent="0.25">
      <c r="A10237" t="s">
        <v>32086</v>
      </c>
      <c r="B10237" s="1" t="str">
        <f>HYPERLINK("https://www.catalog.slsa.sa.gov.au/record=b2072765")</f>
        <v>https://www.catalog.slsa.sa.gov.au/record=b2072765</v>
      </c>
      <c r="C10237" s="1" t="str">
        <f>HYPERLINK("https://www.catalog.slsa.sa.gov.au/xrecord=b2072765")</f>
        <v>https://www.catalog.slsa.sa.gov.au/xrecord=b2072765</v>
      </c>
      <c r="D10237" t="s">
        <v>16831</v>
      </c>
      <c r="E10237" t="s">
        <v>32055</v>
      </c>
      <c r="F10237">
        <v>1984</v>
      </c>
      <c r="G10237" t="s">
        <v>32056</v>
      </c>
      <c r="H10237" t="s">
        <v>32087</v>
      </c>
      <c r="I10237" t="s">
        <v>32088</v>
      </c>
      <c r="J10237" t="s">
        <v>32059</v>
      </c>
      <c r="K10237" s="2" t="str">
        <f>HYPERLINK("http://collections.slsa.sa.gov.au/mpcimg/45000/B44854.htm")</f>
        <v>http://collections.slsa.sa.gov.au/mpcimg/45000/B44854.htm</v>
      </c>
    </row>
    <row r="10238" spans="1:11" x14ac:dyDescent="0.25">
      <c r="A10238" t="s">
        <v>32089</v>
      </c>
      <c r="B10238" s="1" t="str">
        <f>HYPERLINK("https://www.catalog.slsa.sa.gov.au/record=b2072766")</f>
        <v>https://www.catalog.slsa.sa.gov.au/record=b2072766</v>
      </c>
      <c r="C10238" s="1" t="str">
        <f>HYPERLINK("https://www.catalog.slsa.sa.gov.au/xrecord=b2072766")</f>
        <v>https://www.catalog.slsa.sa.gov.au/xrecord=b2072766</v>
      </c>
      <c r="D10238" t="s">
        <v>16831</v>
      </c>
      <c r="E10238" t="s">
        <v>32055</v>
      </c>
      <c r="F10238">
        <v>1984</v>
      </c>
      <c r="G10238" t="s">
        <v>32056</v>
      </c>
      <c r="H10238" t="s">
        <v>32090</v>
      </c>
      <c r="I10238" t="s">
        <v>32071</v>
      </c>
      <c r="J10238" t="s">
        <v>32059</v>
      </c>
      <c r="K10238" s="2" t="str">
        <f>HYPERLINK("http://collections.slsa.sa.gov.au/mpcimg/45000/B44855.htm")</f>
        <v>http://collections.slsa.sa.gov.au/mpcimg/45000/B44855.htm</v>
      </c>
    </row>
    <row r="10239" spans="1:11" x14ac:dyDescent="0.25">
      <c r="A10239" t="s">
        <v>32091</v>
      </c>
      <c r="B10239" s="1" t="str">
        <f>HYPERLINK("https://www.catalog.slsa.sa.gov.au/record=b2072767")</f>
        <v>https://www.catalog.slsa.sa.gov.au/record=b2072767</v>
      </c>
      <c r="C10239" s="1" t="str">
        <f>HYPERLINK("https://www.catalog.slsa.sa.gov.au/xrecord=b2072767")</f>
        <v>https://www.catalog.slsa.sa.gov.au/xrecord=b2072767</v>
      </c>
      <c r="D10239" t="s">
        <v>16831</v>
      </c>
      <c r="E10239" t="s">
        <v>32055</v>
      </c>
      <c r="F10239">
        <v>1984</v>
      </c>
      <c r="G10239" t="s">
        <v>32056</v>
      </c>
      <c r="H10239" t="s">
        <v>32092</v>
      </c>
      <c r="I10239" t="s">
        <v>32071</v>
      </c>
      <c r="J10239" t="s">
        <v>32059</v>
      </c>
      <c r="K10239" s="2" t="str">
        <f>HYPERLINK("http://collections.slsa.sa.gov.au/mpcimg/45000/B44856.htm")</f>
        <v>http://collections.slsa.sa.gov.au/mpcimg/45000/B44856.htm</v>
      </c>
    </row>
    <row r="10240" spans="1:11" x14ac:dyDescent="0.25">
      <c r="A10240" t="s">
        <v>32093</v>
      </c>
      <c r="B10240" s="1" t="str">
        <f>HYPERLINK("https://www.catalog.slsa.sa.gov.au/record=b2072768")</f>
        <v>https://www.catalog.slsa.sa.gov.au/record=b2072768</v>
      </c>
      <c r="C10240" s="1" t="str">
        <f>HYPERLINK("https://www.catalog.slsa.sa.gov.au/xrecord=b2072768")</f>
        <v>https://www.catalog.slsa.sa.gov.au/xrecord=b2072768</v>
      </c>
      <c r="D10240" t="s">
        <v>16831</v>
      </c>
      <c r="E10240" t="s">
        <v>32055</v>
      </c>
      <c r="F10240">
        <v>1984</v>
      </c>
      <c r="G10240" t="s">
        <v>32056</v>
      </c>
      <c r="H10240" t="s">
        <v>32094</v>
      </c>
      <c r="I10240" t="s">
        <v>32071</v>
      </c>
      <c r="J10240" t="s">
        <v>32059</v>
      </c>
      <c r="K10240" s="2" t="str">
        <f>HYPERLINK("http://collections.slsa.sa.gov.au/mpcimg/45000/B44857.htm")</f>
        <v>http://collections.slsa.sa.gov.au/mpcimg/45000/B44857.htm</v>
      </c>
    </row>
    <row r="10241" spans="1:11" x14ac:dyDescent="0.25">
      <c r="A10241" t="s">
        <v>32095</v>
      </c>
      <c r="B10241" s="1" t="str">
        <f>HYPERLINK("https://www.catalog.slsa.sa.gov.au/record=b2072769")</f>
        <v>https://www.catalog.slsa.sa.gov.au/record=b2072769</v>
      </c>
      <c r="C10241" s="1" t="str">
        <f>HYPERLINK("https://www.catalog.slsa.sa.gov.au/xrecord=b2072769")</f>
        <v>https://www.catalog.slsa.sa.gov.au/xrecord=b2072769</v>
      </c>
      <c r="D10241" t="s">
        <v>16831</v>
      </c>
      <c r="E10241" t="s">
        <v>32055</v>
      </c>
      <c r="F10241">
        <v>1984</v>
      </c>
      <c r="G10241" t="s">
        <v>32056</v>
      </c>
      <c r="H10241" t="s">
        <v>32096</v>
      </c>
      <c r="I10241" t="s">
        <v>32071</v>
      </c>
      <c r="J10241" t="s">
        <v>32059</v>
      </c>
      <c r="K10241" s="2" t="str">
        <f>HYPERLINK("http://collections.slsa.sa.gov.au/mpcimg/45000/B44858.htm")</f>
        <v>http://collections.slsa.sa.gov.au/mpcimg/45000/B44858.htm</v>
      </c>
    </row>
    <row r="10242" spans="1:11" x14ac:dyDescent="0.25">
      <c r="A10242" t="s">
        <v>32097</v>
      </c>
      <c r="B10242" s="1" t="str">
        <f>HYPERLINK("https://www.catalog.slsa.sa.gov.au/record=b2072770")</f>
        <v>https://www.catalog.slsa.sa.gov.au/record=b2072770</v>
      </c>
      <c r="C10242" s="1" t="str">
        <f>HYPERLINK("https://www.catalog.slsa.sa.gov.au/xrecord=b2072770")</f>
        <v>https://www.catalog.slsa.sa.gov.au/xrecord=b2072770</v>
      </c>
      <c r="D10242" t="s">
        <v>16831</v>
      </c>
      <c r="E10242" t="s">
        <v>32055</v>
      </c>
      <c r="F10242">
        <v>1984</v>
      </c>
      <c r="G10242" t="s">
        <v>32056</v>
      </c>
      <c r="H10242" t="s">
        <v>32098</v>
      </c>
      <c r="I10242" t="s">
        <v>32071</v>
      </c>
      <c r="J10242" t="s">
        <v>32059</v>
      </c>
      <c r="K10242" s="2" t="str">
        <f>HYPERLINK("http://collections.slsa.sa.gov.au/mpcimg/45000/B44859.htm")</f>
        <v>http://collections.slsa.sa.gov.au/mpcimg/45000/B44859.htm</v>
      </c>
    </row>
    <row r="10243" spans="1:11" x14ac:dyDescent="0.25">
      <c r="A10243" t="s">
        <v>32099</v>
      </c>
      <c r="B10243" s="1" t="str">
        <f>HYPERLINK("https://www.catalog.slsa.sa.gov.au/record=b2072771")</f>
        <v>https://www.catalog.slsa.sa.gov.au/record=b2072771</v>
      </c>
      <c r="C10243" s="1" t="str">
        <f>HYPERLINK("https://www.catalog.slsa.sa.gov.au/xrecord=b2072771")</f>
        <v>https://www.catalog.slsa.sa.gov.au/xrecord=b2072771</v>
      </c>
      <c r="D10243" t="s">
        <v>16831</v>
      </c>
      <c r="E10243" t="s">
        <v>32055</v>
      </c>
      <c r="F10243">
        <v>1984</v>
      </c>
      <c r="G10243" t="s">
        <v>32056</v>
      </c>
      <c r="H10243" t="s">
        <v>32100</v>
      </c>
      <c r="I10243" t="s">
        <v>32058</v>
      </c>
      <c r="J10243" t="s">
        <v>32059</v>
      </c>
      <c r="K10243" s="2" t="str">
        <f>HYPERLINK("http://collections.slsa.sa.gov.au/mpcimg/45000/B44860.htm")</f>
        <v>http://collections.slsa.sa.gov.au/mpcimg/45000/B44860.htm</v>
      </c>
    </row>
    <row r="10244" spans="1:11" x14ac:dyDescent="0.25">
      <c r="A10244" t="s">
        <v>32101</v>
      </c>
      <c r="B10244" s="1" t="str">
        <f>HYPERLINK("https://www.catalog.slsa.sa.gov.au/record=b2072772")</f>
        <v>https://www.catalog.slsa.sa.gov.au/record=b2072772</v>
      </c>
      <c r="C10244" s="1" t="str">
        <f>HYPERLINK("https://www.catalog.slsa.sa.gov.au/xrecord=b2072772")</f>
        <v>https://www.catalog.slsa.sa.gov.au/xrecord=b2072772</v>
      </c>
      <c r="D10244" t="s">
        <v>16831</v>
      </c>
      <c r="E10244" t="s">
        <v>32055</v>
      </c>
      <c r="F10244">
        <v>1984</v>
      </c>
      <c r="G10244" t="s">
        <v>32056</v>
      </c>
      <c r="H10244" t="s">
        <v>32102</v>
      </c>
      <c r="I10244" t="s">
        <v>32071</v>
      </c>
      <c r="J10244" t="s">
        <v>32059</v>
      </c>
      <c r="K10244" s="2" t="str">
        <f>HYPERLINK("http://collections.slsa.sa.gov.au/mpcimg/45000/B44861.htm")</f>
        <v>http://collections.slsa.sa.gov.au/mpcimg/45000/B44861.htm</v>
      </c>
    </row>
    <row r="10245" spans="1:11" x14ac:dyDescent="0.25">
      <c r="A10245" t="s">
        <v>32103</v>
      </c>
      <c r="B10245" s="1" t="str">
        <f>HYPERLINK("https://www.catalog.slsa.sa.gov.au/record=b2072773")</f>
        <v>https://www.catalog.slsa.sa.gov.au/record=b2072773</v>
      </c>
      <c r="C10245" s="1" t="str">
        <f>HYPERLINK("https://www.catalog.slsa.sa.gov.au/xrecord=b2072773")</f>
        <v>https://www.catalog.slsa.sa.gov.au/xrecord=b2072773</v>
      </c>
      <c r="D10245" t="s">
        <v>16831</v>
      </c>
      <c r="E10245" t="s">
        <v>32104</v>
      </c>
      <c r="F10245">
        <v>1984</v>
      </c>
      <c r="G10245" t="s">
        <v>32056</v>
      </c>
      <c r="H10245" t="s">
        <v>32105</v>
      </c>
      <c r="I10245" t="s">
        <v>32071</v>
      </c>
      <c r="J10245" t="s">
        <v>32059</v>
      </c>
      <c r="K10245" s="2" t="str">
        <f>HYPERLINK("http://collections.slsa.sa.gov.au/mpcimg/45000/B44862.htm")</f>
        <v>http://collections.slsa.sa.gov.au/mpcimg/45000/B44862.htm</v>
      </c>
    </row>
    <row r="10246" spans="1:11" x14ac:dyDescent="0.25">
      <c r="A10246" t="s">
        <v>32106</v>
      </c>
      <c r="B10246" s="1" t="str">
        <f>HYPERLINK("https://www.catalog.slsa.sa.gov.au/record=b2072774")</f>
        <v>https://www.catalog.slsa.sa.gov.au/record=b2072774</v>
      </c>
      <c r="C10246" s="1" t="str">
        <f>HYPERLINK("https://www.catalog.slsa.sa.gov.au/xrecord=b2072774")</f>
        <v>https://www.catalog.slsa.sa.gov.au/xrecord=b2072774</v>
      </c>
      <c r="D10246" t="s">
        <v>16831</v>
      </c>
      <c r="E10246" t="s">
        <v>32055</v>
      </c>
      <c r="F10246">
        <v>1984</v>
      </c>
      <c r="G10246" t="s">
        <v>32056</v>
      </c>
      <c r="H10246" t="s">
        <v>32098</v>
      </c>
      <c r="I10246" t="s">
        <v>32071</v>
      </c>
      <c r="J10246" t="s">
        <v>32059</v>
      </c>
      <c r="K10246" s="2" t="str">
        <f>HYPERLINK("http://collections.slsa.sa.gov.au/mpcimg/45000/B44863.htm")</f>
        <v>http://collections.slsa.sa.gov.au/mpcimg/45000/B44863.htm</v>
      </c>
    </row>
    <row r="10247" spans="1:11" x14ac:dyDescent="0.25">
      <c r="A10247" t="s">
        <v>32107</v>
      </c>
      <c r="B10247" s="1" t="str">
        <f>HYPERLINK("https://www.catalog.slsa.sa.gov.au/record=b2072775")</f>
        <v>https://www.catalog.slsa.sa.gov.au/record=b2072775</v>
      </c>
      <c r="C10247" s="1" t="str">
        <f>HYPERLINK("https://www.catalog.slsa.sa.gov.au/xrecord=b2072775")</f>
        <v>https://www.catalog.slsa.sa.gov.au/xrecord=b2072775</v>
      </c>
      <c r="D10247" t="s">
        <v>16831</v>
      </c>
      <c r="E10247" t="s">
        <v>32108</v>
      </c>
      <c r="F10247">
        <v>1984</v>
      </c>
      <c r="G10247" t="s">
        <v>32056</v>
      </c>
      <c r="H10247" t="s">
        <v>32109</v>
      </c>
      <c r="I10247" t="s">
        <v>32071</v>
      </c>
      <c r="J10247" t="s">
        <v>32059</v>
      </c>
      <c r="K10247" s="2" t="str">
        <f>HYPERLINK("http://collections.slsa.sa.gov.au/mpcimg/45000/B44864.htm")</f>
        <v>http://collections.slsa.sa.gov.au/mpcimg/45000/B44864.htm</v>
      </c>
    </row>
    <row r="10248" spans="1:11" x14ac:dyDescent="0.25">
      <c r="A10248" t="s">
        <v>32110</v>
      </c>
      <c r="B10248" s="1" t="str">
        <f>HYPERLINK("https://www.catalog.slsa.sa.gov.au/record=b2072776")</f>
        <v>https://www.catalog.slsa.sa.gov.au/record=b2072776</v>
      </c>
      <c r="C10248" s="1" t="str">
        <f>HYPERLINK("https://www.catalog.slsa.sa.gov.au/xrecord=b2072776")</f>
        <v>https://www.catalog.slsa.sa.gov.au/xrecord=b2072776</v>
      </c>
      <c r="D10248" t="s">
        <v>16831</v>
      </c>
      <c r="E10248" t="s">
        <v>32055</v>
      </c>
      <c r="F10248">
        <v>1984</v>
      </c>
      <c r="G10248" t="s">
        <v>32056</v>
      </c>
      <c r="H10248" t="s">
        <v>32111</v>
      </c>
      <c r="I10248" t="s">
        <v>32112</v>
      </c>
      <c r="J10248" t="s">
        <v>32059</v>
      </c>
      <c r="K10248" s="2" t="str">
        <f>HYPERLINK("http://collections.slsa.sa.gov.au/mpcimg/45000/B44865.htm")</f>
        <v>http://collections.slsa.sa.gov.au/mpcimg/45000/B44865.htm</v>
      </c>
    </row>
    <row r="10249" spans="1:11" x14ac:dyDescent="0.25">
      <c r="A10249" t="s">
        <v>32113</v>
      </c>
      <c r="B10249" s="1" t="str">
        <f>HYPERLINK("https://www.catalog.slsa.sa.gov.au/record=b2072777")</f>
        <v>https://www.catalog.slsa.sa.gov.au/record=b2072777</v>
      </c>
      <c r="C10249" s="1" t="str">
        <f>HYPERLINK("https://www.catalog.slsa.sa.gov.au/xrecord=b2072777")</f>
        <v>https://www.catalog.slsa.sa.gov.au/xrecord=b2072777</v>
      </c>
      <c r="D10249" t="s">
        <v>16831</v>
      </c>
      <c r="E10249" t="s">
        <v>32055</v>
      </c>
      <c r="F10249">
        <v>1984</v>
      </c>
      <c r="G10249" t="s">
        <v>32056</v>
      </c>
      <c r="H10249" t="s">
        <v>32114</v>
      </c>
      <c r="I10249" t="s">
        <v>32058</v>
      </c>
      <c r="J10249" t="s">
        <v>32059</v>
      </c>
      <c r="K10249" s="2" t="str">
        <f>HYPERLINK("http://collections.slsa.sa.gov.au/mpcimg/45000/B44866.htm")</f>
        <v>http://collections.slsa.sa.gov.au/mpcimg/45000/B44866.htm</v>
      </c>
    </row>
    <row r="10250" spans="1:11" x14ac:dyDescent="0.25">
      <c r="A10250" t="s">
        <v>32115</v>
      </c>
      <c r="B10250" s="1" t="str">
        <f>HYPERLINK("https://www.catalog.slsa.sa.gov.au/record=b2072778")</f>
        <v>https://www.catalog.slsa.sa.gov.au/record=b2072778</v>
      </c>
      <c r="C10250" s="1" t="str">
        <f>HYPERLINK("https://www.catalog.slsa.sa.gov.au/xrecord=b2072778")</f>
        <v>https://www.catalog.slsa.sa.gov.au/xrecord=b2072778</v>
      </c>
      <c r="D10250" t="s">
        <v>16831</v>
      </c>
      <c r="E10250" t="s">
        <v>32055</v>
      </c>
      <c r="F10250">
        <v>1984</v>
      </c>
      <c r="G10250" t="s">
        <v>32056</v>
      </c>
      <c r="H10250" t="s">
        <v>32114</v>
      </c>
      <c r="I10250" t="s">
        <v>32066</v>
      </c>
      <c r="J10250" t="s">
        <v>32059</v>
      </c>
      <c r="K10250" s="2" t="str">
        <f>HYPERLINK("http://collections.slsa.sa.gov.au/mpcimg/45000/B44867.htm")</f>
        <v>http://collections.slsa.sa.gov.au/mpcimg/45000/B44867.htm</v>
      </c>
    </row>
    <row r="10251" spans="1:11" x14ac:dyDescent="0.25">
      <c r="A10251" t="s">
        <v>32116</v>
      </c>
      <c r="B10251" s="1" t="str">
        <f>HYPERLINK("https://www.catalog.slsa.sa.gov.au/record=b2072779")</f>
        <v>https://www.catalog.slsa.sa.gov.au/record=b2072779</v>
      </c>
      <c r="C10251" s="1" t="str">
        <f>HYPERLINK("https://www.catalog.slsa.sa.gov.au/xrecord=b2072779")</f>
        <v>https://www.catalog.slsa.sa.gov.au/xrecord=b2072779</v>
      </c>
      <c r="D10251" t="s">
        <v>16831</v>
      </c>
      <c r="E10251" t="s">
        <v>32117</v>
      </c>
      <c r="F10251">
        <v>1984</v>
      </c>
      <c r="G10251" t="s">
        <v>32056</v>
      </c>
      <c r="H10251" t="s">
        <v>32118</v>
      </c>
      <c r="I10251" t="s">
        <v>32119</v>
      </c>
      <c r="J10251" t="s">
        <v>32059</v>
      </c>
      <c r="K10251" s="2" t="str">
        <f>HYPERLINK("http://collections.slsa.sa.gov.au/mpcimg/45000/B44868.htm")</f>
        <v>http://collections.slsa.sa.gov.au/mpcimg/45000/B44868.htm</v>
      </c>
    </row>
    <row r="10252" spans="1:11" x14ac:dyDescent="0.25">
      <c r="A10252" t="s">
        <v>32120</v>
      </c>
      <c r="B10252" s="1" t="str">
        <f>HYPERLINK("https://www.catalog.slsa.sa.gov.au/record=b2072780")</f>
        <v>https://www.catalog.slsa.sa.gov.au/record=b2072780</v>
      </c>
      <c r="C10252" s="1" t="str">
        <f>HYPERLINK("https://www.catalog.slsa.sa.gov.au/xrecord=b2072780")</f>
        <v>https://www.catalog.slsa.sa.gov.au/xrecord=b2072780</v>
      </c>
      <c r="D10252" t="s">
        <v>16831</v>
      </c>
      <c r="E10252" t="s">
        <v>32055</v>
      </c>
      <c r="F10252">
        <v>1984</v>
      </c>
      <c r="G10252" t="s">
        <v>32056</v>
      </c>
      <c r="H10252" t="s">
        <v>32121</v>
      </c>
      <c r="I10252" t="s">
        <v>32122</v>
      </c>
      <c r="J10252" t="s">
        <v>32059</v>
      </c>
      <c r="K10252" s="2" t="str">
        <f>HYPERLINK("http://collections.slsa.sa.gov.au/mpcimg/45000/B44869.htm")</f>
        <v>http://collections.slsa.sa.gov.au/mpcimg/45000/B44869.htm</v>
      </c>
    </row>
    <row r="10253" spans="1:11" x14ac:dyDescent="0.25">
      <c r="A10253" t="s">
        <v>32123</v>
      </c>
      <c r="B10253" s="1" t="str">
        <f>HYPERLINK("https://www.catalog.slsa.sa.gov.au/record=b2072781")</f>
        <v>https://www.catalog.slsa.sa.gov.au/record=b2072781</v>
      </c>
      <c r="C10253" s="1" t="str">
        <f>HYPERLINK("https://www.catalog.slsa.sa.gov.au/xrecord=b2072781")</f>
        <v>https://www.catalog.slsa.sa.gov.au/xrecord=b2072781</v>
      </c>
      <c r="D10253" t="s">
        <v>16831</v>
      </c>
      <c r="E10253" t="s">
        <v>32108</v>
      </c>
      <c r="F10253">
        <v>1984</v>
      </c>
      <c r="G10253" t="s">
        <v>32056</v>
      </c>
      <c r="H10253" t="s">
        <v>32124</v>
      </c>
      <c r="I10253" t="s">
        <v>32071</v>
      </c>
      <c r="J10253" t="s">
        <v>32059</v>
      </c>
      <c r="K10253" s="2" t="str">
        <f>HYPERLINK("http://collections.slsa.sa.gov.au/mpcimg/45000/B44870.htm")</f>
        <v>http://collections.slsa.sa.gov.au/mpcimg/45000/B44870.htm</v>
      </c>
    </row>
    <row r="10254" spans="1:11" x14ac:dyDescent="0.25">
      <c r="A10254" t="s">
        <v>32125</v>
      </c>
      <c r="B10254" s="1" t="str">
        <f>HYPERLINK("https://www.catalog.slsa.sa.gov.au/record=b2072782")</f>
        <v>https://www.catalog.slsa.sa.gov.au/record=b2072782</v>
      </c>
      <c r="C10254" s="1" t="str">
        <f>HYPERLINK("https://www.catalog.slsa.sa.gov.au/xrecord=b2072782")</f>
        <v>https://www.catalog.slsa.sa.gov.au/xrecord=b2072782</v>
      </c>
      <c r="D10254" t="s">
        <v>16831</v>
      </c>
      <c r="E10254" t="s">
        <v>32108</v>
      </c>
      <c r="F10254">
        <v>1984</v>
      </c>
      <c r="G10254" t="s">
        <v>32056</v>
      </c>
      <c r="H10254" t="s">
        <v>32126</v>
      </c>
      <c r="I10254" t="s">
        <v>32071</v>
      </c>
      <c r="J10254" t="s">
        <v>32059</v>
      </c>
      <c r="K10254" s="2" t="str">
        <f>HYPERLINK("http://collections.slsa.sa.gov.au/mpcimg/45000/B44871.htm")</f>
        <v>http://collections.slsa.sa.gov.au/mpcimg/45000/B44871.htm</v>
      </c>
    </row>
    <row r="10255" spans="1:11" x14ac:dyDescent="0.25">
      <c r="A10255" t="s">
        <v>32127</v>
      </c>
      <c r="B10255" s="1" t="str">
        <f>HYPERLINK("https://www.catalog.slsa.sa.gov.au/record=b2072783")</f>
        <v>https://www.catalog.slsa.sa.gov.au/record=b2072783</v>
      </c>
      <c r="C10255" s="1" t="str">
        <f>HYPERLINK("https://www.catalog.slsa.sa.gov.au/xrecord=b2072783")</f>
        <v>https://www.catalog.slsa.sa.gov.au/xrecord=b2072783</v>
      </c>
      <c r="D10255" t="s">
        <v>16831</v>
      </c>
      <c r="E10255" t="s">
        <v>32108</v>
      </c>
      <c r="F10255">
        <v>1984</v>
      </c>
      <c r="G10255" t="s">
        <v>32056</v>
      </c>
      <c r="H10255" t="s">
        <v>32126</v>
      </c>
      <c r="I10255" t="s">
        <v>32071</v>
      </c>
      <c r="J10255" t="s">
        <v>32059</v>
      </c>
      <c r="K10255" s="2" t="str">
        <f>HYPERLINK("http://collections.slsa.sa.gov.au/mpcimg/45000/B44872.htm")</f>
        <v>http://collections.slsa.sa.gov.au/mpcimg/45000/B44872.htm</v>
      </c>
    </row>
    <row r="10256" spans="1:11" x14ac:dyDescent="0.25">
      <c r="A10256" t="s">
        <v>32128</v>
      </c>
      <c r="B10256" s="1" t="str">
        <f>HYPERLINK("https://www.catalog.slsa.sa.gov.au/record=b2072784")</f>
        <v>https://www.catalog.slsa.sa.gov.au/record=b2072784</v>
      </c>
      <c r="C10256" s="1" t="str">
        <f>HYPERLINK("https://www.catalog.slsa.sa.gov.au/xrecord=b2072784")</f>
        <v>https://www.catalog.slsa.sa.gov.au/xrecord=b2072784</v>
      </c>
      <c r="D10256" t="s">
        <v>16831</v>
      </c>
      <c r="E10256" t="s">
        <v>32108</v>
      </c>
      <c r="F10256">
        <v>1984</v>
      </c>
      <c r="G10256" t="s">
        <v>32056</v>
      </c>
      <c r="H10256" t="s">
        <v>32126</v>
      </c>
      <c r="I10256" t="s">
        <v>32071</v>
      </c>
      <c r="J10256" t="s">
        <v>32059</v>
      </c>
      <c r="K10256" s="2" t="str">
        <f>HYPERLINK("http://collections.slsa.sa.gov.au/mpcimg/45000/B44873.htm")</f>
        <v>http://collections.slsa.sa.gov.au/mpcimg/45000/B44873.htm</v>
      </c>
    </row>
    <row r="10257" spans="1:11" x14ac:dyDescent="0.25">
      <c r="A10257" t="s">
        <v>32129</v>
      </c>
      <c r="B10257" s="1" t="str">
        <f>HYPERLINK("https://www.catalog.slsa.sa.gov.au/record=b2072787")</f>
        <v>https://www.catalog.slsa.sa.gov.au/record=b2072787</v>
      </c>
      <c r="C10257" s="1" t="str">
        <f>HYPERLINK("https://www.catalog.slsa.sa.gov.au/xrecord=b2072787")</f>
        <v>https://www.catalog.slsa.sa.gov.au/xrecord=b2072787</v>
      </c>
      <c r="D10257" t="s">
        <v>16831</v>
      </c>
      <c r="E10257" t="s">
        <v>32108</v>
      </c>
      <c r="F10257">
        <v>1984</v>
      </c>
      <c r="G10257" t="s">
        <v>32056</v>
      </c>
      <c r="H10257" t="s">
        <v>32126</v>
      </c>
      <c r="I10257" t="s">
        <v>32071</v>
      </c>
      <c r="J10257" t="s">
        <v>32059</v>
      </c>
      <c r="K10257" s="2" t="str">
        <f>HYPERLINK("http://collections.slsa.sa.gov.au/mpcimg/45000/B44874.htm")</f>
        <v>http://collections.slsa.sa.gov.au/mpcimg/45000/B44874.htm</v>
      </c>
    </row>
    <row r="10258" spans="1:11" x14ac:dyDescent="0.25">
      <c r="A10258" t="s">
        <v>32130</v>
      </c>
      <c r="B10258" s="1" t="str">
        <f>HYPERLINK("https://www.catalog.slsa.sa.gov.au/record=b2072788")</f>
        <v>https://www.catalog.slsa.sa.gov.au/record=b2072788</v>
      </c>
      <c r="C10258" s="1" t="str">
        <f>HYPERLINK("https://www.catalog.slsa.sa.gov.au/xrecord=b2072788")</f>
        <v>https://www.catalog.slsa.sa.gov.au/xrecord=b2072788</v>
      </c>
      <c r="D10258" t="s">
        <v>16831</v>
      </c>
      <c r="E10258" t="s">
        <v>32108</v>
      </c>
      <c r="F10258">
        <v>1984</v>
      </c>
      <c r="G10258" t="s">
        <v>32056</v>
      </c>
      <c r="H10258" t="s">
        <v>32126</v>
      </c>
      <c r="I10258" t="s">
        <v>32071</v>
      </c>
      <c r="J10258" t="s">
        <v>32059</v>
      </c>
      <c r="K10258" s="2" t="str">
        <f>HYPERLINK("http://collections.slsa.sa.gov.au/mpcimg/45000/B44875.htm")</f>
        <v>http://collections.slsa.sa.gov.au/mpcimg/45000/B44875.htm</v>
      </c>
    </row>
    <row r="10259" spans="1:11" x14ac:dyDescent="0.25">
      <c r="A10259" t="s">
        <v>32131</v>
      </c>
      <c r="B10259" s="1" t="str">
        <f>HYPERLINK("https://www.catalog.slsa.sa.gov.au/record=b2072789")</f>
        <v>https://www.catalog.slsa.sa.gov.au/record=b2072789</v>
      </c>
      <c r="C10259" s="1" t="str">
        <f>HYPERLINK("https://www.catalog.slsa.sa.gov.au/xrecord=b2072789")</f>
        <v>https://www.catalog.slsa.sa.gov.au/xrecord=b2072789</v>
      </c>
      <c r="D10259" t="s">
        <v>16831</v>
      </c>
      <c r="E10259" t="s">
        <v>32108</v>
      </c>
      <c r="F10259">
        <v>1984</v>
      </c>
      <c r="G10259" t="s">
        <v>14903</v>
      </c>
      <c r="H10259" t="s">
        <v>32126</v>
      </c>
      <c r="I10259" t="s">
        <v>32071</v>
      </c>
      <c r="J10259" t="s">
        <v>32059</v>
      </c>
      <c r="K10259" s="2" t="str">
        <f>HYPERLINK("http://collections.slsa.sa.gov.au/mpcimg/45000/B44876.htm")</f>
        <v>http://collections.slsa.sa.gov.au/mpcimg/45000/B44876.htm</v>
      </c>
    </row>
    <row r="10260" spans="1:11" x14ac:dyDescent="0.25">
      <c r="A10260" t="s">
        <v>32132</v>
      </c>
      <c r="B10260" s="1" t="str">
        <f>HYPERLINK("https://www.catalog.slsa.sa.gov.au/record=b2072790")</f>
        <v>https://www.catalog.slsa.sa.gov.au/record=b2072790</v>
      </c>
      <c r="C10260" s="1" t="str">
        <f>HYPERLINK("https://www.catalog.slsa.sa.gov.au/xrecord=b2072790")</f>
        <v>https://www.catalog.slsa.sa.gov.au/xrecord=b2072790</v>
      </c>
      <c r="D10260" t="s">
        <v>16831</v>
      </c>
      <c r="E10260" t="s">
        <v>32108</v>
      </c>
      <c r="F10260">
        <v>1984</v>
      </c>
      <c r="G10260" t="s">
        <v>14854</v>
      </c>
      <c r="H10260" t="s">
        <v>32126</v>
      </c>
      <c r="I10260" t="s">
        <v>32071</v>
      </c>
      <c r="J10260" t="s">
        <v>32059</v>
      </c>
      <c r="K10260" s="2" t="str">
        <f>HYPERLINK("http://collections.slsa.sa.gov.au/mpcimg/45000/B44877.htm")</f>
        <v>http://collections.slsa.sa.gov.au/mpcimg/45000/B44877.htm</v>
      </c>
    </row>
    <row r="10261" spans="1:11" x14ac:dyDescent="0.25">
      <c r="A10261" t="s">
        <v>32133</v>
      </c>
      <c r="B10261" s="1" t="str">
        <f>HYPERLINK("https://www.catalog.slsa.sa.gov.au/record=b2072791")</f>
        <v>https://www.catalog.slsa.sa.gov.au/record=b2072791</v>
      </c>
      <c r="C10261" s="1" t="str">
        <f>HYPERLINK("https://www.catalog.slsa.sa.gov.au/xrecord=b2072791")</f>
        <v>https://www.catalog.slsa.sa.gov.au/xrecord=b2072791</v>
      </c>
      <c r="D10261" t="s">
        <v>16831</v>
      </c>
      <c r="E10261" t="s">
        <v>32108</v>
      </c>
      <c r="F10261">
        <v>1984</v>
      </c>
      <c r="G10261" t="s">
        <v>14936</v>
      </c>
      <c r="H10261" t="s">
        <v>32126</v>
      </c>
      <c r="I10261" t="s">
        <v>32071</v>
      </c>
      <c r="J10261" t="s">
        <v>32059</v>
      </c>
      <c r="K10261" s="2" t="str">
        <f>HYPERLINK("http://collections.slsa.sa.gov.au/mpcimg/45000/B44878.htm")</f>
        <v>http://collections.slsa.sa.gov.au/mpcimg/45000/B44878.htm</v>
      </c>
    </row>
    <row r="10262" spans="1:11" x14ac:dyDescent="0.25">
      <c r="A10262" t="s">
        <v>32134</v>
      </c>
      <c r="B10262" s="1" t="str">
        <f>HYPERLINK("https://www.catalog.slsa.sa.gov.au/record=b2072792")</f>
        <v>https://www.catalog.slsa.sa.gov.au/record=b2072792</v>
      </c>
      <c r="C10262" s="1" t="str">
        <f>HYPERLINK("https://www.catalog.slsa.sa.gov.au/xrecord=b2072792")</f>
        <v>https://www.catalog.slsa.sa.gov.au/xrecord=b2072792</v>
      </c>
      <c r="D10262" t="s">
        <v>16831</v>
      </c>
      <c r="E10262" t="s">
        <v>32135</v>
      </c>
      <c r="F10262">
        <v>1984</v>
      </c>
      <c r="G10262" t="s">
        <v>31886</v>
      </c>
      <c r="H10262" t="s">
        <v>32136</v>
      </c>
      <c r="I10262" t="s">
        <v>32137</v>
      </c>
      <c r="J10262" t="s">
        <v>32059</v>
      </c>
      <c r="K10262" s="2" t="str">
        <f>HYPERLINK("http://collections.slsa.sa.gov.au/mpcimg/45000/B44879.htm")</f>
        <v>http://collections.slsa.sa.gov.au/mpcimg/45000/B44879.htm</v>
      </c>
    </row>
    <row r="10263" spans="1:11" x14ac:dyDescent="0.25">
      <c r="A10263" t="s">
        <v>32138</v>
      </c>
      <c r="B10263" s="1" t="str">
        <f>HYPERLINK("https://www.catalog.slsa.sa.gov.au/record=b2072793")</f>
        <v>https://www.catalog.slsa.sa.gov.au/record=b2072793</v>
      </c>
      <c r="C10263" s="1" t="str">
        <f>HYPERLINK("https://www.catalog.slsa.sa.gov.au/xrecord=b2072793")</f>
        <v>https://www.catalog.slsa.sa.gov.au/xrecord=b2072793</v>
      </c>
      <c r="D10263" t="s">
        <v>16831</v>
      </c>
      <c r="E10263" t="s">
        <v>32135</v>
      </c>
      <c r="F10263">
        <v>1984</v>
      </c>
      <c r="G10263" t="s">
        <v>32139</v>
      </c>
      <c r="H10263" t="s">
        <v>32140</v>
      </c>
      <c r="I10263" t="s">
        <v>32141</v>
      </c>
      <c r="J10263" t="s">
        <v>32059</v>
      </c>
      <c r="K10263" s="2" t="str">
        <f>HYPERLINK("http://collections.slsa.sa.gov.au/mpcimg/45000/B44880.htm")</f>
        <v>http://collections.slsa.sa.gov.au/mpcimg/45000/B44880.htm</v>
      </c>
    </row>
    <row r="10264" spans="1:11" x14ac:dyDescent="0.25">
      <c r="A10264" t="s">
        <v>32142</v>
      </c>
      <c r="B10264" s="1" t="str">
        <f>HYPERLINK("https://www.catalog.slsa.sa.gov.au/record=b2072794")</f>
        <v>https://www.catalog.slsa.sa.gov.au/record=b2072794</v>
      </c>
      <c r="C10264" s="1" t="str">
        <f>HYPERLINK("https://www.catalog.slsa.sa.gov.au/xrecord=b2072794")</f>
        <v>https://www.catalog.slsa.sa.gov.au/xrecord=b2072794</v>
      </c>
      <c r="D10264" t="s">
        <v>16831</v>
      </c>
      <c r="E10264" t="s">
        <v>32135</v>
      </c>
      <c r="F10264">
        <v>1984</v>
      </c>
      <c r="G10264" t="s">
        <v>32056</v>
      </c>
      <c r="H10264" t="s">
        <v>32143</v>
      </c>
      <c r="I10264" t="s">
        <v>32144</v>
      </c>
      <c r="J10264" t="s">
        <v>32059</v>
      </c>
      <c r="K10264" s="2" t="str">
        <f>HYPERLINK("http://collections.slsa.sa.gov.au/mpcimg/45000/B44881.htm")</f>
        <v>http://collections.slsa.sa.gov.au/mpcimg/45000/B44881.htm</v>
      </c>
    </row>
    <row r="10265" spans="1:11" x14ac:dyDescent="0.25">
      <c r="A10265" t="s">
        <v>32145</v>
      </c>
      <c r="B10265" s="1" t="str">
        <f>HYPERLINK("https://www.catalog.slsa.sa.gov.au/record=b2072795")</f>
        <v>https://www.catalog.slsa.sa.gov.au/record=b2072795</v>
      </c>
      <c r="C10265" s="1" t="str">
        <f>HYPERLINK("https://www.catalog.slsa.sa.gov.au/xrecord=b2072795")</f>
        <v>https://www.catalog.slsa.sa.gov.au/xrecord=b2072795</v>
      </c>
      <c r="D10265" t="s">
        <v>16831</v>
      </c>
      <c r="E10265" t="s">
        <v>32135</v>
      </c>
      <c r="F10265">
        <v>1984</v>
      </c>
      <c r="G10265" t="s">
        <v>32056</v>
      </c>
      <c r="H10265" t="s">
        <v>32143</v>
      </c>
      <c r="I10265" t="s">
        <v>32144</v>
      </c>
      <c r="J10265" t="s">
        <v>32059</v>
      </c>
      <c r="K10265" s="2" t="str">
        <f>HYPERLINK("http://collections.slsa.sa.gov.au/mpcimg/45000/B44882.htm")</f>
        <v>http://collections.slsa.sa.gov.au/mpcimg/45000/B44882.htm</v>
      </c>
    </row>
    <row r="10266" spans="1:11" x14ac:dyDescent="0.25">
      <c r="A10266" t="s">
        <v>32146</v>
      </c>
      <c r="B10266" s="1" t="str">
        <f>HYPERLINK("https://www.catalog.slsa.sa.gov.au/record=b2072796")</f>
        <v>https://www.catalog.slsa.sa.gov.au/record=b2072796</v>
      </c>
      <c r="C10266" s="1" t="str">
        <f>HYPERLINK("https://www.catalog.slsa.sa.gov.au/xrecord=b2072796")</f>
        <v>https://www.catalog.slsa.sa.gov.au/xrecord=b2072796</v>
      </c>
      <c r="D10266" t="s">
        <v>16831</v>
      </c>
      <c r="E10266" t="s">
        <v>32055</v>
      </c>
      <c r="F10266">
        <v>1984</v>
      </c>
      <c r="G10266" t="s">
        <v>32056</v>
      </c>
      <c r="H10266" t="s">
        <v>32147</v>
      </c>
      <c r="I10266" t="s">
        <v>32148</v>
      </c>
      <c r="J10266" t="s">
        <v>32059</v>
      </c>
      <c r="K10266" s="2" t="str">
        <f>HYPERLINK("http://collections.slsa.sa.gov.au/mpcimg/45000/B44883.htm")</f>
        <v>http://collections.slsa.sa.gov.au/mpcimg/45000/B44883.htm</v>
      </c>
    </row>
    <row r="10267" spans="1:11" x14ac:dyDescent="0.25">
      <c r="A10267" t="s">
        <v>32149</v>
      </c>
      <c r="B10267" s="1" t="str">
        <f>HYPERLINK("https://www.catalog.slsa.sa.gov.au/record=b2072797")</f>
        <v>https://www.catalog.slsa.sa.gov.au/record=b2072797</v>
      </c>
      <c r="C10267" s="1" t="str">
        <f>HYPERLINK("https://www.catalog.slsa.sa.gov.au/xrecord=b2072797")</f>
        <v>https://www.catalog.slsa.sa.gov.au/xrecord=b2072797</v>
      </c>
      <c r="D10267" t="s">
        <v>16831</v>
      </c>
      <c r="E10267" t="s">
        <v>32135</v>
      </c>
      <c r="F10267">
        <v>1984</v>
      </c>
      <c r="G10267" t="s">
        <v>32056</v>
      </c>
      <c r="H10267" t="s">
        <v>32143</v>
      </c>
      <c r="I10267" t="s">
        <v>32141</v>
      </c>
      <c r="J10267" t="s">
        <v>32059</v>
      </c>
      <c r="K10267" s="2" t="str">
        <f>HYPERLINK("http://collections.slsa.sa.gov.au/mpcimg/45000/B44884.htm")</f>
        <v>http://collections.slsa.sa.gov.au/mpcimg/45000/B44884.htm</v>
      </c>
    </row>
    <row r="10268" spans="1:11" x14ac:dyDescent="0.25">
      <c r="A10268" t="s">
        <v>32150</v>
      </c>
      <c r="B10268" s="1" t="str">
        <f>HYPERLINK("https://www.catalog.slsa.sa.gov.au/record=b2072798")</f>
        <v>https://www.catalog.slsa.sa.gov.au/record=b2072798</v>
      </c>
      <c r="C10268" s="1" t="str">
        <f>HYPERLINK("https://www.catalog.slsa.sa.gov.au/xrecord=b2072798")</f>
        <v>https://www.catalog.slsa.sa.gov.au/xrecord=b2072798</v>
      </c>
      <c r="D10268" t="s">
        <v>16831</v>
      </c>
      <c r="E10268" t="s">
        <v>32135</v>
      </c>
      <c r="F10268">
        <v>1984</v>
      </c>
      <c r="G10268" t="s">
        <v>32056</v>
      </c>
      <c r="H10268" t="s">
        <v>32151</v>
      </c>
      <c r="I10268" t="s">
        <v>32141</v>
      </c>
      <c r="J10268" t="s">
        <v>32059</v>
      </c>
      <c r="K10268" s="2" t="str">
        <f>HYPERLINK("http://collections.slsa.sa.gov.au/mpcimg/45000/B44885.htm")</f>
        <v>http://collections.slsa.sa.gov.au/mpcimg/45000/B44885.htm</v>
      </c>
    </row>
    <row r="10269" spans="1:11" x14ac:dyDescent="0.25">
      <c r="A10269" t="s">
        <v>32152</v>
      </c>
      <c r="B10269" s="1" t="str">
        <f>HYPERLINK("https://www.catalog.slsa.sa.gov.au/record=b2072799")</f>
        <v>https://www.catalog.slsa.sa.gov.au/record=b2072799</v>
      </c>
      <c r="C10269" s="1" t="str">
        <f>HYPERLINK("https://www.catalog.slsa.sa.gov.au/xrecord=b2072799")</f>
        <v>https://www.catalog.slsa.sa.gov.au/xrecord=b2072799</v>
      </c>
      <c r="D10269" t="s">
        <v>16831</v>
      </c>
      <c r="E10269" t="s">
        <v>32153</v>
      </c>
      <c r="F10269">
        <v>1984</v>
      </c>
      <c r="G10269" t="s">
        <v>32056</v>
      </c>
      <c r="H10269" t="s">
        <v>32154</v>
      </c>
      <c r="I10269" t="s">
        <v>32155</v>
      </c>
      <c r="J10269" t="s">
        <v>32059</v>
      </c>
      <c r="K10269" s="2" t="str">
        <f>HYPERLINK("http://collections.slsa.sa.gov.au/mpcimg/45000/B44886.htm")</f>
        <v>http://collections.slsa.sa.gov.au/mpcimg/45000/B44886.htm</v>
      </c>
    </row>
    <row r="10270" spans="1:11" x14ac:dyDescent="0.25">
      <c r="A10270" t="s">
        <v>32156</v>
      </c>
      <c r="B10270" s="1" t="str">
        <f>HYPERLINK("https://www.catalog.slsa.sa.gov.au/record=b2072800")</f>
        <v>https://www.catalog.slsa.sa.gov.au/record=b2072800</v>
      </c>
      <c r="C10270" s="1" t="str">
        <f>HYPERLINK("https://www.catalog.slsa.sa.gov.au/xrecord=b2072800")</f>
        <v>https://www.catalog.slsa.sa.gov.au/xrecord=b2072800</v>
      </c>
      <c r="D10270" t="s">
        <v>16831</v>
      </c>
      <c r="E10270" t="s">
        <v>32153</v>
      </c>
      <c r="F10270">
        <v>1984</v>
      </c>
      <c r="G10270" t="s">
        <v>32056</v>
      </c>
      <c r="H10270" t="s">
        <v>32154</v>
      </c>
      <c r="I10270" t="s">
        <v>32155</v>
      </c>
      <c r="J10270" t="s">
        <v>32059</v>
      </c>
      <c r="K10270" s="2" t="str">
        <f>HYPERLINK("http://collections.slsa.sa.gov.au/mpcimg/45000/B44887.htm")</f>
        <v>http://collections.slsa.sa.gov.au/mpcimg/45000/B44887.htm</v>
      </c>
    </row>
    <row r="10271" spans="1:11" x14ac:dyDescent="0.25">
      <c r="A10271" t="s">
        <v>32157</v>
      </c>
      <c r="B10271" s="1" t="str">
        <f>HYPERLINK("https://www.catalog.slsa.sa.gov.au/record=b2072801")</f>
        <v>https://www.catalog.slsa.sa.gov.au/record=b2072801</v>
      </c>
      <c r="C10271" s="1" t="str">
        <f>HYPERLINK("https://www.catalog.slsa.sa.gov.au/xrecord=b2072801")</f>
        <v>https://www.catalog.slsa.sa.gov.au/xrecord=b2072801</v>
      </c>
      <c r="D10271" t="s">
        <v>16831</v>
      </c>
      <c r="E10271" t="s">
        <v>32158</v>
      </c>
      <c r="F10271">
        <v>1984</v>
      </c>
      <c r="G10271" t="s">
        <v>32056</v>
      </c>
      <c r="H10271" t="s">
        <v>32159</v>
      </c>
      <c r="I10271" t="s">
        <v>32160</v>
      </c>
      <c r="J10271" t="s">
        <v>32059</v>
      </c>
      <c r="K10271" s="2" t="str">
        <f>HYPERLINK("http://collections.slsa.sa.gov.au/mpcimg/45000/B44888.htm")</f>
        <v>http://collections.slsa.sa.gov.au/mpcimg/45000/B44888.htm</v>
      </c>
    </row>
    <row r="10272" spans="1:11" x14ac:dyDescent="0.25">
      <c r="A10272" t="s">
        <v>32161</v>
      </c>
      <c r="B10272" s="1" t="str">
        <f>HYPERLINK("https://www.catalog.slsa.sa.gov.au/record=b2072802")</f>
        <v>https://www.catalog.slsa.sa.gov.au/record=b2072802</v>
      </c>
      <c r="C10272" s="1" t="str">
        <f>HYPERLINK("https://www.catalog.slsa.sa.gov.au/xrecord=b2072802")</f>
        <v>https://www.catalog.slsa.sa.gov.au/xrecord=b2072802</v>
      </c>
      <c r="D10272" t="s">
        <v>16831</v>
      </c>
      <c r="E10272" t="s">
        <v>32158</v>
      </c>
      <c r="F10272">
        <v>1984</v>
      </c>
      <c r="G10272" t="s">
        <v>32056</v>
      </c>
      <c r="H10272" t="s">
        <v>32162</v>
      </c>
      <c r="I10272" t="s">
        <v>32155</v>
      </c>
      <c r="J10272" t="s">
        <v>32059</v>
      </c>
      <c r="K10272" s="2" t="str">
        <f>HYPERLINK("http://collections.slsa.sa.gov.au/mpcimg/45000/B44889.htm")</f>
        <v>http://collections.slsa.sa.gov.au/mpcimg/45000/B44889.htm</v>
      </c>
    </row>
    <row r="10273" spans="1:11" x14ac:dyDescent="0.25">
      <c r="A10273" t="s">
        <v>32163</v>
      </c>
      <c r="B10273" s="1" t="str">
        <f>HYPERLINK("https://www.catalog.slsa.sa.gov.au/record=b2072803")</f>
        <v>https://www.catalog.slsa.sa.gov.au/record=b2072803</v>
      </c>
      <c r="C10273" s="1" t="str">
        <f>HYPERLINK("https://www.catalog.slsa.sa.gov.au/xrecord=b2072803")</f>
        <v>https://www.catalog.slsa.sa.gov.au/xrecord=b2072803</v>
      </c>
      <c r="D10273" t="s">
        <v>16831</v>
      </c>
      <c r="E10273" t="s">
        <v>32158</v>
      </c>
      <c r="F10273">
        <v>1984</v>
      </c>
      <c r="G10273" t="s">
        <v>32056</v>
      </c>
      <c r="H10273" t="s">
        <v>32162</v>
      </c>
      <c r="I10273" t="s">
        <v>32155</v>
      </c>
      <c r="J10273" t="s">
        <v>32059</v>
      </c>
      <c r="K10273" s="2" t="str">
        <f>HYPERLINK("http://collections.slsa.sa.gov.au/mpcimg/45000/B44890.htm")</f>
        <v>http://collections.slsa.sa.gov.au/mpcimg/45000/B44890.htm</v>
      </c>
    </row>
    <row r="10274" spans="1:11" x14ac:dyDescent="0.25">
      <c r="A10274" t="s">
        <v>32164</v>
      </c>
      <c r="B10274" s="1" t="str">
        <f>HYPERLINK("https://www.catalog.slsa.sa.gov.au/record=b2072804")</f>
        <v>https://www.catalog.slsa.sa.gov.au/record=b2072804</v>
      </c>
      <c r="C10274" s="1" t="str">
        <f>HYPERLINK("https://www.catalog.slsa.sa.gov.au/xrecord=b2072804")</f>
        <v>https://www.catalog.slsa.sa.gov.au/xrecord=b2072804</v>
      </c>
      <c r="D10274" t="s">
        <v>16831</v>
      </c>
      <c r="E10274" t="s">
        <v>32165</v>
      </c>
      <c r="F10274">
        <v>1984</v>
      </c>
      <c r="G10274" t="s">
        <v>32056</v>
      </c>
      <c r="H10274" t="s">
        <v>32166</v>
      </c>
      <c r="I10274" t="s">
        <v>32155</v>
      </c>
      <c r="J10274" t="s">
        <v>32059</v>
      </c>
      <c r="K10274" s="2" t="str">
        <f>HYPERLINK("http://collections.slsa.sa.gov.au/mpcimg/45000/B44891.htm")</f>
        <v>http://collections.slsa.sa.gov.au/mpcimg/45000/B44891.htm</v>
      </c>
    </row>
    <row r="10275" spans="1:11" x14ac:dyDescent="0.25">
      <c r="A10275" t="s">
        <v>32167</v>
      </c>
      <c r="B10275" s="1" t="str">
        <f>HYPERLINK("https://www.catalog.slsa.sa.gov.au/record=b2072805")</f>
        <v>https://www.catalog.slsa.sa.gov.au/record=b2072805</v>
      </c>
      <c r="C10275" s="1" t="str">
        <f>HYPERLINK("https://www.catalog.slsa.sa.gov.au/xrecord=b2072805")</f>
        <v>https://www.catalog.slsa.sa.gov.au/xrecord=b2072805</v>
      </c>
      <c r="D10275" t="s">
        <v>16831</v>
      </c>
      <c r="E10275" t="s">
        <v>32165</v>
      </c>
      <c r="F10275">
        <v>1984</v>
      </c>
      <c r="G10275" t="s">
        <v>32056</v>
      </c>
      <c r="H10275" t="s">
        <v>32166</v>
      </c>
      <c r="I10275" t="s">
        <v>32155</v>
      </c>
      <c r="J10275" t="s">
        <v>32059</v>
      </c>
      <c r="K10275" s="2" t="str">
        <f>HYPERLINK("http://collections.slsa.sa.gov.au/mpcimg/45000/B44892.htm")</f>
        <v>http://collections.slsa.sa.gov.au/mpcimg/45000/B44892.htm</v>
      </c>
    </row>
    <row r="10276" spans="1:11" x14ac:dyDescent="0.25">
      <c r="A10276" t="s">
        <v>32168</v>
      </c>
      <c r="B10276" s="1" t="str">
        <f>HYPERLINK("https://www.catalog.slsa.sa.gov.au/record=b2072806")</f>
        <v>https://www.catalog.slsa.sa.gov.au/record=b2072806</v>
      </c>
      <c r="C10276" s="1" t="str">
        <f>HYPERLINK("https://www.catalog.slsa.sa.gov.au/xrecord=b2072806")</f>
        <v>https://www.catalog.slsa.sa.gov.au/xrecord=b2072806</v>
      </c>
      <c r="D10276" t="s">
        <v>16831</v>
      </c>
      <c r="E10276" t="s">
        <v>32169</v>
      </c>
      <c r="F10276">
        <v>1984</v>
      </c>
      <c r="G10276" t="s">
        <v>32056</v>
      </c>
      <c r="H10276" t="s">
        <v>32170</v>
      </c>
      <c r="I10276" t="s">
        <v>32171</v>
      </c>
      <c r="J10276" t="s">
        <v>32059</v>
      </c>
      <c r="K10276" s="2" t="str">
        <f>HYPERLINK("http://collections.slsa.sa.gov.au/mpcimg/45000/B44893.htm")</f>
        <v>http://collections.slsa.sa.gov.au/mpcimg/45000/B44893.htm</v>
      </c>
    </row>
    <row r="10277" spans="1:11" x14ac:dyDescent="0.25">
      <c r="A10277" t="s">
        <v>32172</v>
      </c>
      <c r="B10277" s="1" t="str">
        <f>HYPERLINK("https://www.catalog.slsa.sa.gov.au/record=b2072807")</f>
        <v>https://www.catalog.slsa.sa.gov.au/record=b2072807</v>
      </c>
      <c r="C10277" s="1" t="str">
        <f>HYPERLINK("https://www.catalog.slsa.sa.gov.au/xrecord=b2072807")</f>
        <v>https://www.catalog.slsa.sa.gov.au/xrecord=b2072807</v>
      </c>
      <c r="D10277" t="s">
        <v>16831</v>
      </c>
      <c r="E10277" t="s">
        <v>32173</v>
      </c>
      <c r="F10277">
        <v>1984</v>
      </c>
      <c r="G10277" t="s">
        <v>32056</v>
      </c>
      <c r="H10277" t="s">
        <v>32174</v>
      </c>
      <c r="I10277" t="s">
        <v>32175</v>
      </c>
      <c r="J10277" t="s">
        <v>32059</v>
      </c>
      <c r="K10277" s="2" t="str">
        <f>HYPERLINK("http://collections.slsa.sa.gov.au/mpcimg/45000/B44894.htm")</f>
        <v>http://collections.slsa.sa.gov.au/mpcimg/45000/B44894.htm</v>
      </c>
    </row>
    <row r="10278" spans="1:11" x14ac:dyDescent="0.25">
      <c r="A10278" t="s">
        <v>32176</v>
      </c>
      <c r="B10278" s="1" t="str">
        <f>HYPERLINK("https://www.catalog.slsa.sa.gov.au/record=b2072808")</f>
        <v>https://www.catalog.slsa.sa.gov.au/record=b2072808</v>
      </c>
      <c r="C10278" s="1" t="str">
        <f>HYPERLINK("https://www.catalog.slsa.sa.gov.au/xrecord=b2072808")</f>
        <v>https://www.catalog.slsa.sa.gov.au/xrecord=b2072808</v>
      </c>
      <c r="D10278" t="s">
        <v>16831</v>
      </c>
      <c r="E10278" t="s">
        <v>32055</v>
      </c>
      <c r="F10278">
        <v>1984</v>
      </c>
      <c r="G10278" t="s">
        <v>32056</v>
      </c>
      <c r="H10278" t="s">
        <v>32177</v>
      </c>
      <c r="I10278" t="s">
        <v>32155</v>
      </c>
      <c r="J10278" t="s">
        <v>32059</v>
      </c>
      <c r="K10278" s="2" t="str">
        <f>HYPERLINK("http://collections.slsa.sa.gov.au/mpcimg/45000/B44895.htm")</f>
        <v>http://collections.slsa.sa.gov.au/mpcimg/45000/B44895.htm</v>
      </c>
    </row>
    <row r="10279" spans="1:11" x14ac:dyDescent="0.25">
      <c r="A10279" t="s">
        <v>32178</v>
      </c>
      <c r="B10279" s="1" t="str">
        <f>HYPERLINK("https://www.catalog.slsa.sa.gov.au/record=b2072809")</f>
        <v>https://www.catalog.slsa.sa.gov.au/record=b2072809</v>
      </c>
      <c r="C10279" s="1" t="str">
        <f>HYPERLINK("https://www.catalog.slsa.sa.gov.au/xrecord=b2072809")</f>
        <v>https://www.catalog.slsa.sa.gov.au/xrecord=b2072809</v>
      </c>
      <c r="D10279" t="s">
        <v>16831</v>
      </c>
      <c r="E10279" t="s">
        <v>32179</v>
      </c>
      <c r="F10279">
        <v>1984</v>
      </c>
      <c r="G10279" t="s">
        <v>32056</v>
      </c>
      <c r="H10279" t="s">
        <v>32180</v>
      </c>
      <c r="I10279" t="s">
        <v>32175</v>
      </c>
      <c r="J10279" t="s">
        <v>32059</v>
      </c>
      <c r="K10279" s="2" t="str">
        <f>HYPERLINK("http://collections.slsa.sa.gov.au/mpcimg/45000/B44896.htm")</f>
        <v>http://collections.slsa.sa.gov.au/mpcimg/45000/B44896.htm</v>
      </c>
    </row>
    <row r="10280" spans="1:11" x14ac:dyDescent="0.25">
      <c r="A10280" t="s">
        <v>32181</v>
      </c>
      <c r="B10280" s="1" t="str">
        <f>HYPERLINK("https://www.catalog.slsa.sa.gov.au/record=b2072810")</f>
        <v>https://www.catalog.slsa.sa.gov.au/record=b2072810</v>
      </c>
      <c r="C10280" s="1" t="str">
        <f>HYPERLINK("https://www.catalog.slsa.sa.gov.au/xrecord=b2072810")</f>
        <v>https://www.catalog.slsa.sa.gov.au/xrecord=b2072810</v>
      </c>
      <c r="D10280" t="s">
        <v>16831</v>
      </c>
      <c r="E10280" t="s">
        <v>32153</v>
      </c>
      <c r="F10280">
        <v>1984</v>
      </c>
      <c r="G10280" t="s">
        <v>32056</v>
      </c>
      <c r="H10280" t="s">
        <v>32182</v>
      </c>
      <c r="I10280" t="s">
        <v>32175</v>
      </c>
      <c r="J10280" t="s">
        <v>32059</v>
      </c>
      <c r="K10280" s="2" t="str">
        <f>HYPERLINK("http://collections.slsa.sa.gov.au/mpcimg/45000/B44897.htm")</f>
        <v>http://collections.slsa.sa.gov.au/mpcimg/45000/B44897.htm</v>
      </c>
    </row>
    <row r="10281" spans="1:11" x14ac:dyDescent="0.25">
      <c r="A10281" t="s">
        <v>32183</v>
      </c>
      <c r="B10281" s="1" t="str">
        <f>HYPERLINK("https://www.catalog.slsa.sa.gov.au/record=b2072811")</f>
        <v>https://www.catalog.slsa.sa.gov.au/record=b2072811</v>
      </c>
      <c r="C10281" s="1" t="str">
        <f>HYPERLINK("https://www.catalog.slsa.sa.gov.au/xrecord=b2072811")</f>
        <v>https://www.catalog.slsa.sa.gov.au/xrecord=b2072811</v>
      </c>
      <c r="D10281" t="s">
        <v>16831</v>
      </c>
      <c r="E10281" t="s">
        <v>32153</v>
      </c>
      <c r="F10281">
        <v>1984</v>
      </c>
      <c r="G10281" t="s">
        <v>32056</v>
      </c>
      <c r="H10281" t="s">
        <v>32182</v>
      </c>
      <c r="I10281" t="s">
        <v>32175</v>
      </c>
      <c r="J10281" t="s">
        <v>32059</v>
      </c>
      <c r="K10281" s="2" t="str">
        <f>HYPERLINK("http://collections.slsa.sa.gov.au/mpcimg/45000/B44898.htm")</f>
        <v>http://collections.slsa.sa.gov.au/mpcimg/45000/B44898.htm</v>
      </c>
    </row>
    <row r="10282" spans="1:11" x14ac:dyDescent="0.25">
      <c r="A10282" t="s">
        <v>32184</v>
      </c>
      <c r="B10282" s="1" t="str">
        <f>HYPERLINK("https://www.catalog.slsa.sa.gov.au/record=b2072812")</f>
        <v>https://www.catalog.slsa.sa.gov.au/record=b2072812</v>
      </c>
      <c r="C10282" s="1" t="str">
        <f>HYPERLINK("https://www.catalog.slsa.sa.gov.au/xrecord=b2072812")</f>
        <v>https://www.catalog.slsa.sa.gov.au/xrecord=b2072812</v>
      </c>
      <c r="D10282" t="s">
        <v>16831</v>
      </c>
      <c r="E10282" t="s">
        <v>32055</v>
      </c>
      <c r="F10282">
        <v>1984</v>
      </c>
      <c r="G10282" t="s">
        <v>32056</v>
      </c>
      <c r="H10282" t="s">
        <v>32185</v>
      </c>
      <c r="I10282" t="s">
        <v>32171</v>
      </c>
      <c r="J10282" t="s">
        <v>32059</v>
      </c>
      <c r="K10282" s="2" t="str">
        <f>HYPERLINK("http://collections.slsa.sa.gov.au/mpcimg/45000/B44899.htm")</f>
        <v>http://collections.slsa.sa.gov.au/mpcimg/45000/B44899.htm</v>
      </c>
    </row>
    <row r="10283" spans="1:11" x14ac:dyDescent="0.25">
      <c r="A10283" t="s">
        <v>32186</v>
      </c>
      <c r="B10283" s="1" t="str">
        <f>HYPERLINK("https://www.catalog.slsa.sa.gov.au/record=b2072835")</f>
        <v>https://www.catalog.slsa.sa.gov.au/record=b2072835</v>
      </c>
      <c r="C10283" s="1" t="str">
        <f>HYPERLINK("https://www.catalog.slsa.sa.gov.au/xrecord=b2072835")</f>
        <v>https://www.catalog.slsa.sa.gov.au/xrecord=b2072835</v>
      </c>
      <c r="D10283" t="s">
        <v>16831</v>
      </c>
      <c r="E10283" t="s">
        <v>32055</v>
      </c>
      <c r="F10283">
        <v>1984</v>
      </c>
      <c r="G10283" t="s">
        <v>32056</v>
      </c>
      <c r="H10283" t="s">
        <v>32187</v>
      </c>
      <c r="I10283" t="s">
        <v>32175</v>
      </c>
      <c r="J10283" t="s">
        <v>32059</v>
      </c>
      <c r="K10283" s="2" t="str">
        <f>HYPERLINK("http://collections.slsa.sa.gov.au/mpcimg/45000/B44922.htm")</f>
        <v>http://collections.slsa.sa.gov.au/mpcimg/45000/B44922.htm</v>
      </c>
    </row>
    <row r="10284" spans="1:11" x14ac:dyDescent="0.25">
      <c r="A10284" t="s">
        <v>32188</v>
      </c>
      <c r="B10284" s="1" t="str">
        <f>HYPERLINK("https://www.catalog.slsa.sa.gov.au/record=b2072836")</f>
        <v>https://www.catalog.slsa.sa.gov.au/record=b2072836</v>
      </c>
      <c r="C10284" s="1" t="str">
        <f>HYPERLINK("https://www.catalog.slsa.sa.gov.au/xrecord=b2072836")</f>
        <v>https://www.catalog.slsa.sa.gov.au/xrecord=b2072836</v>
      </c>
      <c r="D10284" t="s">
        <v>16831</v>
      </c>
      <c r="E10284" t="s">
        <v>32055</v>
      </c>
      <c r="F10284">
        <v>1984</v>
      </c>
      <c r="G10284" t="s">
        <v>32056</v>
      </c>
      <c r="H10284" t="s">
        <v>32187</v>
      </c>
      <c r="I10284" t="s">
        <v>32175</v>
      </c>
      <c r="J10284" t="s">
        <v>32059</v>
      </c>
      <c r="K10284" s="2" t="str">
        <f>HYPERLINK("http://collections.slsa.sa.gov.au/mpcimg/45000/B44923.htm")</f>
        <v>http://collections.slsa.sa.gov.au/mpcimg/45000/B44923.htm</v>
      </c>
    </row>
    <row r="10285" spans="1:11" x14ac:dyDescent="0.25">
      <c r="A10285" t="s">
        <v>32189</v>
      </c>
      <c r="B10285" s="1" t="str">
        <f>HYPERLINK("https://www.catalog.slsa.sa.gov.au/record=b2072837")</f>
        <v>https://www.catalog.slsa.sa.gov.au/record=b2072837</v>
      </c>
      <c r="C10285" s="1" t="str">
        <f>HYPERLINK("https://www.catalog.slsa.sa.gov.au/xrecord=b2072837")</f>
        <v>https://www.catalog.slsa.sa.gov.au/xrecord=b2072837</v>
      </c>
      <c r="D10285" t="s">
        <v>16831</v>
      </c>
      <c r="E10285" t="s">
        <v>32055</v>
      </c>
      <c r="F10285">
        <v>1984</v>
      </c>
      <c r="G10285" t="s">
        <v>32056</v>
      </c>
      <c r="H10285" t="s">
        <v>32190</v>
      </c>
      <c r="I10285" t="s">
        <v>32191</v>
      </c>
      <c r="J10285" t="s">
        <v>32059</v>
      </c>
      <c r="K10285" s="2" t="str">
        <f>HYPERLINK("http://collections.slsa.sa.gov.au/mpcimg/45000/B44924.htm")</f>
        <v>http://collections.slsa.sa.gov.au/mpcimg/45000/B44924.htm</v>
      </c>
    </row>
    <row r="10286" spans="1:11" x14ac:dyDescent="0.25">
      <c r="A10286" t="s">
        <v>32192</v>
      </c>
      <c r="B10286" s="1" t="str">
        <f>HYPERLINK("https://www.catalog.slsa.sa.gov.au/record=b2072838")</f>
        <v>https://www.catalog.slsa.sa.gov.au/record=b2072838</v>
      </c>
      <c r="C10286" s="1" t="str">
        <f>HYPERLINK("https://www.catalog.slsa.sa.gov.au/xrecord=b2072838")</f>
        <v>https://www.catalog.slsa.sa.gov.au/xrecord=b2072838</v>
      </c>
      <c r="D10286" t="s">
        <v>16831</v>
      </c>
      <c r="E10286" t="s">
        <v>32055</v>
      </c>
      <c r="F10286">
        <v>1984</v>
      </c>
      <c r="G10286" t="s">
        <v>32056</v>
      </c>
      <c r="H10286" t="s">
        <v>32190</v>
      </c>
      <c r="I10286" t="s">
        <v>32193</v>
      </c>
      <c r="J10286" t="s">
        <v>32059</v>
      </c>
      <c r="K10286" s="2" t="str">
        <f>HYPERLINK("http://collections.slsa.sa.gov.au/mpcimg/45000/B44925.htm")</f>
        <v>http://collections.slsa.sa.gov.au/mpcimg/45000/B44925.htm</v>
      </c>
    </row>
    <row r="10287" spans="1:11" x14ac:dyDescent="0.25">
      <c r="A10287" t="s">
        <v>32194</v>
      </c>
      <c r="B10287" s="1" t="str">
        <f>HYPERLINK("https://www.catalog.slsa.sa.gov.au/record=b2072839")</f>
        <v>https://www.catalog.slsa.sa.gov.au/record=b2072839</v>
      </c>
      <c r="C10287" s="1" t="str">
        <f>HYPERLINK("https://www.catalog.slsa.sa.gov.au/xrecord=b2072839")</f>
        <v>https://www.catalog.slsa.sa.gov.au/xrecord=b2072839</v>
      </c>
      <c r="D10287" t="s">
        <v>16831</v>
      </c>
      <c r="E10287" t="s">
        <v>32055</v>
      </c>
      <c r="F10287">
        <v>1984</v>
      </c>
      <c r="G10287" t="s">
        <v>32056</v>
      </c>
      <c r="H10287" t="s">
        <v>32195</v>
      </c>
      <c r="I10287" t="s">
        <v>32175</v>
      </c>
      <c r="J10287" t="s">
        <v>32059</v>
      </c>
      <c r="K10287" s="2" t="str">
        <f>HYPERLINK("http://collections.slsa.sa.gov.au/mpcimg/45000/B44926.htm")</f>
        <v>http://collections.slsa.sa.gov.au/mpcimg/45000/B44926.htm</v>
      </c>
    </row>
    <row r="10288" spans="1:11" x14ac:dyDescent="0.25">
      <c r="A10288" t="s">
        <v>32196</v>
      </c>
      <c r="B10288" s="1" t="str">
        <f>HYPERLINK("https://www.catalog.slsa.sa.gov.au/record=b2072840")</f>
        <v>https://www.catalog.slsa.sa.gov.au/record=b2072840</v>
      </c>
      <c r="C10288" s="1" t="str">
        <f>HYPERLINK("https://www.catalog.slsa.sa.gov.au/xrecord=b2072840")</f>
        <v>https://www.catalog.slsa.sa.gov.au/xrecord=b2072840</v>
      </c>
      <c r="D10288" t="s">
        <v>16831</v>
      </c>
      <c r="E10288" t="s">
        <v>32055</v>
      </c>
      <c r="F10288">
        <v>1984</v>
      </c>
      <c r="G10288" t="s">
        <v>32056</v>
      </c>
      <c r="H10288" t="s">
        <v>32197</v>
      </c>
      <c r="I10288" t="s">
        <v>32193</v>
      </c>
      <c r="J10288" t="s">
        <v>32059</v>
      </c>
      <c r="K10288" s="2" t="str">
        <f>HYPERLINK("http://collections.slsa.sa.gov.au/mpcimg/45000/B44927.htm")</f>
        <v>http://collections.slsa.sa.gov.au/mpcimg/45000/B44927.htm</v>
      </c>
    </row>
    <row r="10289" spans="1:11" x14ac:dyDescent="0.25">
      <c r="A10289" t="s">
        <v>32198</v>
      </c>
      <c r="B10289" s="1" t="str">
        <f>HYPERLINK("https://www.catalog.slsa.sa.gov.au/record=b2072841")</f>
        <v>https://www.catalog.slsa.sa.gov.au/record=b2072841</v>
      </c>
      <c r="C10289" s="1" t="str">
        <f>HYPERLINK("https://www.catalog.slsa.sa.gov.au/xrecord=b2072841")</f>
        <v>https://www.catalog.slsa.sa.gov.au/xrecord=b2072841</v>
      </c>
      <c r="D10289" t="s">
        <v>16831</v>
      </c>
      <c r="E10289" t="s">
        <v>32055</v>
      </c>
      <c r="F10289">
        <v>1984</v>
      </c>
      <c r="G10289" t="s">
        <v>32056</v>
      </c>
      <c r="H10289" t="s">
        <v>32199</v>
      </c>
      <c r="I10289" t="s">
        <v>32155</v>
      </c>
      <c r="J10289" t="s">
        <v>32059</v>
      </c>
      <c r="K10289" s="2" t="str">
        <f>HYPERLINK("http://collections.slsa.sa.gov.au/mpcimg/45000/B44928.htm")</f>
        <v>http://collections.slsa.sa.gov.au/mpcimg/45000/B44928.htm</v>
      </c>
    </row>
    <row r="10290" spans="1:11" x14ac:dyDescent="0.25">
      <c r="A10290" t="s">
        <v>32200</v>
      </c>
      <c r="B10290" s="1" t="str">
        <f>HYPERLINK("https://www.catalog.slsa.sa.gov.au/record=b2072842")</f>
        <v>https://www.catalog.slsa.sa.gov.au/record=b2072842</v>
      </c>
      <c r="C10290" s="1" t="str">
        <f>HYPERLINK("https://www.catalog.slsa.sa.gov.au/xrecord=b2072842")</f>
        <v>https://www.catalog.slsa.sa.gov.au/xrecord=b2072842</v>
      </c>
      <c r="D10290" t="s">
        <v>16831</v>
      </c>
      <c r="E10290" t="s">
        <v>32055</v>
      </c>
      <c r="F10290">
        <v>1984</v>
      </c>
      <c r="G10290" t="s">
        <v>32056</v>
      </c>
      <c r="H10290" t="s">
        <v>32201</v>
      </c>
      <c r="I10290" t="s">
        <v>32155</v>
      </c>
      <c r="J10290" t="s">
        <v>32059</v>
      </c>
      <c r="K10290" s="2" t="str">
        <f>HYPERLINK("http://collections.slsa.sa.gov.au/mpcimg/45000/B44929.htm")</f>
        <v>http://collections.slsa.sa.gov.au/mpcimg/45000/B44929.htm</v>
      </c>
    </row>
    <row r="10291" spans="1:11" x14ac:dyDescent="0.25">
      <c r="A10291" t="s">
        <v>32202</v>
      </c>
      <c r="B10291" s="1" t="str">
        <f>HYPERLINK("https://www.catalog.slsa.sa.gov.au/record=b2072843")</f>
        <v>https://www.catalog.slsa.sa.gov.au/record=b2072843</v>
      </c>
      <c r="C10291" s="1" t="str">
        <f>HYPERLINK("https://www.catalog.slsa.sa.gov.au/xrecord=b2072843")</f>
        <v>https://www.catalog.slsa.sa.gov.au/xrecord=b2072843</v>
      </c>
      <c r="D10291" t="s">
        <v>16831</v>
      </c>
      <c r="E10291" t="s">
        <v>32055</v>
      </c>
      <c r="F10291">
        <v>1984</v>
      </c>
      <c r="G10291" t="s">
        <v>32056</v>
      </c>
      <c r="H10291" t="s">
        <v>32201</v>
      </c>
      <c r="I10291" t="s">
        <v>32175</v>
      </c>
      <c r="J10291" t="s">
        <v>32203</v>
      </c>
      <c r="K10291" s="2" t="str">
        <f>HYPERLINK("http://collections.slsa.sa.gov.au/mpcimg/45000/B44930.htm")</f>
        <v>http://collections.slsa.sa.gov.au/mpcimg/45000/B44930.htm</v>
      </c>
    </row>
    <row r="10292" spans="1:11" x14ac:dyDescent="0.25">
      <c r="A10292" t="s">
        <v>32204</v>
      </c>
      <c r="B10292" s="1" t="str">
        <f>HYPERLINK("https://www.catalog.slsa.sa.gov.au/record=b2072844")</f>
        <v>https://www.catalog.slsa.sa.gov.au/record=b2072844</v>
      </c>
      <c r="C10292" s="1" t="str">
        <f>HYPERLINK("https://www.catalog.slsa.sa.gov.au/xrecord=b2072844")</f>
        <v>https://www.catalog.slsa.sa.gov.au/xrecord=b2072844</v>
      </c>
      <c r="D10292" t="s">
        <v>16831</v>
      </c>
      <c r="E10292" t="s">
        <v>32055</v>
      </c>
      <c r="F10292">
        <v>1984</v>
      </c>
      <c r="G10292" t="s">
        <v>32056</v>
      </c>
      <c r="H10292" t="s">
        <v>32205</v>
      </c>
      <c r="I10292" t="s">
        <v>32058</v>
      </c>
      <c r="J10292" t="s">
        <v>32059</v>
      </c>
      <c r="K10292" s="2" t="str">
        <f>HYPERLINK("http://collections.slsa.sa.gov.au/mpcimg/45000/B44931.htm")</f>
        <v>http://collections.slsa.sa.gov.au/mpcimg/45000/B44931.htm</v>
      </c>
    </row>
    <row r="10293" spans="1:11" x14ac:dyDescent="0.25">
      <c r="A10293" t="s">
        <v>32206</v>
      </c>
      <c r="B10293" s="1" t="str">
        <f>HYPERLINK("https://www.catalog.slsa.sa.gov.au/record=b2072845")</f>
        <v>https://www.catalog.slsa.sa.gov.au/record=b2072845</v>
      </c>
      <c r="C10293" s="1" t="str">
        <f>HYPERLINK("https://www.catalog.slsa.sa.gov.au/xrecord=b2072845")</f>
        <v>https://www.catalog.slsa.sa.gov.au/xrecord=b2072845</v>
      </c>
      <c r="D10293" t="s">
        <v>16831</v>
      </c>
      <c r="E10293" t="s">
        <v>32055</v>
      </c>
      <c r="F10293">
        <v>1984</v>
      </c>
      <c r="G10293" t="s">
        <v>32056</v>
      </c>
      <c r="H10293" t="s">
        <v>32205</v>
      </c>
      <c r="I10293" t="s">
        <v>32058</v>
      </c>
      <c r="J10293" t="s">
        <v>32059</v>
      </c>
      <c r="K10293" s="2" t="str">
        <f>HYPERLINK("http://collections.slsa.sa.gov.au/mpcimg/45000/B44932.htm")</f>
        <v>http://collections.slsa.sa.gov.au/mpcimg/45000/B44932.htm</v>
      </c>
    </row>
    <row r="10294" spans="1:11" x14ac:dyDescent="0.25">
      <c r="A10294" t="s">
        <v>32207</v>
      </c>
      <c r="B10294" s="1" t="str">
        <f>HYPERLINK("https://www.catalog.slsa.sa.gov.au/record=b2072846")</f>
        <v>https://www.catalog.slsa.sa.gov.au/record=b2072846</v>
      </c>
      <c r="C10294" s="1" t="str">
        <f>HYPERLINK("https://www.catalog.slsa.sa.gov.au/xrecord=b2072846")</f>
        <v>https://www.catalog.slsa.sa.gov.au/xrecord=b2072846</v>
      </c>
      <c r="D10294" t="s">
        <v>16831</v>
      </c>
      <c r="E10294" t="s">
        <v>32055</v>
      </c>
      <c r="F10294">
        <v>1984</v>
      </c>
      <c r="G10294" t="s">
        <v>32056</v>
      </c>
      <c r="H10294" t="s">
        <v>32208</v>
      </c>
      <c r="I10294" t="s">
        <v>32209</v>
      </c>
      <c r="J10294" t="s">
        <v>32059</v>
      </c>
      <c r="K10294" s="2" t="str">
        <f>HYPERLINK("http://collections.slsa.sa.gov.au/mpcimg/45000/B44933.htm")</f>
        <v>http://collections.slsa.sa.gov.au/mpcimg/45000/B44933.htm</v>
      </c>
    </row>
    <row r="10295" spans="1:11" x14ac:dyDescent="0.25">
      <c r="A10295" t="s">
        <v>32210</v>
      </c>
      <c r="B10295" s="1" t="str">
        <f>HYPERLINK("https://www.catalog.slsa.sa.gov.au/record=b2072847")</f>
        <v>https://www.catalog.slsa.sa.gov.au/record=b2072847</v>
      </c>
      <c r="C10295" s="1" t="str">
        <f>HYPERLINK("https://www.catalog.slsa.sa.gov.au/xrecord=b2072847")</f>
        <v>https://www.catalog.slsa.sa.gov.au/xrecord=b2072847</v>
      </c>
      <c r="D10295" t="s">
        <v>16831</v>
      </c>
      <c r="E10295" t="s">
        <v>32055</v>
      </c>
      <c r="F10295">
        <v>1984</v>
      </c>
      <c r="G10295" t="s">
        <v>32056</v>
      </c>
      <c r="H10295" t="s">
        <v>32211</v>
      </c>
      <c r="I10295" t="s">
        <v>32175</v>
      </c>
      <c r="J10295" t="s">
        <v>32059</v>
      </c>
      <c r="K10295" s="2" t="str">
        <f>HYPERLINK("http://collections.slsa.sa.gov.au/mpcimg/45000/B44934.htm")</f>
        <v>http://collections.slsa.sa.gov.au/mpcimg/45000/B44934.htm</v>
      </c>
    </row>
    <row r="10296" spans="1:11" x14ac:dyDescent="0.25">
      <c r="A10296" t="s">
        <v>32212</v>
      </c>
      <c r="B10296" s="1" t="str">
        <f>HYPERLINK("https://www.catalog.slsa.sa.gov.au/record=b2072848")</f>
        <v>https://www.catalog.slsa.sa.gov.au/record=b2072848</v>
      </c>
      <c r="C10296" s="1" t="str">
        <f>HYPERLINK("https://www.catalog.slsa.sa.gov.au/xrecord=b2072848")</f>
        <v>https://www.catalog.slsa.sa.gov.au/xrecord=b2072848</v>
      </c>
      <c r="D10296" t="s">
        <v>16831</v>
      </c>
      <c r="E10296" t="s">
        <v>32055</v>
      </c>
      <c r="F10296">
        <v>1984</v>
      </c>
      <c r="G10296" t="s">
        <v>32056</v>
      </c>
      <c r="H10296" t="s">
        <v>32213</v>
      </c>
      <c r="I10296" t="s">
        <v>32071</v>
      </c>
      <c r="J10296" t="s">
        <v>32059</v>
      </c>
      <c r="K10296" s="2" t="str">
        <f>HYPERLINK("http://collections.slsa.sa.gov.au/mpcimg/45000/B44935.htm")</f>
        <v>http://collections.slsa.sa.gov.au/mpcimg/45000/B44935.htm</v>
      </c>
    </row>
    <row r="10297" spans="1:11" x14ac:dyDescent="0.25">
      <c r="A10297" t="s">
        <v>32214</v>
      </c>
      <c r="B10297" s="1" t="str">
        <f>HYPERLINK("https://www.catalog.slsa.sa.gov.au/record=b2072849")</f>
        <v>https://www.catalog.slsa.sa.gov.au/record=b2072849</v>
      </c>
      <c r="C10297" s="1" t="str">
        <f>HYPERLINK("https://www.catalog.slsa.sa.gov.au/xrecord=b2072849")</f>
        <v>https://www.catalog.slsa.sa.gov.au/xrecord=b2072849</v>
      </c>
      <c r="D10297" t="s">
        <v>16831</v>
      </c>
      <c r="E10297" t="s">
        <v>32055</v>
      </c>
      <c r="F10297">
        <v>1984</v>
      </c>
      <c r="G10297" t="s">
        <v>32056</v>
      </c>
      <c r="H10297" t="s">
        <v>32215</v>
      </c>
      <c r="I10297" t="s">
        <v>32071</v>
      </c>
      <c r="J10297" t="s">
        <v>32059</v>
      </c>
      <c r="K10297" s="2" t="str">
        <f>HYPERLINK("http://collections.slsa.sa.gov.au/mpcimg/45000/B44936.htm")</f>
        <v>http://collections.slsa.sa.gov.au/mpcimg/45000/B44936.htm</v>
      </c>
    </row>
    <row r="10298" spans="1:11" x14ac:dyDescent="0.25">
      <c r="A10298" t="s">
        <v>32216</v>
      </c>
      <c r="B10298" s="1" t="str">
        <f>HYPERLINK("https://www.catalog.slsa.sa.gov.au/record=b2072850")</f>
        <v>https://www.catalog.slsa.sa.gov.au/record=b2072850</v>
      </c>
      <c r="C10298" s="1" t="str">
        <f>HYPERLINK("https://www.catalog.slsa.sa.gov.au/xrecord=b2072850")</f>
        <v>https://www.catalog.slsa.sa.gov.au/xrecord=b2072850</v>
      </c>
      <c r="D10298" t="s">
        <v>16831</v>
      </c>
      <c r="E10298" t="s">
        <v>32055</v>
      </c>
      <c r="F10298">
        <v>1984</v>
      </c>
      <c r="G10298" t="s">
        <v>32056</v>
      </c>
      <c r="H10298" t="s">
        <v>32215</v>
      </c>
      <c r="I10298" t="s">
        <v>32071</v>
      </c>
      <c r="J10298" t="s">
        <v>32059</v>
      </c>
      <c r="K10298" s="2" t="str">
        <f>HYPERLINK("http://collections.slsa.sa.gov.au/mpcimg/45000/B44937.htm")</f>
        <v>http://collections.slsa.sa.gov.au/mpcimg/45000/B44937.htm</v>
      </c>
    </row>
    <row r="10299" spans="1:11" x14ac:dyDescent="0.25">
      <c r="A10299" t="s">
        <v>32217</v>
      </c>
      <c r="B10299" s="1" t="str">
        <f>HYPERLINK("https://www.catalog.slsa.sa.gov.au/record=b2072851")</f>
        <v>https://www.catalog.slsa.sa.gov.au/record=b2072851</v>
      </c>
      <c r="C10299" s="1" t="str">
        <f>HYPERLINK("https://www.catalog.slsa.sa.gov.au/xrecord=b2072851")</f>
        <v>https://www.catalog.slsa.sa.gov.au/xrecord=b2072851</v>
      </c>
      <c r="D10299" t="s">
        <v>16831</v>
      </c>
      <c r="E10299" t="s">
        <v>32055</v>
      </c>
      <c r="F10299">
        <v>1984</v>
      </c>
      <c r="G10299" t="s">
        <v>32056</v>
      </c>
      <c r="H10299" t="s">
        <v>32215</v>
      </c>
      <c r="I10299" t="s">
        <v>32071</v>
      </c>
      <c r="J10299" t="s">
        <v>32059</v>
      </c>
      <c r="K10299" s="2" t="str">
        <f>HYPERLINK("http://collections.slsa.sa.gov.au/mpcimg/45000/B44938.htm")</f>
        <v>http://collections.slsa.sa.gov.au/mpcimg/45000/B44938.htm</v>
      </c>
    </row>
    <row r="10300" spans="1:11" x14ac:dyDescent="0.25">
      <c r="A10300" t="s">
        <v>32218</v>
      </c>
      <c r="B10300" s="1" t="str">
        <f>HYPERLINK("https://www.catalog.slsa.sa.gov.au/record=b2072852")</f>
        <v>https://www.catalog.slsa.sa.gov.au/record=b2072852</v>
      </c>
      <c r="C10300" s="1" t="str">
        <f>HYPERLINK("https://www.catalog.slsa.sa.gov.au/xrecord=b2072852")</f>
        <v>https://www.catalog.slsa.sa.gov.au/xrecord=b2072852</v>
      </c>
      <c r="D10300" t="s">
        <v>16831</v>
      </c>
      <c r="E10300" t="s">
        <v>32055</v>
      </c>
      <c r="F10300">
        <v>1984</v>
      </c>
      <c r="G10300" t="s">
        <v>32056</v>
      </c>
      <c r="H10300" t="s">
        <v>32213</v>
      </c>
      <c r="I10300" t="s">
        <v>32063</v>
      </c>
      <c r="J10300" t="s">
        <v>32059</v>
      </c>
      <c r="K10300" s="2" t="str">
        <f>HYPERLINK("http://collections.slsa.sa.gov.au/mpcimg/45000/B44939.htm")</f>
        <v>http://collections.slsa.sa.gov.au/mpcimg/45000/B44939.htm</v>
      </c>
    </row>
    <row r="10301" spans="1:11" x14ac:dyDescent="0.25">
      <c r="A10301" t="s">
        <v>32219</v>
      </c>
      <c r="B10301" s="1" t="str">
        <f>HYPERLINK("https://www.catalog.slsa.sa.gov.au/record=b2072853")</f>
        <v>https://www.catalog.slsa.sa.gov.au/record=b2072853</v>
      </c>
      <c r="C10301" s="1" t="str">
        <f>HYPERLINK("https://www.catalog.slsa.sa.gov.au/xrecord=b2072853")</f>
        <v>https://www.catalog.slsa.sa.gov.au/xrecord=b2072853</v>
      </c>
      <c r="D10301" t="s">
        <v>16831</v>
      </c>
      <c r="E10301" t="s">
        <v>32055</v>
      </c>
      <c r="F10301">
        <v>1984</v>
      </c>
      <c r="G10301" t="s">
        <v>32056</v>
      </c>
      <c r="H10301" t="s">
        <v>32213</v>
      </c>
      <c r="I10301" t="s">
        <v>32071</v>
      </c>
      <c r="J10301" t="s">
        <v>32059</v>
      </c>
      <c r="K10301" s="2" t="str">
        <f>HYPERLINK("http://collections.slsa.sa.gov.au/mpcimg/45000/B44940.htm")</f>
        <v>http://collections.slsa.sa.gov.au/mpcimg/45000/B44940.htm</v>
      </c>
    </row>
    <row r="10302" spans="1:11" x14ac:dyDescent="0.25">
      <c r="A10302" t="s">
        <v>32220</v>
      </c>
      <c r="B10302" s="1" t="str">
        <f>HYPERLINK("https://www.catalog.slsa.sa.gov.au/record=b2072854")</f>
        <v>https://www.catalog.slsa.sa.gov.au/record=b2072854</v>
      </c>
      <c r="C10302" s="1" t="str">
        <f>HYPERLINK("https://www.catalog.slsa.sa.gov.au/xrecord=b2072854")</f>
        <v>https://www.catalog.slsa.sa.gov.au/xrecord=b2072854</v>
      </c>
      <c r="D10302" t="s">
        <v>16831</v>
      </c>
      <c r="E10302" t="s">
        <v>32055</v>
      </c>
      <c r="F10302">
        <v>1984</v>
      </c>
      <c r="G10302" t="s">
        <v>32056</v>
      </c>
      <c r="H10302" t="s">
        <v>32213</v>
      </c>
      <c r="I10302" t="s">
        <v>32221</v>
      </c>
      <c r="J10302" t="s">
        <v>32059</v>
      </c>
      <c r="K10302" s="2" t="str">
        <f>HYPERLINK("http://collections.slsa.sa.gov.au/mpcimg/45000/B44941.htm")</f>
        <v>http://collections.slsa.sa.gov.au/mpcimg/45000/B44941.htm</v>
      </c>
    </row>
    <row r="10303" spans="1:11" x14ac:dyDescent="0.25">
      <c r="A10303" t="s">
        <v>32222</v>
      </c>
      <c r="B10303" s="1" t="str">
        <f>HYPERLINK("https://www.catalog.slsa.sa.gov.au/record=b2072855")</f>
        <v>https://www.catalog.slsa.sa.gov.au/record=b2072855</v>
      </c>
      <c r="C10303" s="1" t="str">
        <f>HYPERLINK("https://www.catalog.slsa.sa.gov.au/xrecord=b2072855")</f>
        <v>https://www.catalog.slsa.sa.gov.au/xrecord=b2072855</v>
      </c>
      <c r="D10303" t="s">
        <v>16831</v>
      </c>
      <c r="E10303" t="s">
        <v>32055</v>
      </c>
      <c r="F10303">
        <v>1984</v>
      </c>
      <c r="G10303" t="s">
        <v>32056</v>
      </c>
      <c r="H10303" t="s">
        <v>32223</v>
      </c>
      <c r="I10303" t="s">
        <v>32221</v>
      </c>
      <c r="J10303" t="s">
        <v>32059</v>
      </c>
      <c r="K10303" s="2" t="str">
        <f>HYPERLINK("http://collections.slsa.sa.gov.au/mpcimg/45000/B44942.htm")</f>
        <v>http://collections.slsa.sa.gov.au/mpcimg/45000/B44942.htm</v>
      </c>
    </row>
    <row r="10304" spans="1:11" x14ac:dyDescent="0.25">
      <c r="A10304" t="s">
        <v>32224</v>
      </c>
      <c r="B10304" s="1" t="str">
        <f>HYPERLINK("https://www.catalog.slsa.sa.gov.au/record=b2072856")</f>
        <v>https://www.catalog.slsa.sa.gov.au/record=b2072856</v>
      </c>
      <c r="C10304" s="1" t="str">
        <f>HYPERLINK("https://www.catalog.slsa.sa.gov.au/xrecord=b2072856")</f>
        <v>https://www.catalog.slsa.sa.gov.au/xrecord=b2072856</v>
      </c>
      <c r="D10304" t="s">
        <v>16831</v>
      </c>
      <c r="E10304" t="s">
        <v>32055</v>
      </c>
      <c r="F10304">
        <v>1984</v>
      </c>
      <c r="G10304" t="s">
        <v>32056</v>
      </c>
      <c r="H10304" t="s">
        <v>32223</v>
      </c>
      <c r="I10304" t="s">
        <v>32225</v>
      </c>
      <c r="J10304" t="s">
        <v>32059</v>
      </c>
      <c r="K10304" s="2" t="str">
        <f>HYPERLINK("http://collections.slsa.sa.gov.au/mpcimg/45000/B44943.htm")</f>
        <v>http://collections.slsa.sa.gov.au/mpcimg/45000/B44943.htm</v>
      </c>
    </row>
    <row r="10305" spans="1:11" x14ac:dyDescent="0.25">
      <c r="A10305" t="s">
        <v>32226</v>
      </c>
      <c r="B10305" s="1" t="str">
        <f>HYPERLINK("https://www.catalog.slsa.sa.gov.au/record=b2072857")</f>
        <v>https://www.catalog.slsa.sa.gov.au/record=b2072857</v>
      </c>
      <c r="C10305" s="1" t="str">
        <f>HYPERLINK("https://www.catalog.slsa.sa.gov.au/xrecord=b2072857")</f>
        <v>https://www.catalog.slsa.sa.gov.au/xrecord=b2072857</v>
      </c>
      <c r="D10305" t="s">
        <v>16831</v>
      </c>
      <c r="E10305" t="s">
        <v>32055</v>
      </c>
      <c r="F10305">
        <v>1984</v>
      </c>
      <c r="G10305" t="s">
        <v>32056</v>
      </c>
      <c r="H10305" t="s">
        <v>32223</v>
      </c>
      <c r="I10305" t="s">
        <v>32221</v>
      </c>
      <c r="J10305" t="s">
        <v>32059</v>
      </c>
      <c r="K10305" s="2" t="str">
        <f>HYPERLINK("http://collections.slsa.sa.gov.au/mpcimg/45000/B44944.htm")</f>
        <v>http://collections.slsa.sa.gov.au/mpcimg/45000/B44944.htm</v>
      </c>
    </row>
    <row r="10306" spans="1:11" x14ac:dyDescent="0.25">
      <c r="A10306" t="s">
        <v>32227</v>
      </c>
      <c r="B10306" s="1" t="str">
        <f>HYPERLINK("https://www.catalog.slsa.sa.gov.au/record=b2072858")</f>
        <v>https://www.catalog.slsa.sa.gov.au/record=b2072858</v>
      </c>
      <c r="C10306" s="1" t="str">
        <f>HYPERLINK("https://www.catalog.slsa.sa.gov.au/xrecord=b2072858")</f>
        <v>https://www.catalog.slsa.sa.gov.au/xrecord=b2072858</v>
      </c>
      <c r="D10306" t="s">
        <v>16831</v>
      </c>
      <c r="E10306" t="s">
        <v>32055</v>
      </c>
      <c r="F10306">
        <v>1984</v>
      </c>
      <c r="G10306" t="s">
        <v>32056</v>
      </c>
      <c r="H10306" t="s">
        <v>32223</v>
      </c>
      <c r="I10306" t="s">
        <v>32221</v>
      </c>
      <c r="J10306" t="s">
        <v>32059</v>
      </c>
      <c r="K10306" s="2" t="str">
        <f>HYPERLINK("http://collections.slsa.sa.gov.au/mpcimg/45000/B44945.htm")</f>
        <v>http://collections.slsa.sa.gov.au/mpcimg/45000/B44945.htm</v>
      </c>
    </row>
    <row r="10307" spans="1:11" x14ac:dyDescent="0.25">
      <c r="A10307" t="s">
        <v>32228</v>
      </c>
      <c r="B10307" s="1" t="str">
        <f>HYPERLINK("https://www.catalog.slsa.sa.gov.au/record=b2072859")</f>
        <v>https://www.catalog.slsa.sa.gov.au/record=b2072859</v>
      </c>
      <c r="C10307" s="1" t="str">
        <f>HYPERLINK("https://www.catalog.slsa.sa.gov.au/xrecord=b2072859")</f>
        <v>https://www.catalog.slsa.sa.gov.au/xrecord=b2072859</v>
      </c>
      <c r="D10307" t="s">
        <v>16831</v>
      </c>
      <c r="E10307" t="s">
        <v>32055</v>
      </c>
      <c r="F10307">
        <v>1984</v>
      </c>
      <c r="G10307" t="s">
        <v>31840</v>
      </c>
      <c r="H10307" t="s">
        <v>32229</v>
      </c>
      <c r="I10307" t="s">
        <v>32230</v>
      </c>
      <c r="J10307" t="s">
        <v>32059</v>
      </c>
      <c r="K10307" s="2" t="str">
        <f>HYPERLINK("http://collections.slsa.sa.gov.au/mpcimg/45000/B44946.htm")</f>
        <v>http://collections.slsa.sa.gov.au/mpcimg/45000/B44946.htm</v>
      </c>
    </row>
    <row r="10308" spans="1:11" x14ac:dyDescent="0.25">
      <c r="A10308" t="s">
        <v>32231</v>
      </c>
      <c r="B10308" s="1" t="str">
        <f>HYPERLINK("https://www.catalog.slsa.sa.gov.au/record=b2072860")</f>
        <v>https://www.catalog.slsa.sa.gov.au/record=b2072860</v>
      </c>
      <c r="C10308" s="1" t="str">
        <f>HYPERLINK("https://www.catalog.slsa.sa.gov.au/xrecord=b2072860")</f>
        <v>https://www.catalog.slsa.sa.gov.au/xrecord=b2072860</v>
      </c>
      <c r="D10308" t="s">
        <v>16831</v>
      </c>
      <c r="E10308" t="s">
        <v>32055</v>
      </c>
      <c r="F10308">
        <v>1984</v>
      </c>
      <c r="G10308" t="s">
        <v>32232</v>
      </c>
      <c r="H10308" t="s">
        <v>32233</v>
      </c>
      <c r="I10308" t="s">
        <v>32230</v>
      </c>
      <c r="J10308" t="s">
        <v>32059</v>
      </c>
      <c r="K10308" s="2" t="str">
        <f>HYPERLINK("http://collections.slsa.sa.gov.au/mpcimg/45000/B44947.htm")</f>
        <v>http://collections.slsa.sa.gov.au/mpcimg/45000/B44947.htm</v>
      </c>
    </row>
    <row r="10309" spans="1:11" x14ac:dyDescent="0.25">
      <c r="A10309" t="s">
        <v>32234</v>
      </c>
      <c r="B10309" s="1" t="str">
        <f>HYPERLINK("https://www.catalog.slsa.sa.gov.au/record=b2072861")</f>
        <v>https://www.catalog.slsa.sa.gov.au/record=b2072861</v>
      </c>
      <c r="C10309" s="1" t="str">
        <f>HYPERLINK("https://www.catalog.slsa.sa.gov.au/xrecord=b2072861")</f>
        <v>https://www.catalog.slsa.sa.gov.au/xrecord=b2072861</v>
      </c>
      <c r="D10309" t="s">
        <v>16831</v>
      </c>
      <c r="E10309" t="s">
        <v>32055</v>
      </c>
      <c r="F10309">
        <v>1984</v>
      </c>
      <c r="G10309" t="s">
        <v>32235</v>
      </c>
      <c r="H10309" t="s">
        <v>32236</v>
      </c>
      <c r="I10309" t="s">
        <v>32237</v>
      </c>
      <c r="J10309" t="s">
        <v>32059</v>
      </c>
      <c r="K10309" s="2" t="str">
        <f>HYPERLINK("http://collections.slsa.sa.gov.au/mpcimg/45000/B44948.htm")</f>
        <v>http://collections.slsa.sa.gov.au/mpcimg/45000/B44948.htm</v>
      </c>
    </row>
    <row r="10310" spans="1:11" x14ac:dyDescent="0.25">
      <c r="A10310" t="s">
        <v>32238</v>
      </c>
      <c r="B10310" s="1" t="str">
        <f>HYPERLINK("https://www.catalog.slsa.sa.gov.au/record=b2072862")</f>
        <v>https://www.catalog.slsa.sa.gov.au/record=b2072862</v>
      </c>
      <c r="C10310" s="1" t="str">
        <f>HYPERLINK("https://www.catalog.slsa.sa.gov.au/xrecord=b2072862")</f>
        <v>https://www.catalog.slsa.sa.gov.au/xrecord=b2072862</v>
      </c>
      <c r="D10310" t="s">
        <v>16831</v>
      </c>
      <c r="E10310" t="s">
        <v>32055</v>
      </c>
      <c r="F10310">
        <v>1984</v>
      </c>
      <c r="G10310" t="s">
        <v>16103</v>
      </c>
      <c r="H10310" t="s">
        <v>32236</v>
      </c>
      <c r="I10310" t="s">
        <v>32237</v>
      </c>
      <c r="J10310" t="s">
        <v>32059</v>
      </c>
      <c r="K10310" s="2" t="str">
        <f>HYPERLINK("http://collections.slsa.sa.gov.au/mpcimg/45000/B44949.htm")</f>
        <v>http://collections.slsa.sa.gov.au/mpcimg/45000/B44949.htm</v>
      </c>
    </row>
    <row r="10311" spans="1:11" x14ac:dyDescent="0.25">
      <c r="A10311" t="s">
        <v>32239</v>
      </c>
      <c r="B10311" s="1" t="str">
        <f>HYPERLINK("https://www.catalog.slsa.sa.gov.au/record=b2072863")</f>
        <v>https://www.catalog.slsa.sa.gov.au/record=b2072863</v>
      </c>
      <c r="C10311" s="1" t="str">
        <f>HYPERLINK("https://www.catalog.slsa.sa.gov.au/xrecord=b2072863")</f>
        <v>https://www.catalog.slsa.sa.gov.au/xrecord=b2072863</v>
      </c>
      <c r="D10311" t="s">
        <v>16831</v>
      </c>
      <c r="E10311" t="s">
        <v>32055</v>
      </c>
      <c r="F10311">
        <v>1984</v>
      </c>
      <c r="G10311" t="s">
        <v>32240</v>
      </c>
      <c r="H10311" t="s">
        <v>32236</v>
      </c>
      <c r="I10311" t="s">
        <v>32237</v>
      </c>
      <c r="J10311" t="s">
        <v>32059</v>
      </c>
      <c r="K10311" s="2" t="str">
        <f>HYPERLINK("http://collections.slsa.sa.gov.au/mpcimg/45000/B44950.htm")</f>
        <v>http://collections.slsa.sa.gov.au/mpcimg/45000/B44950.htm</v>
      </c>
    </row>
    <row r="10312" spans="1:11" x14ac:dyDescent="0.25">
      <c r="A10312" t="s">
        <v>32241</v>
      </c>
      <c r="B10312" s="1" t="str">
        <f>HYPERLINK("https://www.catalog.slsa.sa.gov.au/record=b2072864")</f>
        <v>https://www.catalog.slsa.sa.gov.au/record=b2072864</v>
      </c>
      <c r="C10312" s="1" t="str">
        <f>HYPERLINK("https://www.catalog.slsa.sa.gov.au/xrecord=b2072864")</f>
        <v>https://www.catalog.slsa.sa.gov.au/xrecord=b2072864</v>
      </c>
      <c r="D10312" t="s">
        <v>16831</v>
      </c>
      <c r="E10312" t="s">
        <v>32055</v>
      </c>
      <c r="F10312">
        <v>1984</v>
      </c>
      <c r="G10312" t="s">
        <v>32242</v>
      </c>
      <c r="H10312" t="s">
        <v>32236</v>
      </c>
      <c r="I10312" t="s">
        <v>32237</v>
      </c>
      <c r="J10312" t="s">
        <v>32059</v>
      </c>
      <c r="K10312" s="2" t="str">
        <f>HYPERLINK("http://collections.slsa.sa.gov.au/mpcimg/45000/B44951.htm")</f>
        <v>http://collections.slsa.sa.gov.au/mpcimg/45000/B44951.htm</v>
      </c>
    </row>
    <row r="10313" spans="1:11" x14ac:dyDescent="0.25">
      <c r="A10313" t="s">
        <v>32243</v>
      </c>
      <c r="B10313" s="1" t="str">
        <f>HYPERLINK("https://www.catalog.slsa.sa.gov.au/record=b2072865")</f>
        <v>https://www.catalog.slsa.sa.gov.au/record=b2072865</v>
      </c>
      <c r="C10313" s="1" t="str">
        <f>HYPERLINK("https://www.catalog.slsa.sa.gov.au/xrecord=b2072865")</f>
        <v>https://www.catalog.slsa.sa.gov.au/xrecord=b2072865</v>
      </c>
      <c r="D10313" t="s">
        <v>16831</v>
      </c>
      <c r="E10313" t="s">
        <v>32055</v>
      </c>
      <c r="F10313">
        <v>1984</v>
      </c>
      <c r="G10313" t="s">
        <v>31840</v>
      </c>
      <c r="H10313" t="s">
        <v>32236</v>
      </c>
      <c r="I10313" t="s">
        <v>32237</v>
      </c>
      <c r="J10313" t="s">
        <v>32059</v>
      </c>
      <c r="K10313" s="2" t="str">
        <f>HYPERLINK("http://collections.slsa.sa.gov.au/mpcimg/45000/B44952.htm")</f>
        <v>http://collections.slsa.sa.gov.au/mpcimg/45000/B44952.htm</v>
      </c>
    </row>
    <row r="10314" spans="1:11" x14ac:dyDescent="0.25">
      <c r="A10314" t="s">
        <v>32244</v>
      </c>
      <c r="B10314" s="1" t="str">
        <f>HYPERLINK("https://www.catalog.slsa.sa.gov.au/record=b2072866")</f>
        <v>https://www.catalog.slsa.sa.gov.au/record=b2072866</v>
      </c>
      <c r="C10314" s="1" t="str">
        <f>HYPERLINK("https://www.catalog.slsa.sa.gov.au/xrecord=b2072866")</f>
        <v>https://www.catalog.slsa.sa.gov.au/xrecord=b2072866</v>
      </c>
      <c r="D10314" t="s">
        <v>16831</v>
      </c>
      <c r="E10314" t="s">
        <v>32055</v>
      </c>
      <c r="F10314">
        <v>1984</v>
      </c>
      <c r="G10314" t="s">
        <v>32245</v>
      </c>
      <c r="H10314" t="s">
        <v>32246</v>
      </c>
      <c r="I10314" t="s">
        <v>32247</v>
      </c>
      <c r="J10314" t="s">
        <v>32059</v>
      </c>
      <c r="K10314" s="2" t="str">
        <f>HYPERLINK("http://collections.slsa.sa.gov.au/mpcimg/45000/B44953.htm")</f>
        <v>http://collections.slsa.sa.gov.au/mpcimg/45000/B44953.htm</v>
      </c>
    </row>
    <row r="10315" spans="1:11" x14ac:dyDescent="0.25">
      <c r="A10315" t="s">
        <v>32248</v>
      </c>
      <c r="B10315" s="1" t="str">
        <f>HYPERLINK("https://www.catalog.slsa.sa.gov.au/record=b2072867")</f>
        <v>https://www.catalog.slsa.sa.gov.au/record=b2072867</v>
      </c>
      <c r="C10315" s="1" t="str">
        <f>HYPERLINK("https://www.catalog.slsa.sa.gov.au/xrecord=b2072867")</f>
        <v>https://www.catalog.slsa.sa.gov.au/xrecord=b2072867</v>
      </c>
      <c r="D10315" t="s">
        <v>16831</v>
      </c>
      <c r="E10315" t="s">
        <v>32055</v>
      </c>
      <c r="F10315">
        <v>1984</v>
      </c>
      <c r="G10315" t="s">
        <v>32249</v>
      </c>
      <c r="H10315" t="s">
        <v>32250</v>
      </c>
      <c r="I10315" t="s">
        <v>32251</v>
      </c>
      <c r="J10315" t="s">
        <v>32059</v>
      </c>
      <c r="K10315" s="2" t="str">
        <f>HYPERLINK("http://collections.slsa.sa.gov.au/mpcimg/45000/B44954.htm")</f>
        <v>http://collections.slsa.sa.gov.au/mpcimg/45000/B44954.htm</v>
      </c>
    </row>
    <row r="10316" spans="1:11" x14ac:dyDescent="0.25">
      <c r="A10316" t="s">
        <v>32252</v>
      </c>
      <c r="B10316" s="1" t="str">
        <f>HYPERLINK("https://www.catalog.slsa.sa.gov.au/record=b2072868")</f>
        <v>https://www.catalog.slsa.sa.gov.au/record=b2072868</v>
      </c>
      <c r="C10316" s="1" t="str">
        <f>HYPERLINK("https://www.catalog.slsa.sa.gov.au/xrecord=b2072868")</f>
        <v>https://www.catalog.slsa.sa.gov.au/xrecord=b2072868</v>
      </c>
      <c r="D10316" t="s">
        <v>16831</v>
      </c>
      <c r="E10316" t="s">
        <v>32055</v>
      </c>
      <c r="F10316">
        <v>1984</v>
      </c>
      <c r="G10316" t="s">
        <v>31840</v>
      </c>
      <c r="H10316" t="s">
        <v>32250</v>
      </c>
      <c r="I10316" t="s">
        <v>32251</v>
      </c>
      <c r="J10316" t="s">
        <v>32059</v>
      </c>
      <c r="K10316" s="2" t="str">
        <f>HYPERLINK("http://collections.slsa.sa.gov.au/mpcimg/45000/B44955.htm")</f>
        <v>http://collections.slsa.sa.gov.au/mpcimg/45000/B44955.htm</v>
      </c>
    </row>
    <row r="10317" spans="1:11" x14ac:dyDescent="0.25">
      <c r="A10317" t="s">
        <v>32253</v>
      </c>
      <c r="B10317" s="1" t="str">
        <f>HYPERLINK("https://www.catalog.slsa.sa.gov.au/record=b2072869")</f>
        <v>https://www.catalog.slsa.sa.gov.au/record=b2072869</v>
      </c>
      <c r="C10317" s="1" t="str">
        <f>HYPERLINK("https://www.catalog.slsa.sa.gov.au/xrecord=b2072869")</f>
        <v>https://www.catalog.slsa.sa.gov.au/xrecord=b2072869</v>
      </c>
      <c r="D10317" t="s">
        <v>16831</v>
      </c>
      <c r="E10317" t="s">
        <v>32055</v>
      </c>
      <c r="F10317">
        <v>1984</v>
      </c>
      <c r="G10317" t="s">
        <v>32254</v>
      </c>
      <c r="H10317" t="s">
        <v>32255</v>
      </c>
      <c r="I10317" t="s">
        <v>32256</v>
      </c>
      <c r="J10317" t="s">
        <v>32059</v>
      </c>
      <c r="K10317" s="2" t="str">
        <f>HYPERLINK("http://collections.slsa.sa.gov.au/mpcimg/45000/B44956.htm")</f>
        <v>http://collections.slsa.sa.gov.au/mpcimg/45000/B44956.htm</v>
      </c>
    </row>
    <row r="10318" spans="1:11" x14ac:dyDescent="0.25">
      <c r="A10318" t="s">
        <v>32257</v>
      </c>
      <c r="B10318" s="1" t="str">
        <f>HYPERLINK("https://www.catalog.slsa.sa.gov.au/record=b2072870")</f>
        <v>https://www.catalog.slsa.sa.gov.au/record=b2072870</v>
      </c>
      <c r="C10318" s="1" t="str">
        <f>HYPERLINK("https://www.catalog.slsa.sa.gov.au/xrecord=b2072870")</f>
        <v>https://www.catalog.slsa.sa.gov.au/xrecord=b2072870</v>
      </c>
      <c r="D10318" t="s">
        <v>16831</v>
      </c>
      <c r="E10318" t="s">
        <v>32055</v>
      </c>
      <c r="F10318">
        <v>1984</v>
      </c>
      <c r="G10318" t="s">
        <v>32258</v>
      </c>
      <c r="H10318" t="s">
        <v>32259</v>
      </c>
      <c r="I10318" t="s">
        <v>32260</v>
      </c>
      <c r="J10318" t="s">
        <v>32059</v>
      </c>
      <c r="K10318" s="2" t="str">
        <f>HYPERLINK("http://collections.slsa.sa.gov.au/mpcimg/45000/B44957.htm")</f>
        <v>http://collections.slsa.sa.gov.au/mpcimg/45000/B44957.htm</v>
      </c>
    </row>
    <row r="10319" spans="1:11" x14ac:dyDescent="0.25">
      <c r="A10319" t="s">
        <v>32261</v>
      </c>
      <c r="B10319" s="1" t="str">
        <f>HYPERLINK("https://www.catalog.slsa.sa.gov.au/record=b2072871")</f>
        <v>https://www.catalog.slsa.sa.gov.au/record=b2072871</v>
      </c>
      <c r="C10319" s="1" t="str">
        <f>HYPERLINK("https://www.catalog.slsa.sa.gov.au/xrecord=b2072871")</f>
        <v>https://www.catalog.slsa.sa.gov.au/xrecord=b2072871</v>
      </c>
      <c r="D10319" t="s">
        <v>16831</v>
      </c>
      <c r="E10319" t="s">
        <v>32055</v>
      </c>
      <c r="F10319">
        <v>1984</v>
      </c>
      <c r="G10319" t="s">
        <v>32262</v>
      </c>
      <c r="H10319" t="s">
        <v>32236</v>
      </c>
      <c r="I10319" t="s">
        <v>32263</v>
      </c>
      <c r="J10319" t="s">
        <v>32059</v>
      </c>
      <c r="K10319" s="2" t="str">
        <f>HYPERLINK("http://collections.slsa.sa.gov.au/mpcimg/45000/B44958.htm")</f>
        <v>http://collections.slsa.sa.gov.au/mpcimg/45000/B44958.htm</v>
      </c>
    </row>
    <row r="10320" spans="1:11" x14ac:dyDescent="0.25">
      <c r="A10320" t="s">
        <v>32264</v>
      </c>
      <c r="B10320" s="1" t="str">
        <f>HYPERLINK("https://www.catalog.slsa.sa.gov.au/record=b2072872")</f>
        <v>https://www.catalog.slsa.sa.gov.au/record=b2072872</v>
      </c>
      <c r="C10320" s="1" t="str">
        <f>HYPERLINK("https://www.catalog.slsa.sa.gov.au/xrecord=b2072872")</f>
        <v>https://www.catalog.slsa.sa.gov.au/xrecord=b2072872</v>
      </c>
      <c r="D10320" t="s">
        <v>16831</v>
      </c>
      <c r="E10320" t="s">
        <v>32055</v>
      </c>
      <c r="F10320">
        <v>1984</v>
      </c>
      <c r="G10320" t="s">
        <v>31840</v>
      </c>
      <c r="H10320" t="s">
        <v>32236</v>
      </c>
      <c r="I10320" t="s">
        <v>32237</v>
      </c>
      <c r="J10320" t="s">
        <v>32059</v>
      </c>
      <c r="K10320" s="2" t="str">
        <f>HYPERLINK("http://collections.slsa.sa.gov.au/mpcimg/45000/B44959.htm")</f>
        <v>http://collections.slsa.sa.gov.au/mpcimg/45000/B44959.htm</v>
      </c>
    </row>
    <row r="10321" spans="1:11" x14ac:dyDescent="0.25">
      <c r="A10321" t="s">
        <v>32265</v>
      </c>
      <c r="B10321" s="1" t="str">
        <f>HYPERLINK("https://www.catalog.slsa.sa.gov.au/record=b2072873")</f>
        <v>https://www.catalog.slsa.sa.gov.au/record=b2072873</v>
      </c>
      <c r="C10321" s="1" t="str">
        <f>HYPERLINK("https://www.catalog.slsa.sa.gov.au/xrecord=b2072873")</f>
        <v>https://www.catalog.slsa.sa.gov.au/xrecord=b2072873</v>
      </c>
      <c r="D10321" t="s">
        <v>16831</v>
      </c>
      <c r="E10321" t="s">
        <v>32055</v>
      </c>
      <c r="F10321">
        <v>1984</v>
      </c>
      <c r="G10321" t="s">
        <v>32262</v>
      </c>
      <c r="H10321" t="s">
        <v>32236</v>
      </c>
      <c r="I10321" t="s">
        <v>32263</v>
      </c>
      <c r="J10321" t="s">
        <v>32059</v>
      </c>
      <c r="K10321" s="2" t="str">
        <f>HYPERLINK("http://collections.slsa.sa.gov.au/mpcimg/45000/B44960.htm")</f>
        <v>http://collections.slsa.sa.gov.au/mpcimg/45000/B44960.htm</v>
      </c>
    </row>
    <row r="10322" spans="1:11" x14ac:dyDescent="0.25">
      <c r="A10322" t="s">
        <v>32266</v>
      </c>
      <c r="B10322" s="1" t="str">
        <f>HYPERLINK("https://www.catalog.slsa.sa.gov.au/record=b2072874")</f>
        <v>https://www.catalog.slsa.sa.gov.au/record=b2072874</v>
      </c>
      <c r="C10322" s="1" t="str">
        <f>HYPERLINK("https://www.catalog.slsa.sa.gov.au/xrecord=b2072874")</f>
        <v>https://www.catalog.slsa.sa.gov.au/xrecord=b2072874</v>
      </c>
      <c r="D10322" t="s">
        <v>16831</v>
      </c>
      <c r="E10322" t="s">
        <v>32055</v>
      </c>
      <c r="F10322">
        <v>1984</v>
      </c>
      <c r="G10322" t="s">
        <v>14859</v>
      </c>
      <c r="H10322" t="s">
        <v>32236</v>
      </c>
      <c r="I10322" t="s">
        <v>32263</v>
      </c>
      <c r="J10322" t="s">
        <v>32059</v>
      </c>
      <c r="K10322" s="2" t="str">
        <f>HYPERLINK("http://collections.slsa.sa.gov.au/mpcimg/45000/B44961.htm")</f>
        <v>http://collections.slsa.sa.gov.au/mpcimg/45000/B44961.htm</v>
      </c>
    </row>
    <row r="10323" spans="1:11" x14ac:dyDescent="0.25">
      <c r="A10323" t="s">
        <v>32267</v>
      </c>
      <c r="B10323" s="1" t="str">
        <f>HYPERLINK("https://www.catalog.slsa.sa.gov.au/record=b2072875")</f>
        <v>https://www.catalog.slsa.sa.gov.au/record=b2072875</v>
      </c>
      <c r="C10323" s="1" t="str">
        <f>HYPERLINK("https://www.catalog.slsa.sa.gov.au/xrecord=b2072875")</f>
        <v>https://www.catalog.slsa.sa.gov.au/xrecord=b2072875</v>
      </c>
      <c r="D10323" t="s">
        <v>16831</v>
      </c>
      <c r="E10323" t="s">
        <v>32055</v>
      </c>
      <c r="F10323">
        <v>1984</v>
      </c>
      <c r="G10323" t="s">
        <v>31840</v>
      </c>
      <c r="H10323" t="s">
        <v>32236</v>
      </c>
      <c r="I10323" t="s">
        <v>32263</v>
      </c>
      <c r="J10323" t="s">
        <v>32059</v>
      </c>
      <c r="K10323" s="2" t="str">
        <f>HYPERLINK("http://collections.slsa.sa.gov.au/mpcimg/45000/B44962.htm")</f>
        <v>http://collections.slsa.sa.gov.au/mpcimg/45000/B44962.htm</v>
      </c>
    </row>
    <row r="10324" spans="1:11" x14ac:dyDescent="0.25">
      <c r="A10324" t="s">
        <v>32268</v>
      </c>
      <c r="B10324" s="1" t="str">
        <f>HYPERLINK("https://www.catalog.slsa.sa.gov.au/record=b2072876")</f>
        <v>https://www.catalog.slsa.sa.gov.au/record=b2072876</v>
      </c>
      <c r="C10324" s="1" t="str">
        <f>HYPERLINK("https://www.catalog.slsa.sa.gov.au/xrecord=b2072876")</f>
        <v>https://www.catalog.slsa.sa.gov.au/xrecord=b2072876</v>
      </c>
      <c r="D10324" t="s">
        <v>16831</v>
      </c>
      <c r="E10324" t="s">
        <v>32055</v>
      </c>
      <c r="F10324">
        <v>1984</v>
      </c>
      <c r="G10324" t="s">
        <v>31840</v>
      </c>
      <c r="H10324" t="s">
        <v>32236</v>
      </c>
      <c r="I10324" t="s">
        <v>32263</v>
      </c>
      <c r="J10324" t="s">
        <v>32059</v>
      </c>
      <c r="K10324" s="2" t="str">
        <f>HYPERLINK("http://collections.slsa.sa.gov.au/mpcimg/45000/B44963.htm")</f>
        <v>http://collections.slsa.sa.gov.au/mpcimg/45000/B44963.htm</v>
      </c>
    </row>
    <row r="10325" spans="1:11" x14ac:dyDescent="0.25">
      <c r="A10325" t="s">
        <v>32269</v>
      </c>
      <c r="B10325" s="1" t="str">
        <f>HYPERLINK("https://www.catalog.slsa.sa.gov.au/record=b2072877")</f>
        <v>https://www.catalog.slsa.sa.gov.au/record=b2072877</v>
      </c>
      <c r="C10325" s="1" t="str">
        <f>HYPERLINK("https://www.catalog.slsa.sa.gov.au/xrecord=b2072877")</f>
        <v>https://www.catalog.slsa.sa.gov.au/xrecord=b2072877</v>
      </c>
      <c r="D10325" t="s">
        <v>16831</v>
      </c>
      <c r="E10325" t="s">
        <v>32055</v>
      </c>
      <c r="F10325">
        <v>1984</v>
      </c>
      <c r="G10325" t="s">
        <v>31840</v>
      </c>
      <c r="H10325" t="s">
        <v>32236</v>
      </c>
      <c r="I10325" t="s">
        <v>32237</v>
      </c>
      <c r="J10325" t="s">
        <v>32059</v>
      </c>
      <c r="K10325" s="2" t="str">
        <f>HYPERLINK("http://collections.slsa.sa.gov.au/mpcimg/45000/B44964.htm")</f>
        <v>http://collections.slsa.sa.gov.au/mpcimg/45000/B44964.htm</v>
      </c>
    </row>
    <row r="10326" spans="1:11" x14ac:dyDescent="0.25">
      <c r="A10326" t="s">
        <v>32270</v>
      </c>
      <c r="B10326" s="1" t="str">
        <f>HYPERLINK("https://www.catalog.slsa.sa.gov.au/record=b2072878")</f>
        <v>https://www.catalog.slsa.sa.gov.au/record=b2072878</v>
      </c>
      <c r="C10326" s="1" t="str">
        <f>HYPERLINK("https://www.catalog.slsa.sa.gov.au/xrecord=b2072878")</f>
        <v>https://www.catalog.slsa.sa.gov.au/xrecord=b2072878</v>
      </c>
      <c r="D10326" t="s">
        <v>16831</v>
      </c>
      <c r="E10326" t="s">
        <v>32055</v>
      </c>
      <c r="F10326">
        <v>1984</v>
      </c>
      <c r="G10326" t="s">
        <v>31840</v>
      </c>
      <c r="H10326" t="s">
        <v>32236</v>
      </c>
      <c r="I10326" t="s">
        <v>32263</v>
      </c>
      <c r="J10326" t="s">
        <v>32059</v>
      </c>
      <c r="K10326" s="2" t="str">
        <f>HYPERLINK("http://collections.slsa.sa.gov.au/mpcimg/45000/B44965.htm")</f>
        <v>http://collections.slsa.sa.gov.au/mpcimg/45000/B44965.htm</v>
      </c>
    </row>
    <row r="10327" spans="1:11" x14ac:dyDescent="0.25">
      <c r="A10327" t="s">
        <v>32271</v>
      </c>
      <c r="B10327" s="1" t="str">
        <f>HYPERLINK("https://www.catalog.slsa.sa.gov.au/record=b2067441")</f>
        <v>https://www.catalog.slsa.sa.gov.au/record=b2067441</v>
      </c>
      <c r="C10327" s="1" t="str">
        <f>HYPERLINK("https://www.catalog.slsa.sa.gov.au/xrecord=b2067441")</f>
        <v>https://www.catalog.slsa.sa.gov.au/xrecord=b2067441</v>
      </c>
      <c r="D10327" t="s">
        <v>16831</v>
      </c>
      <c r="E10327" t="s">
        <v>32272</v>
      </c>
      <c r="F10327" t="s">
        <v>32273</v>
      </c>
      <c r="G10327" t="s">
        <v>32274</v>
      </c>
      <c r="H10327" t="s">
        <v>32275</v>
      </c>
      <c r="J10327" t="s">
        <v>16866</v>
      </c>
      <c r="K10327" s="2" t="str">
        <f>HYPERLINK("http://collections.slsa.sa.gov.au/mpcimg/51000/B50787.htm")</f>
        <v>http://collections.slsa.sa.gov.au/mpcimg/51000/B50787.htm</v>
      </c>
    </row>
    <row r="10328" spans="1:11" x14ac:dyDescent="0.25">
      <c r="A10328" t="s">
        <v>32276</v>
      </c>
      <c r="B10328" s="1" t="str">
        <f>HYPERLINK("https://www.catalog.slsa.sa.gov.au/record=b2067442")</f>
        <v>https://www.catalog.slsa.sa.gov.au/record=b2067442</v>
      </c>
      <c r="C10328" s="1" t="str">
        <f>HYPERLINK("https://www.catalog.slsa.sa.gov.au/xrecord=b2067442")</f>
        <v>https://www.catalog.slsa.sa.gov.au/xrecord=b2067442</v>
      </c>
      <c r="D10328" t="s">
        <v>16831</v>
      </c>
      <c r="E10328" t="s">
        <v>32272</v>
      </c>
      <c r="F10328" t="s">
        <v>32273</v>
      </c>
      <c r="G10328" t="s">
        <v>32274</v>
      </c>
      <c r="H10328" t="s">
        <v>32277</v>
      </c>
      <c r="J10328" t="s">
        <v>16866</v>
      </c>
      <c r="K10328" s="2" t="str">
        <f>HYPERLINK("http://collections.slsa.sa.gov.au/mpcimg/51000/B50788.htm")</f>
        <v>http://collections.slsa.sa.gov.au/mpcimg/51000/B50788.htm</v>
      </c>
    </row>
    <row r="10329" spans="1:11" x14ac:dyDescent="0.25">
      <c r="A10329" t="s">
        <v>32278</v>
      </c>
      <c r="B10329" s="1" t="str">
        <f>HYPERLINK("https://www.catalog.slsa.sa.gov.au/record=b2067443")</f>
        <v>https://www.catalog.slsa.sa.gov.au/record=b2067443</v>
      </c>
      <c r="C10329" s="1" t="str">
        <f>HYPERLINK("https://www.catalog.slsa.sa.gov.au/xrecord=b2067443")</f>
        <v>https://www.catalog.slsa.sa.gov.au/xrecord=b2067443</v>
      </c>
      <c r="D10329" t="s">
        <v>16831</v>
      </c>
      <c r="E10329" t="s">
        <v>32279</v>
      </c>
      <c r="F10329" t="s">
        <v>32273</v>
      </c>
      <c r="G10329" t="s">
        <v>32274</v>
      </c>
      <c r="H10329" t="s">
        <v>32280</v>
      </c>
      <c r="J10329" t="s">
        <v>16866</v>
      </c>
      <c r="K10329" s="2" t="str">
        <f>HYPERLINK("http://collections.slsa.sa.gov.au/mpcimg/51000/B50789.htm")</f>
        <v>http://collections.slsa.sa.gov.au/mpcimg/51000/B50789.htm</v>
      </c>
    </row>
    <row r="10330" spans="1:11" x14ac:dyDescent="0.25">
      <c r="A10330" t="s">
        <v>32281</v>
      </c>
      <c r="B10330" s="1" t="str">
        <f>HYPERLINK("https://www.catalog.slsa.sa.gov.au/record=b2067444")</f>
        <v>https://www.catalog.slsa.sa.gov.au/record=b2067444</v>
      </c>
      <c r="C10330" s="1" t="str">
        <f>HYPERLINK("https://www.catalog.slsa.sa.gov.au/xrecord=b2067444")</f>
        <v>https://www.catalog.slsa.sa.gov.au/xrecord=b2067444</v>
      </c>
      <c r="D10330" t="s">
        <v>16831</v>
      </c>
      <c r="E10330" t="s">
        <v>32282</v>
      </c>
      <c r="F10330" t="s">
        <v>32273</v>
      </c>
      <c r="G10330" t="s">
        <v>15031</v>
      </c>
      <c r="H10330" t="s">
        <v>32283</v>
      </c>
      <c r="J10330" t="s">
        <v>16866</v>
      </c>
      <c r="K10330" s="2" t="str">
        <f>HYPERLINK("http://collections.slsa.sa.gov.au/mpcimg/51000/B50790.htm")</f>
        <v>http://collections.slsa.sa.gov.au/mpcimg/51000/B50790.htm</v>
      </c>
    </row>
    <row r="10331" spans="1:11" x14ac:dyDescent="0.25">
      <c r="A10331" t="s">
        <v>32284</v>
      </c>
      <c r="B10331" s="1" t="str">
        <f>HYPERLINK("https://www.catalog.slsa.sa.gov.au/record=b2067445")</f>
        <v>https://www.catalog.slsa.sa.gov.au/record=b2067445</v>
      </c>
      <c r="C10331" s="1" t="str">
        <f>HYPERLINK("https://www.catalog.slsa.sa.gov.au/xrecord=b2067445")</f>
        <v>https://www.catalog.slsa.sa.gov.au/xrecord=b2067445</v>
      </c>
      <c r="D10331" t="s">
        <v>16831</v>
      </c>
      <c r="E10331" t="s">
        <v>32282</v>
      </c>
      <c r="F10331" t="s">
        <v>32273</v>
      </c>
      <c r="G10331" t="s">
        <v>15031</v>
      </c>
      <c r="H10331" t="s">
        <v>32283</v>
      </c>
      <c r="J10331" t="s">
        <v>16866</v>
      </c>
      <c r="K10331" s="2" t="str">
        <f>HYPERLINK("http://collections.slsa.sa.gov.au/mpcimg/51000/B50791.htm")</f>
        <v>http://collections.slsa.sa.gov.au/mpcimg/51000/B50791.htm</v>
      </c>
    </row>
    <row r="10332" spans="1:11" x14ac:dyDescent="0.25">
      <c r="A10332" t="s">
        <v>32285</v>
      </c>
      <c r="B10332" s="1" t="str">
        <f>HYPERLINK("https://www.catalog.slsa.sa.gov.au/record=b2067522")</f>
        <v>https://www.catalog.slsa.sa.gov.au/record=b2067522</v>
      </c>
      <c r="C10332" s="1" t="str">
        <f>HYPERLINK("https://www.catalog.slsa.sa.gov.au/xrecord=b2067522")</f>
        <v>https://www.catalog.slsa.sa.gov.au/xrecord=b2067522</v>
      </c>
      <c r="D10332" t="s">
        <v>16831</v>
      </c>
      <c r="E10332" t="s">
        <v>32286</v>
      </c>
      <c r="F10332" t="s">
        <v>32273</v>
      </c>
      <c r="G10332" t="s">
        <v>32287</v>
      </c>
      <c r="H10332" t="s">
        <v>32288</v>
      </c>
      <c r="J10332" t="s">
        <v>16866</v>
      </c>
      <c r="K10332" s="2" t="str">
        <f>HYPERLINK("http://collections.slsa.sa.gov.au/mpcimg/53500/B53337.htm")</f>
        <v>http://collections.slsa.sa.gov.au/mpcimg/53500/B53337.htm</v>
      </c>
    </row>
    <row r="10333" spans="1:11" x14ac:dyDescent="0.25">
      <c r="A10333" t="s">
        <v>32289</v>
      </c>
      <c r="B10333" s="1" t="str">
        <f>HYPERLINK("https://www.catalog.slsa.sa.gov.au/record=b2067523")</f>
        <v>https://www.catalog.slsa.sa.gov.au/record=b2067523</v>
      </c>
      <c r="C10333" s="1" t="str">
        <f>HYPERLINK("https://www.catalog.slsa.sa.gov.au/xrecord=b2067523")</f>
        <v>https://www.catalog.slsa.sa.gov.au/xrecord=b2067523</v>
      </c>
      <c r="D10333" t="s">
        <v>16831</v>
      </c>
      <c r="E10333" t="s">
        <v>32286</v>
      </c>
      <c r="F10333" t="s">
        <v>32273</v>
      </c>
      <c r="G10333" t="s">
        <v>32287</v>
      </c>
      <c r="H10333" t="s">
        <v>32290</v>
      </c>
      <c r="J10333" t="s">
        <v>16866</v>
      </c>
      <c r="K10333" s="2" t="str">
        <f>HYPERLINK("http://collections.slsa.sa.gov.au/mpcimg/53500/B53338.htm")</f>
        <v>http://collections.slsa.sa.gov.au/mpcimg/53500/B53338.htm</v>
      </c>
    </row>
    <row r="10334" spans="1:11" x14ac:dyDescent="0.25">
      <c r="A10334" t="s">
        <v>32291</v>
      </c>
      <c r="B10334" s="1" t="str">
        <f>HYPERLINK("https://www.catalog.slsa.sa.gov.au/record=b2067524")</f>
        <v>https://www.catalog.slsa.sa.gov.au/record=b2067524</v>
      </c>
      <c r="C10334" s="1" t="str">
        <f>HYPERLINK("https://www.catalog.slsa.sa.gov.au/xrecord=b2067524")</f>
        <v>https://www.catalog.slsa.sa.gov.au/xrecord=b2067524</v>
      </c>
      <c r="D10334" t="s">
        <v>16831</v>
      </c>
      <c r="E10334" t="s">
        <v>32292</v>
      </c>
      <c r="F10334" t="s">
        <v>32273</v>
      </c>
      <c r="G10334" t="s">
        <v>32287</v>
      </c>
      <c r="H10334" t="s">
        <v>32293</v>
      </c>
      <c r="J10334" t="s">
        <v>16866</v>
      </c>
      <c r="K10334" s="2" t="str">
        <f>HYPERLINK("http://collections.slsa.sa.gov.au/mpcimg/53500/B53339.htm")</f>
        <v>http://collections.slsa.sa.gov.au/mpcimg/53500/B53339.htm</v>
      </c>
    </row>
    <row r="10335" spans="1:11" x14ac:dyDescent="0.25">
      <c r="A10335" t="s">
        <v>32294</v>
      </c>
      <c r="B10335" s="1" t="str">
        <f>HYPERLINK("https://www.catalog.slsa.sa.gov.au/record=b2067525")</f>
        <v>https://www.catalog.slsa.sa.gov.au/record=b2067525</v>
      </c>
      <c r="C10335" s="1" t="str">
        <f>HYPERLINK("https://www.catalog.slsa.sa.gov.au/xrecord=b2067525")</f>
        <v>https://www.catalog.slsa.sa.gov.au/xrecord=b2067525</v>
      </c>
      <c r="D10335" t="s">
        <v>16831</v>
      </c>
      <c r="E10335" t="s">
        <v>31646</v>
      </c>
      <c r="F10335" t="s">
        <v>32273</v>
      </c>
      <c r="G10335" t="s">
        <v>32287</v>
      </c>
      <c r="H10335" t="s">
        <v>32295</v>
      </c>
      <c r="J10335" t="s">
        <v>16866</v>
      </c>
      <c r="K10335" s="2" t="str">
        <f>HYPERLINK("http://collections.slsa.sa.gov.au/mpcimg/53500/B53340.htm")</f>
        <v>http://collections.slsa.sa.gov.au/mpcimg/53500/B53340.htm</v>
      </c>
    </row>
    <row r="10336" spans="1:11" x14ac:dyDescent="0.25">
      <c r="A10336" t="s">
        <v>32296</v>
      </c>
      <c r="B10336" s="1" t="str">
        <f>HYPERLINK("https://www.catalog.slsa.sa.gov.au/record=b2067526")</f>
        <v>https://www.catalog.slsa.sa.gov.au/record=b2067526</v>
      </c>
      <c r="C10336" s="1" t="str">
        <f>HYPERLINK("https://www.catalog.slsa.sa.gov.au/xrecord=b2067526")</f>
        <v>https://www.catalog.slsa.sa.gov.au/xrecord=b2067526</v>
      </c>
      <c r="D10336" t="s">
        <v>16831</v>
      </c>
      <c r="E10336" t="s">
        <v>32297</v>
      </c>
      <c r="F10336" t="s">
        <v>32273</v>
      </c>
      <c r="G10336" t="s">
        <v>32298</v>
      </c>
      <c r="H10336" t="s">
        <v>32299</v>
      </c>
      <c r="J10336" t="s">
        <v>16866</v>
      </c>
      <c r="K10336" s="2" t="str">
        <f>HYPERLINK("http://collections.slsa.sa.gov.au/mpcimg/53500/B53341.htm")</f>
        <v>http://collections.slsa.sa.gov.au/mpcimg/53500/B53341.htm</v>
      </c>
    </row>
    <row r="10337" spans="1:11" x14ac:dyDescent="0.25">
      <c r="A10337" t="s">
        <v>32300</v>
      </c>
      <c r="B10337" s="1" t="str">
        <f>HYPERLINK("https://www.catalog.slsa.sa.gov.au/record=b2067527")</f>
        <v>https://www.catalog.slsa.sa.gov.au/record=b2067527</v>
      </c>
      <c r="C10337" s="1" t="str">
        <f>HYPERLINK("https://www.catalog.slsa.sa.gov.au/xrecord=b2067527")</f>
        <v>https://www.catalog.slsa.sa.gov.au/xrecord=b2067527</v>
      </c>
      <c r="D10337" t="s">
        <v>16831</v>
      </c>
      <c r="E10337" t="s">
        <v>32297</v>
      </c>
      <c r="F10337" t="s">
        <v>32273</v>
      </c>
      <c r="G10337" t="s">
        <v>15031</v>
      </c>
      <c r="H10337" t="s">
        <v>32301</v>
      </c>
      <c r="J10337" t="s">
        <v>16866</v>
      </c>
      <c r="K10337" s="2" t="str">
        <f>HYPERLINK("http://collections.slsa.sa.gov.au/mpcimg/53500/B53342.htm")</f>
        <v>http://collections.slsa.sa.gov.au/mpcimg/53500/B53342.htm</v>
      </c>
    </row>
    <row r="10338" spans="1:11" x14ac:dyDescent="0.25">
      <c r="A10338" t="s">
        <v>32302</v>
      </c>
      <c r="B10338" s="1" t="str">
        <f>HYPERLINK("https://www.catalog.slsa.sa.gov.au/record=b2067528")</f>
        <v>https://www.catalog.slsa.sa.gov.au/record=b2067528</v>
      </c>
      <c r="C10338" s="1" t="str">
        <f>HYPERLINK("https://www.catalog.slsa.sa.gov.au/xrecord=b2067528")</f>
        <v>https://www.catalog.slsa.sa.gov.au/xrecord=b2067528</v>
      </c>
      <c r="D10338" t="s">
        <v>16831</v>
      </c>
      <c r="E10338" t="s">
        <v>32297</v>
      </c>
      <c r="F10338" t="s">
        <v>32273</v>
      </c>
      <c r="G10338" t="s">
        <v>15031</v>
      </c>
      <c r="H10338" t="s">
        <v>32303</v>
      </c>
      <c r="J10338" t="s">
        <v>16866</v>
      </c>
      <c r="K10338" s="2" t="str">
        <f>HYPERLINK("http://collections.slsa.sa.gov.au/mpcimg/53500/B53343.htm")</f>
        <v>http://collections.slsa.sa.gov.au/mpcimg/53500/B53343.htm</v>
      </c>
    </row>
    <row r="10339" spans="1:11" x14ac:dyDescent="0.25">
      <c r="A10339" t="s">
        <v>32304</v>
      </c>
      <c r="B10339" s="1" t="str">
        <f>HYPERLINK("https://www.catalog.slsa.sa.gov.au/record=b2067530")</f>
        <v>https://www.catalog.slsa.sa.gov.au/record=b2067530</v>
      </c>
      <c r="C10339" s="1" t="str">
        <f>HYPERLINK("https://www.catalog.slsa.sa.gov.au/xrecord=b2067530")</f>
        <v>https://www.catalog.slsa.sa.gov.au/xrecord=b2067530</v>
      </c>
      <c r="D10339" t="s">
        <v>16831</v>
      </c>
      <c r="E10339" t="s">
        <v>32286</v>
      </c>
      <c r="F10339" t="s">
        <v>32273</v>
      </c>
      <c r="G10339" t="s">
        <v>15031</v>
      </c>
      <c r="H10339" t="s">
        <v>32305</v>
      </c>
      <c r="J10339" t="s">
        <v>16866</v>
      </c>
      <c r="K10339" s="2" t="str">
        <f>HYPERLINK("http://collections.slsa.sa.gov.au/mpcimg/53500/B53345.htm")</f>
        <v>http://collections.slsa.sa.gov.au/mpcimg/53500/B53345.htm</v>
      </c>
    </row>
    <row r="10340" spans="1:11" x14ac:dyDescent="0.25">
      <c r="A10340" t="s">
        <v>32306</v>
      </c>
      <c r="B10340" s="1" t="str">
        <f>HYPERLINK("https://www.catalog.slsa.sa.gov.au/record=b2067531")</f>
        <v>https://www.catalog.slsa.sa.gov.au/record=b2067531</v>
      </c>
      <c r="C10340" s="1" t="str">
        <f>HYPERLINK("https://www.catalog.slsa.sa.gov.au/xrecord=b2067531")</f>
        <v>https://www.catalog.slsa.sa.gov.au/xrecord=b2067531</v>
      </c>
      <c r="D10340" t="s">
        <v>16831</v>
      </c>
      <c r="E10340" t="s">
        <v>32286</v>
      </c>
      <c r="F10340" t="s">
        <v>32273</v>
      </c>
      <c r="G10340" t="s">
        <v>15031</v>
      </c>
      <c r="H10340" t="s">
        <v>32307</v>
      </c>
      <c r="J10340" t="s">
        <v>16866</v>
      </c>
      <c r="K10340" s="2" t="str">
        <f>HYPERLINK("http://collections.slsa.sa.gov.au/mpcimg/53500/B53346.htm")</f>
        <v>http://collections.slsa.sa.gov.au/mpcimg/53500/B53346.htm</v>
      </c>
    </row>
    <row r="10341" spans="1:11" x14ac:dyDescent="0.25">
      <c r="A10341" t="s">
        <v>32308</v>
      </c>
      <c r="B10341" s="1" t="str">
        <f>HYPERLINK("https://www.catalog.slsa.sa.gov.au/record=b2067539")</f>
        <v>https://www.catalog.slsa.sa.gov.au/record=b2067539</v>
      </c>
      <c r="C10341" s="1" t="str">
        <f>HYPERLINK("https://www.catalog.slsa.sa.gov.au/xrecord=b2067539")</f>
        <v>https://www.catalog.slsa.sa.gov.au/xrecord=b2067539</v>
      </c>
      <c r="D10341" t="s">
        <v>16831</v>
      </c>
      <c r="E10341" t="s">
        <v>31646</v>
      </c>
      <c r="F10341" t="s">
        <v>32273</v>
      </c>
      <c r="G10341" t="s">
        <v>32287</v>
      </c>
      <c r="H10341" t="s">
        <v>32309</v>
      </c>
      <c r="J10341" t="s">
        <v>16866</v>
      </c>
      <c r="K10341" s="2" t="str">
        <f>HYPERLINK("http://collections.slsa.sa.gov.au/mpcimg/53500/B53354.htm")</f>
        <v>http://collections.slsa.sa.gov.au/mpcimg/53500/B53354.htm</v>
      </c>
    </row>
    <row r="10342" spans="1:11" x14ac:dyDescent="0.25">
      <c r="A10342" t="s">
        <v>32310</v>
      </c>
      <c r="B10342" s="1" t="str">
        <f>HYPERLINK("https://www.catalog.slsa.sa.gov.au/record=b2067540")</f>
        <v>https://www.catalog.slsa.sa.gov.au/record=b2067540</v>
      </c>
      <c r="C10342" s="1" t="str">
        <f>HYPERLINK("https://www.catalog.slsa.sa.gov.au/xrecord=b2067540")</f>
        <v>https://www.catalog.slsa.sa.gov.au/xrecord=b2067540</v>
      </c>
      <c r="D10342" t="s">
        <v>16831</v>
      </c>
      <c r="E10342" t="s">
        <v>32311</v>
      </c>
      <c r="F10342" t="s">
        <v>32273</v>
      </c>
      <c r="G10342" t="s">
        <v>15031</v>
      </c>
      <c r="H10342" t="s">
        <v>32309</v>
      </c>
      <c r="J10342" t="s">
        <v>16866</v>
      </c>
      <c r="K10342" s="2" t="str">
        <f>HYPERLINK("http://collections.slsa.sa.gov.au/mpcimg/53500/B53355.htm")</f>
        <v>http://collections.slsa.sa.gov.au/mpcimg/53500/B53355.htm</v>
      </c>
    </row>
    <row r="10343" spans="1:11" x14ac:dyDescent="0.25">
      <c r="A10343" t="s">
        <v>32312</v>
      </c>
      <c r="B10343" s="1" t="str">
        <f>HYPERLINK("https://www.catalog.slsa.sa.gov.au/record=b2067541")</f>
        <v>https://www.catalog.slsa.sa.gov.au/record=b2067541</v>
      </c>
      <c r="C10343" s="1" t="str">
        <f>HYPERLINK("https://www.catalog.slsa.sa.gov.au/xrecord=b2067541")</f>
        <v>https://www.catalog.slsa.sa.gov.au/xrecord=b2067541</v>
      </c>
      <c r="D10343" t="s">
        <v>16831</v>
      </c>
      <c r="E10343" t="s">
        <v>32311</v>
      </c>
      <c r="F10343" t="s">
        <v>32273</v>
      </c>
      <c r="G10343" t="s">
        <v>15031</v>
      </c>
      <c r="H10343" t="s">
        <v>32309</v>
      </c>
      <c r="J10343" t="s">
        <v>16866</v>
      </c>
      <c r="K10343" s="2" t="str">
        <f>HYPERLINK("http://collections.slsa.sa.gov.au/mpcimg/53500/B53356.htm")</f>
        <v>http://collections.slsa.sa.gov.au/mpcimg/53500/B53356.htm</v>
      </c>
    </row>
    <row r="10344" spans="1:11" x14ac:dyDescent="0.25">
      <c r="A10344" t="s">
        <v>32313</v>
      </c>
      <c r="B10344" s="1" t="str">
        <f>HYPERLINK("https://www.catalog.slsa.sa.gov.au/record=b2067542")</f>
        <v>https://www.catalog.slsa.sa.gov.au/record=b2067542</v>
      </c>
      <c r="C10344" s="1" t="str">
        <f>HYPERLINK("https://www.catalog.slsa.sa.gov.au/xrecord=b2067542")</f>
        <v>https://www.catalog.slsa.sa.gov.au/xrecord=b2067542</v>
      </c>
      <c r="D10344" t="s">
        <v>16831</v>
      </c>
      <c r="E10344" t="s">
        <v>31646</v>
      </c>
      <c r="F10344" t="s">
        <v>32273</v>
      </c>
      <c r="G10344" t="s">
        <v>32314</v>
      </c>
      <c r="H10344" t="s">
        <v>32315</v>
      </c>
      <c r="J10344" t="s">
        <v>16866</v>
      </c>
      <c r="K10344" s="2" t="str">
        <f>HYPERLINK("http://collections.slsa.sa.gov.au/mpcimg/53500/B53357.htm")</f>
        <v>http://collections.slsa.sa.gov.au/mpcimg/53500/B53357.htm</v>
      </c>
    </row>
    <row r="10345" spans="1:11" x14ac:dyDescent="0.25">
      <c r="A10345" t="s">
        <v>32316</v>
      </c>
      <c r="B10345" s="1" t="str">
        <f>HYPERLINK("https://www.catalog.slsa.sa.gov.au/record=b2067543")</f>
        <v>https://www.catalog.slsa.sa.gov.au/record=b2067543</v>
      </c>
      <c r="C10345" s="1" t="str">
        <f>HYPERLINK("https://www.catalog.slsa.sa.gov.au/xrecord=b2067543")</f>
        <v>https://www.catalog.slsa.sa.gov.au/xrecord=b2067543</v>
      </c>
      <c r="D10345" t="s">
        <v>16831</v>
      </c>
      <c r="E10345" t="s">
        <v>31646</v>
      </c>
      <c r="F10345" t="s">
        <v>32273</v>
      </c>
      <c r="G10345" t="s">
        <v>15031</v>
      </c>
      <c r="H10345" t="s">
        <v>32315</v>
      </c>
      <c r="J10345" t="s">
        <v>16866</v>
      </c>
      <c r="K10345" s="2" t="str">
        <f>HYPERLINK("http://collections.slsa.sa.gov.au/mpcimg/53500/B53358.htm")</f>
        <v>http://collections.slsa.sa.gov.au/mpcimg/53500/B53358.htm</v>
      </c>
    </row>
    <row r="10346" spans="1:11" x14ac:dyDescent="0.25">
      <c r="A10346" t="s">
        <v>32317</v>
      </c>
      <c r="B10346" s="1" t="str">
        <f>HYPERLINK("https://www.catalog.slsa.sa.gov.au/record=b2067544")</f>
        <v>https://www.catalog.slsa.sa.gov.au/record=b2067544</v>
      </c>
      <c r="C10346" s="1" t="str">
        <f>HYPERLINK("https://www.catalog.slsa.sa.gov.au/xrecord=b2067544")</f>
        <v>https://www.catalog.slsa.sa.gov.au/xrecord=b2067544</v>
      </c>
      <c r="D10346" t="s">
        <v>16831</v>
      </c>
      <c r="E10346" t="s">
        <v>31646</v>
      </c>
      <c r="F10346" t="s">
        <v>32273</v>
      </c>
      <c r="G10346" t="s">
        <v>15031</v>
      </c>
      <c r="H10346" t="s">
        <v>32318</v>
      </c>
      <c r="J10346" t="s">
        <v>16866</v>
      </c>
      <c r="K10346" s="2" t="str">
        <f>HYPERLINK("http://collections.slsa.sa.gov.au/mpcimg/53500/B53359.htm")</f>
        <v>http://collections.slsa.sa.gov.au/mpcimg/53500/B53359.htm</v>
      </c>
    </row>
    <row r="10347" spans="1:11" x14ac:dyDescent="0.25">
      <c r="A10347" t="s">
        <v>32319</v>
      </c>
      <c r="B10347" s="1" t="str">
        <f>HYPERLINK("https://www.catalog.slsa.sa.gov.au/record=b2067545")</f>
        <v>https://www.catalog.slsa.sa.gov.au/record=b2067545</v>
      </c>
      <c r="C10347" s="1" t="str">
        <f>HYPERLINK("https://www.catalog.slsa.sa.gov.au/xrecord=b2067545")</f>
        <v>https://www.catalog.slsa.sa.gov.au/xrecord=b2067545</v>
      </c>
      <c r="D10347" t="s">
        <v>16831</v>
      </c>
      <c r="E10347" t="s">
        <v>31646</v>
      </c>
      <c r="F10347" t="s">
        <v>32273</v>
      </c>
      <c r="G10347" t="s">
        <v>15031</v>
      </c>
      <c r="H10347" t="s">
        <v>32318</v>
      </c>
      <c r="J10347" t="s">
        <v>16866</v>
      </c>
      <c r="K10347" s="2" t="str">
        <f>HYPERLINK("http://collections.slsa.sa.gov.au/mpcimg/53500/B53360.htm")</f>
        <v>http://collections.slsa.sa.gov.au/mpcimg/53500/B53360.htm</v>
      </c>
    </row>
    <row r="10348" spans="1:11" x14ac:dyDescent="0.25">
      <c r="A10348" t="s">
        <v>32320</v>
      </c>
      <c r="B10348" s="1" t="str">
        <f>HYPERLINK("https://www.catalog.slsa.sa.gov.au/record=b2067546")</f>
        <v>https://www.catalog.slsa.sa.gov.au/record=b2067546</v>
      </c>
      <c r="C10348" s="1" t="str">
        <f>HYPERLINK("https://www.catalog.slsa.sa.gov.au/xrecord=b2067546")</f>
        <v>https://www.catalog.slsa.sa.gov.au/xrecord=b2067546</v>
      </c>
      <c r="D10348" t="s">
        <v>16831</v>
      </c>
      <c r="E10348" t="s">
        <v>31646</v>
      </c>
      <c r="F10348" t="s">
        <v>32273</v>
      </c>
      <c r="G10348" t="s">
        <v>15031</v>
      </c>
      <c r="H10348" t="s">
        <v>32321</v>
      </c>
      <c r="J10348" t="s">
        <v>16866</v>
      </c>
      <c r="K10348" s="2" t="str">
        <f>HYPERLINK("http://collections.slsa.sa.gov.au/mpcimg/53500/B53361.htm")</f>
        <v>http://collections.slsa.sa.gov.au/mpcimg/53500/B53361.htm</v>
      </c>
    </row>
    <row r="10349" spans="1:11" x14ac:dyDescent="0.25">
      <c r="A10349" t="s">
        <v>32322</v>
      </c>
      <c r="B10349" s="1" t="str">
        <f>HYPERLINK("https://www.catalog.slsa.sa.gov.au/record=b2067547")</f>
        <v>https://www.catalog.slsa.sa.gov.au/record=b2067547</v>
      </c>
      <c r="C10349" s="1" t="str">
        <f>HYPERLINK("https://www.catalog.slsa.sa.gov.au/xrecord=b2067547")</f>
        <v>https://www.catalog.slsa.sa.gov.au/xrecord=b2067547</v>
      </c>
      <c r="D10349" t="s">
        <v>16831</v>
      </c>
      <c r="E10349" t="s">
        <v>31646</v>
      </c>
      <c r="F10349" t="s">
        <v>32273</v>
      </c>
      <c r="G10349" t="s">
        <v>15031</v>
      </c>
      <c r="H10349" t="s">
        <v>32323</v>
      </c>
      <c r="J10349" t="s">
        <v>16866</v>
      </c>
      <c r="K10349" s="2" t="str">
        <f>HYPERLINK("http://collections.slsa.sa.gov.au/mpcimg/53500/B53362.htm")</f>
        <v>http://collections.slsa.sa.gov.au/mpcimg/53500/B53362.htm</v>
      </c>
    </row>
    <row r="10350" spans="1:11" x14ac:dyDescent="0.25">
      <c r="A10350" t="s">
        <v>32324</v>
      </c>
      <c r="B10350" s="1" t="str">
        <f>HYPERLINK("https://www.catalog.slsa.sa.gov.au/record=b2080001")</f>
        <v>https://www.catalog.slsa.sa.gov.au/record=b2080001</v>
      </c>
      <c r="C10350" s="1" t="str">
        <f>HYPERLINK("https://www.catalog.slsa.sa.gov.au/xrecord=b2080001")</f>
        <v>https://www.catalog.slsa.sa.gov.au/xrecord=b2080001</v>
      </c>
      <c r="D10350" t="s">
        <v>16831</v>
      </c>
      <c r="E10350" t="s">
        <v>32325</v>
      </c>
      <c r="F10350" t="s">
        <v>32273</v>
      </c>
      <c r="G10350" t="s">
        <v>15269</v>
      </c>
      <c r="H10350" t="s">
        <v>32326</v>
      </c>
      <c r="I10350" t="s">
        <v>28218</v>
      </c>
      <c r="J10350" t="s">
        <v>28873</v>
      </c>
      <c r="K10350" s="2" t="str">
        <f>HYPERLINK("http://collections.slsa.sa.gov.au/mpcimg/58000/B57934.htm")</f>
        <v>http://collections.slsa.sa.gov.au/mpcimg/58000/B57934.htm</v>
      </c>
    </row>
    <row r="10351" spans="1:11" x14ac:dyDescent="0.25">
      <c r="A10351" t="s">
        <v>32327</v>
      </c>
      <c r="B10351" s="1" t="str">
        <f>HYPERLINK("https://www.catalog.slsa.sa.gov.au/record=b2080002")</f>
        <v>https://www.catalog.slsa.sa.gov.au/record=b2080002</v>
      </c>
      <c r="C10351" s="1" t="str">
        <f>HYPERLINK("https://www.catalog.slsa.sa.gov.au/xrecord=b2080002")</f>
        <v>https://www.catalog.slsa.sa.gov.au/xrecord=b2080002</v>
      </c>
      <c r="D10351" t="s">
        <v>16831</v>
      </c>
      <c r="E10351" t="s">
        <v>32328</v>
      </c>
      <c r="F10351" t="s">
        <v>32273</v>
      </c>
      <c r="G10351" t="s">
        <v>15269</v>
      </c>
      <c r="H10351" t="s">
        <v>32329</v>
      </c>
      <c r="I10351" t="s">
        <v>11017</v>
      </c>
      <c r="J10351" t="s">
        <v>24476</v>
      </c>
      <c r="K10351" s="2" t="str">
        <f>HYPERLINK("http://collections.slsa.sa.gov.au/mpcimg/58000/B57935.htm")</f>
        <v>http://collections.slsa.sa.gov.au/mpcimg/58000/B57935.htm</v>
      </c>
    </row>
    <row r="10352" spans="1:11" x14ac:dyDescent="0.25">
      <c r="A10352" t="s">
        <v>32330</v>
      </c>
      <c r="B10352" s="1" t="str">
        <f>HYPERLINK("https://www.catalog.slsa.sa.gov.au/record=b2557001")</f>
        <v>https://www.catalog.slsa.sa.gov.au/record=b2557001</v>
      </c>
      <c r="C10352" s="1" t="str">
        <f>HYPERLINK("https://www.catalog.slsa.sa.gov.au/xrecord=b2557001")</f>
        <v>https://www.catalog.slsa.sa.gov.au/xrecord=b2557001</v>
      </c>
      <c r="D10352" t="s">
        <v>16831</v>
      </c>
      <c r="E10352" t="s">
        <v>32331</v>
      </c>
      <c r="F10352" t="s">
        <v>32273</v>
      </c>
      <c r="G10352" t="s">
        <v>32332</v>
      </c>
      <c r="H10352" t="s">
        <v>32333</v>
      </c>
      <c r="I10352" t="s">
        <v>32334</v>
      </c>
      <c r="J10352" t="s">
        <v>27982</v>
      </c>
      <c r="K10352" s="2" t="str">
        <f>HYPERLINK("http://collections.slsa.sa.gov.au/resource/B+73607")</f>
        <v>http://collections.slsa.sa.gov.au/resource/B+73607</v>
      </c>
    </row>
    <row r="10353" spans="1:11" x14ac:dyDescent="0.25">
      <c r="A10353" t="s">
        <v>32335</v>
      </c>
      <c r="B10353" s="1" t="str">
        <f>HYPERLINK("https://www.catalog.slsa.sa.gov.au/record=b2927240")</f>
        <v>https://www.catalog.slsa.sa.gov.au/record=b2927240</v>
      </c>
      <c r="C10353" s="1" t="str">
        <f>HYPERLINK("https://www.catalog.slsa.sa.gov.au/xrecord=b2927240")</f>
        <v>https://www.catalog.slsa.sa.gov.au/xrecord=b2927240</v>
      </c>
      <c r="D10353" t="s">
        <v>31636</v>
      </c>
      <c r="E10353" t="s">
        <v>32336</v>
      </c>
      <c r="F10353" t="s">
        <v>32337</v>
      </c>
      <c r="G10353" t="s">
        <v>32338</v>
      </c>
      <c r="H10353" t="s">
        <v>32339</v>
      </c>
      <c r="I10353" t="s">
        <v>32340</v>
      </c>
      <c r="J10353" t="s">
        <v>32341</v>
      </c>
      <c r="K10353" s="2" t="str">
        <f>HYPERLINK("http://collections.slsa.sa.gov.au/mpcimg/73500/B73286.htm")</f>
        <v>http://collections.slsa.sa.gov.au/mpcimg/73500/B73286.htm</v>
      </c>
    </row>
    <row r="10354" spans="1:11" x14ac:dyDescent="0.25">
      <c r="A10354" t="s">
        <v>32342</v>
      </c>
      <c r="B10354" s="1" t="str">
        <f>HYPERLINK("https://www.catalog.slsa.sa.gov.au/record=b2927245")</f>
        <v>https://www.catalog.slsa.sa.gov.au/record=b2927245</v>
      </c>
      <c r="C10354" s="1" t="str">
        <f>HYPERLINK("https://www.catalog.slsa.sa.gov.au/xrecord=b2927245")</f>
        <v>https://www.catalog.slsa.sa.gov.au/xrecord=b2927245</v>
      </c>
      <c r="D10354" t="s">
        <v>31636</v>
      </c>
      <c r="E10354" t="s">
        <v>32336</v>
      </c>
      <c r="F10354" t="s">
        <v>32337</v>
      </c>
      <c r="G10354" t="s">
        <v>32343</v>
      </c>
      <c r="H10354" t="s">
        <v>32344</v>
      </c>
      <c r="I10354" t="s">
        <v>32340</v>
      </c>
      <c r="J10354" t="s">
        <v>32341</v>
      </c>
      <c r="K10354" s="2" t="str">
        <f>HYPERLINK("http://collections.slsa.sa.gov.au/mpcimg/73500/B73287.htm")</f>
        <v>http://collections.slsa.sa.gov.au/mpcimg/73500/B73287.htm</v>
      </c>
    </row>
    <row r="10355" spans="1:11" x14ac:dyDescent="0.25">
      <c r="A10355" t="s">
        <v>32345</v>
      </c>
      <c r="B10355" s="1" t="str">
        <f>HYPERLINK("https://www.catalog.slsa.sa.gov.au/record=b2927246")</f>
        <v>https://www.catalog.slsa.sa.gov.au/record=b2927246</v>
      </c>
      <c r="C10355" s="1" t="str">
        <f>HYPERLINK("https://www.catalog.slsa.sa.gov.au/xrecord=b2927246")</f>
        <v>https://www.catalog.slsa.sa.gov.au/xrecord=b2927246</v>
      </c>
      <c r="D10355" t="s">
        <v>31636</v>
      </c>
      <c r="E10355" t="s">
        <v>32336</v>
      </c>
      <c r="F10355" t="s">
        <v>32337</v>
      </c>
      <c r="G10355" t="s">
        <v>32346</v>
      </c>
      <c r="H10355" t="s">
        <v>32347</v>
      </c>
      <c r="I10355" t="s">
        <v>32340</v>
      </c>
      <c r="J10355" t="s">
        <v>32341</v>
      </c>
      <c r="K10355" s="2" t="str">
        <f>HYPERLINK("http://collections.slsa.sa.gov.au/mpcimg/73500/B73288.htm")</f>
        <v>http://collections.slsa.sa.gov.au/mpcimg/73500/B73288.htm</v>
      </c>
    </row>
    <row r="10356" spans="1:11" x14ac:dyDescent="0.25">
      <c r="A10356" t="s">
        <v>32348</v>
      </c>
      <c r="B10356" s="1" t="str">
        <f>HYPERLINK("https://www.catalog.slsa.sa.gov.au/record=b2025374")</f>
        <v>https://www.catalog.slsa.sa.gov.au/record=b2025374</v>
      </c>
      <c r="C10356" s="1" t="str">
        <f>HYPERLINK("https://www.catalog.slsa.sa.gov.au/xrecord=b2025374")</f>
        <v>https://www.catalog.slsa.sa.gov.au/xrecord=b2025374</v>
      </c>
      <c r="D10356" t="s">
        <v>16831</v>
      </c>
      <c r="E10356" t="s">
        <v>32349</v>
      </c>
      <c r="F10356">
        <v>1985</v>
      </c>
      <c r="G10356" t="s">
        <v>16312</v>
      </c>
      <c r="H10356" t="s">
        <v>32350</v>
      </c>
      <c r="I10356" t="s">
        <v>32351</v>
      </c>
      <c r="J10356" t="s">
        <v>22502</v>
      </c>
      <c r="K10356" s="2" t="str">
        <f>HYPERLINK("http://collections.slsa.sa.gov.au/mpcimg/47250/B47168.htm")</f>
        <v>http://collections.slsa.sa.gov.au/mpcimg/47250/B47168.htm</v>
      </c>
    </row>
    <row r="10357" spans="1:11" x14ac:dyDescent="0.25">
      <c r="A10357" t="s">
        <v>32352</v>
      </c>
      <c r="B10357" s="1" t="str">
        <f>HYPERLINK("https://www.catalog.slsa.sa.gov.au/record=b2025375")</f>
        <v>https://www.catalog.slsa.sa.gov.au/record=b2025375</v>
      </c>
      <c r="C10357" s="1" t="str">
        <f>HYPERLINK("https://www.catalog.slsa.sa.gov.au/xrecord=b2025375")</f>
        <v>https://www.catalog.slsa.sa.gov.au/xrecord=b2025375</v>
      </c>
      <c r="D10357" t="s">
        <v>16831</v>
      </c>
      <c r="E10357" t="s">
        <v>32349</v>
      </c>
      <c r="F10357">
        <v>1985</v>
      </c>
      <c r="G10357" t="s">
        <v>15031</v>
      </c>
      <c r="H10357" t="s">
        <v>32353</v>
      </c>
      <c r="I10357" t="s">
        <v>32351</v>
      </c>
      <c r="J10357" t="s">
        <v>22502</v>
      </c>
      <c r="K10357" s="2" t="str">
        <f>HYPERLINK("http://collections.slsa.sa.gov.au/mpcimg/47250/B47169.htm")</f>
        <v>http://collections.slsa.sa.gov.au/mpcimg/47250/B47169.htm</v>
      </c>
    </row>
    <row r="10358" spans="1:11" x14ac:dyDescent="0.25">
      <c r="A10358" t="s">
        <v>32354</v>
      </c>
      <c r="B10358" s="1" t="str">
        <f>HYPERLINK("https://www.catalog.slsa.sa.gov.au/record=b2025376")</f>
        <v>https://www.catalog.slsa.sa.gov.au/record=b2025376</v>
      </c>
      <c r="C10358" s="1" t="str">
        <f>HYPERLINK("https://www.catalog.slsa.sa.gov.au/xrecord=b2025376")</f>
        <v>https://www.catalog.slsa.sa.gov.au/xrecord=b2025376</v>
      </c>
      <c r="D10358" t="s">
        <v>16831</v>
      </c>
      <c r="E10358" t="s">
        <v>32349</v>
      </c>
      <c r="F10358">
        <v>1985</v>
      </c>
      <c r="G10358" t="s">
        <v>16312</v>
      </c>
      <c r="H10358" t="s">
        <v>32355</v>
      </c>
      <c r="I10358" t="s">
        <v>32351</v>
      </c>
      <c r="J10358" t="s">
        <v>22502</v>
      </c>
      <c r="K10358" s="2" t="str">
        <f>HYPERLINK("http://collections.slsa.sa.gov.au/mpcimg/47250/B47170.htm")</f>
        <v>http://collections.slsa.sa.gov.au/mpcimg/47250/B47170.htm</v>
      </c>
    </row>
    <row r="10359" spans="1:11" x14ac:dyDescent="0.25">
      <c r="A10359" t="s">
        <v>32356</v>
      </c>
      <c r="B10359" s="1" t="str">
        <f>HYPERLINK("https://www.catalog.slsa.sa.gov.au/record=b2025377")</f>
        <v>https://www.catalog.slsa.sa.gov.au/record=b2025377</v>
      </c>
      <c r="C10359" s="1" t="str">
        <f>HYPERLINK("https://www.catalog.slsa.sa.gov.au/xrecord=b2025377")</f>
        <v>https://www.catalog.slsa.sa.gov.au/xrecord=b2025377</v>
      </c>
      <c r="D10359" t="s">
        <v>16831</v>
      </c>
      <c r="E10359" t="s">
        <v>32349</v>
      </c>
      <c r="F10359">
        <v>1985</v>
      </c>
      <c r="G10359" t="s">
        <v>16312</v>
      </c>
      <c r="H10359" t="s">
        <v>32357</v>
      </c>
      <c r="I10359" t="s">
        <v>32351</v>
      </c>
      <c r="J10359" t="s">
        <v>22502</v>
      </c>
      <c r="K10359" s="2" t="str">
        <f>HYPERLINK("http://collections.slsa.sa.gov.au/mpcimg/47250/B47171.htm")</f>
        <v>http://collections.slsa.sa.gov.au/mpcimg/47250/B47171.htm</v>
      </c>
    </row>
    <row r="10360" spans="1:11" x14ac:dyDescent="0.25">
      <c r="A10360" t="s">
        <v>32358</v>
      </c>
      <c r="B10360" s="1" t="str">
        <f>HYPERLINK("https://www.catalog.slsa.sa.gov.au/record=b2025378")</f>
        <v>https://www.catalog.slsa.sa.gov.au/record=b2025378</v>
      </c>
      <c r="C10360" s="1" t="str">
        <f>HYPERLINK("https://www.catalog.slsa.sa.gov.au/xrecord=b2025378")</f>
        <v>https://www.catalog.slsa.sa.gov.au/xrecord=b2025378</v>
      </c>
      <c r="D10360" t="s">
        <v>16831</v>
      </c>
      <c r="E10360" t="s">
        <v>32349</v>
      </c>
      <c r="F10360">
        <v>1985</v>
      </c>
      <c r="G10360" t="s">
        <v>16312</v>
      </c>
      <c r="H10360" t="s">
        <v>32357</v>
      </c>
      <c r="I10360" t="s">
        <v>32351</v>
      </c>
      <c r="J10360" t="s">
        <v>22502</v>
      </c>
      <c r="K10360" s="2" t="str">
        <f>HYPERLINK("http://collections.slsa.sa.gov.au/mpcimg/47250/B47172.htm")</f>
        <v>http://collections.slsa.sa.gov.au/mpcimg/47250/B47172.htm</v>
      </c>
    </row>
    <row r="10361" spans="1:11" x14ac:dyDescent="0.25">
      <c r="A10361" t="s">
        <v>32359</v>
      </c>
      <c r="B10361" s="1" t="str">
        <f>HYPERLINK("https://www.catalog.slsa.sa.gov.au/record=b2025379")</f>
        <v>https://www.catalog.slsa.sa.gov.au/record=b2025379</v>
      </c>
      <c r="C10361" s="1" t="str">
        <f>HYPERLINK("https://www.catalog.slsa.sa.gov.au/xrecord=b2025379")</f>
        <v>https://www.catalog.slsa.sa.gov.au/xrecord=b2025379</v>
      </c>
      <c r="D10361" t="s">
        <v>16831</v>
      </c>
      <c r="E10361" t="s">
        <v>32349</v>
      </c>
      <c r="F10361">
        <v>1985</v>
      </c>
      <c r="G10361" t="s">
        <v>16312</v>
      </c>
      <c r="H10361" t="s">
        <v>32357</v>
      </c>
      <c r="I10361" t="s">
        <v>32351</v>
      </c>
      <c r="J10361" t="s">
        <v>22502</v>
      </c>
      <c r="K10361" s="2" t="str">
        <f>HYPERLINK("http://collections.slsa.sa.gov.au/mpcimg/47250/B47173.htm")</f>
        <v>http://collections.slsa.sa.gov.au/mpcimg/47250/B47173.htm</v>
      </c>
    </row>
    <row r="10362" spans="1:11" x14ac:dyDescent="0.25">
      <c r="A10362" t="s">
        <v>32360</v>
      </c>
      <c r="B10362" s="1" t="str">
        <f>HYPERLINK("https://www.catalog.slsa.sa.gov.au/record=b2025380")</f>
        <v>https://www.catalog.slsa.sa.gov.au/record=b2025380</v>
      </c>
      <c r="C10362" s="1" t="str">
        <f>HYPERLINK("https://www.catalog.slsa.sa.gov.au/xrecord=b2025380")</f>
        <v>https://www.catalog.slsa.sa.gov.au/xrecord=b2025380</v>
      </c>
      <c r="D10362" t="s">
        <v>16831</v>
      </c>
      <c r="E10362" t="s">
        <v>32349</v>
      </c>
      <c r="F10362">
        <v>1985</v>
      </c>
      <c r="G10362" t="s">
        <v>16312</v>
      </c>
      <c r="H10362" t="s">
        <v>32357</v>
      </c>
      <c r="I10362" t="s">
        <v>32351</v>
      </c>
      <c r="J10362" t="s">
        <v>22502</v>
      </c>
      <c r="K10362" s="2" t="str">
        <f>HYPERLINK("http://collections.slsa.sa.gov.au/mpcimg/47250/B47174.htm")</f>
        <v>http://collections.slsa.sa.gov.au/mpcimg/47250/B47174.htm</v>
      </c>
    </row>
    <row r="10363" spans="1:11" x14ac:dyDescent="0.25">
      <c r="A10363" t="s">
        <v>32361</v>
      </c>
      <c r="B10363" s="1" t="str">
        <f>HYPERLINK("https://www.catalog.slsa.sa.gov.au/record=b2025381")</f>
        <v>https://www.catalog.slsa.sa.gov.au/record=b2025381</v>
      </c>
      <c r="C10363" s="1" t="str">
        <f>HYPERLINK("https://www.catalog.slsa.sa.gov.au/xrecord=b2025381")</f>
        <v>https://www.catalog.slsa.sa.gov.au/xrecord=b2025381</v>
      </c>
      <c r="D10363" t="s">
        <v>16831</v>
      </c>
      <c r="E10363" t="s">
        <v>32349</v>
      </c>
      <c r="F10363">
        <v>1985</v>
      </c>
      <c r="G10363" t="s">
        <v>16312</v>
      </c>
      <c r="H10363" t="s">
        <v>32357</v>
      </c>
      <c r="I10363" t="s">
        <v>32351</v>
      </c>
      <c r="J10363" t="s">
        <v>22502</v>
      </c>
      <c r="K10363" s="2" t="str">
        <f>HYPERLINK("http://collections.slsa.sa.gov.au/mpcimg/47250/B47175.htm")</f>
        <v>http://collections.slsa.sa.gov.au/mpcimg/47250/B47175.htm</v>
      </c>
    </row>
    <row r="10364" spans="1:11" x14ac:dyDescent="0.25">
      <c r="A10364" t="s">
        <v>32362</v>
      </c>
      <c r="B10364" s="1" t="str">
        <f>HYPERLINK("https://www.catalog.slsa.sa.gov.au/record=b2025382")</f>
        <v>https://www.catalog.slsa.sa.gov.au/record=b2025382</v>
      </c>
      <c r="C10364" s="1" t="str">
        <f>HYPERLINK("https://www.catalog.slsa.sa.gov.au/xrecord=b2025382")</f>
        <v>https://www.catalog.slsa.sa.gov.au/xrecord=b2025382</v>
      </c>
      <c r="D10364" t="s">
        <v>16831</v>
      </c>
      <c r="E10364" t="s">
        <v>32349</v>
      </c>
      <c r="F10364">
        <v>1985</v>
      </c>
      <c r="G10364" t="s">
        <v>15031</v>
      </c>
      <c r="H10364" t="s">
        <v>32357</v>
      </c>
      <c r="I10364" t="s">
        <v>32351</v>
      </c>
      <c r="J10364" t="s">
        <v>22502</v>
      </c>
      <c r="K10364" s="2" t="str">
        <f>HYPERLINK("http://collections.slsa.sa.gov.au/mpcimg/47250/B47176.htm")</f>
        <v>http://collections.slsa.sa.gov.au/mpcimg/47250/B47176.htm</v>
      </c>
    </row>
    <row r="10365" spans="1:11" x14ac:dyDescent="0.25">
      <c r="A10365" t="s">
        <v>32363</v>
      </c>
      <c r="B10365" s="1" t="str">
        <f>HYPERLINK("https://www.catalog.slsa.sa.gov.au/record=b2025383")</f>
        <v>https://www.catalog.slsa.sa.gov.au/record=b2025383</v>
      </c>
      <c r="C10365" s="1" t="str">
        <f>HYPERLINK("https://www.catalog.slsa.sa.gov.au/xrecord=b2025383")</f>
        <v>https://www.catalog.slsa.sa.gov.au/xrecord=b2025383</v>
      </c>
      <c r="D10365" t="s">
        <v>16831</v>
      </c>
      <c r="E10365" t="s">
        <v>32349</v>
      </c>
      <c r="F10365">
        <v>1985</v>
      </c>
      <c r="G10365" t="s">
        <v>32364</v>
      </c>
      <c r="H10365" t="s">
        <v>32357</v>
      </c>
      <c r="I10365" t="s">
        <v>32351</v>
      </c>
      <c r="J10365" t="s">
        <v>22502</v>
      </c>
      <c r="K10365" s="2" t="str">
        <f>HYPERLINK("http://collections.slsa.sa.gov.au/mpcimg/47250/B47177.htm")</f>
        <v>http://collections.slsa.sa.gov.au/mpcimg/47250/B47177.htm</v>
      </c>
    </row>
    <row r="10366" spans="1:11" x14ac:dyDescent="0.25">
      <c r="A10366" t="s">
        <v>32365</v>
      </c>
      <c r="B10366" s="1" t="str">
        <f>HYPERLINK("https://www.catalog.slsa.sa.gov.au/record=b2025384")</f>
        <v>https://www.catalog.slsa.sa.gov.au/record=b2025384</v>
      </c>
      <c r="C10366" s="1" t="str">
        <f>HYPERLINK("https://www.catalog.slsa.sa.gov.au/xrecord=b2025384")</f>
        <v>https://www.catalog.slsa.sa.gov.au/xrecord=b2025384</v>
      </c>
      <c r="D10366" t="s">
        <v>16831</v>
      </c>
      <c r="E10366" t="s">
        <v>32349</v>
      </c>
      <c r="F10366">
        <v>1985</v>
      </c>
      <c r="G10366" t="s">
        <v>16312</v>
      </c>
      <c r="H10366" t="s">
        <v>32357</v>
      </c>
      <c r="I10366" t="s">
        <v>32351</v>
      </c>
      <c r="J10366" t="s">
        <v>22502</v>
      </c>
      <c r="K10366" s="2" t="str">
        <f>HYPERLINK("http://collections.slsa.sa.gov.au/mpcimg/47250/B47178.htm")</f>
        <v>http://collections.slsa.sa.gov.au/mpcimg/47250/B47178.htm</v>
      </c>
    </row>
    <row r="10367" spans="1:11" x14ac:dyDescent="0.25">
      <c r="A10367" t="s">
        <v>32366</v>
      </c>
      <c r="B10367" s="1" t="str">
        <f>HYPERLINK("https://www.catalog.slsa.sa.gov.au/record=b2025385")</f>
        <v>https://www.catalog.slsa.sa.gov.au/record=b2025385</v>
      </c>
      <c r="C10367" s="1" t="str">
        <f>HYPERLINK("https://www.catalog.slsa.sa.gov.au/xrecord=b2025385")</f>
        <v>https://www.catalog.slsa.sa.gov.au/xrecord=b2025385</v>
      </c>
      <c r="D10367" t="s">
        <v>16831</v>
      </c>
      <c r="E10367" t="s">
        <v>32349</v>
      </c>
      <c r="F10367">
        <v>1985</v>
      </c>
      <c r="G10367" t="s">
        <v>16312</v>
      </c>
      <c r="H10367" t="s">
        <v>32367</v>
      </c>
      <c r="I10367" t="s">
        <v>32351</v>
      </c>
      <c r="J10367" t="s">
        <v>22502</v>
      </c>
      <c r="K10367" s="2" t="str">
        <f>HYPERLINK("http://collections.slsa.sa.gov.au/mpcimg/47250/B47179.htm")</f>
        <v>http://collections.slsa.sa.gov.au/mpcimg/47250/B47179.htm</v>
      </c>
    </row>
    <row r="10368" spans="1:11" x14ac:dyDescent="0.25">
      <c r="A10368" t="s">
        <v>32368</v>
      </c>
      <c r="B10368" s="1" t="str">
        <f>HYPERLINK("https://www.catalog.slsa.sa.gov.au/record=b2056894")</f>
        <v>https://www.catalog.slsa.sa.gov.au/record=b2056894</v>
      </c>
      <c r="C10368" s="1" t="str">
        <f>HYPERLINK("https://www.catalog.slsa.sa.gov.au/xrecord=b2056894")</f>
        <v>https://www.catalog.slsa.sa.gov.au/xrecord=b2056894</v>
      </c>
      <c r="D10368" t="s">
        <v>16831</v>
      </c>
      <c r="E10368" t="s">
        <v>20925</v>
      </c>
      <c r="F10368">
        <v>1985</v>
      </c>
      <c r="G10368" t="s">
        <v>31802</v>
      </c>
      <c r="H10368" t="s">
        <v>32369</v>
      </c>
      <c r="J10368" t="s">
        <v>20927</v>
      </c>
      <c r="K10368" s="2" t="str">
        <f>HYPERLINK("http://collections.slsa.sa.gov.au/mpcimg/47250/B47189.htm")</f>
        <v>http://collections.slsa.sa.gov.au/mpcimg/47250/B47189.htm</v>
      </c>
    </row>
    <row r="10369" spans="1:11" x14ac:dyDescent="0.25">
      <c r="A10369" t="s">
        <v>32370</v>
      </c>
      <c r="B10369" s="1" t="str">
        <f>HYPERLINK("https://www.catalog.slsa.sa.gov.au/record=b2063744")</f>
        <v>https://www.catalog.slsa.sa.gov.au/record=b2063744</v>
      </c>
      <c r="C10369" s="1" t="str">
        <f>HYPERLINK("https://www.catalog.slsa.sa.gov.au/xrecord=b2063744")</f>
        <v>https://www.catalog.slsa.sa.gov.au/xrecord=b2063744</v>
      </c>
      <c r="D10369" t="s">
        <v>16831</v>
      </c>
      <c r="E10369" t="s">
        <v>26486</v>
      </c>
      <c r="F10369">
        <v>1985</v>
      </c>
      <c r="G10369" t="s">
        <v>18995</v>
      </c>
      <c r="H10369" t="s">
        <v>32371</v>
      </c>
      <c r="J10369" t="s">
        <v>30227</v>
      </c>
      <c r="K10369" s="2" t="str">
        <f>HYPERLINK("http://collections.slsa.sa.gov.au/mpcimg/44750/B44676.htm")</f>
        <v>http://collections.slsa.sa.gov.au/mpcimg/44750/B44676.htm</v>
      </c>
    </row>
    <row r="10370" spans="1:11" x14ac:dyDescent="0.25">
      <c r="A10370" t="s">
        <v>32372</v>
      </c>
      <c r="B10370" s="1" t="str">
        <f>HYPERLINK("https://www.catalog.slsa.sa.gov.au/record=b2066606")</f>
        <v>https://www.catalog.slsa.sa.gov.au/record=b2066606</v>
      </c>
      <c r="C10370" s="1" t="str">
        <f>HYPERLINK("https://www.catalog.slsa.sa.gov.au/xrecord=b2066606")</f>
        <v>https://www.catalog.slsa.sa.gov.au/xrecord=b2066606</v>
      </c>
      <c r="D10370" t="s">
        <v>16831</v>
      </c>
      <c r="E10370" t="s">
        <v>32373</v>
      </c>
      <c r="F10370">
        <v>1985</v>
      </c>
      <c r="G10370" t="s">
        <v>32374</v>
      </c>
      <c r="H10370" t="s">
        <v>32375</v>
      </c>
      <c r="J10370" t="s">
        <v>32009</v>
      </c>
      <c r="K10370" s="2" t="str">
        <f>HYPERLINK("http://collections.slsa.sa.gov.au/mpcimg/51000/B50769.htm")</f>
        <v>http://collections.slsa.sa.gov.au/mpcimg/51000/B50769.htm</v>
      </c>
    </row>
    <row r="10371" spans="1:11" x14ac:dyDescent="0.25">
      <c r="A10371" t="s">
        <v>32376</v>
      </c>
      <c r="B10371" s="1" t="str">
        <f>HYPERLINK("https://www.catalog.slsa.sa.gov.au/record=b2066607")</f>
        <v>https://www.catalog.slsa.sa.gov.au/record=b2066607</v>
      </c>
      <c r="C10371" s="1" t="str">
        <f>HYPERLINK("https://www.catalog.slsa.sa.gov.au/xrecord=b2066607")</f>
        <v>https://www.catalog.slsa.sa.gov.au/xrecord=b2066607</v>
      </c>
      <c r="D10371" t="s">
        <v>16831</v>
      </c>
      <c r="E10371" t="s">
        <v>32377</v>
      </c>
      <c r="F10371">
        <v>1985</v>
      </c>
      <c r="G10371" t="s">
        <v>32378</v>
      </c>
      <c r="H10371" t="s">
        <v>32379</v>
      </c>
      <c r="J10371" t="s">
        <v>32009</v>
      </c>
      <c r="K10371" s="2" t="str">
        <f>HYPERLINK("http://collections.slsa.sa.gov.au/mpcimg/51000/B50770.htm")</f>
        <v>http://collections.slsa.sa.gov.au/mpcimg/51000/B50770.htm</v>
      </c>
    </row>
    <row r="10372" spans="1:11" x14ac:dyDescent="0.25">
      <c r="A10372" t="s">
        <v>32380</v>
      </c>
      <c r="B10372" s="1" t="str">
        <f>HYPERLINK("https://www.catalog.slsa.sa.gov.au/record=b2066608")</f>
        <v>https://www.catalog.slsa.sa.gov.au/record=b2066608</v>
      </c>
      <c r="C10372" s="1" t="str">
        <f>HYPERLINK("https://www.catalog.slsa.sa.gov.au/xrecord=b2066608")</f>
        <v>https://www.catalog.slsa.sa.gov.au/xrecord=b2066608</v>
      </c>
      <c r="D10372" t="s">
        <v>16831</v>
      </c>
      <c r="E10372" t="s">
        <v>32377</v>
      </c>
      <c r="F10372">
        <v>1985</v>
      </c>
      <c r="G10372" t="s">
        <v>15031</v>
      </c>
      <c r="H10372" t="s">
        <v>32379</v>
      </c>
      <c r="J10372" t="s">
        <v>32009</v>
      </c>
      <c r="K10372" s="2" t="str">
        <f>HYPERLINK("http://collections.slsa.sa.gov.au/mpcimg/51000/B50771.htm")</f>
        <v>http://collections.slsa.sa.gov.au/mpcimg/51000/B50771.htm</v>
      </c>
    </row>
    <row r="10373" spans="1:11" x14ac:dyDescent="0.25">
      <c r="A10373" t="s">
        <v>32381</v>
      </c>
      <c r="B10373" s="1" t="str">
        <f>HYPERLINK("https://www.catalog.slsa.sa.gov.au/record=b2066609")</f>
        <v>https://www.catalog.slsa.sa.gov.au/record=b2066609</v>
      </c>
      <c r="C10373" s="1" t="str">
        <f>HYPERLINK("https://www.catalog.slsa.sa.gov.au/xrecord=b2066609")</f>
        <v>https://www.catalog.slsa.sa.gov.au/xrecord=b2066609</v>
      </c>
      <c r="D10373" t="s">
        <v>16831</v>
      </c>
      <c r="E10373" t="s">
        <v>32377</v>
      </c>
      <c r="F10373">
        <v>1985</v>
      </c>
      <c r="G10373" t="s">
        <v>32382</v>
      </c>
      <c r="H10373" t="s">
        <v>32383</v>
      </c>
      <c r="J10373" t="s">
        <v>32009</v>
      </c>
      <c r="K10373" s="2" t="str">
        <f>HYPERLINK("http://collections.slsa.sa.gov.au/mpcimg/51000/B50772.htm")</f>
        <v>http://collections.slsa.sa.gov.au/mpcimg/51000/B50772.htm</v>
      </c>
    </row>
    <row r="10374" spans="1:11" x14ac:dyDescent="0.25">
      <c r="A10374" t="s">
        <v>32384</v>
      </c>
      <c r="B10374" s="1" t="str">
        <f>HYPERLINK("https://www.catalog.slsa.sa.gov.au/record=b2066610")</f>
        <v>https://www.catalog.slsa.sa.gov.au/record=b2066610</v>
      </c>
      <c r="C10374" s="1" t="str">
        <f>HYPERLINK("https://www.catalog.slsa.sa.gov.au/xrecord=b2066610")</f>
        <v>https://www.catalog.slsa.sa.gov.au/xrecord=b2066610</v>
      </c>
      <c r="D10374" t="s">
        <v>16831</v>
      </c>
      <c r="E10374" t="s">
        <v>32272</v>
      </c>
      <c r="F10374">
        <v>1985</v>
      </c>
      <c r="G10374" t="s">
        <v>15031</v>
      </c>
      <c r="H10374" t="s">
        <v>32385</v>
      </c>
      <c r="I10374" t="s">
        <v>32386</v>
      </c>
      <c r="J10374" t="s">
        <v>32009</v>
      </c>
      <c r="K10374" s="2" t="str">
        <f>HYPERLINK("http://collections.slsa.sa.gov.au/mpcimg/51000/B50773.htm")</f>
        <v>http://collections.slsa.sa.gov.au/mpcimg/51000/B50773.htm</v>
      </c>
    </row>
    <row r="10375" spans="1:11" x14ac:dyDescent="0.25">
      <c r="A10375" t="s">
        <v>32387</v>
      </c>
      <c r="B10375" s="1" t="str">
        <f>HYPERLINK("https://www.catalog.slsa.sa.gov.au/record=b2066611")</f>
        <v>https://www.catalog.slsa.sa.gov.au/record=b2066611</v>
      </c>
      <c r="C10375" s="1" t="str">
        <f>HYPERLINK("https://www.catalog.slsa.sa.gov.au/xrecord=b2066611")</f>
        <v>https://www.catalog.slsa.sa.gov.au/xrecord=b2066611</v>
      </c>
      <c r="D10375" t="s">
        <v>16831</v>
      </c>
      <c r="E10375" t="s">
        <v>32272</v>
      </c>
      <c r="F10375">
        <v>1985</v>
      </c>
      <c r="G10375" t="s">
        <v>15031</v>
      </c>
      <c r="H10375" t="s">
        <v>32388</v>
      </c>
      <c r="I10375" t="s">
        <v>32389</v>
      </c>
      <c r="J10375" t="s">
        <v>32009</v>
      </c>
      <c r="K10375" s="2" t="str">
        <f>HYPERLINK("http://collections.slsa.sa.gov.au/mpcimg/51000/B50774.htm")</f>
        <v>http://collections.slsa.sa.gov.au/mpcimg/51000/B50774.htm</v>
      </c>
    </row>
    <row r="10376" spans="1:11" x14ac:dyDescent="0.25">
      <c r="A10376" t="s">
        <v>32390</v>
      </c>
      <c r="B10376" s="1" t="str">
        <f>HYPERLINK("https://www.catalog.slsa.sa.gov.au/record=b2066612")</f>
        <v>https://www.catalog.slsa.sa.gov.au/record=b2066612</v>
      </c>
      <c r="C10376" s="1" t="str">
        <f>HYPERLINK("https://www.catalog.slsa.sa.gov.au/xrecord=b2066612")</f>
        <v>https://www.catalog.slsa.sa.gov.au/xrecord=b2066612</v>
      </c>
      <c r="D10376" t="s">
        <v>16831</v>
      </c>
      <c r="E10376" t="s">
        <v>32391</v>
      </c>
      <c r="F10376">
        <v>1985</v>
      </c>
      <c r="G10376" t="s">
        <v>16312</v>
      </c>
      <c r="H10376" t="s">
        <v>32392</v>
      </c>
      <c r="J10376" t="s">
        <v>32009</v>
      </c>
      <c r="K10376" s="2" t="str">
        <f>HYPERLINK("http://collections.slsa.sa.gov.au/mpcimg/51000/B50775.htm")</f>
        <v>http://collections.slsa.sa.gov.au/mpcimg/51000/B50775.htm</v>
      </c>
    </row>
    <row r="10377" spans="1:11" x14ac:dyDescent="0.25">
      <c r="A10377" t="s">
        <v>32393</v>
      </c>
      <c r="B10377" s="1" t="str">
        <f>HYPERLINK("https://www.catalog.slsa.sa.gov.au/record=b2066613")</f>
        <v>https://www.catalog.slsa.sa.gov.au/record=b2066613</v>
      </c>
      <c r="C10377" s="1" t="str">
        <f>HYPERLINK("https://www.catalog.slsa.sa.gov.au/xrecord=b2066613")</f>
        <v>https://www.catalog.slsa.sa.gov.au/xrecord=b2066613</v>
      </c>
      <c r="D10377" t="s">
        <v>16831</v>
      </c>
      <c r="E10377" t="s">
        <v>32391</v>
      </c>
      <c r="F10377">
        <v>1985</v>
      </c>
      <c r="G10377" t="s">
        <v>15031</v>
      </c>
      <c r="H10377" t="s">
        <v>32394</v>
      </c>
      <c r="I10377" t="s">
        <v>32395</v>
      </c>
      <c r="J10377" t="s">
        <v>32009</v>
      </c>
      <c r="K10377" s="2" t="str">
        <f>HYPERLINK("http://collections.slsa.sa.gov.au/mpcimg/51000/B50776.htm")</f>
        <v>http://collections.slsa.sa.gov.au/mpcimg/51000/B50776.htm</v>
      </c>
    </row>
    <row r="10378" spans="1:11" x14ac:dyDescent="0.25">
      <c r="A10378" t="s">
        <v>32396</v>
      </c>
      <c r="B10378" s="1" t="str">
        <f>HYPERLINK("https://www.catalog.slsa.sa.gov.au/record=b2066614")</f>
        <v>https://www.catalog.slsa.sa.gov.au/record=b2066614</v>
      </c>
      <c r="C10378" s="1" t="str">
        <f>HYPERLINK("https://www.catalog.slsa.sa.gov.au/xrecord=b2066614")</f>
        <v>https://www.catalog.slsa.sa.gov.au/xrecord=b2066614</v>
      </c>
      <c r="D10378" t="s">
        <v>16831</v>
      </c>
      <c r="E10378" t="s">
        <v>32397</v>
      </c>
      <c r="F10378">
        <v>1985</v>
      </c>
      <c r="G10378" t="s">
        <v>15031</v>
      </c>
      <c r="H10378" t="s">
        <v>32398</v>
      </c>
      <c r="I10378" t="s">
        <v>32389</v>
      </c>
      <c r="J10378" t="s">
        <v>32009</v>
      </c>
      <c r="K10378" s="2" t="str">
        <f>HYPERLINK("http://collections.slsa.sa.gov.au/mpcimg/51000/B50777.htm")</f>
        <v>http://collections.slsa.sa.gov.au/mpcimg/51000/B50777.htm</v>
      </c>
    </row>
    <row r="10379" spans="1:11" x14ac:dyDescent="0.25">
      <c r="A10379" t="s">
        <v>32399</v>
      </c>
      <c r="B10379" s="1" t="str">
        <f>HYPERLINK("https://www.catalog.slsa.sa.gov.au/record=b2066615")</f>
        <v>https://www.catalog.slsa.sa.gov.au/record=b2066615</v>
      </c>
      <c r="C10379" s="1" t="str">
        <f>HYPERLINK("https://www.catalog.slsa.sa.gov.au/xrecord=b2066615")</f>
        <v>https://www.catalog.slsa.sa.gov.au/xrecord=b2066615</v>
      </c>
      <c r="D10379" t="s">
        <v>16831</v>
      </c>
      <c r="E10379" t="s">
        <v>32400</v>
      </c>
      <c r="F10379">
        <v>1985</v>
      </c>
      <c r="G10379" t="s">
        <v>15031</v>
      </c>
      <c r="H10379" t="s">
        <v>32401</v>
      </c>
      <c r="I10379" t="s">
        <v>32386</v>
      </c>
      <c r="J10379" t="s">
        <v>32009</v>
      </c>
      <c r="K10379" s="2" t="str">
        <f>HYPERLINK("http://collections.slsa.sa.gov.au/mpcimg/51000/B50778.htm")</f>
        <v>http://collections.slsa.sa.gov.au/mpcimg/51000/B50778.htm</v>
      </c>
    </row>
    <row r="10380" spans="1:11" x14ac:dyDescent="0.25">
      <c r="A10380" t="s">
        <v>32402</v>
      </c>
      <c r="B10380" s="1" t="str">
        <f>HYPERLINK("https://www.catalog.slsa.sa.gov.au/record=b2066616")</f>
        <v>https://www.catalog.slsa.sa.gov.au/record=b2066616</v>
      </c>
      <c r="C10380" s="1" t="str">
        <f>HYPERLINK("https://www.catalog.slsa.sa.gov.au/xrecord=b2066616")</f>
        <v>https://www.catalog.slsa.sa.gov.au/xrecord=b2066616</v>
      </c>
      <c r="D10380" t="s">
        <v>16831</v>
      </c>
      <c r="E10380" t="s">
        <v>32403</v>
      </c>
      <c r="F10380">
        <v>1985</v>
      </c>
      <c r="G10380" t="s">
        <v>15031</v>
      </c>
      <c r="H10380" t="s">
        <v>32404</v>
      </c>
      <c r="I10380" t="s">
        <v>32389</v>
      </c>
      <c r="J10380" t="s">
        <v>32009</v>
      </c>
      <c r="K10380" s="2" t="str">
        <f>HYPERLINK("http://collections.slsa.sa.gov.au/mpcimg/51000/B50779.htm")</f>
        <v>http://collections.slsa.sa.gov.au/mpcimg/51000/B50779.htm</v>
      </c>
    </row>
    <row r="10381" spans="1:11" x14ac:dyDescent="0.25">
      <c r="A10381" t="s">
        <v>32405</v>
      </c>
      <c r="B10381" s="1" t="str">
        <f>HYPERLINK("https://www.catalog.slsa.sa.gov.au/record=b2066617")</f>
        <v>https://www.catalog.slsa.sa.gov.au/record=b2066617</v>
      </c>
      <c r="C10381" s="1" t="str">
        <f>HYPERLINK("https://www.catalog.slsa.sa.gov.au/xrecord=b2066617")</f>
        <v>https://www.catalog.slsa.sa.gov.au/xrecord=b2066617</v>
      </c>
      <c r="D10381" t="s">
        <v>16831</v>
      </c>
      <c r="E10381" t="s">
        <v>32403</v>
      </c>
      <c r="F10381">
        <v>1985</v>
      </c>
      <c r="G10381" t="s">
        <v>15031</v>
      </c>
      <c r="H10381" t="s">
        <v>32401</v>
      </c>
      <c r="I10381" t="s">
        <v>32386</v>
      </c>
      <c r="J10381" t="s">
        <v>32009</v>
      </c>
      <c r="K10381" s="2" t="str">
        <f>HYPERLINK("http://collections.slsa.sa.gov.au/mpcimg/51000/B50780.htm")</f>
        <v>http://collections.slsa.sa.gov.au/mpcimg/51000/B50780.htm</v>
      </c>
    </row>
    <row r="10382" spans="1:11" x14ac:dyDescent="0.25">
      <c r="A10382" t="s">
        <v>32406</v>
      </c>
      <c r="B10382" s="1" t="str">
        <f>HYPERLINK("https://www.catalog.slsa.sa.gov.au/record=b2066618")</f>
        <v>https://www.catalog.slsa.sa.gov.au/record=b2066618</v>
      </c>
      <c r="C10382" s="1" t="str">
        <f>HYPERLINK("https://www.catalog.slsa.sa.gov.au/xrecord=b2066618")</f>
        <v>https://www.catalog.slsa.sa.gov.au/xrecord=b2066618</v>
      </c>
      <c r="D10382" t="s">
        <v>16831</v>
      </c>
      <c r="E10382" t="s">
        <v>32403</v>
      </c>
      <c r="F10382">
        <v>1985</v>
      </c>
      <c r="G10382" t="s">
        <v>15031</v>
      </c>
      <c r="H10382" t="s">
        <v>32407</v>
      </c>
      <c r="I10382" t="s">
        <v>32389</v>
      </c>
      <c r="J10382" t="s">
        <v>32009</v>
      </c>
      <c r="K10382" s="2" t="str">
        <f>HYPERLINK("http://collections.slsa.sa.gov.au/mpcimg/51000/B50781.htm")</f>
        <v>http://collections.slsa.sa.gov.au/mpcimg/51000/B50781.htm</v>
      </c>
    </row>
    <row r="10383" spans="1:11" x14ac:dyDescent="0.25">
      <c r="A10383" t="s">
        <v>32408</v>
      </c>
      <c r="B10383" s="1" t="str">
        <f>HYPERLINK("https://www.catalog.slsa.sa.gov.au/record=b2066619")</f>
        <v>https://www.catalog.slsa.sa.gov.au/record=b2066619</v>
      </c>
      <c r="C10383" s="1" t="str">
        <f>HYPERLINK("https://www.catalog.slsa.sa.gov.au/xrecord=b2066619")</f>
        <v>https://www.catalog.slsa.sa.gov.au/xrecord=b2066619</v>
      </c>
      <c r="D10383" t="s">
        <v>16831</v>
      </c>
      <c r="E10383" t="s">
        <v>32403</v>
      </c>
      <c r="F10383">
        <v>1985</v>
      </c>
      <c r="G10383" t="s">
        <v>15031</v>
      </c>
      <c r="H10383" t="s">
        <v>32401</v>
      </c>
      <c r="I10383" t="s">
        <v>32389</v>
      </c>
      <c r="J10383" t="s">
        <v>32009</v>
      </c>
      <c r="K10383" s="2" t="str">
        <f>HYPERLINK("http://collections.slsa.sa.gov.au/mpcimg/51000/B50782.htm")</f>
        <v>http://collections.slsa.sa.gov.au/mpcimg/51000/B50782.htm</v>
      </c>
    </row>
    <row r="10384" spans="1:11" x14ac:dyDescent="0.25">
      <c r="A10384" t="s">
        <v>32409</v>
      </c>
      <c r="B10384" s="1" t="str">
        <f>HYPERLINK("https://www.catalog.slsa.sa.gov.au/record=b2066620")</f>
        <v>https://www.catalog.slsa.sa.gov.au/record=b2066620</v>
      </c>
      <c r="C10384" s="1" t="str">
        <f>HYPERLINK("https://www.catalog.slsa.sa.gov.au/xrecord=b2066620")</f>
        <v>https://www.catalog.slsa.sa.gov.au/xrecord=b2066620</v>
      </c>
      <c r="D10384" t="s">
        <v>16831</v>
      </c>
      <c r="E10384" t="s">
        <v>32410</v>
      </c>
      <c r="F10384">
        <v>1985</v>
      </c>
      <c r="G10384" t="s">
        <v>15031</v>
      </c>
      <c r="H10384" t="s">
        <v>32411</v>
      </c>
      <c r="I10384" t="s">
        <v>32386</v>
      </c>
      <c r="J10384" t="s">
        <v>32009</v>
      </c>
      <c r="K10384" s="2" t="str">
        <f>HYPERLINK("http://collections.slsa.sa.gov.au/mpcimg/51000/B50783.htm")</f>
        <v>http://collections.slsa.sa.gov.au/mpcimg/51000/B50783.htm</v>
      </c>
    </row>
    <row r="10385" spans="1:11" x14ac:dyDescent="0.25">
      <c r="A10385" t="s">
        <v>32412</v>
      </c>
      <c r="B10385" s="1" t="str">
        <f>HYPERLINK("https://www.catalog.slsa.sa.gov.au/record=b2066624")</f>
        <v>https://www.catalog.slsa.sa.gov.au/record=b2066624</v>
      </c>
      <c r="C10385" s="1" t="str">
        <f>HYPERLINK("https://www.catalog.slsa.sa.gov.au/xrecord=b2066624")</f>
        <v>https://www.catalog.slsa.sa.gov.au/xrecord=b2066624</v>
      </c>
      <c r="D10385" t="s">
        <v>16831</v>
      </c>
      <c r="E10385" t="s">
        <v>32403</v>
      </c>
      <c r="F10385">
        <v>1985</v>
      </c>
      <c r="G10385" t="s">
        <v>31802</v>
      </c>
      <c r="H10385" t="s">
        <v>32413</v>
      </c>
      <c r="I10385" t="s">
        <v>32386</v>
      </c>
      <c r="J10385" t="s">
        <v>32009</v>
      </c>
      <c r="K10385" s="2" t="str">
        <f>HYPERLINK("http://collections.slsa.sa.gov.au/mpcimg/51000/B50792.htm")</f>
        <v>http://collections.slsa.sa.gov.au/mpcimg/51000/B50792.htm</v>
      </c>
    </row>
    <row r="10386" spans="1:11" x14ac:dyDescent="0.25">
      <c r="A10386" t="s">
        <v>32414</v>
      </c>
      <c r="B10386" s="1" t="str">
        <f>HYPERLINK("https://www.catalog.slsa.sa.gov.au/record=b2066625")</f>
        <v>https://www.catalog.slsa.sa.gov.au/record=b2066625</v>
      </c>
      <c r="C10386" s="1" t="str">
        <f>HYPERLINK("https://www.catalog.slsa.sa.gov.au/xrecord=b2066625")</f>
        <v>https://www.catalog.slsa.sa.gov.au/xrecord=b2066625</v>
      </c>
      <c r="D10386" t="s">
        <v>16831</v>
      </c>
      <c r="E10386" t="s">
        <v>32400</v>
      </c>
      <c r="F10386">
        <v>1985</v>
      </c>
      <c r="G10386" t="s">
        <v>15031</v>
      </c>
      <c r="H10386" t="s">
        <v>32415</v>
      </c>
      <c r="I10386" t="s">
        <v>32389</v>
      </c>
      <c r="J10386" t="s">
        <v>32009</v>
      </c>
      <c r="K10386" s="2" t="str">
        <f>HYPERLINK("http://collections.slsa.sa.gov.au/mpcimg/51000/B50793.htm")</f>
        <v>http://collections.slsa.sa.gov.au/mpcimg/51000/B50793.htm</v>
      </c>
    </row>
    <row r="10387" spans="1:11" x14ac:dyDescent="0.25">
      <c r="A10387" t="s">
        <v>32416</v>
      </c>
      <c r="B10387" s="1" t="str">
        <f>HYPERLINK("https://www.catalog.slsa.sa.gov.au/record=b2066626")</f>
        <v>https://www.catalog.slsa.sa.gov.au/record=b2066626</v>
      </c>
      <c r="C10387" s="1" t="str">
        <f>HYPERLINK("https://www.catalog.slsa.sa.gov.au/xrecord=b2066626")</f>
        <v>https://www.catalog.slsa.sa.gov.au/xrecord=b2066626</v>
      </c>
      <c r="D10387" t="s">
        <v>16831</v>
      </c>
      <c r="E10387" t="s">
        <v>32403</v>
      </c>
      <c r="F10387">
        <v>1985</v>
      </c>
      <c r="G10387" t="s">
        <v>15031</v>
      </c>
      <c r="H10387" t="s">
        <v>32417</v>
      </c>
      <c r="I10387" t="s">
        <v>32386</v>
      </c>
      <c r="J10387" t="s">
        <v>32009</v>
      </c>
      <c r="K10387" s="2" t="str">
        <f>HYPERLINK("http://collections.slsa.sa.gov.au/mpcimg/51000/B50794.htm")</f>
        <v>http://collections.slsa.sa.gov.au/mpcimg/51000/B50794.htm</v>
      </c>
    </row>
    <row r="10388" spans="1:11" x14ac:dyDescent="0.25">
      <c r="A10388" t="s">
        <v>32418</v>
      </c>
      <c r="B10388" s="1" t="str">
        <f>HYPERLINK("https://www.catalog.slsa.sa.gov.au/record=b2066627")</f>
        <v>https://www.catalog.slsa.sa.gov.au/record=b2066627</v>
      </c>
      <c r="C10388" s="1" t="str">
        <f>HYPERLINK("https://www.catalog.slsa.sa.gov.au/xrecord=b2066627")</f>
        <v>https://www.catalog.slsa.sa.gov.au/xrecord=b2066627</v>
      </c>
      <c r="D10388" t="s">
        <v>16831</v>
      </c>
      <c r="E10388" t="s">
        <v>32419</v>
      </c>
      <c r="F10388">
        <v>1985</v>
      </c>
      <c r="G10388" t="s">
        <v>15031</v>
      </c>
      <c r="H10388" t="s">
        <v>32420</v>
      </c>
      <c r="I10388" t="s">
        <v>32386</v>
      </c>
      <c r="J10388" t="s">
        <v>32009</v>
      </c>
      <c r="K10388" s="2" t="str">
        <f>HYPERLINK("http://collections.slsa.sa.gov.au/mpcimg/51000/B50795.htm")</f>
        <v>http://collections.slsa.sa.gov.au/mpcimg/51000/B50795.htm</v>
      </c>
    </row>
    <row r="10389" spans="1:11" x14ac:dyDescent="0.25">
      <c r="A10389" t="s">
        <v>32421</v>
      </c>
      <c r="B10389" s="1" t="str">
        <f>HYPERLINK("https://www.catalog.slsa.sa.gov.au/record=b2066628")</f>
        <v>https://www.catalog.slsa.sa.gov.au/record=b2066628</v>
      </c>
      <c r="C10389" s="1" t="str">
        <f>HYPERLINK("https://www.catalog.slsa.sa.gov.au/xrecord=b2066628")</f>
        <v>https://www.catalog.slsa.sa.gov.au/xrecord=b2066628</v>
      </c>
      <c r="D10389" t="s">
        <v>16831</v>
      </c>
      <c r="E10389" t="s">
        <v>32419</v>
      </c>
      <c r="F10389">
        <v>1985</v>
      </c>
      <c r="G10389" t="s">
        <v>15031</v>
      </c>
      <c r="H10389" t="s">
        <v>32422</v>
      </c>
      <c r="I10389" t="s">
        <v>32389</v>
      </c>
      <c r="J10389" t="s">
        <v>32009</v>
      </c>
      <c r="K10389" s="2" t="str">
        <f>HYPERLINK("http://collections.slsa.sa.gov.au/mpcimg/51000/B50796.htm")</f>
        <v>http://collections.slsa.sa.gov.au/mpcimg/51000/B50796.htm</v>
      </c>
    </row>
    <row r="10390" spans="1:11" x14ac:dyDescent="0.25">
      <c r="A10390" t="s">
        <v>32423</v>
      </c>
      <c r="B10390" s="1" t="str">
        <f>HYPERLINK("https://www.catalog.slsa.sa.gov.au/record=b2066629")</f>
        <v>https://www.catalog.slsa.sa.gov.au/record=b2066629</v>
      </c>
      <c r="C10390" s="1" t="str">
        <f>HYPERLINK("https://www.catalog.slsa.sa.gov.au/xrecord=b2066629")</f>
        <v>https://www.catalog.slsa.sa.gov.au/xrecord=b2066629</v>
      </c>
      <c r="D10390" t="s">
        <v>16831</v>
      </c>
      <c r="E10390" t="s">
        <v>32424</v>
      </c>
      <c r="F10390">
        <v>1985</v>
      </c>
      <c r="G10390" t="s">
        <v>15031</v>
      </c>
      <c r="H10390" t="s">
        <v>32425</v>
      </c>
      <c r="I10390" t="s">
        <v>32426</v>
      </c>
      <c r="J10390" t="s">
        <v>32009</v>
      </c>
      <c r="K10390" s="2" t="str">
        <f>HYPERLINK("http://collections.slsa.sa.gov.au/mpcimg/51000/B50797.htm")</f>
        <v>http://collections.slsa.sa.gov.au/mpcimg/51000/B50797.htm</v>
      </c>
    </row>
    <row r="10391" spans="1:11" x14ac:dyDescent="0.25">
      <c r="A10391" t="s">
        <v>32427</v>
      </c>
      <c r="B10391" s="1" t="str">
        <f>HYPERLINK("https://www.catalog.slsa.sa.gov.au/record=b2066630")</f>
        <v>https://www.catalog.slsa.sa.gov.au/record=b2066630</v>
      </c>
      <c r="C10391" s="1" t="str">
        <f>HYPERLINK("https://www.catalog.slsa.sa.gov.au/xrecord=b2066630")</f>
        <v>https://www.catalog.slsa.sa.gov.au/xrecord=b2066630</v>
      </c>
      <c r="D10391" t="s">
        <v>16831</v>
      </c>
      <c r="E10391" t="s">
        <v>32403</v>
      </c>
      <c r="F10391">
        <v>1985</v>
      </c>
      <c r="G10391" t="s">
        <v>15031</v>
      </c>
      <c r="H10391" t="s">
        <v>32401</v>
      </c>
      <c r="I10391" t="s">
        <v>32389</v>
      </c>
      <c r="J10391" t="s">
        <v>32009</v>
      </c>
      <c r="K10391" s="2" t="str">
        <f>HYPERLINK("http://collections.slsa.sa.gov.au/mpcimg/51000/B50798.htm")</f>
        <v>http://collections.slsa.sa.gov.au/mpcimg/51000/B50798.htm</v>
      </c>
    </row>
    <row r="10392" spans="1:11" x14ac:dyDescent="0.25">
      <c r="A10392" t="s">
        <v>32428</v>
      </c>
      <c r="B10392" s="1" t="str">
        <f>HYPERLINK("https://www.catalog.slsa.sa.gov.au/record=b2066631")</f>
        <v>https://www.catalog.slsa.sa.gov.au/record=b2066631</v>
      </c>
      <c r="C10392" s="1" t="str">
        <f>HYPERLINK("https://www.catalog.slsa.sa.gov.au/xrecord=b2066631")</f>
        <v>https://www.catalog.slsa.sa.gov.au/xrecord=b2066631</v>
      </c>
      <c r="D10392" t="s">
        <v>16831</v>
      </c>
      <c r="E10392" t="s">
        <v>32272</v>
      </c>
      <c r="F10392">
        <v>1985</v>
      </c>
      <c r="G10392" t="s">
        <v>15031</v>
      </c>
      <c r="H10392" t="s">
        <v>32429</v>
      </c>
      <c r="I10392" t="s">
        <v>32389</v>
      </c>
      <c r="J10392" t="s">
        <v>32009</v>
      </c>
      <c r="K10392" s="2" t="str">
        <f>HYPERLINK("http://collections.slsa.sa.gov.au/mpcimg/51000/B50799.htm")</f>
        <v>http://collections.slsa.sa.gov.au/mpcimg/51000/B50799.htm</v>
      </c>
    </row>
    <row r="10393" spans="1:11" x14ac:dyDescent="0.25">
      <c r="A10393" t="s">
        <v>32430</v>
      </c>
      <c r="B10393" s="1" t="str">
        <f>HYPERLINK("https://www.catalog.slsa.sa.gov.au/record=b2066632")</f>
        <v>https://www.catalog.slsa.sa.gov.au/record=b2066632</v>
      </c>
      <c r="C10393" s="1" t="str">
        <f>HYPERLINK("https://www.catalog.slsa.sa.gov.au/xrecord=b2066632")</f>
        <v>https://www.catalog.slsa.sa.gov.au/xrecord=b2066632</v>
      </c>
      <c r="D10393" t="s">
        <v>16831</v>
      </c>
      <c r="E10393" t="s">
        <v>32403</v>
      </c>
      <c r="F10393">
        <v>1985</v>
      </c>
      <c r="G10393" t="s">
        <v>15031</v>
      </c>
      <c r="H10393" t="s">
        <v>32431</v>
      </c>
      <c r="I10393" t="s">
        <v>32389</v>
      </c>
      <c r="J10393" t="s">
        <v>32009</v>
      </c>
      <c r="K10393" s="2" t="str">
        <f>HYPERLINK("http://collections.slsa.sa.gov.au/mpcimg/51000/B50800.htm")</f>
        <v>http://collections.slsa.sa.gov.au/mpcimg/51000/B50800.htm</v>
      </c>
    </row>
    <row r="10394" spans="1:11" x14ac:dyDescent="0.25">
      <c r="A10394" t="s">
        <v>32432</v>
      </c>
      <c r="B10394" s="1" t="str">
        <f>HYPERLINK("https://www.catalog.slsa.sa.gov.au/record=b2066633")</f>
        <v>https://www.catalog.slsa.sa.gov.au/record=b2066633</v>
      </c>
      <c r="C10394" s="1" t="str">
        <f>HYPERLINK("https://www.catalog.slsa.sa.gov.au/xrecord=b2066633")</f>
        <v>https://www.catalog.slsa.sa.gov.au/xrecord=b2066633</v>
      </c>
      <c r="D10394" t="s">
        <v>16831</v>
      </c>
      <c r="E10394" t="s">
        <v>32403</v>
      </c>
      <c r="F10394">
        <v>1985</v>
      </c>
      <c r="G10394" t="s">
        <v>15031</v>
      </c>
      <c r="H10394" t="s">
        <v>32433</v>
      </c>
      <c r="I10394" t="s">
        <v>32386</v>
      </c>
      <c r="J10394" t="s">
        <v>32009</v>
      </c>
      <c r="K10394" s="2" t="str">
        <f>HYPERLINK("http://collections.slsa.sa.gov.au/mpcimg/51000/B50801.htm")</f>
        <v>http://collections.slsa.sa.gov.au/mpcimg/51000/B50801.htm</v>
      </c>
    </row>
    <row r="10395" spans="1:11" x14ac:dyDescent="0.25">
      <c r="A10395" t="s">
        <v>32434</v>
      </c>
      <c r="B10395" s="1" t="str">
        <f>HYPERLINK("https://www.catalog.slsa.sa.gov.au/record=b2066634")</f>
        <v>https://www.catalog.slsa.sa.gov.au/record=b2066634</v>
      </c>
      <c r="C10395" s="1" t="str">
        <f>HYPERLINK("https://www.catalog.slsa.sa.gov.au/xrecord=b2066634")</f>
        <v>https://www.catalog.slsa.sa.gov.au/xrecord=b2066634</v>
      </c>
      <c r="D10395" t="s">
        <v>16831</v>
      </c>
      <c r="E10395" t="s">
        <v>32435</v>
      </c>
      <c r="F10395">
        <v>1985</v>
      </c>
      <c r="G10395" t="s">
        <v>15031</v>
      </c>
      <c r="H10395" t="s">
        <v>32436</v>
      </c>
      <c r="J10395" t="s">
        <v>32009</v>
      </c>
      <c r="K10395" s="2" t="str">
        <f>HYPERLINK("http://collections.slsa.sa.gov.au/mpcimg/51000/B50802.htm")</f>
        <v>http://collections.slsa.sa.gov.au/mpcimg/51000/B50802.htm</v>
      </c>
    </row>
    <row r="10396" spans="1:11" x14ac:dyDescent="0.25">
      <c r="A10396" t="s">
        <v>32437</v>
      </c>
      <c r="B10396" s="1" t="str">
        <f>HYPERLINK("https://www.catalog.slsa.sa.gov.au/record=b2066635")</f>
        <v>https://www.catalog.slsa.sa.gov.au/record=b2066635</v>
      </c>
      <c r="C10396" s="1" t="str">
        <f>HYPERLINK("https://www.catalog.slsa.sa.gov.au/xrecord=b2066635")</f>
        <v>https://www.catalog.slsa.sa.gov.au/xrecord=b2066635</v>
      </c>
      <c r="D10396" t="s">
        <v>16831</v>
      </c>
      <c r="E10396" t="s">
        <v>32438</v>
      </c>
      <c r="F10396">
        <v>1985</v>
      </c>
      <c r="G10396" t="s">
        <v>15031</v>
      </c>
      <c r="H10396" t="s">
        <v>32401</v>
      </c>
      <c r="I10396" t="s">
        <v>32389</v>
      </c>
      <c r="J10396" t="s">
        <v>32009</v>
      </c>
      <c r="K10396" s="2" t="str">
        <f>HYPERLINK("http://collections.slsa.sa.gov.au/mpcimg/51000/B50803.htm")</f>
        <v>http://collections.slsa.sa.gov.au/mpcimg/51000/B50803.htm</v>
      </c>
    </row>
    <row r="10397" spans="1:11" x14ac:dyDescent="0.25">
      <c r="A10397" t="s">
        <v>32439</v>
      </c>
      <c r="B10397" s="1" t="str">
        <f>HYPERLINK("https://www.catalog.slsa.sa.gov.au/record=b2066636")</f>
        <v>https://www.catalog.slsa.sa.gov.au/record=b2066636</v>
      </c>
      <c r="C10397" s="1" t="str">
        <f>HYPERLINK("https://www.catalog.slsa.sa.gov.au/xrecord=b2066636")</f>
        <v>https://www.catalog.slsa.sa.gov.au/xrecord=b2066636</v>
      </c>
      <c r="D10397" t="s">
        <v>16831</v>
      </c>
      <c r="E10397" t="s">
        <v>32403</v>
      </c>
      <c r="F10397">
        <v>1985</v>
      </c>
      <c r="G10397" t="s">
        <v>32440</v>
      </c>
      <c r="H10397" t="s">
        <v>32401</v>
      </c>
      <c r="I10397" t="s">
        <v>32389</v>
      </c>
      <c r="J10397" t="s">
        <v>32009</v>
      </c>
      <c r="K10397" s="2" t="str">
        <f>HYPERLINK("http://collections.slsa.sa.gov.au/mpcimg/51000/B50804.htm")</f>
        <v>http://collections.slsa.sa.gov.au/mpcimg/51000/B50804.htm</v>
      </c>
    </row>
    <row r="10398" spans="1:11" x14ac:dyDescent="0.25">
      <c r="A10398" t="s">
        <v>32441</v>
      </c>
      <c r="B10398" s="1" t="str">
        <f>HYPERLINK("https://www.catalog.slsa.sa.gov.au/record=b2066637")</f>
        <v>https://www.catalog.slsa.sa.gov.au/record=b2066637</v>
      </c>
      <c r="C10398" s="1" t="str">
        <f>HYPERLINK("https://www.catalog.slsa.sa.gov.au/xrecord=b2066637")</f>
        <v>https://www.catalog.slsa.sa.gov.au/xrecord=b2066637</v>
      </c>
      <c r="D10398" t="s">
        <v>16831</v>
      </c>
      <c r="E10398" t="s">
        <v>32391</v>
      </c>
      <c r="F10398">
        <v>1985</v>
      </c>
      <c r="G10398" t="s">
        <v>15031</v>
      </c>
      <c r="H10398" t="s">
        <v>32442</v>
      </c>
      <c r="I10398" t="s">
        <v>32395</v>
      </c>
      <c r="J10398" t="s">
        <v>32009</v>
      </c>
      <c r="K10398" s="2" t="str">
        <f>HYPERLINK("http://collections.slsa.sa.gov.au/mpcimg/51000/B50805.htm")</f>
        <v>http://collections.slsa.sa.gov.au/mpcimg/51000/B50805.htm</v>
      </c>
    </row>
    <row r="10399" spans="1:11" x14ac:dyDescent="0.25">
      <c r="A10399" t="s">
        <v>32443</v>
      </c>
      <c r="B10399" s="1" t="str">
        <f>HYPERLINK("https://www.catalog.slsa.sa.gov.au/record=b2066638")</f>
        <v>https://www.catalog.slsa.sa.gov.au/record=b2066638</v>
      </c>
      <c r="C10399" s="1" t="str">
        <f>HYPERLINK("https://www.catalog.slsa.sa.gov.au/xrecord=b2066638")</f>
        <v>https://www.catalog.slsa.sa.gov.au/xrecord=b2066638</v>
      </c>
      <c r="D10399" t="s">
        <v>16831</v>
      </c>
      <c r="E10399" t="s">
        <v>32444</v>
      </c>
      <c r="F10399">
        <v>1985</v>
      </c>
      <c r="G10399" t="s">
        <v>16312</v>
      </c>
      <c r="H10399" t="s">
        <v>32445</v>
      </c>
      <c r="J10399" t="s">
        <v>32009</v>
      </c>
      <c r="K10399" s="2" t="str">
        <f>HYPERLINK("http://collections.slsa.sa.gov.au/mpcimg/51000/B50806.htm")</f>
        <v>http://collections.slsa.sa.gov.au/mpcimg/51000/B50806.htm</v>
      </c>
    </row>
    <row r="10400" spans="1:11" x14ac:dyDescent="0.25">
      <c r="A10400" t="s">
        <v>32446</v>
      </c>
      <c r="B10400" s="1" t="str">
        <f>HYPERLINK("https://www.catalog.slsa.sa.gov.au/record=b2066639")</f>
        <v>https://www.catalog.slsa.sa.gov.au/record=b2066639</v>
      </c>
      <c r="C10400" s="1" t="str">
        <f>HYPERLINK("https://www.catalog.slsa.sa.gov.au/xrecord=b2066639")</f>
        <v>https://www.catalog.slsa.sa.gov.au/xrecord=b2066639</v>
      </c>
      <c r="D10400" t="s">
        <v>16831</v>
      </c>
      <c r="E10400" t="s">
        <v>32403</v>
      </c>
      <c r="F10400">
        <v>1985</v>
      </c>
      <c r="G10400" t="s">
        <v>15031</v>
      </c>
      <c r="H10400" t="s">
        <v>32447</v>
      </c>
      <c r="I10400" t="s">
        <v>32389</v>
      </c>
      <c r="J10400" t="s">
        <v>32009</v>
      </c>
      <c r="K10400" s="2" t="str">
        <f>HYPERLINK("http://collections.slsa.sa.gov.au/mpcimg/51000/B50807.htm")</f>
        <v>http://collections.slsa.sa.gov.au/mpcimg/51000/B50807.htm</v>
      </c>
    </row>
    <row r="10401" spans="1:11" x14ac:dyDescent="0.25">
      <c r="A10401" t="s">
        <v>32448</v>
      </c>
      <c r="B10401" s="1" t="str">
        <f>HYPERLINK("https://www.catalog.slsa.sa.gov.au/record=b2066640")</f>
        <v>https://www.catalog.slsa.sa.gov.au/record=b2066640</v>
      </c>
      <c r="C10401" s="1" t="str">
        <f>HYPERLINK("https://www.catalog.slsa.sa.gov.au/xrecord=b2066640")</f>
        <v>https://www.catalog.slsa.sa.gov.au/xrecord=b2066640</v>
      </c>
      <c r="D10401" t="s">
        <v>16831</v>
      </c>
      <c r="E10401" t="s">
        <v>32400</v>
      </c>
      <c r="F10401">
        <v>1985</v>
      </c>
      <c r="G10401" t="s">
        <v>15031</v>
      </c>
      <c r="H10401" t="s">
        <v>32449</v>
      </c>
      <c r="I10401" t="s">
        <v>32389</v>
      </c>
      <c r="J10401" t="s">
        <v>32009</v>
      </c>
      <c r="K10401" s="2" t="str">
        <f>HYPERLINK("http://collections.slsa.sa.gov.au/mpcimg/51000/B50808.htm")</f>
        <v>http://collections.slsa.sa.gov.au/mpcimg/51000/B50808.htm</v>
      </c>
    </row>
    <row r="10402" spans="1:11" x14ac:dyDescent="0.25">
      <c r="A10402" t="s">
        <v>32450</v>
      </c>
      <c r="B10402" s="1" t="str">
        <f>HYPERLINK("https://www.catalog.slsa.sa.gov.au/record=b2066641")</f>
        <v>https://www.catalog.slsa.sa.gov.au/record=b2066641</v>
      </c>
      <c r="C10402" s="1" t="str">
        <f>HYPERLINK("https://www.catalog.slsa.sa.gov.au/xrecord=b2066641")</f>
        <v>https://www.catalog.slsa.sa.gov.au/xrecord=b2066641</v>
      </c>
      <c r="D10402" t="s">
        <v>16831</v>
      </c>
      <c r="E10402" t="s">
        <v>32403</v>
      </c>
      <c r="F10402">
        <v>1985</v>
      </c>
      <c r="G10402" t="s">
        <v>15031</v>
      </c>
      <c r="H10402" t="s">
        <v>32451</v>
      </c>
      <c r="I10402" t="s">
        <v>32389</v>
      </c>
      <c r="J10402" t="s">
        <v>32009</v>
      </c>
      <c r="K10402" s="2" t="str">
        <f>HYPERLINK("http://collections.slsa.sa.gov.au/mpcimg/51000/B50809.htm")</f>
        <v>http://collections.slsa.sa.gov.au/mpcimg/51000/B50809.htm</v>
      </c>
    </row>
    <row r="10403" spans="1:11" x14ac:dyDescent="0.25">
      <c r="A10403" t="s">
        <v>32452</v>
      </c>
      <c r="B10403" s="1" t="str">
        <f>HYPERLINK("https://www.catalog.slsa.sa.gov.au/record=b2066642")</f>
        <v>https://www.catalog.slsa.sa.gov.au/record=b2066642</v>
      </c>
      <c r="C10403" s="1" t="str">
        <f>HYPERLINK("https://www.catalog.slsa.sa.gov.au/xrecord=b2066642")</f>
        <v>https://www.catalog.slsa.sa.gov.au/xrecord=b2066642</v>
      </c>
      <c r="D10403" t="s">
        <v>16831</v>
      </c>
      <c r="E10403" t="s">
        <v>32403</v>
      </c>
      <c r="F10403">
        <v>1985</v>
      </c>
      <c r="G10403" t="s">
        <v>15031</v>
      </c>
      <c r="H10403" t="s">
        <v>32401</v>
      </c>
      <c r="I10403" t="s">
        <v>32389</v>
      </c>
      <c r="J10403" t="s">
        <v>32009</v>
      </c>
      <c r="K10403" s="2" t="str">
        <f>HYPERLINK("http://collections.slsa.sa.gov.au/mpcimg/51000/B50810.htm")</f>
        <v>http://collections.slsa.sa.gov.au/mpcimg/51000/B50810.htm</v>
      </c>
    </row>
    <row r="10404" spans="1:11" x14ac:dyDescent="0.25">
      <c r="A10404" t="s">
        <v>32453</v>
      </c>
      <c r="B10404" s="1" t="str">
        <f>HYPERLINK("https://www.catalog.slsa.sa.gov.au/record=b2066643")</f>
        <v>https://www.catalog.slsa.sa.gov.au/record=b2066643</v>
      </c>
      <c r="C10404" s="1" t="str">
        <f>HYPERLINK("https://www.catalog.slsa.sa.gov.au/xrecord=b2066643")</f>
        <v>https://www.catalog.slsa.sa.gov.au/xrecord=b2066643</v>
      </c>
      <c r="D10404" t="s">
        <v>16831</v>
      </c>
      <c r="E10404" t="s">
        <v>32403</v>
      </c>
      <c r="F10404">
        <v>1985</v>
      </c>
      <c r="G10404" t="s">
        <v>15031</v>
      </c>
      <c r="H10404" t="s">
        <v>32454</v>
      </c>
      <c r="I10404" t="s">
        <v>32386</v>
      </c>
      <c r="J10404" t="s">
        <v>32009</v>
      </c>
      <c r="K10404" s="2" t="str">
        <f>HYPERLINK("http://collections.slsa.sa.gov.au/mpcimg/51000/B50811.htm")</f>
        <v>http://collections.slsa.sa.gov.au/mpcimg/51000/B50811.htm</v>
      </c>
    </row>
    <row r="10405" spans="1:11" x14ac:dyDescent="0.25">
      <c r="A10405" t="s">
        <v>32455</v>
      </c>
      <c r="B10405" s="1" t="str">
        <f>HYPERLINK("https://www.catalog.slsa.sa.gov.au/record=b2066644")</f>
        <v>https://www.catalog.slsa.sa.gov.au/record=b2066644</v>
      </c>
      <c r="C10405" s="1" t="str">
        <f>HYPERLINK("https://www.catalog.slsa.sa.gov.au/xrecord=b2066644")</f>
        <v>https://www.catalog.slsa.sa.gov.au/xrecord=b2066644</v>
      </c>
      <c r="D10405" t="s">
        <v>16831</v>
      </c>
      <c r="E10405" t="s">
        <v>32403</v>
      </c>
      <c r="F10405">
        <v>1985</v>
      </c>
      <c r="G10405" t="s">
        <v>15031</v>
      </c>
      <c r="H10405" t="s">
        <v>32456</v>
      </c>
      <c r="I10405" t="s">
        <v>32386</v>
      </c>
      <c r="J10405" t="s">
        <v>32009</v>
      </c>
      <c r="K10405" s="2" t="str">
        <f>HYPERLINK("http://collections.slsa.sa.gov.au/mpcimg/51000/B50812.htm")</f>
        <v>http://collections.slsa.sa.gov.au/mpcimg/51000/B50812.htm</v>
      </c>
    </row>
    <row r="10406" spans="1:11" x14ac:dyDescent="0.25">
      <c r="A10406" t="s">
        <v>32457</v>
      </c>
      <c r="B10406" s="1" t="str">
        <f>HYPERLINK("https://www.catalog.slsa.sa.gov.au/record=b2066645")</f>
        <v>https://www.catalog.slsa.sa.gov.au/record=b2066645</v>
      </c>
      <c r="C10406" s="1" t="str">
        <f>HYPERLINK("https://www.catalog.slsa.sa.gov.au/xrecord=b2066645")</f>
        <v>https://www.catalog.slsa.sa.gov.au/xrecord=b2066645</v>
      </c>
      <c r="D10406" t="s">
        <v>16831</v>
      </c>
      <c r="E10406" t="s">
        <v>32403</v>
      </c>
      <c r="F10406">
        <v>1985</v>
      </c>
      <c r="G10406" t="s">
        <v>32458</v>
      </c>
      <c r="H10406" t="s">
        <v>32459</v>
      </c>
      <c r="I10406" t="s">
        <v>32389</v>
      </c>
      <c r="J10406" t="s">
        <v>32009</v>
      </c>
      <c r="K10406" s="2" t="str">
        <f>HYPERLINK("http://collections.slsa.sa.gov.au/mpcimg/51000/B50813.htm")</f>
        <v>http://collections.slsa.sa.gov.au/mpcimg/51000/B50813.htm</v>
      </c>
    </row>
    <row r="10407" spans="1:11" x14ac:dyDescent="0.25">
      <c r="A10407" t="s">
        <v>32460</v>
      </c>
      <c r="B10407" s="1" t="str">
        <f>HYPERLINK("https://www.catalog.slsa.sa.gov.au/record=b2066646")</f>
        <v>https://www.catalog.slsa.sa.gov.au/record=b2066646</v>
      </c>
      <c r="C10407" s="1" t="str">
        <f>HYPERLINK("https://www.catalog.slsa.sa.gov.au/xrecord=b2066646")</f>
        <v>https://www.catalog.slsa.sa.gov.au/xrecord=b2066646</v>
      </c>
      <c r="D10407" t="s">
        <v>16831</v>
      </c>
      <c r="E10407" t="s">
        <v>32400</v>
      </c>
      <c r="F10407">
        <v>1985</v>
      </c>
      <c r="G10407" t="s">
        <v>32458</v>
      </c>
      <c r="H10407" t="s">
        <v>32461</v>
      </c>
      <c r="I10407" t="s">
        <v>32389</v>
      </c>
      <c r="J10407" t="s">
        <v>32009</v>
      </c>
      <c r="K10407" s="2" t="str">
        <f>HYPERLINK("http://collections.slsa.sa.gov.au/mpcimg/51000/B50814.htm")</f>
        <v>http://collections.slsa.sa.gov.au/mpcimg/51000/B50814.htm</v>
      </c>
    </row>
    <row r="10408" spans="1:11" x14ac:dyDescent="0.25">
      <c r="A10408" t="s">
        <v>32462</v>
      </c>
      <c r="B10408" s="1" t="str">
        <f>HYPERLINK("https://www.catalog.slsa.sa.gov.au/record=b2066647")</f>
        <v>https://www.catalog.slsa.sa.gov.au/record=b2066647</v>
      </c>
      <c r="C10408" s="1" t="str">
        <f>HYPERLINK("https://www.catalog.slsa.sa.gov.au/xrecord=b2066647")</f>
        <v>https://www.catalog.slsa.sa.gov.au/xrecord=b2066647</v>
      </c>
      <c r="D10408" t="s">
        <v>16831</v>
      </c>
      <c r="E10408" t="s">
        <v>32400</v>
      </c>
      <c r="F10408">
        <v>1985</v>
      </c>
      <c r="G10408" t="s">
        <v>32463</v>
      </c>
      <c r="H10408" t="s">
        <v>32464</v>
      </c>
      <c r="I10408" t="s">
        <v>32389</v>
      </c>
      <c r="J10408" t="s">
        <v>32009</v>
      </c>
      <c r="K10408" s="2" t="str">
        <f>HYPERLINK("http://collections.slsa.sa.gov.au/mpcimg/51000/B50815.htm")</f>
        <v>http://collections.slsa.sa.gov.au/mpcimg/51000/B50815.htm</v>
      </c>
    </row>
    <row r="10409" spans="1:11" x14ac:dyDescent="0.25">
      <c r="A10409" t="s">
        <v>32465</v>
      </c>
      <c r="B10409" s="1" t="str">
        <f>HYPERLINK("https://www.catalog.slsa.sa.gov.au/record=b2066648")</f>
        <v>https://www.catalog.slsa.sa.gov.au/record=b2066648</v>
      </c>
      <c r="C10409" s="1" t="str">
        <f>HYPERLINK("https://www.catalog.slsa.sa.gov.au/xrecord=b2066648")</f>
        <v>https://www.catalog.slsa.sa.gov.au/xrecord=b2066648</v>
      </c>
      <c r="D10409" t="s">
        <v>16831</v>
      </c>
      <c r="E10409" t="s">
        <v>32403</v>
      </c>
      <c r="F10409">
        <v>1985</v>
      </c>
      <c r="G10409" t="s">
        <v>15031</v>
      </c>
      <c r="H10409" t="s">
        <v>32466</v>
      </c>
      <c r="I10409" t="s">
        <v>32389</v>
      </c>
      <c r="J10409" t="s">
        <v>32009</v>
      </c>
      <c r="K10409" s="2" t="str">
        <f>HYPERLINK("http://collections.slsa.sa.gov.au/mpcimg/51000/B50816.htm")</f>
        <v>http://collections.slsa.sa.gov.au/mpcimg/51000/B50816.htm</v>
      </c>
    </row>
    <row r="10410" spans="1:11" x14ac:dyDescent="0.25">
      <c r="A10410" t="s">
        <v>32467</v>
      </c>
      <c r="B10410" s="1" t="str">
        <f>HYPERLINK("https://www.catalog.slsa.sa.gov.au/record=b2066649")</f>
        <v>https://www.catalog.slsa.sa.gov.au/record=b2066649</v>
      </c>
      <c r="C10410" s="1" t="str">
        <f>HYPERLINK("https://www.catalog.slsa.sa.gov.au/xrecord=b2066649")</f>
        <v>https://www.catalog.slsa.sa.gov.au/xrecord=b2066649</v>
      </c>
      <c r="D10410" t="s">
        <v>16831</v>
      </c>
      <c r="E10410" t="s">
        <v>32468</v>
      </c>
      <c r="F10410">
        <v>1985</v>
      </c>
      <c r="G10410" t="s">
        <v>15031</v>
      </c>
      <c r="H10410" t="s">
        <v>32469</v>
      </c>
      <c r="I10410" t="s">
        <v>32386</v>
      </c>
      <c r="J10410" t="s">
        <v>32009</v>
      </c>
      <c r="K10410" s="2" t="str">
        <f>HYPERLINK("http://collections.slsa.sa.gov.au/mpcimg/51000/B50817.htm")</f>
        <v>http://collections.slsa.sa.gov.au/mpcimg/51000/B50817.htm</v>
      </c>
    </row>
    <row r="10411" spans="1:11" x14ac:dyDescent="0.25">
      <c r="A10411" t="s">
        <v>32470</v>
      </c>
      <c r="B10411" s="1" t="str">
        <f>HYPERLINK("https://www.catalog.slsa.sa.gov.au/record=b2066650")</f>
        <v>https://www.catalog.slsa.sa.gov.au/record=b2066650</v>
      </c>
      <c r="C10411" s="1" t="str">
        <f>HYPERLINK("https://www.catalog.slsa.sa.gov.au/xrecord=b2066650")</f>
        <v>https://www.catalog.slsa.sa.gov.au/xrecord=b2066650</v>
      </c>
      <c r="D10411" t="s">
        <v>16831</v>
      </c>
      <c r="E10411" t="s">
        <v>32468</v>
      </c>
      <c r="F10411">
        <v>1985</v>
      </c>
      <c r="G10411" t="s">
        <v>15031</v>
      </c>
      <c r="H10411" t="s">
        <v>32471</v>
      </c>
      <c r="I10411" t="s">
        <v>32389</v>
      </c>
      <c r="J10411" t="s">
        <v>32009</v>
      </c>
      <c r="K10411" s="2" t="str">
        <f>HYPERLINK("http://collections.slsa.sa.gov.au/mpcimg/51000/B50818.htm")</f>
        <v>http://collections.slsa.sa.gov.au/mpcimg/51000/B50818.htm</v>
      </c>
    </row>
    <row r="10412" spans="1:11" x14ac:dyDescent="0.25">
      <c r="A10412" t="s">
        <v>32472</v>
      </c>
      <c r="B10412" s="1" t="str">
        <f>HYPERLINK("https://www.catalog.slsa.sa.gov.au/record=b2066651")</f>
        <v>https://www.catalog.slsa.sa.gov.au/record=b2066651</v>
      </c>
      <c r="C10412" s="1" t="str">
        <f>HYPERLINK("https://www.catalog.slsa.sa.gov.au/xrecord=b2066651")</f>
        <v>https://www.catalog.slsa.sa.gov.au/xrecord=b2066651</v>
      </c>
      <c r="D10412" t="s">
        <v>16831</v>
      </c>
      <c r="E10412" t="s">
        <v>32403</v>
      </c>
      <c r="F10412">
        <v>1985</v>
      </c>
      <c r="G10412" t="s">
        <v>15031</v>
      </c>
      <c r="H10412" t="s">
        <v>32473</v>
      </c>
      <c r="I10412" t="s">
        <v>32386</v>
      </c>
      <c r="J10412" t="s">
        <v>32009</v>
      </c>
      <c r="K10412" s="2" t="str">
        <f>HYPERLINK("http://collections.slsa.sa.gov.au/mpcimg/51000/B50819.htm")</f>
        <v>http://collections.slsa.sa.gov.au/mpcimg/51000/B50819.htm</v>
      </c>
    </row>
    <row r="10413" spans="1:11" x14ac:dyDescent="0.25">
      <c r="A10413" t="s">
        <v>32474</v>
      </c>
      <c r="B10413" s="1" t="str">
        <f>HYPERLINK("https://www.catalog.slsa.sa.gov.au/record=b2066652")</f>
        <v>https://www.catalog.slsa.sa.gov.au/record=b2066652</v>
      </c>
      <c r="C10413" s="1" t="str">
        <f>HYPERLINK("https://www.catalog.slsa.sa.gov.au/xrecord=b2066652")</f>
        <v>https://www.catalog.slsa.sa.gov.au/xrecord=b2066652</v>
      </c>
      <c r="D10413" t="s">
        <v>16831</v>
      </c>
      <c r="E10413" t="s">
        <v>32475</v>
      </c>
      <c r="F10413">
        <v>1985</v>
      </c>
      <c r="G10413" t="s">
        <v>15031</v>
      </c>
      <c r="H10413" t="s">
        <v>32476</v>
      </c>
      <c r="J10413" t="s">
        <v>32009</v>
      </c>
      <c r="K10413" s="2" t="str">
        <f>HYPERLINK("http://collections.slsa.sa.gov.au/mpcimg/51000/B50820.htm")</f>
        <v>http://collections.slsa.sa.gov.au/mpcimg/51000/B50820.htm</v>
      </c>
    </row>
    <row r="10414" spans="1:11" x14ac:dyDescent="0.25">
      <c r="A10414" t="s">
        <v>32477</v>
      </c>
      <c r="B10414" s="1" t="str">
        <f>HYPERLINK("https://www.catalog.slsa.sa.gov.au/record=b2066653")</f>
        <v>https://www.catalog.slsa.sa.gov.au/record=b2066653</v>
      </c>
      <c r="C10414" s="1" t="str">
        <f>HYPERLINK("https://www.catalog.slsa.sa.gov.au/xrecord=b2066653")</f>
        <v>https://www.catalog.slsa.sa.gov.au/xrecord=b2066653</v>
      </c>
      <c r="D10414" t="s">
        <v>16831</v>
      </c>
      <c r="E10414" t="s">
        <v>32475</v>
      </c>
      <c r="F10414">
        <v>1985</v>
      </c>
      <c r="G10414" t="s">
        <v>15031</v>
      </c>
      <c r="H10414" t="s">
        <v>32478</v>
      </c>
      <c r="I10414" t="s">
        <v>32479</v>
      </c>
      <c r="J10414" t="s">
        <v>32009</v>
      </c>
      <c r="K10414" s="2" t="str">
        <f>HYPERLINK("http://collections.slsa.sa.gov.au/mpcimg/51000/B50821.htm")</f>
        <v>http://collections.slsa.sa.gov.au/mpcimg/51000/B50821.htm</v>
      </c>
    </row>
    <row r="10415" spans="1:11" x14ac:dyDescent="0.25">
      <c r="A10415" t="s">
        <v>32480</v>
      </c>
      <c r="B10415" s="1" t="str">
        <f>HYPERLINK("https://www.catalog.slsa.sa.gov.au/record=b2066654")</f>
        <v>https://www.catalog.slsa.sa.gov.au/record=b2066654</v>
      </c>
      <c r="C10415" s="1" t="str">
        <f>HYPERLINK("https://www.catalog.slsa.sa.gov.au/xrecord=b2066654")</f>
        <v>https://www.catalog.slsa.sa.gov.au/xrecord=b2066654</v>
      </c>
      <c r="D10415" t="s">
        <v>16831</v>
      </c>
      <c r="E10415" t="s">
        <v>32475</v>
      </c>
      <c r="F10415">
        <v>1985</v>
      </c>
      <c r="G10415" t="s">
        <v>15031</v>
      </c>
      <c r="H10415" t="s">
        <v>32481</v>
      </c>
      <c r="J10415" t="s">
        <v>32009</v>
      </c>
      <c r="K10415" s="2" t="str">
        <f>HYPERLINK("http://collections.slsa.sa.gov.au/mpcimg/51000/B50822.htm")</f>
        <v>http://collections.slsa.sa.gov.au/mpcimg/51000/B50822.htm</v>
      </c>
    </row>
    <row r="10416" spans="1:11" x14ac:dyDescent="0.25">
      <c r="A10416" t="s">
        <v>32482</v>
      </c>
      <c r="B10416" s="1" t="str">
        <f>HYPERLINK("https://www.catalog.slsa.sa.gov.au/record=b2066655")</f>
        <v>https://www.catalog.slsa.sa.gov.au/record=b2066655</v>
      </c>
      <c r="C10416" s="1" t="str">
        <f>HYPERLINK("https://www.catalog.slsa.sa.gov.au/xrecord=b2066655")</f>
        <v>https://www.catalog.slsa.sa.gov.au/xrecord=b2066655</v>
      </c>
      <c r="D10416" t="s">
        <v>16831</v>
      </c>
      <c r="E10416" t="s">
        <v>32475</v>
      </c>
      <c r="F10416">
        <v>1985</v>
      </c>
      <c r="G10416" t="s">
        <v>15031</v>
      </c>
      <c r="H10416" t="s">
        <v>32483</v>
      </c>
      <c r="I10416" t="s">
        <v>32479</v>
      </c>
      <c r="J10416" t="s">
        <v>32009</v>
      </c>
      <c r="K10416" s="2" t="str">
        <f>HYPERLINK("http://collections.slsa.sa.gov.au/mpcimg/51000/B50823.htm")</f>
        <v>http://collections.slsa.sa.gov.au/mpcimg/51000/B50823.htm</v>
      </c>
    </row>
    <row r="10417" spans="1:11" x14ac:dyDescent="0.25">
      <c r="A10417" t="s">
        <v>32484</v>
      </c>
      <c r="B10417" s="1" t="str">
        <f>HYPERLINK("https://www.catalog.slsa.sa.gov.au/record=b2066656")</f>
        <v>https://www.catalog.slsa.sa.gov.au/record=b2066656</v>
      </c>
      <c r="C10417" s="1" t="str">
        <f>HYPERLINK("https://www.catalog.slsa.sa.gov.au/xrecord=b2066656")</f>
        <v>https://www.catalog.slsa.sa.gov.au/xrecord=b2066656</v>
      </c>
      <c r="D10417" t="s">
        <v>16831</v>
      </c>
      <c r="E10417" t="s">
        <v>32475</v>
      </c>
      <c r="F10417">
        <v>1985</v>
      </c>
      <c r="G10417" t="s">
        <v>15031</v>
      </c>
      <c r="H10417" t="s">
        <v>32485</v>
      </c>
      <c r="I10417" t="s">
        <v>32479</v>
      </c>
      <c r="J10417" t="s">
        <v>32009</v>
      </c>
      <c r="K10417" s="2" t="str">
        <f>HYPERLINK("http://collections.slsa.sa.gov.au/mpcimg/51000/B50824.htm")</f>
        <v>http://collections.slsa.sa.gov.au/mpcimg/51000/B50824.htm</v>
      </c>
    </row>
    <row r="10418" spans="1:11" x14ac:dyDescent="0.25">
      <c r="A10418" t="s">
        <v>32486</v>
      </c>
      <c r="B10418" s="1" t="str">
        <f>HYPERLINK("https://www.catalog.slsa.sa.gov.au/record=b2066657")</f>
        <v>https://www.catalog.slsa.sa.gov.au/record=b2066657</v>
      </c>
      <c r="C10418" s="1" t="str">
        <f>HYPERLINK("https://www.catalog.slsa.sa.gov.au/xrecord=b2066657")</f>
        <v>https://www.catalog.slsa.sa.gov.au/xrecord=b2066657</v>
      </c>
      <c r="D10418" t="s">
        <v>16831</v>
      </c>
      <c r="E10418" t="s">
        <v>32475</v>
      </c>
      <c r="F10418">
        <v>1985</v>
      </c>
      <c r="G10418" t="s">
        <v>15031</v>
      </c>
      <c r="H10418" t="s">
        <v>32487</v>
      </c>
      <c r="I10418" t="s">
        <v>32395</v>
      </c>
      <c r="J10418" t="s">
        <v>32009</v>
      </c>
      <c r="K10418" s="2" t="str">
        <f>HYPERLINK("http://collections.slsa.sa.gov.au/mpcimg/51000/B50825.htm")</f>
        <v>http://collections.slsa.sa.gov.au/mpcimg/51000/B50825.htm</v>
      </c>
    </row>
    <row r="10419" spans="1:11" x14ac:dyDescent="0.25">
      <c r="A10419" t="s">
        <v>32488</v>
      </c>
      <c r="B10419" s="1" t="str">
        <f>HYPERLINK("https://www.catalog.slsa.sa.gov.au/record=b2066658")</f>
        <v>https://www.catalog.slsa.sa.gov.au/record=b2066658</v>
      </c>
      <c r="C10419" s="1" t="str">
        <f>HYPERLINK("https://www.catalog.slsa.sa.gov.au/xrecord=b2066658")</f>
        <v>https://www.catalog.slsa.sa.gov.au/xrecord=b2066658</v>
      </c>
      <c r="D10419" t="s">
        <v>16831</v>
      </c>
      <c r="E10419" t="s">
        <v>32489</v>
      </c>
      <c r="F10419">
        <v>1985</v>
      </c>
      <c r="G10419" t="s">
        <v>32458</v>
      </c>
      <c r="H10419" t="s">
        <v>32490</v>
      </c>
      <c r="I10419" t="s">
        <v>32395</v>
      </c>
      <c r="J10419" t="s">
        <v>32009</v>
      </c>
      <c r="K10419" s="2" t="str">
        <f>HYPERLINK("http://collections.slsa.sa.gov.au/mpcimg/51000/B50826.htm")</f>
        <v>http://collections.slsa.sa.gov.au/mpcimg/51000/B50826.htm</v>
      </c>
    </row>
    <row r="10420" spans="1:11" x14ac:dyDescent="0.25">
      <c r="A10420" t="s">
        <v>32491</v>
      </c>
      <c r="B10420" s="1" t="str">
        <f>HYPERLINK("https://www.catalog.slsa.sa.gov.au/record=b2066659")</f>
        <v>https://www.catalog.slsa.sa.gov.au/record=b2066659</v>
      </c>
      <c r="C10420" s="1" t="str">
        <f>HYPERLINK("https://www.catalog.slsa.sa.gov.au/xrecord=b2066659")</f>
        <v>https://www.catalog.slsa.sa.gov.au/xrecord=b2066659</v>
      </c>
      <c r="D10420" t="s">
        <v>16831</v>
      </c>
      <c r="E10420" t="s">
        <v>32492</v>
      </c>
      <c r="F10420">
        <v>1985</v>
      </c>
      <c r="G10420" t="s">
        <v>15031</v>
      </c>
      <c r="H10420" t="s">
        <v>32493</v>
      </c>
      <c r="I10420" t="s">
        <v>32395</v>
      </c>
      <c r="J10420" t="s">
        <v>32009</v>
      </c>
      <c r="K10420" s="2" t="str">
        <f>HYPERLINK("http://collections.slsa.sa.gov.au/mpcimg/51000/B50827.htm")</f>
        <v>http://collections.slsa.sa.gov.au/mpcimg/51000/B50827.htm</v>
      </c>
    </row>
    <row r="10421" spans="1:11" x14ac:dyDescent="0.25">
      <c r="A10421" t="s">
        <v>32494</v>
      </c>
      <c r="B10421" s="1" t="str">
        <f>HYPERLINK("https://www.catalog.slsa.sa.gov.au/record=b2066660")</f>
        <v>https://www.catalog.slsa.sa.gov.au/record=b2066660</v>
      </c>
      <c r="C10421" s="1" t="str">
        <f>HYPERLINK("https://www.catalog.slsa.sa.gov.au/xrecord=b2066660")</f>
        <v>https://www.catalog.slsa.sa.gov.au/xrecord=b2066660</v>
      </c>
      <c r="D10421" t="s">
        <v>16831</v>
      </c>
      <c r="E10421" t="s">
        <v>32475</v>
      </c>
      <c r="F10421">
        <v>1985</v>
      </c>
      <c r="G10421" t="s">
        <v>15031</v>
      </c>
      <c r="H10421" t="s">
        <v>32495</v>
      </c>
      <c r="I10421" t="s">
        <v>32395</v>
      </c>
      <c r="J10421" t="s">
        <v>32009</v>
      </c>
      <c r="K10421" s="2" t="str">
        <f>HYPERLINK("http://collections.slsa.sa.gov.au/mpcimg/51000/B50828.htm")</f>
        <v>http://collections.slsa.sa.gov.au/mpcimg/51000/B50828.htm</v>
      </c>
    </row>
    <row r="10422" spans="1:11" x14ac:dyDescent="0.25">
      <c r="A10422" t="s">
        <v>32496</v>
      </c>
      <c r="B10422" s="1" t="str">
        <f>HYPERLINK("https://www.catalog.slsa.sa.gov.au/record=b2066661")</f>
        <v>https://www.catalog.slsa.sa.gov.au/record=b2066661</v>
      </c>
      <c r="C10422" s="1" t="str">
        <f>HYPERLINK("https://www.catalog.slsa.sa.gov.au/xrecord=b2066661")</f>
        <v>https://www.catalog.slsa.sa.gov.au/xrecord=b2066661</v>
      </c>
      <c r="D10422" t="s">
        <v>16831</v>
      </c>
      <c r="E10422" t="s">
        <v>32475</v>
      </c>
      <c r="F10422">
        <v>1985</v>
      </c>
      <c r="G10422" t="s">
        <v>15031</v>
      </c>
      <c r="H10422" t="s">
        <v>32497</v>
      </c>
      <c r="I10422" t="s">
        <v>32395</v>
      </c>
      <c r="J10422" t="s">
        <v>32009</v>
      </c>
      <c r="K10422" s="2" t="str">
        <f>HYPERLINK("http://collections.slsa.sa.gov.au/mpcimg/51000/B50829.htm")</f>
        <v>http://collections.slsa.sa.gov.au/mpcimg/51000/B50829.htm</v>
      </c>
    </row>
    <row r="10423" spans="1:11" x14ac:dyDescent="0.25">
      <c r="A10423" t="s">
        <v>32498</v>
      </c>
      <c r="B10423" s="1" t="str">
        <f>HYPERLINK("https://www.catalog.slsa.sa.gov.au/record=b2066662")</f>
        <v>https://www.catalog.slsa.sa.gov.au/record=b2066662</v>
      </c>
      <c r="C10423" s="1" t="str">
        <f>HYPERLINK("https://www.catalog.slsa.sa.gov.au/xrecord=b2066662")</f>
        <v>https://www.catalog.slsa.sa.gov.au/xrecord=b2066662</v>
      </c>
      <c r="D10423" t="s">
        <v>16831</v>
      </c>
      <c r="E10423" t="s">
        <v>32475</v>
      </c>
      <c r="F10423">
        <v>1985</v>
      </c>
      <c r="G10423" t="s">
        <v>15031</v>
      </c>
      <c r="H10423" t="s">
        <v>32499</v>
      </c>
      <c r="I10423" t="s">
        <v>32395</v>
      </c>
      <c r="J10423" t="s">
        <v>32009</v>
      </c>
      <c r="K10423" s="2" t="str">
        <f>HYPERLINK("http://collections.slsa.sa.gov.au/mpcimg/51000/B50830.htm")</f>
        <v>http://collections.slsa.sa.gov.au/mpcimg/51000/B50830.htm</v>
      </c>
    </row>
    <row r="10424" spans="1:11" x14ac:dyDescent="0.25">
      <c r="A10424" t="s">
        <v>32500</v>
      </c>
      <c r="B10424" s="1" t="str">
        <f>HYPERLINK("https://www.catalog.slsa.sa.gov.au/record=b2066663")</f>
        <v>https://www.catalog.slsa.sa.gov.au/record=b2066663</v>
      </c>
      <c r="C10424" s="1" t="str">
        <f>HYPERLINK("https://www.catalog.slsa.sa.gov.au/xrecord=b2066663")</f>
        <v>https://www.catalog.slsa.sa.gov.au/xrecord=b2066663</v>
      </c>
      <c r="D10424" t="s">
        <v>16831</v>
      </c>
      <c r="E10424" t="s">
        <v>32475</v>
      </c>
      <c r="F10424">
        <v>1985</v>
      </c>
      <c r="G10424" t="s">
        <v>15031</v>
      </c>
      <c r="H10424" t="s">
        <v>32501</v>
      </c>
      <c r="I10424" t="s">
        <v>32479</v>
      </c>
      <c r="J10424" t="s">
        <v>32009</v>
      </c>
      <c r="K10424" s="2" t="str">
        <f>HYPERLINK("http://collections.slsa.sa.gov.au/mpcimg/51000/B50831.htm")</f>
        <v>http://collections.slsa.sa.gov.au/mpcimg/51000/B50831.htm</v>
      </c>
    </row>
    <row r="10425" spans="1:11" x14ac:dyDescent="0.25">
      <c r="A10425" t="s">
        <v>32502</v>
      </c>
      <c r="B10425" s="1" t="str">
        <f>HYPERLINK("https://www.catalog.slsa.sa.gov.au/record=b2066664")</f>
        <v>https://www.catalog.slsa.sa.gov.au/record=b2066664</v>
      </c>
      <c r="C10425" s="1" t="str">
        <f>HYPERLINK("https://www.catalog.slsa.sa.gov.au/xrecord=b2066664")</f>
        <v>https://www.catalog.slsa.sa.gov.au/xrecord=b2066664</v>
      </c>
      <c r="D10425" t="s">
        <v>16831</v>
      </c>
      <c r="E10425" t="s">
        <v>32475</v>
      </c>
      <c r="F10425">
        <v>1985</v>
      </c>
      <c r="G10425" t="s">
        <v>15031</v>
      </c>
      <c r="H10425" t="s">
        <v>32503</v>
      </c>
      <c r="I10425" t="s">
        <v>32395</v>
      </c>
      <c r="J10425" t="s">
        <v>32009</v>
      </c>
      <c r="K10425" s="2" t="str">
        <f>HYPERLINK("http://collections.slsa.sa.gov.au/mpcimg/51000/B50832.htm")</f>
        <v>http://collections.slsa.sa.gov.au/mpcimg/51000/B50832.htm</v>
      </c>
    </row>
    <row r="10426" spans="1:11" x14ac:dyDescent="0.25">
      <c r="A10426" t="s">
        <v>32504</v>
      </c>
      <c r="B10426" s="1" t="str">
        <f>HYPERLINK("https://www.catalog.slsa.sa.gov.au/record=b2066665")</f>
        <v>https://www.catalog.slsa.sa.gov.au/record=b2066665</v>
      </c>
      <c r="C10426" s="1" t="str">
        <f>HYPERLINK("https://www.catalog.slsa.sa.gov.au/xrecord=b2066665")</f>
        <v>https://www.catalog.slsa.sa.gov.au/xrecord=b2066665</v>
      </c>
      <c r="D10426" t="s">
        <v>16831</v>
      </c>
      <c r="E10426" t="s">
        <v>32475</v>
      </c>
      <c r="F10426">
        <v>1985</v>
      </c>
      <c r="G10426" t="s">
        <v>15031</v>
      </c>
      <c r="H10426" t="s">
        <v>32505</v>
      </c>
      <c r="I10426" t="s">
        <v>32395</v>
      </c>
      <c r="J10426" t="s">
        <v>32009</v>
      </c>
      <c r="K10426" s="2" t="str">
        <f>HYPERLINK("http://collections.slsa.sa.gov.au/mpcimg/51000/B50833.htm")</f>
        <v>http://collections.slsa.sa.gov.au/mpcimg/51000/B50833.htm</v>
      </c>
    </row>
    <row r="10427" spans="1:11" x14ac:dyDescent="0.25">
      <c r="A10427" t="s">
        <v>32506</v>
      </c>
      <c r="B10427" s="1" t="str">
        <f>HYPERLINK("https://www.catalog.slsa.sa.gov.au/record=b2066666")</f>
        <v>https://www.catalog.slsa.sa.gov.au/record=b2066666</v>
      </c>
      <c r="C10427" s="1" t="str">
        <f>HYPERLINK("https://www.catalog.slsa.sa.gov.au/xrecord=b2066666")</f>
        <v>https://www.catalog.slsa.sa.gov.au/xrecord=b2066666</v>
      </c>
      <c r="D10427" t="s">
        <v>16831</v>
      </c>
      <c r="E10427" t="s">
        <v>32475</v>
      </c>
      <c r="F10427">
        <v>1985</v>
      </c>
      <c r="G10427" t="s">
        <v>15031</v>
      </c>
      <c r="H10427" t="s">
        <v>32507</v>
      </c>
      <c r="I10427" t="s">
        <v>32395</v>
      </c>
      <c r="J10427" t="s">
        <v>32009</v>
      </c>
      <c r="K10427" s="2" t="str">
        <f>HYPERLINK("http://collections.slsa.sa.gov.au/mpcimg/51000/B50834.htm")</f>
        <v>http://collections.slsa.sa.gov.au/mpcimg/51000/B50834.htm</v>
      </c>
    </row>
    <row r="10428" spans="1:11" x14ac:dyDescent="0.25">
      <c r="A10428" t="s">
        <v>32508</v>
      </c>
      <c r="B10428" s="1" t="str">
        <f>HYPERLINK("https://www.catalog.slsa.sa.gov.au/record=b2066667")</f>
        <v>https://www.catalog.slsa.sa.gov.au/record=b2066667</v>
      </c>
      <c r="C10428" s="1" t="str">
        <f>HYPERLINK("https://www.catalog.slsa.sa.gov.au/xrecord=b2066667")</f>
        <v>https://www.catalog.slsa.sa.gov.au/xrecord=b2066667</v>
      </c>
      <c r="D10428" t="s">
        <v>16831</v>
      </c>
      <c r="E10428" t="s">
        <v>32475</v>
      </c>
      <c r="F10428">
        <v>1985</v>
      </c>
      <c r="G10428" t="s">
        <v>15031</v>
      </c>
      <c r="H10428" t="s">
        <v>32509</v>
      </c>
      <c r="I10428" t="s">
        <v>32479</v>
      </c>
      <c r="J10428" t="s">
        <v>32009</v>
      </c>
      <c r="K10428" s="2" t="str">
        <f>HYPERLINK("http://collections.slsa.sa.gov.au/mpcimg/51000/B50835.htm")</f>
        <v>http://collections.slsa.sa.gov.au/mpcimg/51000/B50835.htm</v>
      </c>
    </row>
    <row r="10429" spans="1:11" x14ac:dyDescent="0.25">
      <c r="A10429" t="s">
        <v>32510</v>
      </c>
      <c r="B10429" s="1" t="str">
        <f>HYPERLINK("https://www.catalog.slsa.sa.gov.au/record=b2066668")</f>
        <v>https://www.catalog.slsa.sa.gov.au/record=b2066668</v>
      </c>
      <c r="C10429" s="1" t="str">
        <f>HYPERLINK("https://www.catalog.slsa.sa.gov.au/xrecord=b2066668")</f>
        <v>https://www.catalog.slsa.sa.gov.au/xrecord=b2066668</v>
      </c>
      <c r="D10429" t="s">
        <v>16831</v>
      </c>
      <c r="E10429" t="s">
        <v>32475</v>
      </c>
      <c r="F10429">
        <v>1985</v>
      </c>
      <c r="G10429" t="s">
        <v>15031</v>
      </c>
      <c r="H10429" t="s">
        <v>32511</v>
      </c>
      <c r="I10429" t="s">
        <v>32395</v>
      </c>
      <c r="J10429" t="s">
        <v>32009</v>
      </c>
      <c r="K10429" s="2" t="str">
        <f>HYPERLINK("http://collections.slsa.sa.gov.au/mpcimg/51000/B50836.htm")</f>
        <v>http://collections.slsa.sa.gov.au/mpcimg/51000/B50836.htm</v>
      </c>
    </row>
    <row r="10430" spans="1:11" x14ac:dyDescent="0.25">
      <c r="A10430" t="s">
        <v>32512</v>
      </c>
      <c r="B10430" s="1" t="str">
        <f>HYPERLINK("https://www.catalog.slsa.sa.gov.au/record=b2066669")</f>
        <v>https://www.catalog.slsa.sa.gov.au/record=b2066669</v>
      </c>
      <c r="C10430" s="1" t="str">
        <f>HYPERLINK("https://www.catalog.slsa.sa.gov.au/xrecord=b2066669")</f>
        <v>https://www.catalog.slsa.sa.gov.au/xrecord=b2066669</v>
      </c>
      <c r="D10430" t="s">
        <v>16831</v>
      </c>
      <c r="E10430" t="s">
        <v>32475</v>
      </c>
      <c r="F10430">
        <v>1985</v>
      </c>
      <c r="G10430" t="s">
        <v>15031</v>
      </c>
      <c r="H10430" t="s">
        <v>32513</v>
      </c>
      <c r="I10430" t="s">
        <v>32479</v>
      </c>
      <c r="J10430" t="s">
        <v>32009</v>
      </c>
      <c r="K10430" s="2" t="str">
        <f>HYPERLINK("http://collections.slsa.sa.gov.au/mpcimg/51000/B50837.htm")</f>
        <v>http://collections.slsa.sa.gov.au/mpcimg/51000/B50837.htm</v>
      </c>
    </row>
    <row r="10431" spans="1:11" x14ac:dyDescent="0.25">
      <c r="A10431" t="s">
        <v>32514</v>
      </c>
      <c r="B10431" s="1" t="str">
        <f>HYPERLINK("https://www.catalog.slsa.sa.gov.au/record=b2066670")</f>
        <v>https://www.catalog.slsa.sa.gov.au/record=b2066670</v>
      </c>
      <c r="C10431" s="1" t="str">
        <f>HYPERLINK("https://www.catalog.slsa.sa.gov.au/xrecord=b2066670")</f>
        <v>https://www.catalog.slsa.sa.gov.au/xrecord=b2066670</v>
      </c>
      <c r="D10431" t="s">
        <v>16831</v>
      </c>
      <c r="E10431" t="s">
        <v>32475</v>
      </c>
      <c r="F10431">
        <v>1985</v>
      </c>
      <c r="G10431" t="s">
        <v>15031</v>
      </c>
      <c r="H10431" t="s">
        <v>32515</v>
      </c>
      <c r="I10431" t="s">
        <v>32395</v>
      </c>
      <c r="J10431" t="s">
        <v>32009</v>
      </c>
      <c r="K10431" s="2" t="str">
        <f>HYPERLINK("http://collections.slsa.sa.gov.au/mpcimg/51000/B50838.htm")</f>
        <v>http://collections.slsa.sa.gov.au/mpcimg/51000/B50838.htm</v>
      </c>
    </row>
    <row r="10432" spans="1:11" x14ac:dyDescent="0.25">
      <c r="A10432" t="s">
        <v>32516</v>
      </c>
      <c r="B10432" s="1" t="str">
        <f>HYPERLINK("https://www.catalog.slsa.sa.gov.au/record=b2066671")</f>
        <v>https://www.catalog.slsa.sa.gov.au/record=b2066671</v>
      </c>
      <c r="C10432" s="1" t="str">
        <f>HYPERLINK("https://www.catalog.slsa.sa.gov.au/xrecord=b2066671")</f>
        <v>https://www.catalog.slsa.sa.gov.au/xrecord=b2066671</v>
      </c>
      <c r="D10432" t="s">
        <v>16831</v>
      </c>
      <c r="E10432" t="s">
        <v>32475</v>
      </c>
      <c r="F10432">
        <v>1985</v>
      </c>
      <c r="G10432" t="s">
        <v>32517</v>
      </c>
      <c r="H10432" t="s">
        <v>32515</v>
      </c>
      <c r="I10432" t="s">
        <v>32479</v>
      </c>
      <c r="J10432" t="s">
        <v>32009</v>
      </c>
      <c r="K10432" s="2" t="str">
        <f>HYPERLINK("http://collections.slsa.sa.gov.au/mpcimg/51000/B50839.htm")</f>
        <v>http://collections.slsa.sa.gov.au/mpcimg/51000/B50839.htm</v>
      </c>
    </row>
    <row r="10433" spans="1:11" x14ac:dyDescent="0.25">
      <c r="A10433" t="s">
        <v>32518</v>
      </c>
      <c r="B10433" s="1" t="str">
        <f>HYPERLINK("https://www.catalog.slsa.sa.gov.au/record=b2066672")</f>
        <v>https://www.catalog.slsa.sa.gov.au/record=b2066672</v>
      </c>
      <c r="C10433" s="1" t="str">
        <f>HYPERLINK("https://www.catalog.slsa.sa.gov.au/xrecord=b2066672")</f>
        <v>https://www.catalog.slsa.sa.gov.au/xrecord=b2066672</v>
      </c>
      <c r="D10433" t="s">
        <v>16831</v>
      </c>
      <c r="E10433" t="s">
        <v>32475</v>
      </c>
      <c r="F10433">
        <v>1985</v>
      </c>
      <c r="G10433" t="s">
        <v>15031</v>
      </c>
      <c r="H10433" t="s">
        <v>32515</v>
      </c>
      <c r="I10433" t="s">
        <v>32395</v>
      </c>
      <c r="J10433" t="s">
        <v>32009</v>
      </c>
      <c r="K10433" s="2" t="str">
        <f>HYPERLINK("http://collections.slsa.sa.gov.au/mpcimg/51000/B50840.htm")</f>
        <v>http://collections.slsa.sa.gov.au/mpcimg/51000/B50840.htm</v>
      </c>
    </row>
    <row r="10434" spans="1:11" x14ac:dyDescent="0.25">
      <c r="A10434" t="s">
        <v>32519</v>
      </c>
      <c r="B10434" s="1" t="str">
        <f>HYPERLINK("https://www.catalog.slsa.sa.gov.au/record=b2066673")</f>
        <v>https://www.catalog.slsa.sa.gov.au/record=b2066673</v>
      </c>
      <c r="C10434" s="1" t="str">
        <f>HYPERLINK("https://www.catalog.slsa.sa.gov.au/xrecord=b2066673")</f>
        <v>https://www.catalog.slsa.sa.gov.au/xrecord=b2066673</v>
      </c>
      <c r="D10434" t="s">
        <v>16831</v>
      </c>
      <c r="E10434" t="s">
        <v>32475</v>
      </c>
      <c r="F10434">
        <v>1985</v>
      </c>
      <c r="G10434" t="s">
        <v>15031</v>
      </c>
      <c r="H10434" t="s">
        <v>32515</v>
      </c>
      <c r="I10434" t="s">
        <v>32479</v>
      </c>
      <c r="J10434" t="s">
        <v>32009</v>
      </c>
      <c r="K10434" s="2" t="str">
        <f>HYPERLINK("http://collections.slsa.sa.gov.au/mpcimg/51000/B50841.htm")</f>
        <v>http://collections.slsa.sa.gov.au/mpcimg/51000/B50841.htm</v>
      </c>
    </row>
    <row r="10435" spans="1:11" x14ac:dyDescent="0.25">
      <c r="A10435" t="s">
        <v>32520</v>
      </c>
      <c r="B10435" s="1" t="str">
        <f>HYPERLINK("https://www.catalog.slsa.sa.gov.au/record=b2066674")</f>
        <v>https://www.catalog.slsa.sa.gov.au/record=b2066674</v>
      </c>
      <c r="C10435" s="1" t="str">
        <f>HYPERLINK("https://www.catalog.slsa.sa.gov.au/xrecord=b2066674")</f>
        <v>https://www.catalog.slsa.sa.gov.au/xrecord=b2066674</v>
      </c>
      <c r="D10435" t="s">
        <v>16831</v>
      </c>
      <c r="E10435" t="s">
        <v>32521</v>
      </c>
      <c r="F10435">
        <v>1985</v>
      </c>
      <c r="G10435" t="s">
        <v>15031</v>
      </c>
      <c r="H10435" t="s">
        <v>32522</v>
      </c>
      <c r="I10435" t="s">
        <v>32395</v>
      </c>
      <c r="J10435" t="s">
        <v>32009</v>
      </c>
      <c r="K10435" s="2" t="str">
        <f>HYPERLINK("http://collections.slsa.sa.gov.au/mpcimg/51000/B50842.htm")</f>
        <v>http://collections.slsa.sa.gov.au/mpcimg/51000/B50842.htm</v>
      </c>
    </row>
    <row r="10436" spans="1:11" x14ac:dyDescent="0.25">
      <c r="A10436" t="s">
        <v>32523</v>
      </c>
      <c r="B10436" s="1" t="str">
        <f>HYPERLINK("https://www.catalog.slsa.sa.gov.au/record=b2066675")</f>
        <v>https://www.catalog.slsa.sa.gov.au/record=b2066675</v>
      </c>
      <c r="C10436" s="1" t="str">
        <f>HYPERLINK("https://www.catalog.slsa.sa.gov.au/xrecord=b2066675")</f>
        <v>https://www.catalog.slsa.sa.gov.au/xrecord=b2066675</v>
      </c>
      <c r="D10436" t="s">
        <v>16831</v>
      </c>
      <c r="E10436" t="s">
        <v>32403</v>
      </c>
      <c r="F10436">
        <v>1985</v>
      </c>
      <c r="G10436" t="s">
        <v>15031</v>
      </c>
      <c r="H10436" t="s">
        <v>32401</v>
      </c>
      <c r="I10436" t="s">
        <v>32389</v>
      </c>
      <c r="J10436" t="s">
        <v>32009</v>
      </c>
      <c r="K10436" s="2" t="str">
        <f>HYPERLINK("http://collections.slsa.sa.gov.au/mpcimg/51000/B50843.htm")</f>
        <v>http://collections.slsa.sa.gov.au/mpcimg/51000/B50843.htm</v>
      </c>
    </row>
    <row r="10437" spans="1:11" x14ac:dyDescent="0.25">
      <c r="A10437" t="s">
        <v>32524</v>
      </c>
      <c r="B10437" s="1" t="str">
        <f>HYPERLINK("https://www.catalog.slsa.sa.gov.au/record=b2066676")</f>
        <v>https://www.catalog.slsa.sa.gov.au/record=b2066676</v>
      </c>
      <c r="C10437" s="1" t="str">
        <f>HYPERLINK("https://www.catalog.slsa.sa.gov.au/xrecord=b2066676")</f>
        <v>https://www.catalog.slsa.sa.gov.au/xrecord=b2066676</v>
      </c>
      <c r="D10437" t="s">
        <v>16831</v>
      </c>
      <c r="E10437" t="s">
        <v>32475</v>
      </c>
      <c r="F10437">
        <v>1985</v>
      </c>
      <c r="G10437" t="s">
        <v>15031</v>
      </c>
      <c r="H10437" t="s">
        <v>32525</v>
      </c>
      <c r="I10437" t="s">
        <v>32395</v>
      </c>
      <c r="J10437" t="s">
        <v>32009</v>
      </c>
      <c r="K10437" s="2" t="str">
        <f>HYPERLINK("http://collections.slsa.sa.gov.au/mpcimg/51000/B50844.htm")</f>
        <v>http://collections.slsa.sa.gov.au/mpcimg/51000/B50844.htm</v>
      </c>
    </row>
    <row r="10438" spans="1:11" x14ac:dyDescent="0.25">
      <c r="A10438" t="s">
        <v>32526</v>
      </c>
      <c r="B10438" s="1" t="str">
        <f>HYPERLINK("https://www.catalog.slsa.sa.gov.au/record=b2066677")</f>
        <v>https://www.catalog.slsa.sa.gov.au/record=b2066677</v>
      </c>
      <c r="C10438" s="1" t="str">
        <f>HYPERLINK("https://www.catalog.slsa.sa.gov.au/xrecord=b2066677")</f>
        <v>https://www.catalog.slsa.sa.gov.au/xrecord=b2066677</v>
      </c>
      <c r="D10438" t="s">
        <v>16831</v>
      </c>
      <c r="E10438" t="s">
        <v>32475</v>
      </c>
      <c r="F10438">
        <v>1985</v>
      </c>
      <c r="G10438" t="s">
        <v>15031</v>
      </c>
      <c r="H10438" t="s">
        <v>32515</v>
      </c>
      <c r="I10438" t="s">
        <v>32395</v>
      </c>
      <c r="J10438" t="s">
        <v>32009</v>
      </c>
      <c r="K10438" s="2" t="str">
        <f>HYPERLINK("http://collections.slsa.sa.gov.au/mpcimg/51000/B50845.htm")</f>
        <v>http://collections.slsa.sa.gov.au/mpcimg/51000/B50845.htm</v>
      </c>
    </row>
    <row r="10439" spans="1:11" x14ac:dyDescent="0.25">
      <c r="A10439" t="s">
        <v>32527</v>
      </c>
      <c r="B10439" s="1" t="str">
        <f>HYPERLINK("https://www.catalog.slsa.sa.gov.au/record=b2066678")</f>
        <v>https://www.catalog.slsa.sa.gov.au/record=b2066678</v>
      </c>
      <c r="C10439" s="1" t="str">
        <f>HYPERLINK("https://www.catalog.slsa.sa.gov.au/xrecord=b2066678")</f>
        <v>https://www.catalog.slsa.sa.gov.au/xrecord=b2066678</v>
      </c>
      <c r="D10439" t="s">
        <v>16831</v>
      </c>
      <c r="E10439" t="s">
        <v>32475</v>
      </c>
      <c r="F10439">
        <v>1985</v>
      </c>
      <c r="G10439" t="s">
        <v>15031</v>
      </c>
      <c r="H10439" t="s">
        <v>32528</v>
      </c>
      <c r="I10439" t="s">
        <v>32389</v>
      </c>
      <c r="J10439" t="s">
        <v>32009</v>
      </c>
      <c r="K10439" s="2" t="str">
        <f>HYPERLINK("http://collections.slsa.sa.gov.au/mpcimg/51000/B50846.htm")</f>
        <v>http://collections.slsa.sa.gov.au/mpcimg/51000/B50846.htm</v>
      </c>
    </row>
    <row r="10440" spans="1:11" x14ac:dyDescent="0.25">
      <c r="A10440" t="s">
        <v>32529</v>
      </c>
      <c r="B10440" s="1" t="str">
        <f>HYPERLINK("https://www.catalog.slsa.sa.gov.au/record=b2066679")</f>
        <v>https://www.catalog.slsa.sa.gov.au/record=b2066679</v>
      </c>
      <c r="C10440" s="1" t="str">
        <f>HYPERLINK("https://www.catalog.slsa.sa.gov.au/xrecord=b2066679")</f>
        <v>https://www.catalog.slsa.sa.gov.au/xrecord=b2066679</v>
      </c>
      <c r="D10440" t="s">
        <v>16831</v>
      </c>
      <c r="E10440" t="s">
        <v>32475</v>
      </c>
      <c r="F10440">
        <v>1985</v>
      </c>
      <c r="G10440" t="s">
        <v>15031</v>
      </c>
      <c r="H10440" t="s">
        <v>32530</v>
      </c>
      <c r="I10440" t="s">
        <v>32386</v>
      </c>
      <c r="J10440" t="s">
        <v>32531</v>
      </c>
      <c r="K10440" s="2" t="str">
        <f>HYPERLINK("http://collections.slsa.sa.gov.au/mpcimg/51000/B50847.htm")</f>
        <v>http://collections.slsa.sa.gov.au/mpcimg/51000/B50847.htm</v>
      </c>
    </row>
    <row r="10441" spans="1:11" x14ac:dyDescent="0.25">
      <c r="A10441" t="s">
        <v>32532</v>
      </c>
      <c r="B10441" s="1" t="str">
        <f>HYPERLINK("https://www.catalog.slsa.sa.gov.au/record=b2066680")</f>
        <v>https://www.catalog.slsa.sa.gov.au/record=b2066680</v>
      </c>
      <c r="C10441" s="1" t="str">
        <f>HYPERLINK("https://www.catalog.slsa.sa.gov.au/xrecord=b2066680")</f>
        <v>https://www.catalog.slsa.sa.gov.au/xrecord=b2066680</v>
      </c>
      <c r="D10441" t="s">
        <v>16831</v>
      </c>
      <c r="E10441" t="s">
        <v>32475</v>
      </c>
      <c r="F10441">
        <v>1985</v>
      </c>
      <c r="G10441" t="s">
        <v>15031</v>
      </c>
      <c r="H10441" t="s">
        <v>32533</v>
      </c>
      <c r="I10441" t="s">
        <v>32395</v>
      </c>
      <c r="J10441" t="s">
        <v>32009</v>
      </c>
      <c r="K10441" s="2" t="str">
        <f>HYPERLINK("http://collections.slsa.sa.gov.au/mpcimg/51000/B50848.htm")</f>
        <v>http://collections.slsa.sa.gov.au/mpcimg/51000/B50848.htm</v>
      </c>
    </row>
    <row r="10442" spans="1:11" x14ac:dyDescent="0.25">
      <c r="A10442" t="s">
        <v>32534</v>
      </c>
      <c r="B10442" s="1" t="str">
        <f>HYPERLINK("https://www.catalog.slsa.sa.gov.au/record=b2066681")</f>
        <v>https://www.catalog.slsa.sa.gov.au/record=b2066681</v>
      </c>
      <c r="C10442" s="1" t="str">
        <f>HYPERLINK("https://www.catalog.slsa.sa.gov.au/xrecord=b2066681")</f>
        <v>https://www.catalog.slsa.sa.gov.au/xrecord=b2066681</v>
      </c>
      <c r="D10442" t="s">
        <v>16831</v>
      </c>
      <c r="E10442" t="s">
        <v>32475</v>
      </c>
      <c r="F10442">
        <v>1985</v>
      </c>
      <c r="G10442" t="s">
        <v>15031</v>
      </c>
      <c r="H10442" t="s">
        <v>32535</v>
      </c>
      <c r="I10442" t="s">
        <v>32389</v>
      </c>
      <c r="J10442" t="s">
        <v>32009</v>
      </c>
      <c r="K10442" s="2" t="str">
        <f>HYPERLINK("http://collections.slsa.sa.gov.au/mpcimg/51000/B50849.htm")</f>
        <v>http://collections.slsa.sa.gov.au/mpcimg/51000/B50849.htm</v>
      </c>
    </row>
    <row r="10443" spans="1:11" x14ac:dyDescent="0.25">
      <c r="A10443" t="s">
        <v>32536</v>
      </c>
      <c r="B10443" s="1" t="str">
        <f>HYPERLINK("https://www.catalog.slsa.sa.gov.au/record=b2066682")</f>
        <v>https://www.catalog.slsa.sa.gov.au/record=b2066682</v>
      </c>
      <c r="C10443" s="1" t="str">
        <f>HYPERLINK("https://www.catalog.slsa.sa.gov.au/xrecord=b2066682")</f>
        <v>https://www.catalog.slsa.sa.gov.au/xrecord=b2066682</v>
      </c>
      <c r="D10443" t="s">
        <v>16831</v>
      </c>
      <c r="E10443" t="s">
        <v>32475</v>
      </c>
      <c r="F10443">
        <v>1985</v>
      </c>
      <c r="G10443" t="s">
        <v>15031</v>
      </c>
      <c r="H10443" t="s">
        <v>32535</v>
      </c>
      <c r="I10443" t="s">
        <v>32389</v>
      </c>
      <c r="J10443" t="s">
        <v>32009</v>
      </c>
      <c r="K10443" s="2" t="str">
        <f>HYPERLINK("http://collections.slsa.sa.gov.au/mpcimg/51000/B50850.htm")</f>
        <v>http://collections.slsa.sa.gov.au/mpcimg/51000/B50850.htm</v>
      </c>
    </row>
    <row r="10444" spans="1:11" x14ac:dyDescent="0.25">
      <c r="A10444" t="s">
        <v>32537</v>
      </c>
      <c r="B10444" s="1" t="str">
        <f>HYPERLINK("https://www.catalog.slsa.sa.gov.au/record=b2066683")</f>
        <v>https://www.catalog.slsa.sa.gov.au/record=b2066683</v>
      </c>
      <c r="C10444" s="1" t="str">
        <f>HYPERLINK("https://www.catalog.slsa.sa.gov.au/xrecord=b2066683")</f>
        <v>https://www.catalog.slsa.sa.gov.au/xrecord=b2066683</v>
      </c>
      <c r="D10444" t="s">
        <v>16831</v>
      </c>
      <c r="E10444" t="s">
        <v>32475</v>
      </c>
      <c r="F10444">
        <v>1985</v>
      </c>
      <c r="G10444" t="s">
        <v>15031</v>
      </c>
      <c r="H10444" t="s">
        <v>32538</v>
      </c>
      <c r="I10444" t="s">
        <v>32389</v>
      </c>
      <c r="J10444" t="s">
        <v>32531</v>
      </c>
      <c r="K10444" s="2" t="str">
        <f>HYPERLINK("http://collections.slsa.sa.gov.au/mpcimg/51000/B50851.htm")</f>
        <v>http://collections.slsa.sa.gov.au/mpcimg/51000/B50851.htm</v>
      </c>
    </row>
    <row r="10445" spans="1:11" x14ac:dyDescent="0.25">
      <c r="A10445" t="s">
        <v>32539</v>
      </c>
      <c r="B10445" s="1" t="str">
        <f>HYPERLINK("https://www.catalog.slsa.sa.gov.au/record=b2066684")</f>
        <v>https://www.catalog.slsa.sa.gov.au/record=b2066684</v>
      </c>
      <c r="C10445" s="1" t="str">
        <f>HYPERLINK("https://www.catalog.slsa.sa.gov.au/xrecord=b2066684")</f>
        <v>https://www.catalog.slsa.sa.gov.au/xrecord=b2066684</v>
      </c>
      <c r="D10445" t="s">
        <v>16831</v>
      </c>
      <c r="E10445" t="s">
        <v>32540</v>
      </c>
      <c r="F10445">
        <v>1985</v>
      </c>
      <c r="G10445" t="s">
        <v>15031</v>
      </c>
      <c r="H10445" t="s">
        <v>32538</v>
      </c>
      <c r="I10445" t="s">
        <v>32389</v>
      </c>
      <c r="J10445" t="s">
        <v>32009</v>
      </c>
      <c r="K10445" s="2" t="str">
        <f>HYPERLINK("http://collections.slsa.sa.gov.au/mpcimg/51000/B50852.htm")</f>
        <v>http://collections.slsa.sa.gov.au/mpcimg/51000/B50852.htm</v>
      </c>
    </row>
    <row r="10446" spans="1:11" x14ac:dyDescent="0.25">
      <c r="A10446" t="s">
        <v>32541</v>
      </c>
      <c r="B10446" s="1" t="str">
        <f>HYPERLINK("https://www.catalog.slsa.sa.gov.au/record=b2066685")</f>
        <v>https://www.catalog.slsa.sa.gov.au/record=b2066685</v>
      </c>
      <c r="C10446" s="1" t="str">
        <f>HYPERLINK("https://www.catalog.slsa.sa.gov.au/xrecord=b2066685")</f>
        <v>https://www.catalog.slsa.sa.gov.au/xrecord=b2066685</v>
      </c>
      <c r="D10446" t="s">
        <v>16831</v>
      </c>
      <c r="E10446" t="s">
        <v>32475</v>
      </c>
      <c r="F10446">
        <v>1985</v>
      </c>
      <c r="G10446" t="s">
        <v>15031</v>
      </c>
      <c r="H10446" t="s">
        <v>32542</v>
      </c>
      <c r="I10446" t="s">
        <v>32389</v>
      </c>
      <c r="J10446" t="s">
        <v>32009</v>
      </c>
      <c r="K10446" s="2" t="str">
        <f>HYPERLINK("http://collections.slsa.sa.gov.au/mpcimg/51000/B50853.htm")</f>
        <v>http://collections.slsa.sa.gov.au/mpcimg/51000/B50853.htm</v>
      </c>
    </row>
    <row r="10447" spans="1:11" x14ac:dyDescent="0.25">
      <c r="A10447" t="s">
        <v>32543</v>
      </c>
      <c r="B10447" s="1" t="str">
        <f>HYPERLINK("https://www.catalog.slsa.sa.gov.au/record=b2066686")</f>
        <v>https://www.catalog.slsa.sa.gov.au/record=b2066686</v>
      </c>
      <c r="C10447" s="1" t="str">
        <f>HYPERLINK("https://www.catalog.slsa.sa.gov.au/xrecord=b2066686")</f>
        <v>https://www.catalog.slsa.sa.gov.au/xrecord=b2066686</v>
      </c>
      <c r="D10447" t="s">
        <v>16831</v>
      </c>
      <c r="E10447" t="s">
        <v>32540</v>
      </c>
      <c r="F10447">
        <v>1985</v>
      </c>
      <c r="G10447" t="s">
        <v>15031</v>
      </c>
      <c r="H10447" t="s">
        <v>32538</v>
      </c>
      <c r="I10447" t="s">
        <v>32389</v>
      </c>
      <c r="J10447" t="s">
        <v>32009</v>
      </c>
      <c r="K10447" s="2" t="str">
        <f>HYPERLINK("http://collections.slsa.sa.gov.au/mpcimg/51000/B50854.htm")</f>
        <v>http://collections.slsa.sa.gov.au/mpcimg/51000/B50854.htm</v>
      </c>
    </row>
    <row r="10448" spans="1:11" x14ac:dyDescent="0.25">
      <c r="A10448" t="s">
        <v>32544</v>
      </c>
      <c r="B10448" s="1" t="str">
        <f>HYPERLINK("https://www.catalog.slsa.sa.gov.au/record=b2066687")</f>
        <v>https://www.catalog.slsa.sa.gov.au/record=b2066687</v>
      </c>
      <c r="C10448" s="1" t="str">
        <f>HYPERLINK("https://www.catalog.slsa.sa.gov.au/xrecord=b2066687")</f>
        <v>https://www.catalog.slsa.sa.gov.au/xrecord=b2066687</v>
      </c>
      <c r="D10448" t="s">
        <v>16831</v>
      </c>
      <c r="E10448" t="s">
        <v>32540</v>
      </c>
      <c r="F10448">
        <v>1985</v>
      </c>
      <c r="G10448" t="s">
        <v>15031</v>
      </c>
      <c r="H10448" t="s">
        <v>32538</v>
      </c>
      <c r="I10448" t="s">
        <v>32386</v>
      </c>
      <c r="J10448" t="s">
        <v>32009</v>
      </c>
      <c r="K10448" s="2" t="str">
        <f>HYPERLINK("http://collections.slsa.sa.gov.au/mpcimg/51000/B50855.htm")</f>
        <v>http://collections.slsa.sa.gov.au/mpcimg/51000/B50855.htm</v>
      </c>
    </row>
    <row r="10449" spans="1:11" x14ac:dyDescent="0.25">
      <c r="A10449" t="s">
        <v>32545</v>
      </c>
      <c r="B10449" s="1" t="str">
        <f>HYPERLINK("https://www.catalog.slsa.sa.gov.au/record=b2066688")</f>
        <v>https://www.catalog.slsa.sa.gov.au/record=b2066688</v>
      </c>
      <c r="C10449" s="1" t="str">
        <f>HYPERLINK("https://www.catalog.slsa.sa.gov.au/xrecord=b2066688")</f>
        <v>https://www.catalog.slsa.sa.gov.au/xrecord=b2066688</v>
      </c>
      <c r="D10449" t="s">
        <v>16831</v>
      </c>
      <c r="E10449" t="s">
        <v>32475</v>
      </c>
      <c r="F10449">
        <v>1985</v>
      </c>
      <c r="G10449" t="s">
        <v>15031</v>
      </c>
      <c r="H10449" t="s">
        <v>32538</v>
      </c>
      <c r="I10449" t="s">
        <v>32386</v>
      </c>
      <c r="J10449" t="s">
        <v>32009</v>
      </c>
      <c r="K10449" s="2" t="str">
        <f>HYPERLINK("http://collections.slsa.sa.gov.au/mpcimg/51000/B50856.htm")</f>
        <v>http://collections.slsa.sa.gov.au/mpcimg/51000/B50856.htm</v>
      </c>
    </row>
    <row r="10450" spans="1:11" x14ac:dyDescent="0.25">
      <c r="A10450" t="s">
        <v>32546</v>
      </c>
      <c r="B10450" s="1" t="str">
        <f>HYPERLINK("https://www.catalog.slsa.sa.gov.au/record=b2066689")</f>
        <v>https://www.catalog.slsa.sa.gov.au/record=b2066689</v>
      </c>
      <c r="C10450" s="1" t="str">
        <f>HYPERLINK("https://www.catalog.slsa.sa.gov.au/xrecord=b2066689")</f>
        <v>https://www.catalog.slsa.sa.gov.au/xrecord=b2066689</v>
      </c>
      <c r="D10450" t="s">
        <v>16831</v>
      </c>
      <c r="E10450" t="s">
        <v>32475</v>
      </c>
      <c r="F10450">
        <v>1985</v>
      </c>
      <c r="G10450" t="s">
        <v>15031</v>
      </c>
      <c r="H10450" t="s">
        <v>32538</v>
      </c>
      <c r="I10450" t="s">
        <v>32389</v>
      </c>
      <c r="J10450" t="s">
        <v>32009</v>
      </c>
      <c r="K10450" s="2" t="str">
        <f>HYPERLINK("http://collections.slsa.sa.gov.au/mpcimg/51000/B50857.htm")</f>
        <v>http://collections.slsa.sa.gov.au/mpcimg/51000/B50857.htm</v>
      </c>
    </row>
    <row r="10451" spans="1:11" x14ac:dyDescent="0.25">
      <c r="A10451" t="s">
        <v>32547</v>
      </c>
      <c r="B10451" s="1" t="str">
        <f>HYPERLINK("https://www.catalog.slsa.sa.gov.au/record=b2066690")</f>
        <v>https://www.catalog.slsa.sa.gov.au/record=b2066690</v>
      </c>
      <c r="C10451" s="1" t="str">
        <f>HYPERLINK("https://www.catalog.slsa.sa.gov.au/xrecord=b2066690")</f>
        <v>https://www.catalog.slsa.sa.gov.au/xrecord=b2066690</v>
      </c>
      <c r="D10451" t="s">
        <v>16831</v>
      </c>
      <c r="E10451" t="s">
        <v>32475</v>
      </c>
      <c r="F10451">
        <v>1985</v>
      </c>
      <c r="G10451" t="s">
        <v>15031</v>
      </c>
      <c r="H10451" t="s">
        <v>32538</v>
      </c>
      <c r="I10451" t="s">
        <v>32386</v>
      </c>
      <c r="J10451" t="s">
        <v>32009</v>
      </c>
      <c r="K10451" s="2" t="str">
        <f>HYPERLINK("http://collections.slsa.sa.gov.au/mpcimg/51000/B50858.htm")</f>
        <v>http://collections.slsa.sa.gov.au/mpcimg/51000/B50858.htm</v>
      </c>
    </row>
    <row r="10452" spans="1:11" x14ac:dyDescent="0.25">
      <c r="A10452" t="s">
        <v>32548</v>
      </c>
      <c r="B10452" s="1" t="str">
        <f>HYPERLINK("https://www.catalog.slsa.sa.gov.au/record=b2066691")</f>
        <v>https://www.catalog.slsa.sa.gov.au/record=b2066691</v>
      </c>
      <c r="C10452" s="1" t="str">
        <f>HYPERLINK("https://www.catalog.slsa.sa.gov.au/xrecord=b2066691")</f>
        <v>https://www.catalog.slsa.sa.gov.au/xrecord=b2066691</v>
      </c>
      <c r="D10452" t="s">
        <v>16831</v>
      </c>
      <c r="E10452" t="s">
        <v>32475</v>
      </c>
      <c r="F10452">
        <v>1985</v>
      </c>
      <c r="G10452" t="s">
        <v>15031</v>
      </c>
      <c r="H10452" t="s">
        <v>32538</v>
      </c>
      <c r="I10452" t="s">
        <v>32389</v>
      </c>
      <c r="J10452" t="s">
        <v>32009</v>
      </c>
      <c r="K10452" s="2" t="str">
        <f>HYPERLINK("http://collections.slsa.sa.gov.au/mpcimg/51000/B50859.htm")</f>
        <v>http://collections.slsa.sa.gov.au/mpcimg/51000/B50859.htm</v>
      </c>
    </row>
    <row r="10453" spans="1:11" x14ac:dyDescent="0.25">
      <c r="A10453" t="s">
        <v>32549</v>
      </c>
      <c r="B10453" s="1" t="str">
        <f>HYPERLINK("https://www.catalog.slsa.sa.gov.au/record=b2066692")</f>
        <v>https://www.catalog.slsa.sa.gov.au/record=b2066692</v>
      </c>
      <c r="C10453" s="1" t="str">
        <f>HYPERLINK("https://www.catalog.slsa.sa.gov.au/xrecord=b2066692")</f>
        <v>https://www.catalog.slsa.sa.gov.au/xrecord=b2066692</v>
      </c>
      <c r="D10453" t="s">
        <v>16831</v>
      </c>
      <c r="E10453" t="s">
        <v>32475</v>
      </c>
      <c r="F10453">
        <v>1985</v>
      </c>
      <c r="G10453" t="s">
        <v>15031</v>
      </c>
      <c r="H10453" t="s">
        <v>32538</v>
      </c>
      <c r="I10453" t="s">
        <v>32386</v>
      </c>
      <c r="J10453" t="s">
        <v>32009</v>
      </c>
      <c r="K10453" s="2" t="str">
        <f>HYPERLINK("http://collections.slsa.sa.gov.au/mpcimg/51000/B50860.htm")</f>
        <v>http://collections.slsa.sa.gov.au/mpcimg/51000/B50860.htm</v>
      </c>
    </row>
    <row r="10454" spans="1:11" x14ac:dyDescent="0.25">
      <c r="A10454" t="s">
        <v>32550</v>
      </c>
      <c r="B10454" s="1" t="str">
        <f>HYPERLINK("https://www.catalog.slsa.sa.gov.au/record=b2066693")</f>
        <v>https://www.catalog.slsa.sa.gov.au/record=b2066693</v>
      </c>
      <c r="C10454" s="1" t="str">
        <f>HYPERLINK("https://www.catalog.slsa.sa.gov.au/xrecord=b2066693")</f>
        <v>https://www.catalog.slsa.sa.gov.au/xrecord=b2066693</v>
      </c>
      <c r="D10454" t="s">
        <v>16831</v>
      </c>
      <c r="E10454" t="s">
        <v>32475</v>
      </c>
      <c r="F10454">
        <v>1985</v>
      </c>
      <c r="G10454" t="s">
        <v>15031</v>
      </c>
      <c r="H10454" t="s">
        <v>32535</v>
      </c>
      <c r="I10454" t="s">
        <v>32386</v>
      </c>
      <c r="J10454" t="s">
        <v>32009</v>
      </c>
      <c r="K10454" s="2" t="str">
        <f>HYPERLINK("http://collections.slsa.sa.gov.au/mpcimg/51000/B50861.htm")</f>
        <v>http://collections.slsa.sa.gov.au/mpcimg/51000/B50861.htm</v>
      </c>
    </row>
    <row r="10455" spans="1:11" x14ac:dyDescent="0.25">
      <c r="A10455" t="s">
        <v>32551</v>
      </c>
      <c r="B10455" s="1" t="str">
        <f>HYPERLINK("https://www.catalog.slsa.sa.gov.au/record=b2066694")</f>
        <v>https://www.catalog.slsa.sa.gov.au/record=b2066694</v>
      </c>
      <c r="C10455" s="1" t="str">
        <f>HYPERLINK("https://www.catalog.slsa.sa.gov.au/xrecord=b2066694")</f>
        <v>https://www.catalog.slsa.sa.gov.au/xrecord=b2066694</v>
      </c>
      <c r="D10455" t="s">
        <v>16831</v>
      </c>
      <c r="E10455" t="s">
        <v>32552</v>
      </c>
      <c r="F10455">
        <v>1985</v>
      </c>
      <c r="G10455" t="s">
        <v>15031</v>
      </c>
      <c r="H10455" t="s">
        <v>32535</v>
      </c>
      <c r="I10455" t="s">
        <v>32389</v>
      </c>
      <c r="J10455" t="s">
        <v>32009</v>
      </c>
      <c r="K10455" s="2" t="str">
        <f>HYPERLINK("http://collections.slsa.sa.gov.au/mpcimg/51000/B50865.htm")</f>
        <v>http://collections.slsa.sa.gov.au/mpcimg/51000/B50865.htm</v>
      </c>
    </row>
    <row r="10456" spans="1:11" x14ac:dyDescent="0.25">
      <c r="A10456" t="s">
        <v>32553</v>
      </c>
      <c r="B10456" s="1" t="str">
        <f>HYPERLINK("https://www.catalog.slsa.sa.gov.au/record=b2066695")</f>
        <v>https://www.catalog.slsa.sa.gov.au/record=b2066695</v>
      </c>
      <c r="C10456" s="1" t="str">
        <f>HYPERLINK("https://www.catalog.slsa.sa.gov.au/xrecord=b2066695")</f>
        <v>https://www.catalog.slsa.sa.gov.au/xrecord=b2066695</v>
      </c>
      <c r="D10456" t="s">
        <v>16831</v>
      </c>
      <c r="E10456" t="s">
        <v>32475</v>
      </c>
      <c r="F10456">
        <v>1985</v>
      </c>
      <c r="G10456" t="s">
        <v>15031</v>
      </c>
      <c r="H10456" t="s">
        <v>32538</v>
      </c>
      <c r="I10456" t="s">
        <v>32389</v>
      </c>
      <c r="J10456" t="s">
        <v>32009</v>
      </c>
      <c r="K10456" s="2" t="str">
        <f>HYPERLINK("http://collections.slsa.sa.gov.au/mpcimg/51000/B50866.htm")</f>
        <v>http://collections.slsa.sa.gov.au/mpcimg/51000/B50866.htm</v>
      </c>
    </row>
    <row r="10457" spans="1:11" x14ac:dyDescent="0.25">
      <c r="A10457" t="s">
        <v>32554</v>
      </c>
      <c r="B10457" s="1" t="str">
        <f>HYPERLINK("https://www.catalog.slsa.sa.gov.au/record=b2066696")</f>
        <v>https://www.catalog.slsa.sa.gov.au/record=b2066696</v>
      </c>
      <c r="C10457" s="1" t="str">
        <f>HYPERLINK("https://www.catalog.slsa.sa.gov.au/xrecord=b2066696")</f>
        <v>https://www.catalog.slsa.sa.gov.au/xrecord=b2066696</v>
      </c>
      <c r="D10457" t="s">
        <v>16831</v>
      </c>
      <c r="E10457" t="s">
        <v>32475</v>
      </c>
      <c r="F10457">
        <v>1985</v>
      </c>
      <c r="G10457" t="s">
        <v>16312</v>
      </c>
      <c r="H10457" t="s">
        <v>32535</v>
      </c>
      <c r="I10457" t="s">
        <v>32389</v>
      </c>
      <c r="J10457" t="s">
        <v>32009</v>
      </c>
      <c r="K10457" s="2" t="str">
        <f>HYPERLINK("http://collections.slsa.sa.gov.au/mpcimg/51000/B50867.htm")</f>
        <v>http://collections.slsa.sa.gov.au/mpcimg/51000/B50867.htm</v>
      </c>
    </row>
    <row r="10458" spans="1:11" x14ac:dyDescent="0.25">
      <c r="A10458" t="s">
        <v>32555</v>
      </c>
      <c r="B10458" s="1" t="str">
        <f>HYPERLINK("https://www.catalog.slsa.sa.gov.au/record=b2066697")</f>
        <v>https://www.catalog.slsa.sa.gov.au/record=b2066697</v>
      </c>
      <c r="C10458" s="1" t="str">
        <f>HYPERLINK("https://www.catalog.slsa.sa.gov.au/xrecord=b2066697")</f>
        <v>https://www.catalog.slsa.sa.gov.au/xrecord=b2066697</v>
      </c>
      <c r="D10458" t="s">
        <v>16831</v>
      </c>
      <c r="E10458" t="s">
        <v>32475</v>
      </c>
      <c r="F10458">
        <v>1985</v>
      </c>
      <c r="G10458" t="s">
        <v>15031</v>
      </c>
      <c r="H10458" t="s">
        <v>32535</v>
      </c>
      <c r="I10458" t="s">
        <v>32386</v>
      </c>
      <c r="J10458" t="s">
        <v>32009</v>
      </c>
      <c r="K10458" s="2" t="str">
        <f>HYPERLINK("http://collections.slsa.sa.gov.au/mpcimg/51000/B50868.htm")</f>
        <v>http://collections.slsa.sa.gov.au/mpcimg/51000/B50868.htm</v>
      </c>
    </row>
    <row r="10459" spans="1:11" x14ac:dyDescent="0.25">
      <c r="A10459" t="s">
        <v>32556</v>
      </c>
      <c r="B10459" s="1" t="str">
        <f>HYPERLINK("https://www.catalog.slsa.sa.gov.au/record=b2066698")</f>
        <v>https://www.catalog.slsa.sa.gov.au/record=b2066698</v>
      </c>
      <c r="C10459" s="1" t="str">
        <f>HYPERLINK("https://www.catalog.slsa.sa.gov.au/xrecord=b2066698")</f>
        <v>https://www.catalog.slsa.sa.gov.au/xrecord=b2066698</v>
      </c>
      <c r="D10459" t="s">
        <v>16831</v>
      </c>
      <c r="E10459" t="s">
        <v>32475</v>
      </c>
      <c r="F10459">
        <v>1985</v>
      </c>
      <c r="G10459" t="s">
        <v>15031</v>
      </c>
      <c r="H10459" t="s">
        <v>32538</v>
      </c>
      <c r="I10459" t="s">
        <v>32389</v>
      </c>
      <c r="J10459" t="s">
        <v>32009</v>
      </c>
      <c r="K10459" s="2" t="str">
        <f>HYPERLINK("http://collections.slsa.sa.gov.au/mpcimg/51000/B50869.htm")</f>
        <v>http://collections.slsa.sa.gov.au/mpcimg/51000/B50869.htm</v>
      </c>
    </row>
    <row r="10460" spans="1:11" x14ac:dyDescent="0.25">
      <c r="A10460" t="s">
        <v>32557</v>
      </c>
      <c r="B10460" s="1" t="str">
        <f>HYPERLINK("https://www.catalog.slsa.sa.gov.au/record=b2066699")</f>
        <v>https://www.catalog.slsa.sa.gov.au/record=b2066699</v>
      </c>
      <c r="C10460" s="1" t="str">
        <f>HYPERLINK("https://www.catalog.slsa.sa.gov.au/xrecord=b2066699")</f>
        <v>https://www.catalog.slsa.sa.gov.au/xrecord=b2066699</v>
      </c>
      <c r="D10460" t="s">
        <v>16831</v>
      </c>
      <c r="E10460" t="s">
        <v>32475</v>
      </c>
      <c r="F10460">
        <v>1985</v>
      </c>
      <c r="G10460" t="s">
        <v>15031</v>
      </c>
      <c r="H10460" t="s">
        <v>32558</v>
      </c>
      <c r="I10460" t="s">
        <v>32386</v>
      </c>
      <c r="J10460" t="s">
        <v>32009</v>
      </c>
      <c r="K10460" s="2" t="str">
        <f>HYPERLINK("http://collections.slsa.sa.gov.au/mpcimg/51000/B50870.htm")</f>
        <v>http://collections.slsa.sa.gov.au/mpcimg/51000/B50870.htm</v>
      </c>
    </row>
    <row r="10461" spans="1:11" x14ac:dyDescent="0.25">
      <c r="A10461" t="s">
        <v>32559</v>
      </c>
      <c r="B10461" s="1" t="str">
        <f>HYPERLINK("https://www.catalog.slsa.sa.gov.au/record=b2066700")</f>
        <v>https://www.catalog.slsa.sa.gov.au/record=b2066700</v>
      </c>
      <c r="C10461" s="1" t="str">
        <f>HYPERLINK("https://www.catalog.slsa.sa.gov.au/xrecord=b2066700")</f>
        <v>https://www.catalog.slsa.sa.gov.au/xrecord=b2066700</v>
      </c>
      <c r="D10461" t="s">
        <v>16831</v>
      </c>
      <c r="E10461" t="s">
        <v>32475</v>
      </c>
      <c r="F10461">
        <v>1985</v>
      </c>
      <c r="G10461" t="s">
        <v>15031</v>
      </c>
      <c r="H10461" t="s">
        <v>32538</v>
      </c>
      <c r="I10461" t="s">
        <v>32389</v>
      </c>
      <c r="J10461" t="s">
        <v>32009</v>
      </c>
      <c r="K10461" s="2" t="str">
        <f>HYPERLINK("http://collections.slsa.sa.gov.au/mpcimg/51000/B50871.htm")</f>
        <v>http://collections.slsa.sa.gov.au/mpcimg/51000/B50871.htm</v>
      </c>
    </row>
    <row r="10462" spans="1:11" x14ac:dyDescent="0.25">
      <c r="A10462" t="s">
        <v>32560</v>
      </c>
      <c r="B10462" s="1" t="str">
        <f>HYPERLINK("https://www.catalog.slsa.sa.gov.au/record=b2066701")</f>
        <v>https://www.catalog.slsa.sa.gov.au/record=b2066701</v>
      </c>
      <c r="C10462" s="1" t="str">
        <f>HYPERLINK("https://www.catalog.slsa.sa.gov.au/xrecord=b2066701")</f>
        <v>https://www.catalog.slsa.sa.gov.au/xrecord=b2066701</v>
      </c>
      <c r="D10462" t="s">
        <v>16831</v>
      </c>
      <c r="E10462" t="s">
        <v>32475</v>
      </c>
      <c r="F10462">
        <v>1985</v>
      </c>
      <c r="G10462" t="s">
        <v>15031</v>
      </c>
      <c r="H10462" t="s">
        <v>32538</v>
      </c>
      <c r="I10462" t="s">
        <v>32389</v>
      </c>
      <c r="J10462" t="s">
        <v>32009</v>
      </c>
      <c r="K10462" s="2" t="str">
        <f>HYPERLINK("http://collections.slsa.sa.gov.au/mpcimg/51000/B50872.htm")</f>
        <v>http://collections.slsa.sa.gov.au/mpcimg/51000/B50872.htm</v>
      </c>
    </row>
    <row r="10463" spans="1:11" x14ac:dyDescent="0.25">
      <c r="A10463" t="s">
        <v>32561</v>
      </c>
      <c r="B10463" s="1" t="str">
        <f>HYPERLINK("https://www.catalog.slsa.sa.gov.au/record=b2066702")</f>
        <v>https://www.catalog.slsa.sa.gov.au/record=b2066702</v>
      </c>
      <c r="C10463" s="1" t="str">
        <f>HYPERLINK("https://www.catalog.slsa.sa.gov.au/xrecord=b2066702")</f>
        <v>https://www.catalog.slsa.sa.gov.au/xrecord=b2066702</v>
      </c>
      <c r="D10463" t="s">
        <v>16831</v>
      </c>
      <c r="E10463" t="s">
        <v>32475</v>
      </c>
      <c r="F10463">
        <v>1985</v>
      </c>
      <c r="G10463" t="s">
        <v>32562</v>
      </c>
      <c r="H10463" t="s">
        <v>32538</v>
      </c>
      <c r="I10463" t="s">
        <v>32386</v>
      </c>
      <c r="J10463" t="s">
        <v>32009</v>
      </c>
      <c r="K10463" s="2" t="str">
        <f>HYPERLINK("http://collections.slsa.sa.gov.au/mpcimg/51000/B50873.htm")</f>
        <v>http://collections.slsa.sa.gov.au/mpcimg/51000/B50873.htm</v>
      </c>
    </row>
    <row r="10464" spans="1:11" x14ac:dyDescent="0.25">
      <c r="A10464" t="s">
        <v>32563</v>
      </c>
      <c r="B10464" s="1" t="str">
        <f>HYPERLINK("https://www.catalog.slsa.sa.gov.au/record=b2066703")</f>
        <v>https://www.catalog.slsa.sa.gov.au/record=b2066703</v>
      </c>
      <c r="C10464" s="1" t="str">
        <f>HYPERLINK("https://www.catalog.slsa.sa.gov.au/xrecord=b2066703")</f>
        <v>https://www.catalog.slsa.sa.gov.au/xrecord=b2066703</v>
      </c>
      <c r="D10464" t="s">
        <v>16831</v>
      </c>
      <c r="E10464" t="s">
        <v>32475</v>
      </c>
      <c r="F10464">
        <v>1985</v>
      </c>
      <c r="G10464" t="s">
        <v>15031</v>
      </c>
      <c r="H10464" t="s">
        <v>32538</v>
      </c>
      <c r="I10464" t="s">
        <v>32389</v>
      </c>
      <c r="J10464" t="s">
        <v>32009</v>
      </c>
      <c r="K10464" s="2" t="str">
        <f>HYPERLINK("http://collections.slsa.sa.gov.au/mpcimg/51000/B50874.htm")</f>
        <v>http://collections.slsa.sa.gov.au/mpcimg/51000/B50874.htm</v>
      </c>
    </row>
    <row r="10465" spans="1:11" x14ac:dyDescent="0.25">
      <c r="A10465" t="s">
        <v>32564</v>
      </c>
      <c r="B10465" s="1" t="str">
        <f>HYPERLINK("https://www.catalog.slsa.sa.gov.au/record=b2066704")</f>
        <v>https://www.catalog.slsa.sa.gov.au/record=b2066704</v>
      </c>
      <c r="C10465" s="1" t="str">
        <f>HYPERLINK("https://www.catalog.slsa.sa.gov.au/xrecord=b2066704")</f>
        <v>https://www.catalog.slsa.sa.gov.au/xrecord=b2066704</v>
      </c>
      <c r="D10465" t="s">
        <v>16831</v>
      </c>
      <c r="E10465" t="s">
        <v>32475</v>
      </c>
      <c r="F10465">
        <v>1985</v>
      </c>
      <c r="G10465" t="s">
        <v>15031</v>
      </c>
      <c r="H10465" t="s">
        <v>32538</v>
      </c>
      <c r="I10465" t="s">
        <v>32389</v>
      </c>
      <c r="J10465" t="s">
        <v>32009</v>
      </c>
      <c r="K10465" s="2" t="str">
        <f>HYPERLINK("http://collections.slsa.sa.gov.au/mpcimg/51000/B50875.htm")</f>
        <v>http://collections.slsa.sa.gov.au/mpcimg/51000/B50875.htm</v>
      </c>
    </row>
    <row r="10466" spans="1:11" x14ac:dyDescent="0.25">
      <c r="A10466" t="s">
        <v>32565</v>
      </c>
      <c r="B10466" s="1" t="str">
        <f>HYPERLINK("https://www.catalog.slsa.sa.gov.au/record=b2066705")</f>
        <v>https://www.catalog.slsa.sa.gov.au/record=b2066705</v>
      </c>
      <c r="C10466" s="1" t="str">
        <f>HYPERLINK("https://www.catalog.slsa.sa.gov.au/xrecord=b2066705")</f>
        <v>https://www.catalog.slsa.sa.gov.au/xrecord=b2066705</v>
      </c>
      <c r="D10466" t="s">
        <v>16831</v>
      </c>
      <c r="E10466" t="s">
        <v>32475</v>
      </c>
      <c r="F10466">
        <v>1985</v>
      </c>
      <c r="G10466" t="s">
        <v>15031</v>
      </c>
      <c r="H10466" t="s">
        <v>32538</v>
      </c>
      <c r="I10466" t="s">
        <v>32389</v>
      </c>
      <c r="J10466" t="s">
        <v>32009</v>
      </c>
      <c r="K10466" s="2" t="str">
        <f>HYPERLINK("http://collections.slsa.sa.gov.au/mpcimg/51000/B50876.htm")</f>
        <v>http://collections.slsa.sa.gov.au/mpcimg/51000/B50876.htm</v>
      </c>
    </row>
    <row r="10467" spans="1:11" x14ac:dyDescent="0.25">
      <c r="A10467" t="s">
        <v>32566</v>
      </c>
      <c r="B10467" s="1" t="str">
        <f>HYPERLINK("https://www.catalog.slsa.sa.gov.au/record=b2066706")</f>
        <v>https://www.catalog.slsa.sa.gov.au/record=b2066706</v>
      </c>
      <c r="C10467" s="1" t="str">
        <f>HYPERLINK("https://www.catalog.slsa.sa.gov.au/xrecord=b2066706")</f>
        <v>https://www.catalog.slsa.sa.gov.au/xrecord=b2066706</v>
      </c>
      <c r="D10467" t="s">
        <v>16831</v>
      </c>
      <c r="E10467" t="s">
        <v>32475</v>
      </c>
      <c r="F10467">
        <v>1985</v>
      </c>
      <c r="G10467" t="s">
        <v>15031</v>
      </c>
      <c r="H10467" t="s">
        <v>32538</v>
      </c>
      <c r="I10467" t="s">
        <v>32389</v>
      </c>
      <c r="J10467" t="s">
        <v>32009</v>
      </c>
      <c r="K10467" s="2" t="str">
        <f>HYPERLINK("http://collections.slsa.sa.gov.au/mpcimg/51000/B50877.htm")</f>
        <v>http://collections.slsa.sa.gov.au/mpcimg/51000/B50877.htm</v>
      </c>
    </row>
    <row r="10468" spans="1:11" x14ac:dyDescent="0.25">
      <c r="A10468" t="s">
        <v>32567</v>
      </c>
      <c r="B10468" s="1" t="str">
        <f>HYPERLINK("https://www.catalog.slsa.sa.gov.au/record=b2066707")</f>
        <v>https://www.catalog.slsa.sa.gov.au/record=b2066707</v>
      </c>
      <c r="C10468" s="1" t="str">
        <f>HYPERLINK("https://www.catalog.slsa.sa.gov.au/xrecord=b2066707")</f>
        <v>https://www.catalog.slsa.sa.gov.au/xrecord=b2066707</v>
      </c>
      <c r="D10468" t="s">
        <v>16831</v>
      </c>
      <c r="E10468" t="s">
        <v>32475</v>
      </c>
      <c r="F10468">
        <v>1985</v>
      </c>
      <c r="G10468" t="s">
        <v>15031</v>
      </c>
      <c r="H10468" t="s">
        <v>32538</v>
      </c>
      <c r="I10468" t="s">
        <v>32386</v>
      </c>
      <c r="J10468" t="s">
        <v>32009</v>
      </c>
      <c r="K10468" s="2" t="str">
        <f>HYPERLINK("http://collections.slsa.sa.gov.au/mpcimg/51000/B50878.htm")</f>
        <v>http://collections.slsa.sa.gov.au/mpcimg/51000/B50878.htm</v>
      </c>
    </row>
    <row r="10469" spans="1:11" x14ac:dyDescent="0.25">
      <c r="A10469" t="s">
        <v>32568</v>
      </c>
      <c r="B10469" s="1" t="str">
        <f>HYPERLINK("https://www.catalog.slsa.sa.gov.au/record=b2066708")</f>
        <v>https://www.catalog.slsa.sa.gov.au/record=b2066708</v>
      </c>
      <c r="C10469" s="1" t="str">
        <f>HYPERLINK("https://www.catalog.slsa.sa.gov.au/xrecord=b2066708")</f>
        <v>https://www.catalog.slsa.sa.gov.au/xrecord=b2066708</v>
      </c>
      <c r="D10469" t="s">
        <v>16831</v>
      </c>
      <c r="E10469" t="s">
        <v>32475</v>
      </c>
      <c r="F10469">
        <v>1985</v>
      </c>
      <c r="G10469" t="s">
        <v>15031</v>
      </c>
      <c r="H10469" t="s">
        <v>32538</v>
      </c>
      <c r="I10469" t="s">
        <v>32389</v>
      </c>
      <c r="J10469" t="s">
        <v>32009</v>
      </c>
      <c r="K10469" s="2" t="str">
        <f>HYPERLINK("http://collections.slsa.sa.gov.au/mpcimg/51000/B50879.htm")</f>
        <v>http://collections.slsa.sa.gov.au/mpcimg/51000/B50879.htm</v>
      </c>
    </row>
    <row r="10470" spans="1:11" x14ac:dyDescent="0.25">
      <c r="A10470" t="s">
        <v>32569</v>
      </c>
      <c r="B10470" s="1" t="str">
        <f>HYPERLINK("https://www.catalog.slsa.sa.gov.au/record=b2066709")</f>
        <v>https://www.catalog.slsa.sa.gov.au/record=b2066709</v>
      </c>
      <c r="C10470" s="1" t="str">
        <f>HYPERLINK("https://www.catalog.slsa.sa.gov.au/xrecord=b2066709")</f>
        <v>https://www.catalog.slsa.sa.gov.au/xrecord=b2066709</v>
      </c>
      <c r="D10470" t="s">
        <v>16831</v>
      </c>
      <c r="E10470" t="s">
        <v>32475</v>
      </c>
      <c r="F10470">
        <v>1985</v>
      </c>
      <c r="G10470" t="s">
        <v>15031</v>
      </c>
      <c r="H10470" t="s">
        <v>32538</v>
      </c>
      <c r="I10470" t="s">
        <v>32386</v>
      </c>
      <c r="J10470" t="s">
        <v>32009</v>
      </c>
      <c r="K10470" s="2" t="str">
        <f>HYPERLINK("http://collections.slsa.sa.gov.au/mpcimg/51000/B50880.htm")</f>
        <v>http://collections.slsa.sa.gov.au/mpcimg/51000/B50880.htm</v>
      </c>
    </row>
    <row r="10471" spans="1:11" x14ac:dyDescent="0.25">
      <c r="A10471" t="s">
        <v>32570</v>
      </c>
      <c r="B10471" s="1" t="str">
        <f>HYPERLINK("https://www.catalog.slsa.sa.gov.au/record=b2066710")</f>
        <v>https://www.catalog.slsa.sa.gov.au/record=b2066710</v>
      </c>
      <c r="C10471" s="1" t="str">
        <f>HYPERLINK("https://www.catalog.slsa.sa.gov.au/xrecord=b2066710")</f>
        <v>https://www.catalog.slsa.sa.gov.au/xrecord=b2066710</v>
      </c>
      <c r="D10471" t="s">
        <v>16831</v>
      </c>
      <c r="E10471" t="s">
        <v>32475</v>
      </c>
      <c r="F10471">
        <v>1985</v>
      </c>
      <c r="G10471" t="s">
        <v>15031</v>
      </c>
      <c r="H10471" t="s">
        <v>32538</v>
      </c>
      <c r="I10471" t="s">
        <v>32389</v>
      </c>
      <c r="J10471" t="s">
        <v>32009</v>
      </c>
      <c r="K10471" s="2" t="str">
        <f>HYPERLINK("http://collections.slsa.sa.gov.au/mpcimg/51000/B50881.htm")</f>
        <v>http://collections.slsa.sa.gov.au/mpcimg/51000/B50881.htm</v>
      </c>
    </row>
    <row r="10472" spans="1:11" x14ac:dyDescent="0.25">
      <c r="A10472" t="s">
        <v>32571</v>
      </c>
      <c r="B10472" s="1" t="str">
        <f>HYPERLINK("https://www.catalog.slsa.sa.gov.au/record=b2066711")</f>
        <v>https://www.catalog.slsa.sa.gov.au/record=b2066711</v>
      </c>
      <c r="C10472" s="1" t="str">
        <f>HYPERLINK("https://www.catalog.slsa.sa.gov.au/xrecord=b2066711")</f>
        <v>https://www.catalog.slsa.sa.gov.au/xrecord=b2066711</v>
      </c>
      <c r="D10472" t="s">
        <v>16831</v>
      </c>
      <c r="E10472" t="s">
        <v>32475</v>
      </c>
      <c r="F10472">
        <v>1985</v>
      </c>
      <c r="G10472" t="s">
        <v>15031</v>
      </c>
      <c r="H10472" t="s">
        <v>32538</v>
      </c>
      <c r="I10472" t="s">
        <v>32386</v>
      </c>
      <c r="J10472" t="s">
        <v>32009</v>
      </c>
      <c r="K10472" s="2" t="str">
        <f>HYPERLINK("http://collections.slsa.sa.gov.au/mpcimg/51000/B50882.htm")</f>
        <v>http://collections.slsa.sa.gov.au/mpcimg/51000/B50882.htm</v>
      </c>
    </row>
    <row r="10473" spans="1:11" x14ac:dyDescent="0.25">
      <c r="A10473" t="s">
        <v>32572</v>
      </c>
      <c r="B10473" s="1" t="str">
        <f>HYPERLINK("https://www.catalog.slsa.sa.gov.au/record=b2066712")</f>
        <v>https://www.catalog.slsa.sa.gov.au/record=b2066712</v>
      </c>
      <c r="C10473" s="1" t="str">
        <f>HYPERLINK("https://www.catalog.slsa.sa.gov.au/xrecord=b2066712")</f>
        <v>https://www.catalog.slsa.sa.gov.au/xrecord=b2066712</v>
      </c>
      <c r="D10473" t="s">
        <v>16831</v>
      </c>
      <c r="E10473" t="s">
        <v>32475</v>
      </c>
      <c r="F10473">
        <v>1985</v>
      </c>
      <c r="G10473" t="s">
        <v>15031</v>
      </c>
      <c r="H10473" t="s">
        <v>32538</v>
      </c>
      <c r="I10473" t="s">
        <v>32389</v>
      </c>
      <c r="J10473" t="s">
        <v>32009</v>
      </c>
      <c r="K10473" s="2" t="str">
        <f>HYPERLINK("http://collections.slsa.sa.gov.au/mpcimg/51000/B50883.htm")</f>
        <v>http://collections.slsa.sa.gov.au/mpcimg/51000/B50883.htm</v>
      </c>
    </row>
    <row r="10474" spans="1:11" x14ac:dyDescent="0.25">
      <c r="A10474" t="s">
        <v>32573</v>
      </c>
      <c r="B10474" s="1" t="str">
        <f>HYPERLINK("https://www.catalog.slsa.sa.gov.au/record=b2066713")</f>
        <v>https://www.catalog.slsa.sa.gov.au/record=b2066713</v>
      </c>
      <c r="C10474" s="1" t="str">
        <f>HYPERLINK("https://www.catalog.slsa.sa.gov.au/xrecord=b2066713")</f>
        <v>https://www.catalog.slsa.sa.gov.au/xrecord=b2066713</v>
      </c>
      <c r="D10474" t="s">
        <v>16831</v>
      </c>
      <c r="E10474" t="s">
        <v>32475</v>
      </c>
      <c r="F10474">
        <v>1985</v>
      </c>
      <c r="G10474" t="s">
        <v>16312</v>
      </c>
      <c r="H10474" t="s">
        <v>32538</v>
      </c>
      <c r="I10474" t="s">
        <v>32389</v>
      </c>
      <c r="J10474" t="s">
        <v>32009</v>
      </c>
      <c r="K10474" s="2" t="str">
        <f>HYPERLINK("http://collections.slsa.sa.gov.au/mpcimg/51000/B50884.htm")</f>
        <v>http://collections.slsa.sa.gov.au/mpcimg/51000/B50884.htm</v>
      </c>
    </row>
    <row r="10475" spans="1:11" x14ac:dyDescent="0.25">
      <c r="A10475" t="s">
        <v>32574</v>
      </c>
      <c r="B10475" s="1" t="str">
        <f>HYPERLINK("https://www.catalog.slsa.sa.gov.au/record=b2066714")</f>
        <v>https://www.catalog.slsa.sa.gov.au/record=b2066714</v>
      </c>
      <c r="C10475" s="1" t="str">
        <f>HYPERLINK("https://www.catalog.slsa.sa.gov.au/xrecord=b2066714")</f>
        <v>https://www.catalog.slsa.sa.gov.au/xrecord=b2066714</v>
      </c>
      <c r="D10475" t="s">
        <v>16831</v>
      </c>
      <c r="E10475" t="s">
        <v>32475</v>
      </c>
      <c r="F10475">
        <v>1985</v>
      </c>
      <c r="G10475" t="s">
        <v>15031</v>
      </c>
      <c r="H10475" t="s">
        <v>32538</v>
      </c>
      <c r="I10475" t="s">
        <v>32389</v>
      </c>
      <c r="J10475" t="s">
        <v>32009</v>
      </c>
      <c r="K10475" s="2" t="str">
        <f>HYPERLINK("http://collections.slsa.sa.gov.au/mpcimg/51000/B50885.htm")</f>
        <v>http://collections.slsa.sa.gov.au/mpcimg/51000/B50885.htm</v>
      </c>
    </row>
    <row r="10476" spans="1:11" x14ac:dyDescent="0.25">
      <c r="A10476" t="s">
        <v>32575</v>
      </c>
      <c r="B10476" s="1" t="str">
        <f>HYPERLINK("https://www.catalog.slsa.sa.gov.au/record=b2066715")</f>
        <v>https://www.catalog.slsa.sa.gov.au/record=b2066715</v>
      </c>
      <c r="C10476" s="1" t="str">
        <f>HYPERLINK("https://www.catalog.slsa.sa.gov.au/xrecord=b2066715")</f>
        <v>https://www.catalog.slsa.sa.gov.au/xrecord=b2066715</v>
      </c>
      <c r="D10476" t="s">
        <v>16831</v>
      </c>
      <c r="E10476" t="s">
        <v>32475</v>
      </c>
      <c r="F10476">
        <v>1985</v>
      </c>
      <c r="G10476" t="s">
        <v>15031</v>
      </c>
      <c r="H10476" t="s">
        <v>32538</v>
      </c>
      <c r="I10476" t="s">
        <v>32389</v>
      </c>
      <c r="J10476" t="s">
        <v>32009</v>
      </c>
      <c r="K10476" s="2" t="str">
        <f>HYPERLINK("http://collections.slsa.sa.gov.au/mpcimg/51000/B50886.htm")</f>
        <v>http://collections.slsa.sa.gov.au/mpcimg/51000/B50886.htm</v>
      </c>
    </row>
    <row r="10477" spans="1:11" x14ac:dyDescent="0.25">
      <c r="A10477" t="s">
        <v>32576</v>
      </c>
      <c r="B10477" s="1" t="str">
        <f>HYPERLINK("https://www.catalog.slsa.sa.gov.au/record=b2066716")</f>
        <v>https://www.catalog.slsa.sa.gov.au/record=b2066716</v>
      </c>
      <c r="C10477" s="1" t="str">
        <f>HYPERLINK("https://www.catalog.slsa.sa.gov.au/xrecord=b2066716")</f>
        <v>https://www.catalog.slsa.sa.gov.au/xrecord=b2066716</v>
      </c>
      <c r="D10477" t="s">
        <v>16831</v>
      </c>
      <c r="E10477" t="s">
        <v>32475</v>
      </c>
      <c r="F10477">
        <v>1985</v>
      </c>
      <c r="G10477" t="s">
        <v>15031</v>
      </c>
      <c r="H10477" t="s">
        <v>32538</v>
      </c>
      <c r="I10477" t="s">
        <v>32386</v>
      </c>
      <c r="J10477" t="s">
        <v>32009</v>
      </c>
      <c r="K10477" s="2" t="str">
        <f>HYPERLINK("http://collections.slsa.sa.gov.au/mpcimg/51000/B50887.htm")</f>
        <v>http://collections.slsa.sa.gov.au/mpcimg/51000/B50887.htm</v>
      </c>
    </row>
    <row r="10478" spans="1:11" x14ac:dyDescent="0.25">
      <c r="A10478" t="s">
        <v>32577</v>
      </c>
      <c r="B10478" s="1" t="str">
        <f>HYPERLINK("https://www.catalog.slsa.sa.gov.au/record=b2066717")</f>
        <v>https://www.catalog.slsa.sa.gov.au/record=b2066717</v>
      </c>
      <c r="C10478" s="1" t="str">
        <f>HYPERLINK("https://www.catalog.slsa.sa.gov.au/xrecord=b2066717")</f>
        <v>https://www.catalog.slsa.sa.gov.au/xrecord=b2066717</v>
      </c>
      <c r="D10478" t="s">
        <v>16831</v>
      </c>
      <c r="E10478" t="s">
        <v>32475</v>
      </c>
      <c r="F10478">
        <v>1985</v>
      </c>
      <c r="G10478" t="s">
        <v>15031</v>
      </c>
      <c r="H10478" t="s">
        <v>32538</v>
      </c>
      <c r="I10478" t="s">
        <v>32389</v>
      </c>
      <c r="J10478" t="s">
        <v>32009</v>
      </c>
      <c r="K10478" s="2" t="str">
        <f>HYPERLINK("http://collections.slsa.sa.gov.au/mpcimg/51000/B50888.htm")</f>
        <v>http://collections.slsa.sa.gov.au/mpcimg/51000/B50888.htm</v>
      </c>
    </row>
    <row r="10479" spans="1:11" x14ac:dyDescent="0.25">
      <c r="A10479" t="s">
        <v>32578</v>
      </c>
      <c r="B10479" s="1" t="str">
        <f>HYPERLINK("https://www.catalog.slsa.sa.gov.au/record=b2066718")</f>
        <v>https://www.catalog.slsa.sa.gov.au/record=b2066718</v>
      </c>
      <c r="C10479" s="1" t="str">
        <f>HYPERLINK("https://www.catalog.slsa.sa.gov.au/xrecord=b2066718")</f>
        <v>https://www.catalog.slsa.sa.gov.au/xrecord=b2066718</v>
      </c>
      <c r="D10479" t="s">
        <v>16831</v>
      </c>
      <c r="E10479" t="s">
        <v>32475</v>
      </c>
      <c r="F10479">
        <v>1985</v>
      </c>
      <c r="G10479" t="s">
        <v>15031</v>
      </c>
      <c r="H10479" t="s">
        <v>32538</v>
      </c>
      <c r="I10479" t="s">
        <v>32386</v>
      </c>
      <c r="J10479" t="s">
        <v>32009</v>
      </c>
      <c r="K10479" s="2" t="str">
        <f>HYPERLINK("http://collections.slsa.sa.gov.au/mpcimg/51000/B50889.htm")</f>
        <v>http://collections.slsa.sa.gov.au/mpcimg/51000/B50889.htm</v>
      </c>
    </row>
    <row r="10480" spans="1:11" x14ac:dyDescent="0.25">
      <c r="A10480" t="s">
        <v>32579</v>
      </c>
      <c r="B10480" s="1" t="str">
        <f>HYPERLINK("https://www.catalog.slsa.sa.gov.au/record=b2066719")</f>
        <v>https://www.catalog.slsa.sa.gov.au/record=b2066719</v>
      </c>
      <c r="C10480" s="1" t="str">
        <f>HYPERLINK("https://www.catalog.slsa.sa.gov.au/xrecord=b2066719")</f>
        <v>https://www.catalog.slsa.sa.gov.au/xrecord=b2066719</v>
      </c>
      <c r="D10480" t="s">
        <v>16831</v>
      </c>
      <c r="E10480" t="s">
        <v>32475</v>
      </c>
      <c r="F10480">
        <v>1985</v>
      </c>
      <c r="G10480" t="s">
        <v>15031</v>
      </c>
      <c r="H10480" t="s">
        <v>32538</v>
      </c>
      <c r="I10480" t="s">
        <v>32389</v>
      </c>
      <c r="J10480" t="s">
        <v>32009</v>
      </c>
      <c r="K10480" s="2" t="str">
        <f>HYPERLINK("http://collections.slsa.sa.gov.au/mpcimg/51000/B50890.htm")</f>
        <v>http://collections.slsa.sa.gov.au/mpcimg/51000/B50890.htm</v>
      </c>
    </row>
    <row r="10481" spans="1:11" x14ac:dyDescent="0.25">
      <c r="A10481" t="s">
        <v>32580</v>
      </c>
      <c r="B10481" s="1" t="str">
        <f>HYPERLINK("https://www.catalog.slsa.sa.gov.au/record=b2066720")</f>
        <v>https://www.catalog.slsa.sa.gov.au/record=b2066720</v>
      </c>
      <c r="C10481" s="1" t="str">
        <f>HYPERLINK("https://www.catalog.slsa.sa.gov.au/xrecord=b2066720")</f>
        <v>https://www.catalog.slsa.sa.gov.au/xrecord=b2066720</v>
      </c>
      <c r="D10481" t="s">
        <v>16831</v>
      </c>
      <c r="E10481" t="s">
        <v>32475</v>
      </c>
      <c r="F10481">
        <v>1985</v>
      </c>
      <c r="G10481" t="s">
        <v>15031</v>
      </c>
      <c r="H10481" t="s">
        <v>32538</v>
      </c>
      <c r="I10481" t="s">
        <v>32386</v>
      </c>
      <c r="J10481" t="s">
        <v>32009</v>
      </c>
      <c r="K10481" s="2" t="str">
        <f>HYPERLINK("http://collections.slsa.sa.gov.au/mpcimg/51000/B50891.htm")</f>
        <v>http://collections.slsa.sa.gov.au/mpcimg/51000/B50891.htm</v>
      </c>
    </row>
    <row r="10482" spans="1:11" x14ac:dyDescent="0.25">
      <c r="A10482" t="s">
        <v>32581</v>
      </c>
      <c r="B10482" s="1" t="str">
        <f>HYPERLINK("https://www.catalog.slsa.sa.gov.au/record=b2066721")</f>
        <v>https://www.catalog.slsa.sa.gov.au/record=b2066721</v>
      </c>
      <c r="C10482" s="1" t="str">
        <f>HYPERLINK("https://www.catalog.slsa.sa.gov.au/xrecord=b2066721")</f>
        <v>https://www.catalog.slsa.sa.gov.au/xrecord=b2066721</v>
      </c>
      <c r="D10482" t="s">
        <v>16831</v>
      </c>
      <c r="E10482" t="s">
        <v>32475</v>
      </c>
      <c r="F10482">
        <v>1985</v>
      </c>
      <c r="G10482" t="s">
        <v>15031</v>
      </c>
      <c r="H10482" t="s">
        <v>32538</v>
      </c>
      <c r="I10482" t="s">
        <v>32389</v>
      </c>
      <c r="J10482" t="s">
        <v>32009</v>
      </c>
      <c r="K10482" s="2" t="str">
        <f>HYPERLINK("http://collections.slsa.sa.gov.au/mpcimg/51000/B50892.htm")</f>
        <v>http://collections.slsa.sa.gov.au/mpcimg/51000/B50892.htm</v>
      </c>
    </row>
    <row r="10483" spans="1:11" x14ac:dyDescent="0.25">
      <c r="A10483" t="s">
        <v>32582</v>
      </c>
      <c r="B10483" s="1" t="str">
        <f>HYPERLINK("https://www.catalog.slsa.sa.gov.au/record=b2066722")</f>
        <v>https://www.catalog.slsa.sa.gov.au/record=b2066722</v>
      </c>
      <c r="C10483" s="1" t="str">
        <f>HYPERLINK("https://www.catalog.slsa.sa.gov.au/xrecord=b2066722")</f>
        <v>https://www.catalog.slsa.sa.gov.au/xrecord=b2066722</v>
      </c>
      <c r="D10483" t="s">
        <v>16831</v>
      </c>
      <c r="E10483" t="s">
        <v>32475</v>
      </c>
      <c r="F10483">
        <v>1985</v>
      </c>
      <c r="G10483" t="s">
        <v>15031</v>
      </c>
      <c r="H10483" t="s">
        <v>32538</v>
      </c>
      <c r="I10483" t="s">
        <v>32386</v>
      </c>
      <c r="J10483" t="s">
        <v>32009</v>
      </c>
      <c r="K10483" s="2" t="str">
        <f>HYPERLINK("http://collections.slsa.sa.gov.au/mpcimg/51000/B50893.htm")</f>
        <v>http://collections.slsa.sa.gov.au/mpcimg/51000/B50893.htm</v>
      </c>
    </row>
    <row r="10484" spans="1:11" x14ac:dyDescent="0.25">
      <c r="A10484" t="s">
        <v>32583</v>
      </c>
      <c r="B10484" s="1" t="str">
        <f>HYPERLINK("https://www.catalog.slsa.sa.gov.au/record=b2066723")</f>
        <v>https://www.catalog.slsa.sa.gov.au/record=b2066723</v>
      </c>
      <c r="C10484" s="1" t="str">
        <f>HYPERLINK("https://www.catalog.slsa.sa.gov.au/xrecord=b2066723")</f>
        <v>https://www.catalog.slsa.sa.gov.au/xrecord=b2066723</v>
      </c>
      <c r="D10484" t="s">
        <v>16831</v>
      </c>
      <c r="E10484" t="s">
        <v>32475</v>
      </c>
      <c r="F10484">
        <v>1985</v>
      </c>
      <c r="G10484" t="s">
        <v>15031</v>
      </c>
      <c r="H10484" t="s">
        <v>32538</v>
      </c>
      <c r="I10484" t="s">
        <v>32389</v>
      </c>
      <c r="J10484" t="s">
        <v>32009</v>
      </c>
      <c r="K10484" s="2" t="str">
        <f>HYPERLINK("http://collections.slsa.sa.gov.au/mpcimg/51000/B50894.htm")</f>
        <v>http://collections.slsa.sa.gov.au/mpcimg/51000/B50894.htm</v>
      </c>
    </row>
    <row r="10485" spans="1:11" x14ac:dyDescent="0.25">
      <c r="A10485" t="s">
        <v>32584</v>
      </c>
      <c r="B10485" s="1" t="str">
        <f>HYPERLINK("https://www.catalog.slsa.sa.gov.au/record=b2066724")</f>
        <v>https://www.catalog.slsa.sa.gov.au/record=b2066724</v>
      </c>
      <c r="C10485" s="1" t="str">
        <f>HYPERLINK("https://www.catalog.slsa.sa.gov.au/xrecord=b2066724")</f>
        <v>https://www.catalog.slsa.sa.gov.au/xrecord=b2066724</v>
      </c>
      <c r="D10485" t="s">
        <v>16831</v>
      </c>
      <c r="E10485" t="s">
        <v>32475</v>
      </c>
      <c r="F10485">
        <v>1985</v>
      </c>
      <c r="G10485" t="s">
        <v>15031</v>
      </c>
      <c r="H10485" t="s">
        <v>32585</v>
      </c>
      <c r="I10485" t="s">
        <v>32386</v>
      </c>
      <c r="J10485" t="s">
        <v>32009</v>
      </c>
      <c r="K10485" s="2" t="str">
        <f>HYPERLINK("http://collections.slsa.sa.gov.au/mpcimg/51000/B50895.htm")</f>
        <v>http://collections.slsa.sa.gov.au/mpcimg/51000/B50895.htm</v>
      </c>
    </row>
    <row r="10486" spans="1:11" x14ac:dyDescent="0.25">
      <c r="A10486" t="s">
        <v>32586</v>
      </c>
      <c r="B10486" s="1" t="str">
        <f>HYPERLINK("https://www.catalog.slsa.sa.gov.au/record=b2066725")</f>
        <v>https://www.catalog.slsa.sa.gov.au/record=b2066725</v>
      </c>
      <c r="C10486" s="1" t="str">
        <f>HYPERLINK("https://www.catalog.slsa.sa.gov.au/xrecord=b2066725")</f>
        <v>https://www.catalog.slsa.sa.gov.au/xrecord=b2066725</v>
      </c>
      <c r="D10486" t="s">
        <v>16831</v>
      </c>
      <c r="E10486" t="s">
        <v>32475</v>
      </c>
      <c r="F10486">
        <v>1985</v>
      </c>
      <c r="G10486" t="s">
        <v>15031</v>
      </c>
      <c r="H10486" t="s">
        <v>32538</v>
      </c>
      <c r="I10486" t="s">
        <v>32389</v>
      </c>
      <c r="J10486" t="s">
        <v>32009</v>
      </c>
      <c r="K10486" s="2" t="str">
        <f>HYPERLINK("http://collections.slsa.sa.gov.au/mpcimg/51000/B50896.htm")</f>
        <v>http://collections.slsa.sa.gov.au/mpcimg/51000/B50896.htm</v>
      </c>
    </row>
    <row r="10487" spans="1:11" x14ac:dyDescent="0.25">
      <c r="A10487" t="s">
        <v>32587</v>
      </c>
      <c r="B10487" s="1" t="str">
        <f>HYPERLINK("https://www.catalog.slsa.sa.gov.au/record=b2066726")</f>
        <v>https://www.catalog.slsa.sa.gov.au/record=b2066726</v>
      </c>
      <c r="C10487" s="1" t="str">
        <f>HYPERLINK("https://www.catalog.slsa.sa.gov.au/xrecord=b2066726")</f>
        <v>https://www.catalog.slsa.sa.gov.au/xrecord=b2066726</v>
      </c>
      <c r="D10487" t="s">
        <v>16831</v>
      </c>
      <c r="E10487" t="s">
        <v>32475</v>
      </c>
      <c r="F10487">
        <v>1985</v>
      </c>
      <c r="G10487" t="s">
        <v>15031</v>
      </c>
      <c r="H10487" t="s">
        <v>32538</v>
      </c>
      <c r="I10487" t="s">
        <v>32386</v>
      </c>
      <c r="J10487" t="s">
        <v>32009</v>
      </c>
      <c r="K10487" s="2" t="str">
        <f>HYPERLINK("http://collections.slsa.sa.gov.au/mpcimg/51000/B50897.htm")</f>
        <v>http://collections.slsa.sa.gov.au/mpcimg/51000/B50897.htm</v>
      </c>
    </row>
    <row r="10488" spans="1:11" x14ac:dyDescent="0.25">
      <c r="A10488" t="s">
        <v>32588</v>
      </c>
      <c r="B10488" s="1" t="str">
        <f>HYPERLINK("https://www.catalog.slsa.sa.gov.au/record=b2066727")</f>
        <v>https://www.catalog.slsa.sa.gov.au/record=b2066727</v>
      </c>
      <c r="C10488" s="1" t="str">
        <f>HYPERLINK("https://www.catalog.slsa.sa.gov.au/xrecord=b2066727")</f>
        <v>https://www.catalog.slsa.sa.gov.au/xrecord=b2066727</v>
      </c>
      <c r="D10488" t="s">
        <v>16831</v>
      </c>
      <c r="E10488" t="s">
        <v>32475</v>
      </c>
      <c r="F10488">
        <v>1985</v>
      </c>
      <c r="G10488" t="s">
        <v>15031</v>
      </c>
      <c r="H10488" t="s">
        <v>32538</v>
      </c>
      <c r="I10488" t="s">
        <v>32389</v>
      </c>
      <c r="J10488" t="s">
        <v>32009</v>
      </c>
      <c r="K10488" s="2" t="str">
        <f>HYPERLINK("http://collections.slsa.sa.gov.au/mpcimg/51000/B50898.htm")</f>
        <v>http://collections.slsa.sa.gov.au/mpcimg/51000/B50898.htm</v>
      </c>
    </row>
    <row r="10489" spans="1:11" x14ac:dyDescent="0.25">
      <c r="A10489" t="s">
        <v>32589</v>
      </c>
      <c r="B10489" s="1" t="str">
        <f>HYPERLINK("https://www.catalog.slsa.sa.gov.au/record=b2066728")</f>
        <v>https://www.catalog.slsa.sa.gov.au/record=b2066728</v>
      </c>
      <c r="C10489" s="1" t="str">
        <f>HYPERLINK("https://www.catalog.slsa.sa.gov.au/xrecord=b2066728")</f>
        <v>https://www.catalog.slsa.sa.gov.au/xrecord=b2066728</v>
      </c>
      <c r="D10489" t="s">
        <v>16831</v>
      </c>
      <c r="E10489" t="s">
        <v>32475</v>
      </c>
      <c r="F10489">
        <v>1985</v>
      </c>
      <c r="G10489" t="s">
        <v>15031</v>
      </c>
      <c r="H10489" t="s">
        <v>32590</v>
      </c>
      <c r="I10489" t="s">
        <v>32386</v>
      </c>
      <c r="J10489" t="s">
        <v>32009</v>
      </c>
      <c r="K10489" s="2" t="str">
        <f>HYPERLINK("http://collections.slsa.sa.gov.au/mpcimg/51000/B50899.htm")</f>
        <v>http://collections.slsa.sa.gov.au/mpcimg/51000/B50899.htm</v>
      </c>
    </row>
    <row r="10490" spans="1:11" x14ac:dyDescent="0.25">
      <c r="A10490" t="s">
        <v>32591</v>
      </c>
      <c r="B10490" s="1" t="str">
        <f>HYPERLINK("https://www.catalog.slsa.sa.gov.au/record=b2066729")</f>
        <v>https://www.catalog.slsa.sa.gov.au/record=b2066729</v>
      </c>
      <c r="C10490" s="1" t="str">
        <f>HYPERLINK("https://www.catalog.slsa.sa.gov.au/xrecord=b2066729")</f>
        <v>https://www.catalog.slsa.sa.gov.au/xrecord=b2066729</v>
      </c>
      <c r="D10490" t="s">
        <v>16831</v>
      </c>
      <c r="E10490" t="s">
        <v>32475</v>
      </c>
      <c r="F10490">
        <v>1985</v>
      </c>
      <c r="G10490" t="s">
        <v>15031</v>
      </c>
      <c r="H10490" t="s">
        <v>32528</v>
      </c>
      <c r="I10490" t="s">
        <v>32389</v>
      </c>
      <c r="J10490" t="s">
        <v>32009</v>
      </c>
      <c r="K10490" s="2" t="str">
        <f>HYPERLINK("http://collections.slsa.sa.gov.au/mpcimg/51000/B50900.htm")</f>
        <v>http://collections.slsa.sa.gov.au/mpcimg/51000/B50900.htm</v>
      </c>
    </row>
    <row r="10491" spans="1:11" x14ac:dyDescent="0.25">
      <c r="A10491" t="s">
        <v>32592</v>
      </c>
      <c r="B10491" s="1" t="str">
        <f>HYPERLINK("https://www.catalog.slsa.sa.gov.au/record=b2066730")</f>
        <v>https://www.catalog.slsa.sa.gov.au/record=b2066730</v>
      </c>
      <c r="C10491" s="1" t="str">
        <f>HYPERLINK("https://www.catalog.slsa.sa.gov.au/xrecord=b2066730")</f>
        <v>https://www.catalog.slsa.sa.gov.au/xrecord=b2066730</v>
      </c>
      <c r="D10491" t="s">
        <v>16831</v>
      </c>
      <c r="E10491" t="s">
        <v>32593</v>
      </c>
      <c r="F10491">
        <v>1985</v>
      </c>
      <c r="G10491" t="s">
        <v>15031</v>
      </c>
      <c r="H10491" t="s">
        <v>32594</v>
      </c>
      <c r="I10491" t="s">
        <v>32386</v>
      </c>
      <c r="J10491" t="s">
        <v>32009</v>
      </c>
      <c r="K10491" s="2" t="str">
        <f>HYPERLINK("http://collections.slsa.sa.gov.au/mpcimg/51000/B50901.htm")</f>
        <v>http://collections.slsa.sa.gov.au/mpcimg/51000/B50901.htm</v>
      </c>
    </row>
    <row r="10492" spans="1:11" x14ac:dyDescent="0.25">
      <c r="A10492" t="s">
        <v>32595</v>
      </c>
      <c r="B10492" s="1" t="str">
        <f>HYPERLINK("https://www.catalog.slsa.sa.gov.au/record=b2068581")</f>
        <v>https://www.catalog.slsa.sa.gov.au/record=b2068581</v>
      </c>
      <c r="C10492" s="1" t="str">
        <f>HYPERLINK("https://www.catalog.slsa.sa.gov.au/xrecord=b2068581")</f>
        <v>https://www.catalog.slsa.sa.gov.au/xrecord=b2068581</v>
      </c>
      <c r="D10492" t="s">
        <v>16831</v>
      </c>
      <c r="E10492" t="s">
        <v>32596</v>
      </c>
      <c r="F10492">
        <v>1985</v>
      </c>
      <c r="G10492" t="s">
        <v>32597</v>
      </c>
      <c r="H10492" t="s">
        <v>32598</v>
      </c>
      <c r="J10492" t="s">
        <v>32599</v>
      </c>
      <c r="K10492" s="2" t="str">
        <f>HYPERLINK("http://collections.slsa.sa.gov.au/mpcimg/47250/B47180.htm")</f>
        <v>http://collections.slsa.sa.gov.au/mpcimg/47250/B47180.htm</v>
      </c>
    </row>
    <row r="10493" spans="1:11" x14ac:dyDescent="0.25">
      <c r="A10493" t="s">
        <v>32600</v>
      </c>
      <c r="B10493" s="1" t="str">
        <f>HYPERLINK("https://www.catalog.slsa.sa.gov.au/record=b2068582")</f>
        <v>https://www.catalog.slsa.sa.gov.au/record=b2068582</v>
      </c>
      <c r="C10493" s="1" t="str">
        <f>HYPERLINK("https://www.catalog.slsa.sa.gov.au/xrecord=b2068582")</f>
        <v>https://www.catalog.slsa.sa.gov.au/xrecord=b2068582</v>
      </c>
      <c r="D10493" t="s">
        <v>16831</v>
      </c>
      <c r="E10493" t="s">
        <v>32596</v>
      </c>
      <c r="F10493">
        <v>1985</v>
      </c>
      <c r="G10493" t="s">
        <v>32597</v>
      </c>
      <c r="H10493" t="s">
        <v>32598</v>
      </c>
      <c r="J10493" t="s">
        <v>32599</v>
      </c>
      <c r="K10493" s="2" t="str">
        <f>HYPERLINK("http://collections.slsa.sa.gov.au/mpcimg/47250/B47181.htm")</f>
        <v>http://collections.slsa.sa.gov.au/mpcimg/47250/B47181.htm</v>
      </c>
    </row>
    <row r="10494" spans="1:11" x14ac:dyDescent="0.25">
      <c r="A10494" t="s">
        <v>32601</v>
      </c>
      <c r="B10494" s="1" t="str">
        <f>HYPERLINK("https://www.catalog.slsa.sa.gov.au/record=b2068583")</f>
        <v>https://www.catalog.slsa.sa.gov.au/record=b2068583</v>
      </c>
      <c r="C10494" s="1" t="str">
        <f>HYPERLINK("https://www.catalog.slsa.sa.gov.au/xrecord=b2068583")</f>
        <v>https://www.catalog.slsa.sa.gov.au/xrecord=b2068583</v>
      </c>
      <c r="D10494" t="s">
        <v>16831</v>
      </c>
      <c r="E10494" t="s">
        <v>32596</v>
      </c>
      <c r="F10494">
        <v>1985</v>
      </c>
      <c r="G10494" t="s">
        <v>32597</v>
      </c>
      <c r="H10494" t="s">
        <v>32598</v>
      </c>
      <c r="J10494" t="s">
        <v>32599</v>
      </c>
      <c r="K10494" s="2" t="str">
        <f>HYPERLINK("http://collections.slsa.sa.gov.au/mpcimg/47250/B47182.htm")</f>
        <v>http://collections.slsa.sa.gov.au/mpcimg/47250/B47182.htm</v>
      </c>
    </row>
    <row r="10495" spans="1:11" x14ac:dyDescent="0.25">
      <c r="A10495" t="s">
        <v>32602</v>
      </c>
      <c r="B10495" s="1" t="str">
        <f>HYPERLINK("https://www.catalog.slsa.sa.gov.au/record=b2068584")</f>
        <v>https://www.catalog.slsa.sa.gov.au/record=b2068584</v>
      </c>
      <c r="C10495" s="1" t="str">
        <f>HYPERLINK("https://www.catalog.slsa.sa.gov.au/xrecord=b2068584")</f>
        <v>https://www.catalog.slsa.sa.gov.au/xrecord=b2068584</v>
      </c>
      <c r="D10495" t="s">
        <v>16831</v>
      </c>
      <c r="E10495" t="s">
        <v>32596</v>
      </c>
      <c r="F10495">
        <v>1985</v>
      </c>
      <c r="G10495" t="s">
        <v>32603</v>
      </c>
      <c r="H10495" t="s">
        <v>32598</v>
      </c>
      <c r="J10495" t="s">
        <v>32599</v>
      </c>
      <c r="K10495" s="2" t="str">
        <f>HYPERLINK("http://collections.slsa.sa.gov.au/mpcimg/47250/B47183.htm")</f>
        <v>http://collections.slsa.sa.gov.au/mpcimg/47250/B47183.htm</v>
      </c>
    </row>
    <row r="10496" spans="1:11" x14ac:dyDescent="0.25">
      <c r="A10496" t="s">
        <v>32604</v>
      </c>
      <c r="B10496" s="1" t="str">
        <f>HYPERLINK("https://www.catalog.slsa.sa.gov.au/record=b2068586")</f>
        <v>https://www.catalog.slsa.sa.gov.au/record=b2068586</v>
      </c>
      <c r="C10496" s="1" t="str">
        <f>HYPERLINK("https://www.catalog.slsa.sa.gov.au/xrecord=b2068586")</f>
        <v>https://www.catalog.slsa.sa.gov.au/xrecord=b2068586</v>
      </c>
      <c r="D10496" t="s">
        <v>16831</v>
      </c>
      <c r="E10496" t="s">
        <v>32596</v>
      </c>
      <c r="F10496">
        <v>1985</v>
      </c>
      <c r="G10496" t="s">
        <v>32597</v>
      </c>
      <c r="H10496" t="s">
        <v>32598</v>
      </c>
      <c r="J10496" t="s">
        <v>32599</v>
      </c>
      <c r="K10496" s="2" t="str">
        <f>HYPERLINK("http://collections.slsa.sa.gov.au/mpcimg/47250/B47185.htm")</f>
        <v>http://collections.slsa.sa.gov.au/mpcimg/47250/B47185.htm</v>
      </c>
    </row>
    <row r="10497" spans="1:11" x14ac:dyDescent="0.25">
      <c r="A10497" t="s">
        <v>32605</v>
      </c>
      <c r="B10497" s="1" t="str">
        <f>HYPERLINK("https://www.catalog.slsa.sa.gov.au/record=b2068587")</f>
        <v>https://www.catalog.slsa.sa.gov.au/record=b2068587</v>
      </c>
      <c r="C10497" s="1" t="str">
        <f>HYPERLINK("https://www.catalog.slsa.sa.gov.au/xrecord=b2068587")</f>
        <v>https://www.catalog.slsa.sa.gov.au/xrecord=b2068587</v>
      </c>
      <c r="D10497" t="s">
        <v>16831</v>
      </c>
      <c r="E10497" t="s">
        <v>32596</v>
      </c>
      <c r="F10497">
        <v>1985</v>
      </c>
      <c r="G10497" t="s">
        <v>32597</v>
      </c>
      <c r="H10497" t="s">
        <v>32598</v>
      </c>
      <c r="J10497" t="s">
        <v>32599</v>
      </c>
      <c r="K10497" s="2" t="str">
        <f>HYPERLINK("http://collections.slsa.sa.gov.au/mpcimg/47250/B47186.htm")</f>
        <v>http://collections.slsa.sa.gov.au/mpcimg/47250/B47186.htm</v>
      </c>
    </row>
    <row r="10498" spans="1:11" x14ac:dyDescent="0.25">
      <c r="A10498" t="s">
        <v>32606</v>
      </c>
      <c r="B10498" s="1" t="str">
        <f>HYPERLINK("https://www.catalog.slsa.sa.gov.au/record=b2068588")</f>
        <v>https://www.catalog.slsa.sa.gov.au/record=b2068588</v>
      </c>
      <c r="C10498" s="1" t="str">
        <f>HYPERLINK("https://www.catalog.slsa.sa.gov.au/xrecord=b2068588")</f>
        <v>https://www.catalog.slsa.sa.gov.au/xrecord=b2068588</v>
      </c>
      <c r="D10498" t="s">
        <v>16831</v>
      </c>
      <c r="E10498" t="s">
        <v>32596</v>
      </c>
      <c r="F10498">
        <v>1985</v>
      </c>
      <c r="G10498" t="s">
        <v>32597</v>
      </c>
      <c r="H10498" t="s">
        <v>32598</v>
      </c>
      <c r="J10498" t="s">
        <v>32599</v>
      </c>
      <c r="K10498" s="2" t="str">
        <f>HYPERLINK("http://collections.slsa.sa.gov.au/mpcimg/47250/B47187.htm")</f>
        <v>http://collections.slsa.sa.gov.au/mpcimg/47250/B47187.htm</v>
      </c>
    </row>
    <row r="10499" spans="1:11" x14ac:dyDescent="0.25">
      <c r="A10499" t="s">
        <v>32607</v>
      </c>
      <c r="B10499" s="1" t="str">
        <f>HYPERLINK("https://www.catalog.slsa.sa.gov.au/record=b2068589")</f>
        <v>https://www.catalog.slsa.sa.gov.au/record=b2068589</v>
      </c>
      <c r="C10499" s="1" t="str">
        <f>HYPERLINK("https://www.catalog.slsa.sa.gov.au/xrecord=b2068589")</f>
        <v>https://www.catalog.slsa.sa.gov.au/xrecord=b2068589</v>
      </c>
      <c r="D10499" t="s">
        <v>16831</v>
      </c>
      <c r="E10499" t="s">
        <v>32596</v>
      </c>
      <c r="F10499">
        <v>1985</v>
      </c>
      <c r="G10499" t="s">
        <v>32597</v>
      </c>
      <c r="H10499" t="s">
        <v>32608</v>
      </c>
      <c r="J10499" t="s">
        <v>32599</v>
      </c>
      <c r="K10499" s="2" t="str">
        <f>HYPERLINK("http://collections.slsa.sa.gov.au/mpcimg/47250/B47188.htm")</f>
        <v>http://collections.slsa.sa.gov.au/mpcimg/47250/B47188.htm</v>
      </c>
    </row>
    <row r="10500" spans="1:11" x14ac:dyDescent="0.25">
      <c r="A10500" t="s">
        <v>32609</v>
      </c>
      <c r="B10500" s="1" t="str">
        <f>HYPERLINK("https://www.catalog.slsa.sa.gov.au/record=b2072813")</f>
        <v>https://www.catalog.slsa.sa.gov.au/record=b2072813</v>
      </c>
      <c r="C10500" s="1" t="str">
        <f>HYPERLINK("https://www.catalog.slsa.sa.gov.au/xrecord=b2072813")</f>
        <v>https://www.catalog.slsa.sa.gov.au/xrecord=b2072813</v>
      </c>
      <c r="D10500" t="s">
        <v>16831</v>
      </c>
      <c r="E10500" t="s">
        <v>32055</v>
      </c>
      <c r="F10500">
        <v>1985</v>
      </c>
      <c r="G10500" t="s">
        <v>32056</v>
      </c>
      <c r="H10500" t="s">
        <v>32610</v>
      </c>
      <c r="I10500" t="s">
        <v>32611</v>
      </c>
      <c r="J10500" t="s">
        <v>32059</v>
      </c>
      <c r="K10500" s="2" t="str">
        <f>HYPERLINK("http://collections.slsa.sa.gov.au/mpcimg/45000/B44900.htm")</f>
        <v>http://collections.slsa.sa.gov.au/mpcimg/45000/B44900.htm</v>
      </c>
    </row>
    <row r="10501" spans="1:11" x14ac:dyDescent="0.25">
      <c r="A10501" t="s">
        <v>32612</v>
      </c>
      <c r="B10501" s="1" t="str">
        <f>HYPERLINK("https://www.catalog.slsa.sa.gov.au/record=b2072814")</f>
        <v>https://www.catalog.slsa.sa.gov.au/record=b2072814</v>
      </c>
      <c r="C10501" s="1" t="str">
        <f>HYPERLINK("https://www.catalog.slsa.sa.gov.au/xrecord=b2072814")</f>
        <v>https://www.catalog.slsa.sa.gov.au/xrecord=b2072814</v>
      </c>
      <c r="D10501" t="s">
        <v>16831</v>
      </c>
      <c r="E10501" t="s">
        <v>32055</v>
      </c>
      <c r="F10501">
        <v>1985</v>
      </c>
      <c r="G10501" t="s">
        <v>32056</v>
      </c>
      <c r="H10501" t="s">
        <v>32610</v>
      </c>
      <c r="I10501" t="s">
        <v>32613</v>
      </c>
      <c r="J10501" t="s">
        <v>32059</v>
      </c>
      <c r="K10501" s="2" t="str">
        <f>HYPERLINK("http://collections.slsa.sa.gov.au/mpcimg/45000/B44901.htm")</f>
        <v>http://collections.slsa.sa.gov.au/mpcimg/45000/B44901.htm</v>
      </c>
    </row>
    <row r="10502" spans="1:11" x14ac:dyDescent="0.25">
      <c r="A10502" t="s">
        <v>32614</v>
      </c>
      <c r="B10502" s="1" t="str">
        <f>HYPERLINK("https://www.catalog.slsa.sa.gov.au/record=b2072815")</f>
        <v>https://www.catalog.slsa.sa.gov.au/record=b2072815</v>
      </c>
      <c r="C10502" s="1" t="str">
        <f>HYPERLINK("https://www.catalog.slsa.sa.gov.au/xrecord=b2072815")</f>
        <v>https://www.catalog.slsa.sa.gov.au/xrecord=b2072815</v>
      </c>
      <c r="D10502" t="s">
        <v>16831</v>
      </c>
      <c r="E10502" t="s">
        <v>32055</v>
      </c>
      <c r="F10502">
        <v>1985</v>
      </c>
      <c r="G10502" t="s">
        <v>32056</v>
      </c>
      <c r="H10502" t="s">
        <v>32615</v>
      </c>
      <c r="I10502" t="s">
        <v>32616</v>
      </c>
      <c r="J10502" t="s">
        <v>32059</v>
      </c>
      <c r="K10502" s="2" t="str">
        <f>HYPERLINK("http://collections.slsa.sa.gov.au/mpcimg/45000/B44902.htm")</f>
        <v>http://collections.slsa.sa.gov.au/mpcimg/45000/B44902.htm</v>
      </c>
    </row>
    <row r="10503" spans="1:11" x14ac:dyDescent="0.25">
      <c r="A10503" t="s">
        <v>32617</v>
      </c>
      <c r="B10503" s="1" t="str">
        <f>HYPERLINK("https://www.catalog.slsa.sa.gov.au/record=b2072816")</f>
        <v>https://www.catalog.slsa.sa.gov.au/record=b2072816</v>
      </c>
      <c r="C10503" s="1" t="str">
        <f>HYPERLINK("https://www.catalog.slsa.sa.gov.au/xrecord=b2072816")</f>
        <v>https://www.catalog.slsa.sa.gov.au/xrecord=b2072816</v>
      </c>
      <c r="D10503" t="s">
        <v>16831</v>
      </c>
      <c r="E10503" t="s">
        <v>32055</v>
      </c>
      <c r="F10503">
        <v>1985</v>
      </c>
      <c r="G10503" t="s">
        <v>32056</v>
      </c>
      <c r="H10503" t="s">
        <v>32618</v>
      </c>
      <c r="I10503" t="s">
        <v>32175</v>
      </c>
      <c r="J10503" t="s">
        <v>32059</v>
      </c>
      <c r="K10503" s="2" t="str">
        <f>HYPERLINK("http://collections.slsa.sa.gov.au/mpcimg/45000/B44903.htm")</f>
        <v>http://collections.slsa.sa.gov.au/mpcimg/45000/B44903.htm</v>
      </c>
    </row>
    <row r="10504" spans="1:11" x14ac:dyDescent="0.25">
      <c r="A10504" t="s">
        <v>32619</v>
      </c>
      <c r="B10504" s="1" t="str">
        <f>HYPERLINK("https://www.catalog.slsa.sa.gov.au/record=b2072817")</f>
        <v>https://www.catalog.slsa.sa.gov.au/record=b2072817</v>
      </c>
      <c r="C10504" s="1" t="str">
        <f>HYPERLINK("https://www.catalog.slsa.sa.gov.au/xrecord=b2072817")</f>
        <v>https://www.catalog.slsa.sa.gov.au/xrecord=b2072817</v>
      </c>
      <c r="D10504" t="s">
        <v>16831</v>
      </c>
      <c r="E10504" t="s">
        <v>32055</v>
      </c>
      <c r="F10504">
        <v>1985</v>
      </c>
      <c r="G10504" t="s">
        <v>32056</v>
      </c>
      <c r="H10504" t="s">
        <v>32620</v>
      </c>
      <c r="I10504" t="s">
        <v>32155</v>
      </c>
      <c r="J10504" t="s">
        <v>32059</v>
      </c>
      <c r="K10504" s="2" t="str">
        <f>HYPERLINK("http://collections.slsa.sa.gov.au/mpcimg/45000/B44904.htm")</f>
        <v>http://collections.slsa.sa.gov.au/mpcimg/45000/B44904.htm</v>
      </c>
    </row>
    <row r="10505" spans="1:11" x14ac:dyDescent="0.25">
      <c r="A10505" t="s">
        <v>32621</v>
      </c>
      <c r="B10505" s="1" t="str">
        <f>HYPERLINK("https://www.catalog.slsa.sa.gov.au/record=b2072818")</f>
        <v>https://www.catalog.slsa.sa.gov.au/record=b2072818</v>
      </c>
      <c r="C10505" s="1" t="str">
        <f>HYPERLINK("https://www.catalog.slsa.sa.gov.au/xrecord=b2072818")</f>
        <v>https://www.catalog.slsa.sa.gov.au/xrecord=b2072818</v>
      </c>
      <c r="D10505" t="s">
        <v>16831</v>
      </c>
      <c r="E10505" t="s">
        <v>32055</v>
      </c>
      <c r="F10505">
        <v>1985</v>
      </c>
      <c r="G10505" t="s">
        <v>32056</v>
      </c>
      <c r="H10505" t="s">
        <v>32620</v>
      </c>
      <c r="I10505" t="s">
        <v>32175</v>
      </c>
      <c r="J10505" t="s">
        <v>32059</v>
      </c>
      <c r="K10505" s="2" t="str">
        <f>HYPERLINK("http://collections.slsa.sa.gov.au/mpcimg/45000/B44905.htm")</f>
        <v>http://collections.slsa.sa.gov.au/mpcimg/45000/B44905.htm</v>
      </c>
    </row>
    <row r="10506" spans="1:11" x14ac:dyDescent="0.25">
      <c r="A10506" t="s">
        <v>32622</v>
      </c>
      <c r="B10506" s="1" t="str">
        <f>HYPERLINK("https://www.catalog.slsa.sa.gov.au/record=b2072819")</f>
        <v>https://www.catalog.slsa.sa.gov.au/record=b2072819</v>
      </c>
      <c r="C10506" s="1" t="str">
        <f>HYPERLINK("https://www.catalog.slsa.sa.gov.au/xrecord=b2072819")</f>
        <v>https://www.catalog.slsa.sa.gov.au/xrecord=b2072819</v>
      </c>
      <c r="D10506" t="s">
        <v>16831</v>
      </c>
      <c r="E10506" t="s">
        <v>32055</v>
      </c>
      <c r="F10506">
        <v>1985</v>
      </c>
      <c r="G10506" t="s">
        <v>32056</v>
      </c>
      <c r="H10506" t="s">
        <v>32623</v>
      </c>
      <c r="I10506" t="s">
        <v>32624</v>
      </c>
      <c r="J10506" t="s">
        <v>32059</v>
      </c>
      <c r="K10506" s="2" t="str">
        <f>HYPERLINK("http://collections.slsa.sa.gov.au/mpcimg/45000/B44906.htm")</f>
        <v>http://collections.slsa.sa.gov.au/mpcimg/45000/B44906.htm</v>
      </c>
    </row>
    <row r="10507" spans="1:11" x14ac:dyDescent="0.25">
      <c r="A10507" t="s">
        <v>32625</v>
      </c>
      <c r="B10507" s="1" t="str">
        <f>HYPERLINK("https://www.catalog.slsa.sa.gov.au/record=b2072820")</f>
        <v>https://www.catalog.slsa.sa.gov.au/record=b2072820</v>
      </c>
      <c r="C10507" s="1" t="str">
        <f>HYPERLINK("https://www.catalog.slsa.sa.gov.au/xrecord=b2072820")</f>
        <v>https://www.catalog.slsa.sa.gov.au/xrecord=b2072820</v>
      </c>
      <c r="D10507" t="s">
        <v>16831</v>
      </c>
      <c r="E10507" t="s">
        <v>32055</v>
      </c>
      <c r="F10507">
        <v>1985</v>
      </c>
      <c r="G10507" t="s">
        <v>32056</v>
      </c>
      <c r="H10507" t="s">
        <v>32623</v>
      </c>
      <c r="I10507" t="s">
        <v>32155</v>
      </c>
      <c r="J10507" t="s">
        <v>32059</v>
      </c>
      <c r="K10507" s="2" t="str">
        <f>HYPERLINK("http://collections.slsa.sa.gov.au/mpcimg/45000/B44907.htm")</f>
        <v>http://collections.slsa.sa.gov.au/mpcimg/45000/B44907.htm</v>
      </c>
    </row>
    <row r="10508" spans="1:11" x14ac:dyDescent="0.25">
      <c r="A10508" t="s">
        <v>32626</v>
      </c>
      <c r="B10508" s="1" t="str">
        <f>HYPERLINK("https://www.catalog.slsa.sa.gov.au/record=b2072821")</f>
        <v>https://www.catalog.slsa.sa.gov.au/record=b2072821</v>
      </c>
      <c r="C10508" s="1" t="str">
        <f>HYPERLINK("https://www.catalog.slsa.sa.gov.au/xrecord=b2072821")</f>
        <v>https://www.catalog.slsa.sa.gov.au/xrecord=b2072821</v>
      </c>
      <c r="D10508" t="s">
        <v>16831</v>
      </c>
      <c r="E10508" t="s">
        <v>32055</v>
      </c>
      <c r="F10508">
        <v>1985</v>
      </c>
      <c r="G10508" t="s">
        <v>32056</v>
      </c>
      <c r="H10508" t="s">
        <v>32623</v>
      </c>
      <c r="I10508" t="s">
        <v>32175</v>
      </c>
      <c r="J10508" t="s">
        <v>32059</v>
      </c>
      <c r="K10508" s="2" t="str">
        <f>HYPERLINK("http://collections.slsa.sa.gov.au/mpcimg/45000/B44908.htm")</f>
        <v>http://collections.slsa.sa.gov.au/mpcimg/45000/B44908.htm</v>
      </c>
    </row>
    <row r="10509" spans="1:11" x14ac:dyDescent="0.25">
      <c r="A10509" t="s">
        <v>32627</v>
      </c>
      <c r="B10509" s="1" t="str">
        <f>HYPERLINK("https://www.catalog.slsa.sa.gov.au/record=b2072822")</f>
        <v>https://www.catalog.slsa.sa.gov.au/record=b2072822</v>
      </c>
      <c r="C10509" s="1" t="str">
        <f>HYPERLINK("https://www.catalog.slsa.sa.gov.au/xrecord=b2072822")</f>
        <v>https://www.catalog.slsa.sa.gov.au/xrecord=b2072822</v>
      </c>
      <c r="D10509" t="s">
        <v>16831</v>
      </c>
      <c r="E10509" t="s">
        <v>32055</v>
      </c>
      <c r="F10509">
        <v>1985</v>
      </c>
      <c r="G10509" t="s">
        <v>32056</v>
      </c>
      <c r="H10509" t="s">
        <v>32623</v>
      </c>
      <c r="I10509" t="s">
        <v>32175</v>
      </c>
      <c r="J10509" t="s">
        <v>32059</v>
      </c>
      <c r="K10509" s="2" t="str">
        <f>HYPERLINK("http://collections.slsa.sa.gov.au/mpcimg/45000/B44909.htm")</f>
        <v>http://collections.slsa.sa.gov.au/mpcimg/45000/B44909.htm</v>
      </c>
    </row>
    <row r="10510" spans="1:11" x14ac:dyDescent="0.25">
      <c r="A10510" t="s">
        <v>32628</v>
      </c>
      <c r="B10510" s="1" t="str">
        <f>HYPERLINK("https://www.catalog.slsa.sa.gov.au/record=b2072823")</f>
        <v>https://www.catalog.slsa.sa.gov.au/record=b2072823</v>
      </c>
      <c r="C10510" s="1" t="str">
        <f>HYPERLINK("https://www.catalog.slsa.sa.gov.au/xrecord=b2072823")</f>
        <v>https://www.catalog.slsa.sa.gov.au/xrecord=b2072823</v>
      </c>
      <c r="D10510" t="s">
        <v>16831</v>
      </c>
      <c r="E10510" t="s">
        <v>32055</v>
      </c>
      <c r="F10510">
        <v>1985</v>
      </c>
      <c r="G10510" t="s">
        <v>32056</v>
      </c>
      <c r="H10510" t="s">
        <v>32623</v>
      </c>
      <c r="I10510" t="s">
        <v>32175</v>
      </c>
      <c r="J10510" t="s">
        <v>32059</v>
      </c>
      <c r="K10510" s="2" t="str">
        <f>HYPERLINK("http://collections.slsa.sa.gov.au/mpcimg/45000/B44910.htm")</f>
        <v>http://collections.slsa.sa.gov.au/mpcimg/45000/B44910.htm</v>
      </c>
    </row>
    <row r="10511" spans="1:11" x14ac:dyDescent="0.25">
      <c r="A10511" t="s">
        <v>32629</v>
      </c>
      <c r="B10511" s="1" t="str">
        <f>HYPERLINK("https://www.catalog.slsa.sa.gov.au/record=b2072824")</f>
        <v>https://www.catalog.slsa.sa.gov.au/record=b2072824</v>
      </c>
      <c r="C10511" s="1" t="str">
        <f>HYPERLINK("https://www.catalog.slsa.sa.gov.au/xrecord=b2072824")</f>
        <v>https://www.catalog.slsa.sa.gov.au/xrecord=b2072824</v>
      </c>
      <c r="D10511" t="s">
        <v>16831</v>
      </c>
      <c r="E10511" t="s">
        <v>32055</v>
      </c>
      <c r="F10511">
        <v>1985</v>
      </c>
      <c r="G10511" t="s">
        <v>32056</v>
      </c>
      <c r="H10511" t="s">
        <v>32623</v>
      </c>
      <c r="I10511" t="s">
        <v>32155</v>
      </c>
      <c r="J10511" t="s">
        <v>32059</v>
      </c>
      <c r="K10511" s="2" t="str">
        <f>HYPERLINK("http://collections.slsa.sa.gov.au/mpcimg/45000/B44911.htm")</f>
        <v>http://collections.slsa.sa.gov.au/mpcimg/45000/B44911.htm</v>
      </c>
    </row>
    <row r="10512" spans="1:11" x14ac:dyDescent="0.25">
      <c r="A10512" t="s">
        <v>32630</v>
      </c>
      <c r="B10512" s="1" t="str">
        <f>HYPERLINK("https://www.catalog.slsa.sa.gov.au/record=b2072825")</f>
        <v>https://www.catalog.slsa.sa.gov.au/record=b2072825</v>
      </c>
      <c r="C10512" s="1" t="str">
        <f>HYPERLINK("https://www.catalog.slsa.sa.gov.au/xrecord=b2072825")</f>
        <v>https://www.catalog.slsa.sa.gov.au/xrecord=b2072825</v>
      </c>
      <c r="D10512" t="s">
        <v>16831</v>
      </c>
      <c r="E10512" t="s">
        <v>32055</v>
      </c>
      <c r="F10512">
        <v>1985</v>
      </c>
      <c r="G10512" t="s">
        <v>32056</v>
      </c>
      <c r="H10512" t="s">
        <v>32631</v>
      </c>
      <c r="I10512" t="s">
        <v>32632</v>
      </c>
      <c r="J10512" t="s">
        <v>32059</v>
      </c>
      <c r="K10512" s="2" t="str">
        <f>HYPERLINK("http://collections.slsa.sa.gov.au/mpcimg/45000/B44912.htm")</f>
        <v>http://collections.slsa.sa.gov.au/mpcimg/45000/B44912.htm</v>
      </c>
    </row>
    <row r="10513" spans="1:11" x14ac:dyDescent="0.25">
      <c r="A10513" t="s">
        <v>32633</v>
      </c>
      <c r="B10513" s="1" t="str">
        <f>HYPERLINK("https://www.catalog.slsa.sa.gov.au/record=b2072826")</f>
        <v>https://www.catalog.slsa.sa.gov.au/record=b2072826</v>
      </c>
      <c r="C10513" s="1" t="str">
        <f>HYPERLINK("https://www.catalog.slsa.sa.gov.au/xrecord=b2072826")</f>
        <v>https://www.catalog.slsa.sa.gov.au/xrecord=b2072826</v>
      </c>
      <c r="D10513" t="s">
        <v>16831</v>
      </c>
      <c r="E10513" t="s">
        <v>32055</v>
      </c>
      <c r="F10513">
        <v>1985</v>
      </c>
      <c r="G10513" t="s">
        <v>32056</v>
      </c>
      <c r="H10513" t="s">
        <v>32634</v>
      </c>
      <c r="I10513" t="s">
        <v>32191</v>
      </c>
      <c r="J10513" t="s">
        <v>32059</v>
      </c>
      <c r="K10513" s="2" t="str">
        <f>HYPERLINK("http://collections.slsa.sa.gov.au/mpcimg/45000/B44913.htm")</f>
        <v>http://collections.slsa.sa.gov.au/mpcimg/45000/B44913.htm</v>
      </c>
    </row>
    <row r="10514" spans="1:11" x14ac:dyDescent="0.25">
      <c r="A10514" t="s">
        <v>32635</v>
      </c>
      <c r="B10514" s="1" t="str">
        <f>HYPERLINK("https://www.catalog.slsa.sa.gov.au/record=b2072827")</f>
        <v>https://www.catalog.slsa.sa.gov.au/record=b2072827</v>
      </c>
      <c r="C10514" s="1" t="str">
        <f>HYPERLINK("https://www.catalog.slsa.sa.gov.au/xrecord=b2072827")</f>
        <v>https://www.catalog.slsa.sa.gov.au/xrecord=b2072827</v>
      </c>
      <c r="D10514" t="s">
        <v>16831</v>
      </c>
      <c r="E10514" t="s">
        <v>32055</v>
      </c>
      <c r="F10514">
        <v>1985</v>
      </c>
      <c r="G10514" t="s">
        <v>32056</v>
      </c>
      <c r="H10514" t="s">
        <v>32634</v>
      </c>
      <c r="I10514" t="s">
        <v>32191</v>
      </c>
      <c r="J10514" t="s">
        <v>32059</v>
      </c>
      <c r="K10514" s="2" t="str">
        <f>HYPERLINK("http://collections.slsa.sa.gov.au/mpcimg/45000/B44914.htm")</f>
        <v>http://collections.slsa.sa.gov.au/mpcimg/45000/B44914.htm</v>
      </c>
    </row>
    <row r="10515" spans="1:11" x14ac:dyDescent="0.25">
      <c r="A10515" t="s">
        <v>32636</v>
      </c>
      <c r="B10515" s="1" t="str">
        <f>HYPERLINK("https://www.catalog.slsa.sa.gov.au/record=b2072828")</f>
        <v>https://www.catalog.slsa.sa.gov.au/record=b2072828</v>
      </c>
      <c r="C10515" s="1" t="str">
        <f>HYPERLINK("https://www.catalog.slsa.sa.gov.au/xrecord=b2072828")</f>
        <v>https://www.catalog.slsa.sa.gov.au/xrecord=b2072828</v>
      </c>
      <c r="D10515" t="s">
        <v>16831</v>
      </c>
      <c r="E10515" t="s">
        <v>32055</v>
      </c>
      <c r="F10515">
        <v>1985</v>
      </c>
      <c r="G10515" t="s">
        <v>32056</v>
      </c>
      <c r="H10515" t="s">
        <v>32634</v>
      </c>
      <c r="I10515" t="s">
        <v>32193</v>
      </c>
      <c r="J10515" t="s">
        <v>32059</v>
      </c>
      <c r="K10515" s="2" t="str">
        <f>HYPERLINK("http://collections.slsa.sa.gov.au/mpcimg/45000/B44915.htm")</f>
        <v>http://collections.slsa.sa.gov.au/mpcimg/45000/B44915.htm</v>
      </c>
    </row>
    <row r="10516" spans="1:11" x14ac:dyDescent="0.25">
      <c r="A10516" t="s">
        <v>32637</v>
      </c>
      <c r="B10516" s="1" t="str">
        <f>HYPERLINK("https://www.catalog.slsa.sa.gov.au/record=b2072829")</f>
        <v>https://www.catalog.slsa.sa.gov.au/record=b2072829</v>
      </c>
      <c r="C10516" s="1" t="str">
        <f>HYPERLINK("https://www.catalog.slsa.sa.gov.au/xrecord=b2072829")</f>
        <v>https://www.catalog.slsa.sa.gov.au/xrecord=b2072829</v>
      </c>
      <c r="D10516" t="s">
        <v>16831</v>
      </c>
      <c r="E10516" t="s">
        <v>32055</v>
      </c>
      <c r="F10516">
        <v>1985</v>
      </c>
      <c r="G10516" t="s">
        <v>32056</v>
      </c>
      <c r="H10516" t="s">
        <v>32634</v>
      </c>
      <c r="I10516" t="s">
        <v>32191</v>
      </c>
      <c r="J10516" t="s">
        <v>32059</v>
      </c>
      <c r="K10516" s="2" t="str">
        <f>HYPERLINK("http://collections.slsa.sa.gov.au/mpcimg/45000/B44916.htm")</f>
        <v>http://collections.slsa.sa.gov.au/mpcimg/45000/B44916.htm</v>
      </c>
    </row>
    <row r="10517" spans="1:11" x14ac:dyDescent="0.25">
      <c r="A10517" t="s">
        <v>32638</v>
      </c>
      <c r="B10517" s="1" t="str">
        <f>HYPERLINK("https://www.catalog.slsa.sa.gov.au/record=b2072830")</f>
        <v>https://www.catalog.slsa.sa.gov.au/record=b2072830</v>
      </c>
      <c r="C10517" s="1" t="str">
        <f>HYPERLINK("https://www.catalog.slsa.sa.gov.au/xrecord=b2072830")</f>
        <v>https://www.catalog.slsa.sa.gov.au/xrecord=b2072830</v>
      </c>
      <c r="D10517" t="s">
        <v>16831</v>
      </c>
      <c r="E10517" t="s">
        <v>32055</v>
      </c>
      <c r="F10517">
        <v>1985</v>
      </c>
      <c r="G10517" t="s">
        <v>32056</v>
      </c>
      <c r="H10517" t="s">
        <v>32639</v>
      </c>
      <c r="I10517" t="s">
        <v>32613</v>
      </c>
      <c r="J10517" t="s">
        <v>32059</v>
      </c>
      <c r="K10517" s="2" t="str">
        <f>HYPERLINK("http://collections.slsa.sa.gov.au/mpcimg/45000/B44917.htm")</f>
        <v>http://collections.slsa.sa.gov.au/mpcimg/45000/B44917.htm</v>
      </c>
    </row>
    <row r="10518" spans="1:11" x14ac:dyDescent="0.25">
      <c r="A10518" t="s">
        <v>32640</v>
      </c>
      <c r="B10518" s="1" t="str">
        <f>HYPERLINK("https://www.catalog.slsa.sa.gov.au/record=b2072831")</f>
        <v>https://www.catalog.slsa.sa.gov.au/record=b2072831</v>
      </c>
      <c r="C10518" s="1" t="str">
        <f>HYPERLINK("https://www.catalog.slsa.sa.gov.au/xrecord=b2072831")</f>
        <v>https://www.catalog.slsa.sa.gov.au/xrecord=b2072831</v>
      </c>
      <c r="D10518" t="s">
        <v>16831</v>
      </c>
      <c r="E10518" t="s">
        <v>32055</v>
      </c>
      <c r="F10518">
        <v>1985</v>
      </c>
      <c r="G10518" t="s">
        <v>32056</v>
      </c>
      <c r="H10518" t="s">
        <v>32639</v>
      </c>
      <c r="I10518" t="s">
        <v>32613</v>
      </c>
      <c r="J10518" t="s">
        <v>32059</v>
      </c>
      <c r="K10518" s="2" t="str">
        <f>HYPERLINK("http://collections.slsa.sa.gov.au/mpcimg/45000/B44918.htm")</f>
        <v>http://collections.slsa.sa.gov.au/mpcimg/45000/B44918.htm</v>
      </c>
    </row>
    <row r="10519" spans="1:11" x14ac:dyDescent="0.25">
      <c r="A10519" t="s">
        <v>32641</v>
      </c>
      <c r="B10519" s="1" t="str">
        <f>HYPERLINK("https://www.catalog.slsa.sa.gov.au/record=b2072832")</f>
        <v>https://www.catalog.slsa.sa.gov.au/record=b2072832</v>
      </c>
      <c r="C10519" s="1" t="str">
        <f>HYPERLINK("https://www.catalog.slsa.sa.gov.au/xrecord=b2072832")</f>
        <v>https://www.catalog.slsa.sa.gov.au/xrecord=b2072832</v>
      </c>
      <c r="D10519" t="s">
        <v>16831</v>
      </c>
      <c r="E10519" t="s">
        <v>32055</v>
      </c>
      <c r="F10519">
        <v>1985</v>
      </c>
      <c r="G10519" t="s">
        <v>32056</v>
      </c>
      <c r="H10519" t="s">
        <v>32639</v>
      </c>
      <c r="I10519" t="s">
        <v>32616</v>
      </c>
      <c r="J10519" t="s">
        <v>32059</v>
      </c>
      <c r="K10519" s="2" t="str">
        <f>HYPERLINK("http://collections.slsa.sa.gov.au/mpcimg/45000/B44919.htm")</f>
        <v>http://collections.slsa.sa.gov.au/mpcimg/45000/B44919.htm</v>
      </c>
    </row>
    <row r="10520" spans="1:11" x14ac:dyDescent="0.25">
      <c r="A10520" t="s">
        <v>32642</v>
      </c>
      <c r="B10520" s="1" t="str">
        <f>HYPERLINK("https://www.catalog.slsa.sa.gov.au/record=b2072833")</f>
        <v>https://www.catalog.slsa.sa.gov.au/record=b2072833</v>
      </c>
      <c r="C10520" s="1" t="str">
        <f>HYPERLINK("https://www.catalog.slsa.sa.gov.au/xrecord=b2072833")</f>
        <v>https://www.catalog.slsa.sa.gov.au/xrecord=b2072833</v>
      </c>
      <c r="D10520" t="s">
        <v>16831</v>
      </c>
      <c r="E10520" t="s">
        <v>32055</v>
      </c>
      <c r="F10520">
        <v>1985</v>
      </c>
      <c r="G10520" t="s">
        <v>32056</v>
      </c>
      <c r="H10520" t="s">
        <v>32639</v>
      </c>
      <c r="I10520" t="s">
        <v>32613</v>
      </c>
      <c r="J10520" t="s">
        <v>32059</v>
      </c>
      <c r="K10520" s="2" t="str">
        <f>HYPERLINK("http://collections.slsa.sa.gov.au/mpcimg/45000/B44920.htm")</f>
        <v>http://collections.slsa.sa.gov.au/mpcimg/45000/B44920.htm</v>
      </c>
    </row>
    <row r="10521" spans="1:11" x14ac:dyDescent="0.25">
      <c r="A10521" t="s">
        <v>32643</v>
      </c>
      <c r="B10521" s="1" t="str">
        <f>HYPERLINK("https://www.catalog.slsa.sa.gov.au/record=b2072834")</f>
        <v>https://www.catalog.slsa.sa.gov.au/record=b2072834</v>
      </c>
      <c r="C10521" s="1" t="str">
        <f>HYPERLINK("https://www.catalog.slsa.sa.gov.au/xrecord=b2072834")</f>
        <v>https://www.catalog.slsa.sa.gov.au/xrecord=b2072834</v>
      </c>
      <c r="D10521" t="s">
        <v>16831</v>
      </c>
      <c r="E10521" t="s">
        <v>32055</v>
      </c>
      <c r="F10521">
        <v>1985</v>
      </c>
      <c r="G10521" t="s">
        <v>32056</v>
      </c>
      <c r="H10521" t="s">
        <v>32187</v>
      </c>
      <c r="I10521" t="s">
        <v>32155</v>
      </c>
      <c r="J10521" t="s">
        <v>32059</v>
      </c>
      <c r="K10521" s="2" t="str">
        <f>HYPERLINK("http://collections.slsa.sa.gov.au/mpcimg/45000/B44921.htm")</f>
        <v>http://collections.slsa.sa.gov.au/mpcimg/45000/B44921.htm</v>
      </c>
    </row>
    <row r="10522" spans="1:11" x14ac:dyDescent="0.25">
      <c r="A10522" t="s">
        <v>32644</v>
      </c>
      <c r="B10522" s="1" t="str">
        <f>HYPERLINK("https://www.catalog.slsa.sa.gov.au/record=b2074747")</f>
        <v>https://www.catalog.slsa.sa.gov.au/record=b2074747</v>
      </c>
      <c r="C10522" s="1" t="str">
        <f>HYPERLINK("https://www.catalog.slsa.sa.gov.au/xrecord=b2074747")</f>
        <v>https://www.catalog.slsa.sa.gov.au/xrecord=b2074747</v>
      </c>
      <c r="D10522" t="s">
        <v>16831</v>
      </c>
      <c r="E10522" t="s">
        <v>32645</v>
      </c>
      <c r="F10522">
        <v>1985</v>
      </c>
      <c r="G10522" t="s">
        <v>32646</v>
      </c>
      <c r="H10522" t="s">
        <v>32647</v>
      </c>
      <c r="I10522" t="s">
        <v>32648</v>
      </c>
      <c r="J10522" t="s">
        <v>23328</v>
      </c>
      <c r="K10522" s="2" t="str">
        <f>HYPERLINK("http://collections.slsa.sa.gov.au/mpcimg/64250/B64246.htm")</f>
        <v>http://collections.slsa.sa.gov.au/mpcimg/64250/B64246.htm</v>
      </c>
    </row>
    <row r="10523" spans="1:11" x14ac:dyDescent="0.25">
      <c r="A10523" t="s">
        <v>32649</v>
      </c>
      <c r="B10523" s="1" t="str">
        <f>HYPERLINK("https://www.catalog.slsa.sa.gov.au/record=b2075725")</f>
        <v>https://www.catalog.slsa.sa.gov.au/record=b2075725</v>
      </c>
      <c r="C10523" s="1" t="str">
        <f>HYPERLINK("https://www.catalog.slsa.sa.gov.au/xrecord=b2075725")</f>
        <v>https://www.catalog.slsa.sa.gov.au/xrecord=b2075725</v>
      </c>
      <c r="D10523" t="s">
        <v>16831</v>
      </c>
      <c r="E10523" t="s">
        <v>32650</v>
      </c>
      <c r="F10523">
        <v>1985</v>
      </c>
      <c r="G10523" t="s">
        <v>15269</v>
      </c>
      <c r="H10523" t="s">
        <v>32651</v>
      </c>
      <c r="I10523" t="s">
        <v>32652</v>
      </c>
      <c r="J10523" t="s">
        <v>32653</v>
      </c>
      <c r="K10523" s="2" t="str">
        <f>HYPERLINK("http://collections.slsa.sa.gov.au/mpcimg/53750/B53663.htm")</f>
        <v>http://collections.slsa.sa.gov.au/mpcimg/53750/B53663.htm</v>
      </c>
    </row>
    <row r="10524" spans="1:11" x14ac:dyDescent="0.25">
      <c r="A10524" t="s">
        <v>32654</v>
      </c>
      <c r="B10524" s="1" t="str">
        <f>HYPERLINK("https://www.catalog.slsa.sa.gov.au/record=b2078533")</f>
        <v>https://www.catalog.slsa.sa.gov.au/record=b2078533</v>
      </c>
      <c r="C10524" s="1" t="str">
        <f>HYPERLINK("https://www.catalog.slsa.sa.gov.au/xrecord=b2078533")</f>
        <v>https://www.catalog.slsa.sa.gov.au/xrecord=b2078533</v>
      </c>
      <c r="D10524" t="s">
        <v>16831</v>
      </c>
      <c r="E10524" t="s">
        <v>32655</v>
      </c>
      <c r="F10524">
        <v>1985</v>
      </c>
      <c r="G10524" t="s">
        <v>15269</v>
      </c>
      <c r="H10524" t="s">
        <v>32656</v>
      </c>
      <c r="I10524" t="s">
        <v>24190</v>
      </c>
      <c r="J10524" t="s">
        <v>26038</v>
      </c>
      <c r="K10524" s="2" t="str">
        <f>HYPERLINK("http://collections.slsa.sa.gov.au/mpcimg/56500/B56460.htm")</f>
        <v>http://collections.slsa.sa.gov.au/mpcimg/56500/B56460.htm</v>
      </c>
    </row>
    <row r="10525" spans="1:11" x14ac:dyDescent="0.25">
      <c r="A10525" t="s">
        <v>32657</v>
      </c>
      <c r="B10525" s="1" t="str">
        <f>HYPERLINK("https://www.catalog.slsa.sa.gov.au/record=b2105944")</f>
        <v>https://www.catalog.slsa.sa.gov.au/record=b2105944</v>
      </c>
      <c r="C10525" s="1" t="str">
        <f>HYPERLINK("https://www.catalog.slsa.sa.gov.au/xrecord=b2105944")</f>
        <v>https://www.catalog.slsa.sa.gov.au/xrecord=b2105944</v>
      </c>
      <c r="D10525" t="s">
        <v>16831</v>
      </c>
      <c r="E10525" t="s">
        <v>32658</v>
      </c>
      <c r="F10525">
        <v>1985</v>
      </c>
      <c r="G10525" t="s">
        <v>32659</v>
      </c>
      <c r="H10525" t="s">
        <v>32660</v>
      </c>
      <c r="I10525" t="s">
        <v>32661</v>
      </c>
      <c r="J10525" t="s">
        <v>32662</v>
      </c>
      <c r="K10525" s="2" t="str">
        <f>HYPERLINK("http://collections.slsa.sa.gov.au/mpcimg/69250/B69108.htm")</f>
        <v>http://collections.slsa.sa.gov.au/mpcimg/69250/B69108.htm</v>
      </c>
    </row>
    <row r="10526" spans="1:11" x14ac:dyDescent="0.25">
      <c r="A10526" t="s">
        <v>32663</v>
      </c>
      <c r="B10526" s="1" t="str">
        <f>HYPERLINK("https://www.catalog.slsa.sa.gov.au/record=b2067533")</f>
        <v>https://www.catalog.slsa.sa.gov.au/record=b2067533</v>
      </c>
      <c r="C10526" s="1" t="str">
        <f>HYPERLINK("https://www.catalog.slsa.sa.gov.au/xrecord=b2067533")</f>
        <v>https://www.catalog.slsa.sa.gov.au/xrecord=b2067533</v>
      </c>
      <c r="D10526" t="s">
        <v>16831</v>
      </c>
      <c r="E10526" t="s">
        <v>31646</v>
      </c>
      <c r="F10526" t="s">
        <v>32664</v>
      </c>
      <c r="G10526" t="s">
        <v>32287</v>
      </c>
      <c r="H10526" t="s">
        <v>32665</v>
      </c>
      <c r="J10526" t="s">
        <v>16866</v>
      </c>
      <c r="K10526" s="2" t="str">
        <f>HYPERLINK("http://collections.slsa.sa.gov.au/mpcimg/53500/B53348.htm")</f>
        <v>http://collections.slsa.sa.gov.au/mpcimg/53500/B53348.htm</v>
      </c>
    </row>
    <row r="10527" spans="1:11" x14ac:dyDescent="0.25">
      <c r="A10527" t="s">
        <v>32666</v>
      </c>
      <c r="B10527" s="1" t="str">
        <f>HYPERLINK("https://www.catalog.slsa.sa.gov.au/record=b2067534")</f>
        <v>https://www.catalog.slsa.sa.gov.au/record=b2067534</v>
      </c>
      <c r="C10527" s="1" t="str">
        <f>HYPERLINK("https://www.catalog.slsa.sa.gov.au/xrecord=b2067534")</f>
        <v>https://www.catalog.slsa.sa.gov.au/xrecord=b2067534</v>
      </c>
      <c r="D10527" t="s">
        <v>16831</v>
      </c>
      <c r="E10527" t="s">
        <v>31646</v>
      </c>
      <c r="F10527" t="s">
        <v>32664</v>
      </c>
      <c r="G10527" t="s">
        <v>32287</v>
      </c>
      <c r="H10527" t="s">
        <v>32667</v>
      </c>
      <c r="J10527" t="s">
        <v>16866</v>
      </c>
      <c r="K10527" s="2" t="str">
        <f>HYPERLINK("http://collections.slsa.sa.gov.au/mpcimg/53500/B53349.htm")</f>
        <v>http://collections.slsa.sa.gov.au/mpcimg/53500/B53349.htm</v>
      </c>
    </row>
    <row r="10528" spans="1:11" x14ac:dyDescent="0.25">
      <c r="A10528" t="s">
        <v>32668</v>
      </c>
      <c r="B10528" s="1" t="str">
        <f>HYPERLINK("https://www.catalog.slsa.sa.gov.au/record=b2067535")</f>
        <v>https://www.catalog.slsa.sa.gov.au/record=b2067535</v>
      </c>
      <c r="C10528" s="1" t="str">
        <f>HYPERLINK("https://www.catalog.slsa.sa.gov.au/xrecord=b2067535")</f>
        <v>https://www.catalog.slsa.sa.gov.au/xrecord=b2067535</v>
      </c>
      <c r="D10528" t="s">
        <v>16831</v>
      </c>
      <c r="E10528" t="s">
        <v>31646</v>
      </c>
      <c r="F10528" t="s">
        <v>32664</v>
      </c>
      <c r="G10528" t="s">
        <v>32287</v>
      </c>
      <c r="H10528" t="s">
        <v>32669</v>
      </c>
      <c r="J10528" t="s">
        <v>16866</v>
      </c>
      <c r="K10528" s="2" t="str">
        <f>HYPERLINK("http://collections.slsa.sa.gov.au/mpcimg/53500/B53350.htm")</f>
        <v>http://collections.slsa.sa.gov.au/mpcimg/53500/B53350.htm</v>
      </c>
    </row>
    <row r="10529" spans="1:11" x14ac:dyDescent="0.25">
      <c r="A10529" t="s">
        <v>32670</v>
      </c>
      <c r="B10529" s="1" t="str">
        <f>HYPERLINK("https://www.catalog.slsa.sa.gov.au/record=b2067536")</f>
        <v>https://www.catalog.slsa.sa.gov.au/record=b2067536</v>
      </c>
      <c r="C10529" s="1" t="str">
        <f>HYPERLINK("https://www.catalog.slsa.sa.gov.au/xrecord=b2067536")</f>
        <v>https://www.catalog.slsa.sa.gov.au/xrecord=b2067536</v>
      </c>
      <c r="D10529" t="s">
        <v>16831</v>
      </c>
      <c r="E10529" t="s">
        <v>31646</v>
      </c>
      <c r="F10529" t="s">
        <v>32664</v>
      </c>
      <c r="G10529" t="s">
        <v>15031</v>
      </c>
      <c r="H10529" t="s">
        <v>32671</v>
      </c>
      <c r="J10529" t="s">
        <v>32672</v>
      </c>
      <c r="K10529" s="2" t="str">
        <f>HYPERLINK("http://collections.slsa.sa.gov.au/mpcimg/53500/B53351.htm")</f>
        <v>http://collections.slsa.sa.gov.au/mpcimg/53500/B53351.htm</v>
      </c>
    </row>
    <row r="10530" spans="1:11" x14ac:dyDescent="0.25">
      <c r="A10530" t="s">
        <v>32673</v>
      </c>
      <c r="B10530" s="1" t="str">
        <f>HYPERLINK("https://www.catalog.slsa.sa.gov.au/record=b2067537")</f>
        <v>https://www.catalog.slsa.sa.gov.au/record=b2067537</v>
      </c>
      <c r="C10530" s="1" t="str">
        <f>HYPERLINK("https://www.catalog.slsa.sa.gov.au/xrecord=b2067537")</f>
        <v>https://www.catalog.slsa.sa.gov.au/xrecord=b2067537</v>
      </c>
      <c r="D10530" t="s">
        <v>16831</v>
      </c>
      <c r="E10530" t="s">
        <v>31646</v>
      </c>
      <c r="F10530" t="s">
        <v>32664</v>
      </c>
      <c r="G10530" t="s">
        <v>15031</v>
      </c>
      <c r="H10530" t="s">
        <v>32674</v>
      </c>
      <c r="J10530" t="s">
        <v>16866</v>
      </c>
      <c r="K10530" s="2" t="str">
        <f>HYPERLINK("http://collections.slsa.sa.gov.au/mpcimg/53500/B53352.htm")</f>
        <v>http://collections.slsa.sa.gov.au/mpcimg/53500/B53352.htm</v>
      </c>
    </row>
    <row r="10531" spans="1:11" x14ac:dyDescent="0.25">
      <c r="A10531" t="s">
        <v>32675</v>
      </c>
      <c r="B10531" s="1" t="str">
        <f>HYPERLINK("https://www.catalog.slsa.sa.gov.au/record=b2067538")</f>
        <v>https://www.catalog.slsa.sa.gov.au/record=b2067538</v>
      </c>
      <c r="C10531" s="1" t="str">
        <f>HYPERLINK("https://www.catalog.slsa.sa.gov.au/xrecord=b2067538")</f>
        <v>https://www.catalog.slsa.sa.gov.au/xrecord=b2067538</v>
      </c>
      <c r="D10531" t="s">
        <v>16831</v>
      </c>
      <c r="E10531" t="s">
        <v>32286</v>
      </c>
      <c r="F10531" t="s">
        <v>32664</v>
      </c>
      <c r="G10531" t="s">
        <v>15031</v>
      </c>
      <c r="H10531" t="s">
        <v>32307</v>
      </c>
      <c r="J10531" t="s">
        <v>16866</v>
      </c>
      <c r="K10531" s="2" t="str">
        <f>HYPERLINK("http://collections.slsa.sa.gov.au/mpcimg/53500/B53353.htm")</f>
        <v>http://collections.slsa.sa.gov.au/mpcimg/53500/B53353.htm</v>
      </c>
    </row>
    <row r="10532" spans="1:11" x14ac:dyDescent="0.25">
      <c r="A10532" t="s">
        <v>32676</v>
      </c>
      <c r="B10532" s="1" t="str">
        <f>HYPERLINK("https://www.catalog.slsa.sa.gov.au/record=b2067548")</f>
        <v>https://www.catalog.slsa.sa.gov.au/record=b2067548</v>
      </c>
      <c r="C10532" s="1" t="str">
        <f>HYPERLINK("https://www.catalog.slsa.sa.gov.au/xrecord=b2067548")</f>
        <v>https://www.catalog.slsa.sa.gov.au/xrecord=b2067548</v>
      </c>
      <c r="D10532" t="s">
        <v>16831</v>
      </c>
      <c r="E10532" t="s">
        <v>31646</v>
      </c>
      <c r="F10532" t="s">
        <v>32664</v>
      </c>
      <c r="G10532" t="s">
        <v>15031</v>
      </c>
      <c r="H10532" t="s">
        <v>32677</v>
      </c>
      <c r="J10532" t="s">
        <v>16866</v>
      </c>
      <c r="K10532" s="2" t="str">
        <f>HYPERLINK("http://collections.slsa.sa.gov.au/mpcimg/53500/B53363.htm")</f>
        <v>http://collections.slsa.sa.gov.au/mpcimg/53500/B53363.htm</v>
      </c>
    </row>
    <row r="10533" spans="1:11" x14ac:dyDescent="0.25">
      <c r="A10533" t="s">
        <v>32678</v>
      </c>
      <c r="B10533" s="1" t="str">
        <f>HYPERLINK("https://www.catalog.slsa.sa.gov.au/record=b2067549")</f>
        <v>https://www.catalog.slsa.sa.gov.au/record=b2067549</v>
      </c>
      <c r="C10533" s="1" t="str">
        <f>HYPERLINK("https://www.catalog.slsa.sa.gov.au/xrecord=b2067549")</f>
        <v>https://www.catalog.slsa.sa.gov.au/xrecord=b2067549</v>
      </c>
      <c r="D10533" t="s">
        <v>16831</v>
      </c>
      <c r="E10533" t="s">
        <v>31646</v>
      </c>
      <c r="F10533" t="s">
        <v>32664</v>
      </c>
      <c r="G10533" t="s">
        <v>15806</v>
      </c>
      <c r="H10533" t="s">
        <v>32679</v>
      </c>
      <c r="J10533" t="s">
        <v>16866</v>
      </c>
      <c r="K10533" s="2" t="str">
        <f>HYPERLINK("http://collections.slsa.sa.gov.au/mpcimg/53500/B53364.htm")</f>
        <v>http://collections.slsa.sa.gov.au/mpcimg/53500/B53364.htm</v>
      </c>
    </row>
    <row r="10534" spans="1:11" x14ac:dyDescent="0.25">
      <c r="A10534" t="s">
        <v>32680</v>
      </c>
      <c r="B10534" s="1" t="str">
        <f>HYPERLINK("https://www.catalog.slsa.sa.gov.au/record=b2067550")</f>
        <v>https://www.catalog.slsa.sa.gov.au/record=b2067550</v>
      </c>
      <c r="C10534" s="1" t="str">
        <f>HYPERLINK("https://www.catalog.slsa.sa.gov.au/xrecord=b2067550")</f>
        <v>https://www.catalog.slsa.sa.gov.au/xrecord=b2067550</v>
      </c>
      <c r="D10534" t="s">
        <v>16831</v>
      </c>
      <c r="E10534" t="s">
        <v>31646</v>
      </c>
      <c r="F10534" t="s">
        <v>32664</v>
      </c>
      <c r="G10534" t="s">
        <v>32681</v>
      </c>
      <c r="H10534" t="s">
        <v>32682</v>
      </c>
      <c r="J10534" t="s">
        <v>16866</v>
      </c>
      <c r="K10534" s="2" t="str">
        <f>HYPERLINK("http://collections.slsa.sa.gov.au/mpcimg/53500/B53365.htm")</f>
        <v>http://collections.slsa.sa.gov.au/mpcimg/53500/B53365.htm</v>
      </c>
    </row>
    <row r="10535" spans="1:11" x14ac:dyDescent="0.25">
      <c r="A10535" t="s">
        <v>32683</v>
      </c>
      <c r="B10535" s="1" t="str">
        <f>HYPERLINK("https://www.catalog.slsa.sa.gov.au/record=b2067551")</f>
        <v>https://www.catalog.slsa.sa.gov.au/record=b2067551</v>
      </c>
      <c r="C10535" s="1" t="str">
        <f>HYPERLINK("https://www.catalog.slsa.sa.gov.au/xrecord=b2067551")</f>
        <v>https://www.catalog.slsa.sa.gov.au/xrecord=b2067551</v>
      </c>
      <c r="D10535" t="s">
        <v>16831</v>
      </c>
      <c r="E10535" t="s">
        <v>31646</v>
      </c>
      <c r="F10535" t="s">
        <v>32664</v>
      </c>
      <c r="G10535" t="s">
        <v>15031</v>
      </c>
      <c r="H10535" t="s">
        <v>32682</v>
      </c>
      <c r="J10535" t="s">
        <v>16866</v>
      </c>
      <c r="K10535" s="2" t="str">
        <f>HYPERLINK("http://collections.slsa.sa.gov.au/mpcimg/53500/B53366.htm")</f>
        <v>http://collections.slsa.sa.gov.au/mpcimg/53500/B53366.htm</v>
      </c>
    </row>
    <row r="10536" spans="1:11" x14ac:dyDescent="0.25">
      <c r="A10536" t="s">
        <v>32684</v>
      </c>
      <c r="B10536" s="1" t="str">
        <f>HYPERLINK("https://www.catalog.slsa.sa.gov.au/record=b2029363")</f>
        <v>https://www.catalog.slsa.sa.gov.au/record=b2029363</v>
      </c>
      <c r="C10536" s="1" t="str">
        <f>HYPERLINK("https://www.catalog.slsa.sa.gov.au/xrecord=b2029363")</f>
        <v>https://www.catalog.slsa.sa.gov.au/xrecord=b2029363</v>
      </c>
      <c r="D10536" t="s">
        <v>16831</v>
      </c>
      <c r="E10536" t="s">
        <v>32685</v>
      </c>
      <c r="F10536">
        <v>1986</v>
      </c>
      <c r="G10536" t="s">
        <v>15031</v>
      </c>
      <c r="H10536" t="s">
        <v>32686</v>
      </c>
      <c r="J10536" t="s">
        <v>12588</v>
      </c>
      <c r="K10536" s="2" t="str">
        <f>HYPERLINK("http://collections.slsa.sa.gov.au/mpcimg/47250/B47195.htm")</f>
        <v>http://collections.slsa.sa.gov.au/mpcimg/47250/B47195.htm</v>
      </c>
    </row>
    <row r="10537" spans="1:11" x14ac:dyDescent="0.25">
      <c r="A10537" t="s">
        <v>32687</v>
      </c>
      <c r="B10537" s="1" t="str">
        <f>HYPERLINK("https://www.catalog.slsa.sa.gov.au/record=b2056919")</f>
        <v>https://www.catalog.slsa.sa.gov.au/record=b2056919</v>
      </c>
      <c r="C10537" s="1" t="str">
        <f>HYPERLINK("https://www.catalog.slsa.sa.gov.au/xrecord=b2056919")</f>
        <v>https://www.catalog.slsa.sa.gov.au/xrecord=b2056919</v>
      </c>
      <c r="D10537" t="s">
        <v>16831</v>
      </c>
      <c r="E10537" t="s">
        <v>32688</v>
      </c>
      <c r="F10537">
        <v>1986</v>
      </c>
      <c r="G10537" t="s">
        <v>32689</v>
      </c>
      <c r="H10537" t="s">
        <v>32690</v>
      </c>
      <c r="J10537" t="s">
        <v>20931</v>
      </c>
      <c r="K10537" s="2" t="str">
        <f>HYPERLINK("http://collections.slsa.sa.gov.au/mpcimg/47250/B47165.htm")</f>
        <v>http://collections.slsa.sa.gov.au/mpcimg/47250/B47165.htm</v>
      </c>
    </row>
    <row r="10538" spans="1:11" x14ac:dyDescent="0.25">
      <c r="A10538" t="s">
        <v>32691</v>
      </c>
      <c r="B10538" s="1" t="str">
        <f>HYPERLINK("https://www.catalog.slsa.sa.gov.au/record=b2057077")</f>
        <v>https://www.catalog.slsa.sa.gov.au/record=b2057077</v>
      </c>
      <c r="C10538" s="1" t="str">
        <f>HYPERLINK("https://www.catalog.slsa.sa.gov.au/xrecord=b2057077")</f>
        <v>https://www.catalog.slsa.sa.gov.au/xrecord=b2057077</v>
      </c>
      <c r="D10538" t="s">
        <v>16831</v>
      </c>
      <c r="E10538" t="s">
        <v>24033</v>
      </c>
      <c r="F10538">
        <v>1986</v>
      </c>
      <c r="G10538" t="s">
        <v>31802</v>
      </c>
      <c r="H10538" t="s">
        <v>32692</v>
      </c>
      <c r="J10538" t="s">
        <v>24035</v>
      </c>
      <c r="K10538" s="2" t="str">
        <f>HYPERLINK("http://collections.slsa.sa.gov.au/mpcimg/47750/B47509.htm")</f>
        <v>http://collections.slsa.sa.gov.au/mpcimg/47750/B47509.htm</v>
      </c>
    </row>
    <row r="10539" spans="1:11" x14ac:dyDescent="0.25">
      <c r="A10539" t="s">
        <v>32693</v>
      </c>
      <c r="B10539" s="1" t="str">
        <f>HYPERLINK("https://www.catalog.slsa.sa.gov.au/record=b2059551")</f>
        <v>https://www.catalog.slsa.sa.gov.au/record=b2059551</v>
      </c>
      <c r="C10539" s="1" t="str">
        <f>HYPERLINK("https://www.catalog.slsa.sa.gov.au/xrecord=b2059551")</f>
        <v>https://www.catalog.slsa.sa.gov.au/xrecord=b2059551</v>
      </c>
      <c r="D10539" t="s">
        <v>16831</v>
      </c>
      <c r="E10539" t="s">
        <v>20096</v>
      </c>
      <c r="F10539">
        <v>1986</v>
      </c>
      <c r="G10539" t="s">
        <v>14936</v>
      </c>
      <c r="H10539" t="s">
        <v>32694</v>
      </c>
      <c r="J10539" t="s">
        <v>24211</v>
      </c>
      <c r="K10539" s="2" t="str">
        <f>HYPERLINK("http://collections.slsa.sa.gov.au/mpcimg/46750/B46617.htm")</f>
        <v>http://collections.slsa.sa.gov.au/mpcimg/46750/B46617.htm</v>
      </c>
    </row>
    <row r="10540" spans="1:11" x14ac:dyDescent="0.25">
      <c r="A10540" t="s">
        <v>32695</v>
      </c>
      <c r="B10540" s="1" t="str">
        <f>HYPERLINK("https://www.catalog.slsa.sa.gov.au/record=b2059784")</f>
        <v>https://www.catalog.slsa.sa.gov.au/record=b2059784</v>
      </c>
      <c r="C10540" s="1" t="str">
        <f>HYPERLINK("https://www.catalog.slsa.sa.gov.au/xrecord=b2059784")</f>
        <v>https://www.catalog.slsa.sa.gov.au/xrecord=b2059784</v>
      </c>
      <c r="D10540" t="s">
        <v>16831</v>
      </c>
      <c r="E10540" t="s">
        <v>15191</v>
      </c>
      <c r="F10540">
        <v>1986</v>
      </c>
      <c r="G10540" t="s">
        <v>16312</v>
      </c>
      <c r="H10540" t="s">
        <v>32696</v>
      </c>
      <c r="J10540" t="s">
        <v>27749</v>
      </c>
      <c r="K10540" s="2" t="str">
        <f>HYPERLINK("http://collections.slsa.sa.gov.au/mpcimg/47250/B47202.htm")</f>
        <v>http://collections.slsa.sa.gov.au/mpcimg/47250/B47202.htm</v>
      </c>
    </row>
    <row r="10541" spans="1:11" x14ac:dyDescent="0.25">
      <c r="A10541" t="s">
        <v>32697</v>
      </c>
      <c r="B10541" s="1" t="str">
        <f>HYPERLINK("https://www.catalog.slsa.sa.gov.au/record=b2059910")</f>
        <v>https://www.catalog.slsa.sa.gov.au/record=b2059910</v>
      </c>
      <c r="C10541" s="1" t="str">
        <f>HYPERLINK("https://www.catalog.slsa.sa.gov.au/xrecord=b2059910")</f>
        <v>https://www.catalog.slsa.sa.gov.au/xrecord=b2059910</v>
      </c>
      <c r="D10541" t="s">
        <v>16831</v>
      </c>
      <c r="E10541" t="s">
        <v>32698</v>
      </c>
      <c r="F10541">
        <v>1986</v>
      </c>
      <c r="G10541" t="s">
        <v>15031</v>
      </c>
      <c r="H10541" t="s">
        <v>32699</v>
      </c>
      <c r="J10541" t="s">
        <v>24272</v>
      </c>
      <c r="K10541" s="2" t="str">
        <f>HYPERLINK("http://collections.slsa.sa.gov.au/mpcimg/47750/B47518.htm")</f>
        <v>http://collections.slsa.sa.gov.au/mpcimg/47750/B47518.htm</v>
      </c>
    </row>
    <row r="10542" spans="1:11" x14ac:dyDescent="0.25">
      <c r="A10542" t="s">
        <v>32700</v>
      </c>
      <c r="B10542" s="1" t="str">
        <f>HYPERLINK("https://www.catalog.slsa.sa.gov.au/record=b2060443")</f>
        <v>https://www.catalog.slsa.sa.gov.au/record=b2060443</v>
      </c>
      <c r="C10542" s="1" t="str">
        <f>HYPERLINK("https://www.catalog.slsa.sa.gov.au/xrecord=b2060443")</f>
        <v>https://www.catalog.slsa.sa.gov.au/xrecord=b2060443</v>
      </c>
      <c r="D10542" t="s">
        <v>16831</v>
      </c>
      <c r="E10542" t="s">
        <v>32701</v>
      </c>
      <c r="F10542">
        <v>1986</v>
      </c>
      <c r="G10542" t="s">
        <v>16312</v>
      </c>
      <c r="H10542" t="s">
        <v>32702</v>
      </c>
      <c r="J10542" t="s">
        <v>24309</v>
      </c>
      <c r="K10542" s="2" t="str">
        <f>HYPERLINK("http://collections.slsa.sa.gov.au/mpcimg/47250/B47199.htm")</f>
        <v>http://collections.slsa.sa.gov.au/mpcimg/47250/B47199.htm</v>
      </c>
    </row>
    <row r="10543" spans="1:11" x14ac:dyDescent="0.25">
      <c r="A10543" t="s">
        <v>32703</v>
      </c>
      <c r="B10543" s="1" t="str">
        <f>HYPERLINK("https://www.catalog.slsa.sa.gov.au/record=b2060749")</f>
        <v>https://www.catalog.slsa.sa.gov.au/record=b2060749</v>
      </c>
      <c r="C10543" s="1" t="str">
        <f>HYPERLINK("https://www.catalog.slsa.sa.gov.au/xrecord=b2060749")</f>
        <v>https://www.catalog.slsa.sa.gov.au/xrecord=b2060749</v>
      </c>
      <c r="D10543" t="s">
        <v>16831</v>
      </c>
      <c r="E10543" t="s">
        <v>20100</v>
      </c>
      <c r="F10543">
        <v>1986</v>
      </c>
      <c r="G10543" t="s">
        <v>16312</v>
      </c>
      <c r="H10543" t="s">
        <v>32704</v>
      </c>
      <c r="J10543" t="s">
        <v>29100</v>
      </c>
      <c r="K10543" s="2" t="str">
        <f>HYPERLINK("http://collections.slsa.sa.gov.au/mpcimg/47250/B47205.htm")</f>
        <v>http://collections.slsa.sa.gov.au/mpcimg/47250/B47205.htm</v>
      </c>
    </row>
    <row r="10544" spans="1:11" x14ac:dyDescent="0.25">
      <c r="A10544" t="s">
        <v>32705</v>
      </c>
      <c r="B10544" s="1" t="str">
        <f>HYPERLINK("https://www.catalog.slsa.sa.gov.au/record=b2060803")</f>
        <v>https://www.catalog.slsa.sa.gov.au/record=b2060803</v>
      </c>
      <c r="C10544" s="1" t="str">
        <f>HYPERLINK("https://www.catalog.slsa.sa.gov.au/xrecord=b2060803")</f>
        <v>https://www.catalog.slsa.sa.gov.au/xrecord=b2060803</v>
      </c>
      <c r="D10544" t="s">
        <v>16831</v>
      </c>
      <c r="E10544" t="s">
        <v>21099</v>
      </c>
      <c r="F10544">
        <v>1986</v>
      </c>
      <c r="G10544" t="s">
        <v>15031</v>
      </c>
      <c r="H10544" t="s">
        <v>32706</v>
      </c>
      <c r="J10544" t="s">
        <v>30988</v>
      </c>
      <c r="K10544" s="2" t="str">
        <f>HYPERLINK("http://collections.slsa.sa.gov.au/mpcimg/47250/B47193.htm")</f>
        <v>http://collections.slsa.sa.gov.au/mpcimg/47250/B47193.htm</v>
      </c>
    </row>
    <row r="10545" spans="1:11" x14ac:dyDescent="0.25">
      <c r="A10545" t="s">
        <v>32707</v>
      </c>
      <c r="B10545" s="1" t="str">
        <f>HYPERLINK("https://www.catalog.slsa.sa.gov.au/record=b2060812")</f>
        <v>https://www.catalog.slsa.sa.gov.au/record=b2060812</v>
      </c>
      <c r="C10545" s="1" t="str">
        <f>HYPERLINK("https://www.catalog.slsa.sa.gov.au/xrecord=b2060812")</f>
        <v>https://www.catalog.slsa.sa.gov.au/xrecord=b2060812</v>
      </c>
      <c r="D10545" t="s">
        <v>16831</v>
      </c>
      <c r="E10545" t="s">
        <v>32708</v>
      </c>
      <c r="F10545">
        <v>1986</v>
      </c>
      <c r="G10545" t="s">
        <v>32374</v>
      </c>
      <c r="H10545" t="s">
        <v>32709</v>
      </c>
      <c r="J10545" t="s">
        <v>27144</v>
      </c>
      <c r="K10545" s="2" t="str">
        <f>HYPERLINK("http://collections.slsa.sa.gov.au/mpcimg/47750/B47516.htm")</f>
        <v>http://collections.slsa.sa.gov.au/mpcimg/47750/B47516.htm</v>
      </c>
    </row>
    <row r="10546" spans="1:11" x14ac:dyDescent="0.25">
      <c r="A10546" t="s">
        <v>32710</v>
      </c>
      <c r="B10546" s="1" t="str">
        <f>HYPERLINK("https://www.catalog.slsa.sa.gov.au/record=b2061710")</f>
        <v>https://www.catalog.slsa.sa.gov.au/record=b2061710</v>
      </c>
      <c r="C10546" s="1" t="str">
        <f>HYPERLINK("https://www.catalog.slsa.sa.gov.au/xrecord=b2061710")</f>
        <v>https://www.catalog.slsa.sa.gov.au/xrecord=b2061710</v>
      </c>
      <c r="D10546" t="s">
        <v>16831</v>
      </c>
      <c r="E10546" t="s">
        <v>24451</v>
      </c>
      <c r="F10546">
        <v>1986</v>
      </c>
      <c r="G10546" t="s">
        <v>16312</v>
      </c>
      <c r="H10546" t="s">
        <v>32711</v>
      </c>
      <c r="J10546" t="s">
        <v>32712</v>
      </c>
      <c r="K10546" s="2" t="str">
        <f>HYPERLINK("http://collections.slsa.sa.gov.au/mpcimg/47250/B47197.htm")</f>
        <v>http://collections.slsa.sa.gov.au/mpcimg/47250/B47197.htm</v>
      </c>
    </row>
    <row r="10547" spans="1:11" x14ac:dyDescent="0.25">
      <c r="A10547" t="s">
        <v>32713</v>
      </c>
      <c r="B10547" s="1" t="str">
        <f>HYPERLINK("https://www.catalog.slsa.sa.gov.au/record=b2062996")</f>
        <v>https://www.catalog.slsa.sa.gov.au/record=b2062996</v>
      </c>
      <c r="C10547" s="1" t="str">
        <f>HYPERLINK("https://www.catalog.slsa.sa.gov.au/xrecord=b2062996")</f>
        <v>https://www.catalog.slsa.sa.gov.au/xrecord=b2062996</v>
      </c>
      <c r="D10547" t="s">
        <v>16831</v>
      </c>
      <c r="E10547" t="s">
        <v>32714</v>
      </c>
      <c r="F10547">
        <v>1986</v>
      </c>
      <c r="G10547" t="s">
        <v>16312</v>
      </c>
      <c r="H10547" t="s">
        <v>32715</v>
      </c>
      <c r="J10547" t="s">
        <v>21298</v>
      </c>
      <c r="K10547" s="2" t="str">
        <f>HYPERLINK("http://collections.slsa.sa.gov.au/mpcimg/47250/B47192.htm")</f>
        <v>http://collections.slsa.sa.gov.au/mpcimg/47250/B47192.htm</v>
      </c>
    </row>
    <row r="10548" spans="1:11" x14ac:dyDescent="0.25">
      <c r="A10548" t="s">
        <v>32716</v>
      </c>
      <c r="B10548" s="1" t="str">
        <f>HYPERLINK("https://www.catalog.slsa.sa.gov.au/record=b2064265")</f>
        <v>https://www.catalog.slsa.sa.gov.au/record=b2064265</v>
      </c>
      <c r="C10548" s="1" t="str">
        <f>HYPERLINK("https://www.catalog.slsa.sa.gov.au/xrecord=b2064265")</f>
        <v>https://www.catalog.slsa.sa.gov.au/xrecord=b2064265</v>
      </c>
      <c r="D10548" t="s">
        <v>16831</v>
      </c>
      <c r="E10548" t="s">
        <v>25635</v>
      </c>
      <c r="F10548">
        <v>1986</v>
      </c>
      <c r="G10548" t="s">
        <v>16312</v>
      </c>
      <c r="H10548" t="s">
        <v>32717</v>
      </c>
      <c r="J10548" t="s">
        <v>26960</v>
      </c>
      <c r="K10548" s="2" t="str">
        <f>HYPERLINK("http://collections.slsa.sa.gov.au/mpcimg/47250/B47167.htm")</f>
        <v>http://collections.slsa.sa.gov.au/mpcimg/47250/B47167.htm</v>
      </c>
    </row>
    <row r="10549" spans="1:11" x14ac:dyDescent="0.25">
      <c r="A10549" t="s">
        <v>32718</v>
      </c>
      <c r="B10549" s="1" t="str">
        <f>HYPERLINK("https://www.catalog.slsa.sa.gov.au/record=b2066745")</f>
        <v>https://www.catalog.slsa.sa.gov.au/record=b2066745</v>
      </c>
      <c r="C10549" s="1" t="str">
        <f>HYPERLINK("https://www.catalog.slsa.sa.gov.au/xrecord=b2066745")</f>
        <v>https://www.catalog.slsa.sa.gov.au/xrecord=b2066745</v>
      </c>
      <c r="D10549" t="s">
        <v>16831</v>
      </c>
      <c r="E10549" t="s">
        <v>32719</v>
      </c>
      <c r="F10549">
        <v>1986</v>
      </c>
      <c r="G10549" t="s">
        <v>16312</v>
      </c>
      <c r="H10549" t="s">
        <v>32720</v>
      </c>
      <c r="J10549" t="s">
        <v>32009</v>
      </c>
      <c r="K10549" s="2" t="str">
        <f>HYPERLINK("http://collections.slsa.sa.gov.au/mpcimg/51000/B50905.htm")</f>
        <v>http://collections.slsa.sa.gov.au/mpcimg/51000/B50905.htm</v>
      </c>
    </row>
    <row r="10550" spans="1:11" x14ac:dyDescent="0.25">
      <c r="A10550" t="s">
        <v>32721</v>
      </c>
      <c r="B10550" s="1" t="str">
        <f>HYPERLINK("https://www.catalog.slsa.sa.gov.au/record=b2078531")</f>
        <v>https://www.catalog.slsa.sa.gov.au/record=b2078531</v>
      </c>
      <c r="C10550" s="1" t="str">
        <f>HYPERLINK("https://www.catalog.slsa.sa.gov.au/xrecord=b2078531")</f>
        <v>https://www.catalog.slsa.sa.gov.au/xrecord=b2078531</v>
      </c>
      <c r="D10550" t="s">
        <v>16831</v>
      </c>
      <c r="E10550" t="s">
        <v>32722</v>
      </c>
      <c r="F10550">
        <v>1986</v>
      </c>
      <c r="G10550" t="s">
        <v>15269</v>
      </c>
      <c r="H10550" t="s">
        <v>32723</v>
      </c>
      <c r="I10550" t="s">
        <v>24190</v>
      </c>
      <c r="J10550" t="s">
        <v>30227</v>
      </c>
      <c r="K10550" s="2" t="str">
        <f>HYPERLINK("http://collections.slsa.sa.gov.au/mpcimg/56500/B56458.htm")</f>
        <v>http://collections.slsa.sa.gov.au/mpcimg/56500/B56458.htm</v>
      </c>
    </row>
    <row r="10551" spans="1:11" x14ac:dyDescent="0.25">
      <c r="A10551" t="s">
        <v>32724</v>
      </c>
      <c r="B10551" s="1" t="str">
        <f>HYPERLINK("https://www.catalog.slsa.sa.gov.au/record=b2078530")</f>
        <v>https://www.catalog.slsa.sa.gov.au/record=b2078530</v>
      </c>
      <c r="C10551" s="1" t="str">
        <f>HYPERLINK("https://www.catalog.slsa.sa.gov.au/xrecord=b2078530")</f>
        <v>https://www.catalog.slsa.sa.gov.au/xrecord=b2078530</v>
      </c>
      <c r="D10551" t="s">
        <v>16831</v>
      </c>
      <c r="E10551" t="s">
        <v>32725</v>
      </c>
      <c r="F10551" t="s">
        <v>32726</v>
      </c>
      <c r="G10551" t="s">
        <v>15269</v>
      </c>
      <c r="H10551" t="s">
        <v>32727</v>
      </c>
      <c r="I10551" t="s">
        <v>24190</v>
      </c>
      <c r="J10551" t="s">
        <v>29611</v>
      </c>
      <c r="K10551" s="2" t="str">
        <f>HYPERLINK("http://collections.slsa.sa.gov.au/mpcimg/56500/B56457.htm")</f>
        <v>http://collections.slsa.sa.gov.au/mpcimg/56500/B56457.htm</v>
      </c>
    </row>
    <row r="10552" spans="1:11" x14ac:dyDescent="0.25">
      <c r="A10552" t="s">
        <v>32728</v>
      </c>
      <c r="B10552" s="1" t="str">
        <f>HYPERLINK("https://www.catalog.slsa.sa.gov.au/record=b2078532")</f>
        <v>https://www.catalog.slsa.sa.gov.au/record=b2078532</v>
      </c>
      <c r="C10552" s="1" t="str">
        <f>HYPERLINK("https://www.catalog.slsa.sa.gov.au/xrecord=b2078532")</f>
        <v>https://www.catalog.slsa.sa.gov.au/xrecord=b2078532</v>
      </c>
      <c r="D10552" t="s">
        <v>16831</v>
      </c>
      <c r="E10552" t="s">
        <v>32729</v>
      </c>
      <c r="F10552" t="s">
        <v>32726</v>
      </c>
      <c r="G10552" t="s">
        <v>15269</v>
      </c>
      <c r="H10552" t="s">
        <v>32730</v>
      </c>
      <c r="I10552" t="s">
        <v>24190</v>
      </c>
      <c r="J10552" t="s">
        <v>28654</v>
      </c>
      <c r="K10552" s="2" t="str">
        <f>HYPERLINK("http://collections.slsa.sa.gov.au/mpcimg/56500/B56459.htm")</f>
        <v>http://collections.slsa.sa.gov.au/mpcimg/56500/B56459.htm</v>
      </c>
    </row>
    <row r="10553" spans="1:11" x14ac:dyDescent="0.25">
      <c r="A10553" t="s">
        <v>32731</v>
      </c>
      <c r="B10553" s="1" t="str">
        <f>HYPERLINK("https://www.catalog.slsa.sa.gov.au/record=b2078528")</f>
        <v>https://www.catalog.slsa.sa.gov.au/record=b2078528</v>
      </c>
      <c r="C10553" s="1" t="str">
        <f>HYPERLINK("https://www.catalog.slsa.sa.gov.au/xrecord=b2078528")</f>
        <v>https://www.catalog.slsa.sa.gov.au/xrecord=b2078528</v>
      </c>
      <c r="D10553" t="s">
        <v>16831</v>
      </c>
      <c r="E10553" t="s">
        <v>32732</v>
      </c>
      <c r="F10553">
        <v>1987</v>
      </c>
      <c r="G10553" t="s">
        <v>15269</v>
      </c>
      <c r="H10553" t="s">
        <v>32733</v>
      </c>
      <c r="I10553" t="s">
        <v>32734</v>
      </c>
      <c r="J10553" t="s">
        <v>32735</v>
      </c>
      <c r="K10553" s="2" t="str">
        <f>HYPERLINK("http://collections.slsa.sa.gov.au/mpcimg/56500/B56455.htm")</f>
        <v>http://collections.slsa.sa.gov.au/mpcimg/56500/B56455.htm</v>
      </c>
    </row>
    <row r="10554" spans="1:11" x14ac:dyDescent="0.25">
      <c r="A10554" t="s">
        <v>32736</v>
      </c>
      <c r="B10554" s="1" t="str">
        <f>HYPERLINK("https://www.catalog.slsa.sa.gov.au/record=b2078529")</f>
        <v>https://www.catalog.slsa.sa.gov.au/record=b2078529</v>
      </c>
      <c r="C10554" s="1" t="str">
        <f>HYPERLINK("https://www.catalog.slsa.sa.gov.au/xrecord=b2078529")</f>
        <v>https://www.catalog.slsa.sa.gov.au/xrecord=b2078529</v>
      </c>
      <c r="D10554" t="s">
        <v>16831</v>
      </c>
      <c r="E10554" t="s">
        <v>32737</v>
      </c>
      <c r="F10554">
        <v>1987</v>
      </c>
      <c r="G10554" t="s">
        <v>15269</v>
      </c>
      <c r="H10554" t="s">
        <v>32738</v>
      </c>
      <c r="I10554" t="s">
        <v>32734</v>
      </c>
      <c r="J10554" t="s">
        <v>21085</v>
      </c>
      <c r="K10554" s="2" t="str">
        <f>HYPERLINK("http://collections.slsa.sa.gov.au/mpcimg/56500/B56456.htm")</f>
        <v>http://collections.slsa.sa.gov.au/mpcimg/56500/B56456.htm</v>
      </c>
    </row>
    <row r="10555" spans="1:11" x14ac:dyDescent="0.25">
      <c r="A10555" t="s">
        <v>32739</v>
      </c>
      <c r="B10555" s="1" t="str">
        <f>HYPERLINK("https://www.catalog.slsa.sa.gov.au/record=b2078534")</f>
        <v>https://www.catalog.slsa.sa.gov.au/record=b2078534</v>
      </c>
      <c r="C10555" s="1" t="str">
        <f>HYPERLINK("https://www.catalog.slsa.sa.gov.au/xrecord=b2078534")</f>
        <v>https://www.catalog.slsa.sa.gov.au/xrecord=b2078534</v>
      </c>
      <c r="D10555" t="s">
        <v>16831</v>
      </c>
      <c r="E10555" t="s">
        <v>32740</v>
      </c>
      <c r="F10555">
        <v>1987</v>
      </c>
      <c r="G10555" t="s">
        <v>15269</v>
      </c>
      <c r="H10555" t="s">
        <v>32741</v>
      </c>
      <c r="I10555" t="s">
        <v>11017</v>
      </c>
      <c r="J10555" t="s">
        <v>32742</v>
      </c>
      <c r="K10555" s="2" t="str">
        <f>HYPERLINK("http://collections.slsa.sa.gov.au/mpcimg/56500/B56461.htm")</f>
        <v>http://collections.slsa.sa.gov.au/mpcimg/56500/B56461.htm</v>
      </c>
    </row>
    <row r="10556" spans="1:11" x14ac:dyDescent="0.25">
      <c r="A10556" t="s">
        <v>32743</v>
      </c>
      <c r="B10556" s="1" t="str">
        <f>HYPERLINK("https://www.catalog.slsa.sa.gov.au/record=b2078535")</f>
        <v>https://www.catalog.slsa.sa.gov.au/record=b2078535</v>
      </c>
      <c r="C10556" s="1" t="str">
        <f>HYPERLINK("https://www.catalog.slsa.sa.gov.au/xrecord=b2078535")</f>
        <v>https://www.catalog.slsa.sa.gov.au/xrecord=b2078535</v>
      </c>
      <c r="D10556" t="s">
        <v>16831</v>
      </c>
      <c r="E10556" t="s">
        <v>32744</v>
      </c>
      <c r="F10556">
        <v>1987</v>
      </c>
      <c r="G10556" t="s">
        <v>15269</v>
      </c>
      <c r="H10556" t="s">
        <v>32745</v>
      </c>
      <c r="I10556" t="s">
        <v>11017</v>
      </c>
      <c r="J10556" t="s">
        <v>23994</v>
      </c>
      <c r="K10556" s="2" t="str">
        <f>HYPERLINK("http://collections.slsa.sa.gov.au/mpcimg/56500/B56462.htm")</f>
        <v>http://collections.slsa.sa.gov.au/mpcimg/56500/B56462.htm</v>
      </c>
    </row>
    <row r="10557" spans="1:11" x14ac:dyDescent="0.25">
      <c r="A10557" t="s">
        <v>32746</v>
      </c>
      <c r="B10557" s="1" t="str">
        <f>HYPERLINK("https://www.catalog.slsa.sa.gov.au/record=b2204728")</f>
        <v>https://www.catalog.slsa.sa.gov.au/record=b2204728</v>
      </c>
      <c r="C10557" s="1" t="str">
        <f>HYPERLINK("https://www.catalog.slsa.sa.gov.au/xrecord=b2204728")</f>
        <v>https://www.catalog.slsa.sa.gov.au/xrecord=b2204728</v>
      </c>
      <c r="D10557" t="s">
        <v>31902</v>
      </c>
      <c r="E10557" t="s">
        <v>32747</v>
      </c>
      <c r="F10557">
        <v>1987</v>
      </c>
      <c r="G10557" t="s">
        <v>18310</v>
      </c>
      <c r="H10557" t="s">
        <v>32748</v>
      </c>
      <c r="J10557" t="s">
        <v>14768</v>
      </c>
      <c r="K10557" s="2" t="str">
        <f>HYPERLINK("http://collections.slsa.sa.gov.au/mpcimg/69500/B69282_42.htm")</f>
        <v>http://collections.slsa.sa.gov.au/mpcimg/69500/B69282_42.htm</v>
      </c>
    </row>
    <row r="10558" spans="1:11" x14ac:dyDescent="0.25">
      <c r="A10558" t="s">
        <v>32749</v>
      </c>
      <c r="B10558" s="1" t="str">
        <f>HYPERLINK("https://www.catalog.slsa.sa.gov.au/record=b2018888")</f>
        <v>https://www.catalog.slsa.sa.gov.au/record=b2018888</v>
      </c>
      <c r="C10558" s="1" t="str">
        <f>HYPERLINK("https://www.catalog.slsa.sa.gov.au/xrecord=b2018888")</f>
        <v>https://www.catalog.slsa.sa.gov.au/xrecord=b2018888</v>
      </c>
      <c r="D10558" t="s">
        <v>28745</v>
      </c>
      <c r="E10558" t="s">
        <v>32750</v>
      </c>
      <c r="F10558">
        <v>1988</v>
      </c>
      <c r="G10558" t="s">
        <v>32751</v>
      </c>
      <c r="H10558" t="s">
        <v>32752</v>
      </c>
      <c r="I10558" t="s">
        <v>32753</v>
      </c>
      <c r="J10558" t="s">
        <v>18891</v>
      </c>
      <c r="K10558" s="2" t="str">
        <f>HYPERLINK("http://collections.slsa.sa.gov.au/mpcimg/49750/B49721.htm")</f>
        <v>http://collections.slsa.sa.gov.au/mpcimg/49750/B49721.htm</v>
      </c>
    </row>
    <row r="10559" spans="1:11" x14ac:dyDescent="0.25">
      <c r="A10559" t="s">
        <v>32754</v>
      </c>
      <c r="B10559" s="1" t="str">
        <f>HYPERLINK("https://www.catalog.slsa.sa.gov.au/record=b2018889")</f>
        <v>https://www.catalog.slsa.sa.gov.au/record=b2018889</v>
      </c>
      <c r="C10559" s="1" t="str">
        <f>HYPERLINK("https://www.catalog.slsa.sa.gov.au/xrecord=b2018889")</f>
        <v>https://www.catalog.slsa.sa.gov.au/xrecord=b2018889</v>
      </c>
      <c r="D10559" t="s">
        <v>28745</v>
      </c>
      <c r="E10559" t="s">
        <v>32750</v>
      </c>
      <c r="F10559">
        <v>1988</v>
      </c>
      <c r="G10559" t="s">
        <v>32755</v>
      </c>
      <c r="H10559" t="s">
        <v>32756</v>
      </c>
      <c r="I10559" t="s">
        <v>32753</v>
      </c>
      <c r="J10559" t="s">
        <v>18891</v>
      </c>
      <c r="K10559" s="2" t="str">
        <f>HYPERLINK("http://collections.slsa.sa.gov.au/mpcimg/49750/B49722.htm")</f>
        <v>http://collections.slsa.sa.gov.au/mpcimg/49750/B49722.htm</v>
      </c>
    </row>
    <row r="10560" spans="1:11" x14ac:dyDescent="0.25">
      <c r="A10560" t="s">
        <v>32757</v>
      </c>
      <c r="B10560" s="1" t="str">
        <f>HYPERLINK("https://www.catalog.slsa.sa.gov.au/record=b2018890")</f>
        <v>https://www.catalog.slsa.sa.gov.au/record=b2018890</v>
      </c>
      <c r="C10560" s="1" t="str">
        <f>HYPERLINK("https://www.catalog.slsa.sa.gov.au/xrecord=b2018890")</f>
        <v>https://www.catalog.slsa.sa.gov.au/xrecord=b2018890</v>
      </c>
      <c r="D10560" t="s">
        <v>28745</v>
      </c>
      <c r="E10560" t="s">
        <v>32750</v>
      </c>
      <c r="F10560">
        <v>1988</v>
      </c>
      <c r="G10560" t="s">
        <v>32758</v>
      </c>
      <c r="H10560" t="s">
        <v>32756</v>
      </c>
      <c r="I10560" t="s">
        <v>32753</v>
      </c>
      <c r="J10560" t="s">
        <v>18891</v>
      </c>
      <c r="K10560" s="2" t="str">
        <f>HYPERLINK("http://collections.slsa.sa.gov.au/mpcimg/49750/B49723.htm")</f>
        <v>http://collections.slsa.sa.gov.au/mpcimg/49750/B49723.htm</v>
      </c>
    </row>
    <row r="10561" spans="1:11" x14ac:dyDescent="0.25">
      <c r="A10561" t="s">
        <v>32759</v>
      </c>
      <c r="B10561" s="1" t="str">
        <f>HYPERLINK("https://www.catalog.slsa.sa.gov.au/record=b2018891")</f>
        <v>https://www.catalog.slsa.sa.gov.au/record=b2018891</v>
      </c>
      <c r="C10561" s="1" t="str">
        <f>HYPERLINK("https://www.catalog.slsa.sa.gov.au/xrecord=b2018891")</f>
        <v>https://www.catalog.slsa.sa.gov.au/xrecord=b2018891</v>
      </c>
      <c r="D10561" t="s">
        <v>28745</v>
      </c>
      <c r="E10561" t="s">
        <v>32750</v>
      </c>
      <c r="F10561">
        <v>1988</v>
      </c>
      <c r="G10561" t="s">
        <v>32760</v>
      </c>
      <c r="H10561" t="s">
        <v>32761</v>
      </c>
      <c r="I10561" t="s">
        <v>32762</v>
      </c>
      <c r="J10561" t="s">
        <v>18891</v>
      </c>
      <c r="K10561" s="2" t="str">
        <f>HYPERLINK("http://collections.slsa.sa.gov.au/mpcimg/49750/B49724.htm")</f>
        <v>http://collections.slsa.sa.gov.au/mpcimg/49750/B49724.htm</v>
      </c>
    </row>
    <row r="10562" spans="1:11" x14ac:dyDescent="0.25">
      <c r="A10562" t="s">
        <v>32763</v>
      </c>
      <c r="B10562" s="1" t="str">
        <f>HYPERLINK("https://www.catalog.slsa.sa.gov.au/record=b2020019")</f>
        <v>https://www.catalog.slsa.sa.gov.au/record=b2020019</v>
      </c>
      <c r="C10562" s="1" t="str">
        <f>HYPERLINK("https://www.catalog.slsa.sa.gov.au/xrecord=b2020019")</f>
        <v>https://www.catalog.slsa.sa.gov.au/xrecord=b2020019</v>
      </c>
      <c r="D10562" t="s">
        <v>28745</v>
      </c>
      <c r="E10562" t="s">
        <v>32764</v>
      </c>
      <c r="F10562">
        <v>1988</v>
      </c>
      <c r="G10562" t="s">
        <v>32765</v>
      </c>
      <c r="H10562" t="s">
        <v>32766</v>
      </c>
      <c r="I10562" t="s">
        <v>32767</v>
      </c>
      <c r="J10562" t="s">
        <v>32768</v>
      </c>
      <c r="K10562" s="2" t="str">
        <f>HYPERLINK("http://collections.slsa.sa.gov.au/mpcimg/49750/B49507.htm")</f>
        <v>http://collections.slsa.sa.gov.au/mpcimg/49750/B49507.htm</v>
      </c>
    </row>
    <row r="10563" spans="1:11" x14ac:dyDescent="0.25">
      <c r="A10563" t="s">
        <v>32769</v>
      </c>
      <c r="B10563" s="1" t="str">
        <f>HYPERLINK("https://www.catalog.slsa.sa.gov.au/record=b2022119")</f>
        <v>https://www.catalog.slsa.sa.gov.au/record=b2022119</v>
      </c>
      <c r="C10563" s="1" t="str">
        <f>HYPERLINK("https://www.catalog.slsa.sa.gov.au/xrecord=b2022119")</f>
        <v>https://www.catalog.slsa.sa.gov.au/xrecord=b2022119</v>
      </c>
      <c r="D10563" t="s">
        <v>28745</v>
      </c>
      <c r="E10563" t="s">
        <v>32770</v>
      </c>
      <c r="F10563">
        <v>1988</v>
      </c>
      <c r="G10563" t="s">
        <v>32771</v>
      </c>
      <c r="H10563" t="s">
        <v>32772</v>
      </c>
      <c r="I10563" t="s">
        <v>32773</v>
      </c>
      <c r="J10563" t="s">
        <v>32774</v>
      </c>
      <c r="K10563" s="2" t="str">
        <f>HYPERLINK("http://collections.slsa.sa.gov.au/mpcimg/49750/B49513.htm")</f>
        <v>http://collections.slsa.sa.gov.au/mpcimg/49750/B49513.htm</v>
      </c>
    </row>
    <row r="10564" spans="1:11" x14ac:dyDescent="0.25">
      <c r="A10564" t="s">
        <v>32775</v>
      </c>
      <c r="B10564" s="1" t="str">
        <f>HYPERLINK("https://www.catalog.slsa.sa.gov.au/record=b2022120")</f>
        <v>https://www.catalog.slsa.sa.gov.au/record=b2022120</v>
      </c>
      <c r="C10564" s="1" t="str">
        <f>HYPERLINK("https://www.catalog.slsa.sa.gov.au/xrecord=b2022120")</f>
        <v>https://www.catalog.slsa.sa.gov.au/xrecord=b2022120</v>
      </c>
      <c r="D10564" t="s">
        <v>28745</v>
      </c>
      <c r="E10564" t="s">
        <v>32776</v>
      </c>
      <c r="F10564">
        <v>1988</v>
      </c>
      <c r="G10564" t="s">
        <v>15897</v>
      </c>
      <c r="H10564" t="s">
        <v>32777</v>
      </c>
      <c r="I10564" t="s">
        <v>32778</v>
      </c>
      <c r="J10564" t="s">
        <v>32774</v>
      </c>
      <c r="K10564" s="2" t="str">
        <f>HYPERLINK("http://collections.slsa.sa.gov.au/mpcimg/49750/B49514.htm")</f>
        <v>http://collections.slsa.sa.gov.au/mpcimg/49750/B49514.htm</v>
      </c>
    </row>
    <row r="10565" spans="1:11" x14ac:dyDescent="0.25">
      <c r="A10565" t="s">
        <v>32779</v>
      </c>
      <c r="B10565" s="1" t="str">
        <f>HYPERLINK("https://www.catalog.slsa.sa.gov.au/record=b2022121")</f>
        <v>https://www.catalog.slsa.sa.gov.au/record=b2022121</v>
      </c>
      <c r="C10565" s="1" t="str">
        <f>HYPERLINK("https://www.catalog.slsa.sa.gov.au/xrecord=b2022121")</f>
        <v>https://www.catalog.slsa.sa.gov.au/xrecord=b2022121</v>
      </c>
      <c r="D10565" t="s">
        <v>28745</v>
      </c>
      <c r="E10565" t="s">
        <v>32770</v>
      </c>
      <c r="F10565">
        <v>1988</v>
      </c>
      <c r="G10565" t="s">
        <v>32780</v>
      </c>
      <c r="H10565" t="s">
        <v>32781</v>
      </c>
      <c r="J10565" t="s">
        <v>32774</v>
      </c>
      <c r="K10565" s="2" t="str">
        <f>HYPERLINK("http://collections.slsa.sa.gov.au/mpcimg/49750/B49515.htm")</f>
        <v>http://collections.slsa.sa.gov.au/mpcimg/49750/B49515.htm</v>
      </c>
    </row>
    <row r="10566" spans="1:11" x14ac:dyDescent="0.25">
      <c r="A10566" t="s">
        <v>32782</v>
      </c>
      <c r="B10566" s="1" t="str">
        <f>HYPERLINK("https://www.catalog.slsa.sa.gov.au/record=b2023225")</f>
        <v>https://www.catalog.slsa.sa.gov.au/record=b2023225</v>
      </c>
      <c r="C10566" s="1" t="str">
        <f>HYPERLINK("https://www.catalog.slsa.sa.gov.au/xrecord=b2023225")</f>
        <v>https://www.catalog.slsa.sa.gov.au/xrecord=b2023225</v>
      </c>
      <c r="D10566" t="s">
        <v>28745</v>
      </c>
      <c r="E10566" t="s">
        <v>32783</v>
      </c>
      <c r="F10566">
        <v>1988</v>
      </c>
      <c r="G10566" t="s">
        <v>32784</v>
      </c>
      <c r="H10566" t="s">
        <v>32785</v>
      </c>
      <c r="J10566" t="s">
        <v>32786</v>
      </c>
      <c r="K10566" s="2" t="str">
        <f>HYPERLINK("http://collections.slsa.sa.gov.au/mpcimg/49750/B49505.htm")</f>
        <v>http://collections.slsa.sa.gov.au/mpcimg/49750/B49505.htm</v>
      </c>
    </row>
    <row r="10567" spans="1:11" x14ac:dyDescent="0.25">
      <c r="A10567" t="s">
        <v>32787</v>
      </c>
      <c r="B10567" s="1" t="str">
        <f>HYPERLINK("https://www.catalog.slsa.sa.gov.au/record=b2023778")</f>
        <v>https://www.catalog.slsa.sa.gov.au/record=b2023778</v>
      </c>
      <c r="C10567" s="1" t="str">
        <f>HYPERLINK("https://www.catalog.slsa.sa.gov.au/xrecord=b2023778")</f>
        <v>https://www.catalog.slsa.sa.gov.au/xrecord=b2023778</v>
      </c>
      <c r="D10567" t="s">
        <v>28745</v>
      </c>
      <c r="E10567" t="s">
        <v>32788</v>
      </c>
      <c r="F10567">
        <v>1988</v>
      </c>
      <c r="G10567" t="s">
        <v>32789</v>
      </c>
      <c r="H10567" t="s">
        <v>32790</v>
      </c>
      <c r="I10567" t="s">
        <v>32791</v>
      </c>
      <c r="J10567" t="s">
        <v>22652</v>
      </c>
      <c r="K10567" s="2" t="str">
        <f>HYPERLINK("http://collections.slsa.sa.gov.au/mpcimg/49750/B49506.htm")</f>
        <v>http://collections.slsa.sa.gov.au/mpcimg/49750/B49506.htm</v>
      </c>
    </row>
    <row r="10568" spans="1:11" x14ac:dyDescent="0.25">
      <c r="A10568" t="s">
        <v>32792</v>
      </c>
      <c r="B10568" s="1" t="str">
        <f>HYPERLINK("https://www.catalog.slsa.sa.gov.au/record=b2025561")</f>
        <v>https://www.catalog.slsa.sa.gov.au/record=b2025561</v>
      </c>
      <c r="C10568" s="1" t="str">
        <f>HYPERLINK("https://www.catalog.slsa.sa.gov.au/xrecord=b2025561")</f>
        <v>https://www.catalog.slsa.sa.gov.au/xrecord=b2025561</v>
      </c>
      <c r="D10568" t="s">
        <v>28745</v>
      </c>
      <c r="E10568" t="s">
        <v>32793</v>
      </c>
      <c r="F10568">
        <v>1988</v>
      </c>
      <c r="G10568" t="s">
        <v>19303</v>
      </c>
      <c r="H10568" t="s">
        <v>32794</v>
      </c>
      <c r="I10568" t="s">
        <v>32795</v>
      </c>
      <c r="J10568" t="s">
        <v>32796</v>
      </c>
      <c r="K10568" s="2" t="str">
        <f>HYPERLINK("http://collections.slsa.sa.gov.au/mpcimg/49750/B49713.htm")</f>
        <v>http://collections.slsa.sa.gov.au/mpcimg/49750/B49713.htm</v>
      </c>
    </row>
    <row r="10569" spans="1:11" x14ac:dyDescent="0.25">
      <c r="A10569" t="s">
        <v>32797</v>
      </c>
      <c r="B10569" s="1" t="str">
        <f>HYPERLINK("https://www.catalog.slsa.sa.gov.au/record=b2025562")</f>
        <v>https://www.catalog.slsa.sa.gov.au/record=b2025562</v>
      </c>
      <c r="C10569" s="1" t="str">
        <f>HYPERLINK("https://www.catalog.slsa.sa.gov.au/xrecord=b2025562")</f>
        <v>https://www.catalog.slsa.sa.gov.au/xrecord=b2025562</v>
      </c>
      <c r="D10569" t="s">
        <v>28745</v>
      </c>
      <c r="E10569" t="s">
        <v>32793</v>
      </c>
      <c r="F10569">
        <v>1988</v>
      </c>
      <c r="G10569" t="s">
        <v>32798</v>
      </c>
      <c r="H10569" t="s">
        <v>32799</v>
      </c>
      <c r="I10569" t="s">
        <v>32795</v>
      </c>
      <c r="J10569" t="s">
        <v>32796</v>
      </c>
      <c r="K10569" s="2" t="str">
        <f>HYPERLINK("http://collections.slsa.sa.gov.au/mpcimg/49750/B49714.htm")</f>
        <v>http://collections.slsa.sa.gov.au/mpcimg/49750/B49714.htm</v>
      </c>
    </row>
    <row r="10570" spans="1:11" x14ac:dyDescent="0.25">
      <c r="A10570" t="s">
        <v>32800</v>
      </c>
      <c r="B10570" s="1" t="str">
        <f>HYPERLINK("https://www.catalog.slsa.sa.gov.au/record=b2025563")</f>
        <v>https://www.catalog.slsa.sa.gov.au/record=b2025563</v>
      </c>
      <c r="C10570" s="1" t="str">
        <f>HYPERLINK("https://www.catalog.slsa.sa.gov.au/xrecord=b2025563")</f>
        <v>https://www.catalog.slsa.sa.gov.au/xrecord=b2025563</v>
      </c>
      <c r="D10570" t="s">
        <v>28745</v>
      </c>
      <c r="E10570" t="s">
        <v>32801</v>
      </c>
      <c r="F10570">
        <v>1988</v>
      </c>
      <c r="G10570" t="s">
        <v>32802</v>
      </c>
      <c r="H10570" t="s">
        <v>32803</v>
      </c>
      <c r="I10570" t="s">
        <v>32795</v>
      </c>
      <c r="J10570" t="s">
        <v>32796</v>
      </c>
      <c r="K10570" s="2" t="str">
        <f>HYPERLINK("http://collections.slsa.sa.gov.au/mpcimg/49750/B49715.htm")</f>
        <v>http://collections.slsa.sa.gov.au/mpcimg/49750/B49715.htm</v>
      </c>
    </row>
    <row r="10571" spans="1:11" x14ac:dyDescent="0.25">
      <c r="A10571" t="s">
        <v>32804</v>
      </c>
      <c r="B10571" s="1" t="str">
        <f>HYPERLINK("https://www.catalog.slsa.sa.gov.au/record=b2025564")</f>
        <v>https://www.catalog.slsa.sa.gov.au/record=b2025564</v>
      </c>
      <c r="C10571" s="1" t="str">
        <f>HYPERLINK("https://www.catalog.slsa.sa.gov.au/xrecord=b2025564")</f>
        <v>https://www.catalog.slsa.sa.gov.au/xrecord=b2025564</v>
      </c>
      <c r="D10571" t="s">
        <v>28745</v>
      </c>
      <c r="E10571" t="s">
        <v>32801</v>
      </c>
      <c r="F10571">
        <v>1988</v>
      </c>
      <c r="G10571" t="s">
        <v>32805</v>
      </c>
      <c r="H10571" t="s">
        <v>32806</v>
      </c>
      <c r="I10571" t="s">
        <v>32795</v>
      </c>
      <c r="J10571" t="s">
        <v>32796</v>
      </c>
      <c r="K10571" s="2" t="str">
        <f>HYPERLINK("http://collections.slsa.sa.gov.au/mpcimg/49750/B49716.htm")</f>
        <v>http://collections.slsa.sa.gov.au/mpcimg/49750/B49716.htm</v>
      </c>
    </row>
    <row r="10572" spans="1:11" x14ac:dyDescent="0.25">
      <c r="A10572" t="s">
        <v>32807</v>
      </c>
      <c r="B10572" s="1" t="str">
        <f>HYPERLINK("https://www.catalog.slsa.sa.gov.au/record=b2025565")</f>
        <v>https://www.catalog.slsa.sa.gov.au/record=b2025565</v>
      </c>
      <c r="C10572" s="1" t="str">
        <f>HYPERLINK("https://www.catalog.slsa.sa.gov.au/xrecord=b2025565")</f>
        <v>https://www.catalog.slsa.sa.gov.au/xrecord=b2025565</v>
      </c>
      <c r="D10572" t="s">
        <v>28745</v>
      </c>
      <c r="E10572" t="s">
        <v>32793</v>
      </c>
      <c r="F10572">
        <v>1988</v>
      </c>
      <c r="G10572" t="s">
        <v>32808</v>
      </c>
      <c r="H10572" t="s">
        <v>32809</v>
      </c>
      <c r="I10572" t="s">
        <v>32795</v>
      </c>
      <c r="J10572" t="s">
        <v>32796</v>
      </c>
      <c r="K10572" s="2" t="str">
        <f>HYPERLINK("http://collections.slsa.sa.gov.au/mpcimg/49750/B49717.htm")</f>
        <v>http://collections.slsa.sa.gov.au/mpcimg/49750/B49717.htm</v>
      </c>
    </row>
    <row r="10573" spans="1:11" x14ac:dyDescent="0.25">
      <c r="A10573" t="s">
        <v>32810</v>
      </c>
      <c r="B10573" s="1" t="str">
        <f>HYPERLINK("https://www.catalog.slsa.sa.gov.au/record=b2025566")</f>
        <v>https://www.catalog.slsa.sa.gov.au/record=b2025566</v>
      </c>
      <c r="C10573" s="1" t="str">
        <f>HYPERLINK("https://www.catalog.slsa.sa.gov.au/xrecord=b2025566")</f>
        <v>https://www.catalog.slsa.sa.gov.au/xrecord=b2025566</v>
      </c>
      <c r="D10573" t="s">
        <v>28745</v>
      </c>
      <c r="E10573" t="s">
        <v>32793</v>
      </c>
      <c r="F10573">
        <v>1988</v>
      </c>
      <c r="G10573" t="s">
        <v>32811</v>
      </c>
      <c r="H10573" t="s">
        <v>32812</v>
      </c>
      <c r="I10573" t="s">
        <v>32795</v>
      </c>
      <c r="J10573" t="s">
        <v>32796</v>
      </c>
      <c r="K10573" s="2" t="str">
        <f>HYPERLINK("http://collections.slsa.sa.gov.au/mpcimg/49750/B49718.htm")</f>
        <v>http://collections.slsa.sa.gov.au/mpcimg/49750/B49718.htm</v>
      </c>
    </row>
    <row r="10574" spans="1:11" x14ac:dyDescent="0.25">
      <c r="A10574" t="s">
        <v>32813</v>
      </c>
      <c r="B10574" s="1" t="str">
        <f>HYPERLINK("https://www.catalog.slsa.sa.gov.au/record=b2028238")</f>
        <v>https://www.catalog.slsa.sa.gov.au/record=b2028238</v>
      </c>
      <c r="C10574" s="1" t="str">
        <f>HYPERLINK("https://www.catalog.slsa.sa.gov.au/xrecord=b2028238")</f>
        <v>https://www.catalog.slsa.sa.gov.au/xrecord=b2028238</v>
      </c>
      <c r="D10574" t="s">
        <v>28745</v>
      </c>
      <c r="E10574" t="s">
        <v>32814</v>
      </c>
      <c r="F10574">
        <v>1988</v>
      </c>
      <c r="G10574" t="s">
        <v>32815</v>
      </c>
      <c r="H10574" t="s">
        <v>32816</v>
      </c>
      <c r="I10574" t="s">
        <v>32817</v>
      </c>
      <c r="J10574" t="s">
        <v>32818</v>
      </c>
      <c r="K10574" s="2" t="str">
        <f>HYPERLINK("http://collections.slsa.sa.gov.au/mpcimg/49750/B49508.htm")</f>
        <v>http://collections.slsa.sa.gov.au/mpcimg/49750/B49508.htm</v>
      </c>
    </row>
    <row r="10575" spans="1:11" x14ac:dyDescent="0.25">
      <c r="A10575" t="s">
        <v>32819</v>
      </c>
      <c r="B10575" s="1" t="str">
        <f>HYPERLINK("https://www.catalog.slsa.sa.gov.au/record=b2029059")</f>
        <v>https://www.catalog.slsa.sa.gov.au/record=b2029059</v>
      </c>
      <c r="C10575" s="1" t="str">
        <f>HYPERLINK("https://www.catalog.slsa.sa.gov.au/xrecord=b2029059")</f>
        <v>https://www.catalog.slsa.sa.gov.au/xrecord=b2029059</v>
      </c>
      <c r="D10575" t="s">
        <v>28745</v>
      </c>
      <c r="E10575" t="s">
        <v>32820</v>
      </c>
      <c r="F10575">
        <v>1988</v>
      </c>
      <c r="G10575" t="s">
        <v>32821</v>
      </c>
      <c r="H10575" t="s">
        <v>32822</v>
      </c>
      <c r="J10575" t="s">
        <v>25048</v>
      </c>
      <c r="K10575" s="2" t="str">
        <f>HYPERLINK("http://collections.slsa.sa.gov.au/mpcimg/49750/B49509.htm")</f>
        <v>http://collections.slsa.sa.gov.au/mpcimg/49750/B49509.htm</v>
      </c>
    </row>
    <row r="10576" spans="1:11" x14ac:dyDescent="0.25">
      <c r="A10576" t="s">
        <v>32823</v>
      </c>
      <c r="B10576" s="1" t="str">
        <f>HYPERLINK("https://www.catalog.slsa.sa.gov.au/record=b2029060")</f>
        <v>https://www.catalog.slsa.sa.gov.au/record=b2029060</v>
      </c>
      <c r="C10576" s="1" t="str">
        <f>HYPERLINK("https://www.catalog.slsa.sa.gov.au/xrecord=b2029060")</f>
        <v>https://www.catalog.slsa.sa.gov.au/xrecord=b2029060</v>
      </c>
      <c r="D10576" t="s">
        <v>28745</v>
      </c>
      <c r="E10576" t="s">
        <v>32820</v>
      </c>
      <c r="F10576">
        <v>1988</v>
      </c>
      <c r="G10576" t="s">
        <v>32824</v>
      </c>
      <c r="H10576" t="s">
        <v>32825</v>
      </c>
      <c r="I10576" t="s">
        <v>32826</v>
      </c>
      <c r="J10576" t="s">
        <v>25048</v>
      </c>
      <c r="K10576" s="2" t="str">
        <f>HYPERLINK("http://collections.slsa.sa.gov.au/mpcimg/49750/B49510.htm")</f>
        <v>http://collections.slsa.sa.gov.au/mpcimg/49750/B49510.htm</v>
      </c>
    </row>
    <row r="10577" spans="1:11" x14ac:dyDescent="0.25">
      <c r="A10577" t="s">
        <v>32827</v>
      </c>
      <c r="B10577" s="1" t="str">
        <f>HYPERLINK("https://www.catalog.slsa.sa.gov.au/record=b2029061")</f>
        <v>https://www.catalog.slsa.sa.gov.au/record=b2029061</v>
      </c>
      <c r="C10577" s="1" t="str">
        <f>HYPERLINK("https://www.catalog.slsa.sa.gov.au/xrecord=b2029061")</f>
        <v>https://www.catalog.slsa.sa.gov.au/xrecord=b2029061</v>
      </c>
      <c r="D10577" t="s">
        <v>28745</v>
      </c>
      <c r="E10577" t="s">
        <v>32828</v>
      </c>
      <c r="F10577">
        <v>1988</v>
      </c>
      <c r="G10577" t="s">
        <v>32829</v>
      </c>
      <c r="H10577" t="s">
        <v>32830</v>
      </c>
      <c r="I10577" t="s">
        <v>32831</v>
      </c>
      <c r="J10577" t="s">
        <v>25048</v>
      </c>
      <c r="K10577" s="2" t="str">
        <f>HYPERLINK("http://collections.slsa.sa.gov.au/mpcimg/49750/B49511.htm")</f>
        <v>http://collections.slsa.sa.gov.au/mpcimg/49750/B49511.htm</v>
      </c>
    </row>
    <row r="10578" spans="1:11" x14ac:dyDescent="0.25">
      <c r="A10578" t="s">
        <v>32832</v>
      </c>
      <c r="B10578" s="1" t="str">
        <f>HYPERLINK("https://www.catalog.slsa.sa.gov.au/record=b2029062")</f>
        <v>https://www.catalog.slsa.sa.gov.au/record=b2029062</v>
      </c>
      <c r="C10578" s="1" t="str">
        <f>HYPERLINK("https://www.catalog.slsa.sa.gov.au/xrecord=b2029062")</f>
        <v>https://www.catalog.slsa.sa.gov.au/xrecord=b2029062</v>
      </c>
      <c r="D10578" t="s">
        <v>28745</v>
      </c>
      <c r="E10578" t="s">
        <v>32833</v>
      </c>
      <c r="F10578">
        <v>1988</v>
      </c>
      <c r="G10578" t="s">
        <v>32834</v>
      </c>
      <c r="H10578" t="s">
        <v>32835</v>
      </c>
      <c r="I10578" t="s">
        <v>32836</v>
      </c>
      <c r="J10578" t="s">
        <v>25048</v>
      </c>
      <c r="K10578" s="2" t="str">
        <f>HYPERLINK("http://collections.slsa.sa.gov.au/mpcimg/49750/B49512.htm")</f>
        <v>http://collections.slsa.sa.gov.au/mpcimg/49750/B49512.htm</v>
      </c>
    </row>
    <row r="10579" spans="1:11" x14ac:dyDescent="0.25">
      <c r="A10579" t="s">
        <v>32837</v>
      </c>
      <c r="B10579" s="1" t="str">
        <f>HYPERLINK("https://www.catalog.slsa.sa.gov.au/record=b2029063")</f>
        <v>https://www.catalog.slsa.sa.gov.au/record=b2029063</v>
      </c>
      <c r="C10579" s="1" t="str">
        <f>HYPERLINK("https://www.catalog.slsa.sa.gov.au/xrecord=b2029063")</f>
        <v>https://www.catalog.slsa.sa.gov.au/xrecord=b2029063</v>
      </c>
      <c r="D10579" t="s">
        <v>28745</v>
      </c>
      <c r="E10579" t="s">
        <v>32838</v>
      </c>
      <c r="F10579">
        <v>1988</v>
      </c>
      <c r="G10579" t="s">
        <v>32839</v>
      </c>
      <c r="H10579" t="s">
        <v>32840</v>
      </c>
      <c r="I10579" t="s">
        <v>32841</v>
      </c>
      <c r="J10579" t="s">
        <v>25048</v>
      </c>
      <c r="K10579" s="2" t="str">
        <f>HYPERLINK("http://collections.slsa.sa.gov.au/mpcimg/49750/B49516.htm")</f>
        <v>http://collections.slsa.sa.gov.au/mpcimg/49750/B49516.htm</v>
      </c>
    </row>
    <row r="10580" spans="1:11" x14ac:dyDescent="0.25">
      <c r="A10580" t="s">
        <v>32842</v>
      </c>
      <c r="B10580" s="1" t="str">
        <f>HYPERLINK("https://www.catalog.slsa.sa.gov.au/record=b2034357")</f>
        <v>https://www.catalog.slsa.sa.gov.au/record=b2034357</v>
      </c>
      <c r="C10580" s="1" t="str">
        <f>HYPERLINK("https://www.catalog.slsa.sa.gov.au/xrecord=b2034357")</f>
        <v>https://www.catalog.slsa.sa.gov.au/xrecord=b2034357</v>
      </c>
      <c r="D10580" t="s">
        <v>28745</v>
      </c>
      <c r="E10580" t="s">
        <v>32843</v>
      </c>
      <c r="F10580">
        <v>1988</v>
      </c>
      <c r="G10580" t="s">
        <v>32755</v>
      </c>
      <c r="H10580" t="s">
        <v>32844</v>
      </c>
      <c r="I10580" t="s">
        <v>32845</v>
      </c>
      <c r="J10580" t="s">
        <v>15525</v>
      </c>
      <c r="K10580" s="2" t="str">
        <f>HYPERLINK("http://collections.slsa.sa.gov.au/mpcimg/49750/B49725.htm")</f>
        <v>http://collections.slsa.sa.gov.au/mpcimg/49750/B49725.htm</v>
      </c>
    </row>
    <row r="10581" spans="1:11" x14ac:dyDescent="0.25">
      <c r="A10581" t="s">
        <v>32846</v>
      </c>
      <c r="B10581" s="1" t="str">
        <f>HYPERLINK("https://www.catalog.slsa.sa.gov.au/record=b2034358")</f>
        <v>https://www.catalog.slsa.sa.gov.au/record=b2034358</v>
      </c>
      <c r="C10581" s="1" t="str">
        <f>HYPERLINK("https://www.catalog.slsa.sa.gov.au/xrecord=b2034358")</f>
        <v>https://www.catalog.slsa.sa.gov.au/xrecord=b2034358</v>
      </c>
      <c r="D10581" t="s">
        <v>28745</v>
      </c>
      <c r="E10581" t="s">
        <v>32843</v>
      </c>
      <c r="F10581">
        <v>1988</v>
      </c>
      <c r="G10581" t="s">
        <v>32755</v>
      </c>
      <c r="H10581" t="s">
        <v>32847</v>
      </c>
      <c r="I10581" t="s">
        <v>32845</v>
      </c>
      <c r="J10581" t="s">
        <v>15525</v>
      </c>
      <c r="K10581" s="2" t="str">
        <f>HYPERLINK("http://collections.slsa.sa.gov.au/mpcimg/49750/B49726.htm")</f>
        <v>http://collections.slsa.sa.gov.au/mpcimg/49750/B49726.htm</v>
      </c>
    </row>
    <row r="10582" spans="1:11" x14ac:dyDescent="0.25">
      <c r="A10582" t="s">
        <v>32848</v>
      </c>
      <c r="B10582" s="1" t="str">
        <f>HYPERLINK("https://www.catalog.slsa.sa.gov.au/record=b2034359")</f>
        <v>https://www.catalog.slsa.sa.gov.au/record=b2034359</v>
      </c>
      <c r="C10582" s="1" t="str">
        <f>HYPERLINK("https://www.catalog.slsa.sa.gov.au/xrecord=b2034359")</f>
        <v>https://www.catalog.slsa.sa.gov.au/xrecord=b2034359</v>
      </c>
      <c r="D10582" t="s">
        <v>28745</v>
      </c>
      <c r="E10582" t="s">
        <v>32843</v>
      </c>
      <c r="F10582">
        <v>1988</v>
      </c>
      <c r="G10582" t="s">
        <v>32755</v>
      </c>
      <c r="H10582" t="s">
        <v>32849</v>
      </c>
      <c r="I10582" t="s">
        <v>32845</v>
      </c>
      <c r="J10582" t="s">
        <v>15525</v>
      </c>
      <c r="K10582" s="2" t="str">
        <f>HYPERLINK("http://collections.slsa.sa.gov.au/mpcimg/49750/B49727.htm")</f>
        <v>http://collections.slsa.sa.gov.au/mpcimg/49750/B49727.htm</v>
      </c>
    </row>
    <row r="10583" spans="1:11" x14ac:dyDescent="0.25">
      <c r="A10583" t="s">
        <v>32850</v>
      </c>
      <c r="B10583" s="1" t="str">
        <f>HYPERLINK("https://www.catalog.slsa.sa.gov.au/record=b2041491")</f>
        <v>https://www.catalog.slsa.sa.gov.au/record=b2041491</v>
      </c>
      <c r="C10583" s="1" t="str">
        <f>HYPERLINK("https://www.catalog.slsa.sa.gov.au/xrecord=b2041491")</f>
        <v>https://www.catalog.slsa.sa.gov.au/xrecord=b2041491</v>
      </c>
      <c r="D10583" t="s">
        <v>28745</v>
      </c>
      <c r="E10583" t="s">
        <v>32851</v>
      </c>
      <c r="F10583">
        <v>1988</v>
      </c>
      <c r="G10583" t="s">
        <v>32798</v>
      </c>
      <c r="H10583" t="s">
        <v>32852</v>
      </c>
      <c r="I10583" t="s">
        <v>32853</v>
      </c>
      <c r="J10583" t="s">
        <v>32854</v>
      </c>
      <c r="K10583" s="2" t="str">
        <f>HYPERLINK("http://collections.slsa.sa.gov.au/mpcimg/49750/B49711.htm")</f>
        <v>http://collections.slsa.sa.gov.au/mpcimg/49750/B49711.htm</v>
      </c>
    </row>
    <row r="10584" spans="1:11" x14ac:dyDescent="0.25">
      <c r="A10584" t="s">
        <v>32855</v>
      </c>
      <c r="B10584" s="1" t="str">
        <f>HYPERLINK("https://www.catalog.slsa.sa.gov.au/record=b2041492")</f>
        <v>https://www.catalog.slsa.sa.gov.au/record=b2041492</v>
      </c>
      <c r="C10584" s="1" t="str">
        <f>HYPERLINK("https://www.catalog.slsa.sa.gov.au/xrecord=b2041492")</f>
        <v>https://www.catalog.slsa.sa.gov.au/xrecord=b2041492</v>
      </c>
      <c r="D10584" t="s">
        <v>28745</v>
      </c>
      <c r="E10584" t="s">
        <v>32851</v>
      </c>
      <c r="F10584">
        <v>1988</v>
      </c>
      <c r="G10584" t="s">
        <v>32808</v>
      </c>
      <c r="H10584" t="s">
        <v>32856</v>
      </c>
      <c r="I10584" t="s">
        <v>32853</v>
      </c>
      <c r="J10584" t="s">
        <v>32854</v>
      </c>
      <c r="K10584" s="2" t="str">
        <f>HYPERLINK("http://collections.slsa.sa.gov.au/mpcimg/49750/B49712.htm")</f>
        <v>http://collections.slsa.sa.gov.au/mpcimg/49750/B49712.htm</v>
      </c>
    </row>
    <row r="10585" spans="1:11" x14ac:dyDescent="0.25">
      <c r="A10585" t="s">
        <v>32857</v>
      </c>
      <c r="B10585" s="1" t="str">
        <f>HYPERLINK("https://www.catalog.slsa.sa.gov.au/record=b2041504")</f>
        <v>https://www.catalog.slsa.sa.gov.au/record=b2041504</v>
      </c>
      <c r="C10585" s="1" t="str">
        <f>HYPERLINK("https://www.catalog.slsa.sa.gov.au/xrecord=b2041504")</f>
        <v>https://www.catalog.slsa.sa.gov.au/xrecord=b2041504</v>
      </c>
      <c r="D10585" t="s">
        <v>28745</v>
      </c>
      <c r="E10585" t="s">
        <v>32858</v>
      </c>
      <c r="F10585">
        <v>1988</v>
      </c>
      <c r="G10585" t="s">
        <v>32755</v>
      </c>
      <c r="H10585" t="s">
        <v>32859</v>
      </c>
      <c r="I10585" t="s">
        <v>32860</v>
      </c>
      <c r="J10585" t="s">
        <v>32861</v>
      </c>
      <c r="K10585" s="2" t="str">
        <f>HYPERLINK("http://collections.slsa.sa.gov.au/mpcimg/49750/B49728.htm")</f>
        <v>http://collections.slsa.sa.gov.au/mpcimg/49750/B49728.htm</v>
      </c>
    </row>
    <row r="10586" spans="1:11" x14ac:dyDescent="0.25">
      <c r="A10586" t="s">
        <v>32862</v>
      </c>
      <c r="B10586" s="1" t="str">
        <f>HYPERLINK("https://www.catalog.slsa.sa.gov.au/record=b2041505")</f>
        <v>https://www.catalog.slsa.sa.gov.au/record=b2041505</v>
      </c>
      <c r="C10586" s="1" t="str">
        <f>HYPERLINK("https://www.catalog.slsa.sa.gov.au/xrecord=b2041505")</f>
        <v>https://www.catalog.slsa.sa.gov.au/xrecord=b2041505</v>
      </c>
      <c r="D10586" t="s">
        <v>28745</v>
      </c>
      <c r="E10586" t="s">
        <v>32863</v>
      </c>
      <c r="F10586">
        <v>1988</v>
      </c>
      <c r="G10586" t="s">
        <v>32755</v>
      </c>
      <c r="H10586" t="s">
        <v>32864</v>
      </c>
      <c r="I10586" t="s">
        <v>32860</v>
      </c>
      <c r="J10586" t="s">
        <v>32861</v>
      </c>
      <c r="K10586" s="2" t="str">
        <f>HYPERLINK("http://collections.slsa.sa.gov.au/mpcimg/49750/B49729.htm")</f>
        <v>http://collections.slsa.sa.gov.au/mpcimg/49750/B49729.htm</v>
      </c>
    </row>
    <row r="10587" spans="1:11" x14ac:dyDescent="0.25">
      <c r="A10587" t="s">
        <v>32865</v>
      </c>
      <c r="B10587" s="1" t="str">
        <f>HYPERLINK("https://www.catalog.slsa.sa.gov.au/record=b2041506")</f>
        <v>https://www.catalog.slsa.sa.gov.au/record=b2041506</v>
      </c>
      <c r="C10587" s="1" t="str">
        <f>HYPERLINK("https://www.catalog.slsa.sa.gov.au/xrecord=b2041506")</f>
        <v>https://www.catalog.slsa.sa.gov.au/xrecord=b2041506</v>
      </c>
      <c r="D10587" t="s">
        <v>28745</v>
      </c>
      <c r="E10587" t="s">
        <v>32866</v>
      </c>
      <c r="F10587">
        <v>1988</v>
      </c>
      <c r="G10587" t="s">
        <v>32755</v>
      </c>
      <c r="H10587" t="s">
        <v>32867</v>
      </c>
      <c r="I10587" t="s">
        <v>32860</v>
      </c>
      <c r="J10587" t="s">
        <v>32861</v>
      </c>
      <c r="K10587" s="2" t="str">
        <f>HYPERLINK("http://collections.slsa.sa.gov.au/mpcimg/49750/B49730.htm")</f>
        <v>http://collections.slsa.sa.gov.au/mpcimg/49750/B49730.htm</v>
      </c>
    </row>
    <row r="10588" spans="1:11" x14ac:dyDescent="0.25">
      <c r="A10588" t="s">
        <v>32868</v>
      </c>
      <c r="B10588" s="1" t="str">
        <f>HYPERLINK("https://www.catalog.slsa.sa.gov.au/record=b2042380")</f>
        <v>https://www.catalog.slsa.sa.gov.au/record=b2042380</v>
      </c>
      <c r="C10588" s="1" t="str">
        <f>HYPERLINK("https://www.catalog.slsa.sa.gov.au/xrecord=b2042380")</f>
        <v>https://www.catalog.slsa.sa.gov.au/xrecord=b2042380</v>
      </c>
      <c r="D10588" t="s">
        <v>28745</v>
      </c>
      <c r="E10588" t="s">
        <v>32869</v>
      </c>
      <c r="F10588">
        <v>1988</v>
      </c>
      <c r="G10588" t="s">
        <v>32870</v>
      </c>
      <c r="H10588" t="s">
        <v>32871</v>
      </c>
      <c r="I10588" t="s">
        <v>32872</v>
      </c>
      <c r="J10588" t="s">
        <v>32873</v>
      </c>
      <c r="K10588" s="2" t="str">
        <f>HYPERLINK("http://collections.slsa.sa.gov.au/mpcimg/49750/B49720.htm")</f>
        <v>http://collections.slsa.sa.gov.au/mpcimg/49750/B49720.htm</v>
      </c>
    </row>
    <row r="10589" spans="1:11" x14ac:dyDescent="0.25">
      <c r="A10589" t="s">
        <v>32874</v>
      </c>
      <c r="B10589" s="1" t="str">
        <f>HYPERLINK("https://www.catalog.slsa.sa.gov.au/record=b2045913")</f>
        <v>https://www.catalog.slsa.sa.gov.au/record=b2045913</v>
      </c>
      <c r="C10589" s="1" t="str">
        <f>HYPERLINK("https://www.catalog.slsa.sa.gov.au/xrecord=b2045913")</f>
        <v>https://www.catalog.slsa.sa.gov.au/xrecord=b2045913</v>
      </c>
      <c r="D10589" t="s">
        <v>28745</v>
      </c>
      <c r="E10589" t="s">
        <v>32875</v>
      </c>
      <c r="F10589">
        <v>1988</v>
      </c>
      <c r="G10589" t="s">
        <v>32876</v>
      </c>
      <c r="H10589" t="s">
        <v>32877</v>
      </c>
      <c r="I10589" t="s">
        <v>32878</v>
      </c>
      <c r="J10589" t="s">
        <v>32879</v>
      </c>
      <c r="K10589" s="2" t="str">
        <f>HYPERLINK("http://collections.slsa.sa.gov.au/mpcimg/49750/B49657.htm")</f>
        <v>http://collections.slsa.sa.gov.au/mpcimg/49750/B49657.htm</v>
      </c>
    </row>
    <row r="10590" spans="1:11" x14ac:dyDescent="0.25">
      <c r="A10590" t="s">
        <v>32880</v>
      </c>
      <c r="B10590" s="1" t="str">
        <f>HYPERLINK("https://www.catalog.slsa.sa.gov.au/record=b2045914")</f>
        <v>https://www.catalog.slsa.sa.gov.au/record=b2045914</v>
      </c>
      <c r="C10590" s="1" t="str">
        <f>HYPERLINK("https://www.catalog.slsa.sa.gov.au/xrecord=b2045914")</f>
        <v>https://www.catalog.slsa.sa.gov.au/xrecord=b2045914</v>
      </c>
      <c r="D10590" t="s">
        <v>28745</v>
      </c>
      <c r="E10590" t="s">
        <v>32881</v>
      </c>
      <c r="F10590">
        <v>1988</v>
      </c>
      <c r="G10590" t="s">
        <v>32882</v>
      </c>
      <c r="H10590" t="s">
        <v>32883</v>
      </c>
      <c r="J10590" t="s">
        <v>32879</v>
      </c>
      <c r="K10590" s="2" t="str">
        <f>HYPERLINK("http://collections.slsa.sa.gov.au/mpcimg/49750/B49658.htm")</f>
        <v>http://collections.slsa.sa.gov.au/mpcimg/49750/B49658.htm</v>
      </c>
    </row>
    <row r="10591" spans="1:11" x14ac:dyDescent="0.25">
      <c r="A10591" t="s">
        <v>32884</v>
      </c>
      <c r="B10591" s="1" t="str">
        <f>HYPERLINK("https://www.catalog.slsa.sa.gov.au/record=b2045915")</f>
        <v>https://www.catalog.slsa.sa.gov.au/record=b2045915</v>
      </c>
      <c r="C10591" s="1" t="str">
        <f>HYPERLINK("https://www.catalog.slsa.sa.gov.au/xrecord=b2045915")</f>
        <v>https://www.catalog.slsa.sa.gov.au/xrecord=b2045915</v>
      </c>
      <c r="D10591" t="s">
        <v>28745</v>
      </c>
      <c r="E10591" t="s">
        <v>32875</v>
      </c>
      <c r="F10591">
        <v>1988</v>
      </c>
      <c r="G10591" t="s">
        <v>32882</v>
      </c>
      <c r="H10591" t="s">
        <v>32885</v>
      </c>
      <c r="J10591" t="s">
        <v>32879</v>
      </c>
      <c r="K10591" s="2" t="str">
        <f>HYPERLINK("http://collections.slsa.sa.gov.au/mpcimg/49750/B49659.htm")</f>
        <v>http://collections.slsa.sa.gov.au/mpcimg/49750/B49659.htm</v>
      </c>
    </row>
    <row r="10592" spans="1:11" x14ac:dyDescent="0.25">
      <c r="A10592" t="s">
        <v>32886</v>
      </c>
      <c r="B10592" s="1" t="str">
        <f>HYPERLINK("https://www.catalog.slsa.sa.gov.au/record=b2045916")</f>
        <v>https://www.catalog.slsa.sa.gov.au/record=b2045916</v>
      </c>
      <c r="C10592" s="1" t="str">
        <f>HYPERLINK("https://www.catalog.slsa.sa.gov.au/xrecord=b2045916")</f>
        <v>https://www.catalog.slsa.sa.gov.au/xrecord=b2045916</v>
      </c>
      <c r="D10592" t="s">
        <v>28745</v>
      </c>
      <c r="E10592" t="s">
        <v>32887</v>
      </c>
      <c r="F10592">
        <v>1988</v>
      </c>
      <c r="G10592" t="s">
        <v>32882</v>
      </c>
      <c r="H10592" t="s">
        <v>32888</v>
      </c>
      <c r="J10592" t="s">
        <v>32879</v>
      </c>
      <c r="K10592" s="2" t="str">
        <f>HYPERLINK("http://collections.slsa.sa.gov.au/mpcimg/49750/B49660.htm")</f>
        <v>http://collections.slsa.sa.gov.au/mpcimg/49750/B49660.htm</v>
      </c>
    </row>
    <row r="10593" spans="1:11" x14ac:dyDescent="0.25">
      <c r="A10593" t="s">
        <v>32889</v>
      </c>
      <c r="B10593" s="1" t="str">
        <f>HYPERLINK("https://www.catalog.slsa.sa.gov.au/record=b2045917")</f>
        <v>https://www.catalog.slsa.sa.gov.au/record=b2045917</v>
      </c>
      <c r="C10593" s="1" t="str">
        <f>HYPERLINK("https://www.catalog.slsa.sa.gov.au/xrecord=b2045917")</f>
        <v>https://www.catalog.slsa.sa.gov.au/xrecord=b2045917</v>
      </c>
      <c r="D10593" t="s">
        <v>28745</v>
      </c>
      <c r="E10593" t="s">
        <v>32875</v>
      </c>
      <c r="F10593">
        <v>1988</v>
      </c>
      <c r="G10593" t="s">
        <v>32882</v>
      </c>
      <c r="H10593" t="s">
        <v>32890</v>
      </c>
      <c r="J10593" t="s">
        <v>32879</v>
      </c>
      <c r="K10593" s="2" t="str">
        <f>HYPERLINK("http://collections.slsa.sa.gov.au/mpcimg/49750/B49661.htm")</f>
        <v>http://collections.slsa.sa.gov.au/mpcimg/49750/B49661.htm</v>
      </c>
    </row>
    <row r="10594" spans="1:11" x14ac:dyDescent="0.25">
      <c r="A10594" t="s">
        <v>32891</v>
      </c>
      <c r="B10594" s="1" t="str">
        <f>HYPERLINK("https://www.catalog.slsa.sa.gov.au/record=b2045918")</f>
        <v>https://www.catalog.slsa.sa.gov.au/record=b2045918</v>
      </c>
      <c r="C10594" s="1" t="str">
        <f>HYPERLINK("https://www.catalog.slsa.sa.gov.au/xrecord=b2045918")</f>
        <v>https://www.catalog.slsa.sa.gov.au/xrecord=b2045918</v>
      </c>
      <c r="D10594" t="s">
        <v>28745</v>
      </c>
      <c r="E10594" t="s">
        <v>32875</v>
      </c>
      <c r="F10594">
        <v>1988</v>
      </c>
      <c r="G10594" t="s">
        <v>32882</v>
      </c>
      <c r="H10594" t="s">
        <v>32892</v>
      </c>
      <c r="J10594" t="s">
        <v>32879</v>
      </c>
      <c r="K10594" s="2" t="str">
        <f>HYPERLINK("http://collections.slsa.sa.gov.au/mpcimg/49750/B49662.htm")</f>
        <v>http://collections.slsa.sa.gov.au/mpcimg/49750/B49662.htm</v>
      </c>
    </row>
    <row r="10595" spans="1:11" x14ac:dyDescent="0.25">
      <c r="A10595" t="s">
        <v>32893</v>
      </c>
      <c r="B10595" s="1" t="str">
        <f>HYPERLINK("https://www.catalog.slsa.sa.gov.au/record=b2045919")</f>
        <v>https://www.catalog.slsa.sa.gov.au/record=b2045919</v>
      </c>
      <c r="C10595" s="1" t="str">
        <f>HYPERLINK("https://www.catalog.slsa.sa.gov.au/xrecord=b2045919")</f>
        <v>https://www.catalog.slsa.sa.gov.au/xrecord=b2045919</v>
      </c>
      <c r="D10595" t="s">
        <v>28745</v>
      </c>
      <c r="E10595" t="s">
        <v>32875</v>
      </c>
      <c r="F10595">
        <v>1988</v>
      </c>
      <c r="G10595" t="s">
        <v>32894</v>
      </c>
      <c r="H10595" t="s">
        <v>32895</v>
      </c>
      <c r="J10595" t="s">
        <v>32879</v>
      </c>
      <c r="K10595" s="2" t="str">
        <f>HYPERLINK("http://collections.slsa.sa.gov.au/mpcimg/49750/B49663.htm")</f>
        <v>http://collections.slsa.sa.gov.au/mpcimg/49750/B49663.htm</v>
      </c>
    </row>
    <row r="10596" spans="1:11" x14ac:dyDescent="0.25">
      <c r="A10596" t="s">
        <v>32896</v>
      </c>
      <c r="B10596" s="1" t="str">
        <f>HYPERLINK("https://www.catalog.slsa.sa.gov.au/record=b2045920")</f>
        <v>https://www.catalog.slsa.sa.gov.au/record=b2045920</v>
      </c>
      <c r="C10596" s="1" t="str">
        <f>HYPERLINK("https://www.catalog.slsa.sa.gov.au/xrecord=b2045920")</f>
        <v>https://www.catalog.slsa.sa.gov.au/xrecord=b2045920</v>
      </c>
      <c r="D10596" t="s">
        <v>28745</v>
      </c>
      <c r="E10596" t="s">
        <v>32897</v>
      </c>
      <c r="F10596">
        <v>1988</v>
      </c>
      <c r="G10596" t="s">
        <v>32898</v>
      </c>
      <c r="H10596" t="s">
        <v>32899</v>
      </c>
      <c r="J10596" t="s">
        <v>32879</v>
      </c>
      <c r="K10596" s="2" t="str">
        <f>HYPERLINK("http://collections.slsa.sa.gov.au/mpcimg/49750/B49664.htm")</f>
        <v>http://collections.slsa.sa.gov.au/mpcimg/49750/B49664.htm</v>
      </c>
    </row>
    <row r="10597" spans="1:11" x14ac:dyDescent="0.25">
      <c r="A10597" t="s">
        <v>32900</v>
      </c>
      <c r="B10597" s="1" t="str">
        <f>HYPERLINK("https://www.catalog.slsa.sa.gov.au/record=b2045921")</f>
        <v>https://www.catalog.slsa.sa.gov.au/record=b2045921</v>
      </c>
      <c r="C10597" s="1" t="str">
        <f>HYPERLINK("https://www.catalog.slsa.sa.gov.au/xrecord=b2045921")</f>
        <v>https://www.catalog.slsa.sa.gov.au/xrecord=b2045921</v>
      </c>
      <c r="D10597" t="s">
        <v>28745</v>
      </c>
      <c r="E10597" t="s">
        <v>32901</v>
      </c>
      <c r="F10597">
        <v>1988</v>
      </c>
      <c r="G10597" t="s">
        <v>32902</v>
      </c>
      <c r="H10597" t="s">
        <v>32903</v>
      </c>
      <c r="I10597" t="s">
        <v>32904</v>
      </c>
      <c r="J10597" t="s">
        <v>32879</v>
      </c>
      <c r="K10597" s="2" t="str">
        <f>HYPERLINK("http://collections.slsa.sa.gov.au/mpcimg/49750/B49665.htm")</f>
        <v>http://collections.slsa.sa.gov.au/mpcimg/49750/B49665.htm</v>
      </c>
    </row>
    <row r="10598" spans="1:11" x14ac:dyDescent="0.25">
      <c r="A10598" t="s">
        <v>32905</v>
      </c>
      <c r="B10598" s="1" t="str">
        <f>HYPERLINK("https://www.catalog.slsa.sa.gov.au/record=b2045922")</f>
        <v>https://www.catalog.slsa.sa.gov.au/record=b2045922</v>
      </c>
      <c r="C10598" s="1" t="str">
        <f>HYPERLINK("https://www.catalog.slsa.sa.gov.au/xrecord=b2045922")</f>
        <v>https://www.catalog.slsa.sa.gov.au/xrecord=b2045922</v>
      </c>
      <c r="D10598" t="s">
        <v>28745</v>
      </c>
      <c r="E10598" t="s">
        <v>32906</v>
      </c>
      <c r="F10598">
        <v>1988</v>
      </c>
      <c r="G10598" t="s">
        <v>32907</v>
      </c>
      <c r="H10598" t="s">
        <v>32908</v>
      </c>
      <c r="J10598" t="s">
        <v>32879</v>
      </c>
      <c r="K10598" s="2" t="str">
        <f>HYPERLINK("http://collections.slsa.sa.gov.au/mpcimg/49750/B49666.htm")</f>
        <v>http://collections.slsa.sa.gov.au/mpcimg/49750/B49666.htm</v>
      </c>
    </row>
    <row r="10599" spans="1:11" x14ac:dyDescent="0.25">
      <c r="A10599" t="s">
        <v>32909</v>
      </c>
      <c r="B10599" s="1" t="str">
        <f>HYPERLINK("https://www.catalog.slsa.sa.gov.au/record=b2045923")</f>
        <v>https://www.catalog.slsa.sa.gov.au/record=b2045923</v>
      </c>
      <c r="C10599" s="1" t="str">
        <f>HYPERLINK("https://www.catalog.slsa.sa.gov.au/xrecord=b2045923")</f>
        <v>https://www.catalog.slsa.sa.gov.au/xrecord=b2045923</v>
      </c>
      <c r="D10599" t="s">
        <v>28745</v>
      </c>
      <c r="E10599" t="s">
        <v>32910</v>
      </c>
      <c r="F10599">
        <v>1988</v>
      </c>
      <c r="G10599" t="s">
        <v>32898</v>
      </c>
      <c r="H10599" t="s">
        <v>32911</v>
      </c>
      <c r="J10599" t="s">
        <v>32879</v>
      </c>
      <c r="K10599" s="2" t="str">
        <f>HYPERLINK("http://collections.slsa.sa.gov.au/mpcimg/49750/B49667.htm")</f>
        <v>http://collections.slsa.sa.gov.au/mpcimg/49750/B49667.htm</v>
      </c>
    </row>
    <row r="10600" spans="1:11" x14ac:dyDescent="0.25">
      <c r="A10600" t="s">
        <v>32912</v>
      </c>
      <c r="B10600" s="1" t="str">
        <f>HYPERLINK("https://www.catalog.slsa.sa.gov.au/record=b2045924")</f>
        <v>https://www.catalog.slsa.sa.gov.au/record=b2045924</v>
      </c>
      <c r="C10600" s="1" t="str">
        <f>HYPERLINK("https://www.catalog.slsa.sa.gov.au/xrecord=b2045924")</f>
        <v>https://www.catalog.slsa.sa.gov.au/xrecord=b2045924</v>
      </c>
      <c r="D10600" t="s">
        <v>28745</v>
      </c>
      <c r="E10600" t="s">
        <v>32901</v>
      </c>
      <c r="F10600">
        <v>1988</v>
      </c>
      <c r="G10600" t="s">
        <v>32913</v>
      </c>
      <c r="H10600" t="s">
        <v>32903</v>
      </c>
      <c r="I10600" t="s">
        <v>32904</v>
      </c>
      <c r="J10600" t="s">
        <v>32879</v>
      </c>
      <c r="K10600" s="2" t="str">
        <f>HYPERLINK("http://collections.slsa.sa.gov.au/mpcimg/49750/B49668.htm")</f>
        <v>http://collections.slsa.sa.gov.au/mpcimg/49750/B49668.htm</v>
      </c>
    </row>
    <row r="10601" spans="1:11" x14ac:dyDescent="0.25">
      <c r="A10601" t="s">
        <v>32914</v>
      </c>
      <c r="B10601" s="1" t="str">
        <f>HYPERLINK("https://www.catalog.slsa.sa.gov.au/record=b2045925")</f>
        <v>https://www.catalog.slsa.sa.gov.au/record=b2045925</v>
      </c>
      <c r="C10601" s="1" t="str">
        <f>HYPERLINK("https://www.catalog.slsa.sa.gov.au/xrecord=b2045925")</f>
        <v>https://www.catalog.slsa.sa.gov.au/xrecord=b2045925</v>
      </c>
      <c r="D10601" t="s">
        <v>28745</v>
      </c>
      <c r="E10601" t="s">
        <v>32901</v>
      </c>
      <c r="F10601">
        <v>1988</v>
      </c>
      <c r="G10601" t="s">
        <v>32915</v>
      </c>
      <c r="H10601" t="s">
        <v>32903</v>
      </c>
      <c r="I10601" t="s">
        <v>32904</v>
      </c>
      <c r="J10601" t="s">
        <v>32879</v>
      </c>
      <c r="K10601" s="2" t="str">
        <f>HYPERLINK("http://collections.slsa.sa.gov.au/mpcimg/49750/B49669.htm")</f>
        <v>http://collections.slsa.sa.gov.au/mpcimg/49750/B49669.htm</v>
      </c>
    </row>
    <row r="10602" spans="1:11" x14ac:dyDescent="0.25">
      <c r="A10602" t="s">
        <v>32916</v>
      </c>
      <c r="B10602" s="1" t="str">
        <f>HYPERLINK("https://www.catalog.slsa.sa.gov.au/record=b2045926")</f>
        <v>https://www.catalog.slsa.sa.gov.au/record=b2045926</v>
      </c>
      <c r="C10602" s="1" t="str">
        <f>HYPERLINK("https://www.catalog.slsa.sa.gov.au/xrecord=b2045926")</f>
        <v>https://www.catalog.slsa.sa.gov.au/xrecord=b2045926</v>
      </c>
      <c r="D10602" t="s">
        <v>28745</v>
      </c>
      <c r="E10602" t="s">
        <v>32917</v>
      </c>
      <c r="F10602">
        <v>1988</v>
      </c>
      <c r="G10602" t="s">
        <v>32915</v>
      </c>
      <c r="H10602" t="s">
        <v>32918</v>
      </c>
      <c r="J10602" t="s">
        <v>32879</v>
      </c>
      <c r="K10602" s="2" t="str">
        <f>HYPERLINK("http://collections.slsa.sa.gov.au/mpcimg/49750/B49670.htm")</f>
        <v>http://collections.slsa.sa.gov.au/mpcimg/49750/B49670.htm</v>
      </c>
    </row>
    <row r="10603" spans="1:11" x14ac:dyDescent="0.25">
      <c r="A10603" t="s">
        <v>32919</v>
      </c>
      <c r="B10603" s="1" t="str">
        <f>HYPERLINK("https://www.catalog.slsa.sa.gov.au/record=b2045927")</f>
        <v>https://www.catalog.slsa.sa.gov.au/record=b2045927</v>
      </c>
      <c r="C10603" s="1" t="str">
        <f>HYPERLINK("https://www.catalog.slsa.sa.gov.au/xrecord=b2045927")</f>
        <v>https://www.catalog.slsa.sa.gov.au/xrecord=b2045927</v>
      </c>
      <c r="D10603" t="s">
        <v>28745</v>
      </c>
      <c r="E10603" t="s">
        <v>32920</v>
      </c>
      <c r="F10603">
        <v>1988</v>
      </c>
      <c r="G10603" t="s">
        <v>32921</v>
      </c>
      <c r="H10603" t="s">
        <v>32922</v>
      </c>
      <c r="I10603" t="s">
        <v>32923</v>
      </c>
      <c r="J10603" t="s">
        <v>32879</v>
      </c>
      <c r="K10603" s="2" t="str">
        <f>HYPERLINK("http://collections.slsa.sa.gov.au/mpcimg/49750/B49671.htm")</f>
        <v>http://collections.slsa.sa.gov.au/mpcimg/49750/B49671.htm</v>
      </c>
    </row>
    <row r="10604" spans="1:11" x14ac:dyDescent="0.25">
      <c r="A10604" t="s">
        <v>32924</v>
      </c>
      <c r="B10604" s="1" t="str">
        <f>HYPERLINK("https://www.catalog.slsa.sa.gov.au/record=b2045928")</f>
        <v>https://www.catalog.slsa.sa.gov.au/record=b2045928</v>
      </c>
      <c r="C10604" s="1" t="str">
        <f>HYPERLINK("https://www.catalog.slsa.sa.gov.au/xrecord=b2045928")</f>
        <v>https://www.catalog.slsa.sa.gov.au/xrecord=b2045928</v>
      </c>
      <c r="D10604" t="s">
        <v>28745</v>
      </c>
      <c r="E10604" t="s">
        <v>32875</v>
      </c>
      <c r="F10604">
        <v>1988</v>
      </c>
      <c r="G10604" t="s">
        <v>32921</v>
      </c>
      <c r="H10604" t="s">
        <v>32925</v>
      </c>
      <c r="I10604" t="s">
        <v>32923</v>
      </c>
      <c r="J10604" t="s">
        <v>32879</v>
      </c>
      <c r="K10604" s="2" t="str">
        <f>HYPERLINK("http://collections.slsa.sa.gov.au/mpcimg/49750/B49672.htm")</f>
        <v>http://collections.slsa.sa.gov.au/mpcimg/49750/B49672.htm</v>
      </c>
    </row>
    <row r="10605" spans="1:11" x14ac:dyDescent="0.25">
      <c r="A10605" t="s">
        <v>32926</v>
      </c>
      <c r="B10605" s="1" t="str">
        <f>HYPERLINK("https://www.catalog.slsa.sa.gov.au/record=b2045929")</f>
        <v>https://www.catalog.slsa.sa.gov.au/record=b2045929</v>
      </c>
      <c r="C10605" s="1" t="str">
        <f>HYPERLINK("https://www.catalog.slsa.sa.gov.au/xrecord=b2045929")</f>
        <v>https://www.catalog.slsa.sa.gov.au/xrecord=b2045929</v>
      </c>
      <c r="D10605" t="s">
        <v>28745</v>
      </c>
      <c r="E10605" t="s">
        <v>32927</v>
      </c>
      <c r="F10605">
        <v>1988</v>
      </c>
      <c r="G10605" t="s">
        <v>32921</v>
      </c>
      <c r="H10605" t="s">
        <v>32928</v>
      </c>
      <c r="I10605" t="s">
        <v>32923</v>
      </c>
      <c r="J10605" t="s">
        <v>32879</v>
      </c>
      <c r="K10605" s="2" t="str">
        <f>HYPERLINK("http://collections.slsa.sa.gov.au/mpcimg/49750/B49673.htm")</f>
        <v>http://collections.slsa.sa.gov.au/mpcimg/49750/B49673.htm</v>
      </c>
    </row>
    <row r="10606" spans="1:11" x14ac:dyDescent="0.25">
      <c r="A10606" t="s">
        <v>32929</v>
      </c>
      <c r="B10606" s="1" t="str">
        <f>HYPERLINK("https://www.catalog.slsa.sa.gov.au/record=b2045930")</f>
        <v>https://www.catalog.slsa.sa.gov.au/record=b2045930</v>
      </c>
      <c r="C10606" s="1" t="str">
        <f>HYPERLINK("https://www.catalog.slsa.sa.gov.au/xrecord=b2045930")</f>
        <v>https://www.catalog.slsa.sa.gov.au/xrecord=b2045930</v>
      </c>
      <c r="D10606" t="s">
        <v>28745</v>
      </c>
      <c r="E10606" t="s">
        <v>32930</v>
      </c>
      <c r="F10606">
        <v>1988</v>
      </c>
      <c r="G10606" t="s">
        <v>32921</v>
      </c>
      <c r="H10606" t="s">
        <v>32931</v>
      </c>
      <c r="I10606" t="s">
        <v>32923</v>
      </c>
      <c r="J10606" t="s">
        <v>32879</v>
      </c>
      <c r="K10606" s="2" t="str">
        <f>HYPERLINK("http://collections.slsa.sa.gov.au/mpcimg/49750/B49674.htm")</f>
        <v>http://collections.slsa.sa.gov.au/mpcimg/49750/B49674.htm</v>
      </c>
    </row>
    <row r="10607" spans="1:11" x14ac:dyDescent="0.25">
      <c r="A10607" t="s">
        <v>32932</v>
      </c>
      <c r="B10607" s="1" t="str">
        <f>HYPERLINK("https://www.catalog.slsa.sa.gov.au/record=b2045931")</f>
        <v>https://www.catalog.slsa.sa.gov.au/record=b2045931</v>
      </c>
      <c r="C10607" s="1" t="str">
        <f>HYPERLINK("https://www.catalog.slsa.sa.gov.au/xrecord=b2045931")</f>
        <v>https://www.catalog.slsa.sa.gov.au/xrecord=b2045931</v>
      </c>
      <c r="D10607" t="s">
        <v>28745</v>
      </c>
      <c r="E10607" t="s">
        <v>32930</v>
      </c>
      <c r="F10607">
        <v>1988</v>
      </c>
      <c r="G10607" t="s">
        <v>32921</v>
      </c>
      <c r="H10607" t="s">
        <v>32933</v>
      </c>
      <c r="I10607" t="s">
        <v>32923</v>
      </c>
      <c r="J10607" t="s">
        <v>32879</v>
      </c>
      <c r="K10607" s="2" t="str">
        <f>HYPERLINK("http://collections.slsa.sa.gov.au/mpcimg/49750/B49675.htm")</f>
        <v>http://collections.slsa.sa.gov.au/mpcimg/49750/B49675.htm</v>
      </c>
    </row>
    <row r="10608" spans="1:11" x14ac:dyDescent="0.25">
      <c r="A10608" t="s">
        <v>32934</v>
      </c>
      <c r="B10608" s="1" t="str">
        <f>HYPERLINK("https://www.catalog.slsa.sa.gov.au/record=b2045932")</f>
        <v>https://www.catalog.slsa.sa.gov.au/record=b2045932</v>
      </c>
      <c r="C10608" s="1" t="str">
        <f>HYPERLINK("https://www.catalog.slsa.sa.gov.au/xrecord=b2045932")</f>
        <v>https://www.catalog.slsa.sa.gov.au/xrecord=b2045932</v>
      </c>
      <c r="D10608" t="s">
        <v>28745</v>
      </c>
      <c r="E10608" t="s">
        <v>32906</v>
      </c>
      <c r="F10608">
        <v>1988</v>
      </c>
      <c r="G10608" t="s">
        <v>32935</v>
      </c>
      <c r="H10608" t="s">
        <v>32908</v>
      </c>
      <c r="J10608" t="s">
        <v>32879</v>
      </c>
      <c r="K10608" s="2" t="str">
        <f>HYPERLINK("http://collections.slsa.sa.gov.au/mpcimg/49750/B49676.htm")</f>
        <v>http://collections.slsa.sa.gov.au/mpcimg/49750/B49676.htm</v>
      </c>
    </row>
    <row r="10609" spans="1:11" x14ac:dyDescent="0.25">
      <c r="A10609" t="s">
        <v>32936</v>
      </c>
      <c r="B10609" s="1" t="str">
        <f>HYPERLINK("https://www.catalog.slsa.sa.gov.au/record=b2045933")</f>
        <v>https://www.catalog.slsa.sa.gov.au/record=b2045933</v>
      </c>
      <c r="C10609" s="1" t="str">
        <f>HYPERLINK("https://www.catalog.slsa.sa.gov.au/xrecord=b2045933")</f>
        <v>https://www.catalog.slsa.sa.gov.au/xrecord=b2045933</v>
      </c>
      <c r="D10609" t="s">
        <v>28745</v>
      </c>
      <c r="E10609" t="s">
        <v>32906</v>
      </c>
      <c r="F10609">
        <v>1988</v>
      </c>
      <c r="G10609" t="s">
        <v>32935</v>
      </c>
      <c r="H10609" t="s">
        <v>32937</v>
      </c>
      <c r="J10609" t="s">
        <v>32879</v>
      </c>
      <c r="K10609" s="2" t="str">
        <f>HYPERLINK("http://collections.slsa.sa.gov.au/mpcimg/49750/B49677.htm")</f>
        <v>http://collections.slsa.sa.gov.au/mpcimg/49750/B49677.htm</v>
      </c>
    </row>
    <row r="10610" spans="1:11" x14ac:dyDescent="0.25">
      <c r="A10610" t="s">
        <v>32938</v>
      </c>
      <c r="B10610" s="1" t="str">
        <f>HYPERLINK("https://www.catalog.slsa.sa.gov.au/record=b2045934")</f>
        <v>https://www.catalog.slsa.sa.gov.au/record=b2045934</v>
      </c>
      <c r="C10610" s="1" t="str">
        <f>HYPERLINK("https://www.catalog.slsa.sa.gov.au/xrecord=b2045934")</f>
        <v>https://www.catalog.slsa.sa.gov.au/xrecord=b2045934</v>
      </c>
      <c r="D10610" t="s">
        <v>28745</v>
      </c>
      <c r="E10610" t="s">
        <v>32939</v>
      </c>
      <c r="F10610">
        <v>1988</v>
      </c>
      <c r="G10610" t="s">
        <v>32940</v>
      </c>
      <c r="H10610" t="s">
        <v>32941</v>
      </c>
      <c r="I10610" t="s">
        <v>32923</v>
      </c>
      <c r="J10610" t="s">
        <v>32879</v>
      </c>
      <c r="K10610" s="2" t="str">
        <f>HYPERLINK("http://collections.slsa.sa.gov.au/mpcimg/49750/B49678.htm")</f>
        <v>http://collections.slsa.sa.gov.au/mpcimg/49750/B49678.htm</v>
      </c>
    </row>
    <row r="10611" spans="1:11" x14ac:dyDescent="0.25">
      <c r="A10611" t="s">
        <v>32942</v>
      </c>
      <c r="B10611" s="1" t="str">
        <f>HYPERLINK("https://www.catalog.slsa.sa.gov.au/record=b2045935")</f>
        <v>https://www.catalog.slsa.sa.gov.au/record=b2045935</v>
      </c>
      <c r="C10611" s="1" t="str">
        <f>HYPERLINK("https://www.catalog.slsa.sa.gov.au/xrecord=b2045935")</f>
        <v>https://www.catalog.slsa.sa.gov.au/xrecord=b2045935</v>
      </c>
      <c r="D10611" t="s">
        <v>28745</v>
      </c>
      <c r="E10611" t="s">
        <v>32943</v>
      </c>
      <c r="F10611">
        <v>1988</v>
      </c>
      <c r="G10611" t="s">
        <v>32944</v>
      </c>
      <c r="H10611" t="s">
        <v>32941</v>
      </c>
      <c r="I10611" t="s">
        <v>32923</v>
      </c>
      <c r="J10611" t="s">
        <v>32879</v>
      </c>
      <c r="K10611" s="2" t="str">
        <f>HYPERLINK("http://collections.slsa.sa.gov.au/mpcimg/49750/B49679.htm")</f>
        <v>http://collections.slsa.sa.gov.au/mpcimg/49750/B49679.htm</v>
      </c>
    </row>
    <row r="10612" spans="1:11" x14ac:dyDescent="0.25">
      <c r="A10612" t="s">
        <v>32945</v>
      </c>
      <c r="B10612" s="1" t="str">
        <f>HYPERLINK("https://www.catalog.slsa.sa.gov.au/record=b2045936")</f>
        <v>https://www.catalog.slsa.sa.gov.au/record=b2045936</v>
      </c>
      <c r="C10612" s="1" t="str">
        <f>HYPERLINK("https://www.catalog.slsa.sa.gov.au/xrecord=b2045936")</f>
        <v>https://www.catalog.slsa.sa.gov.au/xrecord=b2045936</v>
      </c>
      <c r="D10612" t="s">
        <v>28745</v>
      </c>
      <c r="E10612" t="s">
        <v>32946</v>
      </c>
      <c r="F10612">
        <v>1988</v>
      </c>
      <c r="G10612" t="s">
        <v>32944</v>
      </c>
      <c r="H10612" t="s">
        <v>32947</v>
      </c>
      <c r="I10612" t="s">
        <v>32923</v>
      </c>
      <c r="J10612" t="s">
        <v>32879</v>
      </c>
      <c r="K10612" s="2" t="str">
        <f>HYPERLINK("http://collections.slsa.sa.gov.au/mpcimg/49750/B49680.htm")</f>
        <v>http://collections.slsa.sa.gov.au/mpcimg/49750/B49680.htm</v>
      </c>
    </row>
    <row r="10613" spans="1:11" x14ac:dyDescent="0.25">
      <c r="A10613" t="s">
        <v>32948</v>
      </c>
      <c r="B10613" s="1" t="str">
        <f>HYPERLINK("https://www.catalog.slsa.sa.gov.au/record=b2045937")</f>
        <v>https://www.catalog.slsa.sa.gov.au/record=b2045937</v>
      </c>
      <c r="C10613" s="1" t="str">
        <f>HYPERLINK("https://www.catalog.slsa.sa.gov.au/xrecord=b2045937")</f>
        <v>https://www.catalog.slsa.sa.gov.au/xrecord=b2045937</v>
      </c>
      <c r="D10613" t="s">
        <v>28745</v>
      </c>
      <c r="E10613" t="s">
        <v>32949</v>
      </c>
      <c r="F10613">
        <v>1988</v>
      </c>
      <c r="G10613" t="s">
        <v>32950</v>
      </c>
      <c r="H10613" t="s">
        <v>32951</v>
      </c>
      <c r="I10613" t="s">
        <v>32923</v>
      </c>
      <c r="J10613" t="s">
        <v>32879</v>
      </c>
      <c r="K10613" s="2" t="str">
        <f>HYPERLINK("http://collections.slsa.sa.gov.au/mpcimg/49750/B49681.htm")</f>
        <v>http://collections.slsa.sa.gov.au/mpcimg/49750/B49681.htm</v>
      </c>
    </row>
    <row r="10614" spans="1:11" x14ac:dyDescent="0.25">
      <c r="A10614" t="s">
        <v>32952</v>
      </c>
      <c r="B10614" s="1" t="str">
        <f>HYPERLINK("https://www.catalog.slsa.sa.gov.au/record=b2045938")</f>
        <v>https://www.catalog.slsa.sa.gov.au/record=b2045938</v>
      </c>
      <c r="C10614" s="1" t="str">
        <f>HYPERLINK("https://www.catalog.slsa.sa.gov.au/xrecord=b2045938")</f>
        <v>https://www.catalog.slsa.sa.gov.au/xrecord=b2045938</v>
      </c>
      <c r="D10614" t="s">
        <v>28745</v>
      </c>
      <c r="E10614" t="s">
        <v>32953</v>
      </c>
      <c r="F10614">
        <v>1988</v>
      </c>
      <c r="G10614" t="s">
        <v>32950</v>
      </c>
      <c r="H10614" t="s">
        <v>32954</v>
      </c>
      <c r="I10614" t="s">
        <v>32955</v>
      </c>
      <c r="J10614" t="s">
        <v>32879</v>
      </c>
      <c r="K10614" s="2" t="str">
        <f>HYPERLINK("http://collections.slsa.sa.gov.au/mpcimg/49750/B49682.htm")</f>
        <v>http://collections.slsa.sa.gov.au/mpcimg/49750/B49682.htm</v>
      </c>
    </row>
    <row r="10615" spans="1:11" x14ac:dyDescent="0.25">
      <c r="A10615" t="s">
        <v>32956</v>
      </c>
      <c r="B10615" s="1" t="str">
        <f>HYPERLINK("https://www.catalog.slsa.sa.gov.au/record=b2045939")</f>
        <v>https://www.catalog.slsa.sa.gov.au/record=b2045939</v>
      </c>
      <c r="C10615" s="1" t="str">
        <f>HYPERLINK("https://www.catalog.slsa.sa.gov.au/xrecord=b2045939")</f>
        <v>https://www.catalog.slsa.sa.gov.au/xrecord=b2045939</v>
      </c>
      <c r="D10615" t="s">
        <v>28745</v>
      </c>
      <c r="E10615" t="s">
        <v>32957</v>
      </c>
      <c r="F10615">
        <v>1988</v>
      </c>
      <c r="G10615" t="s">
        <v>32950</v>
      </c>
      <c r="H10615" t="s">
        <v>32958</v>
      </c>
      <c r="I10615" t="s">
        <v>32923</v>
      </c>
      <c r="J10615" t="s">
        <v>32879</v>
      </c>
      <c r="K10615" s="2" t="str">
        <f>HYPERLINK("http://collections.slsa.sa.gov.au/mpcimg/49750/B49683.htm")</f>
        <v>http://collections.slsa.sa.gov.au/mpcimg/49750/B49683.htm</v>
      </c>
    </row>
    <row r="10616" spans="1:11" x14ac:dyDescent="0.25">
      <c r="A10616" t="s">
        <v>32959</v>
      </c>
      <c r="B10616" s="1" t="str">
        <f>HYPERLINK("https://www.catalog.slsa.sa.gov.au/record=b2045940")</f>
        <v>https://www.catalog.slsa.sa.gov.au/record=b2045940</v>
      </c>
      <c r="C10616" s="1" t="str">
        <f>HYPERLINK("https://www.catalog.slsa.sa.gov.au/xrecord=b2045940")</f>
        <v>https://www.catalog.slsa.sa.gov.au/xrecord=b2045940</v>
      </c>
      <c r="D10616" t="s">
        <v>28745</v>
      </c>
      <c r="E10616" t="s">
        <v>32960</v>
      </c>
      <c r="F10616">
        <v>1988</v>
      </c>
      <c r="G10616" t="s">
        <v>32950</v>
      </c>
      <c r="H10616" t="s">
        <v>32961</v>
      </c>
      <c r="I10616" t="s">
        <v>32923</v>
      </c>
      <c r="J10616" t="s">
        <v>32879</v>
      </c>
      <c r="K10616" s="2" t="str">
        <f>HYPERLINK("http://collections.slsa.sa.gov.au/mpcimg/49750/B49684.htm")</f>
        <v>http://collections.slsa.sa.gov.au/mpcimg/49750/B49684.htm</v>
      </c>
    </row>
    <row r="10617" spans="1:11" x14ac:dyDescent="0.25">
      <c r="A10617" t="s">
        <v>32962</v>
      </c>
      <c r="B10617" s="1" t="str">
        <f>HYPERLINK("https://www.catalog.slsa.sa.gov.au/record=b2045941")</f>
        <v>https://www.catalog.slsa.sa.gov.au/record=b2045941</v>
      </c>
      <c r="C10617" s="1" t="str">
        <f>HYPERLINK("https://www.catalog.slsa.sa.gov.au/xrecord=b2045941")</f>
        <v>https://www.catalog.slsa.sa.gov.au/xrecord=b2045941</v>
      </c>
      <c r="D10617" t="s">
        <v>28745</v>
      </c>
      <c r="E10617" t="s">
        <v>32960</v>
      </c>
      <c r="F10617">
        <v>1988</v>
      </c>
      <c r="G10617" t="s">
        <v>32139</v>
      </c>
      <c r="H10617" t="s">
        <v>32961</v>
      </c>
      <c r="I10617" t="s">
        <v>32923</v>
      </c>
      <c r="J10617" t="s">
        <v>32879</v>
      </c>
      <c r="K10617" s="2" t="str">
        <f>HYPERLINK("http://collections.slsa.sa.gov.au/mpcimg/49750/B49685.htm")</f>
        <v>http://collections.slsa.sa.gov.au/mpcimg/49750/B49685.htm</v>
      </c>
    </row>
    <row r="10618" spans="1:11" x14ac:dyDescent="0.25">
      <c r="A10618" t="s">
        <v>32963</v>
      </c>
      <c r="B10618" s="1" t="str">
        <f>HYPERLINK("https://www.catalog.slsa.sa.gov.au/record=b2045942")</f>
        <v>https://www.catalog.slsa.sa.gov.au/record=b2045942</v>
      </c>
      <c r="C10618" s="1" t="str">
        <f>HYPERLINK("https://www.catalog.slsa.sa.gov.au/xrecord=b2045942")</f>
        <v>https://www.catalog.slsa.sa.gov.au/xrecord=b2045942</v>
      </c>
      <c r="D10618" t="s">
        <v>28745</v>
      </c>
      <c r="E10618" t="s">
        <v>32964</v>
      </c>
      <c r="F10618">
        <v>1988</v>
      </c>
      <c r="G10618" t="s">
        <v>32965</v>
      </c>
      <c r="H10618" t="s">
        <v>32966</v>
      </c>
      <c r="I10618" t="s">
        <v>32955</v>
      </c>
      <c r="J10618" t="s">
        <v>32879</v>
      </c>
      <c r="K10618" s="2" t="str">
        <f>HYPERLINK("http://collections.slsa.sa.gov.au/mpcimg/49750/B49686.htm")</f>
        <v>http://collections.slsa.sa.gov.au/mpcimg/49750/B49686.htm</v>
      </c>
    </row>
    <row r="10619" spans="1:11" x14ac:dyDescent="0.25">
      <c r="A10619" t="s">
        <v>32967</v>
      </c>
      <c r="B10619" s="1" t="str">
        <f>HYPERLINK("https://www.catalog.slsa.sa.gov.au/record=b2045943")</f>
        <v>https://www.catalog.slsa.sa.gov.au/record=b2045943</v>
      </c>
      <c r="C10619" s="1" t="str">
        <f>HYPERLINK("https://www.catalog.slsa.sa.gov.au/xrecord=b2045943")</f>
        <v>https://www.catalog.slsa.sa.gov.au/xrecord=b2045943</v>
      </c>
      <c r="D10619" t="s">
        <v>28745</v>
      </c>
      <c r="E10619" t="s">
        <v>32960</v>
      </c>
      <c r="F10619">
        <v>1988</v>
      </c>
      <c r="G10619" t="s">
        <v>32968</v>
      </c>
      <c r="H10619" t="s">
        <v>32969</v>
      </c>
      <c r="I10619" t="s">
        <v>32923</v>
      </c>
      <c r="J10619" t="s">
        <v>32879</v>
      </c>
      <c r="K10619" s="2" t="str">
        <f>HYPERLINK("http://collections.slsa.sa.gov.au/mpcimg/49750/B49687.htm")</f>
        <v>http://collections.slsa.sa.gov.au/mpcimg/49750/B49687.htm</v>
      </c>
    </row>
    <row r="10620" spans="1:11" x14ac:dyDescent="0.25">
      <c r="A10620" t="s">
        <v>32970</v>
      </c>
      <c r="B10620" s="1" t="str">
        <f>HYPERLINK("https://www.catalog.slsa.sa.gov.au/record=b2045944")</f>
        <v>https://www.catalog.slsa.sa.gov.au/record=b2045944</v>
      </c>
      <c r="C10620" s="1" t="str">
        <f>HYPERLINK("https://www.catalog.slsa.sa.gov.au/xrecord=b2045944")</f>
        <v>https://www.catalog.slsa.sa.gov.au/xrecord=b2045944</v>
      </c>
      <c r="D10620" t="s">
        <v>28745</v>
      </c>
      <c r="E10620" t="s">
        <v>32971</v>
      </c>
      <c r="F10620">
        <v>1988</v>
      </c>
      <c r="G10620" t="s">
        <v>32139</v>
      </c>
      <c r="H10620" t="s">
        <v>32972</v>
      </c>
      <c r="I10620" t="s">
        <v>32973</v>
      </c>
      <c r="J10620" t="s">
        <v>32879</v>
      </c>
      <c r="K10620" s="2" t="str">
        <f>HYPERLINK("http://collections.slsa.sa.gov.au/mpcimg/49750/B49688.htm")</f>
        <v>http://collections.slsa.sa.gov.au/mpcimg/49750/B49688.htm</v>
      </c>
    </row>
    <row r="10621" spans="1:11" x14ac:dyDescent="0.25">
      <c r="A10621" t="s">
        <v>32974</v>
      </c>
      <c r="B10621" s="1" t="str">
        <f>HYPERLINK("https://www.catalog.slsa.sa.gov.au/record=b2045945")</f>
        <v>https://www.catalog.slsa.sa.gov.au/record=b2045945</v>
      </c>
      <c r="C10621" s="1" t="str">
        <f>HYPERLINK("https://www.catalog.slsa.sa.gov.au/xrecord=b2045945")</f>
        <v>https://www.catalog.slsa.sa.gov.au/xrecord=b2045945</v>
      </c>
      <c r="D10621" t="s">
        <v>28745</v>
      </c>
      <c r="E10621" t="s">
        <v>32975</v>
      </c>
      <c r="F10621">
        <v>1988</v>
      </c>
      <c r="G10621" t="s">
        <v>32139</v>
      </c>
      <c r="H10621" t="s">
        <v>32976</v>
      </c>
      <c r="I10621" t="s">
        <v>32973</v>
      </c>
      <c r="J10621" t="s">
        <v>32879</v>
      </c>
      <c r="K10621" s="2" t="str">
        <f>HYPERLINK("http://collections.slsa.sa.gov.au/mpcimg/49750/B49689.htm")</f>
        <v>http://collections.slsa.sa.gov.au/mpcimg/49750/B49689.htm</v>
      </c>
    </row>
    <row r="10622" spans="1:11" x14ac:dyDescent="0.25">
      <c r="A10622" t="s">
        <v>32977</v>
      </c>
      <c r="B10622" s="1" t="str">
        <f>HYPERLINK("https://www.catalog.slsa.sa.gov.au/record=b2045946")</f>
        <v>https://www.catalog.slsa.sa.gov.au/record=b2045946</v>
      </c>
      <c r="C10622" s="1" t="str">
        <f>HYPERLINK("https://www.catalog.slsa.sa.gov.au/xrecord=b2045946")</f>
        <v>https://www.catalog.slsa.sa.gov.au/xrecord=b2045946</v>
      </c>
      <c r="D10622" t="s">
        <v>28745</v>
      </c>
      <c r="E10622" t="s">
        <v>32975</v>
      </c>
      <c r="F10622">
        <v>1988</v>
      </c>
      <c r="G10622" t="s">
        <v>32978</v>
      </c>
      <c r="H10622" t="s">
        <v>32979</v>
      </c>
      <c r="I10622" t="s">
        <v>32973</v>
      </c>
      <c r="J10622" t="s">
        <v>32879</v>
      </c>
      <c r="K10622" s="2" t="str">
        <f>HYPERLINK("http://collections.slsa.sa.gov.au/mpcimg/49750/B49690.htm")</f>
        <v>http://collections.slsa.sa.gov.au/mpcimg/49750/B49690.htm</v>
      </c>
    </row>
    <row r="10623" spans="1:11" x14ac:dyDescent="0.25">
      <c r="A10623" t="s">
        <v>32980</v>
      </c>
      <c r="B10623" s="1" t="str">
        <f>HYPERLINK("https://www.catalog.slsa.sa.gov.au/record=b2045947")</f>
        <v>https://www.catalog.slsa.sa.gov.au/record=b2045947</v>
      </c>
      <c r="C10623" s="1" t="str">
        <f>HYPERLINK("https://www.catalog.slsa.sa.gov.au/xrecord=b2045947")</f>
        <v>https://www.catalog.slsa.sa.gov.au/xrecord=b2045947</v>
      </c>
      <c r="D10623" t="s">
        <v>28745</v>
      </c>
      <c r="E10623" t="s">
        <v>32981</v>
      </c>
      <c r="F10623">
        <v>1988</v>
      </c>
      <c r="G10623" t="s">
        <v>32982</v>
      </c>
      <c r="H10623" t="s">
        <v>32983</v>
      </c>
      <c r="I10623" t="s">
        <v>32923</v>
      </c>
      <c r="J10623" t="s">
        <v>32879</v>
      </c>
      <c r="K10623" s="2" t="str">
        <f>HYPERLINK("http://collections.slsa.sa.gov.au/mpcimg/49750/B49691.htm")</f>
        <v>http://collections.slsa.sa.gov.au/mpcimg/49750/B49691.htm</v>
      </c>
    </row>
    <row r="10624" spans="1:11" x14ac:dyDescent="0.25">
      <c r="A10624" t="s">
        <v>32984</v>
      </c>
      <c r="B10624" s="1" t="str">
        <f>HYPERLINK("https://www.catalog.slsa.sa.gov.au/record=b2045948")</f>
        <v>https://www.catalog.slsa.sa.gov.au/record=b2045948</v>
      </c>
      <c r="C10624" s="1" t="str">
        <f>HYPERLINK("https://www.catalog.slsa.sa.gov.au/xrecord=b2045948")</f>
        <v>https://www.catalog.slsa.sa.gov.au/xrecord=b2045948</v>
      </c>
      <c r="D10624" t="s">
        <v>28745</v>
      </c>
      <c r="E10624" t="s">
        <v>32981</v>
      </c>
      <c r="F10624">
        <v>1988</v>
      </c>
      <c r="G10624" t="s">
        <v>32985</v>
      </c>
      <c r="H10624" t="s">
        <v>32983</v>
      </c>
      <c r="I10624" t="s">
        <v>32923</v>
      </c>
      <c r="J10624" t="s">
        <v>32879</v>
      </c>
      <c r="K10624" s="2" t="str">
        <f>HYPERLINK("http://collections.slsa.sa.gov.au/mpcimg/49750/B49692.htm")</f>
        <v>http://collections.slsa.sa.gov.au/mpcimg/49750/B49692.htm</v>
      </c>
    </row>
    <row r="10625" spans="1:11" x14ac:dyDescent="0.25">
      <c r="A10625" t="s">
        <v>32986</v>
      </c>
      <c r="B10625" s="1" t="str">
        <f>HYPERLINK("https://www.catalog.slsa.sa.gov.au/record=b2045949")</f>
        <v>https://www.catalog.slsa.sa.gov.au/record=b2045949</v>
      </c>
      <c r="C10625" s="1" t="str">
        <f>HYPERLINK("https://www.catalog.slsa.sa.gov.au/xrecord=b2045949")</f>
        <v>https://www.catalog.slsa.sa.gov.au/xrecord=b2045949</v>
      </c>
      <c r="D10625" t="s">
        <v>28745</v>
      </c>
      <c r="E10625" t="s">
        <v>32987</v>
      </c>
      <c r="F10625">
        <v>1988</v>
      </c>
      <c r="G10625" t="s">
        <v>32988</v>
      </c>
      <c r="H10625" t="s">
        <v>32989</v>
      </c>
      <c r="I10625" t="s">
        <v>32923</v>
      </c>
      <c r="J10625" t="s">
        <v>32879</v>
      </c>
      <c r="K10625" s="2" t="str">
        <f>HYPERLINK("http://collections.slsa.sa.gov.au/mpcimg/49750/B49693.htm")</f>
        <v>http://collections.slsa.sa.gov.au/mpcimg/49750/B49693.htm</v>
      </c>
    </row>
    <row r="10626" spans="1:11" x14ac:dyDescent="0.25">
      <c r="A10626" t="s">
        <v>32990</v>
      </c>
      <c r="B10626" s="1" t="str">
        <f>HYPERLINK("https://www.catalog.slsa.sa.gov.au/record=b2065940")</f>
        <v>https://www.catalog.slsa.sa.gov.au/record=b2065940</v>
      </c>
      <c r="C10626" s="1" t="str">
        <f>HYPERLINK("https://www.catalog.slsa.sa.gov.au/xrecord=b2065940")</f>
        <v>https://www.catalog.slsa.sa.gov.au/xrecord=b2065940</v>
      </c>
      <c r="D10626" t="s">
        <v>28745</v>
      </c>
      <c r="E10626" t="s">
        <v>25404</v>
      </c>
      <c r="F10626">
        <v>1988</v>
      </c>
      <c r="G10626" t="s">
        <v>15031</v>
      </c>
      <c r="H10626" t="s">
        <v>32991</v>
      </c>
      <c r="J10626" t="s">
        <v>32992</v>
      </c>
      <c r="K10626" s="2" t="str">
        <f>HYPERLINK("http://collections.slsa.sa.gov.au/mpcimg/49750/B49746.htm")</f>
        <v>http://collections.slsa.sa.gov.au/mpcimg/49750/B49746.htm</v>
      </c>
    </row>
    <row r="10627" spans="1:11" x14ac:dyDescent="0.25">
      <c r="A10627" t="s">
        <v>32993</v>
      </c>
      <c r="B10627" s="1" t="str">
        <f>HYPERLINK("https://www.catalog.slsa.sa.gov.au/record=b2066746")</f>
        <v>https://www.catalog.slsa.sa.gov.au/record=b2066746</v>
      </c>
      <c r="C10627" s="1" t="str">
        <f>HYPERLINK("https://www.catalog.slsa.sa.gov.au/xrecord=b2066746")</f>
        <v>https://www.catalog.slsa.sa.gov.au/xrecord=b2066746</v>
      </c>
      <c r="D10627" t="s">
        <v>16831</v>
      </c>
      <c r="E10627" t="s">
        <v>32994</v>
      </c>
      <c r="F10627">
        <v>1988</v>
      </c>
      <c r="G10627" t="s">
        <v>15031</v>
      </c>
      <c r="H10627" t="s">
        <v>32995</v>
      </c>
      <c r="J10627" t="s">
        <v>32009</v>
      </c>
      <c r="K10627" s="2" t="str">
        <f>HYPERLINK("http://collections.slsa.sa.gov.au/mpcimg/51000/B50906.htm")</f>
        <v>http://collections.slsa.sa.gov.au/mpcimg/51000/B50906.htm</v>
      </c>
    </row>
    <row r="10628" spans="1:11" x14ac:dyDescent="0.25">
      <c r="A10628" t="s">
        <v>32996</v>
      </c>
      <c r="B10628" s="1" t="str">
        <f>HYPERLINK("https://www.catalog.slsa.sa.gov.au/record=b2066747")</f>
        <v>https://www.catalog.slsa.sa.gov.au/record=b2066747</v>
      </c>
      <c r="C10628" s="1" t="str">
        <f>HYPERLINK("https://www.catalog.slsa.sa.gov.au/xrecord=b2066747")</f>
        <v>https://www.catalog.slsa.sa.gov.au/xrecord=b2066747</v>
      </c>
      <c r="D10628" t="s">
        <v>16831</v>
      </c>
      <c r="E10628" t="s">
        <v>32997</v>
      </c>
      <c r="F10628">
        <v>1988</v>
      </c>
      <c r="G10628" t="s">
        <v>15031</v>
      </c>
      <c r="H10628" t="s">
        <v>32995</v>
      </c>
      <c r="J10628" t="s">
        <v>32009</v>
      </c>
      <c r="K10628" s="2" t="str">
        <f>HYPERLINK("http://collections.slsa.sa.gov.au/mpcimg/51000/B50907.htm")</f>
        <v>http://collections.slsa.sa.gov.au/mpcimg/51000/B50907.htm</v>
      </c>
    </row>
    <row r="10629" spans="1:11" x14ac:dyDescent="0.25">
      <c r="A10629" t="s">
        <v>32998</v>
      </c>
      <c r="B10629" s="1" t="str">
        <f>HYPERLINK("https://www.catalog.slsa.sa.gov.au/record=b2066748")</f>
        <v>https://www.catalog.slsa.sa.gov.au/record=b2066748</v>
      </c>
      <c r="C10629" s="1" t="str">
        <f>HYPERLINK("https://www.catalog.slsa.sa.gov.au/xrecord=b2066748")</f>
        <v>https://www.catalog.slsa.sa.gov.au/xrecord=b2066748</v>
      </c>
      <c r="D10629" t="s">
        <v>16831</v>
      </c>
      <c r="E10629" t="s">
        <v>32999</v>
      </c>
      <c r="F10629">
        <v>1988</v>
      </c>
      <c r="G10629" t="s">
        <v>15031</v>
      </c>
      <c r="H10629" t="s">
        <v>33000</v>
      </c>
      <c r="J10629" t="s">
        <v>32009</v>
      </c>
      <c r="K10629" s="2" t="str">
        <f>HYPERLINK("http://collections.slsa.sa.gov.au/mpcimg/51000/B50908.htm")</f>
        <v>http://collections.slsa.sa.gov.au/mpcimg/51000/B50908.htm</v>
      </c>
    </row>
    <row r="10630" spans="1:11" x14ac:dyDescent="0.25">
      <c r="A10630" t="s">
        <v>33001</v>
      </c>
      <c r="B10630" s="1" t="str">
        <f>HYPERLINK("https://www.catalog.slsa.sa.gov.au/record=b2066749")</f>
        <v>https://www.catalog.slsa.sa.gov.au/record=b2066749</v>
      </c>
      <c r="C10630" s="1" t="str">
        <f>HYPERLINK("https://www.catalog.slsa.sa.gov.au/xrecord=b2066749")</f>
        <v>https://www.catalog.slsa.sa.gov.au/xrecord=b2066749</v>
      </c>
      <c r="D10630" t="s">
        <v>16831</v>
      </c>
      <c r="E10630" t="s">
        <v>32999</v>
      </c>
      <c r="F10630">
        <v>1988</v>
      </c>
      <c r="G10630" t="s">
        <v>15031</v>
      </c>
      <c r="H10630" t="s">
        <v>33002</v>
      </c>
      <c r="J10630" t="s">
        <v>32009</v>
      </c>
      <c r="K10630" s="2" t="str">
        <f>HYPERLINK("http://collections.slsa.sa.gov.au/mpcimg/51000/B50909.htm")</f>
        <v>http://collections.slsa.sa.gov.au/mpcimg/51000/B50909.htm</v>
      </c>
    </row>
    <row r="10631" spans="1:11" x14ac:dyDescent="0.25">
      <c r="A10631" t="s">
        <v>33003</v>
      </c>
      <c r="B10631" s="1" t="str">
        <f>HYPERLINK("https://www.catalog.slsa.sa.gov.au/record=b2066750")</f>
        <v>https://www.catalog.slsa.sa.gov.au/record=b2066750</v>
      </c>
      <c r="C10631" s="1" t="str">
        <f>HYPERLINK("https://www.catalog.slsa.sa.gov.au/xrecord=b2066750")</f>
        <v>https://www.catalog.slsa.sa.gov.au/xrecord=b2066750</v>
      </c>
      <c r="D10631" t="s">
        <v>16831</v>
      </c>
      <c r="E10631" t="s">
        <v>32999</v>
      </c>
      <c r="F10631">
        <v>1988</v>
      </c>
      <c r="G10631" t="s">
        <v>15031</v>
      </c>
      <c r="H10631" t="s">
        <v>33004</v>
      </c>
      <c r="J10631" t="s">
        <v>32009</v>
      </c>
      <c r="K10631" s="2" t="str">
        <f>HYPERLINK("http://collections.slsa.sa.gov.au/mpcimg/51000/B50910.htm")</f>
        <v>http://collections.slsa.sa.gov.au/mpcimg/51000/B50910.htm</v>
      </c>
    </row>
    <row r="10632" spans="1:11" x14ac:dyDescent="0.25">
      <c r="A10632" t="s">
        <v>33005</v>
      </c>
      <c r="B10632" s="1" t="str">
        <f>HYPERLINK("https://www.catalog.slsa.sa.gov.au/record=b2066751")</f>
        <v>https://www.catalog.slsa.sa.gov.au/record=b2066751</v>
      </c>
      <c r="C10632" s="1" t="str">
        <f>HYPERLINK("https://www.catalog.slsa.sa.gov.au/xrecord=b2066751")</f>
        <v>https://www.catalog.slsa.sa.gov.au/xrecord=b2066751</v>
      </c>
      <c r="D10632" t="s">
        <v>16831</v>
      </c>
      <c r="E10632" t="s">
        <v>32999</v>
      </c>
      <c r="F10632">
        <v>1988</v>
      </c>
      <c r="G10632" t="s">
        <v>15031</v>
      </c>
      <c r="H10632" t="s">
        <v>33004</v>
      </c>
      <c r="J10632" t="s">
        <v>32009</v>
      </c>
      <c r="K10632" s="2" t="str">
        <f>HYPERLINK("http://collections.slsa.sa.gov.au/mpcimg/51000/B50911.htm")</f>
        <v>http://collections.slsa.sa.gov.au/mpcimg/51000/B50911.htm</v>
      </c>
    </row>
    <row r="10633" spans="1:11" x14ac:dyDescent="0.25">
      <c r="A10633" t="s">
        <v>33006</v>
      </c>
      <c r="B10633" s="1" t="str">
        <f>HYPERLINK("https://www.catalog.slsa.sa.gov.au/record=b2066752")</f>
        <v>https://www.catalog.slsa.sa.gov.au/record=b2066752</v>
      </c>
      <c r="C10633" s="1" t="str">
        <f>HYPERLINK("https://www.catalog.slsa.sa.gov.au/xrecord=b2066752")</f>
        <v>https://www.catalog.slsa.sa.gov.au/xrecord=b2066752</v>
      </c>
      <c r="D10633" t="s">
        <v>16831</v>
      </c>
      <c r="E10633" t="s">
        <v>32999</v>
      </c>
      <c r="F10633">
        <v>1988</v>
      </c>
      <c r="G10633" t="s">
        <v>15031</v>
      </c>
      <c r="H10633" t="s">
        <v>33004</v>
      </c>
      <c r="J10633" t="s">
        <v>32009</v>
      </c>
      <c r="K10633" s="2" t="str">
        <f>HYPERLINK("http://collections.slsa.sa.gov.au/mpcimg/51000/B50912.htm")</f>
        <v>http://collections.slsa.sa.gov.au/mpcimg/51000/B50912.htm</v>
      </c>
    </row>
    <row r="10634" spans="1:11" x14ac:dyDescent="0.25">
      <c r="A10634" t="s">
        <v>33007</v>
      </c>
      <c r="B10634" s="1" t="str">
        <f>HYPERLINK("https://www.catalog.slsa.sa.gov.au/record=b2066753")</f>
        <v>https://www.catalog.slsa.sa.gov.au/record=b2066753</v>
      </c>
      <c r="C10634" s="1" t="str">
        <f>HYPERLINK("https://www.catalog.slsa.sa.gov.au/xrecord=b2066753")</f>
        <v>https://www.catalog.slsa.sa.gov.au/xrecord=b2066753</v>
      </c>
      <c r="D10634" t="s">
        <v>16831</v>
      </c>
      <c r="E10634" t="s">
        <v>32999</v>
      </c>
      <c r="F10634">
        <v>1988</v>
      </c>
      <c r="G10634" t="s">
        <v>15031</v>
      </c>
      <c r="H10634" t="s">
        <v>33004</v>
      </c>
      <c r="J10634" t="s">
        <v>32009</v>
      </c>
      <c r="K10634" s="2" t="str">
        <f>HYPERLINK("http://collections.slsa.sa.gov.au/mpcimg/51000/B50913.htm")</f>
        <v>http://collections.slsa.sa.gov.au/mpcimg/51000/B50913.htm</v>
      </c>
    </row>
    <row r="10635" spans="1:11" x14ac:dyDescent="0.25">
      <c r="A10635" t="s">
        <v>33008</v>
      </c>
      <c r="B10635" s="1" t="str">
        <f>HYPERLINK("https://www.catalog.slsa.sa.gov.au/record=b2066754")</f>
        <v>https://www.catalog.slsa.sa.gov.au/record=b2066754</v>
      </c>
      <c r="C10635" s="1" t="str">
        <f>HYPERLINK("https://www.catalog.slsa.sa.gov.au/xrecord=b2066754")</f>
        <v>https://www.catalog.slsa.sa.gov.au/xrecord=b2066754</v>
      </c>
      <c r="D10635" t="s">
        <v>16831</v>
      </c>
      <c r="E10635" t="s">
        <v>32999</v>
      </c>
      <c r="F10635">
        <v>1988</v>
      </c>
      <c r="G10635" t="s">
        <v>15031</v>
      </c>
      <c r="H10635" t="s">
        <v>33009</v>
      </c>
      <c r="J10635" t="s">
        <v>32009</v>
      </c>
      <c r="K10635" s="2" t="str">
        <f>HYPERLINK("http://collections.slsa.sa.gov.au/mpcimg/51000/B50914.htm")</f>
        <v>http://collections.slsa.sa.gov.au/mpcimg/51000/B50914.htm</v>
      </c>
    </row>
    <row r="10636" spans="1:11" x14ac:dyDescent="0.25">
      <c r="A10636" t="s">
        <v>33010</v>
      </c>
      <c r="B10636" s="1" t="str">
        <f>HYPERLINK("https://www.catalog.slsa.sa.gov.au/record=b2066755")</f>
        <v>https://www.catalog.slsa.sa.gov.au/record=b2066755</v>
      </c>
      <c r="C10636" s="1" t="str">
        <f>HYPERLINK("https://www.catalog.slsa.sa.gov.au/xrecord=b2066755")</f>
        <v>https://www.catalog.slsa.sa.gov.au/xrecord=b2066755</v>
      </c>
      <c r="D10636" t="s">
        <v>16831</v>
      </c>
      <c r="E10636" t="s">
        <v>32999</v>
      </c>
      <c r="F10636">
        <v>1988</v>
      </c>
      <c r="G10636" t="s">
        <v>15031</v>
      </c>
      <c r="H10636" t="s">
        <v>33011</v>
      </c>
      <c r="J10636" t="s">
        <v>32009</v>
      </c>
      <c r="K10636" s="2" t="str">
        <f>HYPERLINK("http://collections.slsa.sa.gov.au/mpcimg/51000/B50915.htm")</f>
        <v>http://collections.slsa.sa.gov.au/mpcimg/51000/B50915.htm</v>
      </c>
    </row>
    <row r="10637" spans="1:11" x14ac:dyDescent="0.25">
      <c r="A10637" t="s">
        <v>33012</v>
      </c>
      <c r="B10637" s="1" t="str">
        <f>HYPERLINK("https://www.catalog.slsa.sa.gov.au/record=b2066756")</f>
        <v>https://www.catalog.slsa.sa.gov.au/record=b2066756</v>
      </c>
      <c r="C10637" s="1" t="str">
        <f>HYPERLINK("https://www.catalog.slsa.sa.gov.au/xrecord=b2066756")</f>
        <v>https://www.catalog.slsa.sa.gov.au/xrecord=b2066756</v>
      </c>
      <c r="D10637" t="s">
        <v>16831</v>
      </c>
      <c r="E10637" t="s">
        <v>32999</v>
      </c>
      <c r="F10637">
        <v>1988</v>
      </c>
      <c r="G10637" t="s">
        <v>15031</v>
      </c>
      <c r="H10637" t="s">
        <v>33013</v>
      </c>
      <c r="J10637" t="s">
        <v>32009</v>
      </c>
      <c r="K10637" s="2" t="str">
        <f>HYPERLINK("http://collections.slsa.sa.gov.au/mpcimg/51000/B50916.htm")</f>
        <v>http://collections.slsa.sa.gov.au/mpcimg/51000/B50916.htm</v>
      </c>
    </row>
    <row r="10638" spans="1:11" x14ac:dyDescent="0.25">
      <c r="A10638" t="s">
        <v>33014</v>
      </c>
      <c r="B10638" s="1" t="str">
        <f>HYPERLINK("https://www.catalog.slsa.sa.gov.au/record=b2066757")</f>
        <v>https://www.catalog.slsa.sa.gov.au/record=b2066757</v>
      </c>
      <c r="C10638" s="1" t="str">
        <f>HYPERLINK("https://www.catalog.slsa.sa.gov.au/xrecord=b2066757")</f>
        <v>https://www.catalog.slsa.sa.gov.au/xrecord=b2066757</v>
      </c>
      <c r="D10638" t="s">
        <v>16831</v>
      </c>
      <c r="E10638" t="s">
        <v>32999</v>
      </c>
      <c r="F10638">
        <v>1988</v>
      </c>
      <c r="G10638" t="s">
        <v>16312</v>
      </c>
      <c r="H10638" t="s">
        <v>33015</v>
      </c>
      <c r="J10638" t="s">
        <v>32009</v>
      </c>
      <c r="K10638" s="2" t="str">
        <f>HYPERLINK("http://collections.slsa.sa.gov.au/mpcimg/51000/B50917.htm")</f>
        <v>http://collections.slsa.sa.gov.au/mpcimg/51000/B50917.htm</v>
      </c>
    </row>
    <row r="10639" spans="1:11" x14ac:dyDescent="0.25">
      <c r="A10639" t="s">
        <v>33016</v>
      </c>
      <c r="B10639" s="1" t="str">
        <f>HYPERLINK("https://www.catalog.slsa.sa.gov.au/record=b2066758")</f>
        <v>https://www.catalog.slsa.sa.gov.au/record=b2066758</v>
      </c>
      <c r="C10639" s="1" t="str">
        <f>HYPERLINK("https://www.catalog.slsa.sa.gov.au/xrecord=b2066758")</f>
        <v>https://www.catalog.slsa.sa.gov.au/xrecord=b2066758</v>
      </c>
      <c r="D10639" t="s">
        <v>16831</v>
      </c>
      <c r="E10639" t="s">
        <v>32999</v>
      </c>
      <c r="F10639">
        <v>1988</v>
      </c>
      <c r="G10639" t="s">
        <v>15031</v>
      </c>
      <c r="H10639" t="s">
        <v>33017</v>
      </c>
      <c r="J10639" t="s">
        <v>32009</v>
      </c>
      <c r="K10639" s="2" t="str">
        <f>HYPERLINK("http://collections.slsa.sa.gov.au/mpcimg/51000/B50918.htm")</f>
        <v>http://collections.slsa.sa.gov.au/mpcimg/51000/B50918.htm</v>
      </c>
    </row>
    <row r="10640" spans="1:11" x14ac:dyDescent="0.25">
      <c r="A10640" t="s">
        <v>33018</v>
      </c>
      <c r="B10640" s="1" t="str">
        <f>HYPERLINK("https://www.catalog.slsa.sa.gov.au/record=b2066759")</f>
        <v>https://www.catalog.slsa.sa.gov.au/record=b2066759</v>
      </c>
      <c r="C10640" s="1" t="str">
        <f>HYPERLINK("https://www.catalog.slsa.sa.gov.au/xrecord=b2066759")</f>
        <v>https://www.catalog.slsa.sa.gov.au/xrecord=b2066759</v>
      </c>
      <c r="D10640" t="s">
        <v>16831</v>
      </c>
      <c r="E10640" t="s">
        <v>32999</v>
      </c>
      <c r="F10640">
        <v>1988</v>
      </c>
      <c r="G10640" t="s">
        <v>15031</v>
      </c>
      <c r="H10640" t="s">
        <v>33019</v>
      </c>
      <c r="J10640" t="s">
        <v>32009</v>
      </c>
      <c r="K10640" s="2" t="str">
        <f>HYPERLINK("http://collections.slsa.sa.gov.au/mpcimg/51000/B50919.htm")</f>
        <v>http://collections.slsa.sa.gov.au/mpcimg/51000/B50919.htm</v>
      </c>
    </row>
    <row r="10641" spans="1:11" x14ac:dyDescent="0.25">
      <c r="A10641" t="s">
        <v>33020</v>
      </c>
      <c r="B10641" s="1" t="str">
        <f>HYPERLINK("https://www.catalog.slsa.sa.gov.au/record=b2066760")</f>
        <v>https://www.catalog.slsa.sa.gov.au/record=b2066760</v>
      </c>
      <c r="C10641" s="1" t="str">
        <f>HYPERLINK("https://www.catalog.slsa.sa.gov.au/xrecord=b2066760")</f>
        <v>https://www.catalog.slsa.sa.gov.au/xrecord=b2066760</v>
      </c>
      <c r="D10641" t="s">
        <v>16831</v>
      </c>
      <c r="E10641" t="s">
        <v>32999</v>
      </c>
      <c r="F10641">
        <v>1988</v>
      </c>
      <c r="G10641" t="s">
        <v>15031</v>
      </c>
      <c r="H10641" t="s">
        <v>33021</v>
      </c>
      <c r="J10641" t="s">
        <v>32009</v>
      </c>
      <c r="K10641" s="2" t="str">
        <f>HYPERLINK("http://collections.slsa.sa.gov.au/mpcimg/51000/B50920.htm")</f>
        <v>http://collections.slsa.sa.gov.au/mpcimg/51000/B50920.htm</v>
      </c>
    </row>
    <row r="10642" spans="1:11" x14ac:dyDescent="0.25">
      <c r="A10642" t="s">
        <v>33022</v>
      </c>
      <c r="B10642" s="1" t="str">
        <f>HYPERLINK("https://www.catalog.slsa.sa.gov.au/record=b2067391")</f>
        <v>https://www.catalog.slsa.sa.gov.au/record=b2067391</v>
      </c>
      <c r="C10642" s="1" t="str">
        <f>HYPERLINK("https://www.catalog.slsa.sa.gov.au/xrecord=b2067391")</f>
        <v>https://www.catalog.slsa.sa.gov.au/xrecord=b2067391</v>
      </c>
      <c r="D10642" t="s">
        <v>16831</v>
      </c>
      <c r="E10642" t="s">
        <v>33023</v>
      </c>
      <c r="F10642">
        <v>1988</v>
      </c>
      <c r="G10642" t="s">
        <v>15031</v>
      </c>
      <c r="H10642" t="s">
        <v>33024</v>
      </c>
      <c r="I10642" t="s">
        <v>29713</v>
      </c>
      <c r="J10642" t="s">
        <v>16866</v>
      </c>
      <c r="K10642" s="2" t="str">
        <f>HYPERLINK("http://collections.slsa.sa.gov.au/mpcimg/49500/B49440.htm")</f>
        <v>http://collections.slsa.sa.gov.au/mpcimg/49500/B49440.htm</v>
      </c>
    </row>
    <row r="10643" spans="1:11" x14ac:dyDescent="0.25">
      <c r="A10643" t="s">
        <v>33025</v>
      </c>
      <c r="B10643" s="1" t="str">
        <f>HYPERLINK("https://www.catalog.slsa.sa.gov.au/record=b2067392")</f>
        <v>https://www.catalog.slsa.sa.gov.au/record=b2067392</v>
      </c>
      <c r="C10643" s="1" t="str">
        <f>HYPERLINK("https://www.catalog.slsa.sa.gov.au/xrecord=b2067392")</f>
        <v>https://www.catalog.slsa.sa.gov.au/xrecord=b2067392</v>
      </c>
      <c r="D10643" t="s">
        <v>16831</v>
      </c>
      <c r="E10643" t="s">
        <v>33026</v>
      </c>
      <c r="F10643">
        <v>1988</v>
      </c>
      <c r="G10643" t="s">
        <v>33027</v>
      </c>
      <c r="H10643" t="s">
        <v>33028</v>
      </c>
      <c r="I10643" t="s">
        <v>29713</v>
      </c>
      <c r="J10643" t="s">
        <v>16866</v>
      </c>
      <c r="K10643" s="2" t="str">
        <f>HYPERLINK("http://collections.slsa.sa.gov.au/mpcimg/49500/B49441.htm")</f>
        <v>http://collections.slsa.sa.gov.au/mpcimg/49500/B49441.htm</v>
      </c>
    </row>
    <row r="10644" spans="1:11" x14ac:dyDescent="0.25">
      <c r="A10644" t="s">
        <v>33029</v>
      </c>
      <c r="B10644" s="1" t="str">
        <f>HYPERLINK("https://www.catalog.slsa.sa.gov.au/record=b2067393")</f>
        <v>https://www.catalog.slsa.sa.gov.au/record=b2067393</v>
      </c>
      <c r="C10644" s="1" t="str">
        <f>HYPERLINK("https://www.catalog.slsa.sa.gov.au/xrecord=b2067393")</f>
        <v>https://www.catalog.slsa.sa.gov.au/xrecord=b2067393</v>
      </c>
      <c r="D10644" t="s">
        <v>16831</v>
      </c>
      <c r="E10644" t="s">
        <v>33030</v>
      </c>
      <c r="F10644">
        <v>1988</v>
      </c>
      <c r="G10644" t="s">
        <v>33031</v>
      </c>
      <c r="H10644" t="s">
        <v>33032</v>
      </c>
      <c r="I10644" t="s">
        <v>29713</v>
      </c>
      <c r="J10644" t="s">
        <v>16866</v>
      </c>
      <c r="K10644" s="2" t="str">
        <f>HYPERLINK("http://collections.slsa.sa.gov.au/mpcimg/49500/B49442.htm")</f>
        <v>http://collections.slsa.sa.gov.au/mpcimg/49500/B49442.htm</v>
      </c>
    </row>
    <row r="10645" spans="1:11" x14ac:dyDescent="0.25">
      <c r="A10645" t="s">
        <v>33033</v>
      </c>
      <c r="B10645" s="1" t="str">
        <f>HYPERLINK("https://www.catalog.slsa.sa.gov.au/record=b2067394")</f>
        <v>https://www.catalog.slsa.sa.gov.au/record=b2067394</v>
      </c>
      <c r="C10645" s="1" t="str">
        <f>HYPERLINK("https://www.catalog.slsa.sa.gov.au/xrecord=b2067394")</f>
        <v>https://www.catalog.slsa.sa.gov.au/xrecord=b2067394</v>
      </c>
      <c r="D10645" t="s">
        <v>16831</v>
      </c>
      <c r="E10645" t="s">
        <v>33034</v>
      </c>
      <c r="F10645">
        <v>1988</v>
      </c>
      <c r="G10645" t="s">
        <v>15031</v>
      </c>
      <c r="H10645" t="s">
        <v>33035</v>
      </c>
      <c r="I10645" t="s">
        <v>29713</v>
      </c>
      <c r="J10645" t="s">
        <v>16866</v>
      </c>
      <c r="K10645" s="2" t="str">
        <f>HYPERLINK("http://collections.slsa.sa.gov.au/mpcimg/49500/B49443.htm")</f>
        <v>http://collections.slsa.sa.gov.au/mpcimg/49500/B49443.htm</v>
      </c>
    </row>
    <row r="10646" spans="1:11" x14ac:dyDescent="0.25">
      <c r="A10646" t="s">
        <v>33036</v>
      </c>
      <c r="B10646" s="1" t="str">
        <f>HYPERLINK("https://www.catalog.slsa.sa.gov.au/record=b2067395")</f>
        <v>https://www.catalog.slsa.sa.gov.au/record=b2067395</v>
      </c>
      <c r="C10646" s="1" t="str">
        <f>HYPERLINK("https://www.catalog.slsa.sa.gov.au/xrecord=b2067395")</f>
        <v>https://www.catalog.slsa.sa.gov.au/xrecord=b2067395</v>
      </c>
      <c r="D10646" t="s">
        <v>16831</v>
      </c>
      <c r="E10646" t="s">
        <v>33037</v>
      </c>
      <c r="F10646">
        <v>1988</v>
      </c>
      <c r="G10646" t="s">
        <v>15031</v>
      </c>
      <c r="H10646" t="s">
        <v>33038</v>
      </c>
      <c r="I10646" t="s">
        <v>29713</v>
      </c>
      <c r="J10646" t="s">
        <v>16866</v>
      </c>
      <c r="K10646" s="2" t="str">
        <f>HYPERLINK("http://collections.slsa.sa.gov.au/mpcimg/49500/B49444.htm")</f>
        <v>http://collections.slsa.sa.gov.au/mpcimg/49500/B49444.htm</v>
      </c>
    </row>
    <row r="10647" spans="1:11" x14ac:dyDescent="0.25">
      <c r="A10647" t="s">
        <v>33039</v>
      </c>
      <c r="B10647" s="1" t="str">
        <f>HYPERLINK("https://www.catalog.slsa.sa.gov.au/record=b2067396")</f>
        <v>https://www.catalog.slsa.sa.gov.au/record=b2067396</v>
      </c>
      <c r="C10647" s="1" t="str">
        <f>HYPERLINK("https://www.catalog.slsa.sa.gov.au/xrecord=b2067396")</f>
        <v>https://www.catalog.slsa.sa.gov.au/xrecord=b2067396</v>
      </c>
      <c r="D10647" t="s">
        <v>16831</v>
      </c>
      <c r="E10647" t="s">
        <v>33040</v>
      </c>
      <c r="F10647">
        <v>1988</v>
      </c>
      <c r="G10647" t="s">
        <v>15031</v>
      </c>
      <c r="H10647" t="s">
        <v>33041</v>
      </c>
      <c r="I10647" t="s">
        <v>29713</v>
      </c>
      <c r="J10647" t="s">
        <v>16866</v>
      </c>
      <c r="K10647" s="2" t="str">
        <f>HYPERLINK("http://collections.slsa.sa.gov.au/mpcimg/49500/B49445.htm")</f>
        <v>http://collections.slsa.sa.gov.au/mpcimg/49500/B49445.htm</v>
      </c>
    </row>
    <row r="10648" spans="1:11" x14ac:dyDescent="0.25">
      <c r="A10648" t="s">
        <v>33042</v>
      </c>
      <c r="B10648" s="1" t="str">
        <f>HYPERLINK("https://www.catalog.slsa.sa.gov.au/record=b2067397")</f>
        <v>https://www.catalog.slsa.sa.gov.au/record=b2067397</v>
      </c>
      <c r="C10648" s="1" t="str">
        <f>HYPERLINK("https://www.catalog.slsa.sa.gov.au/xrecord=b2067397")</f>
        <v>https://www.catalog.slsa.sa.gov.au/xrecord=b2067397</v>
      </c>
      <c r="D10648" t="s">
        <v>16831</v>
      </c>
      <c r="E10648" t="s">
        <v>33043</v>
      </c>
      <c r="F10648">
        <v>1988</v>
      </c>
      <c r="G10648" t="s">
        <v>16312</v>
      </c>
      <c r="H10648" t="s">
        <v>33044</v>
      </c>
      <c r="I10648" t="s">
        <v>29713</v>
      </c>
      <c r="J10648" t="s">
        <v>16866</v>
      </c>
      <c r="K10648" s="2" t="str">
        <f>HYPERLINK("http://collections.slsa.sa.gov.au/mpcimg/49500/B49446.htm")</f>
        <v>http://collections.slsa.sa.gov.au/mpcimg/49500/B49446.htm</v>
      </c>
    </row>
    <row r="10649" spans="1:11" x14ac:dyDescent="0.25">
      <c r="A10649" t="s">
        <v>33045</v>
      </c>
      <c r="B10649" s="1" t="str">
        <f>HYPERLINK("https://www.catalog.slsa.sa.gov.au/record=b2067398")</f>
        <v>https://www.catalog.slsa.sa.gov.au/record=b2067398</v>
      </c>
      <c r="C10649" s="1" t="str">
        <f>HYPERLINK("https://www.catalog.slsa.sa.gov.au/xrecord=b2067398")</f>
        <v>https://www.catalog.slsa.sa.gov.au/xrecord=b2067398</v>
      </c>
      <c r="D10649" t="s">
        <v>16831</v>
      </c>
      <c r="E10649" t="s">
        <v>33046</v>
      </c>
      <c r="F10649">
        <v>1988</v>
      </c>
      <c r="G10649" t="s">
        <v>15031</v>
      </c>
      <c r="H10649" t="s">
        <v>33047</v>
      </c>
      <c r="I10649" t="s">
        <v>29713</v>
      </c>
      <c r="J10649" t="s">
        <v>16866</v>
      </c>
      <c r="K10649" s="2" t="str">
        <f>HYPERLINK("http://collections.slsa.sa.gov.au/mpcimg/49500/B49447.htm")</f>
        <v>http://collections.slsa.sa.gov.au/mpcimg/49500/B49447.htm</v>
      </c>
    </row>
    <row r="10650" spans="1:11" x14ac:dyDescent="0.25">
      <c r="A10650" t="s">
        <v>33048</v>
      </c>
      <c r="B10650" s="1" t="str">
        <f>HYPERLINK("https://www.catalog.slsa.sa.gov.au/record=b2067399")</f>
        <v>https://www.catalog.slsa.sa.gov.au/record=b2067399</v>
      </c>
      <c r="C10650" s="1" t="str">
        <f>HYPERLINK("https://www.catalog.slsa.sa.gov.au/xrecord=b2067399")</f>
        <v>https://www.catalog.slsa.sa.gov.au/xrecord=b2067399</v>
      </c>
      <c r="D10650" t="s">
        <v>16831</v>
      </c>
      <c r="E10650" t="s">
        <v>33049</v>
      </c>
      <c r="F10650">
        <v>1988</v>
      </c>
      <c r="G10650" t="s">
        <v>15031</v>
      </c>
      <c r="H10650" t="s">
        <v>33050</v>
      </c>
      <c r="I10650" t="s">
        <v>29713</v>
      </c>
      <c r="J10650" t="s">
        <v>16866</v>
      </c>
      <c r="K10650" s="2" t="str">
        <f>HYPERLINK("http://collections.slsa.sa.gov.au/mpcimg/49500/B49448.htm")</f>
        <v>http://collections.slsa.sa.gov.au/mpcimg/49500/B49448.htm</v>
      </c>
    </row>
    <row r="10651" spans="1:11" x14ac:dyDescent="0.25">
      <c r="A10651" t="s">
        <v>33051</v>
      </c>
      <c r="B10651" s="1" t="str">
        <f>HYPERLINK("https://www.catalog.slsa.sa.gov.au/record=b2067400")</f>
        <v>https://www.catalog.slsa.sa.gov.au/record=b2067400</v>
      </c>
      <c r="C10651" s="1" t="str">
        <f>HYPERLINK("https://www.catalog.slsa.sa.gov.au/xrecord=b2067400")</f>
        <v>https://www.catalog.slsa.sa.gov.au/xrecord=b2067400</v>
      </c>
      <c r="D10651" t="s">
        <v>16831</v>
      </c>
      <c r="E10651" t="s">
        <v>33034</v>
      </c>
      <c r="F10651">
        <v>1988</v>
      </c>
      <c r="G10651" t="s">
        <v>15031</v>
      </c>
      <c r="H10651" t="s">
        <v>33052</v>
      </c>
      <c r="I10651" t="s">
        <v>29713</v>
      </c>
      <c r="J10651" t="s">
        <v>16866</v>
      </c>
      <c r="K10651" s="2" t="str">
        <f>HYPERLINK("http://collections.slsa.sa.gov.au/mpcimg/49500/B49449.htm")</f>
        <v>http://collections.slsa.sa.gov.au/mpcimg/49500/B49449.htm</v>
      </c>
    </row>
    <row r="10652" spans="1:11" x14ac:dyDescent="0.25">
      <c r="A10652" t="s">
        <v>33053</v>
      </c>
      <c r="B10652" s="1" t="str">
        <f>HYPERLINK("https://www.catalog.slsa.sa.gov.au/record=b2067401")</f>
        <v>https://www.catalog.slsa.sa.gov.au/record=b2067401</v>
      </c>
      <c r="C10652" s="1" t="str">
        <f>HYPERLINK("https://www.catalog.slsa.sa.gov.au/xrecord=b2067401")</f>
        <v>https://www.catalog.slsa.sa.gov.au/xrecord=b2067401</v>
      </c>
      <c r="D10652" t="s">
        <v>16831</v>
      </c>
      <c r="E10652" t="s">
        <v>33034</v>
      </c>
      <c r="F10652">
        <v>1988</v>
      </c>
      <c r="G10652" t="s">
        <v>15031</v>
      </c>
      <c r="H10652" t="s">
        <v>33054</v>
      </c>
      <c r="I10652" t="s">
        <v>29713</v>
      </c>
      <c r="J10652" t="s">
        <v>16866</v>
      </c>
      <c r="K10652" s="2" t="str">
        <f>HYPERLINK("http://collections.slsa.sa.gov.au/mpcimg/49500/B49450.htm")</f>
        <v>http://collections.slsa.sa.gov.au/mpcimg/49500/B49450.htm</v>
      </c>
    </row>
    <row r="10653" spans="1:11" x14ac:dyDescent="0.25">
      <c r="A10653" t="s">
        <v>33055</v>
      </c>
      <c r="B10653" s="1" t="str">
        <f>HYPERLINK("https://www.catalog.slsa.sa.gov.au/record=b2067402")</f>
        <v>https://www.catalog.slsa.sa.gov.au/record=b2067402</v>
      </c>
      <c r="C10653" s="1" t="str">
        <f>HYPERLINK("https://www.catalog.slsa.sa.gov.au/xrecord=b2067402")</f>
        <v>https://www.catalog.slsa.sa.gov.au/xrecord=b2067402</v>
      </c>
      <c r="D10653" t="s">
        <v>16831</v>
      </c>
      <c r="E10653" t="s">
        <v>33034</v>
      </c>
      <c r="F10653">
        <v>1988</v>
      </c>
      <c r="G10653" t="s">
        <v>15031</v>
      </c>
      <c r="H10653" t="s">
        <v>33056</v>
      </c>
      <c r="I10653" t="s">
        <v>33057</v>
      </c>
      <c r="J10653" t="s">
        <v>16866</v>
      </c>
      <c r="K10653" s="2" t="str">
        <f>HYPERLINK("http://collections.slsa.sa.gov.au/mpcimg/49500/B49451.htm")</f>
        <v>http://collections.slsa.sa.gov.au/mpcimg/49500/B49451.htm</v>
      </c>
    </row>
    <row r="10654" spans="1:11" x14ac:dyDescent="0.25">
      <c r="A10654" t="s">
        <v>33058</v>
      </c>
      <c r="B10654" s="1" t="str">
        <f>HYPERLINK("https://www.catalog.slsa.sa.gov.au/record=b2067403")</f>
        <v>https://www.catalog.slsa.sa.gov.au/record=b2067403</v>
      </c>
      <c r="C10654" s="1" t="str">
        <f>HYPERLINK("https://www.catalog.slsa.sa.gov.au/xrecord=b2067403")</f>
        <v>https://www.catalog.slsa.sa.gov.au/xrecord=b2067403</v>
      </c>
      <c r="D10654" t="s">
        <v>16831</v>
      </c>
      <c r="E10654" t="s">
        <v>33059</v>
      </c>
      <c r="F10654">
        <v>1988</v>
      </c>
      <c r="G10654" t="s">
        <v>15031</v>
      </c>
      <c r="H10654" t="s">
        <v>33060</v>
      </c>
      <c r="I10654" t="s">
        <v>29713</v>
      </c>
      <c r="J10654" t="s">
        <v>16866</v>
      </c>
      <c r="K10654" s="2" t="str">
        <f>HYPERLINK("http://collections.slsa.sa.gov.au/mpcimg/49500/B49452.htm")</f>
        <v>http://collections.slsa.sa.gov.au/mpcimg/49500/B49452.htm</v>
      </c>
    </row>
    <row r="10655" spans="1:11" x14ac:dyDescent="0.25">
      <c r="A10655" t="s">
        <v>33061</v>
      </c>
      <c r="B10655" s="1" t="str">
        <f>HYPERLINK("https://www.catalog.slsa.sa.gov.au/record=b2067404")</f>
        <v>https://www.catalog.slsa.sa.gov.au/record=b2067404</v>
      </c>
      <c r="C10655" s="1" t="str">
        <f>HYPERLINK("https://www.catalog.slsa.sa.gov.au/xrecord=b2067404")</f>
        <v>https://www.catalog.slsa.sa.gov.au/xrecord=b2067404</v>
      </c>
      <c r="D10655" t="s">
        <v>16831</v>
      </c>
      <c r="E10655" t="s">
        <v>33034</v>
      </c>
      <c r="F10655">
        <v>1988</v>
      </c>
      <c r="G10655" t="s">
        <v>15031</v>
      </c>
      <c r="H10655" t="s">
        <v>33062</v>
      </c>
      <c r="I10655" t="s">
        <v>29713</v>
      </c>
      <c r="J10655" t="s">
        <v>16866</v>
      </c>
      <c r="K10655" s="2" t="str">
        <f>HYPERLINK("http://collections.slsa.sa.gov.au/mpcimg/49500/B49453.htm")</f>
        <v>http://collections.slsa.sa.gov.au/mpcimg/49500/B49453.htm</v>
      </c>
    </row>
    <row r="10656" spans="1:11" x14ac:dyDescent="0.25">
      <c r="A10656" t="s">
        <v>33063</v>
      </c>
      <c r="B10656" s="1" t="str">
        <f>HYPERLINK("https://www.catalog.slsa.sa.gov.au/record=b2067405")</f>
        <v>https://www.catalog.slsa.sa.gov.au/record=b2067405</v>
      </c>
      <c r="C10656" s="1" t="str">
        <f>HYPERLINK("https://www.catalog.slsa.sa.gov.au/xrecord=b2067405")</f>
        <v>https://www.catalog.slsa.sa.gov.au/xrecord=b2067405</v>
      </c>
      <c r="D10656" t="s">
        <v>16831</v>
      </c>
      <c r="E10656" t="s">
        <v>33034</v>
      </c>
      <c r="F10656">
        <v>1988</v>
      </c>
      <c r="G10656" t="s">
        <v>15031</v>
      </c>
      <c r="H10656" t="s">
        <v>33064</v>
      </c>
      <c r="I10656" t="s">
        <v>29713</v>
      </c>
      <c r="J10656" t="s">
        <v>16866</v>
      </c>
      <c r="K10656" s="2" t="str">
        <f>HYPERLINK("http://collections.slsa.sa.gov.au/mpcimg/49500/B49454.htm")</f>
        <v>http://collections.slsa.sa.gov.au/mpcimg/49500/B49454.htm</v>
      </c>
    </row>
    <row r="10657" spans="1:11" x14ac:dyDescent="0.25">
      <c r="A10657" t="s">
        <v>33065</v>
      </c>
      <c r="B10657" s="1" t="str">
        <f>HYPERLINK("https://www.catalog.slsa.sa.gov.au/record=b2067406")</f>
        <v>https://www.catalog.slsa.sa.gov.au/record=b2067406</v>
      </c>
      <c r="C10657" s="1" t="str">
        <f>HYPERLINK("https://www.catalog.slsa.sa.gov.au/xrecord=b2067406")</f>
        <v>https://www.catalog.slsa.sa.gov.au/xrecord=b2067406</v>
      </c>
      <c r="D10657" t="s">
        <v>16831</v>
      </c>
      <c r="E10657" t="s">
        <v>33034</v>
      </c>
      <c r="F10657">
        <v>1988</v>
      </c>
      <c r="G10657" t="s">
        <v>15031</v>
      </c>
      <c r="H10657" t="s">
        <v>33066</v>
      </c>
      <c r="I10657" t="s">
        <v>29713</v>
      </c>
      <c r="J10657" t="s">
        <v>16866</v>
      </c>
      <c r="K10657" s="2" t="str">
        <f>HYPERLINK("http://collections.slsa.sa.gov.au/mpcimg/49500/B49455.htm")</f>
        <v>http://collections.slsa.sa.gov.au/mpcimg/49500/B49455.htm</v>
      </c>
    </row>
    <row r="10658" spans="1:11" x14ac:dyDescent="0.25">
      <c r="A10658" t="s">
        <v>33067</v>
      </c>
      <c r="B10658" s="1" t="str">
        <f>HYPERLINK("https://www.catalog.slsa.sa.gov.au/record=b2067407")</f>
        <v>https://www.catalog.slsa.sa.gov.au/record=b2067407</v>
      </c>
      <c r="C10658" s="1" t="str">
        <f>HYPERLINK("https://www.catalog.slsa.sa.gov.au/xrecord=b2067407")</f>
        <v>https://www.catalog.slsa.sa.gov.au/xrecord=b2067407</v>
      </c>
      <c r="D10658" t="s">
        <v>16831</v>
      </c>
      <c r="E10658" t="s">
        <v>33034</v>
      </c>
      <c r="F10658">
        <v>1988</v>
      </c>
      <c r="G10658" t="s">
        <v>15031</v>
      </c>
      <c r="H10658" t="s">
        <v>33068</v>
      </c>
      <c r="I10658" t="s">
        <v>29713</v>
      </c>
      <c r="J10658" t="s">
        <v>16866</v>
      </c>
      <c r="K10658" s="2" t="str">
        <f>HYPERLINK("http://collections.slsa.sa.gov.au/mpcimg/49500/B49456.htm")</f>
        <v>http://collections.slsa.sa.gov.au/mpcimg/49500/B49456.htm</v>
      </c>
    </row>
    <row r="10659" spans="1:11" x14ac:dyDescent="0.25">
      <c r="A10659" t="s">
        <v>33069</v>
      </c>
      <c r="B10659" s="1" t="str">
        <f>HYPERLINK("https://www.catalog.slsa.sa.gov.au/record=b2067408")</f>
        <v>https://www.catalog.slsa.sa.gov.au/record=b2067408</v>
      </c>
      <c r="C10659" s="1" t="str">
        <f>HYPERLINK("https://www.catalog.slsa.sa.gov.au/xrecord=b2067408")</f>
        <v>https://www.catalog.slsa.sa.gov.au/xrecord=b2067408</v>
      </c>
      <c r="D10659" t="s">
        <v>16831</v>
      </c>
      <c r="E10659" t="s">
        <v>33034</v>
      </c>
      <c r="F10659">
        <v>1988</v>
      </c>
      <c r="G10659" t="s">
        <v>15031</v>
      </c>
      <c r="H10659" t="s">
        <v>33070</v>
      </c>
      <c r="I10659" t="s">
        <v>29713</v>
      </c>
      <c r="J10659" t="s">
        <v>16866</v>
      </c>
      <c r="K10659" s="2" t="str">
        <f>HYPERLINK("http://collections.slsa.sa.gov.au/mpcimg/49500/B49457.htm")</f>
        <v>http://collections.slsa.sa.gov.au/mpcimg/49500/B49457.htm</v>
      </c>
    </row>
    <row r="10660" spans="1:11" x14ac:dyDescent="0.25">
      <c r="A10660" t="s">
        <v>33071</v>
      </c>
      <c r="B10660" s="1" t="str">
        <f>HYPERLINK("https://www.catalog.slsa.sa.gov.au/record=b2067409")</f>
        <v>https://www.catalog.slsa.sa.gov.au/record=b2067409</v>
      </c>
      <c r="C10660" s="1" t="str">
        <f>HYPERLINK("https://www.catalog.slsa.sa.gov.au/xrecord=b2067409")</f>
        <v>https://www.catalog.slsa.sa.gov.au/xrecord=b2067409</v>
      </c>
      <c r="D10660" t="s">
        <v>16831</v>
      </c>
      <c r="E10660" t="s">
        <v>33034</v>
      </c>
      <c r="F10660">
        <v>1988</v>
      </c>
      <c r="G10660" t="s">
        <v>15031</v>
      </c>
      <c r="H10660" t="s">
        <v>33072</v>
      </c>
      <c r="I10660" t="s">
        <v>29713</v>
      </c>
      <c r="J10660" t="s">
        <v>16866</v>
      </c>
      <c r="K10660" s="2" t="str">
        <f>HYPERLINK("http://collections.slsa.sa.gov.au/mpcimg/49500/B49458.htm")</f>
        <v>http://collections.slsa.sa.gov.au/mpcimg/49500/B49458.htm</v>
      </c>
    </row>
    <row r="10661" spans="1:11" x14ac:dyDescent="0.25">
      <c r="A10661" t="s">
        <v>33073</v>
      </c>
      <c r="B10661" s="1" t="str">
        <f>HYPERLINK("https://www.catalog.slsa.sa.gov.au/record=b2067410")</f>
        <v>https://www.catalog.slsa.sa.gov.au/record=b2067410</v>
      </c>
      <c r="C10661" s="1" t="str">
        <f>HYPERLINK("https://www.catalog.slsa.sa.gov.au/xrecord=b2067410")</f>
        <v>https://www.catalog.slsa.sa.gov.au/xrecord=b2067410</v>
      </c>
      <c r="D10661" t="s">
        <v>16831</v>
      </c>
      <c r="E10661" t="s">
        <v>33034</v>
      </c>
      <c r="F10661">
        <v>1988</v>
      </c>
      <c r="G10661" t="s">
        <v>15031</v>
      </c>
      <c r="H10661" t="s">
        <v>33074</v>
      </c>
      <c r="I10661" t="s">
        <v>29713</v>
      </c>
      <c r="J10661" t="s">
        <v>16866</v>
      </c>
      <c r="K10661" s="2" t="str">
        <f>HYPERLINK("http://collections.slsa.sa.gov.au/mpcimg/49500/B49459.htm")</f>
        <v>http://collections.slsa.sa.gov.au/mpcimg/49500/B49459.htm</v>
      </c>
    </row>
    <row r="10662" spans="1:11" x14ac:dyDescent="0.25">
      <c r="A10662" t="s">
        <v>33075</v>
      </c>
      <c r="B10662" s="1" t="str">
        <f>HYPERLINK("https://www.catalog.slsa.sa.gov.au/record=b2067411")</f>
        <v>https://www.catalog.slsa.sa.gov.au/record=b2067411</v>
      </c>
      <c r="C10662" s="1" t="str">
        <f>HYPERLINK("https://www.catalog.slsa.sa.gov.au/xrecord=b2067411")</f>
        <v>https://www.catalog.slsa.sa.gov.au/xrecord=b2067411</v>
      </c>
      <c r="D10662" t="s">
        <v>16831</v>
      </c>
      <c r="E10662" t="s">
        <v>33034</v>
      </c>
      <c r="F10662">
        <v>1988</v>
      </c>
      <c r="G10662" t="s">
        <v>15031</v>
      </c>
      <c r="H10662" t="s">
        <v>33076</v>
      </c>
      <c r="I10662" t="s">
        <v>33077</v>
      </c>
      <c r="J10662" t="s">
        <v>16866</v>
      </c>
      <c r="K10662" s="2" t="str">
        <f>HYPERLINK("http://collections.slsa.sa.gov.au/mpcimg/49500/B49460.htm")</f>
        <v>http://collections.slsa.sa.gov.au/mpcimg/49500/B49460.htm</v>
      </c>
    </row>
    <row r="10663" spans="1:11" x14ac:dyDescent="0.25">
      <c r="A10663" t="s">
        <v>33078</v>
      </c>
      <c r="B10663" s="1" t="str">
        <f>HYPERLINK("https://www.catalog.slsa.sa.gov.au/record=b2067412")</f>
        <v>https://www.catalog.slsa.sa.gov.au/record=b2067412</v>
      </c>
      <c r="C10663" s="1" t="str">
        <f>HYPERLINK("https://www.catalog.slsa.sa.gov.au/xrecord=b2067412")</f>
        <v>https://www.catalog.slsa.sa.gov.au/xrecord=b2067412</v>
      </c>
      <c r="D10663" t="s">
        <v>16831</v>
      </c>
      <c r="E10663" t="s">
        <v>33034</v>
      </c>
      <c r="F10663">
        <v>1988</v>
      </c>
      <c r="G10663" t="s">
        <v>15031</v>
      </c>
      <c r="H10663" t="s">
        <v>33079</v>
      </c>
      <c r="I10663" t="s">
        <v>29713</v>
      </c>
      <c r="J10663" t="s">
        <v>16866</v>
      </c>
      <c r="K10663" s="2" t="str">
        <f>HYPERLINK("http://collections.slsa.sa.gov.au/mpcimg/49500/B49461.htm")</f>
        <v>http://collections.slsa.sa.gov.au/mpcimg/49500/B49461.htm</v>
      </c>
    </row>
    <row r="10664" spans="1:11" x14ac:dyDescent="0.25">
      <c r="A10664" t="s">
        <v>33080</v>
      </c>
      <c r="B10664" s="1" t="str">
        <f>HYPERLINK("https://www.catalog.slsa.sa.gov.au/record=b2067413")</f>
        <v>https://www.catalog.slsa.sa.gov.au/record=b2067413</v>
      </c>
      <c r="C10664" s="1" t="str">
        <f>HYPERLINK("https://www.catalog.slsa.sa.gov.au/xrecord=b2067413")</f>
        <v>https://www.catalog.slsa.sa.gov.au/xrecord=b2067413</v>
      </c>
      <c r="D10664" t="s">
        <v>16831</v>
      </c>
      <c r="E10664" t="s">
        <v>33034</v>
      </c>
      <c r="F10664">
        <v>1988</v>
      </c>
      <c r="G10664" t="s">
        <v>15031</v>
      </c>
      <c r="H10664" t="s">
        <v>33081</v>
      </c>
      <c r="I10664" t="s">
        <v>29713</v>
      </c>
      <c r="J10664" t="s">
        <v>16866</v>
      </c>
      <c r="K10664" s="2" t="str">
        <f>HYPERLINK("http://collections.slsa.sa.gov.au/mpcimg/49500/B49462.htm")</f>
        <v>http://collections.slsa.sa.gov.au/mpcimg/49500/B49462.htm</v>
      </c>
    </row>
    <row r="10665" spans="1:11" x14ac:dyDescent="0.25">
      <c r="A10665" t="s">
        <v>33082</v>
      </c>
      <c r="B10665" s="1" t="str">
        <f>HYPERLINK("https://www.catalog.slsa.sa.gov.au/record=b2067414")</f>
        <v>https://www.catalog.slsa.sa.gov.au/record=b2067414</v>
      </c>
      <c r="C10665" s="1" t="str">
        <f>HYPERLINK("https://www.catalog.slsa.sa.gov.au/xrecord=b2067414")</f>
        <v>https://www.catalog.slsa.sa.gov.au/xrecord=b2067414</v>
      </c>
      <c r="D10665" t="s">
        <v>16831</v>
      </c>
      <c r="E10665" t="s">
        <v>33083</v>
      </c>
      <c r="F10665">
        <v>1988</v>
      </c>
      <c r="G10665" t="s">
        <v>15031</v>
      </c>
      <c r="H10665" t="s">
        <v>33084</v>
      </c>
      <c r="I10665" t="s">
        <v>33085</v>
      </c>
      <c r="J10665" t="s">
        <v>16866</v>
      </c>
      <c r="K10665" s="2" t="str">
        <f>HYPERLINK("http://collections.slsa.sa.gov.au/mpcimg/49500/B49463.htm")</f>
        <v>http://collections.slsa.sa.gov.au/mpcimg/49500/B49463.htm</v>
      </c>
    </row>
    <row r="10666" spans="1:11" x14ac:dyDescent="0.25">
      <c r="A10666" t="s">
        <v>33086</v>
      </c>
      <c r="B10666" s="1" t="str">
        <f>HYPERLINK("https://www.catalog.slsa.sa.gov.au/record=b2067415")</f>
        <v>https://www.catalog.slsa.sa.gov.au/record=b2067415</v>
      </c>
      <c r="C10666" s="1" t="str">
        <f>HYPERLINK("https://www.catalog.slsa.sa.gov.au/xrecord=b2067415")</f>
        <v>https://www.catalog.slsa.sa.gov.au/xrecord=b2067415</v>
      </c>
      <c r="D10666" t="s">
        <v>16831</v>
      </c>
      <c r="E10666" t="s">
        <v>33083</v>
      </c>
      <c r="F10666">
        <v>1988</v>
      </c>
      <c r="G10666" t="s">
        <v>15031</v>
      </c>
      <c r="H10666" t="s">
        <v>33087</v>
      </c>
      <c r="I10666" t="s">
        <v>33085</v>
      </c>
      <c r="J10666" t="s">
        <v>16866</v>
      </c>
      <c r="K10666" s="2" t="str">
        <f>HYPERLINK("http://collections.slsa.sa.gov.au/mpcimg/49500/B49464.htm")</f>
        <v>http://collections.slsa.sa.gov.au/mpcimg/49500/B49464.htm</v>
      </c>
    </row>
    <row r="10667" spans="1:11" x14ac:dyDescent="0.25">
      <c r="A10667" t="s">
        <v>33088</v>
      </c>
      <c r="B10667" s="1" t="str">
        <f>HYPERLINK("https://www.catalog.slsa.sa.gov.au/record=b2067416")</f>
        <v>https://www.catalog.slsa.sa.gov.au/record=b2067416</v>
      </c>
      <c r="C10667" s="1" t="str">
        <f>HYPERLINK("https://www.catalog.slsa.sa.gov.au/xrecord=b2067416")</f>
        <v>https://www.catalog.slsa.sa.gov.au/xrecord=b2067416</v>
      </c>
      <c r="D10667" t="s">
        <v>16831</v>
      </c>
      <c r="E10667" t="s">
        <v>33083</v>
      </c>
      <c r="F10667">
        <v>1988</v>
      </c>
      <c r="G10667" t="s">
        <v>15806</v>
      </c>
      <c r="H10667" t="s">
        <v>33089</v>
      </c>
      <c r="I10667" t="s">
        <v>33085</v>
      </c>
      <c r="J10667" t="s">
        <v>16866</v>
      </c>
      <c r="K10667" s="2" t="str">
        <f>HYPERLINK("http://collections.slsa.sa.gov.au/mpcimg/49500/B49465.htm")</f>
        <v>http://collections.slsa.sa.gov.au/mpcimg/49500/B49465.htm</v>
      </c>
    </row>
    <row r="10668" spans="1:11" x14ac:dyDescent="0.25">
      <c r="A10668" t="s">
        <v>33090</v>
      </c>
      <c r="B10668" s="1" t="str">
        <f>HYPERLINK("https://www.catalog.slsa.sa.gov.au/record=b2067417")</f>
        <v>https://www.catalog.slsa.sa.gov.au/record=b2067417</v>
      </c>
      <c r="C10668" s="1" t="str">
        <f>HYPERLINK("https://www.catalog.slsa.sa.gov.au/xrecord=b2067417")</f>
        <v>https://www.catalog.slsa.sa.gov.au/xrecord=b2067417</v>
      </c>
      <c r="D10668" t="s">
        <v>16831</v>
      </c>
      <c r="E10668" t="s">
        <v>33083</v>
      </c>
      <c r="F10668">
        <v>1988</v>
      </c>
      <c r="G10668" t="s">
        <v>15031</v>
      </c>
      <c r="H10668" t="s">
        <v>33091</v>
      </c>
      <c r="I10668" t="s">
        <v>33085</v>
      </c>
      <c r="J10668" t="s">
        <v>16866</v>
      </c>
      <c r="K10668" s="2" t="str">
        <f>HYPERLINK("http://collections.slsa.sa.gov.au/mpcimg/49500/B49466.htm")</f>
        <v>http://collections.slsa.sa.gov.au/mpcimg/49500/B49466.htm</v>
      </c>
    </row>
    <row r="10669" spans="1:11" x14ac:dyDescent="0.25">
      <c r="A10669" t="s">
        <v>33092</v>
      </c>
      <c r="B10669" s="1" t="str">
        <f>HYPERLINK("https://www.catalog.slsa.sa.gov.au/record=b2067418")</f>
        <v>https://www.catalog.slsa.sa.gov.au/record=b2067418</v>
      </c>
      <c r="C10669" s="1" t="str">
        <f>HYPERLINK("https://www.catalog.slsa.sa.gov.au/xrecord=b2067418")</f>
        <v>https://www.catalog.slsa.sa.gov.au/xrecord=b2067418</v>
      </c>
      <c r="D10669" t="s">
        <v>16831</v>
      </c>
      <c r="E10669" t="s">
        <v>33083</v>
      </c>
      <c r="F10669">
        <v>1988</v>
      </c>
      <c r="G10669" t="s">
        <v>15031</v>
      </c>
      <c r="H10669" t="s">
        <v>33093</v>
      </c>
      <c r="I10669" t="s">
        <v>33085</v>
      </c>
      <c r="J10669" t="s">
        <v>16866</v>
      </c>
      <c r="K10669" s="2" t="str">
        <f>HYPERLINK("http://collections.slsa.sa.gov.au/mpcimg/49500/B49467.htm")</f>
        <v>http://collections.slsa.sa.gov.au/mpcimg/49500/B49467.htm</v>
      </c>
    </row>
    <row r="10670" spans="1:11" x14ac:dyDescent="0.25">
      <c r="A10670" t="s">
        <v>33094</v>
      </c>
      <c r="B10670" s="1" t="str">
        <f>HYPERLINK("https://www.catalog.slsa.sa.gov.au/record=b2067419")</f>
        <v>https://www.catalog.slsa.sa.gov.au/record=b2067419</v>
      </c>
      <c r="C10670" s="1" t="str">
        <f>HYPERLINK("https://www.catalog.slsa.sa.gov.au/xrecord=b2067419")</f>
        <v>https://www.catalog.slsa.sa.gov.au/xrecord=b2067419</v>
      </c>
      <c r="D10670" t="s">
        <v>16831</v>
      </c>
      <c r="E10670" t="s">
        <v>33083</v>
      </c>
      <c r="F10670">
        <v>1988</v>
      </c>
      <c r="G10670" t="s">
        <v>15031</v>
      </c>
      <c r="H10670" t="s">
        <v>33093</v>
      </c>
      <c r="I10670" t="s">
        <v>33085</v>
      </c>
      <c r="J10670" t="s">
        <v>16866</v>
      </c>
      <c r="K10670" s="2" t="str">
        <f>HYPERLINK("http://collections.slsa.sa.gov.au/mpcimg/49500/B49468.htm")</f>
        <v>http://collections.slsa.sa.gov.au/mpcimg/49500/B49468.htm</v>
      </c>
    </row>
    <row r="10671" spans="1:11" x14ac:dyDescent="0.25">
      <c r="A10671" t="s">
        <v>33095</v>
      </c>
      <c r="B10671" s="1" t="str">
        <f>HYPERLINK("https://www.catalog.slsa.sa.gov.au/record=b2067420")</f>
        <v>https://www.catalog.slsa.sa.gov.au/record=b2067420</v>
      </c>
      <c r="C10671" s="1" t="str">
        <f>HYPERLINK("https://www.catalog.slsa.sa.gov.au/xrecord=b2067420")</f>
        <v>https://www.catalog.slsa.sa.gov.au/xrecord=b2067420</v>
      </c>
      <c r="D10671" t="s">
        <v>16831</v>
      </c>
      <c r="E10671" t="s">
        <v>33083</v>
      </c>
      <c r="F10671">
        <v>1988</v>
      </c>
      <c r="G10671" t="s">
        <v>15031</v>
      </c>
      <c r="H10671" t="s">
        <v>33093</v>
      </c>
      <c r="I10671" t="s">
        <v>33085</v>
      </c>
      <c r="J10671" t="s">
        <v>16866</v>
      </c>
      <c r="K10671" s="2" t="str">
        <f>HYPERLINK("http://collections.slsa.sa.gov.au/mpcimg/49500/B49469.htm")</f>
        <v>http://collections.slsa.sa.gov.au/mpcimg/49500/B49469.htm</v>
      </c>
    </row>
    <row r="10672" spans="1:11" x14ac:dyDescent="0.25">
      <c r="A10672" t="s">
        <v>33096</v>
      </c>
      <c r="B10672" s="1" t="str">
        <f>HYPERLINK("https://www.catalog.slsa.sa.gov.au/record=b2067421")</f>
        <v>https://www.catalog.slsa.sa.gov.au/record=b2067421</v>
      </c>
      <c r="C10672" s="1" t="str">
        <f>HYPERLINK("https://www.catalog.slsa.sa.gov.au/xrecord=b2067421")</f>
        <v>https://www.catalog.slsa.sa.gov.au/xrecord=b2067421</v>
      </c>
      <c r="D10672" t="s">
        <v>16831</v>
      </c>
      <c r="E10672" t="s">
        <v>33083</v>
      </c>
      <c r="F10672">
        <v>1988</v>
      </c>
      <c r="G10672" t="s">
        <v>15806</v>
      </c>
      <c r="H10672" t="s">
        <v>33097</v>
      </c>
      <c r="I10672" t="s">
        <v>33085</v>
      </c>
      <c r="J10672" t="s">
        <v>16866</v>
      </c>
      <c r="K10672" s="2" t="str">
        <f>HYPERLINK("http://collections.slsa.sa.gov.au/mpcimg/49500/B49470.htm")</f>
        <v>http://collections.slsa.sa.gov.au/mpcimg/49500/B49470.htm</v>
      </c>
    </row>
    <row r="10673" spans="1:11" x14ac:dyDescent="0.25">
      <c r="A10673" t="s">
        <v>33098</v>
      </c>
      <c r="B10673" s="1" t="str">
        <f>HYPERLINK("https://www.catalog.slsa.sa.gov.au/record=b2067422")</f>
        <v>https://www.catalog.slsa.sa.gov.au/record=b2067422</v>
      </c>
      <c r="C10673" s="1" t="str">
        <f>HYPERLINK("https://www.catalog.slsa.sa.gov.au/xrecord=b2067422")</f>
        <v>https://www.catalog.slsa.sa.gov.au/xrecord=b2067422</v>
      </c>
      <c r="D10673" t="s">
        <v>16831</v>
      </c>
      <c r="E10673" t="s">
        <v>33083</v>
      </c>
      <c r="F10673">
        <v>1988</v>
      </c>
      <c r="G10673" t="s">
        <v>15806</v>
      </c>
      <c r="H10673" t="s">
        <v>33091</v>
      </c>
      <c r="I10673" t="s">
        <v>33085</v>
      </c>
      <c r="J10673" t="s">
        <v>16866</v>
      </c>
      <c r="K10673" s="2" t="str">
        <f>HYPERLINK("http://collections.slsa.sa.gov.au/mpcimg/49500/B49472.htm")</f>
        <v>http://collections.slsa.sa.gov.au/mpcimg/49500/B49472.htm</v>
      </c>
    </row>
    <row r="10674" spans="1:11" x14ac:dyDescent="0.25">
      <c r="A10674" t="s">
        <v>33099</v>
      </c>
      <c r="B10674" s="1" t="str">
        <f>HYPERLINK("https://www.catalog.slsa.sa.gov.au/record=b2067423")</f>
        <v>https://www.catalog.slsa.sa.gov.au/record=b2067423</v>
      </c>
      <c r="C10674" s="1" t="str">
        <f>HYPERLINK("https://www.catalog.slsa.sa.gov.au/xrecord=b2067423")</f>
        <v>https://www.catalog.slsa.sa.gov.au/xrecord=b2067423</v>
      </c>
      <c r="D10674" t="s">
        <v>16831</v>
      </c>
      <c r="E10674" t="s">
        <v>33083</v>
      </c>
      <c r="F10674">
        <v>1988</v>
      </c>
      <c r="G10674" t="s">
        <v>15031</v>
      </c>
      <c r="H10674" t="s">
        <v>33100</v>
      </c>
      <c r="I10674" t="s">
        <v>33085</v>
      </c>
      <c r="J10674" t="s">
        <v>16866</v>
      </c>
      <c r="K10674" s="2" t="str">
        <f>HYPERLINK("http://collections.slsa.sa.gov.au/mpcimg/49500/B49471.htm")</f>
        <v>http://collections.slsa.sa.gov.au/mpcimg/49500/B49471.htm</v>
      </c>
    </row>
    <row r="10675" spans="1:11" x14ac:dyDescent="0.25">
      <c r="A10675" t="s">
        <v>33101</v>
      </c>
      <c r="B10675" s="1" t="str">
        <f>HYPERLINK("https://www.catalog.slsa.sa.gov.au/record=b2067424")</f>
        <v>https://www.catalog.slsa.sa.gov.au/record=b2067424</v>
      </c>
      <c r="C10675" s="1" t="str">
        <f>HYPERLINK("https://www.catalog.slsa.sa.gov.au/xrecord=b2067424")</f>
        <v>https://www.catalog.slsa.sa.gov.au/xrecord=b2067424</v>
      </c>
      <c r="D10675" t="s">
        <v>16831</v>
      </c>
      <c r="E10675" t="s">
        <v>33083</v>
      </c>
      <c r="F10675">
        <v>1988</v>
      </c>
      <c r="G10675" t="s">
        <v>15031</v>
      </c>
      <c r="H10675" t="s">
        <v>33091</v>
      </c>
      <c r="I10675" t="s">
        <v>33085</v>
      </c>
      <c r="J10675" t="s">
        <v>16866</v>
      </c>
      <c r="K10675" s="2" t="str">
        <f>HYPERLINK("http://collections.slsa.sa.gov.au/mpcimg/49500/B49473.htm")</f>
        <v>http://collections.slsa.sa.gov.au/mpcimg/49500/B49473.htm</v>
      </c>
    </row>
    <row r="10676" spans="1:11" x14ac:dyDescent="0.25">
      <c r="A10676" t="s">
        <v>33102</v>
      </c>
      <c r="B10676" s="1" t="str">
        <f>HYPERLINK("https://www.catalog.slsa.sa.gov.au/record=b2067425")</f>
        <v>https://www.catalog.slsa.sa.gov.au/record=b2067425</v>
      </c>
      <c r="C10676" s="1" t="str">
        <f>HYPERLINK("https://www.catalog.slsa.sa.gov.au/xrecord=b2067425")</f>
        <v>https://www.catalog.slsa.sa.gov.au/xrecord=b2067425</v>
      </c>
      <c r="D10676" t="s">
        <v>16831</v>
      </c>
      <c r="E10676" t="s">
        <v>33083</v>
      </c>
      <c r="F10676">
        <v>1988</v>
      </c>
      <c r="G10676" t="s">
        <v>15806</v>
      </c>
      <c r="H10676" t="s">
        <v>33103</v>
      </c>
      <c r="I10676" t="s">
        <v>33085</v>
      </c>
      <c r="J10676" t="s">
        <v>16866</v>
      </c>
      <c r="K10676" s="2" t="str">
        <f>HYPERLINK("http://collections.slsa.sa.gov.au/mpcimg/49500/B49474.htm")</f>
        <v>http://collections.slsa.sa.gov.au/mpcimg/49500/B49474.htm</v>
      </c>
    </row>
    <row r="10677" spans="1:11" x14ac:dyDescent="0.25">
      <c r="A10677" t="s">
        <v>33104</v>
      </c>
      <c r="B10677" s="1" t="str">
        <f>HYPERLINK("https://www.catalog.slsa.sa.gov.au/record=b2067426")</f>
        <v>https://www.catalog.slsa.sa.gov.au/record=b2067426</v>
      </c>
      <c r="C10677" s="1" t="str">
        <f>HYPERLINK("https://www.catalog.slsa.sa.gov.au/xrecord=b2067426")</f>
        <v>https://www.catalog.slsa.sa.gov.au/xrecord=b2067426</v>
      </c>
      <c r="D10677" t="s">
        <v>16831</v>
      </c>
      <c r="E10677" t="s">
        <v>33083</v>
      </c>
      <c r="F10677">
        <v>1988</v>
      </c>
      <c r="G10677" t="s">
        <v>15806</v>
      </c>
      <c r="H10677" t="s">
        <v>33091</v>
      </c>
      <c r="I10677" t="s">
        <v>33085</v>
      </c>
      <c r="J10677" t="s">
        <v>16866</v>
      </c>
      <c r="K10677" s="2" t="str">
        <f>HYPERLINK("http://collections.slsa.sa.gov.au/mpcimg/49500/B49475.htm")</f>
        <v>http://collections.slsa.sa.gov.au/mpcimg/49500/B49475.htm</v>
      </c>
    </row>
    <row r="10678" spans="1:11" x14ac:dyDescent="0.25">
      <c r="A10678" t="s">
        <v>33105</v>
      </c>
      <c r="B10678" s="1" t="str">
        <f>HYPERLINK("https://www.catalog.slsa.sa.gov.au/record=b2067427")</f>
        <v>https://www.catalog.slsa.sa.gov.au/record=b2067427</v>
      </c>
      <c r="C10678" s="1" t="str">
        <f>HYPERLINK("https://www.catalog.slsa.sa.gov.au/xrecord=b2067427")</f>
        <v>https://www.catalog.slsa.sa.gov.au/xrecord=b2067427</v>
      </c>
      <c r="D10678" t="s">
        <v>16831</v>
      </c>
      <c r="E10678" t="s">
        <v>33083</v>
      </c>
      <c r="F10678">
        <v>1988</v>
      </c>
      <c r="G10678" t="s">
        <v>15031</v>
      </c>
      <c r="H10678" t="s">
        <v>33091</v>
      </c>
      <c r="I10678" t="s">
        <v>33085</v>
      </c>
      <c r="J10678" t="s">
        <v>16866</v>
      </c>
      <c r="K10678" s="2" t="str">
        <f>HYPERLINK("http://collections.slsa.sa.gov.au/mpcimg/49500/B49476.htm")</f>
        <v>http://collections.slsa.sa.gov.au/mpcimg/49500/B49476.htm</v>
      </c>
    </row>
    <row r="10679" spans="1:11" x14ac:dyDescent="0.25">
      <c r="A10679" t="s">
        <v>33106</v>
      </c>
      <c r="B10679" s="1" t="str">
        <f>HYPERLINK("https://www.catalog.slsa.sa.gov.au/record=b2067428")</f>
        <v>https://www.catalog.slsa.sa.gov.au/record=b2067428</v>
      </c>
      <c r="C10679" s="1" t="str">
        <f>HYPERLINK("https://www.catalog.slsa.sa.gov.au/xrecord=b2067428")</f>
        <v>https://www.catalog.slsa.sa.gov.au/xrecord=b2067428</v>
      </c>
      <c r="D10679" t="s">
        <v>16831</v>
      </c>
      <c r="E10679" t="s">
        <v>33083</v>
      </c>
      <c r="F10679">
        <v>1988</v>
      </c>
      <c r="G10679" t="s">
        <v>15031</v>
      </c>
      <c r="H10679" t="s">
        <v>33091</v>
      </c>
      <c r="I10679" t="s">
        <v>33085</v>
      </c>
      <c r="J10679" t="s">
        <v>16866</v>
      </c>
      <c r="K10679" s="2" t="str">
        <f>HYPERLINK("http://collections.slsa.sa.gov.au/mpcimg/49500/B49477.htm")</f>
        <v>http://collections.slsa.sa.gov.au/mpcimg/49500/B49477.htm</v>
      </c>
    </row>
    <row r="10680" spans="1:11" x14ac:dyDescent="0.25">
      <c r="A10680" t="s">
        <v>33107</v>
      </c>
      <c r="B10680" s="1" t="str">
        <f>HYPERLINK("https://www.catalog.slsa.sa.gov.au/record=b2067429")</f>
        <v>https://www.catalog.slsa.sa.gov.au/record=b2067429</v>
      </c>
      <c r="C10680" s="1" t="str">
        <f>HYPERLINK("https://www.catalog.slsa.sa.gov.au/xrecord=b2067429")</f>
        <v>https://www.catalog.slsa.sa.gov.au/xrecord=b2067429</v>
      </c>
      <c r="D10680" t="s">
        <v>16831</v>
      </c>
      <c r="E10680" t="s">
        <v>33083</v>
      </c>
      <c r="F10680">
        <v>1988</v>
      </c>
      <c r="G10680" t="s">
        <v>15806</v>
      </c>
      <c r="H10680" t="s">
        <v>33091</v>
      </c>
      <c r="I10680" t="s">
        <v>33085</v>
      </c>
      <c r="J10680" t="s">
        <v>16866</v>
      </c>
      <c r="K10680" s="2" t="str">
        <f>HYPERLINK("http://collections.slsa.sa.gov.au/mpcimg/49500/B49478.htm")</f>
        <v>http://collections.slsa.sa.gov.au/mpcimg/49500/B49478.htm</v>
      </c>
    </row>
    <row r="10681" spans="1:11" x14ac:dyDescent="0.25">
      <c r="A10681" t="s">
        <v>33108</v>
      </c>
      <c r="B10681" s="1" t="str">
        <f>HYPERLINK("https://www.catalog.slsa.sa.gov.au/record=b2067430")</f>
        <v>https://www.catalog.slsa.sa.gov.au/record=b2067430</v>
      </c>
      <c r="C10681" s="1" t="str">
        <f>HYPERLINK("https://www.catalog.slsa.sa.gov.au/xrecord=b2067430")</f>
        <v>https://www.catalog.slsa.sa.gov.au/xrecord=b2067430</v>
      </c>
      <c r="D10681" t="s">
        <v>16831</v>
      </c>
      <c r="E10681" t="s">
        <v>33083</v>
      </c>
      <c r="F10681">
        <v>1988</v>
      </c>
      <c r="G10681" t="s">
        <v>15031</v>
      </c>
      <c r="H10681" t="s">
        <v>33091</v>
      </c>
      <c r="I10681" t="s">
        <v>33085</v>
      </c>
      <c r="J10681" t="s">
        <v>16866</v>
      </c>
      <c r="K10681" s="2" t="str">
        <f>HYPERLINK("http://collections.slsa.sa.gov.au/mpcimg/49500/B49479.htm")</f>
        <v>http://collections.slsa.sa.gov.au/mpcimg/49500/B49479.htm</v>
      </c>
    </row>
    <row r="10682" spans="1:11" x14ac:dyDescent="0.25">
      <c r="A10682" t="s">
        <v>33109</v>
      </c>
      <c r="B10682" s="1" t="str">
        <f>HYPERLINK("https://www.catalog.slsa.sa.gov.au/record=b2067431")</f>
        <v>https://www.catalog.slsa.sa.gov.au/record=b2067431</v>
      </c>
      <c r="C10682" s="1" t="str">
        <f>HYPERLINK("https://www.catalog.slsa.sa.gov.au/xrecord=b2067431")</f>
        <v>https://www.catalog.slsa.sa.gov.au/xrecord=b2067431</v>
      </c>
      <c r="D10682" t="s">
        <v>16831</v>
      </c>
      <c r="E10682" t="s">
        <v>33083</v>
      </c>
      <c r="F10682">
        <v>1988</v>
      </c>
      <c r="G10682" t="s">
        <v>15031</v>
      </c>
      <c r="H10682" t="s">
        <v>33091</v>
      </c>
      <c r="J10682" t="s">
        <v>32009</v>
      </c>
      <c r="K10682" s="2" t="str">
        <f>HYPERLINK("http://collections.slsa.sa.gov.au/mpcimg/49500/B49480.htm")</f>
        <v>http://collections.slsa.sa.gov.au/mpcimg/49500/B49480.htm</v>
      </c>
    </row>
    <row r="10683" spans="1:11" x14ac:dyDescent="0.25">
      <c r="A10683" t="s">
        <v>33110</v>
      </c>
      <c r="B10683" s="1" t="str">
        <f>HYPERLINK("https://www.catalog.slsa.sa.gov.au/record=b2067432")</f>
        <v>https://www.catalog.slsa.sa.gov.au/record=b2067432</v>
      </c>
      <c r="C10683" s="1" t="str">
        <f>HYPERLINK("https://www.catalog.slsa.sa.gov.au/xrecord=b2067432")</f>
        <v>https://www.catalog.slsa.sa.gov.au/xrecord=b2067432</v>
      </c>
      <c r="D10683" t="s">
        <v>16831</v>
      </c>
      <c r="E10683" t="s">
        <v>33083</v>
      </c>
      <c r="F10683">
        <v>1988</v>
      </c>
      <c r="G10683" t="s">
        <v>15806</v>
      </c>
      <c r="H10683" t="s">
        <v>33091</v>
      </c>
      <c r="I10683" t="s">
        <v>33085</v>
      </c>
      <c r="J10683" t="s">
        <v>16866</v>
      </c>
      <c r="K10683" s="2" t="str">
        <f>HYPERLINK("http://collections.slsa.sa.gov.au/mpcimg/49500/B49481.htm")</f>
        <v>http://collections.slsa.sa.gov.au/mpcimg/49500/B49481.htm</v>
      </c>
    </row>
    <row r="10684" spans="1:11" x14ac:dyDescent="0.25">
      <c r="A10684" t="s">
        <v>33111</v>
      </c>
      <c r="B10684" s="1" t="str">
        <f>HYPERLINK("https://www.catalog.slsa.sa.gov.au/record=b2067433")</f>
        <v>https://www.catalog.slsa.sa.gov.au/record=b2067433</v>
      </c>
      <c r="C10684" s="1" t="str">
        <f>HYPERLINK("https://www.catalog.slsa.sa.gov.au/xrecord=b2067433")</f>
        <v>https://www.catalog.slsa.sa.gov.au/xrecord=b2067433</v>
      </c>
      <c r="D10684" t="s">
        <v>16831</v>
      </c>
      <c r="E10684" t="s">
        <v>33083</v>
      </c>
      <c r="F10684">
        <v>1988</v>
      </c>
      <c r="G10684" t="s">
        <v>16312</v>
      </c>
      <c r="H10684" t="s">
        <v>33091</v>
      </c>
      <c r="I10684" t="s">
        <v>33085</v>
      </c>
      <c r="J10684" t="s">
        <v>16866</v>
      </c>
      <c r="K10684" s="2" t="str">
        <f>HYPERLINK("http://collections.slsa.sa.gov.au/mpcimg/49500/B49482.htm")</f>
        <v>http://collections.slsa.sa.gov.au/mpcimg/49500/B49482.htm</v>
      </c>
    </row>
    <row r="10685" spans="1:11" x14ac:dyDescent="0.25">
      <c r="A10685" t="s">
        <v>33112</v>
      </c>
      <c r="B10685" s="1" t="str">
        <f>HYPERLINK("https://www.catalog.slsa.sa.gov.au/record=b2067434")</f>
        <v>https://www.catalog.slsa.sa.gov.au/record=b2067434</v>
      </c>
      <c r="C10685" s="1" t="str">
        <f>HYPERLINK("https://www.catalog.slsa.sa.gov.au/xrecord=b2067434")</f>
        <v>https://www.catalog.slsa.sa.gov.au/xrecord=b2067434</v>
      </c>
      <c r="D10685" t="s">
        <v>16831</v>
      </c>
      <c r="E10685" t="s">
        <v>33083</v>
      </c>
      <c r="F10685">
        <v>1988</v>
      </c>
      <c r="G10685" t="s">
        <v>15031</v>
      </c>
      <c r="H10685" t="s">
        <v>33113</v>
      </c>
      <c r="I10685" t="s">
        <v>33085</v>
      </c>
      <c r="J10685" t="s">
        <v>16866</v>
      </c>
      <c r="K10685" s="2" t="str">
        <f>HYPERLINK("http://collections.slsa.sa.gov.au/mpcimg/49500/B49483.htm")</f>
        <v>http://collections.slsa.sa.gov.au/mpcimg/49500/B49483.htm</v>
      </c>
    </row>
    <row r="10686" spans="1:11" x14ac:dyDescent="0.25">
      <c r="A10686" t="s">
        <v>33114</v>
      </c>
      <c r="B10686" s="1" t="str">
        <f>HYPERLINK("https://www.catalog.slsa.sa.gov.au/record=b2067435")</f>
        <v>https://www.catalog.slsa.sa.gov.au/record=b2067435</v>
      </c>
      <c r="C10686" s="1" t="str">
        <f>HYPERLINK("https://www.catalog.slsa.sa.gov.au/xrecord=b2067435")</f>
        <v>https://www.catalog.slsa.sa.gov.au/xrecord=b2067435</v>
      </c>
      <c r="D10686" t="s">
        <v>16831</v>
      </c>
      <c r="E10686" t="s">
        <v>33083</v>
      </c>
      <c r="F10686">
        <v>1988</v>
      </c>
      <c r="G10686" t="s">
        <v>15031</v>
      </c>
      <c r="H10686" t="s">
        <v>33091</v>
      </c>
      <c r="I10686" t="s">
        <v>33085</v>
      </c>
      <c r="J10686" t="s">
        <v>16866</v>
      </c>
      <c r="K10686" s="2" t="str">
        <f>HYPERLINK("http://collections.slsa.sa.gov.au/mpcimg/49500/B49484.htm")</f>
        <v>http://collections.slsa.sa.gov.au/mpcimg/49500/B49484.htm</v>
      </c>
    </row>
    <row r="10687" spans="1:11" x14ac:dyDescent="0.25">
      <c r="A10687" t="s">
        <v>33115</v>
      </c>
      <c r="B10687" s="1" t="str">
        <f>HYPERLINK("https://www.catalog.slsa.sa.gov.au/record=b2067436")</f>
        <v>https://www.catalog.slsa.sa.gov.au/record=b2067436</v>
      </c>
      <c r="C10687" s="1" t="str">
        <f>HYPERLINK("https://www.catalog.slsa.sa.gov.au/xrecord=b2067436")</f>
        <v>https://www.catalog.slsa.sa.gov.au/xrecord=b2067436</v>
      </c>
      <c r="D10687" t="s">
        <v>16831</v>
      </c>
      <c r="E10687" t="s">
        <v>33083</v>
      </c>
      <c r="F10687">
        <v>1988</v>
      </c>
      <c r="G10687" t="s">
        <v>16312</v>
      </c>
      <c r="H10687" t="s">
        <v>33091</v>
      </c>
      <c r="I10687" t="s">
        <v>33085</v>
      </c>
      <c r="J10687" t="s">
        <v>16866</v>
      </c>
      <c r="K10687" s="2" t="str">
        <f>HYPERLINK("http://collections.slsa.sa.gov.au/mpcimg/49500/B49485.htm")</f>
        <v>http://collections.slsa.sa.gov.au/mpcimg/49500/B49485.htm</v>
      </c>
    </row>
    <row r="10688" spans="1:11" x14ac:dyDescent="0.25">
      <c r="A10688" t="s">
        <v>33116</v>
      </c>
      <c r="B10688" s="1" t="str">
        <f>HYPERLINK("https://www.catalog.slsa.sa.gov.au/record=b2067437")</f>
        <v>https://www.catalog.slsa.sa.gov.au/record=b2067437</v>
      </c>
      <c r="C10688" s="1" t="str">
        <f>HYPERLINK("https://www.catalog.slsa.sa.gov.au/xrecord=b2067437")</f>
        <v>https://www.catalog.slsa.sa.gov.au/xrecord=b2067437</v>
      </c>
      <c r="D10688" t="s">
        <v>16831</v>
      </c>
      <c r="E10688" t="s">
        <v>33083</v>
      </c>
      <c r="F10688">
        <v>1988</v>
      </c>
      <c r="G10688" t="s">
        <v>15031</v>
      </c>
      <c r="H10688" t="s">
        <v>33113</v>
      </c>
      <c r="I10688" t="s">
        <v>33085</v>
      </c>
      <c r="J10688" t="s">
        <v>16866</v>
      </c>
      <c r="K10688" s="2" t="str">
        <f>HYPERLINK("http://collections.slsa.sa.gov.au/mpcimg/49500/B49486.htm")</f>
        <v>http://collections.slsa.sa.gov.au/mpcimg/49500/B49486.htm</v>
      </c>
    </row>
    <row r="10689" spans="1:11" x14ac:dyDescent="0.25">
      <c r="A10689" t="s">
        <v>33117</v>
      </c>
      <c r="B10689" s="1" t="str">
        <f>HYPERLINK("https://www.catalog.slsa.sa.gov.au/record=b2067438")</f>
        <v>https://www.catalog.slsa.sa.gov.au/record=b2067438</v>
      </c>
      <c r="C10689" s="1" t="str">
        <f>HYPERLINK("https://www.catalog.slsa.sa.gov.au/xrecord=b2067438")</f>
        <v>https://www.catalog.slsa.sa.gov.au/xrecord=b2067438</v>
      </c>
      <c r="D10689" t="s">
        <v>16831</v>
      </c>
      <c r="E10689" t="s">
        <v>33083</v>
      </c>
      <c r="F10689">
        <v>1988</v>
      </c>
      <c r="G10689" t="s">
        <v>15031</v>
      </c>
      <c r="H10689" t="s">
        <v>33091</v>
      </c>
      <c r="I10689" t="s">
        <v>33085</v>
      </c>
      <c r="J10689" t="s">
        <v>16866</v>
      </c>
      <c r="K10689" s="2" t="str">
        <f>HYPERLINK("http://collections.slsa.sa.gov.au/mpcimg/49500/B49488.htm")</f>
        <v>http://collections.slsa.sa.gov.au/mpcimg/49500/B49488.htm</v>
      </c>
    </row>
    <row r="10690" spans="1:11" x14ac:dyDescent="0.25">
      <c r="A10690" t="s">
        <v>33118</v>
      </c>
      <c r="B10690" s="1" t="str">
        <f>HYPERLINK("https://www.catalog.slsa.sa.gov.au/record=b2067439")</f>
        <v>https://www.catalog.slsa.sa.gov.au/record=b2067439</v>
      </c>
      <c r="C10690" s="1" t="str">
        <f>HYPERLINK("https://www.catalog.slsa.sa.gov.au/xrecord=b2067439")</f>
        <v>https://www.catalog.slsa.sa.gov.au/xrecord=b2067439</v>
      </c>
      <c r="D10690" t="s">
        <v>16831</v>
      </c>
      <c r="E10690" t="s">
        <v>33083</v>
      </c>
      <c r="F10690">
        <v>1988</v>
      </c>
      <c r="G10690" t="s">
        <v>16312</v>
      </c>
      <c r="H10690" t="s">
        <v>33091</v>
      </c>
      <c r="I10690" t="s">
        <v>33085</v>
      </c>
      <c r="J10690" t="s">
        <v>16866</v>
      </c>
      <c r="K10690" s="2" t="str">
        <f>HYPERLINK("http://collections.slsa.sa.gov.au/mpcimg/49500/B49487.htm")</f>
        <v>http://collections.slsa.sa.gov.au/mpcimg/49500/B49487.htm</v>
      </c>
    </row>
    <row r="10691" spans="1:11" x14ac:dyDescent="0.25">
      <c r="A10691" t="s">
        <v>33119</v>
      </c>
      <c r="B10691" s="1" t="str">
        <f>HYPERLINK("https://www.catalog.slsa.sa.gov.au/record=b2067440")</f>
        <v>https://www.catalog.slsa.sa.gov.au/record=b2067440</v>
      </c>
      <c r="C10691" s="1" t="str">
        <f>HYPERLINK("https://www.catalog.slsa.sa.gov.au/xrecord=b2067440")</f>
        <v>https://www.catalog.slsa.sa.gov.au/xrecord=b2067440</v>
      </c>
      <c r="D10691" t="s">
        <v>16831</v>
      </c>
      <c r="E10691" t="s">
        <v>33120</v>
      </c>
      <c r="F10691">
        <v>1988</v>
      </c>
      <c r="G10691" t="s">
        <v>33121</v>
      </c>
      <c r="H10691" t="s">
        <v>33122</v>
      </c>
      <c r="I10691" t="s">
        <v>33123</v>
      </c>
      <c r="J10691" t="s">
        <v>16866</v>
      </c>
      <c r="K10691" s="2" t="str">
        <f>HYPERLINK("http://collections.slsa.sa.gov.au/mpcimg/49750/B49503.htm")</f>
        <v>http://collections.slsa.sa.gov.au/mpcimg/49750/B49503.htm</v>
      </c>
    </row>
    <row r="10692" spans="1:11" x14ac:dyDescent="0.25">
      <c r="A10692" t="s">
        <v>33124</v>
      </c>
      <c r="B10692" s="1" t="str">
        <f>HYPERLINK("https://www.catalog.slsa.sa.gov.au/record=b2078526")</f>
        <v>https://www.catalog.slsa.sa.gov.au/record=b2078526</v>
      </c>
      <c r="C10692" s="1" t="str">
        <f>HYPERLINK("https://www.catalog.slsa.sa.gov.au/xrecord=b2078526")</f>
        <v>https://www.catalog.slsa.sa.gov.au/xrecord=b2078526</v>
      </c>
      <c r="D10692" t="s">
        <v>16831</v>
      </c>
      <c r="E10692" t="s">
        <v>33125</v>
      </c>
      <c r="F10692">
        <v>1988</v>
      </c>
      <c r="G10692" t="s">
        <v>15269</v>
      </c>
      <c r="H10692" t="s">
        <v>33126</v>
      </c>
      <c r="I10692" t="s">
        <v>33127</v>
      </c>
      <c r="J10692" t="s">
        <v>22827</v>
      </c>
      <c r="K10692" s="2" t="str">
        <f>HYPERLINK("http://collections.slsa.sa.gov.au/mpcimg/56500/B56453.htm")</f>
        <v>http://collections.slsa.sa.gov.au/mpcimg/56500/B56453.htm</v>
      </c>
    </row>
    <row r="10693" spans="1:11" x14ac:dyDescent="0.25">
      <c r="A10693" t="s">
        <v>33128</v>
      </c>
      <c r="B10693" s="1" t="str">
        <f>HYPERLINK("https://www.catalog.slsa.sa.gov.au/record=b2078527")</f>
        <v>https://www.catalog.slsa.sa.gov.au/record=b2078527</v>
      </c>
      <c r="C10693" s="1" t="str">
        <f>HYPERLINK("https://www.catalog.slsa.sa.gov.au/xrecord=b2078527")</f>
        <v>https://www.catalog.slsa.sa.gov.au/xrecord=b2078527</v>
      </c>
      <c r="D10693" t="s">
        <v>16831</v>
      </c>
      <c r="E10693" t="s">
        <v>33129</v>
      </c>
      <c r="F10693">
        <v>1988</v>
      </c>
      <c r="G10693" t="s">
        <v>15269</v>
      </c>
      <c r="H10693" t="s">
        <v>33130</v>
      </c>
      <c r="I10693" t="s">
        <v>32734</v>
      </c>
      <c r="J10693" t="s">
        <v>33131</v>
      </c>
      <c r="K10693" s="2" t="str">
        <f>HYPERLINK("http://collections.slsa.sa.gov.au/mpcimg/56500/B56454.htm")</f>
        <v>http://collections.slsa.sa.gov.au/mpcimg/56500/B56454.htm</v>
      </c>
    </row>
    <row r="10694" spans="1:11" x14ac:dyDescent="0.25">
      <c r="A10694" t="s">
        <v>33132</v>
      </c>
      <c r="B10694" s="1" t="str">
        <f>HYPERLINK("https://www.catalog.slsa.sa.gov.au/record=b2843151")</f>
        <v>https://www.catalog.slsa.sa.gov.au/record=b2843151</v>
      </c>
      <c r="C10694" s="1" t="str">
        <f>HYPERLINK("https://www.catalog.slsa.sa.gov.au/xrecord=b2843151")</f>
        <v>https://www.catalog.slsa.sa.gov.au/xrecord=b2843151</v>
      </c>
      <c r="D10694" t="s">
        <v>16831</v>
      </c>
      <c r="E10694" t="s">
        <v>33133</v>
      </c>
      <c r="F10694">
        <v>1988</v>
      </c>
      <c r="G10694" t="s">
        <v>33134</v>
      </c>
      <c r="H10694" t="s">
        <v>33135</v>
      </c>
      <c r="J10694" t="s">
        <v>27982</v>
      </c>
      <c r="K10694" s="2" t="str">
        <f>HYPERLINK("http://collections.slsa.sa.gov.au/mpcimg/72750/B72597.htm")</f>
        <v>http://collections.slsa.sa.gov.au/mpcimg/72750/B72597.htm</v>
      </c>
    </row>
    <row r="10695" spans="1:11" x14ac:dyDescent="0.25">
      <c r="A10695" t="s">
        <v>33136</v>
      </c>
      <c r="B10695" s="1" t="str">
        <f>HYPERLINK("https://www.catalog.slsa.sa.gov.au/record=b2078536")</f>
        <v>https://www.catalog.slsa.sa.gov.au/record=b2078536</v>
      </c>
      <c r="C10695" s="1" t="str">
        <f>HYPERLINK("https://www.catalog.slsa.sa.gov.au/xrecord=b2078536")</f>
        <v>https://www.catalog.slsa.sa.gov.au/xrecord=b2078536</v>
      </c>
      <c r="D10695" t="s">
        <v>16831</v>
      </c>
      <c r="E10695" t="s">
        <v>33137</v>
      </c>
      <c r="F10695" t="s">
        <v>33138</v>
      </c>
      <c r="G10695" t="s">
        <v>15269</v>
      </c>
      <c r="H10695" t="s">
        <v>33139</v>
      </c>
      <c r="I10695" t="s">
        <v>28218</v>
      </c>
      <c r="J10695" t="s">
        <v>25760</v>
      </c>
      <c r="K10695" s="2" t="str">
        <f>HYPERLINK("http://collections.slsa.sa.gov.au/mpcimg/56500/B56463.htm")</f>
        <v>http://collections.slsa.sa.gov.au/mpcimg/56500/B56463.htm</v>
      </c>
    </row>
    <row r="10696" spans="1:11" x14ac:dyDescent="0.25">
      <c r="A10696" t="s">
        <v>33140</v>
      </c>
      <c r="B10696" s="1" t="str">
        <f>HYPERLINK("https://www.catalog.slsa.sa.gov.au/record=b2078537")</f>
        <v>https://www.catalog.slsa.sa.gov.au/record=b2078537</v>
      </c>
      <c r="C10696" s="1" t="str">
        <f>HYPERLINK("https://www.catalog.slsa.sa.gov.au/xrecord=b2078537")</f>
        <v>https://www.catalog.slsa.sa.gov.au/xrecord=b2078537</v>
      </c>
      <c r="D10696" t="s">
        <v>16831</v>
      </c>
      <c r="E10696" t="s">
        <v>33137</v>
      </c>
      <c r="F10696" t="s">
        <v>33138</v>
      </c>
      <c r="G10696" t="s">
        <v>15269</v>
      </c>
      <c r="H10696" t="s">
        <v>33141</v>
      </c>
      <c r="I10696" t="s">
        <v>28218</v>
      </c>
      <c r="J10696" t="s">
        <v>25760</v>
      </c>
      <c r="K10696" s="2" t="str">
        <f>HYPERLINK("http://collections.slsa.sa.gov.au/mpcimg/56500/B56464.htm")</f>
        <v>http://collections.slsa.sa.gov.au/mpcimg/56500/B56464.htm</v>
      </c>
    </row>
    <row r="10697" spans="1:11" x14ac:dyDescent="0.25">
      <c r="A10697" t="s">
        <v>33142</v>
      </c>
      <c r="B10697" s="1" t="str">
        <f>HYPERLINK("https://www.catalog.slsa.sa.gov.au/record=b2078538")</f>
        <v>https://www.catalog.slsa.sa.gov.au/record=b2078538</v>
      </c>
      <c r="C10697" s="1" t="str">
        <f>HYPERLINK("https://www.catalog.slsa.sa.gov.au/xrecord=b2078538")</f>
        <v>https://www.catalog.slsa.sa.gov.au/xrecord=b2078538</v>
      </c>
      <c r="D10697" t="s">
        <v>16831</v>
      </c>
      <c r="E10697" t="s">
        <v>33137</v>
      </c>
      <c r="F10697" t="s">
        <v>33138</v>
      </c>
      <c r="G10697" t="s">
        <v>15269</v>
      </c>
      <c r="H10697" t="s">
        <v>33143</v>
      </c>
      <c r="I10697" t="s">
        <v>28218</v>
      </c>
      <c r="J10697" t="s">
        <v>25760</v>
      </c>
      <c r="K10697" s="2" t="str">
        <f>HYPERLINK("http://collections.slsa.sa.gov.au/mpcimg/56500/B56465.htm")</f>
        <v>http://collections.slsa.sa.gov.au/mpcimg/56500/B56465.htm</v>
      </c>
    </row>
    <row r="10698" spans="1:11" x14ac:dyDescent="0.25">
      <c r="A10698" t="s">
        <v>33144</v>
      </c>
      <c r="B10698" s="1" t="str">
        <f>HYPERLINK("https://www.catalog.slsa.sa.gov.au/record=b2078539")</f>
        <v>https://www.catalog.slsa.sa.gov.au/record=b2078539</v>
      </c>
      <c r="C10698" s="1" t="str">
        <f>HYPERLINK("https://www.catalog.slsa.sa.gov.au/xrecord=b2078539")</f>
        <v>https://www.catalog.slsa.sa.gov.au/xrecord=b2078539</v>
      </c>
      <c r="D10698" t="s">
        <v>16831</v>
      </c>
      <c r="E10698" t="s">
        <v>33137</v>
      </c>
      <c r="F10698" t="s">
        <v>33138</v>
      </c>
      <c r="G10698" t="s">
        <v>15269</v>
      </c>
      <c r="H10698" t="s">
        <v>33145</v>
      </c>
      <c r="I10698" t="s">
        <v>33146</v>
      </c>
      <c r="J10698" t="s">
        <v>25760</v>
      </c>
      <c r="K10698" s="2" t="str">
        <f>HYPERLINK("http://collections.slsa.sa.gov.au/mpcimg/56500/B56466.htm")</f>
        <v>http://collections.slsa.sa.gov.au/mpcimg/56500/B56466.htm</v>
      </c>
    </row>
    <row r="10699" spans="1:11" x14ac:dyDescent="0.25">
      <c r="A10699" t="s">
        <v>33147</v>
      </c>
      <c r="B10699" s="1" t="str">
        <f>HYPERLINK("https://www.catalog.slsa.sa.gov.au/record=b2078540")</f>
        <v>https://www.catalog.slsa.sa.gov.au/record=b2078540</v>
      </c>
      <c r="C10699" s="1" t="str">
        <f>HYPERLINK("https://www.catalog.slsa.sa.gov.au/xrecord=b2078540")</f>
        <v>https://www.catalog.slsa.sa.gov.au/xrecord=b2078540</v>
      </c>
      <c r="D10699" t="s">
        <v>16831</v>
      </c>
      <c r="E10699" t="s">
        <v>33137</v>
      </c>
      <c r="F10699" t="s">
        <v>33138</v>
      </c>
      <c r="G10699" t="s">
        <v>15269</v>
      </c>
      <c r="H10699" t="s">
        <v>33148</v>
      </c>
      <c r="I10699" t="s">
        <v>28218</v>
      </c>
      <c r="J10699" t="s">
        <v>25760</v>
      </c>
      <c r="K10699" s="2" t="str">
        <f>HYPERLINK("http://collections.slsa.sa.gov.au/mpcimg/56500/B56467.htm")</f>
        <v>http://collections.slsa.sa.gov.au/mpcimg/56500/B56467.htm</v>
      </c>
    </row>
    <row r="10700" spans="1:11" x14ac:dyDescent="0.25">
      <c r="A10700" t="s">
        <v>33149</v>
      </c>
      <c r="B10700" s="1" t="str">
        <f>HYPERLINK("https://www.catalog.slsa.sa.gov.au/record=b2078541")</f>
        <v>https://www.catalog.slsa.sa.gov.au/record=b2078541</v>
      </c>
      <c r="C10700" s="1" t="str">
        <f>HYPERLINK("https://www.catalog.slsa.sa.gov.au/xrecord=b2078541")</f>
        <v>https://www.catalog.slsa.sa.gov.au/xrecord=b2078541</v>
      </c>
      <c r="D10700" t="s">
        <v>16831</v>
      </c>
      <c r="E10700" t="s">
        <v>33137</v>
      </c>
      <c r="F10700" t="s">
        <v>33138</v>
      </c>
      <c r="G10700" t="s">
        <v>15269</v>
      </c>
      <c r="H10700" t="s">
        <v>33150</v>
      </c>
      <c r="I10700" t="s">
        <v>28218</v>
      </c>
      <c r="K10700" s="2" t="str">
        <f>HYPERLINK("http://collections.slsa.sa.gov.au/mpcimg/56500/B56468.htm")</f>
        <v>http://collections.slsa.sa.gov.au/mpcimg/56500/B56468.htm</v>
      </c>
    </row>
    <row r="10701" spans="1:11" x14ac:dyDescent="0.25">
      <c r="A10701" t="s">
        <v>33151</v>
      </c>
      <c r="B10701" s="1" t="str">
        <f>HYPERLINK("https://www.catalog.slsa.sa.gov.au/record=b2078542")</f>
        <v>https://www.catalog.slsa.sa.gov.au/record=b2078542</v>
      </c>
      <c r="C10701" s="1" t="str">
        <f>HYPERLINK("https://www.catalog.slsa.sa.gov.au/xrecord=b2078542")</f>
        <v>https://www.catalog.slsa.sa.gov.au/xrecord=b2078542</v>
      </c>
      <c r="D10701" t="s">
        <v>16831</v>
      </c>
      <c r="E10701" t="s">
        <v>33137</v>
      </c>
      <c r="F10701" t="s">
        <v>33138</v>
      </c>
      <c r="G10701" t="s">
        <v>15269</v>
      </c>
      <c r="H10701" t="s">
        <v>33152</v>
      </c>
      <c r="I10701" t="s">
        <v>33153</v>
      </c>
      <c r="J10701" t="s">
        <v>25760</v>
      </c>
      <c r="K10701" s="2" t="str">
        <f>HYPERLINK("http://collections.slsa.sa.gov.au/mpcimg/56500/B56469.htm")</f>
        <v>http://collections.slsa.sa.gov.au/mpcimg/56500/B56469.htm</v>
      </c>
    </row>
    <row r="10702" spans="1:11" x14ac:dyDescent="0.25">
      <c r="A10702" t="s">
        <v>33154</v>
      </c>
      <c r="B10702" s="1" t="str">
        <f>HYPERLINK("https://www.catalog.slsa.sa.gov.au/record=b2078543")</f>
        <v>https://www.catalog.slsa.sa.gov.au/record=b2078543</v>
      </c>
      <c r="C10702" s="1" t="str">
        <f>HYPERLINK("https://www.catalog.slsa.sa.gov.au/xrecord=b2078543")</f>
        <v>https://www.catalog.slsa.sa.gov.au/xrecord=b2078543</v>
      </c>
      <c r="D10702" t="s">
        <v>16831</v>
      </c>
      <c r="E10702" t="s">
        <v>33137</v>
      </c>
      <c r="F10702" t="s">
        <v>33138</v>
      </c>
      <c r="G10702" t="s">
        <v>15269</v>
      </c>
      <c r="H10702" t="s">
        <v>33155</v>
      </c>
      <c r="I10702" t="s">
        <v>33156</v>
      </c>
      <c r="J10702" t="s">
        <v>25760</v>
      </c>
      <c r="K10702" s="2" t="str">
        <f>HYPERLINK("http://collections.slsa.sa.gov.au/mpcimg/56500/B56470.htm")</f>
        <v>http://collections.slsa.sa.gov.au/mpcimg/56500/B56470.htm</v>
      </c>
    </row>
    <row r="10703" spans="1:11" x14ac:dyDescent="0.25">
      <c r="A10703" t="s">
        <v>33157</v>
      </c>
      <c r="B10703" s="1" t="str">
        <f>HYPERLINK("https://www.catalog.slsa.sa.gov.au/record=b2955004")</f>
        <v>https://www.catalog.slsa.sa.gov.au/record=b2955004</v>
      </c>
      <c r="C10703" s="1" t="str">
        <f>HYPERLINK("https://www.catalog.slsa.sa.gov.au/xrecord=b2955004")</f>
        <v>https://www.catalog.slsa.sa.gov.au/xrecord=b2955004</v>
      </c>
      <c r="E10703" t="s">
        <v>33158</v>
      </c>
      <c r="F10703" t="s">
        <v>33138</v>
      </c>
      <c r="G10703" t="s">
        <v>33159</v>
      </c>
      <c r="H10703" t="s">
        <v>33160</v>
      </c>
      <c r="I10703" t="s">
        <v>33161</v>
      </c>
      <c r="J10703" t="s">
        <v>2510</v>
      </c>
      <c r="K10703" s="2" t="str">
        <f>HYPERLINK("http://collections.slsa.sa.gov.au/resource/B+73755/8")</f>
        <v>http://collections.slsa.sa.gov.au/resource/B+73755/8</v>
      </c>
    </row>
    <row r="10704" spans="1:11" x14ac:dyDescent="0.25">
      <c r="A10704" t="s">
        <v>33162</v>
      </c>
      <c r="B10704" s="1" t="str">
        <f>HYPERLINK("https://www.catalog.slsa.sa.gov.au/record=b2054588")</f>
        <v>https://www.catalog.slsa.sa.gov.au/record=b2054588</v>
      </c>
      <c r="C10704" s="1" t="str">
        <f>HYPERLINK("https://www.catalog.slsa.sa.gov.au/xrecord=b2054588")</f>
        <v>https://www.catalog.slsa.sa.gov.au/xrecord=b2054588</v>
      </c>
      <c r="D10704" t="s">
        <v>16831</v>
      </c>
      <c r="E10704" t="s">
        <v>33163</v>
      </c>
      <c r="F10704">
        <v>1989</v>
      </c>
      <c r="G10704" t="s">
        <v>33164</v>
      </c>
      <c r="H10704" t="s">
        <v>33165</v>
      </c>
      <c r="J10704" t="s">
        <v>33166</v>
      </c>
      <c r="K10704" s="2" t="str">
        <f>HYPERLINK("http://collections.slsa.sa.gov.au/mpcimg/50000/B49902.htm")</f>
        <v>http://collections.slsa.sa.gov.au/mpcimg/50000/B49902.htm</v>
      </c>
    </row>
    <row r="10705" spans="1:11" x14ac:dyDescent="0.25">
      <c r="A10705" t="s">
        <v>33167</v>
      </c>
      <c r="B10705" s="1" t="str">
        <f>HYPERLINK("https://www.catalog.slsa.sa.gov.au/record=b2061323")</f>
        <v>https://www.catalog.slsa.sa.gov.au/record=b2061323</v>
      </c>
      <c r="C10705" s="1" t="str">
        <f>HYPERLINK("https://www.catalog.slsa.sa.gov.au/xrecord=b2061323")</f>
        <v>https://www.catalog.slsa.sa.gov.au/xrecord=b2061323</v>
      </c>
      <c r="D10705" t="s">
        <v>16831</v>
      </c>
      <c r="E10705" t="s">
        <v>21099</v>
      </c>
      <c r="F10705">
        <v>1989</v>
      </c>
      <c r="G10705" t="s">
        <v>15031</v>
      </c>
      <c r="H10705" t="s">
        <v>33168</v>
      </c>
      <c r="J10705" t="s">
        <v>26746</v>
      </c>
      <c r="K10705" s="2" t="str">
        <f>HYPERLINK("http://collections.slsa.sa.gov.au/mpcimg/53500/B53381.htm")</f>
        <v>http://collections.slsa.sa.gov.au/mpcimg/53500/B53381.htm</v>
      </c>
    </row>
    <row r="10706" spans="1:11" x14ac:dyDescent="0.25">
      <c r="A10706" t="s">
        <v>33169</v>
      </c>
      <c r="B10706" s="1" t="str">
        <f>HYPERLINK("https://www.catalog.slsa.sa.gov.au/record=b2062276")</f>
        <v>https://www.catalog.slsa.sa.gov.au/record=b2062276</v>
      </c>
      <c r="C10706" s="1" t="str">
        <f>HYPERLINK("https://www.catalog.slsa.sa.gov.au/xrecord=b2062276")</f>
        <v>https://www.catalog.slsa.sa.gov.au/xrecord=b2062276</v>
      </c>
      <c r="D10706" t="s">
        <v>16831</v>
      </c>
      <c r="E10706" t="s">
        <v>33170</v>
      </c>
      <c r="F10706">
        <v>1989</v>
      </c>
      <c r="G10706" t="s">
        <v>15031</v>
      </c>
      <c r="H10706" t="s">
        <v>33171</v>
      </c>
      <c r="J10706" t="s">
        <v>26129</v>
      </c>
      <c r="K10706" s="2" t="str">
        <f>HYPERLINK("http://collections.slsa.sa.gov.au/mpcimg/53000/B52973.htm")</f>
        <v>http://collections.slsa.sa.gov.au/mpcimg/53000/B52973.htm</v>
      </c>
    </row>
    <row r="10707" spans="1:11" x14ac:dyDescent="0.25">
      <c r="A10707" t="s">
        <v>33172</v>
      </c>
      <c r="B10707" s="1" t="str">
        <f>HYPERLINK("https://www.catalog.slsa.sa.gov.au/record=b2062534")</f>
        <v>https://www.catalog.slsa.sa.gov.au/record=b2062534</v>
      </c>
      <c r="C10707" s="1" t="str">
        <f>HYPERLINK("https://www.catalog.slsa.sa.gov.au/xrecord=b2062534")</f>
        <v>https://www.catalog.slsa.sa.gov.au/xrecord=b2062534</v>
      </c>
      <c r="D10707" t="s">
        <v>16831</v>
      </c>
      <c r="E10707" t="s">
        <v>21236</v>
      </c>
      <c r="F10707">
        <v>1989</v>
      </c>
      <c r="G10707" t="s">
        <v>15031</v>
      </c>
      <c r="H10707" t="s">
        <v>33173</v>
      </c>
      <c r="J10707" t="s">
        <v>21238</v>
      </c>
      <c r="K10707" s="2" t="str">
        <f>HYPERLINK("http://collections.slsa.sa.gov.au/mpcimg/50250/B50030.htm")</f>
        <v>http://collections.slsa.sa.gov.au/mpcimg/50250/B50030.htm</v>
      </c>
    </row>
    <row r="10708" spans="1:11" x14ac:dyDescent="0.25">
      <c r="A10708" t="s">
        <v>33174</v>
      </c>
      <c r="B10708" s="1" t="str">
        <f>HYPERLINK("https://www.catalog.slsa.sa.gov.au/record=b2062933")</f>
        <v>https://www.catalog.slsa.sa.gov.au/record=b2062933</v>
      </c>
      <c r="C10708" s="1" t="str">
        <f>HYPERLINK("https://www.catalog.slsa.sa.gov.au/xrecord=b2062933")</f>
        <v>https://www.catalog.slsa.sa.gov.au/xrecord=b2062933</v>
      </c>
      <c r="D10708" t="s">
        <v>16831</v>
      </c>
      <c r="E10708" t="s">
        <v>33175</v>
      </c>
      <c r="F10708">
        <v>1989</v>
      </c>
      <c r="G10708" t="s">
        <v>14903</v>
      </c>
      <c r="H10708" t="s">
        <v>33176</v>
      </c>
      <c r="J10708" t="s">
        <v>21291</v>
      </c>
      <c r="K10708" s="2" t="str">
        <f>HYPERLINK("http://collections.slsa.sa.gov.au/mpcimg/50000/B49904.htm")</f>
        <v>http://collections.slsa.sa.gov.au/mpcimg/50000/B49904.htm</v>
      </c>
    </row>
    <row r="10709" spans="1:11" x14ac:dyDescent="0.25">
      <c r="A10709" t="s">
        <v>33177</v>
      </c>
      <c r="B10709" s="1" t="str">
        <f>HYPERLINK("https://www.catalog.slsa.sa.gov.au/record=b2063227")</f>
        <v>https://www.catalog.slsa.sa.gov.au/record=b2063227</v>
      </c>
      <c r="C10709" s="1" t="str">
        <f>HYPERLINK("https://www.catalog.slsa.sa.gov.au/xrecord=b2063227")</f>
        <v>https://www.catalog.slsa.sa.gov.au/xrecord=b2063227</v>
      </c>
      <c r="D10709" t="s">
        <v>16831</v>
      </c>
      <c r="E10709" t="s">
        <v>10268</v>
      </c>
      <c r="F10709">
        <v>1989</v>
      </c>
      <c r="G10709" t="s">
        <v>15031</v>
      </c>
      <c r="H10709" t="s">
        <v>33178</v>
      </c>
      <c r="J10709" t="s">
        <v>21227</v>
      </c>
      <c r="K10709" s="2" t="str">
        <f>HYPERLINK("http://collections.slsa.sa.gov.au/mpcimg/53000/B52974.htm")</f>
        <v>http://collections.slsa.sa.gov.au/mpcimg/53000/B52974.htm</v>
      </c>
    </row>
    <row r="10710" spans="1:11" x14ac:dyDescent="0.25">
      <c r="A10710" t="s">
        <v>33179</v>
      </c>
      <c r="B10710" s="1" t="str">
        <f>HYPERLINK("https://www.catalog.slsa.sa.gov.au/record=b2066731")</f>
        <v>https://www.catalog.slsa.sa.gov.au/record=b2066731</v>
      </c>
      <c r="C10710" s="1" t="str">
        <f>HYPERLINK("https://www.catalog.slsa.sa.gov.au/xrecord=b2066731")</f>
        <v>https://www.catalog.slsa.sa.gov.au/xrecord=b2066731</v>
      </c>
      <c r="D10710" t="s">
        <v>16831</v>
      </c>
      <c r="E10710" t="s">
        <v>33180</v>
      </c>
      <c r="F10710">
        <v>1989</v>
      </c>
      <c r="G10710" t="s">
        <v>33181</v>
      </c>
      <c r="H10710" t="s">
        <v>33182</v>
      </c>
      <c r="J10710" t="s">
        <v>32009</v>
      </c>
      <c r="K10710" s="2" t="str">
        <f>HYPERLINK("http://collections.slsa.sa.gov.au/mpcimg/50250/B50239.htm")</f>
        <v>http://collections.slsa.sa.gov.au/mpcimg/50250/B50239.htm</v>
      </c>
    </row>
    <row r="10711" spans="1:11" x14ac:dyDescent="0.25">
      <c r="A10711" t="s">
        <v>33183</v>
      </c>
      <c r="B10711" s="1" t="str">
        <f>HYPERLINK("https://www.catalog.slsa.sa.gov.au/record=b2066732")</f>
        <v>https://www.catalog.slsa.sa.gov.au/record=b2066732</v>
      </c>
      <c r="C10711" s="1" t="str">
        <f>HYPERLINK("https://www.catalog.slsa.sa.gov.au/xrecord=b2066732")</f>
        <v>https://www.catalog.slsa.sa.gov.au/xrecord=b2066732</v>
      </c>
      <c r="D10711" t="s">
        <v>16831</v>
      </c>
      <c r="E10711" t="s">
        <v>33180</v>
      </c>
      <c r="F10711">
        <v>1989</v>
      </c>
      <c r="G10711" t="s">
        <v>33184</v>
      </c>
      <c r="H10711" t="s">
        <v>33185</v>
      </c>
      <c r="J10711" t="s">
        <v>32009</v>
      </c>
      <c r="K10711" s="2" t="str">
        <f>HYPERLINK("http://collections.slsa.sa.gov.au/mpcimg/50250/B50240.htm")</f>
        <v>http://collections.slsa.sa.gov.au/mpcimg/50250/B50240.htm</v>
      </c>
    </row>
    <row r="10712" spans="1:11" x14ac:dyDescent="0.25">
      <c r="A10712" t="s">
        <v>33186</v>
      </c>
      <c r="B10712" s="1" t="str">
        <f>HYPERLINK("https://www.catalog.slsa.sa.gov.au/record=b2066733")</f>
        <v>https://www.catalog.slsa.sa.gov.au/record=b2066733</v>
      </c>
      <c r="C10712" s="1" t="str">
        <f>HYPERLINK("https://www.catalog.slsa.sa.gov.au/xrecord=b2066733")</f>
        <v>https://www.catalog.slsa.sa.gov.au/xrecord=b2066733</v>
      </c>
      <c r="D10712" t="s">
        <v>16831</v>
      </c>
      <c r="E10712" t="s">
        <v>33180</v>
      </c>
      <c r="F10712">
        <v>1989</v>
      </c>
      <c r="G10712" t="s">
        <v>33184</v>
      </c>
      <c r="H10712" t="s">
        <v>33187</v>
      </c>
      <c r="J10712" t="s">
        <v>32009</v>
      </c>
      <c r="K10712" s="2" t="str">
        <f>HYPERLINK("http://collections.slsa.sa.gov.au/mpcimg/50250/B50241.htm")</f>
        <v>http://collections.slsa.sa.gov.au/mpcimg/50250/B50241.htm</v>
      </c>
    </row>
    <row r="10713" spans="1:11" x14ac:dyDescent="0.25">
      <c r="A10713" t="s">
        <v>33188</v>
      </c>
      <c r="B10713" s="1" t="str">
        <f>HYPERLINK("https://www.catalog.slsa.sa.gov.au/record=b2066734")</f>
        <v>https://www.catalog.slsa.sa.gov.au/record=b2066734</v>
      </c>
      <c r="C10713" s="1" t="str">
        <f>HYPERLINK("https://www.catalog.slsa.sa.gov.au/xrecord=b2066734")</f>
        <v>https://www.catalog.slsa.sa.gov.au/xrecord=b2066734</v>
      </c>
      <c r="D10713" t="s">
        <v>16831</v>
      </c>
      <c r="E10713" t="s">
        <v>33189</v>
      </c>
      <c r="F10713">
        <v>1989</v>
      </c>
      <c r="G10713" t="s">
        <v>33184</v>
      </c>
      <c r="H10713" t="s">
        <v>33190</v>
      </c>
      <c r="J10713" t="s">
        <v>32009</v>
      </c>
      <c r="K10713" s="2" t="str">
        <f>HYPERLINK("http://collections.slsa.sa.gov.au/mpcimg/50250/B50242.htm")</f>
        <v>http://collections.slsa.sa.gov.au/mpcimg/50250/B50242.htm</v>
      </c>
    </row>
    <row r="10714" spans="1:11" x14ac:dyDescent="0.25">
      <c r="A10714" t="s">
        <v>33191</v>
      </c>
      <c r="B10714" s="1" t="str">
        <f>HYPERLINK("https://www.catalog.slsa.sa.gov.au/record=b2066735")</f>
        <v>https://www.catalog.slsa.sa.gov.au/record=b2066735</v>
      </c>
      <c r="C10714" s="1" t="str">
        <f>HYPERLINK("https://www.catalog.slsa.sa.gov.au/xrecord=b2066735")</f>
        <v>https://www.catalog.slsa.sa.gov.au/xrecord=b2066735</v>
      </c>
      <c r="D10714" t="s">
        <v>16831</v>
      </c>
      <c r="E10714" t="s">
        <v>33192</v>
      </c>
      <c r="F10714">
        <v>1989</v>
      </c>
      <c r="G10714" t="s">
        <v>33184</v>
      </c>
      <c r="H10714" t="s">
        <v>33193</v>
      </c>
      <c r="J10714" t="s">
        <v>32009</v>
      </c>
      <c r="K10714" s="2" t="str">
        <f>HYPERLINK("http://collections.slsa.sa.gov.au/mpcimg/50250/B50243.htm")</f>
        <v>http://collections.slsa.sa.gov.au/mpcimg/50250/B50243.htm</v>
      </c>
    </row>
    <row r="10715" spans="1:11" x14ac:dyDescent="0.25">
      <c r="A10715" t="s">
        <v>33194</v>
      </c>
      <c r="B10715" s="1" t="str">
        <f>HYPERLINK("https://www.catalog.slsa.sa.gov.au/record=b2066736")</f>
        <v>https://www.catalog.slsa.sa.gov.au/record=b2066736</v>
      </c>
      <c r="C10715" s="1" t="str">
        <f>HYPERLINK("https://www.catalog.slsa.sa.gov.au/xrecord=b2066736")</f>
        <v>https://www.catalog.slsa.sa.gov.au/xrecord=b2066736</v>
      </c>
      <c r="D10715" t="s">
        <v>16831</v>
      </c>
      <c r="E10715" t="s">
        <v>33195</v>
      </c>
      <c r="F10715">
        <v>1989</v>
      </c>
      <c r="G10715" t="s">
        <v>33196</v>
      </c>
      <c r="H10715" t="s">
        <v>33197</v>
      </c>
      <c r="J10715" t="s">
        <v>32009</v>
      </c>
      <c r="K10715" s="2" t="str">
        <f>HYPERLINK("http://collections.slsa.sa.gov.au/mpcimg/50250/B50244.htm")</f>
        <v>http://collections.slsa.sa.gov.au/mpcimg/50250/B50244.htm</v>
      </c>
    </row>
    <row r="10716" spans="1:11" x14ac:dyDescent="0.25">
      <c r="A10716" t="s">
        <v>33198</v>
      </c>
      <c r="B10716" s="1" t="str">
        <f>HYPERLINK("https://www.catalog.slsa.sa.gov.au/record=b2066737")</f>
        <v>https://www.catalog.slsa.sa.gov.au/record=b2066737</v>
      </c>
      <c r="C10716" s="1" t="str">
        <f>HYPERLINK("https://www.catalog.slsa.sa.gov.au/xrecord=b2066737")</f>
        <v>https://www.catalog.slsa.sa.gov.au/xrecord=b2066737</v>
      </c>
      <c r="D10716" t="s">
        <v>16831</v>
      </c>
      <c r="E10716" t="s">
        <v>33199</v>
      </c>
      <c r="F10716">
        <v>1989</v>
      </c>
      <c r="G10716" t="s">
        <v>33184</v>
      </c>
      <c r="H10716" t="s">
        <v>33200</v>
      </c>
      <c r="J10716" t="s">
        <v>32009</v>
      </c>
      <c r="K10716" s="2" t="str">
        <f>HYPERLINK("http://collections.slsa.sa.gov.au/mpcimg/50250/B50245.htm")</f>
        <v>http://collections.slsa.sa.gov.au/mpcimg/50250/B50245.htm</v>
      </c>
    </row>
    <row r="10717" spans="1:11" x14ac:dyDescent="0.25">
      <c r="A10717" t="s">
        <v>33201</v>
      </c>
      <c r="B10717" s="1" t="str">
        <f>HYPERLINK("https://www.catalog.slsa.sa.gov.au/record=b2066738")</f>
        <v>https://www.catalog.slsa.sa.gov.au/record=b2066738</v>
      </c>
      <c r="C10717" s="1" t="str">
        <f>HYPERLINK("https://www.catalog.slsa.sa.gov.au/xrecord=b2066738")</f>
        <v>https://www.catalog.slsa.sa.gov.au/xrecord=b2066738</v>
      </c>
      <c r="D10717" t="s">
        <v>16831</v>
      </c>
      <c r="E10717" t="s">
        <v>33202</v>
      </c>
      <c r="F10717">
        <v>1989</v>
      </c>
      <c r="G10717" t="s">
        <v>33184</v>
      </c>
      <c r="H10717" t="s">
        <v>33203</v>
      </c>
      <c r="J10717" t="s">
        <v>32009</v>
      </c>
      <c r="K10717" s="2" t="str">
        <f>HYPERLINK("http://collections.slsa.sa.gov.au/mpcimg/50250/B50246.htm")</f>
        <v>http://collections.slsa.sa.gov.au/mpcimg/50250/B50246.htm</v>
      </c>
    </row>
    <row r="10718" spans="1:11" x14ac:dyDescent="0.25">
      <c r="A10718" t="s">
        <v>33204</v>
      </c>
      <c r="B10718" s="1" t="str">
        <f>HYPERLINK("https://www.catalog.slsa.sa.gov.au/record=b2066739")</f>
        <v>https://www.catalog.slsa.sa.gov.au/record=b2066739</v>
      </c>
      <c r="C10718" s="1" t="str">
        <f>HYPERLINK("https://www.catalog.slsa.sa.gov.au/xrecord=b2066739")</f>
        <v>https://www.catalog.slsa.sa.gov.au/xrecord=b2066739</v>
      </c>
      <c r="D10718" t="s">
        <v>16831</v>
      </c>
      <c r="E10718" t="s">
        <v>33205</v>
      </c>
      <c r="F10718">
        <v>1989</v>
      </c>
      <c r="G10718" t="s">
        <v>33206</v>
      </c>
      <c r="H10718" t="s">
        <v>33207</v>
      </c>
      <c r="J10718" t="s">
        <v>32009</v>
      </c>
      <c r="K10718" s="2" t="str">
        <f>HYPERLINK("http://collections.slsa.sa.gov.au/mpcimg/50250/B50247.htm")</f>
        <v>http://collections.slsa.sa.gov.au/mpcimg/50250/B50247.htm</v>
      </c>
    </row>
    <row r="10719" spans="1:11" x14ac:dyDescent="0.25">
      <c r="A10719" t="s">
        <v>33208</v>
      </c>
      <c r="B10719" s="1" t="str">
        <f>HYPERLINK("https://www.catalog.slsa.sa.gov.au/record=b2066740")</f>
        <v>https://www.catalog.slsa.sa.gov.au/record=b2066740</v>
      </c>
      <c r="C10719" s="1" t="str">
        <f>HYPERLINK("https://www.catalog.slsa.sa.gov.au/xrecord=b2066740")</f>
        <v>https://www.catalog.slsa.sa.gov.au/xrecord=b2066740</v>
      </c>
      <c r="D10719" t="s">
        <v>16831</v>
      </c>
      <c r="E10719" t="s">
        <v>33209</v>
      </c>
      <c r="F10719">
        <v>1989</v>
      </c>
      <c r="G10719" t="s">
        <v>33210</v>
      </c>
      <c r="H10719" t="s">
        <v>33211</v>
      </c>
      <c r="J10719" t="s">
        <v>32009</v>
      </c>
      <c r="K10719" s="2" t="str">
        <f>HYPERLINK("http://collections.slsa.sa.gov.au/mpcimg/50250/B50248.htm")</f>
        <v>http://collections.slsa.sa.gov.au/mpcimg/50250/B50248.htm</v>
      </c>
    </row>
    <row r="10720" spans="1:11" x14ac:dyDescent="0.25">
      <c r="A10720" t="s">
        <v>33212</v>
      </c>
      <c r="B10720" s="1" t="str">
        <f>HYPERLINK("https://www.catalog.slsa.sa.gov.au/record=b2066741")</f>
        <v>https://www.catalog.slsa.sa.gov.au/record=b2066741</v>
      </c>
      <c r="C10720" s="1" t="str">
        <f>HYPERLINK("https://www.catalog.slsa.sa.gov.au/xrecord=b2066741")</f>
        <v>https://www.catalog.slsa.sa.gov.au/xrecord=b2066741</v>
      </c>
      <c r="D10720" t="s">
        <v>16831</v>
      </c>
      <c r="E10720" t="s">
        <v>33213</v>
      </c>
      <c r="F10720">
        <v>1989</v>
      </c>
      <c r="G10720" t="s">
        <v>33214</v>
      </c>
      <c r="H10720" t="s">
        <v>33215</v>
      </c>
      <c r="J10720" t="s">
        <v>32009</v>
      </c>
      <c r="K10720" s="2" t="str">
        <f>HYPERLINK("http://collections.slsa.sa.gov.au/mpcimg/50250/B50249.htm")</f>
        <v>http://collections.slsa.sa.gov.au/mpcimg/50250/B50249.htm</v>
      </c>
    </row>
    <row r="10721" spans="1:11" x14ac:dyDescent="0.25">
      <c r="A10721" t="s">
        <v>33216</v>
      </c>
      <c r="B10721" s="1" t="str">
        <f>HYPERLINK("https://www.catalog.slsa.sa.gov.au/record=b2075726")</f>
        <v>https://www.catalog.slsa.sa.gov.au/record=b2075726</v>
      </c>
      <c r="C10721" s="1" t="str">
        <f>HYPERLINK("https://www.catalog.slsa.sa.gov.au/xrecord=b2075726")</f>
        <v>https://www.catalog.slsa.sa.gov.au/xrecord=b2075726</v>
      </c>
      <c r="D10721" t="s">
        <v>16831</v>
      </c>
      <c r="E10721" t="s">
        <v>33217</v>
      </c>
      <c r="F10721">
        <v>1989</v>
      </c>
      <c r="G10721" t="s">
        <v>33218</v>
      </c>
      <c r="H10721" t="s">
        <v>33219</v>
      </c>
      <c r="I10721" t="s">
        <v>33220</v>
      </c>
      <c r="J10721" t="s">
        <v>32653</v>
      </c>
      <c r="K10721" s="2" t="str">
        <f>HYPERLINK("http://collections.slsa.sa.gov.au/mpcimg/53750/B53664.htm")</f>
        <v>http://collections.slsa.sa.gov.au/mpcimg/53750/B53664.htm</v>
      </c>
    </row>
    <row r="10722" spans="1:11" x14ac:dyDescent="0.25">
      <c r="A10722" t="s">
        <v>33221</v>
      </c>
      <c r="B10722" s="1" t="str">
        <f>HYPERLINK("https://www.catalog.slsa.sa.gov.au/record=b2075727")</f>
        <v>https://www.catalog.slsa.sa.gov.au/record=b2075727</v>
      </c>
      <c r="C10722" s="1" t="str">
        <f>HYPERLINK("https://www.catalog.slsa.sa.gov.au/xrecord=b2075727")</f>
        <v>https://www.catalog.slsa.sa.gov.au/xrecord=b2075727</v>
      </c>
      <c r="D10722" t="s">
        <v>16831</v>
      </c>
      <c r="E10722" t="s">
        <v>33222</v>
      </c>
      <c r="F10722">
        <v>1989</v>
      </c>
      <c r="G10722" t="s">
        <v>33218</v>
      </c>
      <c r="H10722" t="s">
        <v>33223</v>
      </c>
      <c r="I10722" t="s">
        <v>33224</v>
      </c>
      <c r="J10722" t="s">
        <v>32653</v>
      </c>
      <c r="K10722" s="2" t="str">
        <f>HYPERLINK("http://collections.slsa.sa.gov.au/mpcimg/53750/B53665.htm")</f>
        <v>http://collections.slsa.sa.gov.au/mpcimg/53750/B53665.htm</v>
      </c>
    </row>
    <row r="10723" spans="1:11" x14ac:dyDescent="0.25">
      <c r="A10723" t="s">
        <v>33225</v>
      </c>
      <c r="B10723" s="1" t="str">
        <f>HYPERLINK("https://www.catalog.slsa.sa.gov.au/record=b2075728")</f>
        <v>https://www.catalog.slsa.sa.gov.au/record=b2075728</v>
      </c>
      <c r="C10723" s="1" t="str">
        <f>HYPERLINK("https://www.catalog.slsa.sa.gov.au/xrecord=b2075728")</f>
        <v>https://www.catalog.slsa.sa.gov.au/xrecord=b2075728</v>
      </c>
      <c r="D10723" t="s">
        <v>16831</v>
      </c>
      <c r="E10723" t="s">
        <v>33226</v>
      </c>
      <c r="F10723">
        <v>1989</v>
      </c>
      <c r="G10723" t="s">
        <v>33218</v>
      </c>
      <c r="H10723" t="s">
        <v>33227</v>
      </c>
      <c r="I10723" t="s">
        <v>33220</v>
      </c>
      <c r="J10723" t="s">
        <v>32653</v>
      </c>
      <c r="K10723" s="2" t="str">
        <f>HYPERLINK("http://collections.slsa.sa.gov.au/mpcimg/53750/B53666.htm")</f>
        <v>http://collections.slsa.sa.gov.au/mpcimg/53750/B53666.htm</v>
      </c>
    </row>
    <row r="10724" spans="1:11" x14ac:dyDescent="0.25">
      <c r="A10724" t="s">
        <v>33228</v>
      </c>
      <c r="B10724" s="1" t="str">
        <f>HYPERLINK("https://www.catalog.slsa.sa.gov.au/record=b2064490")</f>
        <v>https://www.catalog.slsa.sa.gov.au/record=b2064490</v>
      </c>
      <c r="C10724" s="1" t="str">
        <f>HYPERLINK("https://www.catalog.slsa.sa.gov.au/xrecord=b2064490")</f>
        <v>https://www.catalog.slsa.sa.gov.au/xrecord=b2064490</v>
      </c>
      <c r="D10724" t="s">
        <v>16831</v>
      </c>
      <c r="E10724" t="s">
        <v>25651</v>
      </c>
      <c r="F10724">
        <v>1990</v>
      </c>
      <c r="G10724" t="s">
        <v>27218</v>
      </c>
      <c r="H10724" t="s">
        <v>33229</v>
      </c>
      <c r="J10724" t="s">
        <v>24725</v>
      </c>
      <c r="K10724" s="2" t="str">
        <f>HYPERLINK("http://collections.slsa.sa.gov.au/mpcimg/53000/B52949.htm")</f>
        <v>http://collections.slsa.sa.gov.au/mpcimg/53000/B52949.htm</v>
      </c>
    </row>
    <row r="10725" spans="1:11" x14ac:dyDescent="0.25">
      <c r="A10725" t="s">
        <v>33230</v>
      </c>
      <c r="B10725" s="1" t="str">
        <f>HYPERLINK("https://www.catalog.slsa.sa.gov.au/record=b2064491")</f>
        <v>https://www.catalog.slsa.sa.gov.au/record=b2064491</v>
      </c>
      <c r="C10725" s="1" t="str">
        <f>HYPERLINK("https://www.catalog.slsa.sa.gov.au/xrecord=b2064491")</f>
        <v>https://www.catalog.slsa.sa.gov.au/xrecord=b2064491</v>
      </c>
      <c r="D10725" t="s">
        <v>16831</v>
      </c>
      <c r="E10725" t="s">
        <v>25651</v>
      </c>
      <c r="F10725">
        <v>1990</v>
      </c>
      <c r="G10725" t="s">
        <v>33231</v>
      </c>
      <c r="H10725" t="s">
        <v>33232</v>
      </c>
      <c r="J10725" t="s">
        <v>24725</v>
      </c>
      <c r="K10725" s="2" t="str">
        <f>HYPERLINK("http://collections.slsa.sa.gov.au/mpcimg/53000/B52950.htm")</f>
        <v>http://collections.slsa.sa.gov.au/mpcimg/53000/B52950.htm</v>
      </c>
    </row>
    <row r="10726" spans="1:11" x14ac:dyDescent="0.25">
      <c r="A10726" t="s">
        <v>33233</v>
      </c>
      <c r="B10726" s="1" t="str">
        <f>HYPERLINK("https://www.catalog.slsa.sa.gov.au/record=b2066785")</f>
        <v>https://www.catalog.slsa.sa.gov.au/record=b2066785</v>
      </c>
      <c r="C10726" s="1" t="str">
        <f>HYPERLINK("https://www.catalog.slsa.sa.gov.au/xrecord=b2066785")</f>
        <v>https://www.catalog.slsa.sa.gov.au/xrecord=b2066785</v>
      </c>
      <c r="D10726" t="s">
        <v>28745</v>
      </c>
      <c r="E10726" t="s">
        <v>33120</v>
      </c>
      <c r="F10726">
        <v>1990</v>
      </c>
      <c r="G10726" t="s">
        <v>15031</v>
      </c>
      <c r="H10726" t="s">
        <v>33234</v>
      </c>
      <c r="J10726" t="s">
        <v>32009</v>
      </c>
      <c r="K10726" s="2" t="str">
        <f>HYPERLINK("http://collections.slsa.sa.gov.au/mpcimg/53000/B52762.htm")</f>
        <v>http://collections.slsa.sa.gov.au/mpcimg/53000/B52762.htm</v>
      </c>
    </row>
    <row r="10727" spans="1:11" x14ac:dyDescent="0.25">
      <c r="A10727" t="s">
        <v>33235</v>
      </c>
      <c r="B10727" s="1" t="str">
        <f>HYPERLINK("https://www.catalog.slsa.sa.gov.au/record=b2066786")</f>
        <v>https://www.catalog.slsa.sa.gov.au/record=b2066786</v>
      </c>
      <c r="C10727" s="1" t="str">
        <f>HYPERLINK("https://www.catalog.slsa.sa.gov.au/xrecord=b2066786")</f>
        <v>https://www.catalog.slsa.sa.gov.au/xrecord=b2066786</v>
      </c>
      <c r="D10727" t="s">
        <v>16831</v>
      </c>
      <c r="E10727" t="s">
        <v>33120</v>
      </c>
      <c r="F10727">
        <v>1990</v>
      </c>
      <c r="G10727" t="s">
        <v>15031</v>
      </c>
      <c r="H10727" t="s">
        <v>33234</v>
      </c>
      <c r="J10727" t="s">
        <v>32009</v>
      </c>
      <c r="K10727" s="2" t="str">
        <f>HYPERLINK("http://collections.slsa.sa.gov.au/mpcimg/53000/B52763.htm")</f>
        <v>http://collections.slsa.sa.gov.au/mpcimg/53000/B52763.htm</v>
      </c>
    </row>
    <row r="10728" spans="1:11" x14ac:dyDescent="0.25">
      <c r="A10728" t="s">
        <v>33236</v>
      </c>
      <c r="B10728" s="1" t="str">
        <f>HYPERLINK("https://www.catalog.slsa.sa.gov.au/record=b2066787")</f>
        <v>https://www.catalog.slsa.sa.gov.au/record=b2066787</v>
      </c>
      <c r="C10728" s="1" t="str">
        <f>HYPERLINK("https://www.catalog.slsa.sa.gov.au/xrecord=b2066787")</f>
        <v>https://www.catalog.slsa.sa.gov.au/xrecord=b2066787</v>
      </c>
      <c r="D10728" t="s">
        <v>16831</v>
      </c>
      <c r="E10728" t="s">
        <v>33043</v>
      </c>
      <c r="F10728">
        <v>1990</v>
      </c>
      <c r="G10728" t="s">
        <v>19299</v>
      </c>
      <c r="H10728" t="s">
        <v>33237</v>
      </c>
      <c r="J10728" t="s">
        <v>32009</v>
      </c>
      <c r="K10728" s="2" t="str">
        <f>HYPERLINK("http://collections.slsa.sa.gov.au/mpcimg/53000/B52828.htm")</f>
        <v>http://collections.slsa.sa.gov.au/mpcimg/53000/B52828.htm</v>
      </c>
    </row>
    <row r="10729" spans="1:11" x14ac:dyDescent="0.25">
      <c r="A10729" t="s">
        <v>33238</v>
      </c>
      <c r="B10729" s="1" t="str">
        <f>HYPERLINK("https://www.catalog.slsa.sa.gov.au/record=b2066795")</f>
        <v>https://www.catalog.slsa.sa.gov.au/record=b2066795</v>
      </c>
      <c r="C10729" s="1" t="str">
        <f>HYPERLINK("https://www.catalog.slsa.sa.gov.au/xrecord=b2066795")</f>
        <v>https://www.catalog.slsa.sa.gov.au/xrecord=b2066795</v>
      </c>
      <c r="D10729" t="s">
        <v>28745</v>
      </c>
      <c r="E10729" t="s">
        <v>33239</v>
      </c>
      <c r="F10729">
        <v>1990</v>
      </c>
      <c r="G10729" t="s">
        <v>33240</v>
      </c>
      <c r="H10729" t="s">
        <v>33241</v>
      </c>
      <c r="J10729" t="s">
        <v>32009</v>
      </c>
      <c r="K10729" s="2" t="str">
        <f>HYPERLINK("http://collections.slsa.sa.gov.au/mpcimg/53250/B53145.htm")</f>
        <v>http://collections.slsa.sa.gov.au/mpcimg/53250/B53145.htm</v>
      </c>
    </row>
    <row r="10730" spans="1:11" x14ac:dyDescent="0.25">
      <c r="A10730" t="s">
        <v>33242</v>
      </c>
      <c r="B10730" s="1" t="str">
        <f>HYPERLINK("https://www.catalog.slsa.sa.gov.au/record=b2066796")</f>
        <v>https://www.catalog.slsa.sa.gov.au/record=b2066796</v>
      </c>
      <c r="C10730" s="1" t="str">
        <f>HYPERLINK("https://www.catalog.slsa.sa.gov.au/xrecord=b2066796")</f>
        <v>https://www.catalog.slsa.sa.gov.au/xrecord=b2066796</v>
      </c>
      <c r="D10730" t="s">
        <v>28745</v>
      </c>
      <c r="E10730" t="s">
        <v>33239</v>
      </c>
      <c r="F10730">
        <v>1990</v>
      </c>
      <c r="G10730" t="s">
        <v>33240</v>
      </c>
      <c r="H10730" t="s">
        <v>33243</v>
      </c>
      <c r="J10730" t="s">
        <v>32009</v>
      </c>
      <c r="K10730" s="2" t="str">
        <f>HYPERLINK("http://collections.slsa.sa.gov.au/mpcimg/53250/B53146.htm")</f>
        <v>http://collections.slsa.sa.gov.au/mpcimg/53250/B53146.htm</v>
      </c>
    </row>
    <row r="10731" spans="1:11" x14ac:dyDescent="0.25">
      <c r="A10731" t="s">
        <v>33244</v>
      </c>
      <c r="B10731" s="1" t="str">
        <f>HYPERLINK("https://www.catalog.slsa.sa.gov.au/record=b2066797")</f>
        <v>https://www.catalog.slsa.sa.gov.au/record=b2066797</v>
      </c>
      <c r="C10731" s="1" t="str">
        <f>HYPERLINK("https://www.catalog.slsa.sa.gov.au/xrecord=b2066797")</f>
        <v>https://www.catalog.slsa.sa.gov.au/xrecord=b2066797</v>
      </c>
      <c r="D10731" t="s">
        <v>28745</v>
      </c>
      <c r="E10731" t="s">
        <v>33239</v>
      </c>
      <c r="F10731">
        <v>1990</v>
      </c>
      <c r="G10731" t="s">
        <v>33240</v>
      </c>
      <c r="H10731" t="s">
        <v>33243</v>
      </c>
      <c r="J10731" t="s">
        <v>32009</v>
      </c>
      <c r="K10731" s="2" t="str">
        <f>HYPERLINK("http://collections.slsa.sa.gov.au/mpcimg/53250/B53147.htm")</f>
        <v>http://collections.slsa.sa.gov.au/mpcimg/53250/B53147.htm</v>
      </c>
    </row>
    <row r="10732" spans="1:11" x14ac:dyDescent="0.25">
      <c r="A10732" t="s">
        <v>33245</v>
      </c>
      <c r="B10732" s="1" t="str">
        <f>HYPERLINK("https://www.catalog.slsa.sa.gov.au/record=b2066798")</f>
        <v>https://www.catalog.slsa.sa.gov.au/record=b2066798</v>
      </c>
      <c r="C10732" s="1" t="str">
        <f>HYPERLINK("https://www.catalog.slsa.sa.gov.au/xrecord=b2066798")</f>
        <v>https://www.catalog.slsa.sa.gov.au/xrecord=b2066798</v>
      </c>
      <c r="D10732" t="s">
        <v>16831</v>
      </c>
      <c r="E10732" t="s">
        <v>33043</v>
      </c>
      <c r="F10732">
        <v>1990</v>
      </c>
      <c r="G10732" t="s">
        <v>33246</v>
      </c>
      <c r="H10732" t="s">
        <v>33247</v>
      </c>
      <c r="J10732" t="s">
        <v>32009</v>
      </c>
      <c r="K10732" s="2" t="str">
        <f>HYPERLINK("http://collections.slsa.sa.gov.au/mpcimg/53500/B53415.htm")</f>
        <v>http://collections.slsa.sa.gov.au/mpcimg/53500/B53415.htm</v>
      </c>
    </row>
    <row r="10733" spans="1:11" x14ac:dyDescent="0.25">
      <c r="A10733" t="s">
        <v>33248</v>
      </c>
      <c r="B10733" s="1" t="str">
        <f>HYPERLINK("https://www.catalog.slsa.sa.gov.au/record=b2066799")</f>
        <v>https://www.catalog.slsa.sa.gov.au/record=b2066799</v>
      </c>
      <c r="C10733" s="1" t="str">
        <f>HYPERLINK("https://www.catalog.slsa.sa.gov.au/xrecord=b2066799")</f>
        <v>https://www.catalog.slsa.sa.gov.au/xrecord=b2066799</v>
      </c>
      <c r="D10733" t="s">
        <v>16831</v>
      </c>
      <c r="E10733" t="s">
        <v>33043</v>
      </c>
      <c r="F10733">
        <v>1990</v>
      </c>
      <c r="G10733" t="s">
        <v>33246</v>
      </c>
      <c r="H10733" t="s">
        <v>33247</v>
      </c>
      <c r="J10733" t="s">
        <v>32009</v>
      </c>
      <c r="K10733" s="2" t="str">
        <f>HYPERLINK("http://collections.slsa.sa.gov.au/mpcimg/53500/B53416.htm")</f>
        <v>http://collections.slsa.sa.gov.au/mpcimg/53500/B53416.htm</v>
      </c>
    </row>
    <row r="10734" spans="1:11" x14ac:dyDescent="0.25">
      <c r="A10734" t="s">
        <v>33249</v>
      </c>
      <c r="B10734" s="1" t="str">
        <f>HYPERLINK("https://www.catalog.slsa.sa.gov.au/record=b2066800")</f>
        <v>https://www.catalog.slsa.sa.gov.au/record=b2066800</v>
      </c>
      <c r="C10734" s="1" t="str">
        <f>HYPERLINK("https://www.catalog.slsa.sa.gov.au/xrecord=b2066800")</f>
        <v>https://www.catalog.slsa.sa.gov.au/xrecord=b2066800</v>
      </c>
      <c r="D10734" t="s">
        <v>16831</v>
      </c>
      <c r="E10734" t="s">
        <v>33250</v>
      </c>
      <c r="F10734">
        <v>1990</v>
      </c>
      <c r="G10734" t="s">
        <v>33251</v>
      </c>
      <c r="H10734" t="s">
        <v>33252</v>
      </c>
      <c r="J10734" t="s">
        <v>32009</v>
      </c>
      <c r="K10734" s="2" t="str">
        <f>HYPERLINK("http://collections.slsa.sa.gov.au/mpcimg/53500/B53418.htm")</f>
        <v>http://collections.slsa.sa.gov.au/mpcimg/53500/B53418.htm</v>
      </c>
    </row>
    <row r="10735" spans="1:11" x14ac:dyDescent="0.25">
      <c r="A10735" t="s">
        <v>33253</v>
      </c>
      <c r="B10735" s="1" t="str">
        <f>HYPERLINK("https://www.catalog.slsa.sa.gov.au/record=b2066801")</f>
        <v>https://www.catalog.slsa.sa.gov.au/record=b2066801</v>
      </c>
      <c r="C10735" s="1" t="str">
        <f>HYPERLINK("https://www.catalog.slsa.sa.gov.au/xrecord=b2066801")</f>
        <v>https://www.catalog.slsa.sa.gov.au/xrecord=b2066801</v>
      </c>
      <c r="D10735" t="s">
        <v>16831</v>
      </c>
      <c r="E10735" t="s">
        <v>33250</v>
      </c>
      <c r="F10735">
        <v>1990</v>
      </c>
      <c r="G10735" t="s">
        <v>33254</v>
      </c>
      <c r="H10735" t="s">
        <v>33255</v>
      </c>
      <c r="J10735" t="s">
        <v>32009</v>
      </c>
      <c r="K10735" s="2" t="str">
        <f>HYPERLINK("http://collections.slsa.sa.gov.au/mpcimg/53500/B53419.htm")</f>
        <v>http://collections.slsa.sa.gov.au/mpcimg/53500/B53419.htm</v>
      </c>
    </row>
    <row r="10736" spans="1:11" x14ac:dyDescent="0.25">
      <c r="A10736" t="s">
        <v>33256</v>
      </c>
      <c r="B10736" s="1" t="str">
        <f>HYPERLINK("https://www.catalog.slsa.sa.gov.au/record=b2066802")</f>
        <v>https://www.catalog.slsa.sa.gov.au/record=b2066802</v>
      </c>
      <c r="C10736" s="1" t="str">
        <f>HYPERLINK("https://www.catalog.slsa.sa.gov.au/xrecord=b2066802")</f>
        <v>https://www.catalog.slsa.sa.gov.au/xrecord=b2066802</v>
      </c>
      <c r="D10736" t="s">
        <v>16831</v>
      </c>
      <c r="E10736" t="s">
        <v>33043</v>
      </c>
      <c r="F10736">
        <v>1990</v>
      </c>
      <c r="G10736" t="s">
        <v>33251</v>
      </c>
      <c r="H10736" t="s">
        <v>33255</v>
      </c>
      <c r="J10736" t="s">
        <v>32009</v>
      </c>
      <c r="K10736" s="2" t="str">
        <f>HYPERLINK("http://collections.slsa.sa.gov.au/mpcimg/53500/B53420.htm")</f>
        <v>http://collections.slsa.sa.gov.au/mpcimg/53500/B53420.htm</v>
      </c>
    </row>
    <row r="10737" spans="1:11" x14ac:dyDescent="0.25">
      <c r="A10737" t="s">
        <v>33257</v>
      </c>
      <c r="B10737" s="1" t="str">
        <f>HYPERLINK("https://www.catalog.slsa.sa.gov.au/record=b2066803")</f>
        <v>https://www.catalog.slsa.sa.gov.au/record=b2066803</v>
      </c>
      <c r="C10737" s="1" t="str">
        <f>HYPERLINK("https://www.catalog.slsa.sa.gov.au/xrecord=b2066803")</f>
        <v>https://www.catalog.slsa.sa.gov.au/xrecord=b2066803</v>
      </c>
      <c r="D10737" t="s">
        <v>16831</v>
      </c>
      <c r="E10737" t="s">
        <v>33250</v>
      </c>
      <c r="F10737">
        <v>1990</v>
      </c>
      <c r="G10737" t="s">
        <v>33254</v>
      </c>
      <c r="H10737" t="s">
        <v>33258</v>
      </c>
      <c r="J10737" t="s">
        <v>32009</v>
      </c>
      <c r="K10737" s="2" t="str">
        <f>HYPERLINK("http://collections.slsa.sa.gov.au/mpcimg/53500/B53421.htm")</f>
        <v>http://collections.slsa.sa.gov.au/mpcimg/53500/B53421.htm</v>
      </c>
    </row>
    <row r="10738" spans="1:11" x14ac:dyDescent="0.25">
      <c r="A10738" t="s">
        <v>33259</v>
      </c>
      <c r="B10738" s="1" t="str">
        <f>HYPERLINK("https://www.catalog.slsa.sa.gov.au/record=b2067447")</f>
        <v>https://www.catalog.slsa.sa.gov.au/record=b2067447</v>
      </c>
      <c r="C10738" s="1" t="str">
        <f>HYPERLINK("https://www.catalog.slsa.sa.gov.au/xrecord=b2067447")</f>
        <v>https://www.catalog.slsa.sa.gov.au/xrecord=b2067447</v>
      </c>
      <c r="D10738" t="s">
        <v>16831</v>
      </c>
      <c r="E10738" t="s">
        <v>33260</v>
      </c>
      <c r="F10738">
        <v>1990</v>
      </c>
      <c r="G10738" t="s">
        <v>33261</v>
      </c>
      <c r="H10738" t="s">
        <v>33262</v>
      </c>
      <c r="J10738" t="s">
        <v>16866</v>
      </c>
      <c r="K10738" s="2" t="str">
        <f>HYPERLINK("http://collections.slsa.sa.gov.au/mpcimg/53000/B52787.htm")</f>
        <v>http://collections.slsa.sa.gov.au/mpcimg/53000/B52787.htm</v>
      </c>
    </row>
    <row r="10739" spans="1:11" x14ac:dyDescent="0.25">
      <c r="A10739" t="s">
        <v>33263</v>
      </c>
      <c r="B10739" s="1" t="str">
        <f>HYPERLINK("https://www.catalog.slsa.sa.gov.au/record=b2067448")</f>
        <v>https://www.catalog.slsa.sa.gov.au/record=b2067448</v>
      </c>
      <c r="C10739" s="1" t="str">
        <f>HYPERLINK("https://www.catalog.slsa.sa.gov.au/xrecord=b2067448")</f>
        <v>https://www.catalog.slsa.sa.gov.au/xrecord=b2067448</v>
      </c>
      <c r="D10739" t="s">
        <v>16831</v>
      </c>
      <c r="E10739" t="s">
        <v>33260</v>
      </c>
      <c r="F10739">
        <v>1990</v>
      </c>
      <c r="G10739" t="s">
        <v>33261</v>
      </c>
      <c r="H10739" t="s">
        <v>33264</v>
      </c>
      <c r="J10739" t="s">
        <v>16866</v>
      </c>
      <c r="K10739" s="2" t="str">
        <f>HYPERLINK("http://collections.slsa.sa.gov.au/mpcimg/53000/B52788.htm")</f>
        <v>http://collections.slsa.sa.gov.au/mpcimg/53000/B52788.htm</v>
      </c>
    </row>
    <row r="10740" spans="1:11" x14ac:dyDescent="0.25">
      <c r="A10740" t="s">
        <v>33265</v>
      </c>
      <c r="B10740" s="1" t="str">
        <f>HYPERLINK("https://www.catalog.slsa.sa.gov.au/record=b2067449")</f>
        <v>https://www.catalog.slsa.sa.gov.au/record=b2067449</v>
      </c>
      <c r="C10740" s="1" t="str">
        <f>HYPERLINK("https://www.catalog.slsa.sa.gov.au/xrecord=b2067449")</f>
        <v>https://www.catalog.slsa.sa.gov.au/xrecord=b2067449</v>
      </c>
      <c r="D10740" t="s">
        <v>16831</v>
      </c>
      <c r="E10740" t="s">
        <v>33260</v>
      </c>
      <c r="F10740">
        <v>1990</v>
      </c>
      <c r="G10740" t="s">
        <v>33261</v>
      </c>
      <c r="H10740" t="s">
        <v>33266</v>
      </c>
      <c r="J10740" t="s">
        <v>16866</v>
      </c>
      <c r="K10740" s="2" t="str">
        <f>HYPERLINK("http://collections.slsa.sa.gov.au/mpcimg/53000/B52789.htm")</f>
        <v>http://collections.slsa.sa.gov.au/mpcimg/53000/B52789.htm</v>
      </c>
    </row>
    <row r="10741" spans="1:11" x14ac:dyDescent="0.25">
      <c r="A10741" t="s">
        <v>33267</v>
      </c>
      <c r="B10741" s="1" t="str">
        <f>HYPERLINK("https://www.catalog.slsa.sa.gov.au/record=b2067450")</f>
        <v>https://www.catalog.slsa.sa.gov.au/record=b2067450</v>
      </c>
      <c r="C10741" s="1" t="str">
        <f>HYPERLINK("https://www.catalog.slsa.sa.gov.au/xrecord=b2067450")</f>
        <v>https://www.catalog.slsa.sa.gov.au/xrecord=b2067450</v>
      </c>
      <c r="D10741" t="s">
        <v>16831</v>
      </c>
      <c r="E10741" t="s">
        <v>33260</v>
      </c>
      <c r="F10741">
        <v>1990</v>
      </c>
      <c r="G10741" t="s">
        <v>33261</v>
      </c>
      <c r="H10741" t="s">
        <v>33268</v>
      </c>
      <c r="J10741" t="s">
        <v>16866</v>
      </c>
      <c r="K10741" s="2" t="str">
        <f>HYPERLINK("http://collections.slsa.sa.gov.au/mpcimg/53000/B52790.htm")</f>
        <v>http://collections.slsa.sa.gov.au/mpcimg/53000/B52790.htm</v>
      </c>
    </row>
    <row r="10742" spans="1:11" x14ac:dyDescent="0.25">
      <c r="A10742" t="s">
        <v>33269</v>
      </c>
      <c r="B10742" s="1" t="str">
        <f>HYPERLINK("https://www.catalog.slsa.sa.gov.au/record=b2067451")</f>
        <v>https://www.catalog.slsa.sa.gov.au/record=b2067451</v>
      </c>
      <c r="C10742" s="1" t="str">
        <f>HYPERLINK("https://www.catalog.slsa.sa.gov.au/xrecord=b2067451")</f>
        <v>https://www.catalog.slsa.sa.gov.au/xrecord=b2067451</v>
      </c>
      <c r="D10742" t="s">
        <v>16831</v>
      </c>
      <c r="E10742" t="s">
        <v>33260</v>
      </c>
      <c r="F10742">
        <v>1990</v>
      </c>
      <c r="G10742" t="s">
        <v>33261</v>
      </c>
      <c r="H10742" t="s">
        <v>33270</v>
      </c>
      <c r="J10742" t="s">
        <v>16866</v>
      </c>
      <c r="K10742" s="2" t="str">
        <f>HYPERLINK("http://collections.slsa.sa.gov.au/mpcimg/53000/B52791.htm")</f>
        <v>http://collections.slsa.sa.gov.au/mpcimg/53000/B52791.htm</v>
      </c>
    </row>
    <row r="10743" spans="1:11" x14ac:dyDescent="0.25">
      <c r="A10743" t="s">
        <v>33271</v>
      </c>
      <c r="B10743" s="1" t="str">
        <f>HYPERLINK("https://www.catalog.slsa.sa.gov.au/record=b2067452")</f>
        <v>https://www.catalog.slsa.sa.gov.au/record=b2067452</v>
      </c>
      <c r="C10743" s="1" t="str">
        <f>HYPERLINK("https://www.catalog.slsa.sa.gov.au/xrecord=b2067452")</f>
        <v>https://www.catalog.slsa.sa.gov.au/xrecord=b2067452</v>
      </c>
      <c r="D10743" t="s">
        <v>16831</v>
      </c>
      <c r="E10743" t="s">
        <v>33260</v>
      </c>
      <c r="F10743">
        <v>1990</v>
      </c>
      <c r="G10743" t="s">
        <v>33261</v>
      </c>
      <c r="H10743" t="s">
        <v>33272</v>
      </c>
      <c r="J10743" t="s">
        <v>16866</v>
      </c>
      <c r="K10743" s="2" t="str">
        <f>HYPERLINK("http://collections.slsa.sa.gov.au/mpcimg/53000/B52792.htm")</f>
        <v>http://collections.slsa.sa.gov.au/mpcimg/53000/B52792.htm</v>
      </c>
    </row>
    <row r="10744" spans="1:11" x14ac:dyDescent="0.25">
      <c r="A10744" t="s">
        <v>33273</v>
      </c>
      <c r="B10744" s="1" t="str">
        <f>HYPERLINK("https://www.catalog.slsa.sa.gov.au/record=b2067453")</f>
        <v>https://www.catalog.slsa.sa.gov.au/record=b2067453</v>
      </c>
      <c r="C10744" s="1" t="str">
        <f>HYPERLINK("https://www.catalog.slsa.sa.gov.au/xrecord=b2067453")</f>
        <v>https://www.catalog.slsa.sa.gov.au/xrecord=b2067453</v>
      </c>
      <c r="D10744" t="s">
        <v>16831</v>
      </c>
      <c r="E10744" t="s">
        <v>33260</v>
      </c>
      <c r="F10744">
        <v>1990</v>
      </c>
      <c r="G10744" t="s">
        <v>33261</v>
      </c>
      <c r="H10744" t="s">
        <v>33274</v>
      </c>
      <c r="J10744" t="s">
        <v>16866</v>
      </c>
      <c r="K10744" s="2" t="str">
        <f>HYPERLINK("http://collections.slsa.sa.gov.au/mpcimg/53000/B52793.htm")</f>
        <v>http://collections.slsa.sa.gov.au/mpcimg/53000/B52793.htm</v>
      </c>
    </row>
    <row r="10745" spans="1:11" x14ac:dyDescent="0.25">
      <c r="A10745" t="s">
        <v>33275</v>
      </c>
      <c r="B10745" s="1" t="str">
        <f>HYPERLINK("https://www.catalog.slsa.sa.gov.au/record=b2067454")</f>
        <v>https://www.catalog.slsa.sa.gov.au/record=b2067454</v>
      </c>
      <c r="C10745" s="1" t="str">
        <f>HYPERLINK("https://www.catalog.slsa.sa.gov.au/xrecord=b2067454")</f>
        <v>https://www.catalog.slsa.sa.gov.au/xrecord=b2067454</v>
      </c>
      <c r="D10745" t="s">
        <v>16831</v>
      </c>
      <c r="E10745" t="s">
        <v>33260</v>
      </c>
      <c r="F10745">
        <v>1990</v>
      </c>
      <c r="G10745" t="s">
        <v>33261</v>
      </c>
      <c r="H10745" t="s">
        <v>33276</v>
      </c>
      <c r="J10745" t="s">
        <v>16866</v>
      </c>
      <c r="K10745" s="2" t="str">
        <f>HYPERLINK("http://collections.slsa.sa.gov.au/mpcimg/53000/B52794.htm")</f>
        <v>http://collections.slsa.sa.gov.au/mpcimg/53000/B52794.htm</v>
      </c>
    </row>
    <row r="10746" spans="1:11" x14ac:dyDescent="0.25">
      <c r="A10746" t="s">
        <v>33277</v>
      </c>
      <c r="B10746" s="1" t="str">
        <f>HYPERLINK("https://www.catalog.slsa.sa.gov.au/record=b2067455")</f>
        <v>https://www.catalog.slsa.sa.gov.au/record=b2067455</v>
      </c>
      <c r="C10746" s="1" t="str">
        <f>HYPERLINK("https://www.catalog.slsa.sa.gov.au/xrecord=b2067455")</f>
        <v>https://www.catalog.slsa.sa.gov.au/xrecord=b2067455</v>
      </c>
      <c r="D10746" t="s">
        <v>16831</v>
      </c>
      <c r="E10746" t="s">
        <v>33260</v>
      </c>
      <c r="F10746">
        <v>1990</v>
      </c>
      <c r="G10746" t="s">
        <v>33278</v>
      </c>
      <c r="H10746" t="s">
        <v>33279</v>
      </c>
      <c r="J10746" t="s">
        <v>16866</v>
      </c>
      <c r="K10746" s="2" t="str">
        <f>HYPERLINK("http://collections.slsa.sa.gov.au/mpcimg/53000/B52795.htm")</f>
        <v>http://collections.slsa.sa.gov.au/mpcimg/53000/B52795.htm</v>
      </c>
    </row>
    <row r="10747" spans="1:11" x14ac:dyDescent="0.25">
      <c r="A10747" t="s">
        <v>33280</v>
      </c>
      <c r="B10747" s="1" t="str">
        <f>HYPERLINK("https://www.catalog.slsa.sa.gov.au/record=b2067456")</f>
        <v>https://www.catalog.slsa.sa.gov.au/record=b2067456</v>
      </c>
      <c r="C10747" s="1" t="str">
        <f>HYPERLINK("https://www.catalog.slsa.sa.gov.au/xrecord=b2067456")</f>
        <v>https://www.catalog.slsa.sa.gov.au/xrecord=b2067456</v>
      </c>
      <c r="D10747" t="s">
        <v>16831</v>
      </c>
      <c r="E10747" t="s">
        <v>33260</v>
      </c>
      <c r="F10747">
        <v>1990</v>
      </c>
      <c r="G10747" t="s">
        <v>33261</v>
      </c>
      <c r="H10747" t="s">
        <v>33281</v>
      </c>
      <c r="J10747" t="s">
        <v>16866</v>
      </c>
      <c r="K10747" s="2" t="str">
        <f>HYPERLINK("http://collections.slsa.sa.gov.au/mpcimg/53000/B52796.htm")</f>
        <v>http://collections.slsa.sa.gov.au/mpcimg/53000/B52796.htm</v>
      </c>
    </row>
    <row r="10748" spans="1:11" x14ac:dyDescent="0.25">
      <c r="A10748" t="s">
        <v>33282</v>
      </c>
      <c r="B10748" s="1" t="str">
        <f>HYPERLINK("https://www.catalog.slsa.sa.gov.au/record=b2067457")</f>
        <v>https://www.catalog.slsa.sa.gov.au/record=b2067457</v>
      </c>
      <c r="C10748" s="1" t="str">
        <f>HYPERLINK("https://www.catalog.slsa.sa.gov.au/xrecord=b2067457")</f>
        <v>https://www.catalog.slsa.sa.gov.au/xrecord=b2067457</v>
      </c>
      <c r="D10748" t="s">
        <v>16831</v>
      </c>
      <c r="E10748" t="s">
        <v>33260</v>
      </c>
      <c r="F10748">
        <v>1990</v>
      </c>
      <c r="G10748" t="s">
        <v>33261</v>
      </c>
      <c r="H10748" t="s">
        <v>33283</v>
      </c>
      <c r="J10748" t="s">
        <v>16866</v>
      </c>
      <c r="K10748" s="2" t="str">
        <f>HYPERLINK("http://collections.slsa.sa.gov.au/mpcimg/53000/B52797.htm")</f>
        <v>http://collections.slsa.sa.gov.au/mpcimg/53000/B52797.htm</v>
      </c>
    </row>
    <row r="10749" spans="1:11" x14ac:dyDescent="0.25">
      <c r="A10749" t="s">
        <v>33284</v>
      </c>
      <c r="B10749" s="1" t="str">
        <f>HYPERLINK("https://www.catalog.slsa.sa.gov.au/record=b2067459")</f>
        <v>https://www.catalog.slsa.sa.gov.au/record=b2067459</v>
      </c>
      <c r="C10749" s="1" t="str">
        <f>HYPERLINK("https://www.catalog.slsa.sa.gov.au/xrecord=b2067459")</f>
        <v>https://www.catalog.slsa.sa.gov.au/xrecord=b2067459</v>
      </c>
      <c r="D10749" t="s">
        <v>16831</v>
      </c>
      <c r="E10749" t="s">
        <v>33285</v>
      </c>
      <c r="F10749">
        <v>1990</v>
      </c>
      <c r="G10749" t="s">
        <v>20052</v>
      </c>
      <c r="H10749" t="s">
        <v>33286</v>
      </c>
      <c r="J10749" t="s">
        <v>16866</v>
      </c>
      <c r="K10749" s="2" t="str">
        <f>HYPERLINK("http://collections.slsa.sa.gov.au/mpcimg/53000/B52829.htm")</f>
        <v>http://collections.slsa.sa.gov.au/mpcimg/53000/B52829.htm</v>
      </c>
    </row>
    <row r="10750" spans="1:11" x14ac:dyDescent="0.25">
      <c r="A10750" t="s">
        <v>33287</v>
      </c>
      <c r="B10750" s="1" t="str">
        <f>HYPERLINK("https://www.catalog.slsa.sa.gov.au/record=b2067460")</f>
        <v>https://www.catalog.slsa.sa.gov.au/record=b2067460</v>
      </c>
      <c r="C10750" s="1" t="str">
        <f>HYPERLINK("https://www.catalog.slsa.sa.gov.au/xrecord=b2067460")</f>
        <v>https://www.catalog.slsa.sa.gov.au/xrecord=b2067460</v>
      </c>
      <c r="D10750" t="s">
        <v>16831</v>
      </c>
      <c r="E10750" t="s">
        <v>33288</v>
      </c>
      <c r="F10750">
        <v>1990</v>
      </c>
      <c r="G10750" t="s">
        <v>33289</v>
      </c>
      <c r="H10750" t="s">
        <v>33290</v>
      </c>
      <c r="J10750" t="s">
        <v>16866</v>
      </c>
      <c r="K10750" s="2" t="str">
        <f>HYPERLINK("http://collections.slsa.sa.gov.au/mpcimg/53000/B52830.htm")</f>
        <v>http://collections.slsa.sa.gov.au/mpcimg/53000/B52830.htm</v>
      </c>
    </row>
    <row r="10751" spans="1:11" x14ac:dyDescent="0.25">
      <c r="A10751" t="s">
        <v>33291</v>
      </c>
      <c r="B10751" s="1" t="str">
        <f>HYPERLINK("https://www.catalog.slsa.sa.gov.au/record=b2067461")</f>
        <v>https://www.catalog.slsa.sa.gov.au/record=b2067461</v>
      </c>
      <c r="C10751" s="1" t="str">
        <f>HYPERLINK("https://www.catalog.slsa.sa.gov.au/xrecord=b2067461")</f>
        <v>https://www.catalog.slsa.sa.gov.au/xrecord=b2067461</v>
      </c>
      <c r="D10751" t="s">
        <v>16831</v>
      </c>
      <c r="E10751" t="s">
        <v>33288</v>
      </c>
      <c r="F10751">
        <v>1990</v>
      </c>
      <c r="G10751" t="s">
        <v>33292</v>
      </c>
      <c r="H10751" t="s">
        <v>33290</v>
      </c>
      <c r="J10751" t="s">
        <v>16866</v>
      </c>
      <c r="K10751" s="2" t="str">
        <f>HYPERLINK("http://collections.slsa.sa.gov.au/mpcimg/53000/B52831.htm")</f>
        <v>http://collections.slsa.sa.gov.au/mpcimg/53000/B52831.htm</v>
      </c>
    </row>
    <row r="10752" spans="1:11" x14ac:dyDescent="0.25">
      <c r="A10752" t="s">
        <v>33293</v>
      </c>
      <c r="B10752" s="1" t="str">
        <f>HYPERLINK("https://www.catalog.slsa.sa.gov.au/record=b2067462")</f>
        <v>https://www.catalog.slsa.sa.gov.au/record=b2067462</v>
      </c>
      <c r="C10752" s="1" t="str">
        <f>HYPERLINK("https://www.catalog.slsa.sa.gov.au/xrecord=b2067462")</f>
        <v>https://www.catalog.slsa.sa.gov.au/xrecord=b2067462</v>
      </c>
      <c r="D10752" t="s">
        <v>16831</v>
      </c>
      <c r="E10752" t="s">
        <v>33288</v>
      </c>
      <c r="F10752">
        <v>1990</v>
      </c>
      <c r="G10752" t="s">
        <v>33292</v>
      </c>
      <c r="H10752" t="s">
        <v>33294</v>
      </c>
      <c r="J10752" t="s">
        <v>16866</v>
      </c>
      <c r="K10752" s="2" t="str">
        <f>HYPERLINK("http://collections.slsa.sa.gov.au/mpcimg/53000/B52832.htm")</f>
        <v>http://collections.slsa.sa.gov.au/mpcimg/53000/B52832.htm</v>
      </c>
    </row>
    <row r="10753" spans="1:11" x14ac:dyDescent="0.25">
      <c r="A10753" t="s">
        <v>33295</v>
      </c>
      <c r="B10753" s="1" t="str">
        <f>HYPERLINK("https://www.catalog.slsa.sa.gov.au/record=b2067463")</f>
        <v>https://www.catalog.slsa.sa.gov.au/record=b2067463</v>
      </c>
      <c r="C10753" s="1" t="str">
        <f>HYPERLINK("https://www.catalog.slsa.sa.gov.au/xrecord=b2067463")</f>
        <v>https://www.catalog.slsa.sa.gov.au/xrecord=b2067463</v>
      </c>
      <c r="D10753" t="s">
        <v>16831</v>
      </c>
      <c r="E10753" t="s">
        <v>33288</v>
      </c>
      <c r="F10753">
        <v>1990</v>
      </c>
      <c r="G10753" t="s">
        <v>33292</v>
      </c>
      <c r="H10753" t="s">
        <v>33290</v>
      </c>
      <c r="J10753" t="s">
        <v>16866</v>
      </c>
      <c r="K10753" s="2" t="str">
        <f>HYPERLINK("http://collections.slsa.sa.gov.au/mpcimg/53000/B52833.htm")</f>
        <v>http://collections.slsa.sa.gov.au/mpcimg/53000/B52833.htm</v>
      </c>
    </row>
    <row r="10754" spans="1:11" x14ac:dyDescent="0.25">
      <c r="A10754" t="s">
        <v>33296</v>
      </c>
      <c r="B10754" s="1" t="str">
        <f>HYPERLINK("https://www.catalog.slsa.sa.gov.au/record=b2067464")</f>
        <v>https://www.catalog.slsa.sa.gov.au/record=b2067464</v>
      </c>
      <c r="C10754" s="1" t="str">
        <f>HYPERLINK("https://www.catalog.slsa.sa.gov.au/xrecord=b2067464")</f>
        <v>https://www.catalog.slsa.sa.gov.au/xrecord=b2067464</v>
      </c>
      <c r="D10754" t="s">
        <v>16831</v>
      </c>
      <c r="E10754" t="s">
        <v>33288</v>
      </c>
      <c r="F10754">
        <v>1990</v>
      </c>
      <c r="G10754" t="s">
        <v>33292</v>
      </c>
      <c r="H10754" t="s">
        <v>33290</v>
      </c>
      <c r="J10754" t="s">
        <v>16866</v>
      </c>
      <c r="K10754" s="2" t="str">
        <f>HYPERLINK("http://collections.slsa.sa.gov.au/mpcimg/53000/B52834.htm")</f>
        <v>http://collections.slsa.sa.gov.au/mpcimg/53000/B52834.htm</v>
      </c>
    </row>
    <row r="10755" spans="1:11" x14ac:dyDescent="0.25">
      <c r="A10755" t="s">
        <v>33297</v>
      </c>
      <c r="B10755" s="1" t="str">
        <f>HYPERLINK("https://www.catalog.slsa.sa.gov.au/record=b2067465")</f>
        <v>https://www.catalog.slsa.sa.gov.au/record=b2067465</v>
      </c>
      <c r="C10755" s="1" t="str">
        <f>HYPERLINK("https://www.catalog.slsa.sa.gov.au/xrecord=b2067465")</f>
        <v>https://www.catalog.slsa.sa.gov.au/xrecord=b2067465</v>
      </c>
      <c r="D10755" t="s">
        <v>16831</v>
      </c>
      <c r="E10755" t="s">
        <v>33288</v>
      </c>
      <c r="F10755">
        <v>1990</v>
      </c>
      <c r="G10755" t="s">
        <v>33292</v>
      </c>
      <c r="H10755" t="s">
        <v>33298</v>
      </c>
      <c r="J10755" t="s">
        <v>16866</v>
      </c>
      <c r="K10755" s="2" t="str">
        <f>HYPERLINK("http://collections.slsa.sa.gov.au/mpcimg/53000/B52835.htm")</f>
        <v>http://collections.slsa.sa.gov.au/mpcimg/53000/B52835.htm</v>
      </c>
    </row>
    <row r="10756" spans="1:11" x14ac:dyDescent="0.25">
      <c r="A10756" t="s">
        <v>33299</v>
      </c>
      <c r="B10756" s="1" t="str">
        <f>HYPERLINK("https://www.catalog.slsa.sa.gov.au/record=b2067466")</f>
        <v>https://www.catalog.slsa.sa.gov.au/record=b2067466</v>
      </c>
      <c r="C10756" s="1" t="str">
        <f>HYPERLINK("https://www.catalog.slsa.sa.gov.au/xrecord=b2067466")</f>
        <v>https://www.catalog.slsa.sa.gov.au/xrecord=b2067466</v>
      </c>
      <c r="D10756" t="s">
        <v>16831</v>
      </c>
      <c r="E10756" t="s">
        <v>33288</v>
      </c>
      <c r="F10756">
        <v>1990</v>
      </c>
      <c r="G10756" t="s">
        <v>33292</v>
      </c>
      <c r="H10756" t="s">
        <v>33298</v>
      </c>
      <c r="J10756" t="s">
        <v>16866</v>
      </c>
      <c r="K10756" s="2" t="str">
        <f>HYPERLINK("http://collections.slsa.sa.gov.au/mpcimg/53000/B52836.htm")</f>
        <v>http://collections.slsa.sa.gov.au/mpcimg/53000/B52836.htm</v>
      </c>
    </row>
    <row r="10757" spans="1:11" x14ac:dyDescent="0.25">
      <c r="A10757" t="s">
        <v>33300</v>
      </c>
      <c r="B10757" s="1" t="str">
        <f>HYPERLINK("https://www.catalog.slsa.sa.gov.au/record=b2067467")</f>
        <v>https://www.catalog.slsa.sa.gov.au/record=b2067467</v>
      </c>
      <c r="C10757" s="1" t="str">
        <f>HYPERLINK("https://www.catalog.slsa.sa.gov.au/xrecord=b2067467")</f>
        <v>https://www.catalog.slsa.sa.gov.au/xrecord=b2067467</v>
      </c>
      <c r="D10757" t="s">
        <v>16831</v>
      </c>
      <c r="E10757" t="s">
        <v>33288</v>
      </c>
      <c r="F10757">
        <v>1990</v>
      </c>
      <c r="G10757" t="s">
        <v>33292</v>
      </c>
      <c r="H10757" t="s">
        <v>33301</v>
      </c>
      <c r="J10757" t="s">
        <v>16866</v>
      </c>
      <c r="K10757" s="2" t="str">
        <f>HYPERLINK("http://collections.slsa.sa.gov.au/mpcimg/53000/B52837.htm")</f>
        <v>http://collections.slsa.sa.gov.au/mpcimg/53000/B52837.htm</v>
      </c>
    </row>
    <row r="10758" spans="1:11" x14ac:dyDescent="0.25">
      <c r="A10758" t="s">
        <v>33302</v>
      </c>
      <c r="B10758" s="1" t="str">
        <f>HYPERLINK("https://www.catalog.slsa.sa.gov.au/record=b2067468")</f>
        <v>https://www.catalog.slsa.sa.gov.au/record=b2067468</v>
      </c>
      <c r="C10758" s="1" t="str">
        <f>HYPERLINK("https://www.catalog.slsa.sa.gov.au/xrecord=b2067468")</f>
        <v>https://www.catalog.slsa.sa.gov.au/xrecord=b2067468</v>
      </c>
      <c r="D10758" t="s">
        <v>16831</v>
      </c>
      <c r="E10758" t="s">
        <v>33288</v>
      </c>
      <c r="F10758">
        <v>1990</v>
      </c>
      <c r="G10758" t="s">
        <v>33292</v>
      </c>
      <c r="H10758" t="s">
        <v>33303</v>
      </c>
      <c r="J10758" t="s">
        <v>16866</v>
      </c>
      <c r="K10758" s="2" t="str">
        <f>HYPERLINK("http://collections.slsa.sa.gov.au/mpcimg/53000/B52923.htm")</f>
        <v>http://collections.slsa.sa.gov.au/mpcimg/53000/B52923.htm</v>
      </c>
    </row>
    <row r="10759" spans="1:11" x14ac:dyDescent="0.25">
      <c r="A10759" t="s">
        <v>33304</v>
      </c>
      <c r="B10759" s="1" t="str">
        <f>HYPERLINK("https://www.catalog.slsa.sa.gov.au/record=b2067469")</f>
        <v>https://www.catalog.slsa.sa.gov.au/record=b2067469</v>
      </c>
      <c r="C10759" s="1" t="str">
        <f>HYPERLINK("https://www.catalog.slsa.sa.gov.au/xrecord=b2067469")</f>
        <v>https://www.catalog.slsa.sa.gov.au/xrecord=b2067469</v>
      </c>
      <c r="D10759" t="s">
        <v>16831</v>
      </c>
      <c r="E10759" t="s">
        <v>33288</v>
      </c>
      <c r="F10759">
        <v>1990</v>
      </c>
      <c r="G10759" t="s">
        <v>33292</v>
      </c>
      <c r="H10759" t="s">
        <v>33305</v>
      </c>
      <c r="J10759" t="s">
        <v>16866</v>
      </c>
      <c r="K10759" s="2" t="str">
        <f>HYPERLINK("http://collections.slsa.sa.gov.au/mpcimg/53000/B52924.htm")</f>
        <v>http://collections.slsa.sa.gov.au/mpcimg/53000/B52924.htm</v>
      </c>
    </row>
    <row r="10760" spans="1:11" x14ac:dyDescent="0.25">
      <c r="A10760" t="s">
        <v>33306</v>
      </c>
      <c r="B10760" s="1" t="str">
        <f>HYPERLINK("https://www.catalog.slsa.sa.gov.au/record=b2067470")</f>
        <v>https://www.catalog.slsa.sa.gov.au/record=b2067470</v>
      </c>
      <c r="C10760" s="1" t="str">
        <f>HYPERLINK("https://www.catalog.slsa.sa.gov.au/xrecord=b2067470")</f>
        <v>https://www.catalog.slsa.sa.gov.au/xrecord=b2067470</v>
      </c>
      <c r="D10760" t="s">
        <v>16831</v>
      </c>
      <c r="E10760" t="s">
        <v>33288</v>
      </c>
      <c r="F10760">
        <v>1990</v>
      </c>
      <c r="G10760" t="s">
        <v>33307</v>
      </c>
      <c r="H10760" t="s">
        <v>33308</v>
      </c>
      <c r="J10760" t="s">
        <v>16866</v>
      </c>
      <c r="K10760" s="2" t="str">
        <f>HYPERLINK("http://collections.slsa.sa.gov.au/mpcimg/53000/B52925.htm")</f>
        <v>http://collections.slsa.sa.gov.au/mpcimg/53000/B52925.htm</v>
      </c>
    </row>
    <row r="10761" spans="1:11" x14ac:dyDescent="0.25">
      <c r="A10761" t="s">
        <v>33309</v>
      </c>
      <c r="B10761" s="1" t="str">
        <f>HYPERLINK("https://www.catalog.slsa.sa.gov.au/record=b2067471")</f>
        <v>https://www.catalog.slsa.sa.gov.au/record=b2067471</v>
      </c>
      <c r="C10761" s="1" t="str">
        <f>HYPERLINK("https://www.catalog.slsa.sa.gov.au/xrecord=b2067471")</f>
        <v>https://www.catalog.slsa.sa.gov.au/xrecord=b2067471</v>
      </c>
      <c r="D10761" t="s">
        <v>16831</v>
      </c>
      <c r="E10761" t="s">
        <v>33288</v>
      </c>
      <c r="F10761">
        <v>1990</v>
      </c>
      <c r="G10761" t="s">
        <v>33292</v>
      </c>
      <c r="H10761" t="s">
        <v>33310</v>
      </c>
      <c r="J10761" t="s">
        <v>16866</v>
      </c>
      <c r="K10761" s="2" t="str">
        <f>HYPERLINK("http://collections.slsa.sa.gov.au/mpcimg/53000/B52926.htm")</f>
        <v>http://collections.slsa.sa.gov.au/mpcimg/53000/B52926.htm</v>
      </c>
    </row>
    <row r="10762" spans="1:11" x14ac:dyDescent="0.25">
      <c r="A10762" t="s">
        <v>33311</v>
      </c>
      <c r="B10762" s="1" t="str">
        <f>HYPERLINK("https://www.catalog.slsa.sa.gov.au/record=b2067472")</f>
        <v>https://www.catalog.slsa.sa.gov.au/record=b2067472</v>
      </c>
      <c r="C10762" s="1" t="str">
        <f>HYPERLINK("https://www.catalog.slsa.sa.gov.au/xrecord=b2067472")</f>
        <v>https://www.catalog.slsa.sa.gov.au/xrecord=b2067472</v>
      </c>
      <c r="D10762" t="s">
        <v>16831</v>
      </c>
      <c r="E10762" t="s">
        <v>33288</v>
      </c>
      <c r="F10762">
        <v>1990</v>
      </c>
      <c r="G10762" t="s">
        <v>33292</v>
      </c>
      <c r="H10762" t="s">
        <v>33312</v>
      </c>
      <c r="J10762" t="s">
        <v>16866</v>
      </c>
      <c r="K10762" s="2" t="str">
        <f>HYPERLINK("http://collections.slsa.sa.gov.au/mpcimg/53000/B52927.htm")</f>
        <v>http://collections.slsa.sa.gov.au/mpcimg/53000/B52927.htm</v>
      </c>
    </row>
    <row r="10763" spans="1:11" x14ac:dyDescent="0.25">
      <c r="A10763" t="s">
        <v>33313</v>
      </c>
      <c r="B10763" s="1" t="str">
        <f>HYPERLINK("https://www.catalog.slsa.sa.gov.au/record=b2067473")</f>
        <v>https://www.catalog.slsa.sa.gov.au/record=b2067473</v>
      </c>
      <c r="C10763" s="1" t="str">
        <f>HYPERLINK("https://www.catalog.slsa.sa.gov.au/xrecord=b2067473")</f>
        <v>https://www.catalog.slsa.sa.gov.au/xrecord=b2067473</v>
      </c>
      <c r="D10763" t="s">
        <v>16831</v>
      </c>
      <c r="E10763" t="s">
        <v>33288</v>
      </c>
      <c r="F10763">
        <v>1990</v>
      </c>
      <c r="G10763" t="s">
        <v>33292</v>
      </c>
      <c r="H10763" t="s">
        <v>33314</v>
      </c>
      <c r="J10763" t="s">
        <v>16866</v>
      </c>
      <c r="K10763" s="2" t="str">
        <f>HYPERLINK("http://collections.slsa.sa.gov.au/mpcimg/53000/B52928.htm")</f>
        <v>http://collections.slsa.sa.gov.au/mpcimg/53000/B52928.htm</v>
      </c>
    </row>
    <row r="10764" spans="1:11" x14ac:dyDescent="0.25">
      <c r="A10764" t="s">
        <v>33315</v>
      </c>
      <c r="B10764" s="1" t="str">
        <f>HYPERLINK("https://www.catalog.slsa.sa.gov.au/record=b2067474")</f>
        <v>https://www.catalog.slsa.sa.gov.au/record=b2067474</v>
      </c>
      <c r="C10764" s="1" t="str">
        <f>HYPERLINK("https://www.catalog.slsa.sa.gov.au/xrecord=b2067474")</f>
        <v>https://www.catalog.slsa.sa.gov.au/xrecord=b2067474</v>
      </c>
      <c r="D10764" t="s">
        <v>16831</v>
      </c>
      <c r="E10764" t="s">
        <v>33288</v>
      </c>
      <c r="F10764">
        <v>1990</v>
      </c>
      <c r="G10764" t="s">
        <v>33292</v>
      </c>
      <c r="H10764" t="s">
        <v>33314</v>
      </c>
      <c r="J10764" t="s">
        <v>16866</v>
      </c>
      <c r="K10764" s="2" t="str">
        <f>HYPERLINK("http://collections.slsa.sa.gov.au/mpcimg/53000/B52929.htm")</f>
        <v>http://collections.slsa.sa.gov.au/mpcimg/53000/B52929.htm</v>
      </c>
    </row>
    <row r="10765" spans="1:11" x14ac:dyDescent="0.25">
      <c r="A10765" t="s">
        <v>33316</v>
      </c>
      <c r="B10765" s="1" t="str">
        <f>HYPERLINK("https://www.catalog.slsa.sa.gov.au/record=b2067475")</f>
        <v>https://www.catalog.slsa.sa.gov.au/record=b2067475</v>
      </c>
      <c r="C10765" s="1" t="str">
        <f>HYPERLINK("https://www.catalog.slsa.sa.gov.au/xrecord=b2067475")</f>
        <v>https://www.catalog.slsa.sa.gov.au/xrecord=b2067475</v>
      </c>
      <c r="D10765" t="s">
        <v>16831</v>
      </c>
      <c r="E10765" t="s">
        <v>33288</v>
      </c>
      <c r="F10765">
        <v>1990</v>
      </c>
      <c r="G10765" t="s">
        <v>33292</v>
      </c>
      <c r="H10765" t="s">
        <v>33314</v>
      </c>
      <c r="J10765" t="s">
        <v>16866</v>
      </c>
      <c r="K10765" s="2" t="str">
        <f>HYPERLINK("http://collections.slsa.sa.gov.au/mpcimg/53000/B52930.htm")</f>
        <v>http://collections.slsa.sa.gov.au/mpcimg/53000/B52930.htm</v>
      </c>
    </row>
    <row r="10766" spans="1:11" x14ac:dyDescent="0.25">
      <c r="A10766" t="s">
        <v>33317</v>
      </c>
      <c r="B10766" s="1" t="str">
        <f>HYPERLINK("https://www.catalog.slsa.sa.gov.au/record=b2067476")</f>
        <v>https://www.catalog.slsa.sa.gov.au/record=b2067476</v>
      </c>
      <c r="C10766" s="1" t="str">
        <f>HYPERLINK("https://www.catalog.slsa.sa.gov.au/xrecord=b2067476")</f>
        <v>https://www.catalog.slsa.sa.gov.au/xrecord=b2067476</v>
      </c>
      <c r="D10766" t="s">
        <v>16831</v>
      </c>
      <c r="E10766" t="s">
        <v>33288</v>
      </c>
      <c r="F10766">
        <v>1990</v>
      </c>
      <c r="G10766" t="s">
        <v>33292</v>
      </c>
      <c r="H10766" t="s">
        <v>33314</v>
      </c>
      <c r="J10766" t="s">
        <v>16866</v>
      </c>
      <c r="K10766" s="2" t="str">
        <f>HYPERLINK("http://collections.slsa.sa.gov.au/mpcimg/53000/B52931.htm")</f>
        <v>http://collections.slsa.sa.gov.au/mpcimg/53000/B52931.htm</v>
      </c>
    </row>
    <row r="10767" spans="1:11" x14ac:dyDescent="0.25">
      <c r="A10767" t="s">
        <v>33318</v>
      </c>
      <c r="B10767" s="1" t="str">
        <f>HYPERLINK("https://www.catalog.slsa.sa.gov.au/record=b2067477")</f>
        <v>https://www.catalog.slsa.sa.gov.au/record=b2067477</v>
      </c>
      <c r="C10767" s="1" t="str">
        <f>HYPERLINK("https://www.catalog.slsa.sa.gov.au/xrecord=b2067477")</f>
        <v>https://www.catalog.slsa.sa.gov.au/xrecord=b2067477</v>
      </c>
      <c r="D10767" t="s">
        <v>16831</v>
      </c>
      <c r="E10767" t="s">
        <v>33288</v>
      </c>
      <c r="F10767">
        <v>1990</v>
      </c>
      <c r="G10767" t="s">
        <v>33292</v>
      </c>
      <c r="H10767" t="s">
        <v>33314</v>
      </c>
      <c r="J10767" t="s">
        <v>16866</v>
      </c>
      <c r="K10767" s="2" t="str">
        <f>HYPERLINK("http://collections.slsa.sa.gov.au/mpcimg/53000/B52932.htm")</f>
        <v>http://collections.slsa.sa.gov.au/mpcimg/53000/B52932.htm</v>
      </c>
    </row>
    <row r="10768" spans="1:11" x14ac:dyDescent="0.25">
      <c r="A10768" t="s">
        <v>33319</v>
      </c>
      <c r="B10768" s="1" t="str">
        <f>HYPERLINK("https://www.catalog.slsa.sa.gov.au/record=b2067478")</f>
        <v>https://www.catalog.slsa.sa.gov.au/record=b2067478</v>
      </c>
      <c r="C10768" s="1" t="str">
        <f>HYPERLINK("https://www.catalog.slsa.sa.gov.au/xrecord=b2067478")</f>
        <v>https://www.catalog.slsa.sa.gov.au/xrecord=b2067478</v>
      </c>
      <c r="D10768" t="s">
        <v>16831</v>
      </c>
      <c r="E10768" t="s">
        <v>33288</v>
      </c>
      <c r="F10768">
        <v>1990</v>
      </c>
      <c r="G10768" t="s">
        <v>33292</v>
      </c>
      <c r="H10768" t="s">
        <v>33314</v>
      </c>
      <c r="J10768" t="s">
        <v>16866</v>
      </c>
      <c r="K10768" s="2" t="str">
        <f>HYPERLINK("http://collections.slsa.sa.gov.au/mpcimg/53000/B52933.htm")</f>
        <v>http://collections.slsa.sa.gov.au/mpcimg/53000/B52933.htm</v>
      </c>
    </row>
    <row r="10769" spans="1:11" x14ac:dyDescent="0.25">
      <c r="A10769" t="s">
        <v>33320</v>
      </c>
      <c r="B10769" s="1" t="str">
        <f>HYPERLINK("https://www.catalog.slsa.sa.gov.au/record=b2067479")</f>
        <v>https://www.catalog.slsa.sa.gov.au/record=b2067479</v>
      </c>
      <c r="C10769" s="1" t="str">
        <f>HYPERLINK("https://www.catalog.slsa.sa.gov.au/xrecord=b2067479")</f>
        <v>https://www.catalog.slsa.sa.gov.au/xrecord=b2067479</v>
      </c>
      <c r="D10769" t="s">
        <v>16831</v>
      </c>
      <c r="E10769" t="s">
        <v>33288</v>
      </c>
      <c r="F10769">
        <v>1990</v>
      </c>
      <c r="G10769" t="s">
        <v>33321</v>
      </c>
      <c r="H10769" t="s">
        <v>33322</v>
      </c>
      <c r="J10769" t="s">
        <v>16866</v>
      </c>
      <c r="K10769" s="2" t="str">
        <f>HYPERLINK("http://collections.slsa.sa.gov.au/mpcimg/53000/B52951.htm")</f>
        <v>http://collections.slsa.sa.gov.au/mpcimg/53000/B52951.htm</v>
      </c>
    </row>
    <row r="10770" spans="1:11" x14ac:dyDescent="0.25">
      <c r="A10770" t="s">
        <v>33323</v>
      </c>
      <c r="B10770" s="1" t="str">
        <f>HYPERLINK("https://www.catalog.slsa.sa.gov.au/record=b2067480")</f>
        <v>https://www.catalog.slsa.sa.gov.au/record=b2067480</v>
      </c>
      <c r="C10770" s="1" t="str">
        <f>HYPERLINK("https://www.catalog.slsa.sa.gov.au/xrecord=b2067480")</f>
        <v>https://www.catalog.slsa.sa.gov.au/xrecord=b2067480</v>
      </c>
      <c r="D10770" t="s">
        <v>16831</v>
      </c>
      <c r="E10770" t="s">
        <v>33288</v>
      </c>
      <c r="F10770">
        <v>1990</v>
      </c>
      <c r="G10770" t="s">
        <v>33321</v>
      </c>
      <c r="H10770" t="s">
        <v>33322</v>
      </c>
      <c r="J10770" t="s">
        <v>16866</v>
      </c>
      <c r="K10770" s="2" t="str">
        <f>HYPERLINK("http://collections.slsa.sa.gov.au/mpcimg/53000/B52952.htm")</f>
        <v>http://collections.slsa.sa.gov.au/mpcimg/53000/B52952.htm</v>
      </c>
    </row>
    <row r="10771" spans="1:11" x14ac:dyDescent="0.25">
      <c r="A10771" t="s">
        <v>33324</v>
      </c>
      <c r="B10771" s="1" t="str">
        <f>HYPERLINK("https://www.catalog.slsa.sa.gov.au/record=b2067481")</f>
        <v>https://www.catalog.slsa.sa.gov.au/record=b2067481</v>
      </c>
      <c r="C10771" s="1" t="str">
        <f>HYPERLINK("https://www.catalog.slsa.sa.gov.au/xrecord=b2067481")</f>
        <v>https://www.catalog.slsa.sa.gov.au/xrecord=b2067481</v>
      </c>
      <c r="D10771" t="s">
        <v>16831</v>
      </c>
      <c r="E10771" t="s">
        <v>33288</v>
      </c>
      <c r="F10771">
        <v>1990</v>
      </c>
      <c r="G10771" t="s">
        <v>33325</v>
      </c>
      <c r="H10771" t="s">
        <v>33322</v>
      </c>
      <c r="J10771" t="s">
        <v>16866</v>
      </c>
      <c r="K10771" s="2" t="str">
        <f>HYPERLINK("http://collections.slsa.sa.gov.au/mpcimg/53000/B52953.htm")</f>
        <v>http://collections.slsa.sa.gov.au/mpcimg/53000/B52953.htm</v>
      </c>
    </row>
    <row r="10772" spans="1:11" x14ac:dyDescent="0.25">
      <c r="A10772" t="s">
        <v>33326</v>
      </c>
      <c r="B10772" s="1" t="str">
        <f>HYPERLINK("https://www.catalog.slsa.sa.gov.au/record=b2067482")</f>
        <v>https://www.catalog.slsa.sa.gov.au/record=b2067482</v>
      </c>
      <c r="C10772" s="1" t="str">
        <f>HYPERLINK("https://www.catalog.slsa.sa.gov.au/xrecord=b2067482")</f>
        <v>https://www.catalog.slsa.sa.gov.au/xrecord=b2067482</v>
      </c>
      <c r="D10772" t="s">
        <v>16831</v>
      </c>
      <c r="E10772" t="s">
        <v>33288</v>
      </c>
      <c r="F10772">
        <v>1990</v>
      </c>
      <c r="G10772" t="s">
        <v>33321</v>
      </c>
      <c r="H10772" t="s">
        <v>33322</v>
      </c>
      <c r="J10772" t="s">
        <v>16866</v>
      </c>
      <c r="K10772" s="2" t="str">
        <f>HYPERLINK("http://collections.slsa.sa.gov.au/mpcimg/53000/B52954.htm")</f>
        <v>http://collections.slsa.sa.gov.au/mpcimg/53000/B52954.htm</v>
      </c>
    </row>
    <row r="10773" spans="1:11" x14ac:dyDescent="0.25">
      <c r="A10773" t="s">
        <v>33327</v>
      </c>
      <c r="B10773" s="1" t="str">
        <f>HYPERLINK("https://www.catalog.slsa.sa.gov.au/record=b2067483")</f>
        <v>https://www.catalog.slsa.sa.gov.au/record=b2067483</v>
      </c>
      <c r="C10773" s="1" t="str">
        <f>HYPERLINK("https://www.catalog.slsa.sa.gov.au/xrecord=b2067483")</f>
        <v>https://www.catalog.slsa.sa.gov.au/xrecord=b2067483</v>
      </c>
      <c r="D10773" t="s">
        <v>16831</v>
      </c>
      <c r="E10773" t="s">
        <v>33288</v>
      </c>
      <c r="F10773">
        <v>1990</v>
      </c>
      <c r="G10773" t="s">
        <v>33321</v>
      </c>
      <c r="H10773" t="s">
        <v>33322</v>
      </c>
      <c r="J10773" t="s">
        <v>16866</v>
      </c>
      <c r="K10773" s="2" t="str">
        <f>HYPERLINK("http://collections.slsa.sa.gov.au/mpcimg/53000/B52955.htm")</f>
        <v>http://collections.slsa.sa.gov.au/mpcimg/53000/B52955.htm</v>
      </c>
    </row>
    <row r="10774" spans="1:11" x14ac:dyDescent="0.25">
      <c r="A10774" t="s">
        <v>33328</v>
      </c>
      <c r="B10774" s="1" t="str">
        <f>HYPERLINK("https://www.catalog.slsa.sa.gov.au/record=b2067484")</f>
        <v>https://www.catalog.slsa.sa.gov.au/record=b2067484</v>
      </c>
      <c r="C10774" s="1" t="str">
        <f>HYPERLINK("https://www.catalog.slsa.sa.gov.au/xrecord=b2067484")</f>
        <v>https://www.catalog.slsa.sa.gov.au/xrecord=b2067484</v>
      </c>
      <c r="D10774" t="s">
        <v>16831</v>
      </c>
      <c r="E10774" t="s">
        <v>33288</v>
      </c>
      <c r="F10774">
        <v>1990</v>
      </c>
      <c r="G10774" t="s">
        <v>33321</v>
      </c>
      <c r="H10774" t="s">
        <v>33322</v>
      </c>
      <c r="J10774" t="s">
        <v>16866</v>
      </c>
      <c r="K10774" s="2" t="str">
        <f>HYPERLINK("http://collections.slsa.sa.gov.au/mpcimg/53000/B52956.htm")</f>
        <v>http://collections.slsa.sa.gov.au/mpcimg/53000/B52956.htm</v>
      </c>
    </row>
    <row r="10775" spans="1:11" x14ac:dyDescent="0.25">
      <c r="A10775" t="s">
        <v>33329</v>
      </c>
      <c r="B10775" s="1" t="str">
        <f>HYPERLINK("https://www.catalog.slsa.sa.gov.au/record=b2067485")</f>
        <v>https://www.catalog.slsa.sa.gov.au/record=b2067485</v>
      </c>
      <c r="C10775" s="1" t="str">
        <f>HYPERLINK("https://www.catalog.slsa.sa.gov.au/xrecord=b2067485")</f>
        <v>https://www.catalog.slsa.sa.gov.au/xrecord=b2067485</v>
      </c>
      <c r="D10775" t="s">
        <v>16831</v>
      </c>
      <c r="E10775" t="s">
        <v>33288</v>
      </c>
      <c r="F10775">
        <v>1990</v>
      </c>
      <c r="G10775" t="s">
        <v>33321</v>
      </c>
      <c r="H10775" t="s">
        <v>33330</v>
      </c>
      <c r="J10775" t="s">
        <v>16866</v>
      </c>
      <c r="K10775" s="2" t="str">
        <f>HYPERLINK("http://collections.slsa.sa.gov.au/mpcimg/53000/B52957.htm")</f>
        <v>http://collections.slsa.sa.gov.au/mpcimg/53000/B52957.htm</v>
      </c>
    </row>
    <row r="10776" spans="1:11" x14ac:dyDescent="0.25">
      <c r="A10776" t="s">
        <v>33331</v>
      </c>
      <c r="B10776" s="1" t="str">
        <f>HYPERLINK("https://www.catalog.slsa.sa.gov.au/record=b2067486")</f>
        <v>https://www.catalog.slsa.sa.gov.au/record=b2067486</v>
      </c>
      <c r="C10776" s="1" t="str">
        <f>HYPERLINK("https://www.catalog.slsa.sa.gov.au/xrecord=b2067486")</f>
        <v>https://www.catalog.slsa.sa.gov.au/xrecord=b2067486</v>
      </c>
      <c r="D10776" t="s">
        <v>16831</v>
      </c>
      <c r="E10776" t="s">
        <v>33288</v>
      </c>
      <c r="F10776">
        <v>1990</v>
      </c>
      <c r="G10776" t="s">
        <v>33321</v>
      </c>
      <c r="H10776" t="s">
        <v>33330</v>
      </c>
      <c r="J10776" t="s">
        <v>16866</v>
      </c>
      <c r="K10776" s="2" t="str">
        <f>HYPERLINK("http://collections.slsa.sa.gov.au/mpcimg/53000/B52958.htm")</f>
        <v>http://collections.slsa.sa.gov.au/mpcimg/53000/B52958.htm</v>
      </c>
    </row>
    <row r="10777" spans="1:11" x14ac:dyDescent="0.25">
      <c r="A10777" t="s">
        <v>33332</v>
      </c>
      <c r="B10777" s="1" t="str">
        <f>HYPERLINK("https://www.catalog.slsa.sa.gov.au/record=b2067487")</f>
        <v>https://www.catalog.slsa.sa.gov.au/record=b2067487</v>
      </c>
      <c r="C10777" s="1" t="str">
        <f>HYPERLINK("https://www.catalog.slsa.sa.gov.au/xrecord=b2067487")</f>
        <v>https://www.catalog.slsa.sa.gov.au/xrecord=b2067487</v>
      </c>
      <c r="D10777" t="s">
        <v>16831</v>
      </c>
      <c r="E10777" t="s">
        <v>33288</v>
      </c>
      <c r="F10777">
        <v>1990</v>
      </c>
      <c r="G10777" t="s">
        <v>33321</v>
      </c>
      <c r="H10777" t="s">
        <v>33330</v>
      </c>
      <c r="J10777" t="s">
        <v>16866</v>
      </c>
      <c r="K10777" s="2" t="str">
        <f>HYPERLINK("http://collections.slsa.sa.gov.au/mpcimg/53000/B52959.htm")</f>
        <v>http://collections.slsa.sa.gov.au/mpcimg/53000/B52959.htm</v>
      </c>
    </row>
    <row r="10778" spans="1:11" x14ac:dyDescent="0.25">
      <c r="A10778" t="s">
        <v>33333</v>
      </c>
      <c r="B10778" s="1" t="str">
        <f>HYPERLINK("https://www.catalog.slsa.sa.gov.au/record=b2067488")</f>
        <v>https://www.catalog.slsa.sa.gov.au/record=b2067488</v>
      </c>
      <c r="C10778" s="1" t="str">
        <f>HYPERLINK("https://www.catalog.slsa.sa.gov.au/xrecord=b2067488")</f>
        <v>https://www.catalog.slsa.sa.gov.au/xrecord=b2067488</v>
      </c>
      <c r="D10778" t="s">
        <v>16831</v>
      </c>
      <c r="E10778" t="s">
        <v>33288</v>
      </c>
      <c r="F10778">
        <v>1990</v>
      </c>
      <c r="G10778" t="s">
        <v>33321</v>
      </c>
      <c r="H10778" t="s">
        <v>33330</v>
      </c>
      <c r="J10778" t="s">
        <v>16866</v>
      </c>
      <c r="K10778" s="2" t="str">
        <f>HYPERLINK("http://collections.slsa.sa.gov.au/mpcimg/53000/B52960.htm")</f>
        <v>http://collections.slsa.sa.gov.au/mpcimg/53000/B52960.htm</v>
      </c>
    </row>
    <row r="10779" spans="1:11" x14ac:dyDescent="0.25">
      <c r="A10779" t="s">
        <v>33334</v>
      </c>
      <c r="B10779" s="1" t="str">
        <f>HYPERLINK("https://www.catalog.slsa.sa.gov.au/record=b2067489")</f>
        <v>https://www.catalog.slsa.sa.gov.au/record=b2067489</v>
      </c>
      <c r="C10779" s="1" t="str">
        <f>HYPERLINK("https://www.catalog.slsa.sa.gov.au/xrecord=b2067489")</f>
        <v>https://www.catalog.slsa.sa.gov.au/xrecord=b2067489</v>
      </c>
      <c r="D10779" t="s">
        <v>16831</v>
      </c>
      <c r="E10779" t="s">
        <v>33288</v>
      </c>
      <c r="F10779">
        <v>1990</v>
      </c>
      <c r="G10779" t="s">
        <v>15031</v>
      </c>
      <c r="H10779" t="s">
        <v>33330</v>
      </c>
      <c r="J10779" t="s">
        <v>16866</v>
      </c>
      <c r="K10779" s="2" t="str">
        <f>HYPERLINK("http://collections.slsa.sa.gov.au/mpcimg/53000/B52961.htm")</f>
        <v>http://collections.slsa.sa.gov.au/mpcimg/53000/B52961.htm</v>
      </c>
    </row>
    <row r="10780" spans="1:11" x14ac:dyDescent="0.25">
      <c r="A10780" t="s">
        <v>33335</v>
      </c>
      <c r="B10780" s="1" t="str">
        <f>HYPERLINK("https://www.catalog.slsa.sa.gov.au/record=b2067490")</f>
        <v>https://www.catalog.slsa.sa.gov.au/record=b2067490</v>
      </c>
      <c r="C10780" s="1" t="str">
        <f>HYPERLINK("https://www.catalog.slsa.sa.gov.au/xrecord=b2067490")</f>
        <v>https://www.catalog.slsa.sa.gov.au/xrecord=b2067490</v>
      </c>
      <c r="D10780" t="s">
        <v>16831</v>
      </c>
      <c r="E10780" t="s">
        <v>33288</v>
      </c>
      <c r="F10780">
        <v>1990</v>
      </c>
      <c r="G10780" t="s">
        <v>15031</v>
      </c>
      <c r="H10780" t="s">
        <v>33336</v>
      </c>
      <c r="J10780" t="s">
        <v>16866</v>
      </c>
      <c r="K10780" s="2" t="str">
        <f>HYPERLINK("http://collections.slsa.sa.gov.au/mpcimg/53000/B52962.htm")</f>
        <v>http://collections.slsa.sa.gov.au/mpcimg/53000/B52962.htm</v>
      </c>
    </row>
    <row r="10781" spans="1:11" x14ac:dyDescent="0.25">
      <c r="A10781" t="s">
        <v>33337</v>
      </c>
      <c r="B10781" s="1" t="str">
        <f>HYPERLINK("https://www.catalog.slsa.sa.gov.au/record=b2067491")</f>
        <v>https://www.catalog.slsa.sa.gov.au/record=b2067491</v>
      </c>
      <c r="C10781" s="1" t="str">
        <f>HYPERLINK("https://www.catalog.slsa.sa.gov.au/xrecord=b2067491")</f>
        <v>https://www.catalog.slsa.sa.gov.au/xrecord=b2067491</v>
      </c>
      <c r="D10781" t="s">
        <v>16831</v>
      </c>
      <c r="E10781" t="s">
        <v>33288</v>
      </c>
      <c r="F10781">
        <v>1990</v>
      </c>
      <c r="G10781" t="s">
        <v>15031</v>
      </c>
      <c r="H10781" t="s">
        <v>33338</v>
      </c>
      <c r="J10781" t="s">
        <v>16866</v>
      </c>
      <c r="K10781" s="2" t="str">
        <f>HYPERLINK("http://collections.slsa.sa.gov.au/mpcimg/53000/B52963.htm")</f>
        <v>http://collections.slsa.sa.gov.au/mpcimg/53000/B52963.htm</v>
      </c>
    </row>
    <row r="10782" spans="1:11" x14ac:dyDescent="0.25">
      <c r="A10782" t="s">
        <v>33339</v>
      </c>
      <c r="B10782" s="1" t="str">
        <f>HYPERLINK("https://www.catalog.slsa.sa.gov.au/record=b2067492")</f>
        <v>https://www.catalog.slsa.sa.gov.au/record=b2067492</v>
      </c>
      <c r="C10782" s="1" t="str">
        <f>HYPERLINK("https://www.catalog.slsa.sa.gov.au/xrecord=b2067492")</f>
        <v>https://www.catalog.slsa.sa.gov.au/xrecord=b2067492</v>
      </c>
      <c r="D10782" t="s">
        <v>16831</v>
      </c>
      <c r="E10782" t="s">
        <v>33288</v>
      </c>
      <c r="F10782">
        <v>1990</v>
      </c>
      <c r="G10782" t="s">
        <v>15031</v>
      </c>
      <c r="H10782" t="s">
        <v>33338</v>
      </c>
      <c r="J10782" t="s">
        <v>16866</v>
      </c>
      <c r="K10782" s="2" t="str">
        <f>HYPERLINK("http://collections.slsa.sa.gov.au/mpcimg/53000/B52964.htm")</f>
        <v>http://collections.slsa.sa.gov.au/mpcimg/53000/B52964.htm</v>
      </c>
    </row>
    <row r="10783" spans="1:11" x14ac:dyDescent="0.25">
      <c r="A10783" t="s">
        <v>33340</v>
      </c>
      <c r="B10783" s="1" t="str">
        <f>HYPERLINK("https://www.catalog.slsa.sa.gov.au/record=b2067493")</f>
        <v>https://www.catalog.slsa.sa.gov.au/record=b2067493</v>
      </c>
      <c r="C10783" s="1" t="str">
        <f>HYPERLINK("https://www.catalog.slsa.sa.gov.au/xrecord=b2067493")</f>
        <v>https://www.catalog.slsa.sa.gov.au/xrecord=b2067493</v>
      </c>
      <c r="D10783" t="s">
        <v>16831</v>
      </c>
      <c r="E10783" t="s">
        <v>33288</v>
      </c>
      <c r="F10783">
        <v>1990</v>
      </c>
      <c r="G10783" t="s">
        <v>15031</v>
      </c>
      <c r="H10783" t="s">
        <v>33341</v>
      </c>
      <c r="J10783" t="s">
        <v>16866</v>
      </c>
      <c r="K10783" s="2" t="str">
        <f>HYPERLINK("http://collections.slsa.sa.gov.au/mpcimg/53000/B52965.htm")</f>
        <v>http://collections.slsa.sa.gov.au/mpcimg/53000/B52965.htm</v>
      </c>
    </row>
    <row r="10784" spans="1:11" x14ac:dyDescent="0.25">
      <c r="A10784" t="s">
        <v>33342</v>
      </c>
      <c r="B10784" s="1" t="str">
        <f>HYPERLINK("https://www.catalog.slsa.sa.gov.au/record=b2067494")</f>
        <v>https://www.catalog.slsa.sa.gov.au/record=b2067494</v>
      </c>
      <c r="C10784" s="1" t="str">
        <f>HYPERLINK("https://www.catalog.slsa.sa.gov.au/xrecord=b2067494")</f>
        <v>https://www.catalog.slsa.sa.gov.au/xrecord=b2067494</v>
      </c>
      <c r="D10784" t="s">
        <v>16831</v>
      </c>
      <c r="E10784" t="s">
        <v>33288</v>
      </c>
      <c r="F10784">
        <v>1990</v>
      </c>
      <c r="G10784" t="s">
        <v>15031</v>
      </c>
      <c r="H10784" t="s">
        <v>33341</v>
      </c>
      <c r="J10784" t="s">
        <v>16866</v>
      </c>
      <c r="K10784" s="2" t="str">
        <f>HYPERLINK("http://collections.slsa.sa.gov.au/mpcimg/53000/B52966.htm")</f>
        <v>http://collections.slsa.sa.gov.au/mpcimg/53000/B52966.htm</v>
      </c>
    </row>
    <row r="10785" spans="1:11" x14ac:dyDescent="0.25">
      <c r="A10785" t="s">
        <v>33343</v>
      </c>
      <c r="B10785" s="1" t="str">
        <f>HYPERLINK("https://www.catalog.slsa.sa.gov.au/record=b2067495")</f>
        <v>https://www.catalog.slsa.sa.gov.au/record=b2067495</v>
      </c>
      <c r="C10785" s="1" t="str">
        <f>HYPERLINK("https://www.catalog.slsa.sa.gov.au/xrecord=b2067495")</f>
        <v>https://www.catalog.slsa.sa.gov.au/xrecord=b2067495</v>
      </c>
      <c r="D10785" t="s">
        <v>16831</v>
      </c>
      <c r="E10785" t="s">
        <v>33288</v>
      </c>
      <c r="F10785">
        <v>1990</v>
      </c>
      <c r="G10785" t="s">
        <v>15031</v>
      </c>
      <c r="H10785" t="s">
        <v>33344</v>
      </c>
      <c r="J10785" t="s">
        <v>16866</v>
      </c>
      <c r="K10785" s="2" t="str">
        <f>HYPERLINK("http://collections.slsa.sa.gov.au/mpcimg/53000/B52967.htm")</f>
        <v>http://collections.slsa.sa.gov.au/mpcimg/53000/B52967.htm</v>
      </c>
    </row>
    <row r="10786" spans="1:11" x14ac:dyDescent="0.25">
      <c r="A10786" t="s">
        <v>33345</v>
      </c>
      <c r="B10786" s="1" t="str">
        <f>HYPERLINK("https://www.catalog.slsa.sa.gov.au/record=b2067496")</f>
        <v>https://www.catalog.slsa.sa.gov.au/record=b2067496</v>
      </c>
      <c r="C10786" s="1" t="str">
        <f>HYPERLINK("https://www.catalog.slsa.sa.gov.au/xrecord=b2067496")</f>
        <v>https://www.catalog.slsa.sa.gov.au/xrecord=b2067496</v>
      </c>
      <c r="D10786" t="s">
        <v>16831</v>
      </c>
      <c r="E10786" t="s">
        <v>33288</v>
      </c>
      <c r="F10786">
        <v>1990</v>
      </c>
      <c r="G10786" t="s">
        <v>15031</v>
      </c>
      <c r="H10786" t="s">
        <v>33346</v>
      </c>
      <c r="J10786" t="s">
        <v>16866</v>
      </c>
      <c r="K10786" s="2" t="str">
        <f>HYPERLINK("http://collections.slsa.sa.gov.au/mpcimg/53000/B52968.htm")</f>
        <v>http://collections.slsa.sa.gov.au/mpcimg/53000/B52968.htm</v>
      </c>
    </row>
    <row r="10787" spans="1:11" x14ac:dyDescent="0.25">
      <c r="A10787" t="s">
        <v>33347</v>
      </c>
      <c r="B10787" s="1" t="str">
        <f>HYPERLINK("https://www.catalog.slsa.sa.gov.au/record=b2067497")</f>
        <v>https://www.catalog.slsa.sa.gov.au/record=b2067497</v>
      </c>
      <c r="C10787" s="1" t="str">
        <f>HYPERLINK("https://www.catalog.slsa.sa.gov.au/xrecord=b2067497")</f>
        <v>https://www.catalog.slsa.sa.gov.au/xrecord=b2067497</v>
      </c>
      <c r="D10787" t="s">
        <v>16831</v>
      </c>
      <c r="E10787" t="s">
        <v>33288</v>
      </c>
      <c r="F10787">
        <v>1990</v>
      </c>
      <c r="G10787" t="s">
        <v>15031</v>
      </c>
      <c r="H10787" t="s">
        <v>33346</v>
      </c>
      <c r="J10787" t="s">
        <v>16866</v>
      </c>
      <c r="K10787" s="2" t="str">
        <f>HYPERLINK("http://collections.slsa.sa.gov.au/mpcimg/53000/B52969.htm")</f>
        <v>http://collections.slsa.sa.gov.au/mpcimg/53000/B52969.htm</v>
      </c>
    </row>
    <row r="10788" spans="1:11" x14ac:dyDescent="0.25">
      <c r="A10788" t="s">
        <v>33348</v>
      </c>
      <c r="B10788" s="1" t="str">
        <f>HYPERLINK("https://www.catalog.slsa.sa.gov.au/record=b2067502")</f>
        <v>https://www.catalog.slsa.sa.gov.au/record=b2067502</v>
      </c>
      <c r="C10788" s="1" t="str">
        <f>HYPERLINK("https://www.catalog.slsa.sa.gov.au/xrecord=b2067502")</f>
        <v>https://www.catalog.slsa.sa.gov.au/xrecord=b2067502</v>
      </c>
      <c r="D10788" t="s">
        <v>16831</v>
      </c>
      <c r="E10788" t="s">
        <v>33034</v>
      </c>
      <c r="F10788">
        <v>1990</v>
      </c>
      <c r="G10788" t="s">
        <v>33349</v>
      </c>
      <c r="H10788" t="s">
        <v>33350</v>
      </c>
      <c r="J10788" t="s">
        <v>16866</v>
      </c>
      <c r="K10788" s="2" t="str">
        <f>HYPERLINK("http://collections.slsa.sa.gov.au/mpcimg/53250/B53029.htm")</f>
        <v>http://collections.slsa.sa.gov.au/mpcimg/53250/B53029.htm</v>
      </c>
    </row>
    <row r="10789" spans="1:11" x14ac:dyDescent="0.25">
      <c r="A10789" t="s">
        <v>33351</v>
      </c>
      <c r="B10789" s="1" t="str">
        <f>HYPERLINK("https://www.catalog.slsa.sa.gov.au/record=b2067503")</f>
        <v>https://www.catalog.slsa.sa.gov.au/record=b2067503</v>
      </c>
      <c r="C10789" s="1" t="str">
        <f>HYPERLINK("https://www.catalog.slsa.sa.gov.au/xrecord=b2067503")</f>
        <v>https://www.catalog.slsa.sa.gov.au/xrecord=b2067503</v>
      </c>
      <c r="D10789" t="s">
        <v>16831</v>
      </c>
      <c r="E10789" t="s">
        <v>33352</v>
      </c>
      <c r="F10789">
        <v>1990</v>
      </c>
      <c r="G10789" t="s">
        <v>33349</v>
      </c>
      <c r="H10789" t="s">
        <v>33353</v>
      </c>
      <c r="J10789" t="s">
        <v>16866</v>
      </c>
      <c r="K10789" s="2" t="str">
        <f>HYPERLINK("http://collections.slsa.sa.gov.au/mpcimg/53250/B53030.htm")</f>
        <v>http://collections.slsa.sa.gov.au/mpcimg/53250/B53030.htm</v>
      </c>
    </row>
    <row r="10790" spans="1:11" x14ac:dyDescent="0.25">
      <c r="A10790" t="s">
        <v>33354</v>
      </c>
      <c r="B10790" s="1" t="str">
        <f>HYPERLINK("https://www.catalog.slsa.sa.gov.au/record=b2067504")</f>
        <v>https://www.catalog.slsa.sa.gov.au/record=b2067504</v>
      </c>
      <c r="C10790" s="1" t="str">
        <f>HYPERLINK("https://www.catalog.slsa.sa.gov.au/xrecord=b2067504")</f>
        <v>https://www.catalog.slsa.sa.gov.au/xrecord=b2067504</v>
      </c>
      <c r="D10790" t="s">
        <v>16831</v>
      </c>
      <c r="E10790" t="s">
        <v>33352</v>
      </c>
      <c r="F10790">
        <v>1990</v>
      </c>
      <c r="G10790" t="s">
        <v>33355</v>
      </c>
      <c r="H10790" t="s">
        <v>33353</v>
      </c>
      <c r="J10790" t="s">
        <v>16866</v>
      </c>
      <c r="K10790" s="2" t="str">
        <f>HYPERLINK("http://collections.slsa.sa.gov.au/mpcimg/53250/B53031.htm")</f>
        <v>http://collections.slsa.sa.gov.au/mpcimg/53250/B53031.htm</v>
      </c>
    </row>
    <row r="10791" spans="1:11" x14ac:dyDescent="0.25">
      <c r="A10791" t="s">
        <v>33356</v>
      </c>
      <c r="B10791" s="1" t="str">
        <f>HYPERLINK("https://www.catalog.slsa.sa.gov.au/record=b2067505")</f>
        <v>https://www.catalog.slsa.sa.gov.au/record=b2067505</v>
      </c>
      <c r="C10791" s="1" t="str">
        <f>HYPERLINK("https://www.catalog.slsa.sa.gov.au/xrecord=b2067505")</f>
        <v>https://www.catalog.slsa.sa.gov.au/xrecord=b2067505</v>
      </c>
      <c r="D10791" t="s">
        <v>16831</v>
      </c>
      <c r="E10791" t="s">
        <v>33352</v>
      </c>
      <c r="F10791">
        <v>1990</v>
      </c>
      <c r="G10791" t="s">
        <v>33357</v>
      </c>
      <c r="H10791" t="s">
        <v>33358</v>
      </c>
      <c r="J10791" t="s">
        <v>16866</v>
      </c>
      <c r="K10791" s="2" t="str">
        <f>HYPERLINK("http://collections.slsa.sa.gov.au/mpcimg/53250/B53032.htm")</f>
        <v>http://collections.slsa.sa.gov.au/mpcimg/53250/B53032.htm</v>
      </c>
    </row>
    <row r="10792" spans="1:11" x14ac:dyDescent="0.25">
      <c r="A10792" t="s">
        <v>33359</v>
      </c>
      <c r="B10792" s="1" t="str">
        <f>HYPERLINK("https://www.catalog.slsa.sa.gov.au/record=b2067506")</f>
        <v>https://www.catalog.slsa.sa.gov.au/record=b2067506</v>
      </c>
      <c r="C10792" s="1" t="str">
        <f>HYPERLINK("https://www.catalog.slsa.sa.gov.au/xrecord=b2067506")</f>
        <v>https://www.catalog.slsa.sa.gov.au/xrecord=b2067506</v>
      </c>
      <c r="D10792" t="s">
        <v>16831</v>
      </c>
      <c r="E10792" t="s">
        <v>33352</v>
      </c>
      <c r="F10792">
        <v>1990</v>
      </c>
      <c r="G10792" t="s">
        <v>33360</v>
      </c>
      <c r="H10792" t="s">
        <v>33358</v>
      </c>
      <c r="J10792" t="s">
        <v>16866</v>
      </c>
      <c r="K10792" s="2" t="str">
        <f>HYPERLINK("http://collections.slsa.sa.gov.au/mpcimg/53250/B53033.htm")</f>
        <v>http://collections.slsa.sa.gov.au/mpcimg/53250/B53033.htm</v>
      </c>
    </row>
    <row r="10793" spans="1:11" x14ac:dyDescent="0.25">
      <c r="A10793" t="s">
        <v>33361</v>
      </c>
      <c r="B10793" s="1" t="str">
        <f>HYPERLINK("https://www.catalog.slsa.sa.gov.au/record=b2067507")</f>
        <v>https://www.catalog.slsa.sa.gov.au/record=b2067507</v>
      </c>
      <c r="C10793" s="1" t="str">
        <f>HYPERLINK("https://www.catalog.slsa.sa.gov.au/xrecord=b2067507")</f>
        <v>https://www.catalog.slsa.sa.gov.au/xrecord=b2067507</v>
      </c>
      <c r="D10793" t="s">
        <v>16831</v>
      </c>
      <c r="E10793" t="s">
        <v>33352</v>
      </c>
      <c r="F10793">
        <v>1990</v>
      </c>
      <c r="G10793" t="s">
        <v>33362</v>
      </c>
      <c r="H10793" t="s">
        <v>33363</v>
      </c>
      <c r="J10793" t="s">
        <v>16866</v>
      </c>
      <c r="K10793" s="2" t="str">
        <f>HYPERLINK("http://collections.slsa.sa.gov.au/mpcimg/53250/B53034.htm")</f>
        <v>http://collections.slsa.sa.gov.au/mpcimg/53250/B53034.htm</v>
      </c>
    </row>
    <row r="10794" spans="1:11" x14ac:dyDescent="0.25">
      <c r="A10794" t="s">
        <v>33364</v>
      </c>
      <c r="B10794" s="1" t="str">
        <f>HYPERLINK("https://www.catalog.slsa.sa.gov.au/record=b2067508")</f>
        <v>https://www.catalog.slsa.sa.gov.au/record=b2067508</v>
      </c>
      <c r="C10794" s="1" t="str">
        <f>HYPERLINK("https://www.catalog.slsa.sa.gov.au/xrecord=b2067508")</f>
        <v>https://www.catalog.slsa.sa.gov.au/xrecord=b2067508</v>
      </c>
      <c r="D10794" t="s">
        <v>16831</v>
      </c>
      <c r="E10794" t="s">
        <v>33365</v>
      </c>
      <c r="F10794">
        <v>1990</v>
      </c>
      <c r="G10794" t="s">
        <v>33362</v>
      </c>
      <c r="H10794" t="s">
        <v>33366</v>
      </c>
      <c r="J10794" t="s">
        <v>16866</v>
      </c>
      <c r="K10794" s="2" t="str">
        <f>HYPERLINK("http://collections.slsa.sa.gov.au/mpcimg/53250/B53035.htm")</f>
        <v>http://collections.slsa.sa.gov.au/mpcimg/53250/B53035.htm</v>
      </c>
    </row>
    <row r="10795" spans="1:11" x14ac:dyDescent="0.25">
      <c r="A10795" t="s">
        <v>33367</v>
      </c>
      <c r="B10795" s="1" t="str">
        <f>HYPERLINK("https://www.catalog.slsa.sa.gov.au/record=b2067552")</f>
        <v>https://www.catalog.slsa.sa.gov.au/record=b2067552</v>
      </c>
      <c r="C10795" s="1" t="str">
        <f>HYPERLINK("https://www.catalog.slsa.sa.gov.au/xrecord=b2067552")</f>
        <v>https://www.catalog.slsa.sa.gov.au/xrecord=b2067552</v>
      </c>
      <c r="D10795" t="s">
        <v>16831</v>
      </c>
      <c r="E10795" t="s">
        <v>31646</v>
      </c>
      <c r="F10795">
        <v>1990</v>
      </c>
      <c r="G10795" t="s">
        <v>15031</v>
      </c>
      <c r="H10795" t="s">
        <v>32682</v>
      </c>
      <c r="J10795" t="s">
        <v>16866</v>
      </c>
      <c r="K10795" s="2" t="str">
        <f>HYPERLINK("http://collections.slsa.sa.gov.au/mpcimg/53500/B53367.htm")</f>
        <v>http://collections.slsa.sa.gov.au/mpcimg/53500/B53367.htm</v>
      </c>
    </row>
    <row r="10796" spans="1:11" x14ac:dyDescent="0.25">
      <c r="A10796" t="s">
        <v>33368</v>
      </c>
      <c r="B10796" s="1" t="str">
        <f>HYPERLINK("https://www.catalog.slsa.sa.gov.au/record=b2067556")</f>
        <v>https://www.catalog.slsa.sa.gov.au/record=b2067556</v>
      </c>
      <c r="C10796" s="1" t="str">
        <f>HYPERLINK("https://www.catalog.slsa.sa.gov.au/xrecord=b2067556")</f>
        <v>https://www.catalog.slsa.sa.gov.au/xrecord=b2067556</v>
      </c>
      <c r="D10796" t="s">
        <v>16831</v>
      </c>
      <c r="E10796" t="s">
        <v>33034</v>
      </c>
      <c r="F10796">
        <v>1990</v>
      </c>
      <c r="G10796" t="s">
        <v>33369</v>
      </c>
      <c r="H10796" t="s">
        <v>33370</v>
      </c>
      <c r="J10796" t="s">
        <v>16866</v>
      </c>
      <c r="K10796" s="2" t="str">
        <f>HYPERLINK("http://collections.slsa.sa.gov.au/mpcimg/53500/B53417.htm")</f>
        <v>http://collections.slsa.sa.gov.au/mpcimg/53500/B53417.htm</v>
      </c>
    </row>
    <row r="10797" spans="1:11" x14ac:dyDescent="0.25">
      <c r="A10797" t="s">
        <v>33371</v>
      </c>
      <c r="B10797" s="1" t="str">
        <f>HYPERLINK("https://www.catalog.slsa.sa.gov.au/record=b2068978")</f>
        <v>https://www.catalog.slsa.sa.gov.au/record=b2068978</v>
      </c>
      <c r="C10797" s="1" t="str">
        <f>HYPERLINK("https://www.catalog.slsa.sa.gov.au/xrecord=b2068978")</f>
        <v>https://www.catalog.slsa.sa.gov.au/xrecord=b2068978</v>
      </c>
      <c r="D10797" t="s">
        <v>16831</v>
      </c>
      <c r="E10797" t="s">
        <v>33372</v>
      </c>
      <c r="F10797">
        <v>1990</v>
      </c>
      <c r="G10797" t="s">
        <v>33373</v>
      </c>
      <c r="H10797" t="s">
        <v>33374</v>
      </c>
      <c r="I10797" t="s">
        <v>33375</v>
      </c>
      <c r="J10797" t="s">
        <v>16845</v>
      </c>
      <c r="K10797" s="2" t="str">
        <f>HYPERLINK("http://collections.slsa.sa.gov.au/mpcimg/53750/B53631.htm")</f>
        <v>http://collections.slsa.sa.gov.au/mpcimg/53750/B53631.htm</v>
      </c>
    </row>
    <row r="10798" spans="1:11" x14ac:dyDescent="0.25">
      <c r="A10798" t="s">
        <v>33376</v>
      </c>
      <c r="B10798" s="1" t="str">
        <f>HYPERLINK("https://www.catalog.slsa.sa.gov.au/record=b2068979")</f>
        <v>https://www.catalog.slsa.sa.gov.au/record=b2068979</v>
      </c>
      <c r="C10798" s="1" t="str">
        <f>HYPERLINK("https://www.catalog.slsa.sa.gov.au/xrecord=b2068979")</f>
        <v>https://www.catalog.slsa.sa.gov.au/xrecord=b2068979</v>
      </c>
      <c r="D10798" t="s">
        <v>16831</v>
      </c>
      <c r="E10798" t="s">
        <v>33372</v>
      </c>
      <c r="F10798">
        <v>1990</v>
      </c>
      <c r="G10798" t="s">
        <v>33373</v>
      </c>
      <c r="H10798" t="s">
        <v>33377</v>
      </c>
      <c r="I10798" t="s">
        <v>33378</v>
      </c>
      <c r="J10798" t="s">
        <v>16845</v>
      </c>
      <c r="K10798" s="2" t="str">
        <f>HYPERLINK("http://collections.slsa.sa.gov.au/mpcimg/53750/B53632.htm")</f>
        <v>http://collections.slsa.sa.gov.au/mpcimg/53750/B53632.htm</v>
      </c>
    </row>
    <row r="10799" spans="1:11" x14ac:dyDescent="0.25">
      <c r="A10799" t="s">
        <v>33379</v>
      </c>
      <c r="B10799" s="1" t="str">
        <f>HYPERLINK("https://www.catalog.slsa.sa.gov.au/record=b2075720")</f>
        <v>https://www.catalog.slsa.sa.gov.au/record=b2075720</v>
      </c>
      <c r="C10799" s="1" t="str">
        <f>HYPERLINK("https://www.catalog.slsa.sa.gov.au/xrecord=b2075720")</f>
        <v>https://www.catalog.slsa.sa.gov.au/xrecord=b2075720</v>
      </c>
      <c r="D10799" t="s">
        <v>16831</v>
      </c>
      <c r="E10799" t="s">
        <v>33380</v>
      </c>
      <c r="F10799">
        <v>1990</v>
      </c>
      <c r="G10799" t="s">
        <v>15269</v>
      </c>
      <c r="H10799" t="s">
        <v>33381</v>
      </c>
      <c r="I10799" t="s">
        <v>33382</v>
      </c>
      <c r="J10799" t="s">
        <v>33383</v>
      </c>
      <c r="K10799" s="2" t="str">
        <f>HYPERLINK("http://collections.slsa.sa.gov.au/mpcimg/53750/B53658.htm")</f>
        <v>http://collections.slsa.sa.gov.au/mpcimg/53750/B53658.htm</v>
      </c>
    </row>
    <row r="10800" spans="1:11" x14ac:dyDescent="0.25">
      <c r="A10800" t="s">
        <v>33384</v>
      </c>
      <c r="B10800" s="1" t="str">
        <f>HYPERLINK("https://www.catalog.slsa.sa.gov.au/record=b2075721")</f>
        <v>https://www.catalog.slsa.sa.gov.au/record=b2075721</v>
      </c>
      <c r="C10800" s="1" t="str">
        <f>HYPERLINK("https://www.catalog.slsa.sa.gov.au/xrecord=b2075721")</f>
        <v>https://www.catalog.slsa.sa.gov.au/xrecord=b2075721</v>
      </c>
      <c r="D10800" t="s">
        <v>16831</v>
      </c>
      <c r="E10800" t="s">
        <v>33380</v>
      </c>
      <c r="F10800">
        <v>1990</v>
      </c>
      <c r="G10800" t="s">
        <v>15269</v>
      </c>
      <c r="H10800" t="s">
        <v>33385</v>
      </c>
      <c r="I10800" t="s">
        <v>33386</v>
      </c>
      <c r="J10800" t="s">
        <v>33383</v>
      </c>
      <c r="K10800" s="2" t="str">
        <f>HYPERLINK("http://collections.slsa.sa.gov.au/mpcimg/53750/B53659.htm")</f>
        <v>http://collections.slsa.sa.gov.au/mpcimg/53750/B53659.htm</v>
      </c>
    </row>
    <row r="10801" spans="1:11" x14ac:dyDescent="0.25">
      <c r="A10801" t="s">
        <v>33387</v>
      </c>
      <c r="B10801" s="1" t="str">
        <f>HYPERLINK("https://www.catalog.slsa.sa.gov.au/record=b2075722")</f>
        <v>https://www.catalog.slsa.sa.gov.au/record=b2075722</v>
      </c>
      <c r="C10801" s="1" t="str">
        <f>HYPERLINK("https://www.catalog.slsa.sa.gov.au/xrecord=b2075722")</f>
        <v>https://www.catalog.slsa.sa.gov.au/xrecord=b2075722</v>
      </c>
      <c r="D10801" t="s">
        <v>16831</v>
      </c>
      <c r="E10801" t="s">
        <v>33388</v>
      </c>
      <c r="F10801">
        <v>1990</v>
      </c>
      <c r="G10801" t="s">
        <v>15269</v>
      </c>
      <c r="H10801" t="s">
        <v>33389</v>
      </c>
      <c r="I10801" t="s">
        <v>33386</v>
      </c>
      <c r="J10801" t="s">
        <v>33383</v>
      </c>
      <c r="K10801" s="2" t="str">
        <f>HYPERLINK("http://collections.slsa.sa.gov.au/mpcimg/53750/B53660.htm")</f>
        <v>http://collections.slsa.sa.gov.au/mpcimg/53750/B53660.htm</v>
      </c>
    </row>
    <row r="10802" spans="1:11" x14ac:dyDescent="0.25">
      <c r="A10802" t="s">
        <v>33390</v>
      </c>
      <c r="B10802" s="1" t="str">
        <f>HYPERLINK("https://www.catalog.slsa.sa.gov.au/record=b2075723")</f>
        <v>https://www.catalog.slsa.sa.gov.au/record=b2075723</v>
      </c>
      <c r="C10802" s="1" t="str">
        <f>HYPERLINK("https://www.catalog.slsa.sa.gov.au/xrecord=b2075723")</f>
        <v>https://www.catalog.slsa.sa.gov.au/xrecord=b2075723</v>
      </c>
      <c r="D10802" t="s">
        <v>16831</v>
      </c>
      <c r="E10802" t="s">
        <v>33380</v>
      </c>
      <c r="F10802">
        <v>1990</v>
      </c>
      <c r="G10802" t="s">
        <v>15269</v>
      </c>
      <c r="H10802" t="s">
        <v>33391</v>
      </c>
      <c r="I10802" t="s">
        <v>33386</v>
      </c>
      <c r="J10802" t="s">
        <v>33383</v>
      </c>
      <c r="K10802" s="2" t="str">
        <f>HYPERLINK("http://collections.slsa.sa.gov.au/mpcimg/53750/B53661.htm")</f>
        <v>http://collections.slsa.sa.gov.au/mpcimg/53750/B53661.htm</v>
      </c>
    </row>
    <row r="10803" spans="1:11" x14ac:dyDescent="0.25">
      <c r="A10803" t="s">
        <v>33392</v>
      </c>
      <c r="B10803" s="1" t="str">
        <f>HYPERLINK("https://www.catalog.slsa.sa.gov.au/record=b2075724")</f>
        <v>https://www.catalog.slsa.sa.gov.au/record=b2075724</v>
      </c>
      <c r="C10803" s="1" t="str">
        <f>HYPERLINK("https://www.catalog.slsa.sa.gov.au/xrecord=b2075724")</f>
        <v>https://www.catalog.slsa.sa.gov.au/xrecord=b2075724</v>
      </c>
      <c r="D10803" t="s">
        <v>16831</v>
      </c>
      <c r="E10803" t="s">
        <v>33380</v>
      </c>
      <c r="F10803">
        <v>1990</v>
      </c>
      <c r="G10803" t="s">
        <v>15269</v>
      </c>
      <c r="H10803" t="s">
        <v>33393</v>
      </c>
      <c r="I10803" t="s">
        <v>33386</v>
      </c>
      <c r="J10803" t="s">
        <v>33383</v>
      </c>
      <c r="K10803" s="2" t="str">
        <f>HYPERLINK("http://collections.slsa.sa.gov.au/mpcimg/53750/B53662.htm")</f>
        <v>http://collections.slsa.sa.gov.au/mpcimg/53750/B53662.htm</v>
      </c>
    </row>
    <row r="10804" spans="1:11" x14ac:dyDescent="0.25">
      <c r="A10804" t="s">
        <v>33394</v>
      </c>
      <c r="B10804" s="1" t="str">
        <f>HYPERLINK("https://www.catalog.slsa.sa.gov.au/record=b2075729")</f>
        <v>https://www.catalog.slsa.sa.gov.au/record=b2075729</v>
      </c>
      <c r="C10804" s="1" t="str">
        <f>HYPERLINK("https://www.catalog.slsa.sa.gov.au/xrecord=b2075729")</f>
        <v>https://www.catalog.slsa.sa.gov.au/xrecord=b2075729</v>
      </c>
      <c r="D10804" t="s">
        <v>16831</v>
      </c>
      <c r="E10804" t="s">
        <v>33395</v>
      </c>
      <c r="F10804">
        <v>1990</v>
      </c>
      <c r="G10804" t="s">
        <v>33396</v>
      </c>
      <c r="H10804" t="s">
        <v>33397</v>
      </c>
      <c r="I10804" t="s">
        <v>33398</v>
      </c>
      <c r="J10804" t="s">
        <v>32653</v>
      </c>
      <c r="K10804" s="2" t="str">
        <f>HYPERLINK("http://collections.slsa.sa.gov.au/mpcimg/53750/B53667.htm")</f>
        <v>http://collections.slsa.sa.gov.au/mpcimg/53750/B53667.htm</v>
      </c>
    </row>
    <row r="10805" spans="1:11" x14ac:dyDescent="0.25">
      <c r="A10805" t="s">
        <v>33399</v>
      </c>
      <c r="B10805" s="1" t="str">
        <f>HYPERLINK("https://www.catalog.slsa.sa.gov.au/record=b2075741")</f>
        <v>https://www.catalog.slsa.sa.gov.au/record=b2075741</v>
      </c>
      <c r="C10805" s="1" t="str">
        <f>HYPERLINK("https://www.catalog.slsa.sa.gov.au/xrecord=b2075741")</f>
        <v>https://www.catalog.slsa.sa.gov.au/xrecord=b2075741</v>
      </c>
      <c r="D10805" t="s">
        <v>16831</v>
      </c>
      <c r="E10805" t="s">
        <v>33400</v>
      </c>
      <c r="F10805">
        <v>1990</v>
      </c>
      <c r="G10805" t="s">
        <v>15269</v>
      </c>
      <c r="H10805" t="s">
        <v>33401</v>
      </c>
      <c r="I10805" t="s">
        <v>33402</v>
      </c>
      <c r="J10805" t="s">
        <v>32653</v>
      </c>
      <c r="K10805" s="2" t="str">
        <f>HYPERLINK("http://collections.slsa.sa.gov.au/mpcimg/53750/B53679.htm")</f>
        <v>http://collections.slsa.sa.gov.au/mpcimg/53750/B53679.htm</v>
      </c>
    </row>
    <row r="10806" spans="1:11" x14ac:dyDescent="0.25">
      <c r="A10806" t="s">
        <v>33403</v>
      </c>
      <c r="B10806" s="1" t="str">
        <f>HYPERLINK("https://www.catalog.slsa.sa.gov.au/record=b2075742")</f>
        <v>https://www.catalog.slsa.sa.gov.au/record=b2075742</v>
      </c>
      <c r="C10806" s="1" t="str">
        <f>HYPERLINK("https://www.catalog.slsa.sa.gov.au/xrecord=b2075742")</f>
        <v>https://www.catalog.slsa.sa.gov.au/xrecord=b2075742</v>
      </c>
      <c r="D10806" t="s">
        <v>16831</v>
      </c>
      <c r="E10806" t="s">
        <v>33404</v>
      </c>
      <c r="F10806">
        <v>1990</v>
      </c>
      <c r="G10806" t="s">
        <v>15269</v>
      </c>
      <c r="H10806" t="s">
        <v>33405</v>
      </c>
      <c r="I10806" t="s">
        <v>33406</v>
      </c>
      <c r="J10806" t="s">
        <v>32653</v>
      </c>
      <c r="K10806" s="2" t="str">
        <f>HYPERLINK("http://collections.slsa.sa.gov.au/mpcimg/53750/B53680.htm")</f>
        <v>http://collections.slsa.sa.gov.au/mpcimg/53750/B53680.htm</v>
      </c>
    </row>
    <row r="10807" spans="1:11" x14ac:dyDescent="0.25">
      <c r="A10807" t="s">
        <v>33407</v>
      </c>
      <c r="B10807" s="1" t="str">
        <f>HYPERLINK("https://www.catalog.slsa.sa.gov.au/record=b2075743")</f>
        <v>https://www.catalog.slsa.sa.gov.au/record=b2075743</v>
      </c>
      <c r="C10807" s="1" t="str">
        <f>HYPERLINK("https://www.catalog.slsa.sa.gov.au/xrecord=b2075743")</f>
        <v>https://www.catalog.slsa.sa.gov.au/xrecord=b2075743</v>
      </c>
      <c r="D10807" t="s">
        <v>16831</v>
      </c>
      <c r="E10807" t="s">
        <v>33408</v>
      </c>
      <c r="F10807">
        <v>1990</v>
      </c>
      <c r="G10807" t="s">
        <v>15269</v>
      </c>
      <c r="H10807" t="s">
        <v>33409</v>
      </c>
      <c r="I10807" t="s">
        <v>33410</v>
      </c>
      <c r="J10807" t="s">
        <v>32653</v>
      </c>
      <c r="K10807" s="2" t="str">
        <f>HYPERLINK("http://collections.slsa.sa.gov.au/mpcimg/53750/B53681.htm")</f>
        <v>http://collections.slsa.sa.gov.au/mpcimg/53750/B53681.htm</v>
      </c>
    </row>
    <row r="10808" spans="1:11" x14ac:dyDescent="0.25">
      <c r="A10808" t="s">
        <v>33411</v>
      </c>
      <c r="B10808" s="1" t="str">
        <f>HYPERLINK("https://www.catalog.slsa.sa.gov.au/record=b2075744")</f>
        <v>https://www.catalog.slsa.sa.gov.au/record=b2075744</v>
      </c>
      <c r="C10808" s="1" t="str">
        <f>HYPERLINK("https://www.catalog.slsa.sa.gov.au/xrecord=b2075744")</f>
        <v>https://www.catalog.slsa.sa.gov.au/xrecord=b2075744</v>
      </c>
      <c r="D10808" t="s">
        <v>16831</v>
      </c>
      <c r="E10808" t="s">
        <v>33408</v>
      </c>
      <c r="F10808">
        <v>1990</v>
      </c>
      <c r="G10808" t="s">
        <v>15269</v>
      </c>
      <c r="H10808" t="s">
        <v>33412</v>
      </c>
      <c r="I10808" t="s">
        <v>33410</v>
      </c>
      <c r="J10808" t="s">
        <v>32653</v>
      </c>
      <c r="K10808" s="2" t="str">
        <f>HYPERLINK("http://collections.slsa.sa.gov.au/mpcimg/53750/B53682.htm")</f>
        <v>http://collections.slsa.sa.gov.au/mpcimg/53750/B53682.htm</v>
      </c>
    </row>
    <row r="10809" spans="1:11" x14ac:dyDescent="0.25">
      <c r="A10809" t="s">
        <v>33413</v>
      </c>
      <c r="B10809" s="1" t="str">
        <f>HYPERLINK("https://www.catalog.slsa.sa.gov.au/record=b2075745")</f>
        <v>https://www.catalog.slsa.sa.gov.au/record=b2075745</v>
      </c>
      <c r="C10809" s="1" t="str">
        <f>HYPERLINK("https://www.catalog.slsa.sa.gov.au/xrecord=b2075745")</f>
        <v>https://www.catalog.slsa.sa.gov.au/xrecord=b2075745</v>
      </c>
      <c r="D10809" t="s">
        <v>16831</v>
      </c>
      <c r="E10809" t="s">
        <v>33408</v>
      </c>
      <c r="F10809">
        <v>1990</v>
      </c>
      <c r="G10809" t="s">
        <v>15269</v>
      </c>
      <c r="H10809" t="s">
        <v>33414</v>
      </c>
      <c r="I10809" t="s">
        <v>33410</v>
      </c>
      <c r="J10809" t="s">
        <v>32653</v>
      </c>
      <c r="K10809" s="2" t="str">
        <f>HYPERLINK("http://collections.slsa.sa.gov.au/mpcimg/53750/B53683.htm")</f>
        <v>http://collections.slsa.sa.gov.au/mpcimg/53750/B53683.htm</v>
      </c>
    </row>
    <row r="10810" spans="1:11" x14ac:dyDescent="0.25">
      <c r="A10810" t="s">
        <v>33415</v>
      </c>
      <c r="B10810" s="1" t="str">
        <f>HYPERLINK("https://www.catalog.slsa.sa.gov.au/record=b2075746")</f>
        <v>https://www.catalog.slsa.sa.gov.au/record=b2075746</v>
      </c>
      <c r="C10810" s="1" t="str">
        <f>HYPERLINK("https://www.catalog.slsa.sa.gov.au/xrecord=b2075746")</f>
        <v>https://www.catalog.slsa.sa.gov.au/xrecord=b2075746</v>
      </c>
      <c r="D10810" t="s">
        <v>16831</v>
      </c>
      <c r="E10810" t="s">
        <v>33408</v>
      </c>
      <c r="F10810">
        <v>1990</v>
      </c>
      <c r="G10810" t="s">
        <v>33416</v>
      </c>
      <c r="H10810" t="s">
        <v>33417</v>
      </c>
      <c r="I10810" t="s">
        <v>33410</v>
      </c>
      <c r="J10810" t="s">
        <v>32653</v>
      </c>
      <c r="K10810" s="2" t="str">
        <f>HYPERLINK("http://collections.slsa.sa.gov.au/mpcimg/53750/B53684.htm")</f>
        <v>http://collections.slsa.sa.gov.au/mpcimg/53750/B53684.htm</v>
      </c>
    </row>
    <row r="10811" spans="1:11" x14ac:dyDescent="0.25">
      <c r="A10811" t="s">
        <v>33418</v>
      </c>
      <c r="B10811" s="1" t="str">
        <f>HYPERLINK("https://www.catalog.slsa.sa.gov.au/record=b2075747")</f>
        <v>https://www.catalog.slsa.sa.gov.au/record=b2075747</v>
      </c>
      <c r="C10811" s="1" t="str">
        <f>HYPERLINK("https://www.catalog.slsa.sa.gov.au/xrecord=b2075747")</f>
        <v>https://www.catalog.slsa.sa.gov.au/xrecord=b2075747</v>
      </c>
      <c r="D10811" t="s">
        <v>16831</v>
      </c>
      <c r="E10811" t="s">
        <v>33408</v>
      </c>
      <c r="F10811">
        <v>1990</v>
      </c>
      <c r="G10811" t="s">
        <v>15269</v>
      </c>
      <c r="H10811" t="s">
        <v>33419</v>
      </c>
      <c r="I10811" t="s">
        <v>33410</v>
      </c>
      <c r="J10811" t="s">
        <v>32653</v>
      </c>
      <c r="K10811" s="2" t="str">
        <f>HYPERLINK("http://collections.slsa.sa.gov.au/mpcimg/53750/B53685.htm")</f>
        <v>http://collections.slsa.sa.gov.au/mpcimg/53750/B53685.htm</v>
      </c>
    </row>
    <row r="10812" spans="1:11" x14ac:dyDescent="0.25">
      <c r="A10812" t="s">
        <v>33420</v>
      </c>
      <c r="B10812" s="1" t="str">
        <f>HYPERLINK("https://www.catalog.slsa.sa.gov.au/record=b2075748")</f>
        <v>https://www.catalog.slsa.sa.gov.au/record=b2075748</v>
      </c>
      <c r="C10812" s="1" t="str">
        <f>HYPERLINK("https://www.catalog.slsa.sa.gov.au/xrecord=b2075748")</f>
        <v>https://www.catalog.slsa.sa.gov.au/xrecord=b2075748</v>
      </c>
      <c r="D10812" t="s">
        <v>16831</v>
      </c>
      <c r="E10812" t="s">
        <v>33421</v>
      </c>
      <c r="F10812">
        <v>1990</v>
      </c>
      <c r="G10812" t="s">
        <v>15269</v>
      </c>
      <c r="H10812" t="s">
        <v>33422</v>
      </c>
      <c r="I10812" t="s">
        <v>33423</v>
      </c>
      <c r="J10812" t="s">
        <v>32653</v>
      </c>
      <c r="K10812" s="2" t="str">
        <f>HYPERLINK("http://collections.slsa.sa.gov.au/mpcimg/53750/B53686.htm")</f>
        <v>http://collections.slsa.sa.gov.au/mpcimg/53750/B53686.htm</v>
      </c>
    </row>
    <row r="10813" spans="1:11" x14ac:dyDescent="0.25">
      <c r="A10813" t="s">
        <v>33424</v>
      </c>
      <c r="B10813" s="1" t="str">
        <f>HYPERLINK("https://www.catalog.slsa.sa.gov.au/record=b2075750")</f>
        <v>https://www.catalog.slsa.sa.gov.au/record=b2075750</v>
      </c>
      <c r="C10813" s="1" t="str">
        <f>HYPERLINK("https://www.catalog.slsa.sa.gov.au/xrecord=b2075750")</f>
        <v>https://www.catalog.slsa.sa.gov.au/xrecord=b2075750</v>
      </c>
      <c r="D10813" t="s">
        <v>16831</v>
      </c>
      <c r="E10813" t="s">
        <v>33425</v>
      </c>
      <c r="F10813">
        <v>1990</v>
      </c>
      <c r="G10813" t="s">
        <v>15269</v>
      </c>
      <c r="H10813" t="s">
        <v>33426</v>
      </c>
      <c r="I10813" t="s">
        <v>33423</v>
      </c>
      <c r="J10813" t="s">
        <v>32653</v>
      </c>
      <c r="K10813" s="2" t="str">
        <f>HYPERLINK("http://collections.slsa.sa.gov.au/mpcimg/53750/B53688.htm")</f>
        <v>http://collections.slsa.sa.gov.au/mpcimg/53750/B53688.htm</v>
      </c>
    </row>
    <row r="10814" spans="1:11" x14ac:dyDescent="0.25">
      <c r="A10814" t="s">
        <v>33427</v>
      </c>
      <c r="B10814" s="1" t="str">
        <f>HYPERLINK("https://www.catalog.slsa.sa.gov.au/record=b2075756")</f>
        <v>https://www.catalog.slsa.sa.gov.au/record=b2075756</v>
      </c>
      <c r="C10814" s="1" t="str">
        <f>HYPERLINK("https://www.catalog.slsa.sa.gov.au/xrecord=b2075756")</f>
        <v>https://www.catalog.slsa.sa.gov.au/xrecord=b2075756</v>
      </c>
      <c r="D10814" t="s">
        <v>16831</v>
      </c>
      <c r="E10814" t="s">
        <v>33425</v>
      </c>
      <c r="F10814">
        <v>1990</v>
      </c>
      <c r="G10814" t="s">
        <v>15269</v>
      </c>
      <c r="H10814" t="s">
        <v>33428</v>
      </c>
      <c r="I10814" t="s">
        <v>33423</v>
      </c>
      <c r="J10814" t="s">
        <v>32653</v>
      </c>
      <c r="K10814" s="2" t="str">
        <f>HYPERLINK("http://collections.slsa.sa.gov.au/mpcimg/53750/B53694.htm")</f>
        <v>http://collections.slsa.sa.gov.au/mpcimg/53750/B53694.htm</v>
      </c>
    </row>
    <row r="10815" spans="1:11" x14ac:dyDescent="0.25">
      <c r="A10815" t="s">
        <v>33429</v>
      </c>
      <c r="B10815" s="1" t="str">
        <f>HYPERLINK("https://www.catalog.slsa.sa.gov.au/record=b2075757")</f>
        <v>https://www.catalog.slsa.sa.gov.au/record=b2075757</v>
      </c>
      <c r="C10815" s="1" t="str">
        <f>HYPERLINK("https://www.catalog.slsa.sa.gov.au/xrecord=b2075757")</f>
        <v>https://www.catalog.slsa.sa.gov.au/xrecord=b2075757</v>
      </c>
      <c r="D10815" t="s">
        <v>16831</v>
      </c>
      <c r="E10815" t="s">
        <v>33425</v>
      </c>
      <c r="F10815">
        <v>1990</v>
      </c>
      <c r="G10815" t="s">
        <v>15269</v>
      </c>
      <c r="H10815" t="s">
        <v>33430</v>
      </c>
      <c r="I10815" t="s">
        <v>33423</v>
      </c>
      <c r="J10815" t="s">
        <v>32653</v>
      </c>
      <c r="K10815" s="2" t="str">
        <f>HYPERLINK("http://collections.slsa.sa.gov.au/mpcimg/53750/B53695.htm")</f>
        <v>http://collections.slsa.sa.gov.au/mpcimg/53750/B53695.htm</v>
      </c>
    </row>
    <row r="10816" spans="1:11" x14ac:dyDescent="0.25">
      <c r="A10816" t="s">
        <v>33431</v>
      </c>
      <c r="B10816" s="1" t="str">
        <f>HYPERLINK("https://www.catalog.slsa.sa.gov.au/record=b2075758")</f>
        <v>https://www.catalog.slsa.sa.gov.au/record=b2075758</v>
      </c>
      <c r="C10816" s="1" t="str">
        <f>HYPERLINK("https://www.catalog.slsa.sa.gov.au/xrecord=b2075758")</f>
        <v>https://www.catalog.slsa.sa.gov.au/xrecord=b2075758</v>
      </c>
      <c r="D10816" t="s">
        <v>16831</v>
      </c>
      <c r="E10816" t="s">
        <v>33425</v>
      </c>
      <c r="F10816">
        <v>1990</v>
      </c>
      <c r="G10816" t="s">
        <v>15269</v>
      </c>
      <c r="H10816" t="s">
        <v>33432</v>
      </c>
      <c r="I10816" t="s">
        <v>33423</v>
      </c>
      <c r="J10816" t="s">
        <v>32653</v>
      </c>
      <c r="K10816" s="2" t="str">
        <f>HYPERLINK("http://collections.slsa.sa.gov.au/mpcimg/53750/B53696.htm")</f>
        <v>http://collections.slsa.sa.gov.au/mpcimg/53750/B53696.htm</v>
      </c>
    </row>
    <row r="10817" spans="1:11" x14ac:dyDescent="0.25">
      <c r="A10817" t="s">
        <v>33433</v>
      </c>
      <c r="B10817" s="1" t="str">
        <f>HYPERLINK("https://www.catalog.slsa.sa.gov.au/record=b2075759")</f>
        <v>https://www.catalog.slsa.sa.gov.au/record=b2075759</v>
      </c>
      <c r="C10817" s="1" t="str">
        <f>HYPERLINK("https://www.catalog.slsa.sa.gov.au/xrecord=b2075759")</f>
        <v>https://www.catalog.slsa.sa.gov.au/xrecord=b2075759</v>
      </c>
      <c r="D10817" t="s">
        <v>16831</v>
      </c>
      <c r="E10817" t="s">
        <v>33425</v>
      </c>
      <c r="F10817">
        <v>1990</v>
      </c>
      <c r="G10817" t="s">
        <v>15269</v>
      </c>
      <c r="H10817" t="s">
        <v>33434</v>
      </c>
      <c r="I10817" t="s">
        <v>33423</v>
      </c>
      <c r="J10817" t="s">
        <v>32653</v>
      </c>
      <c r="K10817" s="2" t="str">
        <f>HYPERLINK("http://collections.slsa.sa.gov.au/mpcimg/53750/B53697.htm")</f>
        <v>http://collections.slsa.sa.gov.au/mpcimg/53750/B53697.htm</v>
      </c>
    </row>
    <row r="10818" spans="1:11" x14ac:dyDescent="0.25">
      <c r="A10818" t="s">
        <v>33435</v>
      </c>
      <c r="B10818" s="1" t="str">
        <f>HYPERLINK("https://www.catalog.slsa.sa.gov.au/record=b2075763")</f>
        <v>https://www.catalog.slsa.sa.gov.au/record=b2075763</v>
      </c>
      <c r="C10818" s="1" t="str">
        <f>HYPERLINK("https://www.catalog.slsa.sa.gov.au/xrecord=b2075763")</f>
        <v>https://www.catalog.slsa.sa.gov.au/xrecord=b2075763</v>
      </c>
      <c r="D10818" t="s">
        <v>16831</v>
      </c>
      <c r="E10818" t="s">
        <v>33436</v>
      </c>
      <c r="F10818">
        <v>1990</v>
      </c>
      <c r="G10818" t="s">
        <v>17356</v>
      </c>
      <c r="H10818" t="s">
        <v>33437</v>
      </c>
      <c r="I10818" t="s">
        <v>33410</v>
      </c>
      <c r="J10818" t="s">
        <v>32653</v>
      </c>
      <c r="K10818" s="2" t="str">
        <f>HYPERLINK("http://collections.slsa.sa.gov.au/mpcimg/53750/B53701.htm")</f>
        <v>http://collections.slsa.sa.gov.au/mpcimg/53750/B53701.htm</v>
      </c>
    </row>
    <row r="10819" spans="1:11" x14ac:dyDescent="0.25">
      <c r="A10819" t="s">
        <v>33438</v>
      </c>
      <c r="B10819" s="1" t="str">
        <f>HYPERLINK("https://www.catalog.slsa.sa.gov.au/record=b2075765")</f>
        <v>https://www.catalog.slsa.sa.gov.au/record=b2075765</v>
      </c>
      <c r="C10819" s="1" t="str">
        <f>HYPERLINK("https://www.catalog.slsa.sa.gov.au/xrecord=b2075765")</f>
        <v>https://www.catalog.slsa.sa.gov.au/xrecord=b2075765</v>
      </c>
      <c r="D10819" t="s">
        <v>16831</v>
      </c>
      <c r="E10819" t="s">
        <v>33439</v>
      </c>
      <c r="F10819">
        <v>1990</v>
      </c>
      <c r="G10819" t="s">
        <v>17356</v>
      </c>
      <c r="H10819" t="s">
        <v>33440</v>
      </c>
      <c r="I10819" t="s">
        <v>33410</v>
      </c>
      <c r="J10819" t="s">
        <v>32653</v>
      </c>
      <c r="K10819" s="2" t="str">
        <f>HYPERLINK("http://collections.slsa.sa.gov.au/mpcimg/53750/B53703.htm")</f>
        <v>http://collections.slsa.sa.gov.au/mpcimg/53750/B53703.htm</v>
      </c>
    </row>
    <row r="10820" spans="1:11" x14ac:dyDescent="0.25">
      <c r="A10820" t="s">
        <v>33441</v>
      </c>
      <c r="B10820" s="1" t="str">
        <f>HYPERLINK("https://www.catalog.slsa.sa.gov.au/record=b2075991")</f>
        <v>https://www.catalog.slsa.sa.gov.au/record=b2075991</v>
      </c>
      <c r="C10820" s="1" t="str">
        <f>HYPERLINK("https://www.catalog.slsa.sa.gov.au/xrecord=b2075991")</f>
        <v>https://www.catalog.slsa.sa.gov.au/xrecord=b2075991</v>
      </c>
      <c r="D10820" t="s">
        <v>16831</v>
      </c>
      <c r="E10820" t="s">
        <v>33442</v>
      </c>
      <c r="F10820">
        <v>1990</v>
      </c>
      <c r="G10820" t="s">
        <v>17478</v>
      </c>
      <c r="H10820" t="s">
        <v>33443</v>
      </c>
      <c r="I10820" t="s">
        <v>33444</v>
      </c>
      <c r="J10820" t="s">
        <v>33445</v>
      </c>
      <c r="K10820" s="2" t="str">
        <f>HYPERLINK("http://collections.slsa.sa.gov.au/mpcimg/54000/B53934.htm")</f>
        <v>http://collections.slsa.sa.gov.au/mpcimg/54000/B53934.htm</v>
      </c>
    </row>
    <row r="10821" spans="1:11" x14ac:dyDescent="0.25">
      <c r="A10821" t="s">
        <v>33446</v>
      </c>
      <c r="B10821" s="1" t="str">
        <f>HYPERLINK("https://www.catalog.slsa.sa.gov.au/record=b2075992")</f>
        <v>https://www.catalog.slsa.sa.gov.au/record=b2075992</v>
      </c>
      <c r="C10821" s="1" t="str">
        <f>HYPERLINK("https://www.catalog.slsa.sa.gov.au/xrecord=b2075992")</f>
        <v>https://www.catalog.slsa.sa.gov.au/xrecord=b2075992</v>
      </c>
      <c r="D10821" t="s">
        <v>16831</v>
      </c>
      <c r="E10821" t="s">
        <v>33447</v>
      </c>
      <c r="F10821">
        <v>1990</v>
      </c>
      <c r="G10821" t="s">
        <v>15269</v>
      </c>
      <c r="H10821" t="s">
        <v>33448</v>
      </c>
      <c r="I10821" t="s">
        <v>17614</v>
      </c>
      <c r="J10821" t="s">
        <v>22878</v>
      </c>
      <c r="K10821" s="2" t="str">
        <f>HYPERLINK("http://collections.slsa.sa.gov.au/mpcimg/54000/B53935.htm")</f>
        <v>http://collections.slsa.sa.gov.au/mpcimg/54000/B53935.htm</v>
      </c>
    </row>
    <row r="10822" spans="1:11" x14ac:dyDescent="0.25">
      <c r="A10822" t="s">
        <v>33449</v>
      </c>
      <c r="B10822" s="1" t="str">
        <f>HYPERLINK("https://www.catalog.slsa.sa.gov.au/record=b2075993")</f>
        <v>https://www.catalog.slsa.sa.gov.au/record=b2075993</v>
      </c>
      <c r="C10822" s="1" t="str">
        <f>HYPERLINK("https://www.catalog.slsa.sa.gov.au/xrecord=b2075993")</f>
        <v>https://www.catalog.slsa.sa.gov.au/xrecord=b2075993</v>
      </c>
      <c r="D10822" t="s">
        <v>16831</v>
      </c>
      <c r="E10822" t="s">
        <v>33450</v>
      </c>
      <c r="F10822">
        <v>1990</v>
      </c>
      <c r="G10822" t="s">
        <v>33451</v>
      </c>
      <c r="H10822" t="s">
        <v>33452</v>
      </c>
      <c r="I10822" t="s">
        <v>33453</v>
      </c>
      <c r="J10822" t="s">
        <v>24184</v>
      </c>
      <c r="K10822" s="2" t="str">
        <f>HYPERLINK("http://collections.slsa.sa.gov.au/mpcimg/54000/B53936.htm")</f>
        <v>http://collections.slsa.sa.gov.au/mpcimg/54000/B53936.htm</v>
      </c>
    </row>
    <row r="10823" spans="1:11" x14ac:dyDescent="0.25">
      <c r="A10823" t="s">
        <v>33454</v>
      </c>
      <c r="B10823" s="1" t="str">
        <f>HYPERLINK("https://www.catalog.slsa.sa.gov.au/record=b2075994")</f>
        <v>https://www.catalog.slsa.sa.gov.au/record=b2075994</v>
      </c>
      <c r="C10823" s="1" t="str">
        <f>HYPERLINK("https://www.catalog.slsa.sa.gov.au/xrecord=b2075994")</f>
        <v>https://www.catalog.slsa.sa.gov.au/xrecord=b2075994</v>
      </c>
      <c r="D10823" t="s">
        <v>16831</v>
      </c>
      <c r="E10823" t="s">
        <v>33455</v>
      </c>
      <c r="F10823">
        <v>1990</v>
      </c>
      <c r="G10823" t="s">
        <v>15269</v>
      </c>
      <c r="H10823" t="s">
        <v>33456</v>
      </c>
      <c r="J10823" t="s">
        <v>24143</v>
      </c>
      <c r="K10823" s="2" t="str">
        <f>HYPERLINK("http://collections.slsa.sa.gov.au/mpcimg/54000/B53937.htm")</f>
        <v>http://collections.slsa.sa.gov.au/mpcimg/54000/B53937.htm</v>
      </c>
    </row>
    <row r="10824" spans="1:11" x14ac:dyDescent="0.25">
      <c r="A10824" t="s">
        <v>33457</v>
      </c>
      <c r="B10824" s="1" t="str">
        <f>HYPERLINK("https://www.catalog.slsa.sa.gov.au/record=b2076012")</f>
        <v>https://www.catalog.slsa.sa.gov.au/record=b2076012</v>
      </c>
      <c r="C10824" s="1" t="str">
        <f>HYPERLINK("https://www.catalog.slsa.sa.gov.au/xrecord=b2076012")</f>
        <v>https://www.catalog.slsa.sa.gov.au/xrecord=b2076012</v>
      </c>
      <c r="D10824" t="s">
        <v>16831</v>
      </c>
      <c r="E10824" t="s">
        <v>33458</v>
      </c>
      <c r="F10824">
        <v>1990</v>
      </c>
      <c r="G10824" t="s">
        <v>33416</v>
      </c>
      <c r="H10824" t="s">
        <v>33459</v>
      </c>
      <c r="I10824" t="s">
        <v>33460</v>
      </c>
      <c r="J10824" t="s">
        <v>32653</v>
      </c>
      <c r="K10824" s="2" t="str">
        <f>HYPERLINK("http://collections.slsa.sa.gov.au/mpcimg/54000/B53955.htm")</f>
        <v>http://collections.slsa.sa.gov.au/mpcimg/54000/B53955.htm</v>
      </c>
    </row>
    <row r="10825" spans="1:11" x14ac:dyDescent="0.25">
      <c r="A10825" t="s">
        <v>33461</v>
      </c>
      <c r="B10825" s="1" t="str">
        <f>HYPERLINK("https://www.catalog.slsa.sa.gov.au/record=b2076013")</f>
        <v>https://www.catalog.slsa.sa.gov.au/record=b2076013</v>
      </c>
      <c r="C10825" s="1" t="str">
        <f>HYPERLINK("https://www.catalog.slsa.sa.gov.au/xrecord=b2076013")</f>
        <v>https://www.catalog.slsa.sa.gov.au/xrecord=b2076013</v>
      </c>
      <c r="D10825" t="s">
        <v>16831</v>
      </c>
      <c r="E10825" t="s">
        <v>33462</v>
      </c>
      <c r="F10825">
        <v>1990</v>
      </c>
      <c r="G10825" t="s">
        <v>15269</v>
      </c>
      <c r="H10825" t="s">
        <v>33463</v>
      </c>
      <c r="I10825" t="s">
        <v>33464</v>
      </c>
      <c r="J10825" t="s">
        <v>32653</v>
      </c>
      <c r="K10825" s="2" t="str">
        <f>HYPERLINK("http://collections.slsa.sa.gov.au/mpcimg/54000/B53956.htm")</f>
        <v>http://collections.slsa.sa.gov.au/mpcimg/54000/B53956.htm</v>
      </c>
    </row>
    <row r="10826" spans="1:11" x14ac:dyDescent="0.25">
      <c r="A10826" t="s">
        <v>33465</v>
      </c>
      <c r="B10826" s="1" t="str">
        <f>HYPERLINK("https://www.catalog.slsa.sa.gov.au/record=b2076014")</f>
        <v>https://www.catalog.slsa.sa.gov.au/record=b2076014</v>
      </c>
      <c r="C10826" s="1" t="str">
        <f>HYPERLINK("https://www.catalog.slsa.sa.gov.au/xrecord=b2076014")</f>
        <v>https://www.catalog.slsa.sa.gov.au/xrecord=b2076014</v>
      </c>
      <c r="D10826" t="s">
        <v>16831</v>
      </c>
      <c r="E10826" t="s">
        <v>33466</v>
      </c>
      <c r="F10826">
        <v>1990</v>
      </c>
      <c r="G10826" t="s">
        <v>15269</v>
      </c>
      <c r="H10826" t="s">
        <v>33467</v>
      </c>
      <c r="I10826" t="s">
        <v>33468</v>
      </c>
      <c r="J10826" t="s">
        <v>32653</v>
      </c>
      <c r="K10826" s="2" t="str">
        <f>HYPERLINK("http://collections.slsa.sa.gov.au/mpcimg/54000/B53957.htm")</f>
        <v>http://collections.slsa.sa.gov.au/mpcimg/54000/B53957.htm</v>
      </c>
    </row>
    <row r="10827" spans="1:11" x14ac:dyDescent="0.25">
      <c r="A10827" t="s">
        <v>33469</v>
      </c>
      <c r="B10827" s="1" t="str">
        <f>HYPERLINK("https://www.catalog.slsa.sa.gov.au/record=b2076015")</f>
        <v>https://www.catalog.slsa.sa.gov.au/record=b2076015</v>
      </c>
      <c r="C10827" s="1" t="str">
        <f>HYPERLINK("https://www.catalog.slsa.sa.gov.au/xrecord=b2076015")</f>
        <v>https://www.catalog.slsa.sa.gov.au/xrecord=b2076015</v>
      </c>
      <c r="D10827" t="s">
        <v>16831</v>
      </c>
      <c r="E10827" t="s">
        <v>33470</v>
      </c>
      <c r="F10827">
        <v>1990</v>
      </c>
      <c r="G10827" t="s">
        <v>15269</v>
      </c>
      <c r="H10827" t="s">
        <v>33471</v>
      </c>
      <c r="I10827" t="s">
        <v>33472</v>
      </c>
      <c r="J10827" t="s">
        <v>32653</v>
      </c>
      <c r="K10827" s="2" t="str">
        <f>HYPERLINK("http://collections.slsa.sa.gov.au/mpcimg/54000/B53958.htm")</f>
        <v>http://collections.slsa.sa.gov.au/mpcimg/54000/B53958.htm</v>
      </c>
    </row>
    <row r="10828" spans="1:11" x14ac:dyDescent="0.25">
      <c r="A10828" t="s">
        <v>33473</v>
      </c>
      <c r="B10828" s="1" t="str">
        <f>HYPERLINK("https://www.catalog.slsa.sa.gov.au/record=b2076576")</f>
        <v>https://www.catalog.slsa.sa.gov.au/record=b2076576</v>
      </c>
      <c r="C10828" s="1" t="str">
        <f>HYPERLINK("https://www.catalog.slsa.sa.gov.au/xrecord=b2076576")</f>
        <v>https://www.catalog.slsa.sa.gov.au/xrecord=b2076576</v>
      </c>
      <c r="D10828" t="s">
        <v>16831</v>
      </c>
      <c r="E10828" t="s">
        <v>33474</v>
      </c>
      <c r="F10828">
        <v>1990</v>
      </c>
      <c r="G10828" t="s">
        <v>33475</v>
      </c>
      <c r="H10828" t="s">
        <v>33476</v>
      </c>
      <c r="I10828" t="s">
        <v>33477</v>
      </c>
      <c r="J10828" t="s">
        <v>32653</v>
      </c>
      <c r="K10828" s="2" t="str">
        <f>HYPERLINK("http://collections.slsa.sa.gov.au/mpcimg/54750/B54521.htm")</f>
        <v>http://collections.slsa.sa.gov.au/mpcimg/54750/B54521.htm</v>
      </c>
    </row>
    <row r="10829" spans="1:11" x14ac:dyDescent="0.25">
      <c r="A10829" t="s">
        <v>33478</v>
      </c>
      <c r="B10829" s="1" t="str">
        <f>HYPERLINK("https://www.catalog.slsa.sa.gov.au/record=b2076577")</f>
        <v>https://www.catalog.slsa.sa.gov.au/record=b2076577</v>
      </c>
      <c r="C10829" s="1" t="str">
        <f>HYPERLINK("https://www.catalog.slsa.sa.gov.au/xrecord=b2076577")</f>
        <v>https://www.catalog.slsa.sa.gov.au/xrecord=b2076577</v>
      </c>
      <c r="D10829" t="s">
        <v>16831</v>
      </c>
      <c r="E10829" t="s">
        <v>33479</v>
      </c>
      <c r="F10829">
        <v>1990</v>
      </c>
      <c r="G10829" t="s">
        <v>33475</v>
      </c>
      <c r="H10829" t="s">
        <v>33480</v>
      </c>
      <c r="I10829" t="s">
        <v>33477</v>
      </c>
      <c r="J10829" t="s">
        <v>32653</v>
      </c>
      <c r="K10829" s="2" t="str">
        <f>HYPERLINK("http://collections.slsa.sa.gov.au/mpcimg/54750/B54522.htm")</f>
        <v>http://collections.slsa.sa.gov.au/mpcimg/54750/B54522.htm</v>
      </c>
    </row>
    <row r="10830" spans="1:11" x14ac:dyDescent="0.25">
      <c r="A10830" t="s">
        <v>33481</v>
      </c>
      <c r="B10830" s="1" t="str">
        <f>HYPERLINK("https://www.catalog.slsa.sa.gov.au/record=b2076578")</f>
        <v>https://www.catalog.slsa.sa.gov.au/record=b2076578</v>
      </c>
      <c r="C10830" s="1" t="str">
        <f>HYPERLINK("https://www.catalog.slsa.sa.gov.au/xrecord=b2076578")</f>
        <v>https://www.catalog.slsa.sa.gov.au/xrecord=b2076578</v>
      </c>
      <c r="D10830" t="s">
        <v>16831</v>
      </c>
      <c r="E10830" t="s">
        <v>33482</v>
      </c>
      <c r="F10830">
        <v>1990</v>
      </c>
      <c r="G10830" t="s">
        <v>33475</v>
      </c>
      <c r="H10830" t="s">
        <v>33483</v>
      </c>
      <c r="I10830" t="s">
        <v>33477</v>
      </c>
      <c r="J10830" t="s">
        <v>32653</v>
      </c>
      <c r="K10830" s="2" t="str">
        <f>HYPERLINK("http://collections.slsa.sa.gov.au/mpcimg/54750/B54523.htm")</f>
        <v>http://collections.slsa.sa.gov.au/mpcimg/54750/B54523.htm</v>
      </c>
    </row>
    <row r="10831" spans="1:11" x14ac:dyDescent="0.25">
      <c r="A10831" t="s">
        <v>33484</v>
      </c>
      <c r="B10831" s="1" t="str">
        <f>HYPERLINK("https://www.catalog.slsa.sa.gov.au/record=b2076579")</f>
        <v>https://www.catalog.slsa.sa.gov.au/record=b2076579</v>
      </c>
      <c r="C10831" s="1" t="str">
        <f>HYPERLINK("https://www.catalog.slsa.sa.gov.au/xrecord=b2076579")</f>
        <v>https://www.catalog.slsa.sa.gov.au/xrecord=b2076579</v>
      </c>
      <c r="D10831" t="s">
        <v>16831</v>
      </c>
      <c r="E10831" t="s">
        <v>33482</v>
      </c>
      <c r="F10831">
        <v>1990</v>
      </c>
      <c r="G10831" t="s">
        <v>33475</v>
      </c>
      <c r="H10831" t="s">
        <v>33485</v>
      </c>
      <c r="I10831" t="s">
        <v>33477</v>
      </c>
      <c r="J10831" t="s">
        <v>32653</v>
      </c>
      <c r="K10831" s="2" t="str">
        <f>HYPERLINK("http://collections.slsa.sa.gov.au/mpcimg/54750/B54524.htm")</f>
        <v>http://collections.slsa.sa.gov.au/mpcimg/54750/B54524.htm</v>
      </c>
    </row>
    <row r="10832" spans="1:11" x14ac:dyDescent="0.25">
      <c r="A10832" t="s">
        <v>33486</v>
      </c>
      <c r="B10832" s="1" t="str">
        <f>HYPERLINK("https://www.catalog.slsa.sa.gov.au/record=b2076580")</f>
        <v>https://www.catalog.slsa.sa.gov.au/record=b2076580</v>
      </c>
      <c r="C10832" s="1" t="str">
        <f>HYPERLINK("https://www.catalog.slsa.sa.gov.au/xrecord=b2076580")</f>
        <v>https://www.catalog.slsa.sa.gov.au/xrecord=b2076580</v>
      </c>
      <c r="D10832" t="s">
        <v>16831</v>
      </c>
      <c r="E10832" t="s">
        <v>33487</v>
      </c>
      <c r="F10832">
        <v>1990</v>
      </c>
      <c r="G10832" t="s">
        <v>33475</v>
      </c>
      <c r="H10832" t="s">
        <v>33488</v>
      </c>
      <c r="I10832" t="s">
        <v>33477</v>
      </c>
      <c r="J10832" t="s">
        <v>32653</v>
      </c>
      <c r="K10832" s="2" t="str">
        <f>HYPERLINK("http://collections.slsa.sa.gov.au/mpcimg/54750/B54525.htm")</f>
        <v>http://collections.slsa.sa.gov.au/mpcimg/54750/B54525.htm</v>
      </c>
    </row>
    <row r="10833" spans="1:11" x14ac:dyDescent="0.25">
      <c r="A10833" t="s">
        <v>33489</v>
      </c>
      <c r="B10833" s="1" t="str">
        <f>HYPERLINK("https://www.catalog.slsa.sa.gov.au/record=b2076581")</f>
        <v>https://www.catalog.slsa.sa.gov.au/record=b2076581</v>
      </c>
      <c r="C10833" s="1" t="str">
        <f>HYPERLINK("https://www.catalog.slsa.sa.gov.au/xrecord=b2076581")</f>
        <v>https://www.catalog.slsa.sa.gov.au/xrecord=b2076581</v>
      </c>
      <c r="D10833" t="s">
        <v>16831</v>
      </c>
      <c r="E10833" t="s">
        <v>33490</v>
      </c>
      <c r="F10833">
        <v>1990</v>
      </c>
      <c r="G10833" t="s">
        <v>33475</v>
      </c>
      <c r="H10833" t="s">
        <v>33491</v>
      </c>
      <c r="I10833" t="s">
        <v>33477</v>
      </c>
      <c r="J10833" t="s">
        <v>32653</v>
      </c>
      <c r="K10833" s="2" t="str">
        <f>HYPERLINK("http://collections.slsa.sa.gov.au/mpcimg/54750/B54526.htm")</f>
        <v>http://collections.slsa.sa.gov.au/mpcimg/54750/B54526.htm</v>
      </c>
    </row>
    <row r="10834" spans="1:11" x14ac:dyDescent="0.25">
      <c r="A10834" t="s">
        <v>33492</v>
      </c>
      <c r="B10834" s="1" t="str">
        <f>HYPERLINK("https://www.catalog.slsa.sa.gov.au/record=b2076582")</f>
        <v>https://www.catalog.slsa.sa.gov.au/record=b2076582</v>
      </c>
      <c r="C10834" s="1" t="str">
        <f>HYPERLINK("https://www.catalog.slsa.sa.gov.au/xrecord=b2076582")</f>
        <v>https://www.catalog.slsa.sa.gov.au/xrecord=b2076582</v>
      </c>
      <c r="D10834" t="s">
        <v>16831</v>
      </c>
      <c r="E10834" t="s">
        <v>33490</v>
      </c>
      <c r="F10834">
        <v>1990</v>
      </c>
      <c r="G10834" t="s">
        <v>33475</v>
      </c>
      <c r="H10834" t="s">
        <v>33493</v>
      </c>
      <c r="I10834" t="s">
        <v>33477</v>
      </c>
      <c r="J10834" t="s">
        <v>32653</v>
      </c>
      <c r="K10834" s="2" t="str">
        <f>HYPERLINK("http://collections.slsa.sa.gov.au/mpcimg/54750/B54527.htm")</f>
        <v>http://collections.slsa.sa.gov.au/mpcimg/54750/B54527.htm</v>
      </c>
    </row>
    <row r="10835" spans="1:11" x14ac:dyDescent="0.25">
      <c r="A10835" t="s">
        <v>33494</v>
      </c>
      <c r="B10835" s="1" t="str">
        <f>HYPERLINK("https://www.catalog.slsa.sa.gov.au/record=b2076583")</f>
        <v>https://www.catalog.slsa.sa.gov.au/record=b2076583</v>
      </c>
      <c r="C10835" s="1" t="str">
        <f>HYPERLINK("https://www.catalog.slsa.sa.gov.au/xrecord=b2076583")</f>
        <v>https://www.catalog.slsa.sa.gov.au/xrecord=b2076583</v>
      </c>
      <c r="D10835" t="s">
        <v>16831</v>
      </c>
      <c r="E10835" t="s">
        <v>33490</v>
      </c>
      <c r="F10835">
        <v>1990</v>
      </c>
      <c r="G10835" t="s">
        <v>33475</v>
      </c>
      <c r="H10835" t="s">
        <v>33495</v>
      </c>
      <c r="I10835" t="s">
        <v>33477</v>
      </c>
      <c r="J10835" t="s">
        <v>32653</v>
      </c>
      <c r="K10835" s="2" t="str">
        <f>HYPERLINK("http://collections.slsa.sa.gov.au/mpcimg/54750/B54528.htm")</f>
        <v>http://collections.slsa.sa.gov.au/mpcimg/54750/B54528.htm</v>
      </c>
    </row>
    <row r="10836" spans="1:11" x14ac:dyDescent="0.25">
      <c r="A10836" t="s">
        <v>33496</v>
      </c>
      <c r="B10836" s="1" t="str">
        <f>HYPERLINK("https://www.catalog.slsa.sa.gov.au/record=b2076584")</f>
        <v>https://www.catalog.slsa.sa.gov.au/record=b2076584</v>
      </c>
      <c r="C10836" s="1" t="str">
        <f>HYPERLINK("https://www.catalog.slsa.sa.gov.au/xrecord=b2076584")</f>
        <v>https://www.catalog.slsa.sa.gov.au/xrecord=b2076584</v>
      </c>
      <c r="D10836" t="s">
        <v>16831</v>
      </c>
      <c r="E10836" t="s">
        <v>33490</v>
      </c>
      <c r="F10836">
        <v>1990</v>
      </c>
      <c r="G10836" t="s">
        <v>33475</v>
      </c>
      <c r="H10836" t="s">
        <v>33497</v>
      </c>
      <c r="I10836" t="s">
        <v>33477</v>
      </c>
      <c r="J10836" t="s">
        <v>32653</v>
      </c>
      <c r="K10836" s="2" t="str">
        <f>HYPERLINK("http://collections.slsa.sa.gov.au/mpcimg/54750/B54529.htm")</f>
        <v>http://collections.slsa.sa.gov.au/mpcimg/54750/B54529.htm</v>
      </c>
    </row>
    <row r="10837" spans="1:11" x14ac:dyDescent="0.25">
      <c r="A10837" t="s">
        <v>33498</v>
      </c>
      <c r="B10837" s="1" t="str">
        <f>HYPERLINK("https://www.catalog.slsa.sa.gov.au/record=b2076585")</f>
        <v>https://www.catalog.slsa.sa.gov.au/record=b2076585</v>
      </c>
      <c r="C10837" s="1" t="str">
        <f>HYPERLINK("https://www.catalog.slsa.sa.gov.au/xrecord=b2076585")</f>
        <v>https://www.catalog.slsa.sa.gov.au/xrecord=b2076585</v>
      </c>
      <c r="D10837" t="s">
        <v>16831</v>
      </c>
      <c r="E10837" t="s">
        <v>33490</v>
      </c>
      <c r="F10837">
        <v>1990</v>
      </c>
      <c r="G10837" t="s">
        <v>33475</v>
      </c>
      <c r="H10837" t="s">
        <v>33499</v>
      </c>
      <c r="I10837" t="s">
        <v>33477</v>
      </c>
      <c r="J10837" t="s">
        <v>32653</v>
      </c>
      <c r="K10837" s="2" t="str">
        <f>HYPERLINK("http://collections.slsa.sa.gov.au/mpcimg/54750/B54530.htm")</f>
        <v>http://collections.slsa.sa.gov.au/mpcimg/54750/B54530.htm</v>
      </c>
    </row>
    <row r="10838" spans="1:11" x14ac:dyDescent="0.25">
      <c r="A10838" t="s">
        <v>33500</v>
      </c>
      <c r="B10838" s="1" t="str">
        <f>HYPERLINK("https://www.catalog.slsa.sa.gov.au/record=b2076586")</f>
        <v>https://www.catalog.slsa.sa.gov.au/record=b2076586</v>
      </c>
      <c r="C10838" s="1" t="str">
        <f>HYPERLINK("https://www.catalog.slsa.sa.gov.au/xrecord=b2076586")</f>
        <v>https://www.catalog.slsa.sa.gov.au/xrecord=b2076586</v>
      </c>
      <c r="D10838" t="s">
        <v>16831</v>
      </c>
      <c r="E10838" t="s">
        <v>33490</v>
      </c>
      <c r="F10838">
        <v>1990</v>
      </c>
      <c r="G10838" t="s">
        <v>33475</v>
      </c>
      <c r="H10838" t="s">
        <v>33501</v>
      </c>
      <c r="I10838" t="s">
        <v>33477</v>
      </c>
      <c r="J10838" t="s">
        <v>32653</v>
      </c>
      <c r="K10838" s="2" t="str">
        <f>HYPERLINK("http://collections.slsa.sa.gov.au/mpcimg/54750/B54531.htm")</f>
        <v>http://collections.slsa.sa.gov.au/mpcimg/54750/B54531.htm</v>
      </c>
    </row>
    <row r="10839" spans="1:11" x14ac:dyDescent="0.25">
      <c r="A10839" t="s">
        <v>33502</v>
      </c>
      <c r="B10839" s="1" t="str">
        <f>HYPERLINK("https://www.catalog.slsa.sa.gov.au/record=b2076587")</f>
        <v>https://www.catalog.slsa.sa.gov.au/record=b2076587</v>
      </c>
      <c r="C10839" s="1" t="str">
        <f>HYPERLINK("https://www.catalog.slsa.sa.gov.au/xrecord=b2076587")</f>
        <v>https://www.catalog.slsa.sa.gov.au/xrecord=b2076587</v>
      </c>
      <c r="D10839" t="s">
        <v>16831</v>
      </c>
      <c r="E10839" t="s">
        <v>33490</v>
      </c>
      <c r="F10839">
        <v>1990</v>
      </c>
      <c r="G10839" t="s">
        <v>33475</v>
      </c>
      <c r="H10839" t="s">
        <v>33503</v>
      </c>
      <c r="I10839" t="s">
        <v>33504</v>
      </c>
      <c r="J10839" t="s">
        <v>32653</v>
      </c>
      <c r="K10839" s="2" t="str">
        <f>HYPERLINK("http://collections.slsa.sa.gov.au/mpcimg/54750/B54532.htm")</f>
        <v>http://collections.slsa.sa.gov.au/mpcimg/54750/B54532.htm</v>
      </c>
    </row>
    <row r="10840" spans="1:11" x14ac:dyDescent="0.25">
      <c r="A10840" t="s">
        <v>33505</v>
      </c>
      <c r="B10840" s="1" t="str">
        <f>HYPERLINK("https://www.catalog.slsa.sa.gov.au/record=b2076588")</f>
        <v>https://www.catalog.slsa.sa.gov.au/record=b2076588</v>
      </c>
      <c r="C10840" s="1" t="str">
        <f>HYPERLINK("https://www.catalog.slsa.sa.gov.au/xrecord=b2076588")</f>
        <v>https://www.catalog.slsa.sa.gov.au/xrecord=b2076588</v>
      </c>
      <c r="D10840" t="s">
        <v>16831</v>
      </c>
      <c r="E10840" t="s">
        <v>33506</v>
      </c>
      <c r="F10840">
        <v>1990</v>
      </c>
      <c r="G10840" t="s">
        <v>33475</v>
      </c>
      <c r="H10840" t="s">
        <v>33507</v>
      </c>
      <c r="I10840" t="s">
        <v>33508</v>
      </c>
      <c r="J10840" t="s">
        <v>32653</v>
      </c>
      <c r="K10840" s="2" t="str">
        <f>HYPERLINK("http://collections.slsa.sa.gov.au/mpcimg/54750/B54533.htm")</f>
        <v>http://collections.slsa.sa.gov.au/mpcimg/54750/B54533.htm</v>
      </c>
    </row>
    <row r="10841" spans="1:11" x14ac:dyDescent="0.25">
      <c r="A10841" t="s">
        <v>33509</v>
      </c>
      <c r="B10841" s="1" t="str">
        <f>HYPERLINK("https://www.catalog.slsa.sa.gov.au/record=b2076696")</f>
        <v>https://www.catalog.slsa.sa.gov.au/record=b2076696</v>
      </c>
      <c r="C10841" s="1" t="str">
        <f>HYPERLINK("https://www.catalog.slsa.sa.gov.au/xrecord=b2076696")</f>
        <v>https://www.catalog.slsa.sa.gov.au/xrecord=b2076696</v>
      </c>
      <c r="D10841" t="s">
        <v>16831</v>
      </c>
      <c r="E10841" t="s">
        <v>33510</v>
      </c>
      <c r="F10841">
        <v>1990</v>
      </c>
      <c r="G10841" t="s">
        <v>17356</v>
      </c>
      <c r="H10841" t="s">
        <v>33511</v>
      </c>
      <c r="J10841" t="s">
        <v>32653</v>
      </c>
      <c r="K10841" s="2" t="str">
        <f>HYPERLINK("http://collections.slsa.sa.gov.au/mpcimg/54750/B54642.htm")</f>
        <v>http://collections.slsa.sa.gov.au/mpcimg/54750/B54642.htm</v>
      </c>
    </row>
    <row r="10842" spans="1:11" x14ac:dyDescent="0.25">
      <c r="A10842" t="s">
        <v>33512</v>
      </c>
      <c r="B10842" s="1" t="str">
        <f>HYPERLINK("https://www.catalog.slsa.sa.gov.au/record=b2076697")</f>
        <v>https://www.catalog.slsa.sa.gov.au/record=b2076697</v>
      </c>
      <c r="C10842" s="1" t="str">
        <f>HYPERLINK("https://www.catalog.slsa.sa.gov.au/xrecord=b2076697")</f>
        <v>https://www.catalog.slsa.sa.gov.au/xrecord=b2076697</v>
      </c>
      <c r="D10842" t="s">
        <v>16831</v>
      </c>
      <c r="E10842" t="s">
        <v>33510</v>
      </c>
      <c r="F10842">
        <v>1990</v>
      </c>
      <c r="G10842" t="s">
        <v>17356</v>
      </c>
      <c r="H10842" t="s">
        <v>33513</v>
      </c>
      <c r="J10842" t="s">
        <v>32653</v>
      </c>
      <c r="K10842" s="2" t="str">
        <f>HYPERLINK("http://collections.slsa.sa.gov.au/mpcimg/54750/B54643.htm")</f>
        <v>http://collections.slsa.sa.gov.au/mpcimg/54750/B54643.htm</v>
      </c>
    </row>
    <row r="10843" spans="1:11" x14ac:dyDescent="0.25">
      <c r="A10843" t="s">
        <v>33514</v>
      </c>
      <c r="B10843" s="1" t="str">
        <f>HYPERLINK("https://www.catalog.slsa.sa.gov.au/record=b2080722")</f>
        <v>https://www.catalog.slsa.sa.gov.au/record=b2080722</v>
      </c>
      <c r="C10843" s="1" t="str">
        <f>HYPERLINK("https://www.catalog.slsa.sa.gov.au/xrecord=b2080722")</f>
        <v>https://www.catalog.slsa.sa.gov.au/xrecord=b2080722</v>
      </c>
      <c r="D10843" t="s">
        <v>16831</v>
      </c>
      <c r="E10843" t="s">
        <v>33515</v>
      </c>
      <c r="F10843">
        <v>1990</v>
      </c>
      <c r="G10843" t="s">
        <v>15269</v>
      </c>
      <c r="H10843" t="s">
        <v>33516</v>
      </c>
      <c r="I10843" t="s">
        <v>33517</v>
      </c>
      <c r="J10843" t="s">
        <v>33383</v>
      </c>
      <c r="K10843" s="2" t="str">
        <f>HYPERLINK("http://collections.slsa.sa.gov.au/mpcimg/58750/B58656.htm")</f>
        <v>http://collections.slsa.sa.gov.au/mpcimg/58750/B58656.htm</v>
      </c>
    </row>
    <row r="10844" spans="1:11" x14ac:dyDescent="0.25">
      <c r="A10844" t="s">
        <v>33518</v>
      </c>
      <c r="B10844" s="1" t="str">
        <f>HYPERLINK("https://www.catalog.slsa.sa.gov.au/record=b2067553")</f>
        <v>https://www.catalog.slsa.sa.gov.au/record=b2067553</v>
      </c>
      <c r="C10844" s="1" t="str">
        <f>HYPERLINK("https://www.catalog.slsa.sa.gov.au/xrecord=b2067553")</f>
        <v>https://www.catalog.slsa.sa.gov.au/xrecord=b2067553</v>
      </c>
      <c r="D10844" t="s">
        <v>16831</v>
      </c>
      <c r="E10844" t="s">
        <v>31646</v>
      </c>
      <c r="F10844" t="s">
        <v>33519</v>
      </c>
      <c r="G10844" t="s">
        <v>16312</v>
      </c>
      <c r="H10844" t="s">
        <v>33520</v>
      </c>
      <c r="J10844" t="s">
        <v>33521</v>
      </c>
      <c r="K10844" s="2" t="str">
        <f>HYPERLINK("http://collections.slsa.sa.gov.au/mpcimg/53500/B53368.htm")</f>
        <v>http://collections.slsa.sa.gov.au/mpcimg/53500/B53368.htm</v>
      </c>
    </row>
    <row r="10845" spans="1:11" x14ac:dyDescent="0.25">
      <c r="A10845" t="s">
        <v>33522</v>
      </c>
      <c r="B10845" s="1" t="str">
        <f>HYPERLINK("https://www.catalog.slsa.sa.gov.au/record=b2067554")</f>
        <v>https://www.catalog.slsa.sa.gov.au/record=b2067554</v>
      </c>
      <c r="C10845" s="1" t="str">
        <f>HYPERLINK("https://www.catalog.slsa.sa.gov.au/xrecord=b2067554")</f>
        <v>https://www.catalog.slsa.sa.gov.au/xrecord=b2067554</v>
      </c>
      <c r="D10845" t="s">
        <v>16831</v>
      </c>
      <c r="E10845" t="s">
        <v>31646</v>
      </c>
      <c r="F10845" t="s">
        <v>33519</v>
      </c>
      <c r="G10845" t="s">
        <v>15031</v>
      </c>
      <c r="H10845" t="s">
        <v>33523</v>
      </c>
      <c r="J10845" t="s">
        <v>32672</v>
      </c>
      <c r="K10845" s="2" t="str">
        <f>HYPERLINK("http://collections.slsa.sa.gov.au/mpcimg/53500/B53369.htm")</f>
        <v>http://collections.slsa.sa.gov.au/mpcimg/53500/B53369.htm</v>
      </c>
    </row>
    <row r="10846" spans="1:11" x14ac:dyDescent="0.25">
      <c r="A10846" t="s">
        <v>33524</v>
      </c>
      <c r="B10846" s="1" t="str">
        <f>HYPERLINK("https://www.catalog.slsa.sa.gov.au/record=b2075749")</f>
        <v>https://www.catalog.slsa.sa.gov.au/record=b2075749</v>
      </c>
      <c r="C10846" s="1" t="str">
        <f>HYPERLINK("https://www.catalog.slsa.sa.gov.au/xrecord=b2075749")</f>
        <v>https://www.catalog.slsa.sa.gov.au/xrecord=b2075749</v>
      </c>
      <c r="D10846" t="s">
        <v>16831</v>
      </c>
      <c r="E10846" t="s">
        <v>33425</v>
      </c>
      <c r="F10846" t="s">
        <v>33519</v>
      </c>
      <c r="G10846" t="s">
        <v>15269</v>
      </c>
      <c r="H10846" t="s">
        <v>33525</v>
      </c>
      <c r="I10846" t="s">
        <v>33423</v>
      </c>
      <c r="J10846" t="s">
        <v>32653</v>
      </c>
      <c r="K10846" s="2" t="str">
        <f>HYPERLINK("http://collections.slsa.sa.gov.au/mpcimg/53750/B53687.htm")</f>
        <v>http://collections.slsa.sa.gov.au/mpcimg/53750/B53687.htm</v>
      </c>
    </row>
    <row r="10847" spans="1:11" x14ac:dyDescent="0.25">
      <c r="A10847" t="s">
        <v>33526</v>
      </c>
      <c r="B10847" s="1" t="str">
        <f>HYPERLINK("https://www.catalog.slsa.sa.gov.au/record=b2075764")</f>
        <v>https://www.catalog.slsa.sa.gov.au/record=b2075764</v>
      </c>
      <c r="C10847" s="1" t="str">
        <f>HYPERLINK("https://www.catalog.slsa.sa.gov.au/xrecord=b2075764")</f>
        <v>https://www.catalog.slsa.sa.gov.au/xrecord=b2075764</v>
      </c>
      <c r="D10847" t="s">
        <v>16831</v>
      </c>
      <c r="E10847" t="s">
        <v>33436</v>
      </c>
      <c r="F10847" t="s">
        <v>33519</v>
      </c>
      <c r="G10847" t="s">
        <v>17356</v>
      </c>
      <c r="H10847" t="s">
        <v>33527</v>
      </c>
      <c r="I10847" t="s">
        <v>33410</v>
      </c>
      <c r="J10847" t="s">
        <v>32653</v>
      </c>
      <c r="K10847" s="2" t="str">
        <f>HYPERLINK("http://collections.slsa.sa.gov.au/mpcimg/53750/B53702.htm")</f>
        <v>http://collections.slsa.sa.gov.au/mpcimg/53750/B53702.htm</v>
      </c>
    </row>
    <row r="10848" spans="1:11" x14ac:dyDescent="0.25">
      <c r="A10848" t="s">
        <v>33528</v>
      </c>
      <c r="B10848" s="1" t="str">
        <f>HYPERLINK("https://www.catalog.slsa.sa.gov.au/record=b2112737")</f>
        <v>https://www.catalog.slsa.sa.gov.au/record=b2112737</v>
      </c>
      <c r="C10848" s="1" t="str">
        <f>HYPERLINK("https://www.catalog.slsa.sa.gov.au/xrecord=b2112737")</f>
        <v>https://www.catalog.slsa.sa.gov.au/xrecord=b2112737</v>
      </c>
      <c r="D10848" t="s">
        <v>16831</v>
      </c>
      <c r="E10848" t="s">
        <v>33529</v>
      </c>
      <c r="F10848" t="s">
        <v>33519</v>
      </c>
      <c r="G10848" t="s">
        <v>33530</v>
      </c>
      <c r="H10848" t="s">
        <v>33531</v>
      </c>
      <c r="I10848" t="s">
        <v>33532</v>
      </c>
      <c r="J10848" t="s">
        <v>1809</v>
      </c>
      <c r="K10848" s="2" t="str">
        <f>HYPERLINK("http://collections.slsa.sa.gov.au/mpcimg/70250/B70082.htm")</f>
        <v>http://collections.slsa.sa.gov.au/mpcimg/70250/B70082.htm</v>
      </c>
    </row>
    <row r="10849" spans="1:11" x14ac:dyDescent="0.25">
      <c r="A10849" t="s">
        <v>33533</v>
      </c>
      <c r="B10849" s="1" t="str">
        <f>HYPERLINK("https://www.catalog.slsa.sa.gov.au/record=b2958747")</f>
        <v>https://www.catalog.slsa.sa.gov.au/record=b2958747</v>
      </c>
      <c r="C10849" s="1" t="str">
        <f>HYPERLINK("https://www.catalog.slsa.sa.gov.au/xrecord=b2958747")</f>
        <v>https://www.catalog.slsa.sa.gov.au/xrecord=b2958747</v>
      </c>
      <c r="D10849" t="s">
        <v>16831</v>
      </c>
      <c r="E10849" t="s">
        <v>33534</v>
      </c>
      <c r="F10849" t="s">
        <v>33519</v>
      </c>
      <c r="G10849" t="s">
        <v>33535</v>
      </c>
      <c r="H10849" t="s">
        <v>33536</v>
      </c>
      <c r="I10849" t="s">
        <v>33537</v>
      </c>
      <c r="J10849" t="s">
        <v>26998</v>
      </c>
      <c r="K10849" s="2" t="str">
        <f>HYPERLINK("http://collections.slsa.sa.gov.au/resource/B+73949")</f>
        <v>http://collections.slsa.sa.gov.au/resource/B+73949</v>
      </c>
    </row>
    <row r="10850" spans="1:11" x14ac:dyDescent="0.25">
      <c r="A10850" t="s">
        <v>33538</v>
      </c>
      <c r="B10850" s="1" t="str">
        <f>HYPERLINK("https://www.catalog.slsa.sa.gov.au/record=b2076346")</f>
        <v>https://www.catalog.slsa.sa.gov.au/record=b2076346</v>
      </c>
      <c r="C10850" s="1" t="str">
        <f>HYPERLINK("https://www.catalog.slsa.sa.gov.au/xrecord=b2076346")</f>
        <v>https://www.catalog.slsa.sa.gov.au/xrecord=b2076346</v>
      </c>
      <c r="D10850" t="s">
        <v>16831</v>
      </c>
      <c r="E10850" t="s">
        <v>33539</v>
      </c>
      <c r="F10850">
        <v>1991</v>
      </c>
      <c r="G10850" t="s">
        <v>33540</v>
      </c>
      <c r="H10850" t="s">
        <v>33541</v>
      </c>
      <c r="J10850" t="s">
        <v>33542</v>
      </c>
      <c r="K10850" s="2" t="str">
        <f>HYPERLINK("http://collections.slsa.sa.gov.au/mpcimg/54500/B54291.htm")</f>
        <v>http://collections.slsa.sa.gov.au/mpcimg/54500/B54291.htm</v>
      </c>
    </row>
    <row r="10851" spans="1:11" x14ac:dyDescent="0.25">
      <c r="A10851" t="s">
        <v>33543</v>
      </c>
      <c r="B10851" s="1" t="str">
        <f>HYPERLINK("https://www.catalog.slsa.sa.gov.au/record=b2076351")</f>
        <v>https://www.catalog.slsa.sa.gov.au/record=b2076351</v>
      </c>
      <c r="C10851" s="1" t="str">
        <f>HYPERLINK("https://www.catalog.slsa.sa.gov.au/xrecord=b2076351")</f>
        <v>https://www.catalog.slsa.sa.gov.au/xrecord=b2076351</v>
      </c>
      <c r="D10851" t="s">
        <v>16831</v>
      </c>
      <c r="E10851" t="s">
        <v>33539</v>
      </c>
      <c r="F10851">
        <v>1991</v>
      </c>
      <c r="G10851" t="s">
        <v>17356</v>
      </c>
      <c r="H10851" t="s">
        <v>33544</v>
      </c>
      <c r="J10851" t="s">
        <v>33542</v>
      </c>
      <c r="K10851" s="2" t="str">
        <f>HYPERLINK("http://collections.slsa.sa.gov.au/mpcimg/54500/B54296.htm")</f>
        <v>http://collections.slsa.sa.gov.au/mpcimg/54500/B54296.htm</v>
      </c>
    </row>
    <row r="10852" spans="1:11" x14ac:dyDescent="0.25">
      <c r="A10852" t="s">
        <v>33545</v>
      </c>
      <c r="B10852" s="1" t="str">
        <f>HYPERLINK("https://www.catalog.slsa.sa.gov.au/record=b2076352")</f>
        <v>https://www.catalog.slsa.sa.gov.au/record=b2076352</v>
      </c>
      <c r="C10852" s="1" t="str">
        <f>HYPERLINK("https://www.catalog.slsa.sa.gov.au/xrecord=b2076352")</f>
        <v>https://www.catalog.slsa.sa.gov.au/xrecord=b2076352</v>
      </c>
      <c r="D10852" t="s">
        <v>16831</v>
      </c>
      <c r="E10852" t="s">
        <v>33539</v>
      </c>
      <c r="F10852">
        <v>1991</v>
      </c>
      <c r="G10852" t="s">
        <v>17356</v>
      </c>
      <c r="H10852" t="s">
        <v>33546</v>
      </c>
      <c r="J10852" t="s">
        <v>33542</v>
      </c>
      <c r="K10852" s="2" t="str">
        <f>HYPERLINK("http://collections.slsa.sa.gov.au/mpcimg/54500/B54297.htm")</f>
        <v>http://collections.slsa.sa.gov.au/mpcimg/54500/B54297.htm</v>
      </c>
    </row>
    <row r="10853" spans="1:11" x14ac:dyDescent="0.25">
      <c r="A10853" t="s">
        <v>33547</v>
      </c>
      <c r="B10853" s="1" t="str">
        <f>HYPERLINK("https://www.catalog.slsa.sa.gov.au/record=b2076534")</f>
        <v>https://www.catalog.slsa.sa.gov.au/record=b2076534</v>
      </c>
      <c r="C10853" s="1" t="str">
        <f>HYPERLINK("https://www.catalog.slsa.sa.gov.au/xrecord=b2076534")</f>
        <v>https://www.catalog.slsa.sa.gov.au/xrecord=b2076534</v>
      </c>
      <c r="D10853" t="s">
        <v>16831</v>
      </c>
      <c r="E10853" t="s">
        <v>33548</v>
      </c>
      <c r="F10853">
        <v>1991</v>
      </c>
      <c r="G10853" t="s">
        <v>15269</v>
      </c>
      <c r="H10853" t="s">
        <v>33549</v>
      </c>
      <c r="I10853" t="s">
        <v>33550</v>
      </c>
      <c r="J10853" t="s">
        <v>32653</v>
      </c>
      <c r="K10853" s="2" t="str">
        <f>HYPERLINK("http://collections.slsa.sa.gov.au/mpcimg/54500/B54479.htm")</f>
        <v>http://collections.slsa.sa.gov.au/mpcimg/54500/B54479.htm</v>
      </c>
    </row>
    <row r="10854" spans="1:11" x14ac:dyDescent="0.25">
      <c r="A10854" t="s">
        <v>33551</v>
      </c>
      <c r="B10854" s="1" t="str">
        <f>HYPERLINK("https://www.catalog.slsa.sa.gov.au/record=b2076678")</f>
        <v>https://www.catalog.slsa.sa.gov.au/record=b2076678</v>
      </c>
      <c r="C10854" s="1" t="str">
        <f>HYPERLINK("https://www.catalog.slsa.sa.gov.au/xrecord=b2076678")</f>
        <v>https://www.catalog.slsa.sa.gov.au/xrecord=b2076678</v>
      </c>
      <c r="D10854" t="s">
        <v>16831</v>
      </c>
      <c r="E10854" t="s">
        <v>33552</v>
      </c>
      <c r="F10854">
        <v>1991</v>
      </c>
      <c r="G10854" t="s">
        <v>33553</v>
      </c>
      <c r="H10854" t="s">
        <v>33554</v>
      </c>
      <c r="J10854" t="s">
        <v>32653</v>
      </c>
      <c r="K10854" s="2" t="str">
        <f>HYPERLINK("http://collections.slsa.sa.gov.au/mpcimg/54750/B54624.htm")</f>
        <v>http://collections.slsa.sa.gov.au/mpcimg/54750/B54624.htm</v>
      </c>
    </row>
    <row r="10855" spans="1:11" x14ac:dyDescent="0.25">
      <c r="A10855" t="s">
        <v>33555</v>
      </c>
      <c r="B10855" s="1" t="str">
        <f>HYPERLINK("https://www.catalog.slsa.sa.gov.au/record=b2076679")</f>
        <v>https://www.catalog.slsa.sa.gov.au/record=b2076679</v>
      </c>
      <c r="C10855" s="1" t="str">
        <f>HYPERLINK("https://www.catalog.slsa.sa.gov.au/xrecord=b2076679")</f>
        <v>https://www.catalog.slsa.sa.gov.au/xrecord=b2076679</v>
      </c>
      <c r="D10855" t="s">
        <v>16831</v>
      </c>
      <c r="E10855" t="s">
        <v>33556</v>
      </c>
      <c r="F10855">
        <v>1991</v>
      </c>
      <c r="G10855" t="s">
        <v>33553</v>
      </c>
      <c r="H10855" t="s">
        <v>33557</v>
      </c>
      <c r="J10855" t="s">
        <v>32653</v>
      </c>
      <c r="K10855" s="2" t="str">
        <f>HYPERLINK("http://collections.slsa.sa.gov.au/mpcimg/54750/B54625.htm")</f>
        <v>http://collections.slsa.sa.gov.au/mpcimg/54750/B54625.htm</v>
      </c>
    </row>
    <row r="10856" spans="1:11" x14ac:dyDescent="0.25">
      <c r="A10856" t="s">
        <v>33558</v>
      </c>
      <c r="B10856" s="1" t="str">
        <f>HYPERLINK("https://www.catalog.slsa.sa.gov.au/record=b2076680")</f>
        <v>https://www.catalog.slsa.sa.gov.au/record=b2076680</v>
      </c>
      <c r="C10856" s="1" t="str">
        <f>HYPERLINK("https://www.catalog.slsa.sa.gov.au/xrecord=b2076680")</f>
        <v>https://www.catalog.slsa.sa.gov.au/xrecord=b2076680</v>
      </c>
      <c r="D10856" t="s">
        <v>16831</v>
      </c>
      <c r="E10856" t="s">
        <v>33559</v>
      </c>
      <c r="F10856">
        <v>1991</v>
      </c>
      <c r="G10856" t="s">
        <v>33553</v>
      </c>
      <c r="H10856" t="s">
        <v>33560</v>
      </c>
      <c r="J10856" t="s">
        <v>32653</v>
      </c>
      <c r="K10856" s="2" t="str">
        <f>HYPERLINK("http://collections.slsa.sa.gov.au/mpcimg/54750/B54626.htm")</f>
        <v>http://collections.slsa.sa.gov.au/mpcimg/54750/B54626.htm</v>
      </c>
    </row>
    <row r="10857" spans="1:11" x14ac:dyDescent="0.25">
      <c r="A10857" t="s">
        <v>33561</v>
      </c>
      <c r="B10857" s="1" t="str">
        <f>HYPERLINK("https://www.catalog.slsa.sa.gov.au/record=b2076682")</f>
        <v>https://www.catalog.slsa.sa.gov.au/record=b2076682</v>
      </c>
      <c r="C10857" s="1" t="str">
        <f>HYPERLINK("https://www.catalog.slsa.sa.gov.au/xrecord=b2076682")</f>
        <v>https://www.catalog.slsa.sa.gov.au/xrecord=b2076682</v>
      </c>
      <c r="D10857" t="s">
        <v>16831</v>
      </c>
      <c r="E10857" t="s">
        <v>33562</v>
      </c>
      <c r="F10857">
        <v>1991</v>
      </c>
      <c r="G10857" t="s">
        <v>17356</v>
      </c>
      <c r="H10857" t="s">
        <v>33563</v>
      </c>
      <c r="J10857" t="s">
        <v>33542</v>
      </c>
      <c r="K10857" s="2" t="str">
        <f>HYPERLINK("http://collections.slsa.sa.gov.au/mpcimg/54750/B54628.htm")</f>
        <v>http://collections.slsa.sa.gov.au/mpcimg/54750/B54628.htm</v>
      </c>
    </row>
    <row r="10858" spans="1:11" x14ac:dyDescent="0.25">
      <c r="A10858" t="s">
        <v>33564</v>
      </c>
      <c r="B10858" s="1" t="str">
        <f>HYPERLINK("https://www.catalog.slsa.sa.gov.au/record=b2076683")</f>
        <v>https://www.catalog.slsa.sa.gov.au/record=b2076683</v>
      </c>
      <c r="C10858" s="1" t="str">
        <f>HYPERLINK("https://www.catalog.slsa.sa.gov.au/xrecord=b2076683")</f>
        <v>https://www.catalog.slsa.sa.gov.au/xrecord=b2076683</v>
      </c>
      <c r="D10858" t="s">
        <v>16831</v>
      </c>
      <c r="E10858" t="s">
        <v>33562</v>
      </c>
      <c r="F10858">
        <v>1991</v>
      </c>
      <c r="G10858" t="s">
        <v>17356</v>
      </c>
      <c r="H10858" t="s">
        <v>33565</v>
      </c>
      <c r="J10858" t="s">
        <v>33542</v>
      </c>
      <c r="K10858" s="2" t="str">
        <f>HYPERLINK("http://collections.slsa.sa.gov.au/mpcimg/54750/B54629.htm")</f>
        <v>http://collections.slsa.sa.gov.au/mpcimg/54750/B54629.htm</v>
      </c>
    </row>
    <row r="10859" spans="1:11" x14ac:dyDescent="0.25">
      <c r="A10859" t="s">
        <v>33566</v>
      </c>
      <c r="B10859" s="1" t="str">
        <f>HYPERLINK("https://www.catalog.slsa.sa.gov.au/record=b2076684")</f>
        <v>https://www.catalog.slsa.sa.gov.au/record=b2076684</v>
      </c>
      <c r="C10859" s="1" t="str">
        <f>HYPERLINK("https://www.catalog.slsa.sa.gov.au/xrecord=b2076684")</f>
        <v>https://www.catalog.slsa.sa.gov.au/xrecord=b2076684</v>
      </c>
      <c r="D10859" t="s">
        <v>16831</v>
      </c>
      <c r="E10859" t="s">
        <v>33562</v>
      </c>
      <c r="F10859">
        <v>1991</v>
      </c>
      <c r="G10859" t="s">
        <v>17356</v>
      </c>
      <c r="H10859" t="s">
        <v>33565</v>
      </c>
      <c r="J10859" t="s">
        <v>33542</v>
      </c>
      <c r="K10859" s="2" t="str">
        <f>HYPERLINK("http://collections.slsa.sa.gov.au/mpcimg/54750/B54630.htm")</f>
        <v>http://collections.slsa.sa.gov.au/mpcimg/54750/B54630.htm</v>
      </c>
    </row>
    <row r="10860" spans="1:11" x14ac:dyDescent="0.25">
      <c r="A10860" t="s">
        <v>33567</v>
      </c>
      <c r="B10860" s="1" t="str">
        <f>HYPERLINK("https://www.catalog.slsa.sa.gov.au/record=b2076685")</f>
        <v>https://www.catalog.slsa.sa.gov.au/record=b2076685</v>
      </c>
      <c r="C10860" s="1" t="str">
        <f>HYPERLINK("https://www.catalog.slsa.sa.gov.au/xrecord=b2076685")</f>
        <v>https://www.catalog.slsa.sa.gov.au/xrecord=b2076685</v>
      </c>
      <c r="D10860" t="s">
        <v>16831</v>
      </c>
      <c r="E10860" t="s">
        <v>33568</v>
      </c>
      <c r="F10860">
        <v>1991</v>
      </c>
      <c r="G10860" t="s">
        <v>17356</v>
      </c>
      <c r="H10860" t="s">
        <v>33565</v>
      </c>
      <c r="J10860" t="s">
        <v>33542</v>
      </c>
      <c r="K10860" s="2" t="str">
        <f>HYPERLINK("http://collections.slsa.sa.gov.au/mpcimg/54750/B54631.htm")</f>
        <v>http://collections.slsa.sa.gov.au/mpcimg/54750/B54631.htm</v>
      </c>
    </row>
    <row r="10861" spans="1:11" x14ac:dyDescent="0.25">
      <c r="A10861" t="s">
        <v>33569</v>
      </c>
      <c r="B10861" s="1" t="str">
        <f>HYPERLINK("https://www.catalog.slsa.sa.gov.au/record=b2076686")</f>
        <v>https://www.catalog.slsa.sa.gov.au/record=b2076686</v>
      </c>
      <c r="C10861" s="1" t="str">
        <f>HYPERLINK("https://www.catalog.slsa.sa.gov.au/xrecord=b2076686")</f>
        <v>https://www.catalog.slsa.sa.gov.au/xrecord=b2076686</v>
      </c>
      <c r="D10861" t="s">
        <v>16831</v>
      </c>
      <c r="E10861" t="s">
        <v>33562</v>
      </c>
      <c r="F10861">
        <v>1991</v>
      </c>
      <c r="G10861" t="s">
        <v>17356</v>
      </c>
      <c r="H10861" t="s">
        <v>33565</v>
      </c>
      <c r="J10861" t="s">
        <v>33542</v>
      </c>
      <c r="K10861" s="2" t="str">
        <f>HYPERLINK("http://collections.slsa.sa.gov.au/mpcimg/54750/B54632.htm")</f>
        <v>http://collections.slsa.sa.gov.au/mpcimg/54750/B54632.htm</v>
      </c>
    </row>
    <row r="10862" spans="1:11" x14ac:dyDescent="0.25">
      <c r="A10862" t="s">
        <v>33570</v>
      </c>
      <c r="B10862" s="1" t="str">
        <f>HYPERLINK("https://www.catalog.slsa.sa.gov.au/record=b2076687")</f>
        <v>https://www.catalog.slsa.sa.gov.au/record=b2076687</v>
      </c>
      <c r="C10862" s="1" t="str">
        <f>HYPERLINK("https://www.catalog.slsa.sa.gov.au/xrecord=b2076687")</f>
        <v>https://www.catalog.slsa.sa.gov.au/xrecord=b2076687</v>
      </c>
      <c r="D10862" t="s">
        <v>16831</v>
      </c>
      <c r="E10862" t="s">
        <v>33562</v>
      </c>
      <c r="F10862">
        <v>1991</v>
      </c>
      <c r="G10862" t="s">
        <v>17356</v>
      </c>
      <c r="H10862" t="s">
        <v>33565</v>
      </c>
      <c r="J10862" t="s">
        <v>33542</v>
      </c>
      <c r="K10862" s="2" t="str">
        <f>HYPERLINK("http://collections.slsa.sa.gov.au/mpcimg/54750/B54633.htm")</f>
        <v>http://collections.slsa.sa.gov.au/mpcimg/54750/B54633.htm</v>
      </c>
    </row>
    <row r="10863" spans="1:11" x14ac:dyDescent="0.25">
      <c r="A10863" t="s">
        <v>33571</v>
      </c>
      <c r="B10863" s="1" t="str">
        <f>HYPERLINK("https://www.catalog.slsa.sa.gov.au/record=b2076688")</f>
        <v>https://www.catalog.slsa.sa.gov.au/record=b2076688</v>
      </c>
      <c r="C10863" s="1" t="str">
        <f>HYPERLINK("https://www.catalog.slsa.sa.gov.au/xrecord=b2076688")</f>
        <v>https://www.catalog.slsa.sa.gov.au/xrecord=b2076688</v>
      </c>
      <c r="D10863" t="s">
        <v>16831</v>
      </c>
      <c r="E10863" t="s">
        <v>33562</v>
      </c>
      <c r="F10863">
        <v>1991</v>
      </c>
      <c r="G10863" t="s">
        <v>17356</v>
      </c>
      <c r="H10863" t="s">
        <v>33565</v>
      </c>
      <c r="J10863" t="s">
        <v>33542</v>
      </c>
      <c r="K10863" s="2" t="str">
        <f>HYPERLINK("http://collections.slsa.sa.gov.au/mpcimg/54750/B54634.htm")</f>
        <v>http://collections.slsa.sa.gov.au/mpcimg/54750/B54634.htm</v>
      </c>
    </row>
    <row r="10864" spans="1:11" x14ac:dyDescent="0.25">
      <c r="A10864" t="s">
        <v>33572</v>
      </c>
      <c r="B10864" s="1" t="str">
        <f>HYPERLINK("https://www.catalog.slsa.sa.gov.au/record=b2076689")</f>
        <v>https://www.catalog.slsa.sa.gov.au/record=b2076689</v>
      </c>
      <c r="C10864" s="1" t="str">
        <f>HYPERLINK("https://www.catalog.slsa.sa.gov.au/xrecord=b2076689")</f>
        <v>https://www.catalog.slsa.sa.gov.au/xrecord=b2076689</v>
      </c>
      <c r="D10864" t="s">
        <v>16831</v>
      </c>
      <c r="E10864" t="s">
        <v>33562</v>
      </c>
      <c r="F10864">
        <v>1991</v>
      </c>
      <c r="G10864" t="s">
        <v>17356</v>
      </c>
      <c r="H10864" t="s">
        <v>33565</v>
      </c>
      <c r="J10864" t="s">
        <v>33542</v>
      </c>
      <c r="K10864" s="2" t="str">
        <f>HYPERLINK("http://collections.slsa.sa.gov.au/mpcimg/54750/B54635.htm")</f>
        <v>http://collections.slsa.sa.gov.au/mpcimg/54750/B54635.htm</v>
      </c>
    </row>
    <row r="10865" spans="1:11" x14ac:dyDescent="0.25">
      <c r="A10865" t="s">
        <v>33573</v>
      </c>
      <c r="B10865" s="1" t="str">
        <f>HYPERLINK("https://www.catalog.slsa.sa.gov.au/record=b2076690")</f>
        <v>https://www.catalog.slsa.sa.gov.au/record=b2076690</v>
      </c>
      <c r="C10865" s="1" t="str">
        <f>HYPERLINK("https://www.catalog.slsa.sa.gov.au/xrecord=b2076690")</f>
        <v>https://www.catalog.slsa.sa.gov.au/xrecord=b2076690</v>
      </c>
      <c r="D10865" t="s">
        <v>16831</v>
      </c>
      <c r="E10865" t="s">
        <v>33562</v>
      </c>
      <c r="F10865">
        <v>1991</v>
      </c>
      <c r="G10865" t="s">
        <v>17356</v>
      </c>
      <c r="H10865" t="s">
        <v>33565</v>
      </c>
      <c r="J10865" t="s">
        <v>33542</v>
      </c>
      <c r="K10865" s="2" t="str">
        <f>HYPERLINK("http://collections.slsa.sa.gov.au/mpcimg/54750/B54636.htm")</f>
        <v>http://collections.slsa.sa.gov.au/mpcimg/54750/B54636.htm</v>
      </c>
    </row>
    <row r="10866" spans="1:11" x14ac:dyDescent="0.25">
      <c r="A10866" t="s">
        <v>33574</v>
      </c>
      <c r="B10866" s="1" t="str">
        <f>HYPERLINK("https://www.catalog.slsa.sa.gov.au/record=b2076691")</f>
        <v>https://www.catalog.slsa.sa.gov.au/record=b2076691</v>
      </c>
      <c r="C10866" s="1" t="str">
        <f>HYPERLINK("https://www.catalog.slsa.sa.gov.au/xrecord=b2076691")</f>
        <v>https://www.catalog.slsa.sa.gov.au/xrecord=b2076691</v>
      </c>
      <c r="D10866" t="s">
        <v>16831</v>
      </c>
      <c r="E10866" t="s">
        <v>33562</v>
      </c>
      <c r="F10866">
        <v>1991</v>
      </c>
      <c r="G10866" t="s">
        <v>17356</v>
      </c>
      <c r="H10866" t="s">
        <v>33565</v>
      </c>
      <c r="J10866" t="s">
        <v>33542</v>
      </c>
      <c r="K10866" s="2" t="str">
        <f>HYPERLINK("http://collections.slsa.sa.gov.au/mpcimg/54750/B54637.htm")</f>
        <v>http://collections.slsa.sa.gov.au/mpcimg/54750/B54637.htm</v>
      </c>
    </row>
    <row r="10867" spans="1:11" x14ac:dyDescent="0.25">
      <c r="A10867" t="s">
        <v>33575</v>
      </c>
      <c r="B10867" s="1" t="str">
        <f>HYPERLINK("https://www.catalog.slsa.sa.gov.au/record=b2076692")</f>
        <v>https://www.catalog.slsa.sa.gov.au/record=b2076692</v>
      </c>
      <c r="C10867" s="1" t="str">
        <f>HYPERLINK("https://www.catalog.slsa.sa.gov.au/xrecord=b2076692")</f>
        <v>https://www.catalog.slsa.sa.gov.au/xrecord=b2076692</v>
      </c>
      <c r="D10867" t="s">
        <v>16831</v>
      </c>
      <c r="E10867" t="s">
        <v>33562</v>
      </c>
      <c r="F10867">
        <v>1991</v>
      </c>
      <c r="G10867" t="s">
        <v>17356</v>
      </c>
      <c r="H10867" t="s">
        <v>33565</v>
      </c>
      <c r="J10867" t="s">
        <v>33542</v>
      </c>
      <c r="K10867" s="2" t="str">
        <f>HYPERLINK("http://collections.slsa.sa.gov.au/mpcimg/54750/B54638.htm")</f>
        <v>http://collections.slsa.sa.gov.au/mpcimg/54750/B54638.htm</v>
      </c>
    </row>
    <row r="10868" spans="1:11" x14ac:dyDescent="0.25">
      <c r="A10868" t="s">
        <v>33576</v>
      </c>
      <c r="B10868" s="1" t="str">
        <f>HYPERLINK("https://www.catalog.slsa.sa.gov.au/record=b2076693")</f>
        <v>https://www.catalog.slsa.sa.gov.au/record=b2076693</v>
      </c>
      <c r="C10868" s="1" t="str">
        <f>HYPERLINK("https://www.catalog.slsa.sa.gov.au/xrecord=b2076693")</f>
        <v>https://www.catalog.slsa.sa.gov.au/xrecord=b2076693</v>
      </c>
      <c r="D10868" t="s">
        <v>16831</v>
      </c>
      <c r="E10868" t="s">
        <v>33562</v>
      </c>
      <c r="F10868">
        <v>1991</v>
      </c>
      <c r="G10868" t="s">
        <v>17356</v>
      </c>
      <c r="H10868" t="s">
        <v>33565</v>
      </c>
      <c r="J10868" t="s">
        <v>33542</v>
      </c>
      <c r="K10868" s="2" t="str">
        <f>HYPERLINK("http://collections.slsa.sa.gov.au/mpcimg/54750/B54639.htm")</f>
        <v>http://collections.slsa.sa.gov.au/mpcimg/54750/B54639.htm</v>
      </c>
    </row>
    <row r="10869" spans="1:11" x14ac:dyDescent="0.25">
      <c r="A10869" t="s">
        <v>33577</v>
      </c>
      <c r="B10869" s="1" t="str">
        <f>HYPERLINK("https://www.catalog.slsa.sa.gov.au/record=b2076694")</f>
        <v>https://www.catalog.slsa.sa.gov.au/record=b2076694</v>
      </c>
      <c r="C10869" s="1" t="str">
        <f>HYPERLINK("https://www.catalog.slsa.sa.gov.au/xrecord=b2076694")</f>
        <v>https://www.catalog.slsa.sa.gov.au/xrecord=b2076694</v>
      </c>
      <c r="D10869" t="s">
        <v>16831</v>
      </c>
      <c r="E10869" t="s">
        <v>33562</v>
      </c>
      <c r="F10869">
        <v>1991</v>
      </c>
      <c r="G10869" t="s">
        <v>17356</v>
      </c>
      <c r="H10869" t="s">
        <v>33565</v>
      </c>
      <c r="J10869" t="s">
        <v>33542</v>
      </c>
      <c r="K10869" s="2" t="str">
        <f>HYPERLINK("http://collections.slsa.sa.gov.au/mpcimg/54750/B54640.htm")</f>
        <v>http://collections.slsa.sa.gov.au/mpcimg/54750/B54640.htm</v>
      </c>
    </row>
    <row r="10870" spans="1:11" x14ac:dyDescent="0.25">
      <c r="A10870" t="s">
        <v>33578</v>
      </c>
      <c r="B10870" s="1" t="str">
        <f>HYPERLINK("https://www.catalog.slsa.sa.gov.au/record=b2076695")</f>
        <v>https://www.catalog.slsa.sa.gov.au/record=b2076695</v>
      </c>
      <c r="C10870" s="1" t="str">
        <f>HYPERLINK("https://www.catalog.slsa.sa.gov.au/xrecord=b2076695")</f>
        <v>https://www.catalog.slsa.sa.gov.au/xrecord=b2076695</v>
      </c>
      <c r="D10870" t="s">
        <v>16831</v>
      </c>
      <c r="E10870" t="s">
        <v>33562</v>
      </c>
      <c r="F10870">
        <v>1991</v>
      </c>
      <c r="G10870" t="s">
        <v>17356</v>
      </c>
      <c r="H10870" t="s">
        <v>33565</v>
      </c>
      <c r="J10870" t="s">
        <v>33542</v>
      </c>
      <c r="K10870" s="2" t="str">
        <f>HYPERLINK("http://collections.slsa.sa.gov.au/mpcimg/54750/B54641.htm")</f>
        <v>http://collections.slsa.sa.gov.au/mpcimg/54750/B54641.htm</v>
      </c>
    </row>
    <row r="10871" spans="1:11" x14ac:dyDescent="0.25">
      <c r="A10871" t="s">
        <v>33579</v>
      </c>
      <c r="B10871" s="1" t="str">
        <f>HYPERLINK("https://www.catalog.slsa.sa.gov.au/record=b2076731")</f>
        <v>https://www.catalog.slsa.sa.gov.au/record=b2076731</v>
      </c>
      <c r="C10871" s="1" t="str">
        <f>HYPERLINK("https://www.catalog.slsa.sa.gov.au/xrecord=b2076731")</f>
        <v>https://www.catalog.slsa.sa.gov.au/xrecord=b2076731</v>
      </c>
      <c r="D10871" t="s">
        <v>16831</v>
      </c>
      <c r="E10871" t="s">
        <v>33580</v>
      </c>
      <c r="F10871">
        <v>1991</v>
      </c>
      <c r="G10871" t="s">
        <v>15269</v>
      </c>
      <c r="H10871" t="s">
        <v>33581</v>
      </c>
      <c r="J10871" t="s">
        <v>33542</v>
      </c>
      <c r="K10871" s="2" t="str">
        <f>HYPERLINK("http://collections.slsa.sa.gov.au/mpcimg/54750/B54677.htm")</f>
        <v>http://collections.slsa.sa.gov.au/mpcimg/54750/B54677.htm</v>
      </c>
    </row>
    <row r="10872" spans="1:11" x14ac:dyDescent="0.25">
      <c r="A10872" t="s">
        <v>33582</v>
      </c>
      <c r="B10872" s="1" t="str">
        <f>HYPERLINK("https://www.catalog.slsa.sa.gov.au/record=b2076732")</f>
        <v>https://www.catalog.slsa.sa.gov.au/record=b2076732</v>
      </c>
      <c r="C10872" s="1" t="str">
        <f>HYPERLINK("https://www.catalog.slsa.sa.gov.au/xrecord=b2076732")</f>
        <v>https://www.catalog.slsa.sa.gov.au/xrecord=b2076732</v>
      </c>
      <c r="D10872" t="s">
        <v>16831</v>
      </c>
      <c r="E10872" t="s">
        <v>33580</v>
      </c>
      <c r="F10872">
        <v>1991</v>
      </c>
      <c r="G10872" t="s">
        <v>15269</v>
      </c>
      <c r="H10872" t="s">
        <v>33583</v>
      </c>
      <c r="J10872" t="s">
        <v>33542</v>
      </c>
      <c r="K10872" s="2" t="str">
        <f>HYPERLINK("http://collections.slsa.sa.gov.au/mpcimg/54750/B54678.htm")</f>
        <v>http://collections.slsa.sa.gov.au/mpcimg/54750/B54678.htm</v>
      </c>
    </row>
    <row r="10873" spans="1:11" x14ac:dyDescent="0.25">
      <c r="A10873" t="s">
        <v>33584</v>
      </c>
      <c r="B10873" s="1" t="str">
        <f>HYPERLINK("https://www.catalog.slsa.sa.gov.au/record=b2076733")</f>
        <v>https://www.catalog.slsa.sa.gov.au/record=b2076733</v>
      </c>
      <c r="C10873" s="1" t="str">
        <f>HYPERLINK("https://www.catalog.slsa.sa.gov.au/xrecord=b2076733")</f>
        <v>https://www.catalog.slsa.sa.gov.au/xrecord=b2076733</v>
      </c>
      <c r="D10873" t="s">
        <v>16831</v>
      </c>
      <c r="E10873" t="s">
        <v>33580</v>
      </c>
      <c r="F10873">
        <v>1991</v>
      </c>
      <c r="G10873" t="s">
        <v>15269</v>
      </c>
      <c r="H10873" t="s">
        <v>33585</v>
      </c>
      <c r="J10873" t="s">
        <v>33542</v>
      </c>
      <c r="K10873" s="2" t="str">
        <f>HYPERLINK("http://collections.slsa.sa.gov.au/mpcimg/54750/B54679.htm")</f>
        <v>http://collections.slsa.sa.gov.au/mpcimg/54750/B54679.htm</v>
      </c>
    </row>
    <row r="10874" spans="1:11" x14ac:dyDescent="0.25">
      <c r="A10874" t="s">
        <v>33586</v>
      </c>
      <c r="B10874" s="1" t="str">
        <f>HYPERLINK("https://www.catalog.slsa.sa.gov.au/record=b2076734")</f>
        <v>https://www.catalog.slsa.sa.gov.au/record=b2076734</v>
      </c>
      <c r="C10874" s="1" t="str">
        <f>HYPERLINK("https://www.catalog.slsa.sa.gov.au/xrecord=b2076734")</f>
        <v>https://www.catalog.slsa.sa.gov.au/xrecord=b2076734</v>
      </c>
      <c r="D10874" t="s">
        <v>16831</v>
      </c>
      <c r="E10874" t="s">
        <v>33580</v>
      </c>
      <c r="F10874">
        <v>1991</v>
      </c>
      <c r="G10874" t="s">
        <v>15269</v>
      </c>
      <c r="H10874" t="s">
        <v>33587</v>
      </c>
      <c r="J10874" t="s">
        <v>33542</v>
      </c>
      <c r="K10874" s="2" t="str">
        <f>HYPERLINK("http://collections.slsa.sa.gov.au/mpcimg/54750/B54680.htm")</f>
        <v>http://collections.slsa.sa.gov.au/mpcimg/54750/B54680.htm</v>
      </c>
    </row>
    <row r="10875" spans="1:11" x14ac:dyDescent="0.25">
      <c r="A10875" t="s">
        <v>33588</v>
      </c>
      <c r="B10875" s="1" t="str">
        <f>HYPERLINK("https://www.catalog.slsa.sa.gov.au/record=b2076735")</f>
        <v>https://www.catalog.slsa.sa.gov.au/record=b2076735</v>
      </c>
      <c r="C10875" s="1" t="str">
        <f>HYPERLINK("https://www.catalog.slsa.sa.gov.au/xrecord=b2076735")</f>
        <v>https://www.catalog.slsa.sa.gov.au/xrecord=b2076735</v>
      </c>
      <c r="D10875" t="s">
        <v>16831</v>
      </c>
      <c r="E10875" t="s">
        <v>33580</v>
      </c>
      <c r="F10875">
        <v>1991</v>
      </c>
      <c r="G10875" t="s">
        <v>15269</v>
      </c>
      <c r="H10875" t="s">
        <v>33589</v>
      </c>
      <c r="J10875" t="s">
        <v>33542</v>
      </c>
      <c r="K10875" s="2" t="str">
        <f>HYPERLINK("http://collections.slsa.sa.gov.au/mpcimg/54750/B54681.htm")</f>
        <v>http://collections.slsa.sa.gov.au/mpcimg/54750/B54681.htm</v>
      </c>
    </row>
    <row r="10876" spans="1:11" x14ac:dyDescent="0.25">
      <c r="A10876" t="s">
        <v>33590</v>
      </c>
      <c r="B10876" s="1" t="str">
        <f>HYPERLINK("https://www.catalog.slsa.sa.gov.au/record=b2076736")</f>
        <v>https://www.catalog.slsa.sa.gov.au/record=b2076736</v>
      </c>
      <c r="C10876" s="1" t="str">
        <f>HYPERLINK("https://www.catalog.slsa.sa.gov.au/xrecord=b2076736")</f>
        <v>https://www.catalog.slsa.sa.gov.au/xrecord=b2076736</v>
      </c>
      <c r="D10876" t="s">
        <v>16831</v>
      </c>
      <c r="E10876" t="s">
        <v>33580</v>
      </c>
      <c r="F10876">
        <v>1991</v>
      </c>
      <c r="G10876" t="s">
        <v>15269</v>
      </c>
      <c r="H10876" t="s">
        <v>33591</v>
      </c>
      <c r="J10876" t="s">
        <v>33542</v>
      </c>
      <c r="K10876" s="2" t="str">
        <f>HYPERLINK("http://collections.slsa.sa.gov.au/mpcimg/54750/B54682.htm")</f>
        <v>http://collections.slsa.sa.gov.au/mpcimg/54750/B54682.htm</v>
      </c>
    </row>
    <row r="10877" spans="1:11" x14ac:dyDescent="0.25">
      <c r="A10877" t="s">
        <v>33592</v>
      </c>
      <c r="B10877" s="1" t="str">
        <f>HYPERLINK("https://www.catalog.slsa.sa.gov.au/record=b2076737")</f>
        <v>https://www.catalog.slsa.sa.gov.au/record=b2076737</v>
      </c>
      <c r="C10877" s="1" t="str">
        <f>HYPERLINK("https://www.catalog.slsa.sa.gov.au/xrecord=b2076737")</f>
        <v>https://www.catalog.slsa.sa.gov.au/xrecord=b2076737</v>
      </c>
      <c r="D10877" t="s">
        <v>16831</v>
      </c>
      <c r="E10877" t="s">
        <v>33580</v>
      </c>
      <c r="F10877">
        <v>1991</v>
      </c>
      <c r="G10877" t="s">
        <v>15269</v>
      </c>
      <c r="H10877" t="s">
        <v>33593</v>
      </c>
      <c r="J10877" t="s">
        <v>33542</v>
      </c>
      <c r="K10877" s="2" t="str">
        <f>HYPERLINK("http://collections.slsa.sa.gov.au/mpcimg/54750/B54683.htm")</f>
        <v>http://collections.slsa.sa.gov.au/mpcimg/54750/B54683.htm</v>
      </c>
    </row>
    <row r="10878" spans="1:11" x14ac:dyDescent="0.25">
      <c r="A10878" t="s">
        <v>33594</v>
      </c>
      <c r="B10878" s="1" t="str">
        <f>HYPERLINK("https://www.catalog.slsa.sa.gov.au/record=b2076738")</f>
        <v>https://www.catalog.slsa.sa.gov.au/record=b2076738</v>
      </c>
      <c r="C10878" s="1" t="str">
        <f>HYPERLINK("https://www.catalog.slsa.sa.gov.au/xrecord=b2076738")</f>
        <v>https://www.catalog.slsa.sa.gov.au/xrecord=b2076738</v>
      </c>
      <c r="D10878" t="s">
        <v>16831</v>
      </c>
      <c r="E10878" t="s">
        <v>33580</v>
      </c>
      <c r="F10878">
        <v>1991</v>
      </c>
      <c r="G10878" t="s">
        <v>15269</v>
      </c>
      <c r="H10878" t="s">
        <v>33595</v>
      </c>
      <c r="J10878" t="s">
        <v>33542</v>
      </c>
      <c r="K10878" s="2" t="str">
        <f>HYPERLINK("http://collections.slsa.sa.gov.au/mpcimg/54750/B54684.htm")</f>
        <v>http://collections.slsa.sa.gov.au/mpcimg/54750/B54684.htm</v>
      </c>
    </row>
    <row r="10879" spans="1:11" x14ac:dyDescent="0.25">
      <c r="A10879" t="s">
        <v>33596</v>
      </c>
      <c r="B10879" s="1" t="str">
        <f>HYPERLINK("https://www.catalog.slsa.sa.gov.au/record=b2076739")</f>
        <v>https://www.catalog.slsa.sa.gov.au/record=b2076739</v>
      </c>
      <c r="C10879" s="1" t="str">
        <f>HYPERLINK("https://www.catalog.slsa.sa.gov.au/xrecord=b2076739")</f>
        <v>https://www.catalog.slsa.sa.gov.au/xrecord=b2076739</v>
      </c>
      <c r="D10879" t="s">
        <v>16831</v>
      </c>
      <c r="E10879" t="s">
        <v>33580</v>
      </c>
      <c r="F10879">
        <v>1991</v>
      </c>
      <c r="G10879" t="s">
        <v>15269</v>
      </c>
      <c r="H10879" t="s">
        <v>33597</v>
      </c>
      <c r="J10879" t="s">
        <v>33542</v>
      </c>
      <c r="K10879" s="2" t="str">
        <f>HYPERLINK("http://collections.slsa.sa.gov.au/mpcimg/54750/B54685.htm")</f>
        <v>http://collections.slsa.sa.gov.au/mpcimg/54750/B54685.htm</v>
      </c>
    </row>
    <row r="10880" spans="1:11" x14ac:dyDescent="0.25">
      <c r="A10880" t="s">
        <v>33598</v>
      </c>
      <c r="B10880" s="1" t="str">
        <f>HYPERLINK("https://www.catalog.slsa.sa.gov.au/record=b2076740")</f>
        <v>https://www.catalog.slsa.sa.gov.au/record=b2076740</v>
      </c>
      <c r="C10880" s="1" t="str">
        <f>HYPERLINK("https://www.catalog.slsa.sa.gov.au/xrecord=b2076740")</f>
        <v>https://www.catalog.slsa.sa.gov.au/xrecord=b2076740</v>
      </c>
      <c r="D10880" t="s">
        <v>16831</v>
      </c>
      <c r="E10880" t="s">
        <v>33580</v>
      </c>
      <c r="F10880">
        <v>1991</v>
      </c>
      <c r="G10880" t="s">
        <v>15269</v>
      </c>
      <c r="H10880" t="s">
        <v>33599</v>
      </c>
      <c r="J10880" t="s">
        <v>33542</v>
      </c>
      <c r="K10880" s="2" t="str">
        <f>HYPERLINK("http://collections.slsa.sa.gov.au/mpcimg/54750/B54686.htm")</f>
        <v>http://collections.slsa.sa.gov.au/mpcimg/54750/B54686.htm</v>
      </c>
    </row>
    <row r="10881" spans="1:11" x14ac:dyDescent="0.25">
      <c r="A10881" t="s">
        <v>33600</v>
      </c>
      <c r="B10881" s="1" t="str">
        <f>HYPERLINK("https://www.catalog.slsa.sa.gov.au/record=b2076774")</f>
        <v>https://www.catalog.slsa.sa.gov.au/record=b2076774</v>
      </c>
      <c r="C10881" s="1" t="str">
        <f>HYPERLINK("https://www.catalog.slsa.sa.gov.au/xrecord=b2076774")</f>
        <v>https://www.catalog.slsa.sa.gov.au/xrecord=b2076774</v>
      </c>
      <c r="D10881" t="s">
        <v>16831</v>
      </c>
      <c r="E10881" t="s">
        <v>33601</v>
      </c>
      <c r="F10881">
        <v>1991</v>
      </c>
      <c r="G10881" t="s">
        <v>33602</v>
      </c>
      <c r="H10881" t="s">
        <v>33603</v>
      </c>
      <c r="J10881" t="s">
        <v>32653</v>
      </c>
      <c r="K10881" s="2" t="str">
        <f>HYPERLINK("http://collections.slsa.sa.gov.au/mpcimg/54750/B54720.htm")</f>
        <v>http://collections.slsa.sa.gov.au/mpcimg/54750/B54720.htm</v>
      </c>
    </row>
    <row r="10882" spans="1:11" x14ac:dyDescent="0.25">
      <c r="A10882" t="s">
        <v>33604</v>
      </c>
      <c r="B10882" s="1" t="str">
        <f>HYPERLINK("https://www.catalog.slsa.sa.gov.au/record=b2076775")</f>
        <v>https://www.catalog.slsa.sa.gov.au/record=b2076775</v>
      </c>
      <c r="C10882" s="1" t="str">
        <f>HYPERLINK("https://www.catalog.slsa.sa.gov.au/xrecord=b2076775")</f>
        <v>https://www.catalog.slsa.sa.gov.au/xrecord=b2076775</v>
      </c>
      <c r="D10882" t="s">
        <v>16831</v>
      </c>
      <c r="E10882" t="s">
        <v>33605</v>
      </c>
      <c r="F10882">
        <v>1991</v>
      </c>
      <c r="G10882" t="s">
        <v>33602</v>
      </c>
      <c r="H10882" t="s">
        <v>33606</v>
      </c>
      <c r="J10882" t="s">
        <v>32653</v>
      </c>
      <c r="K10882" s="2" t="str">
        <f>HYPERLINK("http://collections.slsa.sa.gov.au/mpcimg/54750/B54721.htm")</f>
        <v>http://collections.slsa.sa.gov.au/mpcimg/54750/B54721.htm</v>
      </c>
    </row>
    <row r="10883" spans="1:11" x14ac:dyDescent="0.25">
      <c r="A10883" t="s">
        <v>33607</v>
      </c>
      <c r="B10883" s="1" t="str">
        <f>HYPERLINK("https://www.catalog.slsa.sa.gov.au/record=b2076776")</f>
        <v>https://www.catalog.slsa.sa.gov.au/record=b2076776</v>
      </c>
      <c r="C10883" s="1" t="str">
        <f>HYPERLINK("https://www.catalog.slsa.sa.gov.au/xrecord=b2076776")</f>
        <v>https://www.catalog.slsa.sa.gov.au/xrecord=b2076776</v>
      </c>
      <c r="D10883" t="s">
        <v>16831</v>
      </c>
      <c r="E10883" t="s">
        <v>33605</v>
      </c>
      <c r="F10883">
        <v>1991</v>
      </c>
      <c r="G10883" t="s">
        <v>33602</v>
      </c>
      <c r="H10883" t="s">
        <v>33608</v>
      </c>
      <c r="J10883" t="s">
        <v>32653</v>
      </c>
      <c r="K10883" s="2" t="str">
        <f>HYPERLINK("http://collections.slsa.sa.gov.au/mpcimg/54750/B54722.htm")</f>
        <v>http://collections.slsa.sa.gov.au/mpcimg/54750/B54722.htm</v>
      </c>
    </row>
    <row r="10884" spans="1:11" x14ac:dyDescent="0.25">
      <c r="A10884" t="s">
        <v>33609</v>
      </c>
      <c r="B10884" s="1" t="str">
        <f>HYPERLINK("https://www.catalog.slsa.sa.gov.au/record=b2076911")</f>
        <v>https://www.catalog.slsa.sa.gov.au/record=b2076911</v>
      </c>
      <c r="C10884" s="1" t="str">
        <f>HYPERLINK("https://www.catalog.slsa.sa.gov.au/xrecord=b2076911")</f>
        <v>https://www.catalog.slsa.sa.gov.au/xrecord=b2076911</v>
      </c>
      <c r="D10884" t="s">
        <v>16831</v>
      </c>
      <c r="E10884" t="s">
        <v>33610</v>
      </c>
      <c r="F10884">
        <v>1991</v>
      </c>
      <c r="G10884" t="s">
        <v>15269</v>
      </c>
      <c r="H10884" t="s">
        <v>33611</v>
      </c>
      <c r="J10884" t="s">
        <v>32653</v>
      </c>
      <c r="K10884" s="2" t="str">
        <f>HYPERLINK("http://collections.slsa.sa.gov.au/mpcimg/55000/B54857.htm")</f>
        <v>http://collections.slsa.sa.gov.au/mpcimg/55000/B54857.htm</v>
      </c>
    </row>
    <row r="10885" spans="1:11" x14ac:dyDescent="0.25">
      <c r="A10885" t="s">
        <v>33612</v>
      </c>
      <c r="B10885" s="1" t="str">
        <f>HYPERLINK("https://www.catalog.slsa.sa.gov.au/record=b2076912")</f>
        <v>https://www.catalog.slsa.sa.gov.au/record=b2076912</v>
      </c>
      <c r="C10885" s="1" t="str">
        <f>HYPERLINK("https://www.catalog.slsa.sa.gov.au/xrecord=b2076912")</f>
        <v>https://www.catalog.slsa.sa.gov.au/xrecord=b2076912</v>
      </c>
      <c r="D10885" t="s">
        <v>16831</v>
      </c>
      <c r="E10885" t="s">
        <v>33613</v>
      </c>
      <c r="F10885">
        <v>1991</v>
      </c>
      <c r="G10885" t="s">
        <v>15269</v>
      </c>
      <c r="H10885" t="s">
        <v>33614</v>
      </c>
      <c r="J10885" t="s">
        <v>24858</v>
      </c>
      <c r="K10885" s="2" t="str">
        <f>HYPERLINK("http://collections.slsa.sa.gov.au/mpcimg/55000/B54858.htm")</f>
        <v>http://collections.slsa.sa.gov.au/mpcimg/55000/B54858.htm</v>
      </c>
    </row>
    <row r="10886" spans="1:11" x14ac:dyDescent="0.25">
      <c r="A10886" t="s">
        <v>33615</v>
      </c>
      <c r="B10886" s="1" t="str">
        <f>HYPERLINK("https://www.catalog.slsa.sa.gov.au/record=b2076913")</f>
        <v>https://www.catalog.slsa.sa.gov.au/record=b2076913</v>
      </c>
      <c r="C10886" s="1" t="str">
        <f>HYPERLINK("https://www.catalog.slsa.sa.gov.au/xrecord=b2076913")</f>
        <v>https://www.catalog.slsa.sa.gov.au/xrecord=b2076913</v>
      </c>
      <c r="D10886" t="s">
        <v>16831</v>
      </c>
      <c r="E10886" t="s">
        <v>33613</v>
      </c>
      <c r="F10886">
        <v>1991</v>
      </c>
      <c r="G10886" t="s">
        <v>15269</v>
      </c>
      <c r="H10886" t="s">
        <v>33614</v>
      </c>
      <c r="J10886" t="s">
        <v>24858</v>
      </c>
      <c r="K10886" s="2" t="str">
        <f>HYPERLINK("http://collections.slsa.sa.gov.au/mpcimg/55000/B54859.htm")</f>
        <v>http://collections.slsa.sa.gov.au/mpcimg/55000/B54859.htm</v>
      </c>
    </row>
    <row r="10887" spans="1:11" x14ac:dyDescent="0.25">
      <c r="A10887" t="s">
        <v>33616</v>
      </c>
      <c r="B10887" s="1" t="str">
        <f>HYPERLINK("https://www.catalog.slsa.sa.gov.au/record=b2076942")</f>
        <v>https://www.catalog.slsa.sa.gov.au/record=b2076942</v>
      </c>
      <c r="C10887" s="1" t="str">
        <f>HYPERLINK("https://www.catalog.slsa.sa.gov.au/xrecord=b2076942")</f>
        <v>https://www.catalog.slsa.sa.gov.au/xrecord=b2076942</v>
      </c>
      <c r="D10887" t="s">
        <v>28745</v>
      </c>
      <c r="E10887" t="s">
        <v>33617</v>
      </c>
      <c r="F10887">
        <v>1991</v>
      </c>
      <c r="G10887" t="s">
        <v>33618</v>
      </c>
      <c r="I10887" t="s">
        <v>33619</v>
      </c>
      <c r="J10887" t="s">
        <v>18949</v>
      </c>
      <c r="K10887" s="2" t="str">
        <f>HYPERLINK("http://collections.slsa.sa.gov.au/mpcimg/55000/B54888.htm")</f>
        <v>http://collections.slsa.sa.gov.au/mpcimg/55000/B54888.htm</v>
      </c>
    </row>
    <row r="10888" spans="1:11" x14ac:dyDescent="0.25">
      <c r="A10888" t="s">
        <v>33620</v>
      </c>
      <c r="B10888" s="1" t="str">
        <f>HYPERLINK("https://www.catalog.slsa.sa.gov.au/record=b2076953")</f>
        <v>https://www.catalog.slsa.sa.gov.au/record=b2076953</v>
      </c>
      <c r="C10888" s="1" t="str">
        <f>HYPERLINK("https://www.catalog.slsa.sa.gov.au/xrecord=b2076953")</f>
        <v>https://www.catalog.slsa.sa.gov.au/xrecord=b2076953</v>
      </c>
      <c r="D10888" t="s">
        <v>28745</v>
      </c>
      <c r="E10888" t="s">
        <v>33621</v>
      </c>
      <c r="F10888">
        <v>1991</v>
      </c>
      <c r="G10888" t="s">
        <v>17356</v>
      </c>
      <c r="H10888" t="s">
        <v>33622</v>
      </c>
      <c r="I10888" t="s">
        <v>32652</v>
      </c>
      <c r="J10888" t="s">
        <v>24858</v>
      </c>
      <c r="K10888" s="2" t="str">
        <f>HYPERLINK("http://collections.slsa.sa.gov.au/mpcimg/55000/B54899.htm")</f>
        <v>http://collections.slsa.sa.gov.au/mpcimg/55000/B54899.htm</v>
      </c>
    </row>
    <row r="10889" spans="1:11" x14ac:dyDescent="0.25">
      <c r="A10889" t="s">
        <v>33623</v>
      </c>
      <c r="B10889" s="1" t="str">
        <f>HYPERLINK("https://www.catalog.slsa.sa.gov.au/record=b2077014")</f>
        <v>https://www.catalog.slsa.sa.gov.au/record=b2077014</v>
      </c>
      <c r="C10889" s="1" t="str">
        <f>HYPERLINK("https://www.catalog.slsa.sa.gov.au/xrecord=b2077014")</f>
        <v>https://www.catalog.slsa.sa.gov.au/xrecord=b2077014</v>
      </c>
      <c r="D10889" t="s">
        <v>16831</v>
      </c>
      <c r="E10889" t="s">
        <v>33624</v>
      </c>
      <c r="F10889">
        <v>1991</v>
      </c>
      <c r="G10889" t="s">
        <v>15269</v>
      </c>
      <c r="H10889" t="s">
        <v>33625</v>
      </c>
      <c r="I10889" t="s">
        <v>33626</v>
      </c>
      <c r="J10889" t="s">
        <v>2510</v>
      </c>
      <c r="K10889" s="2" t="str">
        <f>HYPERLINK("http://collections.slsa.sa.gov.au/mpcimg/55000/B54960.htm")</f>
        <v>http://collections.slsa.sa.gov.au/mpcimg/55000/B54960.htm</v>
      </c>
    </row>
    <row r="10890" spans="1:11" x14ac:dyDescent="0.25">
      <c r="A10890" t="s">
        <v>33627</v>
      </c>
      <c r="B10890" s="1" t="str">
        <f>HYPERLINK("https://www.catalog.slsa.sa.gov.au/record=b2077015")</f>
        <v>https://www.catalog.slsa.sa.gov.au/record=b2077015</v>
      </c>
      <c r="C10890" s="1" t="str">
        <f>HYPERLINK("https://www.catalog.slsa.sa.gov.au/xrecord=b2077015")</f>
        <v>https://www.catalog.slsa.sa.gov.au/xrecord=b2077015</v>
      </c>
      <c r="D10890" t="s">
        <v>16831</v>
      </c>
      <c r="E10890" t="s">
        <v>33628</v>
      </c>
      <c r="F10890">
        <v>1991</v>
      </c>
      <c r="G10890" t="s">
        <v>15269</v>
      </c>
      <c r="H10890" t="s">
        <v>33629</v>
      </c>
      <c r="I10890" t="s">
        <v>33626</v>
      </c>
      <c r="J10890" t="s">
        <v>2510</v>
      </c>
      <c r="K10890" s="2" t="str">
        <f>HYPERLINK("http://collections.slsa.sa.gov.au/mpcimg/55000/B54961.htm")</f>
        <v>http://collections.slsa.sa.gov.au/mpcimg/55000/B54961.htm</v>
      </c>
    </row>
    <row r="10891" spans="1:11" x14ac:dyDescent="0.25">
      <c r="A10891" t="s">
        <v>33630</v>
      </c>
      <c r="B10891" s="1" t="str">
        <f>HYPERLINK("https://www.catalog.slsa.sa.gov.au/record=b2077016")</f>
        <v>https://www.catalog.slsa.sa.gov.au/record=b2077016</v>
      </c>
      <c r="C10891" s="1" t="str">
        <f>HYPERLINK("https://www.catalog.slsa.sa.gov.au/xrecord=b2077016")</f>
        <v>https://www.catalog.slsa.sa.gov.au/xrecord=b2077016</v>
      </c>
      <c r="D10891" t="s">
        <v>16831</v>
      </c>
      <c r="E10891" t="s">
        <v>33631</v>
      </c>
      <c r="F10891">
        <v>1991</v>
      </c>
      <c r="G10891" t="s">
        <v>15269</v>
      </c>
      <c r="H10891" t="s">
        <v>33632</v>
      </c>
      <c r="I10891" t="s">
        <v>33626</v>
      </c>
      <c r="J10891" t="s">
        <v>2510</v>
      </c>
      <c r="K10891" s="2" t="str">
        <f>HYPERLINK("http://collections.slsa.sa.gov.au/mpcimg/55000/B54962.htm")</f>
        <v>http://collections.slsa.sa.gov.au/mpcimg/55000/B54962.htm</v>
      </c>
    </row>
    <row r="10892" spans="1:11" x14ac:dyDescent="0.25">
      <c r="A10892" t="s">
        <v>33633</v>
      </c>
      <c r="B10892" s="1" t="str">
        <f>HYPERLINK("https://www.catalog.slsa.sa.gov.au/record=b2077017")</f>
        <v>https://www.catalog.slsa.sa.gov.au/record=b2077017</v>
      </c>
      <c r="C10892" s="1" t="str">
        <f>HYPERLINK("https://www.catalog.slsa.sa.gov.au/xrecord=b2077017")</f>
        <v>https://www.catalog.slsa.sa.gov.au/xrecord=b2077017</v>
      </c>
      <c r="D10892" t="s">
        <v>16831</v>
      </c>
      <c r="E10892" t="s">
        <v>33634</v>
      </c>
      <c r="F10892">
        <v>1991</v>
      </c>
      <c r="G10892" t="s">
        <v>15269</v>
      </c>
      <c r="H10892" t="s">
        <v>33635</v>
      </c>
      <c r="I10892" t="s">
        <v>33636</v>
      </c>
      <c r="J10892" t="s">
        <v>2510</v>
      </c>
      <c r="K10892" s="2" t="str">
        <f>HYPERLINK("http://collections.slsa.sa.gov.au/mpcimg/55000/B54963.htm")</f>
        <v>http://collections.slsa.sa.gov.au/mpcimg/55000/B54963.htm</v>
      </c>
    </row>
    <row r="10893" spans="1:11" x14ac:dyDescent="0.25">
      <c r="A10893" t="s">
        <v>33637</v>
      </c>
      <c r="B10893" s="1" t="str">
        <f>HYPERLINK("https://www.catalog.slsa.sa.gov.au/record=b2077065")</f>
        <v>https://www.catalog.slsa.sa.gov.au/record=b2077065</v>
      </c>
      <c r="C10893" s="1" t="str">
        <f>HYPERLINK("https://www.catalog.slsa.sa.gov.au/xrecord=b2077065")</f>
        <v>https://www.catalog.slsa.sa.gov.au/xrecord=b2077065</v>
      </c>
      <c r="D10893" t="s">
        <v>16831</v>
      </c>
      <c r="E10893" t="s">
        <v>33638</v>
      </c>
      <c r="F10893">
        <v>1991</v>
      </c>
      <c r="G10893" t="s">
        <v>15269</v>
      </c>
      <c r="H10893" t="s">
        <v>33639</v>
      </c>
      <c r="I10893" t="s">
        <v>33640</v>
      </c>
      <c r="J10893" t="s">
        <v>32653</v>
      </c>
      <c r="K10893" s="2" t="str">
        <f>HYPERLINK("http://collections.slsa.sa.gov.au/mpcimg/55250/B55011.htm")</f>
        <v>http://collections.slsa.sa.gov.au/mpcimg/55250/B55011.htm</v>
      </c>
    </row>
    <row r="10894" spans="1:11" x14ac:dyDescent="0.25">
      <c r="A10894" t="s">
        <v>33641</v>
      </c>
      <c r="B10894" s="1" t="str">
        <f>HYPERLINK("https://www.catalog.slsa.sa.gov.au/record=b2077066")</f>
        <v>https://www.catalog.slsa.sa.gov.au/record=b2077066</v>
      </c>
      <c r="C10894" s="1" t="str">
        <f>HYPERLINK("https://www.catalog.slsa.sa.gov.au/xrecord=b2077066")</f>
        <v>https://www.catalog.slsa.sa.gov.au/xrecord=b2077066</v>
      </c>
      <c r="D10894" t="s">
        <v>16831</v>
      </c>
      <c r="E10894" t="s">
        <v>33638</v>
      </c>
      <c r="F10894">
        <v>1991</v>
      </c>
      <c r="G10894" t="s">
        <v>15269</v>
      </c>
      <c r="H10894" t="s">
        <v>33642</v>
      </c>
      <c r="I10894" t="s">
        <v>33640</v>
      </c>
      <c r="J10894" t="s">
        <v>32653</v>
      </c>
      <c r="K10894" s="2" t="str">
        <f>HYPERLINK("http://collections.slsa.sa.gov.au/mpcimg/55250/B55012.htm")</f>
        <v>http://collections.slsa.sa.gov.au/mpcimg/55250/B55012.htm</v>
      </c>
    </row>
    <row r="10895" spans="1:11" x14ac:dyDescent="0.25">
      <c r="A10895" t="s">
        <v>33643</v>
      </c>
      <c r="B10895" s="1" t="str">
        <f>HYPERLINK("https://www.catalog.slsa.sa.gov.au/record=b2077067")</f>
        <v>https://www.catalog.slsa.sa.gov.au/record=b2077067</v>
      </c>
      <c r="C10895" s="1" t="str">
        <f>HYPERLINK("https://www.catalog.slsa.sa.gov.au/xrecord=b2077067")</f>
        <v>https://www.catalog.slsa.sa.gov.au/xrecord=b2077067</v>
      </c>
      <c r="D10895" t="s">
        <v>16831</v>
      </c>
      <c r="E10895" t="s">
        <v>33638</v>
      </c>
      <c r="F10895">
        <v>1991</v>
      </c>
      <c r="G10895" t="s">
        <v>15269</v>
      </c>
      <c r="H10895" t="s">
        <v>33644</v>
      </c>
      <c r="I10895" t="s">
        <v>33640</v>
      </c>
      <c r="J10895" t="s">
        <v>32653</v>
      </c>
      <c r="K10895" s="2" t="str">
        <f>HYPERLINK("http://collections.slsa.sa.gov.au/mpcimg/55250/B55013.htm")</f>
        <v>http://collections.slsa.sa.gov.au/mpcimg/55250/B55013.htm</v>
      </c>
    </row>
    <row r="10896" spans="1:11" x14ac:dyDescent="0.25">
      <c r="A10896" t="s">
        <v>33645</v>
      </c>
      <c r="B10896" s="1" t="str">
        <f>HYPERLINK("https://www.catalog.slsa.sa.gov.au/record=b2077068")</f>
        <v>https://www.catalog.slsa.sa.gov.au/record=b2077068</v>
      </c>
      <c r="C10896" s="1" t="str">
        <f>HYPERLINK("https://www.catalog.slsa.sa.gov.au/xrecord=b2077068")</f>
        <v>https://www.catalog.slsa.sa.gov.au/xrecord=b2077068</v>
      </c>
      <c r="D10896" t="s">
        <v>16831</v>
      </c>
      <c r="E10896" t="s">
        <v>33638</v>
      </c>
      <c r="F10896">
        <v>1991</v>
      </c>
      <c r="G10896" t="s">
        <v>15269</v>
      </c>
      <c r="H10896" t="s">
        <v>33646</v>
      </c>
      <c r="I10896" t="s">
        <v>33640</v>
      </c>
      <c r="J10896" t="s">
        <v>32653</v>
      </c>
      <c r="K10896" s="2" t="str">
        <f>HYPERLINK("http://collections.slsa.sa.gov.au/mpcimg/55250/B55014.htm")</f>
        <v>http://collections.slsa.sa.gov.au/mpcimg/55250/B55014.htm</v>
      </c>
    </row>
    <row r="10897" spans="1:11" x14ac:dyDescent="0.25">
      <c r="A10897" t="s">
        <v>33647</v>
      </c>
      <c r="B10897" s="1" t="str">
        <f>HYPERLINK("https://www.catalog.slsa.sa.gov.au/record=b2077069")</f>
        <v>https://www.catalog.slsa.sa.gov.au/record=b2077069</v>
      </c>
      <c r="C10897" s="1" t="str">
        <f>HYPERLINK("https://www.catalog.slsa.sa.gov.au/xrecord=b2077069")</f>
        <v>https://www.catalog.slsa.sa.gov.au/xrecord=b2077069</v>
      </c>
      <c r="D10897" t="s">
        <v>16831</v>
      </c>
      <c r="E10897" t="s">
        <v>33638</v>
      </c>
      <c r="F10897">
        <v>1991</v>
      </c>
      <c r="G10897" t="s">
        <v>15269</v>
      </c>
      <c r="H10897" t="s">
        <v>33648</v>
      </c>
      <c r="I10897" t="s">
        <v>33640</v>
      </c>
      <c r="J10897" t="s">
        <v>32653</v>
      </c>
      <c r="K10897" s="2" t="str">
        <f>HYPERLINK("http://collections.slsa.sa.gov.au/mpcimg/55250/B55015.htm")</f>
        <v>http://collections.slsa.sa.gov.au/mpcimg/55250/B55015.htm</v>
      </c>
    </row>
    <row r="10898" spans="1:11" x14ac:dyDescent="0.25">
      <c r="A10898" t="s">
        <v>33649</v>
      </c>
      <c r="B10898" s="1" t="str">
        <f>HYPERLINK("https://www.catalog.slsa.sa.gov.au/record=b2077070")</f>
        <v>https://www.catalog.slsa.sa.gov.au/record=b2077070</v>
      </c>
      <c r="C10898" s="1" t="str">
        <f>HYPERLINK("https://www.catalog.slsa.sa.gov.au/xrecord=b2077070")</f>
        <v>https://www.catalog.slsa.sa.gov.au/xrecord=b2077070</v>
      </c>
      <c r="D10898" t="s">
        <v>16831</v>
      </c>
      <c r="E10898" t="s">
        <v>33638</v>
      </c>
      <c r="F10898">
        <v>1991</v>
      </c>
      <c r="G10898" t="s">
        <v>15269</v>
      </c>
      <c r="H10898" t="s">
        <v>33650</v>
      </c>
      <c r="I10898" t="s">
        <v>33640</v>
      </c>
      <c r="J10898" t="s">
        <v>32653</v>
      </c>
      <c r="K10898" s="2" t="str">
        <f>HYPERLINK("http://collections.slsa.sa.gov.au/mpcimg/55250/B55016.htm")</f>
        <v>http://collections.slsa.sa.gov.au/mpcimg/55250/B55016.htm</v>
      </c>
    </row>
    <row r="10899" spans="1:11" x14ac:dyDescent="0.25">
      <c r="A10899" t="s">
        <v>33651</v>
      </c>
      <c r="B10899" s="1" t="str">
        <f>HYPERLINK("https://www.catalog.slsa.sa.gov.au/record=b2077071")</f>
        <v>https://www.catalog.slsa.sa.gov.au/record=b2077071</v>
      </c>
      <c r="C10899" s="1" t="str">
        <f>HYPERLINK("https://www.catalog.slsa.sa.gov.au/xrecord=b2077071")</f>
        <v>https://www.catalog.slsa.sa.gov.au/xrecord=b2077071</v>
      </c>
      <c r="D10899" t="s">
        <v>16831</v>
      </c>
      <c r="E10899" t="s">
        <v>33652</v>
      </c>
      <c r="F10899">
        <v>1991</v>
      </c>
      <c r="G10899" t="s">
        <v>15269</v>
      </c>
      <c r="H10899" t="s">
        <v>33653</v>
      </c>
      <c r="I10899" t="s">
        <v>33654</v>
      </c>
      <c r="J10899" t="s">
        <v>32653</v>
      </c>
      <c r="K10899" s="2" t="str">
        <f>HYPERLINK("http://collections.slsa.sa.gov.au/mpcimg/55250/B55017.htm")</f>
        <v>http://collections.slsa.sa.gov.au/mpcimg/55250/B55017.htm</v>
      </c>
    </row>
    <row r="10900" spans="1:11" x14ac:dyDescent="0.25">
      <c r="A10900" t="s">
        <v>33655</v>
      </c>
      <c r="B10900" s="1" t="str">
        <f>HYPERLINK("https://www.catalog.slsa.sa.gov.au/record=b2077072")</f>
        <v>https://www.catalog.slsa.sa.gov.au/record=b2077072</v>
      </c>
      <c r="C10900" s="1" t="str">
        <f>HYPERLINK("https://www.catalog.slsa.sa.gov.au/xrecord=b2077072")</f>
        <v>https://www.catalog.slsa.sa.gov.au/xrecord=b2077072</v>
      </c>
      <c r="D10900" t="s">
        <v>16831</v>
      </c>
      <c r="E10900" t="s">
        <v>33656</v>
      </c>
      <c r="F10900">
        <v>1991</v>
      </c>
      <c r="G10900" t="s">
        <v>15269</v>
      </c>
      <c r="H10900" t="s">
        <v>33657</v>
      </c>
      <c r="I10900" t="s">
        <v>33658</v>
      </c>
      <c r="J10900" t="s">
        <v>32653</v>
      </c>
      <c r="K10900" s="2" t="str">
        <f>HYPERLINK("http://collections.slsa.sa.gov.au/mpcimg/55250/B55018.htm")</f>
        <v>http://collections.slsa.sa.gov.au/mpcimg/55250/B55018.htm</v>
      </c>
    </row>
    <row r="10901" spans="1:11" x14ac:dyDescent="0.25">
      <c r="A10901" t="s">
        <v>33659</v>
      </c>
      <c r="B10901" s="1" t="str">
        <f>HYPERLINK("https://www.catalog.slsa.sa.gov.au/record=b2077073")</f>
        <v>https://www.catalog.slsa.sa.gov.au/record=b2077073</v>
      </c>
      <c r="C10901" s="1" t="str">
        <f>HYPERLINK("https://www.catalog.slsa.sa.gov.au/xrecord=b2077073")</f>
        <v>https://www.catalog.slsa.sa.gov.au/xrecord=b2077073</v>
      </c>
      <c r="D10901" t="s">
        <v>16831</v>
      </c>
      <c r="E10901" t="s">
        <v>33652</v>
      </c>
      <c r="F10901">
        <v>1991</v>
      </c>
      <c r="G10901" t="s">
        <v>15269</v>
      </c>
      <c r="H10901" t="s">
        <v>33660</v>
      </c>
      <c r="I10901" t="s">
        <v>33658</v>
      </c>
      <c r="J10901" t="s">
        <v>32653</v>
      </c>
      <c r="K10901" s="2" t="str">
        <f>HYPERLINK("http://collections.slsa.sa.gov.au/mpcimg/55250/B55019.htm")</f>
        <v>http://collections.slsa.sa.gov.au/mpcimg/55250/B55019.htm</v>
      </c>
    </row>
    <row r="10902" spans="1:11" x14ac:dyDescent="0.25">
      <c r="A10902" t="s">
        <v>33661</v>
      </c>
      <c r="B10902" s="1" t="str">
        <f>HYPERLINK("https://www.catalog.slsa.sa.gov.au/record=b2077074")</f>
        <v>https://www.catalog.slsa.sa.gov.au/record=b2077074</v>
      </c>
      <c r="C10902" s="1" t="str">
        <f>HYPERLINK("https://www.catalog.slsa.sa.gov.au/xrecord=b2077074")</f>
        <v>https://www.catalog.slsa.sa.gov.au/xrecord=b2077074</v>
      </c>
      <c r="D10902" t="s">
        <v>16831</v>
      </c>
      <c r="E10902" t="s">
        <v>33662</v>
      </c>
      <c r="F10902">
        <v>1991</v>
      </c>
      <c r="G10902" t="s">
        <v>15269</v>
      </c>
      <c r="H10902" t="s">
        <v>33663</v>
      </c>
      <c r="J10902" t="s">
        <v>32653</v>
      </c>
      <c r="K10902" s="2" t="str">
        <f>HYPERLINK("http://collections.slsa.sa.gov.au/mpcimg/55250/B55020.htm")</f>
        <v>http://collections.slsa.sa.gov.au/mpcimg/55250/B55020.htm</v>
      </c>
    </row>
    <row r="10903" spans="1:11" x14ac:dyDescent="0.25">
      <c r="A10903" t="s">
        <v>33664</v>
      </c>
      <c r="B10903" s="1" t="str">
        <f>HYPERLINK("https://www.catalog.slsa.sa.gov.au/record=b2077075")</f>
        <v>https://www.catalog.slsa.sa.gov.au/record=b2077075</v>
      </c>
      <c r="C10903" s="1" t="str">
        <f>HYPERLINK("https://www.catalog.slsa.sa.gov.au/xrecord=b2077075")</f>
        <v>https://www.catalog.slsa.sa.gov.au/xrecord=b2077075</v>
      </c>
      <c r="D10903" t="s">
        <v>16831</v>
      </c>
      <c r="E10903" t="s">
        <v>33662</v>
      </c>
      <c r="F10903">
        <v>1991</v>
      </c>
      <c r="G10903" t="s">
        <v>15269</v>
      </c>
      <c r="H10903" t="s">
        <v>33665</v>
      </c>
      <c r="J10903" t="s">
        <v>32653</v>
      </c>
      <c r="K10903" s="2" t="str">
        <f>HYPERLINK("http://collections.slsa.sa.gov.au/mpcimg/55250/B55021.htm")</f>
        <v>http://collections.slsa.sa.gov.au/mpcimg/55250/B55021.htm</v>
      </c>
    </row>
    <row r="10904" spans="1:11" x14ac:dyDescent="0.25">
      <c r="A10904" t="s">
        <v>33666</v>
      </c>
      <c r="B10904" s="1" t="str">
        <f>HYPERLINK("https://www.catalog.slsa.sa.gov.au/record=b2077076")</f>
        <v>https://www.catalog.slsa.sa.gov.au/record=b2077076</v>
      </c>
      <c r="C10904" s="1" t="str">
        <f>HYPERLINK("https://www.catalog.slsa.sa.gov.au/xrecord=b2077076")</f>
        <v>https://www.catalog.slsa.sa.gov.au/xrecord=b2077076</v>
      </c>
      <c r="D10904" t="s">
        <v>16831</v>
      </c>
      <c r="E10904" t="s">
        <v>33662</v>
      </c>
      <c r="F10904">
        <v>1991</v>
      </c>
      <c r="G10904" t="s">
        <v>15269</v>
      </c>
      <c r="H10904" t="s">
        <v>33667</v>
      </c>
      <c r="J10904" t="s">
        <v>32653</v>
      </c>
      <c r="K10904" s="2" t="str">
        <f>HYPERLINK("http://collections.slsa.sa.gov.au/mpcimg/55250/B55022.htm")</f>
        <v>http://collections.slsa.sa.gov.au/mpcimg/55250/B55022.htm</v>
      </c>
    </row>
    <row r="10905" spans="1:11" x14ac:dyDescent="0.25">
      <c r="A10905" t="s">
        <v>33668</v>
      </c>
      <c r="B10905" s="1" t="str">
        <f>HYPERLINK("https://www.catalog.slsa.sa.gov.au/record=b2077123")</f>
        <v>https://www.catalog.slsa.sa.gov.au/record=b2077123</v>
      </c>
      <c r="C10905" s="1" t="str">
        <f>HYPERLINK("https://www.catalog.slsa.sa.gov.au/xrecord=b2077123")</f>
        <v>https://www.catalog.slsa.sa.gov.au/xrecord=b2077123</v>
      </c>
      <c r="D10905" t="s">
        <v>16831</v>
      </c>
      <c r="E10905" t="s">
        <v>33638</v>
      </c>
      <c r="F10905">
        <v>1991</v>
      </c>
      <c r="G10905" t="s">
        <v>17356</v>
      </c>
      <c r="H10905" t="s">
        <v>33669</v>
      </c>
      <c r="I10905" t="s">
        <v>33670</v>
      </c>
      <c r="J10905" t="s">
        <v>32653</v>
      </c>
      <c r="K10905" s="2" t="str">
        <f>HYPERLINK("http://collections.slsa.sa.gov.au/mpcimg/55250/B55070.htm")</f>
        <v>http://collections.slsa.sa.gov.au/mpcimg/55250/B55070.htm</v>
      </c>
    </row>
    <row r="10906" spans="1:11" x14ac:dyDescent="0.25">
      <c r="A10906" t="s">
        <v>33671</v>
      </c>
      <c r="B10906" s="1" t="str">
        <f>HYPERLINK("https://www.catalog.slsa.sa.gov.au/record=b2077124")</f>
        <v>https://www.catalog.slsa.sa.gov.au/record=b2077124</v>
      </c>
      <c r="C10906" s="1" t="str">
        <f>HYPERLINK("https://www.catalog.slsa.sa.gov.au/xrecord=b2077124")</f>
        <v>https://www.catalog.slsa.sa.gov.au/xrecord=b2077124</v>
      </c>
      <c r="D10906" t="s">
        <v>16831</v>
      </c>
      <c r="E10906" t="s">
        <v>33638</v>
      </c>
      <c r="F10906">
        <v>1991</v>
      </c>
      <c r="G10906" t="s">
        <v>17356</v>
      </c>
      <c r="H10906" t="s">
        <v>33672</v>
      </c>
      <c r="I10906" t="s">
        <v>33670</v>
      </c>
      <c r="J10906" t="s">
        <v>32653</v>
      </c>
      <c r="K10906" s="2" t="str">
        <f>HYPERLINK("http://collections.slsa.sa.gov.au/mpcimg/55250/B55071.htm")</f>
        <v>http://collections.slsa.sa.gov.au/mpcimg/55250/B55071.htm</v>
      </c>
    </row>
    <row r="10907" spans="1:11" x14ac:dyDescent="0.25">
      <c r="A10907" t="s">
        <v>33673</v>
      </c>
      <c r="B10907" s="1" t="str">
        <f>HYPERLINK("https://www.catalog.slsa.sa.gov.au/record=b2077378")</f>
        <v>https://www.catalog.slsa.sa.gov.au/record=b2077378</v>
      </c>
      <c r="C10907" s="1" t="str">
        <f>HYPERLINK("https://www.catalog.slsa.sa.gov.au/xrecord=b2077378")</f>
        <v>https://www.catalog.slsa.sa.gov.au/xrecord=b2077378</v>
      </c>
      <c r="D10907" t="s">
        <v>16831</v>
      </c>
      <c r="E10907" t="s">
        <v>33674</v>
      </c>
      <c r="F10907">
        <v>1991</v>
      </c>
      <c r="G10907" t="s">
        <v>15269</v>
      </c>
      <c r="H10907" t="s">
        <v>33675</v>
      </c>
      <c r="J10907" t="s">
        <v>32653</v>
      </c>
      <c r="K10907" s="2" t="str">
        <f>HYPERLINK("http://collections.slsa.sa.gov.au/mpcimg/55500/B55325.htm")</f>
        <v>http://collections.slsa.sa.gov.au/mpcimg/55500/B55325.htm</v>
      </c>
    </row>
    <row r="10908" spans="1:11" x14ac:dyDescent="0.25">
      <c r="A10908" t="s">
        <v>33676</v>
      </c>
      <c r="B10908" s="1" t="str">
        <f>HYPERLINK("https://www.catalog.slsa.sa.gov.au/record=b2077379")</f>
        <v>https://www.catalog.slsa.sa.gov.au/record=b2077379</v>
      </c>
      <c r="C10908" s="1" t="str">
        <f>HYPERLINK("https://www.catalog.slsa.sa.gov.au/xrecord=b2077379")</f>
        <v>https://www.catalog.slsa.sa.gov.au/xrecord=b2077379</v>
      </c>
      <c r="D10908" t="s">
        <v>16831</v>
      </c>
      <c r="E10908" t="s">
        <v>33674</v>
      </c>
      <c r="F10908">
        <v>1991</v>
      </c>
      <c r="G10908" t="s">
        <v>15269</v>
      </c>
      <c r="H10908" t="s">
        <v>33677</v>
      </c>
      <c r="J10908" t="s">
        <v>32653</v>
      </c>
      <c r="K10908" s="2" t="str">
        <f>HYPERLINK("http://collections.slsa.sa.gov.au/mpcimg/55500/B55326.htm")</f>
        <v>http://collections.slsa.sa.gov.au/mpcimg/55500/B55326.htm</v>
      </c>
    </row>
    <row r="10909" spans="1:11" x14ac:dyDescent="0.25">
      <c r="A10909" t="s">
        <v>33678</v>
      </c>
      <c r="B10909" s="1" t="str">
        <f>HYPERLINK("https://www.catalog.slsa.sa.gov.au/record=b2080006")</f>
        <v>https://www.catalog.slsa.sa.gov.au/record=b2080006</v>
      </c>
      <c r="C10909" s="1" t="str">
        <f>HYPERLINK("https://www.catalog.slsa.sa.gov.au/xrecord=b2080006")</f>
        <v>https://www.catalog.slsa.sa.gov.au/xrecord=b2080006</v>
      </c>
      <c r="D10909" t="s">
        <v>16831</v>
      </c>
      <c r="E10909" t="s">
        <v>33679</v>
      </c>
      <c r="F10909">
        <v>1991</v>
      </c>
      <c r="G10909" t="s">
        <v>15269</v>
      </c>
      <c r="H10909" t="s">
        <v>33680</v>
      </c>
      <c r="I10909" t="s">
        <v>11017</v>
      </c>
      <c r="J10909" t="s">
        <v>24858</v>
      </c>
      <c r="K10909" s="2" t="str">
        <f>HYPERLINK("http://collections.slsa.sa.gov.au/mpcimg/58000/B57939.htm")</f>
        <v>http://collections.slsa.sa.gov.au/mpcimg/58000/B57939.htm</v>
      </c>
    </row>
    <row r="10910" spans="1:11" x14ac:dyDescent="0.25">
      <c r="A10910" t="s">
        <v>33681</v>
      </c>
      <c r="B10910" s="1" t="str">
        <f>HYPERLINK("https://www.catalog.slsa.sa.gov.au/record=b2096518")</f>
        <v>https://www.catalog.slsa.sa.gov.au/record=b2096518</v>
      </c>
      <c r="C10910" s="1" t="str">
        <f>HYPERLINK("https://www.catalog.slsa.sa.gov.au/xrecord=b2096518")</f>
        <v>https://www.catalog.slsa.sa.gov.au/xrecord=b2096518</v>
      </c>
      <c r="D10910" t="s">
        <v>16831</v>
      </c>
      <c r="E10910" t="s">
        <v>33682</v>
      </c>
      <c r="F10910">
        <v>1991</v>
      </c>
      <c r="G10910" t="s">
        <v>18310</v>
      </c>
      <c r="H10910" t="s">
        <v>33683</v>
      </c>
      <c r="J10910" t="s">
        <v>33542</v>
      </c>
      <c r="K10910" s="2" t="str">
        <f>HYPERLINK("http://collections.slsa.sa.gov.au/mpcimg/69000/B68848.htm")</f>
        <v>http://collections.slsa.sa.gov.au/mpcimg/69000/B68848.htm</v>
      </c>
    </row>
    <row r="10911" spans="1:11" x14ac:dyDescent="0.25">
      <c r="A10911" t="s">
        <v>33684</v>
      </c>
      <c r="B10911" s="1" t="str">
        <f>HYPERLINK("https://www.catalog.slsa.sa.gov.au/record=b2096519")</f>
        <v>https://www.catalog.slsa.sa.gov.au/record=b2096519</v>
      </c>
      <c r="C10911" s="1" t="str">
        <f>HYPERLINK("https://www.catalog.slsa.sa.gov.au/xrecord=b2096519")</f>
        <v>https://www.catalog.slsa.sa.gov.au/xrecord=b2096519</v>
      </c>
      <c r="D10911" t="s">
        <v>16831</v>
      </c>
      <c r="E10911" t="s">
        <v>33682</v>
      </c>
      <c r="F10911">
        <v>1991</v>
      </c>
      <c r="G10911" t="s">
        <v>18310</v>
      </c>
      <c r="H10911" t="s">
        <v>33685</v>
      </c>
      <c r="J10911" t="s">
        <v>33542</v>
      </c>
      <c r="K10911" s="2" t="str">
        <f>HYPERLINK("http://collections.slsa.sa.gov.au/mpcimg/69000/B68849.htm")</f>
        <v>http://collections.slsa.sa.gov.au/mpcimg/69000/B68849.htm</v>
      </c>
    </row>
    <row r="10912" spans="1:11" x14ac:dyDescent="0.25">
      <c r="A10912" t="s">
        <v>33686</v>
      </c>
      <c r="B10912" s="1" t="str">
        <f>HYPERLINK("https://www.catalog.slsa.sa.gov.au/record=b2096520")</f>
        <v>https://www.catalog.slsa.sa.gov.au/record=b2096520</v>
      </c>
      <c r="C10912" s="1" t="str">
        <f>HYPERLINK("https://www.catalog.slsa.sa.gov.au/xrecord=b2096520")</f>
        <v>https://www.catalog.slsa.sa.gov.au/xrecord=b2096520</v>
      </c>
      <c r="D10912" t="s">
        <v>16831</v>
      </c>
      <c r="E10912" t="s">
        <v>33682</v>
      </c>
      <c r="F10912">
        <v>1991</v>
      </c>
      <c r="G10912" t="s">
        <v>18310</v>
      </c>
      <c r="H10912" t="s">
        <v>33687</v>
      </c>
      <c r="J10912" t="s">
        <v>33542</v>
      </c>
      <c r="K10912" s="2" t="str">
        <f>HYPERLINK("http://collections.slsa.sa.gov.au/mpcimg/69000/B68850.htm")</f>
        <v>http://collections.slsa.sa.gov.au/mpcimg/69000/B68850.htm</v>
      </c>
    </row>
    <row r="10913" spans="1:11" x14ac:dyDescent="0.25">
      <c r="A10913" t="s">
        <v>33688</v>
      </c>
      <c r="B10913" s="1" t="str">
        <f>HYPERLINK("https://www.catalog.slsa.sa.gov.au/record=b2204736")</f>
        <v>https://www.catalog.slsa.sa.gov.au/record=b2204736</v>
      </c>
      <c r="C10913" s="1" t="str">
        <f>HYPERLINK("https://www.catalog.slsa.sa.gov.au/xrecord=b2204736")</f>
        <v>https://www.catalog.slsa.sa.gov.au/xrecord=b2204736</v>
      </c>
      <c r="D10913" t="s">
        <v>31902</v>
      </c>
      <c r="E10913" t="s">
        <v>33689</v>
      </c>
      <c r="F10913">
        <v>1991</v>
      </c>
      <c r="G10913" t="s">
        <v>33690</v>
      </c>
      <c r="H10913" t="s">
        <v>33691</v>
      </c>
      <c r="J10913" t="s">
        <v>14768</v>
      </c>
      <c r="K10913" s="2" t="str">
        <f>HYPERLINK("http://collections.slsa.sa.gov.au/mpcimg/69500/B69282_43.htm")</f>
        <v>http://collections.slsa.sa.gov.au/mpcimg/69500/B69282_43.htm</v>
      </c>
    </row>
    <row r="10914" spans="1:11" x14ac:dyDescent="0.25">
      <c r="A10914" t="s">
        <v>33692</v>
      </c>
      <c r="B10914" s="1" t="str">
        <f>HYPERLINK("https://www.catalog.slsa.sa.gov.au/record=b2204786")</f>
        <v>https://www.catalog.slsa.sa.gov.au/record=b2204786</v>
      </c>
      <c r="C10914" s="1" t="str">
        <f>HYPERLINK("https://www.catalog.slsa.sa.gov.au/xrecord=b2204786")</f>
        <v>https://www.catalog.slsa.sa.gov.au/xrecord=b2204786</v>
      </c>
      <c r="D10914" t="s">
        <v>31902</v>
      </c>
      <c r="E10914" t="s">
        <v>33693</v>
      </c>
      <c r="F10914">
        <v>1991</v>
      </c>
      <c r="G10914" t="s">
        <v>33690</v>
      </c>
      <c r="H10914" t="s">
        <v>33694</v>
      </c>
      <c r="J10914" t="s">
        <v>14768</v>
      </c>
      <c r="K10914" s="2" t="str">
        <f>HYPERLINK("http://collections.slsa.sa.gov.au/mpcimg/69500/B69282_44.htm")</f>
        <v>http://collections.slsa.sa.gov.au/mpcimg/69500/B69282_44.htm</v>
      </c>
    </row>
    <row r="10915" spans="1:11" x14ac:dyDescent="0.25">
      <c r="A10915" t="s">
        <v>33695</v>
      </c>
      <c r="B10915" s="1" t="str">
        <f>HYPERLINK("https://www.catalog.slsa.sa.gov.au/record=b2204790")</f>
        <v>https://www.catalog.slsa.sa.gov.au/record=b2204790</v>
      </c>
      <c r="C10915" s="1" t="str">
        <f>HYPERLINK("https://www.catalog.slsa.sa.gov.au/xrecord=b2204790")</f>
        <v>https://www.catalog.slsa.sa.gov.au/xrecord=b2204790</v>
      </c>
      <c r="D10915" t="s">
        <v>31902</v>
      </c>
      <c r="E10915" t="s">
        <v>33696</v>
      </c>
      <c r="F10915">
        <v>1991</v>
      </c>
      <c r="G10915" t="s">
        <v>33690</v>
      </c>
      <c r="H10915" t="s">
        <v>33697</v>
      </c>
      <c r="J10915" t="s">
        <v>14768</v>
      </c>
      <c r="K10915" s="2" t="str">
        <f>HYPERLINK("http://collections.slsa.sa.gov.au/mpcimg/69500/B69282_45.htm")</f>
        <v>http://collections.slsa.sa.gov.au/mpcimg/69500/B69282_45.htm</v>
      </c>
    </row>
    <row r="10916" spans="1:11" x14ac:dyDescent="0.25">
      <c r="A10916" t="s">
        <v>33698</v>
      </c>
      <c r="B10916" s="1" t="str">
        <f>HYPERLINK("https://www.catalog.slsa.sa.gov.au/record=b2204801")</f>
        <v>https://www.catalog.slsa.sa.gov.au/record=b2204801</v>
      </c>
      <c r="C10916" s="1" t="str">
        <f>HYPERLINK("https://www.catalog.slsa.sa.gov.au/xrecord=b2204801")</f>
        <v>https://www.catalog.slsa.sa.gov.au/xrecord=b2204801</v>
      </c>
      <c r="D10916" t="s">
        <v>31902</v>
      </c>
      <c r="E10916" t="s">
        <v>33699</v>
      </c>
      <c r="F10916">
        <v>1991</v>
      </c>
      <c r="G10916" t="s">
        <v>33690</v>
      </c>
      <c r="H10916" t="s">
        <v>33700</v>
      </c>
      <c r="J10916" t="s">
        <v>14768</v>
      </c>
      <c r="K10916" s="2" t="str">
        <f>HYPERLINK("http://collections.slsa.sa.gov.au/mpcimg/69500/B69282_46.htm")</f>
        <v>http://collections.slsa.sa.gov.au/mpcimg/69500/B69282_46.htm</v>
      </c>
    </row>
    <row r="10917" spans="1:11" x14ac:dyDescent="0.25">
      <c r="A10917" t="s">
        <v>33701</v>
      </c>
      <c r="B10917" s="1" t="str">
        <f>HYPERLINK("https://www.catalog.slsa.sa.gov.au/record=b2074663")</f>
        <v>https://www.catalog.slsa.sa.gov.au/record=b2074663</v>
      </c>
      <c r="C10917" s="1" t="str">
        <f>HYPERLINK("https://www.catalog.slsa.sa.gov.au/xrecord=b2074663")</f>
        <v>https://www.catalog.slsa.sa.gov.au/xrecord=b2074663</v>
      </c>
      <c r="D10917" t="s">
        <v>31902</v>
      </c>
      <c r="E10917" t="s">
        <v>33702</v>
      </c>
      <c r="F10917">
        <v>1992</v>
      </c>
      <c r="G10917" t="s">
        <v>33703</v>
      </c>
      <c r="H10917" t="s">
        <v>33704</v>
      </c>
      <c r="I10917" t="s">
        <v>33705</v>
      </c>
      <c r="J10917" t="s">
        <v>2510</v>
      </c>
      <c r="K10917" s="2" t="str">
        <f>HYPERLINK("http://collections.slsa.sa.gov.au/mpcimgr/64250/B64162.htm")</f>
        <v>http://collections.slsa.sa.gov.au/mpcimgr/64250/B64162.htm</v>
      </c>
    </row>
    <row r="10918" spans="1:11" x14ac:dyDescent="0.25">
      <c r="A10918" t="s">
        <v>33706</v>
      </c>
      <c r="B10918" s="1" t="str">
        <f>HYPERLINK("https://www.catalog.slsa.sa.gov.au/record=b2074664")</f>
        <v>https://www.catalog.slsa.sa.gov.au/record=b2074664</v>
      </c>
      <c r="C10918" s="1" t="str">
        <f>HYPERLINK("https://www.catalog.slsa.sa.gov.au/xrecord=b2074664")</f>
        <v>https://www.catalog.slsa.sa.gov.au/xrecord=b2074664</v>
      </c>
      <c r="D10918" t="s">
        <v>31902</v>
      </c>
      <c r="E10918" t="s">
        <v>33707</v>
      </c>
      <c r="F10918">
        <v>1992</v>
      </c>
      <c r="G10918" t="s">
        <v>33708</v>
      </c>
      <c r="H10918" t="s">
        <v>33709</v>
      </c>
      <c r="I10918" t="s">
        <v>33710</v>
      </c>
      <c r="J10918" t="s">
        <v>2510</v>
      </c>
      <c r="K10918" s="2" t="str">
        <f>HYPERLINK("http://collections.slsa.sa.gov.au/mpcimgr/64250/B64163.htm")</f>
        <v>http://collections.slsa.sa.gov.au/mpcimgr/64250/B64163.htm</v>
      </c>
    </row>
    <row r="10919" spans="1:11" x14ac:dyDescent="0.25">
      <c r="A10919" t="s">
        <v>33711</v>
      </c>
      <c r="B10919" s="1" t="str">
        <f>HYPERLINK("https://www.catalog.slsa.sa.gov.au/record=b2074665")</f>
        <v>https://www.catalog.slsa.sa.gov.au/record=b2074665</v>
      </c>
      <c r="C10919" s="1" t="str">
        <f>HYPERLINK("https://www.catalog.slsa.sa.gov.au/xrecord=b2074665")</f>
        <v>https://www.catalog.slsa.sa.gov.au/xrecord=b2074665</v>
      </c>
      <c r="D10919" t="s">
        <v>31902</v>
      </c>
      <c r="E10919" t="s">
        <v>33712</v>
      </c>
      <c r="F10919">
        <v>1992</v>
      </c>
      <c r="G10919" t="s">
        <v>33713</v>
      </c>
      <c r="H10919" t="s">
        <v>33704</v>
      </c>
      <c r="I10919" t="s">
        <v>33714</v>
      </c>
      <c r="J10919" t="s">
        <v>2510</v>
      </c>
      <c r="K10919" s="2" t="str">
        <f>HYPERLINK("http://collections.slsa.sa.gov.au/mpcimgr/64250/B64164.htm")</f>
        <v>http://collections.slsa.sa.gov.au/mpcimgr/64250/B64164.htm</v>
      </c>
    </row>
    <row r="10920" spans="1:11" x14ac:dyDescent="0.25">
      <c r="A10920" t="s">
        <v>33715</v>
      </c>
      <c r="B10920" s="1" t="str">
        <f>HYPERLINK("https://www.catalog.slsa.sa.gov.au/record=b2074666")</f>
        <v>https://www.catalog.slsa.sa.gov.au/record=b2074666</v>
      </c>
      <c r="C10920" s="1" t="str">
        <f>HYPERLINK("https://www.catalog.slsa.sa.gov.au/xrecord=b2074666")</f>
        <v>https://www.catalog.slsa.sa.gov.au/xrecord=b2074666</v>
      </c>
      <c r="D10920" t="s">
        <v>31902</v>
      </c>
      <c r="E10920" t="s">
        <v>33716</v>
      </c>
      <c r="F10920">
        <v>1992</v>
      </c>
      <c r="G10920" t="s">
        <v>33708</v>
      </c>
      <c r="H10920" t="s">
        <v>33717</v>
      </c>
      <c r="I10920" t="s">
        <v>33718</v>
      </c>
      <c r="J10920" t="s">
        <v>2510</v>
      </c>
      <c r="K10920" s="2" t="str">
        <f>HYPERLINK("http://collections.slsa.sa.gov.au/mpcimgr/64250/B64165.htm")</f>
        <v>http://collections.slsa.sa.gov.au/mpcimgr/64250/B64165.htm</v>
      </c>
    </row>
    <row r="10921" spans="1:11" x14ac:dyDescent="0.25">
      <c r="A10921" t="s">
        <v>33719</v>
      </c>
      <c r="B10921" s="1" t="str">
        <f>HYPERLINK("https://www.catalog.slsa.sa.gov.au/record=b2077214")</f>
        <v>https://www.catalog.slsa.sa.gov.au/record=b2077214</v>
      </c>
      <c r="C10921" s="1" t="str">
        <f>HYPERLINK("https://www.catalog.slsa.sa.gov.au/xrecord=b2077214")</f>
        <v>https://www.catalog.slsa.sa.gov.au/xrecord=b2077214</v>
      </c>
      <c r="D10921" t="s">
        <v>16831</v>
      </c>
      <c r="E10921" t="s">
        <v>33548</v>
      </c>
      <c r="F10921">
        <v>1992</v>
      </c>
      <c r="G10921" t="s">
        <v>15269</v>
      </c>
      <c r="H10921" t="s">
        <v>33720</v>
      </c>
      <c r="I10921" t="s">
        <v>33721</v>
      </c>
      <c r="J10921" t="s">
        <v>32653</v>
      </c>
      <c r="K10921" s="2" t="str">
        <f>HYPERLINK("http://collections.slsa.sa.gov.au/mpcimg/55250/B55161.htm")</f>
        <v>http://collections.slsa.sa.gov.au/mpcimg/55250/B55161.htm</v>
      </c>
    </row>
    <row r="10922" spans="1:11" x14ac:dyDescent="0.25">
      <c r="A10922" t="s">
        <v>33722</v>
      </c>
      <c r="B10922" s="1" t="str">
        <f>HYPERLINK("https://www.catalog.slsa.sa.gov.au/record=b2078152")</f>
        <v>https://www.catalog.slsa.sa.gov.au/record=b2078152</v>
      </c>
      <c r="C10922" s="1" t="str">
        <f>HYPERLINK("https://www.catalog.slsa.sa.gov.au/xrecord=b2078152")</f>
        <v>https://www.catalog.slsa.sa.gov.au/xrecord=b2078152</v>
      </c>
      <c r="D10922" t="s">
        <v>16831</v>
      </c>
      <c r="E10922" t="s">
        <v>33723</v>
      </c>
      <c r="F10922">
        <v>1992</v>
      </c>
      <c r="G10922" t="s">
        <v>33724</v>
      </c>
      <c r="H10922" t="s">
        <v>33725</v>
      </c>
      <c r="I10922" t="s">
        <v>33726</v>
      </c>
      <c r="J10922" t="s">
        <v>32653</v>
      </c>
      <c r="K10922" s="2" t="str">
        <f>HYPERLINK("http://collections.slsa.sa.gov.au/mpcimg/56250/B56076.htm")</f>
        <v>http://collections.slsa.sa.gov.au/mpcimg/56250/B56076.htm</v>
      </c>
    </row>
    <row r="10923" spans="1:11" x14ac:dyDescent="0.25">
      <c r="A10923" t="s">
        <v>33727</v>
      </c>
      <c r="B10923" s="1" t="str">
        <f>HYPERLINK("https://www.catalog.slsa.sa.gov.au/record=b2078153")</f>
        <v>https://www.catalog.slsa.sa.gov.au/record=b2078153</v>
      </c>
      <c r="C10923" s="1" t="str">
        <f>HYPERLINK("https://www.catalog.slsa.sa.gov.au/xrecord=b2078153")</f>
        <v>https://www.catalog.slsa.sa.gov.au/xrecord=b2078153</v>
      </c>
      <c r="D10923" t="s">
        <v>16831</v>
      </c>
      <c r="E10923" t="s">
        <v>33723</v>
      </c>
      <c r="F10923">
        <v>1992</v>
      </c>
      <c r="G10923" t="s">
        <v>15269</v>
      </c>
      <c r="H10923" t="s">
        <v>33728</v>
      </c>
      <c r="I10923" t="s">
        <v>33726</v>
      </c>
      <c r="J10923" t="s">
        <v>32653</v>
      </c>
      <c r="K10923" s="2" t="str">
        <f>HYPERLINK("http://collections.slsa.sa.gov.au/mpcimg/56250/B56077.htm")</f>
        <v>http://collections.slsa.sa.gov.au/mpcimg/56250/B56077.htm</v>
      </c>
    </row>
    <row r="10924" spans="1:11" x14ac:dyDescent="0.25">
      <c r="A10924" t="s">
        <v>33729</v>
      </c>
      <c r="B10924" s="1" t="str">
        <f>HYPERLINK("https://www.catalog.slsa.sa.gov.au/record=b2080010")</f>
        <v>https://www.catalog.slsa.sa.gov.au/record=b2080010</v>
      </c>
      <c r="C10924" s="1" t="str">
        <f>HYPERLINK("https://www.catalog.slsa.sa.gov.au/xrecord=b2080010")</f>
        <v>https://www.catalog.slsa.sa.gov.au/xrecord=b2080010</v>
      </c>
      <c r="D10924" t="s">
        <v>16831</v>
      </c>
      <c r="E10924" t="s">
        <v>33730</v>
      </c>
      <c r="F10924">
        <v>1992</v>
      </c>
      <c r="G10924" t="s">
        <v>33731</v>
      </c>
      <c r="H10924" t="s">
        <v>33732</v>
      </c>
      <c r="J10924" t="s">
        <v>32653</v>
      </c>
      <c r="K10924" s="2" t="str">
        <f>HYPERLINK("http://collections.slsa.sa.gov.au/mpcimg/58000/B57943.htm")</f>
        <v>http://collections.slsa.sa.gov.au/mpcimg/58000/B57943.htm</v>
      </c>
    </row>
    <row r="10925" spans="1:11" x14ac:dyDescent="0.25">
      <c r="A10925" t="s">
        <v>33733</v>
      </c>
      <c r="B10925" s="1" t="str">
        <f>HYPERLINK("https://www.catalog.slsa.sa.gov.au/record=b2121723")</f>
        <v>https://www.catalog.slsa.sa.gov.au/record=b2121723</v>
      </c>
      <c r="C10925" s="1" t="str">
        <f>HYPERLINK("https://www.catalog.slsa.sa.gov.au/xrecord=b2121723")</f>
        <v>https://www.catalog.slsa.sa.gov.au/xrecord=b2121723</v>
      </c>
      <c r="D10925" t="s">
        <v>16831</v>
      </c>
      <c r="E10925" t="s">
        <v>33734</v>
      </c>
      <c r="F10925">
        <v>1992</v>
      </c>
      <c r="G10925" t="s">
        <v>33735</v>
      </c>
      <c r="H10925" t="s">
        <v>33736</v>
      </c>
      <c r="I10925" t="s">
        <v>33737</v>
      </c>
      <c r="J10925" t="s">
        <v>1809</v>
      </c>
      <c r="K10925" s="2" t="str">
        <f>HYPERLINK("http://collections.slsa.sa.gov.au/mpcimg/70750/B70563.htm")</f>
        <v>http://collections.slsa.sa.gov.au/mpcimg/70750/B70563.htm</v>
      </c>
    </row>
    <row r="10926" spans="1:11" x14ac:dyDescent="0.25">
      <c r="A10926" t="s">
        <v>33738</v>
      </c>
      <c r="B10926" s="1" t="str">
        <f>HYPERLINK("https://www.catalog.slsa.sa.gov.au/record=b2079267")</f>
        <v>https://www.catalog.slsa.sa.gov.au/record=b2079267</v>
      </c>
      <c r="C10926" s="1" t="str">
        <f>HYPERLINK("https://www.catalog.slsa.sa.gov.au/xrecord=b2079267")</f>
        <v>https://www.catalog.slsa.sa.gov.au/xrecord=b2079267</v>
      </c>
      <c r="D10926" t="s">
        <v>16831</v>
      </c>
      <c r="E10926" t="s">
        <v>33739</v>
      </c>
      <c r="F10926">
        <v>1993</v>
      </c>
      <c r="G10926" t="s">
        <v>15269</v>
      </c>
      <c r="H10926" t="s">
        <v>33740</v>
      </c>
      <c r="I10926" t="s">
        <v>33741</v>
      </c>
      <c r="J10926" t="s">
        <v>2963</v>
      </c>
      <c r="K10926" s="2" t="str">
        <f>HYPERLINK("http://collections.slsa.sa.gov.au/mpcimg/57250/B57198.htm")</f>
        <v>http://collections.slsa.sa.gov.au/mpcimg/57250/B57198.htm</v>
      </c>
    </row>
    <row r="10927" spans="1:11" x14ac:dyDescent="0.25">
      <c r="A10927" t="s">
        <v>33742</v>
      </c>
      <c r="B10927" s="1" t="str">
        <f>HYPERLINK("https://www.catalog.slsa.sa.gov.au/record=b2079268")</f>
        <v>https://www.catalog.slsa.sa.gov.au/record=b2079268</v>
      </c>
      <c r="C10927" s="1" t="str">
        <f>HYPERLINK("https://www.catalog.slsa.sa.gov.au/xrecord=b2079268")</f>
        <v>https://www.catalog.slsa.sa.gov.au/xrecord=b2079268</v>
      </c>
      <c r="D10927" t="s">
        <v>16831</v>
      </c>
      <c r="E10927" t="s">
        <v>33743</v>
      </c>
      <c r="F10927">
        <v>1993</v>
      </c>
      <c r="G10927" t="s">
        <v>15269</v>
      </c>
      <c r="H10927" t="s">
        <v>33744</v>
      </c>
      <c r="I10927" t="s">
        <v>33741</v>
      </c>
      <c r="J10927" t="s">
        <v>2963</v>
      </c>
      <c r="K10927" s="2" t="str">
        <f>HYPERLINK("http://collections.slsa.sa.gov.au/mpcimg/57250/B57199.htm")</f>
        <v>http://collections.slsa.sa.gov.au/mpcimg/57250/B57199.htm</v>
      </c>
    </row>
    <row r="10928" spans="1:11" x14ac:dyDescent="0.25">
      <c r="A10928" t="s">
        <v>33745</v>
      </c>
      <c r="B10928" s="1" t="str">
        <f>HYPERLINK("https://www.catalog.slsa.sa.gov.au/record=b2080069")</f>
        <v>https://www.catalog.slsa.sa.gov.au/record=b2080069</v>
      </c>
      <c r="C10928" s="1" t="str">
        <f>HYPERLINK("https://www.catalog.slsa.sa.gov.au/xrecord=b2080069")</f>
        <v>https://www.catalog.slsa.sa.gov.au/xrecord=b2080069</v>
      </c>
      <c r="D10928" t="s">
        <v>16831</v>
      </c>
      <c r="E10928" t="s">
        <v>33746</v>
      </c>
      <c r="F10928">
        <v>1993</v>
      </c>
      <c r="G10928" t="s">
        <v>15269</v>
      </c>
      <c r="H10928" t="s">
        <v>33747</v>
      </c>
      <c r="I10928" t="s">
        <v>33748</v>
      </c>
      <c r="J10928" t="s">
        <v>23328</v>
      </c>
      <c r="K10928" s="2" t="str">
        <f>HYPERLINK("http://collections.slsa.sa.gov.au/mpcimg/58250/B58003.htm")</f>
        <v>http://collections.slsa.sa.gov.au/mpcimg/58250/B58003.htm</v>
      </c>
    </row>
    <row r="10929" spans="1:11" x14ac:dyDescent="0.25">
      <c r="A10929" t="s">
        <v>33749</v>
      </c>
      <c r="B10929" s="1" t="str">
        <f>HYPERLINK("https://www.catalog.slsa.sa.gov.au/record=b2080070")</f>
        <v>https://www.catalog.slsa.sa.gov.au/record=b2080070</v>
      </c>
      <c r="C10929" s="1" t="str">
        <f>HYPERLINK("https://www.catalog.slsa.sa.gov.au/xrecord=b2080070")</f>
        <v>https://www.catalog.slsa.sa.gov.au/xrecord=b2080070</v>
      </c>
      <c r="D10929" t="s">
        <v>16831</v>
      </c>
      <c r="E10929" t="s">
        <v>33750</v>
      </c>
      <c r="F10929">
        <v>1993</v>
      </c>
      <c r="G10929" t="s">
        <v>15269</v>
      </c>
      <c r="H10929" t="s">
        <v>33751</v>
      </c>
      <c r="I10929" t="s">
        <v>33748</v>
      </c>
      <c r="J10929" t="s">
        <v>23328</v>
      </c>
      <c r="K10929" s="2" t="str">
        <f>HYPERLINK("http://collections.slsa.sa.gov.au/mpcimg/58250/B58004.htm")</f>
        <v>http://collections.slsa.sa.gov.au/mpcimg/58250/B58004.htm</v>
      </c>
    </row>
    <row r="10930" spans="1:11" x14ac:dyDescent="0.25">
      <c r="A10930" t="s">
        <v>33752</v>
      </c>
      <c r="B10930" s="1" t="str">
        <f>HYPERLINK("https://www.catalog.slsa.sa.gov.au/record=b2080769")</f>
        <v>https://www.catalog.slsa.sa.gov.au/record=b2080769</v>
      </c>
      <c r="C10930" s="1" t="str">
        <f>HYPERLINK("https://www.catalog.slsa.sa.gov.au/xrecord=b2080769")</f>
        <v>https://www.catalog.slsa.sa.gov.au/xrecord=b2080769</v>
      </c>
      <c r="D10930" t="s">
        <v>16831</v>
      </c>
      <c r="E10930" t="s">
        <v>33753</v>
      </c>
      <c r="F10930">
        <v>1993</v>
      </c>
      <c r="G10930" t="s">
        <v>18310</v>
      </c>
      <c r="H10930" t="s">
        <v>33754</v>
      </c>
      <c r="I10930" t="s">
        <v>33755</v>
      </c>
      <c r="J10930" t="s">
        <v>33542</v>
      </c>
      <c r="K10930" s="2" t="str">
        <f>HYPERLINK("http://collections.slsa.sa.gov.au/mpcimg/58750/B58703.htm")</f>
        <v>http://collections.slsa.sa.gov.au/mpcimg/58750/B58703.htm</v>
      </c>
    </row>
    <row r="10931" spans="1:11" x14ac:dyDescent="0.25">
      <c r="A10931" t="s">
        <v>33756</v>
      </c>
      <c r="B10931" s="1" t="str">
        <f>HYPERLINK("https://www.catalog.slsa.sa.gov.au/record=b2080770")</f>
        <v>https://www.catalog.slsa.sa.gov.au/record=b2080770</v>
      </c>
      <c r="C10931" s="1" t="str">
        <f>HYPERLINK("https://www.catalog.slsa.sa.gov.au/xrecord=b2080770")</f>
        <v>https://www.catalog.slsa.sa.gov.au/xrecord=b2080770</v>
      </c>
      <c r="D10931" t="s">
        <v>16831</v>
      </c>
      <c r="E10931" t="s">
        <v>33753</v>
      </c>
      <c r="F10931">
        <v>1993</v>
      </c>
      <c r="G10931" t="s">
        <v>18310</v>
      </c>
      <c r="H10931" t="s">
        <v>33757</v>
      </c>
      <c r="I10931" t="s">
        <v>33670</v>
      </c>
      <c r="J10931" t="s">
        <v>33542</v>
      </c>
      <c r="K10931" s="2" t="str">
        <f>HYPERLINK("http://collections.slsa.sa.gov.au/mpcimg/58750/B58704.htm")</f>
        <v>http://collections.slsa.sa.gov.au/mpcimg/58750/B58704.htm</v>
      </c>
    </row>
    <row r="10932" spans="1:11" x14ac:dyDescent="0.25">
      <c r="A10932" t="s">
        <v>33758</v>
      </c>
      <c r="B10932" s="1" t="str">
        <f>HYPERLINK("https://www.catalog.slsa.sa.gov.au/record=b2080771")</f>
        <v>https://www.catalog.slsa.sa.gov.au/record=b2080771</v>
      </c>
      <c r="C10932" s="1" t="str">
        <f>HYPERLINK("https://www.catalog.slsa.sa.gov.au/xrecord=b2080771")</f>
        <v>https://www.catalog.slsa.sa.gov.au/xrecord=b2080771</v>
      </c>
      <c r="D10932" t="s">
        <v>16831</v>
      </c>
      <c r="E10932" t="s">
        <v>33753</v>
      </c>
      <c r="F10932">
        <v>1993</v>
      </c>
      <c r="G10932" t="s">
        <v>18310</v>
      </c>
      <c r="H10932" t="s">
        <v>33759</v>
      </c>
      <c r="I10932" t="s">
        <v>2578</v>
      </c>
      <c r="J10932" t="s">
        <v>33542</v>
      </c>
      <c r="K10932" s="2" t="str">
        <f>HYPERLINK("http://collections.slsa.sa.gov.au/mpcimg/58750/B58705.htm")</f>
        <v>http://collections.slsa.sa.gov.au/mpcimg/58750/B58705.htm</v>
      </c>
    </row>
    <row r="10933" spans="1:11" x14ac:dyDescent="0.25">
      <c r="A10933" t="s">
        <v>33760</v>
      </c>
      <c r="B10933" s="1" t="str">
        <f>HYPERLINK("https://www.catalog.slsa.sa.gov.au/record=b2080772")</f>
        <v>https://www.catalog.slsa.sa.gov.au/record=b2080772</v>
      </c>
      <c r="C10933" s="1" t="str">
        <f>HYPERLINK("https://www.catalog.slsa.sa.gov.au/xrecord=b2080772")</f>
        <v>https://www.catalog.slsa.sa.gov.au/xrecord=b2080772</v>
      </c>
      <c r="D10933" t="s">
        <v>16831</v>
      </c>
      <c r="E10933" t="s">
        <v>33753</v>
      </c>
      <c r="F10933">
        <v>1993</v>
      </c>
      <c r="G10933" t="s">
        <v>18310</v>
      </c>
      <c r="H10933" t="s">
        <v>33759</v>
      </c>
      <c r="I10933" t="s">
        <v>2578</v>
      </c>
      <c r="J10933" t="s">
        <v>33542</v>
      </c>
      <c r="K10933" s="2" t="str">
        <f>HYPERLINK("http://collections.slsa.sa.gov.au/mpcimg/58750/B58706.htm")</f>
        <v>http://collections.slsa.sa.gov.au/mpcimg/58750/B58706.htm</v>
      </c>
    </row>
    <row r="10934" spans="1:11" x14ac:dyDescent="0.25">
      <c r="A10934" t="s">
        <v>33761</v>
      </c>
      <c r="B10934" s="1" t="str">
        <f>HYPERLINK("https://www.catalog.slsa.sa.gov.au/record=b3133964")</f>
        <v>https://www.catalog.slsa.sa.gov.au/record=b3133964</v>
      </c>
      <c r="C10934" s="1" t="str">
        <f>HYPERLINK("https://www.catalog.slsa.sa.gov.au/xrecord=b3133964")</f>
        <v>https://www.catalog.slsa.sa.gov.au/xrecord=b3133964</v>
      </c>
      <c r="D10934" t="s">
        <v>31636</v>
      </c>
      <c r="E10934" t="s">
        <v>33762</v>
      </c>
      <c r="F10934">
        <v>1993</v>
      </c>
      <c r="G10934" t="s">
        <v>33763</v>
      </c>
      <c r="H10934" t="s">
        <v>33764</v>
      </c>
      <c r="I10934" t="s">
        <v>33765</v>
      </c>
      <c r="J10934" t="s">
        <v>27982</v>
      </c>
      <c r="K10934" s="2" t="str">
        <f>HYPERLINK("http://collections.slsa.sa.gov.au/resource/B+75990")</f>
        <v>http://collections.slsa.sa.gov.au/resource/B+75990</v>
      </c>
    </row>
    <row r="10935" spans="1:11" x14ac:dyDescent="0.25">
      <c r="A10935" t="s">
        <v>33766</v>
      </c>
      <c r="B10935" s="1" t="str">
        <f>HYPERLINK("https://www.catalog.slsa.sa.gov.au/record=b3133967")</f>
        <v>https://www.catalog.slsa.sa.gov.au/record=b3133967</v>
      </c>
      <c r="C10935" s="1" t="str">
        <f>HYPERLINK("https://www.catalog.slsa.sa.gov.au/xrecord=b3133967")</f>
        <v>https://www.catalog.slsa.sa.gov.au/xrecord=b3133967</v>
      </c>
      <c r="D10935" t="s">
        <v>31636</v>
      </c>
      <c r="E10935" t="s">
        <v>33762</v>
      </c>
      <c r="F10935">
        <v>1993</v>
      </c>
      <c r="G10935" t="s">
        <v>33763</v>
      </c>
      <c r="H10935" t="s">
        <v>33764</v>
      </c>
      <c r="I10935" t="s">
        <v>33765</v>
      </c>
      <c r="J10935" t="s">
        <v>27982</v>
      </c>
      <c r="K10935" s="2" t="str">
        <f>HYPERLINK("http://collections.slsa.sa.gov.au/resource/B+75991")</f>
        <v>http://collections.slsa.sa.gov.au/resource/B+75991</v>
      </c>
    </row>
    <row r="10936" spans="1:11" x14ac:dyDescent="0.25">
      <c r="A10936" t="s">
        <v>33767</v>
      </c>
      <c r="B10936" s="1" t="str">
        <f>HYPERLINK("https://www.catalog.slsa.sa.gov.au/record=b3133971")</f>
        <v>https://www.catalog.slsa.sa.gov.au/record=b3133971</v>
      </c>
      <c r="C10936" s="1" t="str">
        <f>HYPERLINK("https://www.catalog.slsa.sa.gov.au/xrecord=b3133971")</f>
        <v>https://www.catalog.slsa.sa.gov.au/xrecord=b3133971</v>
      </c>
      <c r="D10936" t="s">
        <v>31636</v>
      </c>
      <c r="E10936" t="s">
        <v>33762</v>
      </c>
      <c r="F10936">
        <v>1993</v>
      </c>
      <c r="G10936" t="s">
        <v>33763</v>
      </c>
      <c r="H10936" t="s">
        <v>33768</v>
      </c>
      <c r="I10936" t="s">
        <v>33769</v>
      </c>
      <c r="J10936" t="s">
        <v>27982</v>
      </c>
      <c r="K10936" s="2" t="str">
        <f>HYPERLINK("http://collections.slsa.sa.gov.au/resource/B+75992")</f>
        <v>http://collections.slsa.sa.gov.au/resource/B+75992</v>
      </c>
    </row>
    <row r="10937" spans="1:11" x14ac:dyDescent="0.25">
      <c r="A10937" t="s">
        <v>33770</v>
      </c>
      <c r="B10937" s="1" t="str">
        <f>HYPERLINK("https://www.catalog.slsa.sa.gov.au/record=b3133972")</f>
        <v>https://www.catalog.slsa.sa.gov.au/record=b3133972</v>
      </c>
      <c r="C10937" s="1" t="str">
        <f>HYPERLINK("https://www.catalog.slsa.sa.gov.au/xrecord=b3133972")</f>
        <v>https://www.catalog.slsa.sa.gov.au/xrecord=b3133972</v>
      </c>
      <c r="D10937" t="s">
        <v>31636</v>
      </c>
      <c r="E10937" t="s">
        <v>33762</v>
      </c>
      <c r="F10937">
        <v>1993</v>
      </c>
      <c r="G10937" t="s">
        <v>33763</v>
      </c>
      <c r="H10937" t="s">
        <v>33771</v>
      </c>
      <c r="I10937" t="s">
        <v>33772</v>
      </c>
      <c r="J10937" t="s">
        <v>27982</v>
      </c>
      <c r="K10937" s="2" t="str">
        <f>HYPERLINK("http://collections.slsa.sa.gov.au/resource/B+75993")</f>
        <v>http://collections.slsa.sa.gov.au/resource/B+75993</v>
      </c>
    </row>
    <row r="10938" spans="1:11" x14ac:dyDescent="0.25">
      <c r="A10938" t="s">
        <v>33773</v>
      </c>
      <c r="B10938" s="1" t="str">
        <f>HYPERLINK("https://www.catalog.slsa.sa.gov.au/record=b3133973")</f>
        <v>https://www.catalog.slsa.sa.gov.au/record=b3133973</v>
      </c>
      <c r="C10938" s="1" t="str">
        <f>HYPERLINK("https://www.catalog.slsa.sa.gov.au/xrecord=b3133973")</f>
        <v>https://www.catalog.slsa.sa.gov.au/xrecord=b3133973</v>
      </c>
      <c r="D10938" t="s">
        <v>31636</v>
      </c>
      <c r="E10938" t="s">
        <v>33762</v>
      </c>
      <c r="F10938">
        <v>1993</v>
      </c>
      <c r="G10938" t="s">
        <v>33763</v>
      </c>
      <c r="H10938" t="s">
        <v>33774</v>
      </c>
      <c r="I10938" t="s">
        <v>33772</v>
      </c>
      <c r="J10938" t="s">
        <v>27982</v>
      </c>
      <c r="K10938" s="2" t="str">
        <f>HYPERLINK("http://collections.slsa.sa.gov.au/resource/B+75994")</f>
        <v>http://collections.slsa.sa.gov.au/resource/B+75994</v>
      </c>
    </row>
    <row r="10939" spans="1:11" x14ac:dyDescent="0.25">
      <c r="A10939" t="s">
        <v>33775</v>
      </c>
      <c r="B10939" s="1" t="str">
        <f>HYPERLINK("https://www.catalog.slsa.sa.gov.au/record=b3133974")</f>
        <v>https://www.catalog.slsa.sa.gov.au/record=b3133974</v>
      </c>
      <c r="C10939" s="1" t="str">
        <f>HYPERLINK("https://www.catalog.slsa.sa.gov.au/xrecord=b3133974")</f>
        <v>https://www.catalog.slsa.sa.gov.au/xrecord=b3133974</v>
      </c>
      <c r="E10939" t="s">
        <v>33776</v>
      </c>
      <c r="F10939">
        <v>1993</v>
      </c>
      <c r="G10939" t="s">
        <v>33777</v>
      </c>
      <c r="H10939" t="s">
        <v>33778</v>
      </c>
      <c r="I10939" t="s">
        <v>33779</v>
      </c>
      <c r="J10939" t="s">
        <v>27982</v>
      </c>
      <c r="K10939" s="2" t="str">
        <f>HYPERLINK("http://collections.slsa.sa.gov.au/resource/B+75995")</f>
        <v>http://collections.slsa.sa.gov.au/resource/B+75995</v>
      </c>
    </row>
    <row r="10940" spans="1:11" x14ac:dyDescent="0.25">
      <c r="A10940" t="s">
        <v>33780</v>
      </c>
      <c r="B10940" s="1" t="str">
        <f>HYPERLINK("https://www.catalog.slsa.sa.gov.au/record=b2073749")</f>
        <v>https://www.catalog.slsa.sa.gov.au/record=b2073749</v>
      </c>
      <c r="C10940" s="1" t="str">
        <f>HYPERLINK("https://www.catalog.slsa.sa.gov.au/xrecord=b2073749")</f>
        <v>https://www.catalog.slsa.sa.gov.au/xrecord=b2073749</v>
      </c>
      <c r="D10940" t="s">
        <v>16831</v>
      </c>
      <c r="E10940" t="s">
        <v>33781</v>
      </c>
      <c r="F10940">
        <v>1994</v>
      </c>
      <c r="G10940" t="s">
        <v>33782</v>
      </c>
      <c r="H10940" t="s">
        <v>33783</v>
      </c>
      <c r="I10940" t="s">
        <v>33784</v>
      </c>
      <c r="J10940" t="s">
        <v>1809</v>
      </c>
      <c r="K10940" s="2" t="str">
        <f>HYPERLINK("http://collections.slsa.sa.gov.au/mpcimg/63500/B63264.htm")</f>
        <v>http://collections.slsa.sa.gov.au/mpcimg/63500/B63264.htm</v>
      </c>
    </row>
    <row r="10941" spans="1:11" x14ac:dyDescent="0.25">
      <c r="A10941" t="s">
        <v>33785</v>
      </c>
      <c r="B10941" s="1" t="str">
        <f>HYPERLINK("https://www.catalog.slsa.sa.gov.au/record=b2073751")</f>
        <v>https://www.catalog.slsa.sa.gov.au/record=b2073751</v>
      </c>
      <c r="C10941" s="1" t="str">
        <f>HYPERLINK("https://www.catalog.slsa.sa.gov.au/xrecord=b2073751")</f>
        <v>https://www.catalog.slsa.sa.gov.au/xrecord=b2073751</v>
      </c>
      <c r="D10941" t="s">
        <v>16831</v>
      </c>
      <c r="E10941" t="s">
        <v>33781</v>
      </c>
      <c r="F10941">
        <v>1994</v>
      </c>
      <c r="G10941" t="s">
        <v>33786</v>
      </c>
      <c r="H10941" t="s">
        <v>33787</v>
      </c>
      <c r="I10941" t="s">
        <v>33788</v>
      </c>
      <c r="J10941" t="s">
        <v>1809</v>
      </c>
      <c r="K10941" s="2" t="str">
        <f>HYPERLINK("http://collections.slsa.sa.gov.au/mpcimg/63500/B63265.htm")</f>
        <v>http://collections.slsa.sa.gov.au/mpcimg/63500/B63265.htm</v>
      </c>
    </row>
    <row r="10942" spans="1:11" x14ac:dyDescent="0.25">
      <c r="A10942" t="s">
        <v>33789</v>
      </c>
      <c r="B10942" s="1" t="str">
        <f>HYPERLINK("https://www.catalog.slsa.sa.gov.au/record=b2073752")</f>
        <v>https://www.catalog.slsa.sa.gov.au/record=b2073752</v>
      </c>
      <c r="C10942" s="1" t="str">
        <f>HYPERLINK("https://www.catalog.slsa.sa.gov.au/xrecord=b2073752")</f>
        <v>https://www.catalog.slsa.sa.gov.au/xrecord=b2073752</v>
      </c>
      <c r="D10942" t="s">
        <v>16831</v>
      </c>
      <c r="E10942" t="s">
        <v>33781</v>
      </c>
      <c r="F10942">
        <v>1994</v>
      </c>
      <c r="G10942" t="s">
        <v>33790</v>
      </c>
      <c r="H10942" t="s">
        <v>33791</v>
      </c>
      <c r="I10942" t="s">
        <v>33792</v>
      </c>
      <c r="J10942" t="s">
        <v>1809</v>
      </c>
      <c r="K10942" s="2" t="str">
        <f>HYPERLINK("http://collections.slsa.sa.gov.au/mpcimg/63500/B63266.htm")</f>
        <v>http://collections.slsa.sa.gov.au/mpcimg/63500/B63266.htm</v>
      </c>
    </row>
    <row r="10943" spans="1:11" x14ac:dyDescent="0.25">
      <c r="A10943" t="s">
        <v>33793</v>
      </c>
      <c r="B10943" s="1" t="str">
        <f>HYPERLINK("https://www.catalog.slsa.sa.gov.au/record=b2080617")</f>
        <v>https://www.catalog.slsa.sa.gov.au/record=b2080617</v>
      </c>
      <c r="C10943" s="1" t="str">
        <f>HYPERLINK("https://www.catalog.slsa.sa.gov.au/xrecord=b2080617")</f>
        <v>https://www.catalog.slsa.sa.gov.au/xrecord=b2080617</v>
      </c>
      <c r="D10943" t="s">
        <v>16831</v>
      </c>
      <c r="E10943" t="s">
        <v>33794</v>
      </c>
      <c r="F10943">
        <v>1994</v>
      </c>
      <c r="G10943" t="s">
        <v>33795</v>
      </c>
      <c r="H10943" t="s">
        <v>33796</v>
      </c>
      <c r="I10943" t="s">
        <v>33797</v>
      </c>
      <c r="J10943" t="s">
        <v>15330</v>
      </c>
      <c r="K10943" s="2" t="str">
        <f>HYPERLINK("http://collections.slsa.sa.gov.au/mpcimg/58750/B58551.htm")</f>
        <v>http://collections.slsa.sa.gov.au/mpcimg/58750/B58551.htm</v>
      </c>
    </row>
    <row r="10944" spans="1:11" x14ac:dyDescent="0.25">
      <c r="A10944" t="s">
        <v>33798</v>
      </c>
      <c r="B10944" s="1" t="str">
        <f>HYPERLINK("https://www.catalog.slsa.sa.gov.au/record=b2080993")</f>
        <v>https://www.catalog.slsa.sa.gov.au/record=b2080993</v>
      </c>
      <c r="C10944" s="1" t="str">
        <f>HYPERLINK("https://www.catalog.slsa.sa.gov.au/xrecord=b2080993")</f>
        <v>https://www.catalog.slsa.sa.gov.au/xrecord=b2080993</v>
      </c>
      <c r="D10944" t="s">
        <v>16831</v>
      </c>
      <c r="E10944" t="s">
        <v>33799</v>
      </c>
      <c r="F10944">
        <v>1994</v>
      </c>
      <c r="G10944" t="s">
        <v>33800</v>
      </c>
      <c r="H10944" t="s">
        <v>33801</v>
      </c>
      <c r="I10944" t="s">
        <v>33802</v>
      </c>
      <c r="J10944" t="s">
        <v>33542</v>
      </c>
      <c r="K10944" s="2" t="str">
        <f>HYPERLINK("http://collections.slsa.sa.gov.au/mpcimg/59000/B58928.htm")</f>
        <v>http://collections.slsa.sa.gov.au/mpcimg/59000/B58928.htm</v>
      </c>
    </row>
    <row r="10945" spans="1:11" x14ac:dyDescent="0.25">
      <c r="A10945" t="s">
        <v>33803</v>
      </c>
      <c r="B10945" s="1" t="str">
        <f>HYPERLINK("https://www.catalog.slsa.sa.gov.au/record=b2080994")</f>
        <v>https://www.catalog.slsa.sa.gov.au/record=b2080994</v>
      </c>
      <c r="C10945" s="1" t="str">
        <f>HYPERLINK("https://www.catalog.slsa.sa.gov.au/xrecord=b2080994")</f>
        <v>https://www.catalog.slsa.sa.gov.au/xrecord=b2080994</v>
      </c>
      <c r="D10945" t="s">
        <v>16831</v>
      </c>
      <c r="E10945" t="s">
        <v>33799</v>
      </c>
      <c r="F10945">
        <v>1994</v>
      </c>
      <c r="G10945" t="s">
        <v>33800</v>
      </c>
      <c r="H10945" t="s">
        <v>33804</v>
      </c>
      <c r="I10945" t="s">
        <v>33805</v>
      </c>
      <c r="J10945" t="s">
        <v>33542</v>
      </c>
      <c r="K10945" s="2" t="str">
        <f>HYPERLINK("http://collections.slsa.sa.gov.au/mpcimg/59000/B58929.htm")</f>
        <v>http://collections.slsa.sa.gov.au/mpcimg/59000/B58929.htm</v>
      </c>
    </row>
    <row r="10946" spans="1:11" x14ac:dyDescent="0.25">
      <c r="A10946" t="s">
        <v>33806</v>
      </c>
      <c r="B10946" s="1" t="str">
        <f>HYPERLINK("https://www.catalog.slsa.sa.gov.au/record=b2080995")</f>
        <v>https://www.catalog.slsa.sa.gov.au/record=b2080995</v>
      </c>
      <c r="C10946" s="1" t="str">
        <f>HYPERLINK("https://www.catalog.slsa.sa.gov.au/xrecord=b2080995")</f>
        <v>https://www.catalog.slsa.sa.gov.au/xrecord=b2080995</v>
      </c>
      <c r="D10946" t="s">
        <v>16831</v>
      </c>
      <c r="E10946" t="s">
        <v>33799</v>
      </c>
      <c r="F10946">
        <v>1994</v>
      </c>
      <c r="G10946" t="s">
        <v>33800</v>
      </c>
      <c r="H10946" t="s">
        <v>33807</v>
      </c>
      <c r="I10946" t="s">
        <v>33805</v>
      </c>
      <c r="J10946" t="s">
        <v>33542</v>
      </c>
      <c r="K10946" s="2" t="str">
        <f>HYPERLINK("http://collections.slsa.sa.gov.au/mpcimg/59000/B58930.htm")</f>
        <v>http://collections.slsa.sa.gov.au/mpcimg/59000/B58930.htm</v>
      </c>
    </row>
    <row r="10947" spans="1:11" x14ac:dyDescent="0.25">
      <c r="A10947" t="s">
        <v>33808</v>
      </c>
      <c r="B10947" s="1" t="str">
        <f>HYPERLINK("https://www.catalog.slsa.sa.gov.au/record=b2080996")</f>
        <v>https://www.catalog.slsa.sa.gov.au/record=b2080996</v>
      </c>
      <c r="C10947" s="1" t="str">
        <f>HYPERLINK("https://www.catalog.slsa.sa.gov.au/xrecord=b2080996")</f>
        <v>https://www.catalog.slsa.sa.gov.au/xrecord=b2080996</v>
      </c>
      <c r="D10947" t="s">
        <v>16831</v>
      </c>
      <c r="E10947" t="s">
        <v>33799</v>
      </c>
      <c r="F10947">
        <v>1994</v>
      </c>
      <c r="G10947" t="s">
        <v>33800</v>
      </c>
      <c r="H10947" t="s">
        <v>33809</v>
      </c>
      <c r="I10947" t="s">
        <v>33810</v>
      </c>
      <c r="J10947" t="s">
        <v>33542</v>
      </c>
      <c r="K10947" s="2" t="str">
        <f>HYPERLINK("http://collections.slsa.sa.gov.au/mpcimg/59000/B58931.htm")</f>
        <v>http://collections.slsa.sa.gov.au/mpcimg/59000/B58931.htm</v>
      </c>
    </row>
    <row r="10948" spans="1:11" x14ac:dyDescent="0.25">
      <c r="A10948" t="s">
        <v>33811</v>
      </c>
      <c r="B10948" s="1" t="str">
        <f>HYPERLINK("https://www.catalog.slsa.sa.gov.au/record=b2080997")</f>
        <v>https://www.catalog.slsa.sa.gov.au/record=b2080997</v>
      </c>
      <c r="C10948" s="1" t="str">
        <f>HYPERLINK("https://www.catalog.slsa.sa.gov.au/xrecord=b2080997")</f>
        <v>https://www.catalog.slsa.sa.gov.au/xrecord=b2080997</v>
      </c>
      <c r="D10948" t="s">
        <v>16831</v>
      </c>
      <c r="E10948" t="s">
        <v>33799</v>
      </c>
      <c r="F10948">
        <v>1994</v>
      </c>
      <c r="G10948" t="s">
        <v>33800</v>
      </c>
      <c r="H10948" t="s">
        <v>33812</v>
      </c>
      <c r="I10948" t="s">
        <v>33810</v>
      </c>
      <c r="J10948" t="s">
        <v>33542</v>
      </c>
      <c r="K10948" s="2" t="str">
        <f>HYPERLINK("http://collections.slsa.sa.gov.au/mpcimg/59000/B58932.htm")</f>
        <v>http://collections.slsa.sa.gov.au/mpcimg/59000/B58932.htm</v>
      </c>
    </row>
    <row r="10949" spans="1:11" x14ac:dyDescent="0.25">
      <c r="A10949" t="s">
        <v>33813</v>
      </c>
      <c r="B10949" s="1" t="str">
        <f>HYPERLINK("https://www.catalog.slsa.sa.gov.au/record=b2080998")</f>
        <v>https://www.catalog.slsa.sa.gov.au/record=b2080998</v>
      </c>
      <c r="C10949" s="1" t="str">
        <f>HYPERLINK("https://www.catalog.slsa.sa.gov.au/xrecord=b2080998")</f>
        <v>https://www.catalog.slsa.sa.gov.au/xrecord=b2080998</v>
      </c>
      <c r="D10949" t="s">
        <v>16831</v>
      </c>
      <c r="E10949" t="s">
        <v>33799</v>
      </c>
      <c r="F10949">
        <v>1994</v>
      </c>
      <c r="G10949" t="s">
        <v>33800</v>
      </c>
      <c r="H10949" t="s">
        <v>33814</v>
      </c>
      <c r="I10949" t="s">
        <v>33810</v>
      </c>
      <c r="J10949" t="s">
        <v>33542</v>
      </c>
      <c r="K10949" s="2" t="str">
        <f>HYPERLINK("http://collections.slsa.sa.gov.au/mpcimg/59000/B58933.htm")</f>
        <v>http://collections.slsa.sa.gov.au/mpcimg/59000/B58933.htm</v>
      </c>
    </row>
    <row r="10950" spans="1:11" x14ac:dyDescent="0.25">
      <c r="A10950" t="s">
        <v>33815</v>
      </c>
      <c r="B10950" s="1" t="str">
        <f>HYPERLINK("https://www.catalog.slsa.sa.gov.au/record=b2080999")</f>
        <v>https://www.catalog.slsa.sa.gov.au/record=b2080999</v>
      </c>
      <c r="C10950" s="1" t="str">
        <f>HYPERLINK("https://www.catalog.slsa.sa.gov.au/xrecord=b2080999")</f>
        <v>https://www.catalog.slsa.sa.gov.au/xrecord=b2080999</v>
      </c>
      <c r="D10950" t="s">
        <v>16831</v>
      </c>
      <c r="E10950" t="s">
        <v>33799</v>
      </c>
      <c r="F10950">
        <v>1994</v>
      </c>
      <c r="G10950" t="s">
        <v>33800</v>
      </c>
      <c r="H10950" t="s">
        <v>33816</v>
      </c>
      <c r="I10950" t="s">
        <v>33802</v>
      </c>
      <c r="J10950" t="s">
        <v>33542</v>
      </c>
      <c r="K10950" s="2" t="str">
        <f>HYPERLINK("http://collections.slsa.sa.gov.au/mpcimg/59000/B58934.htm")</f>
        <v>http://collections.slsa.sa.gov.au/mpcimg/59000/B58934.htm</v>
      </c>
    </row>
    <row r="10951" spans="1:11" x14ac:dyDescent="0.25">
      <c r="A10951" t="s">
        <v>33817</v>
      </c>
      <c r="B10951" s="1" t="str">
        <f>HYPERLINK("https://www.catalog.slsa.sa.gov.au/record=b2081000")</f>
        <v>https://www.catalog.slsa.sa.gov.au/record=b2081000</v>
      </c>
      <c r="C10951" s="1" t="str">
        <f>HYPERLINK("https://www.catalog.slsa.sa.gov.au/xrecord=b2081000")</f>
        <v>https://www.catalog.slsa.sa.gov.au/xrecord=b2081000</v>
      </c>
      <c r="D10951" t="s">
        <v>16831</v>
      </c>
      <c r="E10951" t="s">
        <v>33799</v>
      </c>
      <c r="F10951">
        <v>1994</v>
      </c>
      <c r="G10951" t="s">
        <v>33800</v>
      </c>
      <c r="H10951" t="s">
        <v>33818</v>
      </c>
      <c r="I10951" t="s">
        <v>33802</v>
      </c>
      <c r="J10951" t="s">
        <v>33542</v>
      </c>
      <c r="K10951" s="2" t="str">
        <f>HYPERLINK("http://collections.slsa.sa.gov.au/mpcimg/59000/B58935.htm")</f>
        <v>http://collections.slsa.sa.gov.au/mpcimg/59000/B58935.htm</v>
      </c>
    </row>
    <row r="10952" spans="1:11" x14ac:dyDescent="0.25">
      <c r="A10952" t="s">
        <v>33819</v>
      </c>
      <c r="B10952" s="1" t="str">
        <f>HYPERLINK("https://www.catalog.slsa.sa.gov.au/record=b2081001")</f>
        <v>https://www.catalog.slsa.sa.gov.au/record=b2081001</v>
      </c>
      <c r="C10952" s="1" t="str">
        <f>HYPERLINK("https://www.catalog.slsa.sa.gov.au/xrecord=b2081001")</f>
        <v>https://www.catalog.slsa.sa.gov.au/xrecord=b2081001</v>
      </c>
      <c r="D10952" t="s">
        <v>16831</v>
      </c>
      <c r="E10952" t="s">
        <v>33799</v>
      </c>
      <c r="F10952">
        <v>1994</v>
      </c>
      <c r="G10952" t="s">
        <v>15269</v>
      </c>
      <c r="H10952" t="s">
        <v>33820</v>
      </c>
      <c r="I10952" t="s">
        <v>33805</v>
      </c>
      <c r="J10952" t="s">
        <v>33542</v>
      </c>
      <c r="K10952" s="2" t="str">
        <f>HYPERLINK("http://collections.slsa.sa.gov.au/mpcimg/59000/B58936.htm")</f>
        <v>http://collections.slsa.sa.gov.au/mpcimg/59000/B58936.htm</v>
      </c>
    </row>
    <row r="10953" spans="1:11" x14ac:dyDescent="0.25">
      <c r="A10953" t="s">
        <v>33821</v>
      </c>
      <c r="B10953" s="1" t="str">
        <f>HYPERLINK("https://www.catalog.slsa.sa.gov.au/record=b2081002")</f>
        <v>https://www.catalog.slsa.sa.gov.au/record=b2081002</v>
      </c>
      <c r="C10953" s="1" t="str">
        <f>HYPERLINK("https://www.catalog.slsa.sa.gov.au/xrecord=b2081002")</f>
        <v>https://www.catalog.slsa.sa.gov.au/xrecord=b2081002</v>
      </c>
      <c r="D10953" t="s">
        <v>16831</v>
      </c>
      <c r="E10953" t="s">
        <v>33799</v>
      </c>
      <c r="F10953">
        <v>1994</v>
      </c>
      <c r="G10953" t="s">
        <v>33800</v>
      </c>
      <c r="H10953" t="s">
        <v>33822</v>
      </c>
      <c r="I10953" t="s">
        <v>33805</v>
      </c>
      <c r="J10953" t="s">
        <v>33542</v>
      </c>
      <c r="K10953" s="2" t="str">
        <f>HYPERLINK("http://collections.slsa.sa.gov.au/mpcimg/59000/B58937.htm")</f>
        <v>http://collections.slsa.sa.gov.au/mpcimg/59000/B58937.htm</v>
      </c>
    </row>
    <row r="10954" spans="1:11" x14ac:dyDescent="0.25">
      <c r="A10954" t="s">
        <v>33823</v>
      </c>
      <c r="B10954" s="1" t="str">
        <f>HYPERLINK("https://www.catalog.slsa.sa.gov.au/record=b2081003")</f>
        <v>https://www.catalog.slsa.sa.gov.au/record=b2081003</v>
      </c>
      <c r="C10954" s="1" t="str">
        <f>HYPERLINK("https://www.catalog.slsa.sa.gov.au/xrecord=b2081003")</f>
        <v>https://www.catalog.slsa.sa.gov.au/xrecord=b2081003</v>
      </c>
      <c r="D10954" t="s">
        <v>16831</v>
      </c>
      <c r="E10954" t="s">
        <v>33799</v>
      </c>
      <c r="F10954">
        <v>1994</v>
      </c>
      <c r="G10954" t="s">
        <v>33800</v>
      </c>
      <c r="H10954" t="s">
        <v>33824</v>
      </c>
      <c r="I10954" t="s">
        <v>33802</v>
      </c>
      <c r="J10954" t="s">
        <v>33542</v>
      </c>
      <c r="K10954" s="2" t="str">
        <f>HYPERLINK("http://collections.slsa.sa.gov.au/mpcimg/59000/B58938.htm")</f>
        <v>http://collections.slsa.sa.gov.au/mpcimg/59000/B58938.htm</v>
      </c>
    </row>
    <row r="10955" spans="1:11" x14ac:dyDescent="0.25">
      <c r="A10955" t="s">
        <v>33825</v>
      </c>
      <c r="B10955" s="1" t="str">
        <f>HYPERLINK("https://www.catalog.slsa.sa.gov.au/record=b2081004")</f>
        <v>https://www.catalog.slsa.sa.gov.au/record=b2081004</v>
      </c>
      <c r="C10955" s="1" t="str">
        <f>HYPERLINK("https://www.catalog.slsa.sa.gov.au/xrecord=b2081004")</f>
        <v>https://www.catalog.slsa.sa.gov.au/xrecord=b2081004</v>
      </c>
      <c r="D10955" t="s">
        <v>16831</v>
      </c>
      <c r="E10955" t="s">
        <v>33799</v>
      </c>
      <c r="F10955">
        <v>1994</v>
      </c>
      <c r="G10955" t="s">
        <v>33800</v>
      </c>
      <c r="H10955" t="s">
        <v>33826</v>
      </c>
      <c r="I10955" t="s">
        <v>33805</v>
      </c>
      <c r="J10955" t="s">
        <v>33542</v>
      </c>
      <c r="K10955" s="2" t="str">
        <f>HYPERLINK("http://collections.slsa.sa.gov.au/mpcimg/59000/B58939.htm")</f>
        <v>http://collections.slsa.sa.gov.au/mpcimg/59000/B58939.htm</v>
      </c>
    </row>
    <row r="10956" spans="1:11" x14ac:dyDescent="0.25">
      <c r="A10956" t="s">
        <v>33827</v>
      </c>
      <c r="B10956" s="1" t="str">
        <f>HYPERLINK("https://www.catalog.slsa.sa.gov.au/record=b2081005")</f>
        <v>https://www.catalog.slsa.sa.gov.au/record=b2081005</v>
      </c>
      <c r="C10956" s="1" t="str">
        <f>HYPERLINK("https://www.catalog.slsa.sa.gov.au/xrecord=b2081005")</f>
        <v>https://www.catalog.slsa.sa.gov.au/xrecord=b2081005</v>
      </c>
      <c r="D10956" t="s">
        <v>16831</v>
      </c>
      <c r="E10956" t="s">
        <v>33799</v>
      </c>
      <c r="F10956">
        <v>1994</v>
      </c>
      <c r="G10956" t="s">
        <v>33800</v>
      </c>
      <c r="H10956" t="s">
        <v>33828</v>
      </c>
      <c r="I10956" t="s">
        <v>33829</v>
      </c>
      <c r="J10956" t="s">
        <v>33542</v>
      </c>
      <c r="K10956" s="2" t="str">
        <f>HYPERLINK("http://collections.slsa.sa.gov.au/mpcimg/59000/B58940.htm")</f>
        <v>http://collections.slsa.sa.gov.au/mpcimg/59000/B58940.htm</v>
      </c>
    </row>
    <row r="10957" spans="1:11" x14ac:dyDescent="0.25">
      <c r="A10957" t="s">
        <v>33830</v>
      </c>
      <c r="B10957" s="1" t="str">
        <f>HYPERLINK("https://www.catalog.slsa.sa.gov.au/record=b2081006")</f>
        <v>https://www.catalog.slsa.sa.gov.au/record=b2081006</v>
      </c>
      <c r="C10957" s="1" t="str">
        <f>HYPERLINK("https://www.catalog.slsa.sa.gov.au/xrecord=b2081006")</f>
        <v>https://www.catalog.slsa.sa.gov.au/xrecord=b2081006</v>
      </c>
      <c r="D10957" t="s">
        <v>16831</v>
      </c>
      <c r="E10957" t="s">
        <v>33799</v>
      </c>
      <c r="F10957">
        <v>1994</v>
      </c>
      <c r="G10957" t="s">
        <v>33800</v>
      </c>
      <c r="H10957" t="s">
        <v>33831</v>
      </c>
      <c r="I10957" t="s">
        <v>33802</v>
      </c>
      <c r="J10957" t="s">
        <v>33542</v>
      </c>
      <c r="K10957" s="2" t="str">
        <f>HYPERLINK("http://collections.slsa.sa.gov.au/mpcimg/59000/B58941.htm")</f>
        <v>http://collections.slsa.sa.gov.au/mpcimg/59000/B58941.htm</v>
      </c>
    </row>
    <row r="10958" spans="1:11" x14ac:dyDescent="0.25">
      <c r="A10958" t="s">
        <v>33832</v>
      </c>
      <c r="B10958" s="1" t="str">
        <f>HYPERLINK("https://www.catalog.slsa.sa.gov.au/record=b2081007")</f>
        <v>https://www.catalog.slsa.sa.gov.au/record=b2081007</v>
      </c>
      <c r="C10958" s="1" t="str">
        <f>HYPERLINK("https://www.catalog.slsa.sa.gov.au/xrecord=b2081007")</f>
        <v>https://www.catalog.slsa.sa.gov.au/xrecord=b2081007</v>
      </c>
      <c r="D10958" t="s">
        <v>16831</v>
      </c>
      <c r="E10958" t="s">
        <v>33799</v>
      </c>
      <c r="F10958">
        <v>1994</v>
      </c>
      <c r="G10958" t="s">
        <v>15269</v>
      </c>
      <c r="H10958" t="s">
        <v>33833</v>
      </c>
      <c r="I10958" t="s">
        <v>33834</v>
      </c>
      <c r="J10958" t="s">
        <v>33542</v>
      </c>
      <c r="K10958" s="2" t="str">
        <f>HYPERLINK("http://collections.slsa.sa.gov.au/mpcimg/59000/B58942.htm")</f>
        <v>http://collections.slsa.sa.gov.au/mpcimg/59000/B58942.htm</v>
      </c>
    </row>
    <row r="10959" spans="1:11" x14ac:dyDescent="0.25">
      <c r="A10959" t="s">
        <v>33835</v>
      </c>
      <c r="B10959" s="1" t="str">
        <f>HYPERLINK("https://www.catalog.slsa.sa.gov.au/record=b2081008")</f>
        <v>https://www.catalog.slsa.sa.gov.au/record=b2081008</v>
      </c>
      <c r="C10959" s="1" t="str">
        <f>HYPERLINK("https://www.catalog.slsa.sa.gov.au/xrecord=b2081008")</f>
        <v>https://www.catalog.slsa.sa.gov.au/xrecord=b2081008</v>
      </c>
      <c r="D10959" t="s">
        <v>16831</v>
      </c>
      <c r="E10959" t="s">
        <v>33799</v>
      </c>
      <c r="F10959">
        <v>1994</v>
      </c>
      <c r="G10959" t="s">
        <v>33800</v>
      </c>
      <c r="H10959" t="s">
        <v>33836</v>
      </c>
      <c r="I10959" t="s">
        <v>33834</v>
      </c>
      <c r="J10959" t="s">
        <v>33542</v>
      </c>
      <c r="K10959" s="2" t="str">
        <f>HYPERLINK("http://collections.slsa.sa.gov.au/mpcimg/59000/B58943.htm")</f>
        <v>http://collections.slsa.sa.gov.au/mpcimg/59000/B58943.htm</v>
      </c>
    </row>
    <row r="10960" spans="1:11" x14ac:dyDescent="0.25">
      <c r="A10960" t="s">
        <v>33837</v>
      </c>
      <c r="B10960" s="1" t="str">
        <f>HYPERLINK("https://www.catalog.slsa.sa.gov.au/record=b2081009")</f>
        <v>https://www.catalog.slsa.sa.gov.au/record=b2081009</v>
      </c>
      <c r="C10960" s="1" t="str">
        <f>HYPERLINK("https://www.catalog.slsa.sa.gov.au/xrecord=b2081009")</f>
        <v>https://www.catalog.slsa.sa.gov.au/xrecord=b2081009</v>
      </c>
      <c r="D10960" t="s">
        <v>16831</v>
      </c>
      <c r="E10960" t="s">
        <v>33799</v>
      </c>
      <c r="F10960">
        <v>1994</v>
      </c>
      <c r="G10960" t="s">
        <v>33800</v>
      </c>
      <c r="H10960" t="s">
        <v>33838</v>
      </c>
      <c r="I10960" t="s">
        <v>33839</v>
      </c>
      <c r="J10960" t="s">
        <v>33542</v>
      </c>
      <c r="K10960" s="2" t="str">
        <f>HYPERLINK("http://collections.slsa.sa.gov.au/mpcimg/59000/B58944.htm")</f>
        <v>http://collections.slsa.sa.gov.au/mpcimg/59000/B58944.htm</v>
      </c>
    </row>
    <row r="10961" spans="1:11" x14ac:dyDescent="0.25">
      <c r="A10961" t="s">
        <v>33840</v>
      </c>
      <c r="B10961" s="1" t="str">
        <f>HYPERLINK("https://www.catalog.slsa.sa.gov.au/record=b2081010")</f>
        <v>https://www.catalog.slsa.sa.gov.au/record=b2081010</v>
      </c>
      <c r="C10961" s="1" t="str">
        <f>HYPERLINK("https://www.catalog.slsa.sa.gov.au/xrecord=b2081010")</f>
        <v>https://www.catalog.slsa.sa.gov.au/xrecord=b2081010</v>
      </c>
      <c r="D10961" t="s">
        <v>16831</v>
      </c>
      <c r="E10961" t="s">
        <v>33799</v>
      </c>
      <c r="F10961">
        <v>1994</v>
      </c>
      <c r="G10961" t="s">
        <v>33800</v>
      </c>
      <c r="H10961" t="s">
        <v>33841</v>
      </c>
      <c r="I10961" t="s">
        <v>33805</v>
      </c>
      <c r="J10961" t="s">
        <v>33542</v>
      </c>
      <c r="K10961" s="2" t="str">
        <f>HYPERLINK("http://collections.slsa.sa.gov.au/mpcimg/59000/B58945.htm")</f>
        <v>http://collections.slsa.sa.gov.au/mpcimg/59000/B58945.htm</v>
      </c>
    </row>
    <row r="10962" spans="1:11" x14ac:dyDescent="0.25">
      <c r="A10962" t="s">
        <v>33842</v>
      </c>
      <c r="B10962" s="1" t="str">
        <f>HYPERLINK("https://www.catalog.slsa.sa.gov.au/record=b2081011")</f>
        <v>https://www.catalog.slsa.sa.gov.au/record=b2081011</v>
      </c>
      <c r="C10962" s="1" t="str">
        <f>HYPERLINK("https://www.catalog.slsa.sa.gov.au/xrecord=b2081011")</f>
        <v>https://www.catalog.slsa.sa.gov.au/xrecord=b2081011</v>
      </c>
      <c r="D10962" t="s">
        <v>16831</v>
      </c>
      <c r="E10962" t="s">
        <v>33799</v>
      </c>
      <c r="F10962">
        <v>1994</v>
      </c>
      <c r="G10962" t="s">
        <v>15269</v>
      </c>
      <c r="H10962" t="s">
        <v>33843</v>
      </c>
      <c r="I10962" t="s">
        <v>33844</v>
      </c>
      <c r="J10962" t="s">
        <v>33542</v>
      </c>
      <c r="K10962" s="2" t="str">
        <f>HYPERLINK("http://collections.slsa.sa.gov.au/mpcimg/59000/B58946.htm")</f>
        <v>http://collections.slsa.sa.gov.au/mpcimg/59000/B58946.htm</v>
      </c>
    </row>
    <row r="10963" spans="1:11" x14ac:dyDescent="0.25">
      <c r="A10963" t="s">
        <v>33845</v>
      </c>
      <c r="B10963" s="1" t="str">
        <f>HYPERLINK("https://www.catalog.slsa.sa.gov.au/record=b2081012")</f>
        <v>https://www.catalog.slsa.sa.gov.au/record=b2081012</v>
      </c>
      <c r="C10963" s="1" t="str">
        <f>HYPERLINK("https://www.catalog.slsa.sa.gov.au/xrecord=b2081012")</f>
        <v>https://www.catalog.slsa.sa.gov.au/xrecord=b2081012</v>
      </c>
      <c r="D10963" t="s">
        <v>16831</v>
      </c>
      <c r="E10963" t="s">
        <v>33799</v>
      </c>
      <c r="F10963">
        <v>1994</v>
      </c>
      <c r="G10963" t="s">
        <v>33800</v>
      </c>
      <c r="H10963" t="s">
        <v>33846</v>
      </c>
      <c r="I10963" t="s">
        <v>33805</v>
      </c>
      <c r="J10963" t="s">
        <v>33542</v>
      </c>
      <c r="K10963" s="2" t="str">
        <f>HYPERLINK("http://collections.slsa.sa.gov.au/mpcimg/59000/B58947.htm")</f>
        <v>http://collections.slsa.sa.gov.au/mpcimg/59000/B58947.htm</v>
      </c>
    </row>
    <row r="10964" spans="1:11" x14ac:dyDescent="0.25">
      <c r="A10964" t="s">
        <v>33847</v>
      </c>
      <c r="B10964" s="1" t="str">
        <f>HYPERLINK("https://www.catalog.slsa.sa.gov.au/record=b2081013")</f>
        <v>https://www.catalog.slsa.sa.gov.au/record=b2081013</v>
      </c>
      <c r="C10964" s="1" t="str">
        <f>HYPERLINK("https://www.catalog.slsa.sa.gov.au/xrecord=b2081013")</f>
        <v>https://www.catalog.slsa.sa.gov.au/xrecord=b2081013</v>
      </c>
      <c r="D10964" t="s">
        <v>16831</v>
      </c>
      <c r="E10964" t="s">
        <v>33799</v>
      </c>
      <c r="F10964">
        <v>1994</v>
      </c>
      <c r="G10964" t="s">
        <v>33800</v>
      </c>
      <c r="H10964" t="s">
        <v>33848</v>
      </c>
      <c r="I10964" t="s">
        <v>33805</v>
      </c>
      <c r="J10964" t="s">
        <v>33542</v>
      </c>
      <c r="K10964" s="2" t="str">
        <f>HYPERLINK("http://collections.slsa.sa.gov.au/mpcimg/59000/B58948.htm")</f>
        <v>http://collections.slsa.sa.gov.au/mpcimg/59000/B58948.htm</v>
      </c>
    </row>
    <row r="10965" spans="1:11" x14ac:dyDescent="0.25">
      <c r="A10965" t="s">
        <v>33849</v>
      </c>
      <c r="B10965" s="1" t="str">
        <f>HYPERLINK("https://www.catalog.slsa.sa.gov.au/record=b2081014")</f>
        <v>https://www.catalog.slsa.sa.gov.au/record=b2081014</v>
      </c>
      <c r="C10965" s="1" t="str">
        <f>HYPERLINK("https://www.catalog.slsa.sa.gov.au/xrecord=b2081014")</f>
        <v>https://www.catalog.slsa.sa.gov.au/xrecord=b2081014</v>
      </c>
      <c r="D10965" t="s">
        <v>16831</v>
      </c>
      <c r="E10965" t="s">
        <v>33799</v>
      </c>
      <c r="F10965">
        <v>1994</v>
      </c>
      <c r="G10965" t="s">
        <v>33800</v>
      </c>
      <c r="H10965" t="s">
        <v>33850</v>
      </c>
      <c r="I10965" t="s">
        <v>33805</v>
      </c>
      <c r="J10965" t="s">
        <v>33542</v>
      </c>
      <c r="K10965" s="2" t="str">
        <f>HYPERLINK("http://collections.slsa.sa.gov.au/mpcimg/59000/B58949.htm")</f>
        <v>http://collections.slsa.sa.gov.au/mpcimg/59000/B58949.htm</v>
      </c>
    </row>
    <row r="10966" spans="1:11" x14ac:dyDescent="0.25">
      <c r="A10966" t="s">
        <v>33851</v>
      </c>
      <c r="B10966" s="1" t="str">
        <f>HYPERLINK("https://www.catalog.slsa.sa.gov.au/record=b2081015")</f>
        <v>https://www.catalog.slsa.sa.gov.au/record=b2081015</v>
      </c>
      <c r="C10966" s="1" t="str">
        <f>HYPERLINK("https://www.catalog.slsa.sa.gov.au/xrecord=b2081015")</f>
        <v>https://www.catalog.slsa.sa.gov.au/xrecord=b2081015</v>
      </c>
      <c r="D10966" t="s">
        <v>16831</v>
      </c>
      <c r="E10966" t="s">
        <v>33799</v>
      </c>
      <c r="F10966">
        <v>1994</v>
      </c>
      <c r="G10966" t="s">
        <v>33800</v>
      </c>
      <c r="H10966" t="s">
        <v>33850</v>
      </c>
      <c r="I10966" t="s">
        <v>33805</v>
      </c>
      <c r="J10966" t="s">
        <v>33542</v>
      </c>
      <c r="K10966" s="2" t="str">
        <f>HYPERLINK("http://collections.slsa.sa.gov.au/mpcimg/59000/B58950.htm")</f>
        <v>http://collections.slsa.sa.gov.au/mpcimg/59000/B58950.htm</v>
      </c>
    </row>
    <row r="10967" spans="1:11" x14ac:dyDescent="0.25">
      <c r="A10967" t="s">
        <v>33852</v>
      </c>
      <c r="B10967" s="1" t="str">
        <f>HYPERLINK("https://www.catalog.slsa.sa.gov.au/record=b2081227")</f>
        <v>https://www.catalog.slsa.sa.gov.au/record=b2081227</v>
      </c>
      <c r="C10967" s="1" t="str">
        <f>HYPERLINK("https://www.catalog.slsa.sa.gov.au/xrecord=b2081227")</f>
        <v>https://www.catalog.slsa.sa.gov.au/xrecord=b2081227</v>
      </c>
      <c r="D10967" t="s">
        <v>16831</v>
      </c>
      <c r="E10967" t="s">
        <v>33853</v>
      </c>
      <c r="F10967">
        <v>1994</v>
      </c>
      <c r="G10967" t="s">
        <v>33553</v>
      </c>
      <c r="H10967" t="s">
        <v>33854</v>
      </c>
      <c r="I10967" t="s">
        <v>33805</v>
      </c>
      <c r="J10967" t="s">
        <v>33542</v>
      </c>
      <c r="K10967" s="2" t="str">
        <f>HYPERLINK("http://collections.slsa.sa.gov.au/mpcimg/59250/B59163.htm")</f>
        <v>http://collections.slsa.sa.gov.au/mpcimg/59250/B59163.htm</v>
      </c>
    </row>
    <row r="10968" spans="1:11" x14ac:dyDescent="0.25">
      <c r="A10968" t="s">
        <v>33855</v>
      </c>
      <c r="B10968" s="1" t="str">
        <f>HYPERLINK("https://www.catalog.slsa.sa.gov.au/record=b2081228")</f>
        <v>https://www.catalog.slsa.sa.gov.au/record=b2081228</v>
      </c>
      <c r="C10968" s="1" t="str">
        <f>HYPERLINK("https://www.catalog.slsa.sa.gov.au/xrecord=b2081228")</f>
        <v>https://www.catalog.slsa.sa.gov.au/xrecord=b2081228</v>
      </c>
      <c r="D10968" t="s">
        <v>16831</v>
      </c>
      <c r="E10968" t="s">
        <v>33853</v>
      </c>
      <c r="F10968">
        <v>1994</v>
      </c>
      <c r="G10968" t="s">
        <v>15269</v>
      </c>
      <c r="H10968" t="s">
        <v>33856</v>
      </c>
      <c r="I10968" t="s">
        <v>33805</v>
      </c>
      <c r="J10968" t="s">
        <v>33542</v>
      </c>
      <c r="K10968" s="2" t="str">
        <f>HYPERLINK("http://collections.slsa.sa.gov.au/mpcimg/59250/B59164.htm")</f>
        <v>http://collections.slsa.sa.gov.au/mpcimg/59250/B59164.htm</v>
      </c>
    </row>
    <row r="10969" spans="1:11" x14ac:dyDescent="0.25">
      <c r="A10969" t="s">
        <v>33857</v>
      </c>
      <c r="B10969" s="1" t="str">
        <f>HYPERLINK("https://www.catalog.slsa.sa.gov.au/record=b2081229")</f>
        <v>https://www.catalog.slsa.sa.gov.au/record=b2081229</v>
      </c>
      <c r="C10969" s="1" t="str">
        <f>HYPERLINK("https://www.catalog.slsa.sa.gov.au/xrecord=b2081229")</f>
        <v>https://www.catalog.slsa.sa.gov.au/xrecord=b2081229</v>
      </c>
      <c r="D10969" t="s">
        <v>16831</v>
      </c>
      <c r="E10969" t="s">
        <v>33853</v>
      </c>
      <c r="F10969">
        <v>1994</v>
      </c>
      <c r="G10969" t="s">
        <v>33553</v>
      </c>
      <c r="H10969" t="s">
        <v>33858</v>
      </c>
      <c r="I10969" t="s">
        <v>33805</v>
      </c>
      <c r="J10969" t="s">
        <v>33542</v>
      </c>
      <c r="K10969" s="2" t="str">
        <f>HYPERLINK("http://collections.slsa.sa.gov.au/mpcimg/59250/B59165.htm")</f>
        <v>http://collections.slsa.sa.gov.au/mpcimg/59250/B59165.htm</v>
      </c>
    </row>
    <row r="10970" spans="1:11" x14ac:dyDescent="0.25">
      <c r="A10970" t="s">
        <v>33859</v>
      </c>
      <c r="B10970" s="1" t="str">
        <f>HYPERLINK("https://www.catalog.slsa.sa.gov.au/record=b2081230")</f>
        <v>https://www.catalog.slsa.sa.gov.au/record=b2081230</v>
      </c>
      <c r="C10970" s="1" t="str">
        <f>HYPERLINK("https://www.catalog.slsa.sa.gov.au/xrecord=b2081230")</f>
        <v>https://www.catalog.slsa.sa.gov.au/xrecord=b2081230</v>
      </c>
      <c r="D10970" t="s">
        <v>16831</v>
      </c>
      <c r="E10970" t="s">
        <v>33853</v>
      </c>
      <c r="F10970">
        <v>1994</v>
      </c>
      <c r="G10970" t="s">
        <v>33553</v>
      </c>
      <c r="H10970" t="s">
        <v>33860</v>
      </c>
      <c r="I10970" t="s">
        <v>33805</v>
      </c>
      <c r="J10970" t="s">
        <v>33542</v>
      </c>
      <c r="K10970" s="2" t="str">
        <f>HYPERLINK("http://collections.slsa.sa.gov.au/mpcimg/59250/B59166.htm")</f>
        <v>http://collections.slsa.sa.gov.au/mpcimg/59250/B59166.htm</v>
      </c>
    </row>
    <row r="10971" spans="1:11" x14ac:dyDescent="0.25">
      <c r="A10971" t="s">
        <v>33861</v>
      </c>
      <c r="B10971" s="1" t="str">
        <f>HYPERLINK("https://www.catalog.slsa.sa.gov.au/record=b2081231")</f>
        <v>https://www.catalog.slsa.sa.gov.au/record=b2081231</v>
      </c>
      <c r="C10971" s="1" t="str">
        <f>HYPERLINK("https://www.catalog.slsa.sa.gov.au/xrecord=b2081231")</f>
        <v>https://www.catalog.slsa.sa.gov.au/xrecord=b2081231</v>
      </c>
      <c r="D10971" t="s">
        <v>16831</v>
      </c>
      <c r="E10971" t="s">
        <v>33853</v>
      </c>
      <c r="F10971">
        <v>1994</v>
      </c>
      <c r="G10971" t="s">
        <v>33553</v>
      </c>
      <c r="H10971" t="s">
        <v>33862</v>
      </c>
      <c r="I10971" t="s">
        <v>33805</v>
      </c>
      <c r="J10971" t="s">
        <v>33542</v>
      </c>
      <c r="K10971" s="2" t="str">
        <f>HYPERLINK("http://collections.slsa.sa.gov.au/mpcimg/59250/B59167.htm")</f>
        <v>http://collections.slsa.sa.gov.au/mpcimg/59250/B59167.htm</v>
      </c>
    </row>
    <row r="10972" spans="1:11" x14ac:dyDescent="0.25">
      <c r="A10972" t="s">
        <v>33863</v>
      </c>
      <c r="B10972" s="1" t="str">
        <f>HYPERLINK("https://www.catalog.slsa.sa.gov.au/record=b2081232")</f>
        <v>https://www.catalog.slsa.sa.gov.au/record=b2081232</v>
      </c>
      <c r="C10972" s="1" t="str">
        <f>HYPERLINK("https://www.catalog.slsa.sa.gov.au/xrecord=b2081232")</f>
        <v>https://www.catalog.slsa.sa.gov.au/xrecord=b2081232</v>
      </c>
      <c r="D10972" t="s">
        <v>16831</v>
      </c>
      <c r="E10972" t="s">
        <v>33853</v>
      </c>
      <c r="F10972">
        <v>1994</v>
      </c>
      <c r="G10972" t="s">
        <v>33553</v>
      </c>
      <c r="H10972" t="s">
        <v>33864</v>
      </c>
      <c r="I10972" t="s">
        <v>33805</v>
      </c>
      <c r="J10972" t="s">
        <v>33865</v>
      </c>
      <c r="K10972" s="2" t="str">
        <f>HYPERLINK("http://collections.slsa.sa.gov.au/mpcimg/59250/B59168.htm")</f>
        <v>http://collections.slsa.sa.gov.au/mpcimg/59250/B59168.htm</v>
      </c>
    </row>
    <row r="10973" spans="1:11" x14ac:dyDescent="0.25">
      <c r="A10973" t="s">
        <v>33866</v>
      </c>
      <c r="B10973" s="1" t="str">
        <f>HYPERLINK("https://www.catalog.slsa.sa.gov.au/record=b2081781")</f>
        <v>https://www.catalog.slsa.sa.gov.au/record=b2081781</v>
      </c>
      <c r="C10973" s="1" t="str">
        <f>HYPERLINK("https://www.catalog.slsa.sa.gov.au/xrecord=b2081781")</f>
        <v>https://www.catalog.slsa.sa.gov.au/xrecord=b2081781</v>
      </c>
      <c r="D10973" t="s">
        <v>16831</v>
      </c>
      <c r="E10973" t="s">
        <v>33867</v>
      </c>
      <c r="F10973">
        <v>1994</v>
      </c>
      <c r="G10973" t="s">
        <v>15269</v>
      </c>
      <c r="H10973" t="s">
        <v>33868</v>
      </c>
      <c r="I10973" t="s">
        <v>33670</v>
      </c>
      <c r="J10973" t="s">
        <v>33542</v>
      </c>
      <c r="K10973" s="2" t="str">
        <f>HYPERLINK("http://collections.slsa.sa.gov.au/mpcimg/59750/B59719.htm")</f>
        <v>http://collections.slsa.sa.gov.au/mpcimg/59750/B59719.htm</v>
      </c>
    </row>
    <row r="10974" spans="1:11" x14ac:dyDescent="0.25">
      <c r="A10974" t="s">
        <v>33869</v>
      </c>
      <c r="B10974" s="1" t="str">
        <f>HYPERLINK("https://www.catalog.slsa.sa.gov.au/record=b2081782")</f>
        <v>https://www.catalog.slsa.sa.gov.au/record=b2081782</v>
      </c>
      <c r="C10974" s="1" t="str">
        <f>HYPERLINK("https://www.catalog.slsa.sa.gov.au/xrecord=b2081782")</f>
        <v>https://www.catalog.slsa.sa.gov.au/xrecord=b2081782</v>
      </c>
      <c r="D10974" t="s">
        <v>16831</v>
      </c>
      <c r="E10974" t="s">
        <v>33867</v>
      </c>
      <c r="F10974">
        <v>1994</v>
      </c>
      <c r="G10974" t="s">
        <v>15269</v>
      </c>
      <c r="H10974" t="s">
        <v>33870</v>
      </c>
      <c r="I10974" t="s">
        <v>33670</v>
      </c>
      <c r="J10974" t="s">
        <v>33542</v>
      </c>
      <c r="K10974" s="2" t="str">
        <f>HYPERLINK("http://collections.slsa.sa.gov.au/mpcimg/59750/B59720.htm")</f>
        <v>http://collections.slsa.sa.gov.au/mpcimg/59750/B59720.htm</v>
      </c>
    </row>
    <row r="10975" spans="1:11" x14ac:dyDescent="0.25">
      <c r="A10975" t="s">
        <v>33871</v>
      </c>
      <c r="B10975" s="1" t="str">
        <f>HYPERLINK("https://www.catalog.slsa.sa.gov.au/record=b2082932")</f>
        <v>https://www.catalog.slsa.sa.gov.au/record=b2082932</v>
      </c>
      <c r="C10975" s="1" t="str">
        <f>HYPERLINK("https://www.catalog.slsa.sa.gov.au/xrecord=b2082932")</f>
        <v>https://www.catalog.slsa.sa.gov.au/xrecord=b2082932</v>
      </c>
      <c r="D10975" t="s">
        <v>16831</v>
      </c>
      <c r="E10975" t="s">
        <v>33872</v>
      </c>
      <c r="F10975">
        <v>1994</v>
      </c>
      <c r="G10975" t="s">
        <v>15269</v>
      </c>
      <c r="H10975" t="s">
        <v>33873</v>
      </c>
      <c r="I10975" t="s">
        <v>33874</v>
      </c>
      <c r="J10975" t="s">
        <v>23328</v>
      </c>
      <c r="K10975" s="2" t="str">
        <f>HYPERLINK("http://collections.slsa.sa.gov.au/mpcimg/61000/B60872.htm")</f>
        <v>http://collections.slsa.sa.gov.au/mpcimg/61000/B60872.htm</v>
      </c>
    </row>
    <row r="10976" spans="1:11" x14ac:dyDescent="0.25">
      <c r="A10976" t="s">
        <v>33875</v>
      </c>
      <c r="B10976" s="1" t="str">
        <f>HYPERLINK("https://www.catalog.slsa.sa.gov.au/record=b2082933")</f>
        <v>https://www.catalog.slsa.sa.gov.au/record=b2082933</v>
      </c>
      <c r="C10976" s="1" t="str">
        <f>HYPERLINK("https://www.catalog.slsa.sa.gov.au/xrecord=b2082933")</f>
        <v>https://www.catalog.slsa.sa.gov.au/xrecord=b2082933</v>
      </c>
      <c r="D10976" t="s">
        <v>16831</v>
      </c>
      <c r="E10976" t="s">
        <v>33872</v>
      </c>
      <c r="F10976">
        <v>1994</v>
      </c>
      <c r="G10976" t="s">
        <v>15269</v>
      </c>
      <c r="H10976" t="s">
        <v>33876</v>
      </c>
      <c r="I10976" t="s">
        <v>33874</v>
      </c>
      <c r="J10976" t="s">
        <v>23328</v>
      </c>
      <c r="K10976" s="2" t="str">
        <f>HYPERLINK("http://collections.slsa.sa.gov.au/mpcimg/61000/B60873.htm")</f>
        <v>http://collections.slsa.sa.gov.au/mpcimg/61000/B60873.htm</v>
      </c>
    </row>
    <row r="10977" spans="1:11" x14ac:dyDescent="0.25">
      <c r="A10977" t="s">
        <v>33877</v>
      </c>
      <c r="B10977" s="1" t="str">
        <f>HYPERLINK("https://www.catalog.slsa.sa.gov.au/record=b2082934")</f>
        <v>https://www.catalog.slsa.sa.gov.au/record=b2082934</v>
      </c>
      <c r="C10977" s="1" t="str">
        <f>HYPERLINK("https://www.catalog.slsa.sa.gov.au/xrecord=b2082934")</f>
        <v>https://www.catalog.slsa.sa.gov.au/xrecord=b2082934</v>
      </c>
      <c r="D10977" t="s">
        <v>16831</v>
      </c>
      <c r="E10977" t="s">
        <v>33872</v>
      </c>
      <c r="F10977">
        <v>1994</v>
      </c>
      <c r="G10977" t="s">
        <v>15269</v>
      </c>
      <c r="H10977" t="s">
        <v>33878</v>
      </c>
      <c r="I10977" t="s">
        <v>33874</v>
      </c>
      <c r="J10977" t="s">
        <v>23328</v>
      </c>
      <c r="K10977" s="2" t="str">
        <f>HYPERLINK("http://collections.slsa.sa.gov.au/mpcimg/61000/B60874.htm")</f>
        <v>http://collections.slsa.sa.gov.au/mpcimg/61000/B60874.htm</v>
      </c>
    </row>
    <row r="10978" spans="1:11" x14ac:dyDescent="0.25">
      <c r="A10978" t="s">
        <v>33879</v>
      </c>
      <c r="B10978" s="1" t="str">
        <f>HYPERLINK("https://www.catalog.slsa.sa.gov.au/record=b2082935")</f>
        <v>https://www.catalog.slsa.sa.gov.au/record=b2082935</v>
      </c>
      <c r="C10978" s="1" t="str">
        <f>HYPERLINK("https://www.catalog.slsa.sa.gov.au/xrecord=b2082935")</f>
        <v>https://www.catalog.slsa.sa.gov.au/xrecord=b2082935</v>
      </c>
      <c r="D10978" t="s">
        <v>16831</v>
      </c>
      <c r="E10978" t="s">
        <v>33872</v>
      </c>
      <c r="F10978">
        <v>1994</v>
      </c>
      <c r="G10978" t="s">
        <v>15269</v>
      </c>
      <c r="H10978" t="s">
        <v>33880</v>
      </c>
      <c r="I10978" t="s">
        <v>33874</v>
      </c>
      <c r="J10978" t="s">
        <v>23328</v>
      </c>
      <c r="K10978" s="2" t="str">
        <f>HYPERLINK("http://collections.slsa.sa.gov.au/mpcimg/61000/B60875.htm")</f>
        <v>http://collections.slsa.sa.gov.au/mpcimg/61000/B60875.htm</v>
      </c>
    </row>
    <row r="10979" spans="1:11" x14ac:dyDescent="0.25">
      <c r="A10979" t="s">
        <v>33881</v>
      </c>
      <c r="B10979" s="1" t="str">
        <f>HYPERLINK("https://www.catalog.slsa.sa.gov.au/record=b2082936")</f>
        <v>https://www.catalog.slsa.sa.gov.au/record=b2082936</v>
      </c>
      <c r="C10979" s="1" t="str">
        <f>HYPERLINK("https://www.catalog.slsa.sa.gov.au/xrecord=b2082936")</f>
        <v>https://www.catalog.slsa.sa.gov.au/xrecord=b2082936</v>
      </c>
      <c r="D10979" t="s">
        <v>16831</v>
      </c>
      <c r="E10979" t="s">
        <v>33872</v>
      </c>
      <c r="F10979">
        <v>1994</v>
      </c>
      <c r="G10979" t="s">
        <v>15269</v>
      </c>
      <c r="H10979" t="s">
        <v>33882</v>
      </c>
      <c r="I10979" t="s">
        <v>33874</v>
      </c>
      <c r="J10979" t="s">
        <v>23328</v>
      </c>
      <c r="K10979" s="2" t="str">
        <f>HYPERLINK("http://collections.slsa.sa.gov.au/mpcimg/61000/B60876.htm")</f>
        <v>http://collections.slsa.sa.gov.au/mpcimg/61000/B60876.htm</v>
      </c>
    </row>
    <row r="10980" spans="1:11" x14ac:dyDescent="0.25">
      <c r="A10980" t="s">
        <v>33883</v>
      </c>
      <c r="B10980" s="1" t="str">
        <f>HYPERLINK("https://www.catalog.slsa.sa.gov.au/record=b2082937")</f>
        <v>https://www.catalog.slsa.sa.gov.au/record=b2082937</v>
      </c>
      <c r="C10980" s="1" t="str">
        <f>HYPERLINK("https://www.catalog.slsa.sa.gov.au/xrecord=b2082937")</f>
        <v>https://www.catalog.slsa.sa.gov.au/xrecord=b2082937</v>
      </c>
      <c r="D10980" t="s">
        <v>16831</v>
      </c>
      <c r="E10980" t="s">
        <v>33872</v>
      </c>
      <c r="F10980">
        <v>1994</v>
      </c>
      <c r="G10980" t="s">
        <v>15269</v>
      </c>
      <c r="H10980" t="s">
        <v>33884</v>
      </c>
      <c r="I10980" t="s">
        <v>33874</v>
      </c>
      <c r="J10980" t="s">
        <v>23328</v>
      </c>
      <c r="K10980" s="2" t="str">
        <f>HYPERLINK("http://collections.slsa.sa.gov.au/mpcimg/61000/B60877.htm")</f>
        <v>http://collections.slsa.sa.gov.au/mpcimg/61000/B60877.htm</v>
      </c>
    </row>
    <row r="10981" spans="1:11" x14ac:dyDescent="0.25">
      <c r="A10981" t="s">
        <v>33885</v>
      </c>
      <c r="B10981" s="1" t="str">
        <f>HYPERLINK("https://www.catalog.slsa.sa.gov.au/record=b2082938")</f>
        <v>https://www.catalog.slsa.sa.gov.au/record=b2082938</v>
      </c>
      <c r="C10981" s="1" t="str">
        <f>HYPERLINK("https://www.catalog.slsa.sa.gov.au/xrecord=b2082938")</f>
        <v>https://www.catalog.slsa.sa.gov.au/xrecord=b2082938</v>
      </c>
      <c r="D10981" t="s">
        <v>16831</v>
      </c>
      <c r="E10981" t="s">
        <v>33872</v>
      </c>
      <c r="F10981">
        <v>1994</v>
      </c>
      <c r="G10981" t="s">
        <v>15269</v>
      </c>
      <c r="H10981" t="s">
        <v>33886</v>
      </c>
      <c r="I10981" t="s">
        <v>33874</v>
      </c>
      <c r="J10981" t="s">
        <v>23328</v>
      </c>
      <c r="K10981" s="2" t="str">
        <f>HYPERLINK("http://collections.slsa.sa.gov.au/mpcimg/61000/B60878.htm")</f>
        <v>http://collections.slsa.sa.gov.au/mpcimg/61000/B60878.htm</v>
      </c>
    </row>
    <row r="10982" spans="1:11" x14ac:dyDescent="0.25">
      <c r="A10982" t="s">
        <v>33887</v>
      </c>
      <c r="B10982" s="1" t="str">
        <f>HYPERLINK("https://www.catalog.slsa.sa.gov.au/record=b2082939")</f>
        <v>https://www.catalog.slsa.sa.gov.au/record=b2082939</v>
      </c>
      <c r="C10982" s="1" t="str">
        <f>HYPERLINK("https://www.catalog.slsa.sa.gov.au/xrecord=b2082939")</f>
        <v>https://www.catalog.slsa.sa.gov.au/xrecord=b2082939</v>
      </c>
      <c r="D10982" t="s">
        <v>16831</v>
      </c>
      <c r="E10982" t="s">
        <v>33872</v>
      </c>
      <c r="F10982">
        <v>1994</v>
      </c>
      <c r="G10982" t="s">
        <v>15269</v>
      </c>
      <c r="H10982" t="s">
        <v>33888</v>
      </c>
      <c r="I10982" t="s">
        <v>33874</v>
      </c>
      <c r="J10982" t="s">
        <v>23328</v>
      </c>
      <c r="K10982" s="2" t="str">
        <f>HYPERLINK("http://collections.slsa.sa.gov.au/mpcimg/61000/B60879.htm")</f>
        <v>http://collections.slsa.sa.gov.au/mpcimg/61000/B60879.htm</v>
      </c>
    </row>
    <row r="10983" spans="1:11" x14ac:dyDescent="0.25">
      <c r="A10983" t="s">
        <v>33889</v>
      </c>
      <c r="B10983" s="1" t="str">
        <f>HYPERLINK("https://www.catalog.slsa.sa.gov.au/record=b2082940")</f>
        <v>https://www.catalog.slsa.sa.gov.au/record=b2082940</v>
      </c>
      <c r="C10983" s="1" t="str">
        <f>HYPERLINK("https://www.catalog.slsa.sa.gov.au/xrecord=b2082940")</f>
        <v>https://www.catalog.slsa.sa.gov.au/xrecord=b2082940</v>
      </c>
      <c r="D10983" t="s">
        <v>16831</v>
      </c>
      <c r="E10983" t="s">
        <v>33872</v>
      </c>
      <c r="F10983">
        <v>1994</v>
      </c>
      <c r="G10983" t="s">
        <v>15269</v>
      </c>
      <c r="H10983" t="s">
        <v>33890</v>
      </c>
      <c r="I10983" t="s">
        <v>33874</v>
      </c>
      <c r="J10983" t="s">
        <v>23328</v>
      </c>
      <c r="K10983" s="2" t="str">
        <f>HYPERLINK("http://collections.slsa.sa.gov.au/mpcimg/61000/B60880.htm")</f>
        <v>http://collections.slsa.sa.gov.au/mpcimg/61000/B60880.htm</v>
      </c>
    </row>
    <row r="10984" spans="1:11" x14ac:dyDescent="0.25">
      <c r="A10984" t="s">
        <v>33891</v>
      </c>
      <c r="B10984" s="1" t="str">
        <f>HYPERLINK("https://www.catalog.slsa.sa.gov.au/record=b2082941")</f>
        <v>https://www.catalog.slsa.sa.gov.au/record=b2082941</v>
      </c>
      <c r="C10984" s="1" t="str">
        <f>HYPERLINK("https://www.catalog.slsa.sa.gov.au/xrecord=b2082941")</f>
        <v>https://www.catalog.slsa.sa.gov.au/xrecord=b2082941</v>
      </c>
      <c r="D10984" t="s">
        <v>16831</v>
      </c>
      <c r="E10984" t="s">
        <v>33872</v>
      </c>
      <c r="F10984">
        <v>1994</v>
      </c>
      <c r="G10984" t="s">
        <v>15269</v>
      </c>
      <c r="H10984" t="s">
        <v>33892</v>
      </c>
      <c r="I10984" t="s">
        <v>33874</v>
      </c>
      <c r="J10984" t="s">
        <v>23328</v>
      </c>
      <c r="K10984" s="2" t="str">
        <f>HYPERLINK("http://collections.slsa.sa.gov.au/mpcimg/61000/B60881.htm")</f>
        <v>http://collections.slsa.sa.gov.au/mpcimg/61000/B60881.htm</v>
      </c>
    </row>
    <row r="10985" spans="1:11" x14ac:dyDescent="0.25">
      <c r="A10985" t="s">
        <v>33893</v>
      </c>
      <c r="B10985" s="1" t="str">
        <f>HYPERLINK("https://www.catalog.slsa.sa.gov.au/record=b2082943")</f>
        <v>https://www.catalog.slsa.sa.gov.au/record=b2082943</v>
      </c>
      <c r="C10985" s="1" t="str">
        <f>HYPERLINK("https://www.catalog.slsa.sa.gov.au/xrecord=b2082943")</f>
        <v>https://www.catalog.slsa.sa.gov.au/xrecord=b2082943</v>
      </c>
      <c r="D10985" t="s">
        <v>16831</v>
      </c>
      <c r="E10985" t="s">
        <v>33872</v>
      </c>
      <c r="F10985">
        <v>1994</v>
      </c>
      <c r="G10985" t="s">
        <v>15269</v>
      </c>
      <c r="H10985" t="s">
        <v>33892</v>
      </c>
      <c r="I10985" t="s">
        <v>33874</v>
      </c>
      <c r="J10985" t="s">
        <v>23328</v>
      </c>
      <c r="K10985" s="2" t="str">
        <f>HYPERLINK("http://collections.slsa.sa.gov.au/mpcimg/61000/B60883.htm")</f>
        <v>http://collections.slsa.sa.gov.au/mpcimg/61000/B60883.htm</v>
      </c>
    </row>
    <row r="10986" spans="1:11" x14ac:dyDescent="0.25">
      <c r="A10986" t="s">
        <v>33894</v>
      </c>
      <c r="B10986" s="1" t="str">
        <f>HYPERLINK("https://www.catalog.slsa.sa.gov.au/record=b2082944")</f>
        <v>https://www.catalog.slsa.sa.gov.au/record=b2082944</v>
      </c>
      <c r="C10986" s="1" t="str">
        <f>HYPERLINK("https://www.catalog.slsa.sa.gov.au/xrecord=b2082944")</f>
        <v>https://www.catalog.slsa.sa.gov.au/xrecord=b2082944</v>
      </c>
      <c r="D10986" t="s">
        <v>16831</v>
      </c>
      <c r="E10986" t="s">
        <v>33872</v>
      </c>
      <c r="F10986">
        <v>1994</v>
      </c>
      <c r="G10986" t="s">
        <v>15269</v>
      </c>
      <c r="H10986" t="s">
        <v>33895</v>
      </c>
      <c r="I10986" t="s">
        <v>33874</v>
      </c>
      <c r="J10986" t="s">
        <v>23328</v>
      </c>
      <c r="K10986" s="2" t="str">
        <f>HYPERLINK("http://collections.slsa.sa.gov.au/mpcimg/61000/B60884.htm")</f>
        <v>http://collections.slsa.sa.gov.au/mpcimg/61000/B60884.htm</v>
      </c>
    </row>
    <row r="10987" spans="1:11" x14ac:dyDescent="0.25">
      <c r="A10987" t="s">
        <v>33896</v>
      </c>
      <c r="B10987" s="1" t="str">
        <f>HYPERLINK("https://www.catalog.slsa.sa.gov.au/record=b2082945")</f>
        <v>https://www.catalog.slsa.sa.gov.au/record=b2082945</v>
      </c>
      <c r="C10987" s="1" t="str">
        <f>HYPERLINK("https://www.catalog.slsa.sa.gov.au/xrecord=b2082945")</f>
        <v>https://www.catalog.slsa.sa.gov.au/xrecord=b2082945</v>
      </c>
      <c r="D10987" t="s">
        <v>16831</v>
      </c>
      <c r="E10987" t="s">
        <v>33872</v>
      </c>
      <c r="F10987">
        <v>1994</v>
      </c>
      <c r="G10987" t="s">
        <v>15269</v>
      </c>
      <c r="H10987" t="s">
        <v>33895</v>
      </c>
      <c r="I10987" t="s">
        <v>33874</v>
      </c>
      <c r="J10987" t="s">
        <v>23328</v>
      </c>
      <c r="K10987" s="2" t="str">
        <f>HYPERLINK("http://collections.slsa.sa.gov.au/mpcimg/61000/B60885.htm")</f>
        <v>http://collections.slsa.sa.gov.au/mpcimg/61000/B60885.htm</v>
      </c>
    </row>
    <row r="10988" spans="1:11" x14ac:dyDescent="0.25">
      <c r="A10988" t="s">
        <v>33897</v>
      </c>
      <c r="B10988" s="1" t="str">
        <f>HYPERLINK("https://www.catalog.slsa.sa.gov.au/record=b2082946")</f>
        <v>https://www.catalog.slsa.sa.gov.au/record=b2082946</v>
      </c>
      <c r="C10988" s="1" t="str">
        <f>HYPERLINK("https://www.catalog.slsa.sa.gov.au/xrecord=b2082946")</f>
        <v>https://www.catalog.slsa.sa.gov.au/xrecord=b2082946</v>
      </c>
      <c r="D10988" t="s">
        <v>16831</v>
      </c>
      <c r="E10988" t="s">
        <v>33872</v>
      </c>
      <c r="F10988">
        <v>1994</v>
      </c>
      <c r="G10988" t="s">
        <v>15269</v>
      </c>
      <c r="H10988" t="s">
        <v>33898</v>
      </c>
      <c r="I10988" t="s">
        <v>33874</v>
      </c>
      <c r="J10988" t="s">
        <v>23328</v>
      </c>
      <c r="K10988" s="2" t="str">
        <f>HYPERLINK("http://collections.slsa.sa.gov.au/mpcimg/61000/B60886.htm")</f>
        <v>http://collections.slsa.sa.gov.au/mpcimg/61000/B60886.htm</v>
      </c>
    </row>
    <row r="10989" spans="1:11" x14ac:dyDescent="0.25">
      <c r="A10989" t="s">
        <v>33899</v>
      </c>
      <c r="B10989" s="1" t="str">
        <f>HYPERLINK("https://www.catalog.slsa.sa.gov.au/record=b2082947")</f>
        <v>https://www.catalog.slsa.sa.gov.au/record=b2082947</v>
      </c>
      <c r="C10989" s="1" t="str">
        <f>HYPERLINK("https://www.catalog.slsa.sa.gov.au/xrecord=b2082947")</f>
        <v>https://www.catalog.slsa.sa.gov.au/xrecord=b2082947</v>
      </c>
      <c r="D10989" t="s">
        <v>16831</v>
      </c>
      <c r="E10989" t="s">
        <v>33872</v>
      </c>
      <c r="F10989">
        <v>1994</v>
      </c>
      <c r="G10989" t="s">
        <v>15269</v>
      </c>
      <c r="H10989" t="s">
        <v>33898</v>
      </c>
      <c r="I10989" t="s">
        <v>33874</v>
      </c>
      <c r="J10989" t="s">
        <v>23328</v>
      </c>
      <c r="K10989" s="2" t="str">
        <f>HYPERLINK("http://collections.slsa.sa.gov.au/mpcimg/61000/B60887.htm")</f>
        <v>http://collections.slsa.sa.gov.au/mpcimg/61000/B60887.htm</v>
      </c>
    </row>
    <row r="10990" spans="1:11" x14ac:dyDescent="0.25">
      <c r="A10990" t="s">
        <v>33900</v>
      </c>
      <c r="B10990" s="1" t="str">
        <f>HYPERLINK("https://www.catalog.slsa.sa.gov.au/record=b2082948")</f>
        <v>https://www.catalog.slsa.sa.gov.au/record=b2082948</v>
      </c>
      <c r="C10990" s="1" t="str">
        <f>HYPERLINK("https://www.catalog.slsa.sa.gov.au/xrecord=b2082948")</f>
        <v>https://www.catalog.slsa.sa.gov.au/xrecord=b2082948</v>
      </c>
      <c r="D10990" t="s">
        <v>16831</v>
      </c>
      <c r="E10990" t="s">
        <v>33872</v>
      </c>
      <c r="F10990">
        <v>1994</v>
      </c>
      <c r="G10990" t="s">
        <v>15269</v>
      </c>
      <c r="H10990" t="s">
        <v>33901</v>
      </c>
      <c r="I10990" t="s">
        <v>33874</v>
      </c>
      <c r="J10990" t="s">
        <v>23328</v>
      </c>
      <c r="K10990" s="2" t="str">
        <f>HYPERLINK("http://collections.slsa.sa.gov.au/mpcimg/61000/B60888.htm")</f>
        <v>http://collections.slsa.sa.gov.au/mpcimg/61000/B60888.htm</v>
      </c>
    </row>
    <row r="10991" spans="1:11" x14ac:dyDescent="0.25">
      <c r="A10991" t="s">
        <v>33902</v>
      </c>
      <c r="B10991" s="1" t="str">
        <f>HYPERLINK("https://www.catalog.slsa.sa.gov.au/record=b2082949")</f>
        <v>https://www.catalog.slsa.sa.gov.au/record=b2082949</v>
      </c>
      <c r="C10991" s="1" t="str">
        <f>HYPERLINK("https://www.catalog.slsa.sa.gov.au/xrecord=b2082949")</f>
        <v>https://www.catalog.slsa.sa.gov.au/xrecord=b2082949</v>
      </c>
      <c r="D10991" t="s">
        <v>16831</v>
      </c>
      <c r="E10991" t="s">
        <v>33872</v>
      </c>
      <c r="F10991">
        <v>1994</v>
      </c>
      <c r="G10991" t="s">
        <v>15269</v>
      </c>
      <c r="H10991" t="s">
        <v>33901</v>
      </c>
      <c r="I10991" t="s">
        <v>33874</v>
      </c>
      <c r="J10991" t="s">
        <v>23328</v>
      </c>
      <c r="K10991" s="2" t="str">
        <f>HYPERLINK("http://collections.slsa.sa.gov.au/mpcimg/61000/B60889.htm")</f>
        <v>http://collections.slsa.sa.gov.au/mpcimg/61000/B60889.htm</v>
      </c>
    </row>
    <row r="10992" spans="1:11" x14ac:dyDescent="0.25">
      <c r="A10992" t="s">
        <v>33903</v>
      </c>
      <c r="B10992" s="1" t="str">
        <f>HYPERLINK("https://www.catalog.slsa.sa.gov.au/record=b2082950")</f>
        <v>https://www.catalog.slsa.sa.gov.au/record=b2082950</v>
      </c>
      <c r="C10992" s="1" t="str">
        <f>HYPERLINK("https://www.catalog.slsa.sa.gov.au/xrecord=b2082950")</f>
        <v>https://www.catalog.slsa.sa.gov.au/xrecord=b2082950</v>
      </c>
      <c r="D10992" t="s">
        <v>16831</v>
      </c>
      <c r="E10992" t="s">
        <v>33872</v>
      </c>
      <c r="F10992">
        <v>1994</v>
      </c>
      <c r="G10992" t="s">
        <v>15269</v>
      </c>
      <c r="H10992" t="s">
        <v>33904</v>
      </c>
      <c r="I10992" t="s">
        <v>33874</v>
      </c>
      <c r="J10992" t="s">
        <v>23328</v>
      </c>
      <c r="K10992" s="2" t="str">
        <f>HYPERLINK("http://collections.slsa.sa.gov.au/mpcimg/61000/B60890.htm")</f>
        <v>http://collections.slsa.sa.gov.au/mpcimg/61000/B60890.htm</v>
      </c>
    </row>
    <row r="10993" spans="1:11" x14ac:dyDescent="0.25">
      <c r="A10993" t="s">
        <v>33905</v>
      </c>
      <c r="B10993" s="1" t="str">
        <f>HYPERLINK("https://www.catalog.slsa.sa.gov.au/record=b2204243")</f>
        <v>https://www.catalog.slsa.sa.gov.au/record=b2204243</v>
      </c>
      <c r="C10993" s="1" t="str">
        <f>HYPERLINK("https://www.catalog.slsa.sa.gov.au/xrecord=b2204243")</f>
        <v>https://www.catalog.slsa.sa.gov.au/xrecord=b2204243</v>
      </c>
      <c r="D10993" t="s">
        <v>31902</v>
      </c>
      <c r="E10993" t="s">
        <v>33906</v>
      </c>
      <c r="F10993">
        <v>1994</v>
      </c>
      <c r="G10993" t="s">
        <v>33690</v>
      </c>
      <c r="H10993" t="s">
        <v>33907</v>
      </c>
      <c r="J10993" t="s">
        <v>14768</v>
      </c>
      <c r="K10993" s="2" t="str">
        <f>HYPERLINK("http://collections.slsa.sa.gov.au/mpcimg/69500/B69282_33.htm")</f>
        <v>http://collections.slsa.sa.gov.au/mpcimg/69500/B69282_33.htm</v>
      </c>
    </row>
    <row r="10994" spans="1:11" x14ac:dyDescent="0.25">
      <c r="A10994" t="s">
        <v>33908</v>
      </c>
      <c r="B10994" s="1" t="str">
        <f>HYPERLINK("https://www.catalog.slsa.sa.gov.au/record=b2204244")</f>
        <v>https://www.catalog.slsa.sa.gov.au/record=b2204244</v>
      </c>
      <c r="C10994" s="1" t="str">
        <f>HYPERLINK("https://www.catalog.slsa.sa.gov.au/xrecord=b2204244")</f>
        <v>https://www.catalog.slsa.sa.gov.au/xrecord=b2204244</v>
      </c>
      <c r="D10994" t="s">
        <v>31902</v>
      </c>
      <c r="E10994" t="s">
        <v>27334</v>
      </c>
      <c r="F10994">
        <v>1994</v>
      </c>
      <c r="G10994" t="s">
        <v>33690</v>
      </c>
      <c r="H10994" t="s">
        <v>33909</v>
      </c>
      <c r="J10994" t="s">
        <v>14768</v>
      </c>
      <c r="K10994" s="2" t="str">
        <f>HYPERLINK("http://collections.slsa.sa.gov.au/mpcimg/69500/B69282_34.htm")</f>
        <v>http://collections.slsa.sa.gov.au/mpcimg/69500/B69282_34.htm</v>
      </c>
    </row>
    <row r="10995" spans="1:11" x14ac:dyDescent="0.25">
      <c r="A10995" t="s">
        <v>33910</v>
      </c>
      <c r="B10995" s="1" t="str">
        <f>HYPERLINK("https://www.catalog.slsa.sa.gov.au/record=b2204802")</f>
        <v>https://www.catalog.slsa.sa.gov.au/record=b2204802</v>
      </c>
      <c r="C10995" s="1" t="str">
        <f>HYPERLINK("https://www.catalog.slsa.sa.gov.au/xrecord=b2204802")</f>
        <v>https://www.catalog.slsa.sa.gov.au/xrecord=b2204802</v>
      </c>
      <c r="D10995" t="s">
        <v>31902</v>
      </c>
      <c r="E10995" t="s">
        <v>33911</v>
      </c>
      <c r="F10995">
        <v>1994</v>
      </c>
      <c r="G10995" t="s">
        <v>33690</v>
      </c>
      <c r="H10995" t="s">
        <v>33912</v>
      </c>
      <c r="J10995" t="s">
        <v>14768</v>
      </c>
      <c r="K10995" s="2" t="str">
        <f>HYPERLINK("http://collections.slsa.sa.gov.au/mpcimg/69500/B69282_47.htm")</f>
        <v>http://collections.slsa.sa.gov.au/mpcimg/69500/B69282_47.htm</v>
      </c>
    </row>
    <row r="10996" spans="1:11" x14ac:dyDescent="0.25">
      <c r="A10996" t="s">
        <v>33913</v>
      </c>
      <c r="B10996" s="1" t="str">
        <f>HYPERLINK("https://www.catalog.slsa.sa.gov.au/record=b2204809")</f>
        <v>https://www.catalog.slsa.sa.gov.au/record=b2204809</v>
      </c>
      <c r="C10996" s="1" t="str">
        <f>HYPERLINK("https://www.catalog.slsa.sa.gov.au/xrecord=b2204809")</f>
        <v>https://www.catalog.slsa.sa.gov.au/xrecord=b2204809</v>
      </c>
      <c r="D10996" t="s">
        <v>31902</v>
      </c>
      <c r="E10996" t="s">
        <v>33914</v>
      </c>
      <c r="F10996">
        <v>1994</v>
      </c>
      <c r="G10996" t="s">
        <v>18310</v>
      </c>
      <c r="H10996" t="s">
        <v>33915</v>
      </c>
      <c r="J10996" t="s">
        <v>14768</v>
      </c>
      <c r="K10996" s="2" t="str">
        <f>HYPERLINK("http://collections.slsa.sa.gov.au/mpcimg/69500/B69282_48.htm")</f>
        <v>http://collections.slsa.sa.gov.au/mpcimg/69500/B69282_48.htm</v>
      </c>
    </row>
    <row r="10997" spans="1:11" x14ac:dyDescent="0.25">
      <c r="A10997" t="s">
        <v>33916</v>
      </c>
      <c r="B10997" s="1" t="str">
        <f>HYPERLINK("https://www.catalog.slsa.sa.gov.au/record=b2204810")</f>
        <v>https://www.catalog.slsa.sa.gov.au/record=b2204810</v>
      </c>
      <c r="C10997" s="1" t="str">
        <f>HYPERLINK("https://www.catalog.slsa.sa.gov.au/xrecord=b2204810")</f>
        <v>https://www.catalog.slsa.sa.gov.au/xrecord=b2204810</v>
      </c>
      <c r="D10997" t="s">
        <v>31902</v>
      </c>
      <c r="E10997" t="s">
        <v>33914</v>
      </c>
      <c r="F10997">
        <v>1994</v>
      </c>
      <c r="G10997" t="s">
        <v>18310</v>
      </c>
      <c r="H10997" t="s">
        <v>33917</v>
      </c>
      <c r="J10997" t="s">
        <v>14768</v>
      </c>
      <c r="K10997" s="2" t="str">
        <f>HYPERLINK("http://collections.slsa.sa.gov.au/mpcimg/69500/B69282_49.htm")</f>
        <v>http://collections.slsa.sa.gov.au/mpcimg/69500/B69282_49.htm</v>
      </c>
    </row>
    <row r="10998" spans="1:11" x14ac:dyDescent="0.25">
      <c r="A10998" t="s">
        <v>33918</v>
      </c>
      <c r="B10998" s="1" t="str">
        <f>HYPERLINK("https://www.catalog.slsa.sa.gov.au/record=b2096521")</f>
        <v>https://www.catalog.slsa.sa.gov.au/record=b2096521</v>
      </c>
      <c r="C10998" s="1" t="str">
        <f>HYPERLINK("https://www.catalog.slsa.sa.gov.au/xrecord=b2096521")</f>
        <v>https://www.catalog.slsa.sa.gov.au/xrecord=b2096521</v>
      </c>
      <c r="D10998" t="s">
        <v>16831</v>
      </c>
      <c r="E10998" t="s">
        <v>33919</v>
      </c>
      <c r="F10998">
        <v>1995</v>
      </c>
      <c r="G10998" t="s">
        <v>30839</v>
      </c>
      <c r="H10998" t="s">
        <v>33920</v>
      </c>
      <c r="J10998" t="s">
        <v>33542</v>
      </c>
      <c r="K10998" s="2" t="str">
        <f>HYPERLINK("http://collections.slsa.sa.gov.au/mpcimg/69000/B68851.htm")</f>
        <v>http://collections.slsa.sa.gov.au/mpcimg/69000/B68851.htm</v>
      </c>
    </row>
    <row r="10999" spans="1:11" x14ac:dyDescent="0.25">
      <c r="A10999" t="s">
        <v>33921</v>
      </c>
      <c r="B10999" s="1" t="str">
        <f>HYPERLINK("https://www.catalog.slsa.sa.gov.au/record=b2096522")</f>
        <v>https://www.catalog.slsa.sa.gov.au/record=b2096522</v>
      </c>
      <c r="C10999" s="1" t="str">
        <f>HYPERLINK("https://www.catalog.slsa.sa.gov.au/xrecord=b2096522")</f>
        <v>https://www.catalog.slsa.sa.gov.au/xrecord=b2096522</v>
      </c>
      <c r="D10999" t="s">
        <v>16831</v>
      </c>
      <c r="E10999" t="s">
        <v>33922</v>
      </c>
      <c r="F10999">
        <v>1995</v>
      </c>
      <c r="G10999" t="s">
        <v>18310</v>
      </c>
      <c r="H10999" t="s">
        <v>33923</v>
      </c>
      <c r="J10999" t="s">
        <v>33542</v>
      </c>
      <c r="K10999" s="2" t="str">
        <f>HYPERLINK("http://collections.slsa.sa.gov.au/mpcimg/69000/B68852.htm")</f>
        <v>http://collections.slsa.sa.gov.au/mpcimg/69000/B68852.htm</v>
      </c>
    </row>
    <row r="11000" spans="1:11" x14ac:dyDescent="0.25">
      <c r="A11000" t="s">
        <v>33924</v>
      </c>
      <c r="B11000" s="1" t="str">
        <f>HYPERLINK("https://www.catalog.slsa.sa.gov.au/record=b2096523")</f>
        <v>https://www.catalog.slsa.sa.gov.au/record=b2096523</v>
      </c>
      <c r="C11000" s="1" t="str">
        <f>HYPERLINK("https://www.catalog.slsa.sa.gov.au/xrecord=b2096523")</f>
        <v>https://www.catalog.slsa.sa.gov.au/xrecord=b2096523</v>
      </c>
      <c r="D11000" t="s">
        <v>16831</v>
      </c>
      <c r="E11000" t="s">
        <v>33922</v>
      </c>
      <c r="F11000">
        <v>1995</v>
      </c>
      <c r="G11000" t="s">
        <v>18310</v>
      </c>
      <c r="H11000" t="s">
        <v>33925</v>
      </c>
      <c r="J11000" t="s">
        <v>33542</v>
      </c>
      <c r="K11000" s="2" t="str">
        <f>HYPERLINK("http://collections.slsa.sa.gov.au/mpcimg/69000/B68853.htm")</f>
        <v>http://collections.slsa.sa.gov.au/mpcimg/69000/B68853.htm</v>
      </c>
    </row>
    <row r="11001" spans="1:11" x14ac:dyDescent="0.25">
      <c r="A11001" t="s">
        <v>33926</v>
      </c>
      <c r="B11001" s="1" t="str">
        <f>HYPERLINK("https://www.catalog.slsa.sa.gov.au/record=b2096581")</f>
        <v>https://www.catalog.slsa.sa.gov.au/record=b2096581</v>
      </c>
      <c r="C11001" s="1" t="str">
        <f>HYPERLINK("https://www.catalog.slsa.sa.gov.au/xrecord=b2096581")</f>
        <v>https://www.catalog.slsa.sa.gov.au/xrecord=b2096581</v>
      </c>
      <c r="D11001" t="s">
        <v>16831</v>
      </c>
      <c r="E11001" t="s">
        <v>33927</v>
      </c>
      <c r="F11001">
        <v>1995</v>
      </c>
      <c r="G11001" t="s">
        <v>18310</v>
      </c>
      <c r="H11001" t="s">
        <v>33928</v>
      </c>
      <c r="J11001" t="s">
        <v>33542</v>
      </c>
      <c r="K11001" s="2" t="str">
        <f>HYPERLINK("http://collections.slsa.sa.gov.au/mpcimg/69000/B68863.htm")</f>
        <v>http://collections.slsa.sa.gov.au/mpcimg/69000/B68863.htm</v>
      </c>
    </row>
    <row r="11002" spans="1:11" x14ac:dyDescent="0.25">
      <c r="A11002" t="s">
        <v>33929</v>
      </c>
      <c r="B11002" s="1" t="str">
        <f>HYPERLINK("https://www.catalog.slsa.sa.gov.au/record=b2204813")</f>
        <v>https://www.catalog.slsa.sa.gov.au/record=b2204813</v>
      </c>
      <c r="C11002" s="1" t="str">
        <f>HYPERLINK("https://www.catalog.slsa.sa.gov.au/xrecord=b2204813")</f>
        <v>https://www.catalog.slsa.sa.gov.au/xrecord=b2204813</v>
      </c>
      <c r="D11002" t="s">
        <v>31902</v>
      </c>
      <c r="E11002" t="s">
        <v>33930</v>
      </c>
      <c r="F11002">
        <v>1995</v>
      </c>
      <c r="G11002" t="s">
        <v>18310</v>
      </c>
      <c r="H11002" t="s">
        <v>33931</v>
      </c>
      <c r="J11002" t="s">
        <v>14768</v>
      </c>
      <c r="K11002" s="2" t="str">
        <f>HYPERLINK("http://collections.slsa.sa.gov.au/mpcimg/69500/B69282_50.htm")</f>
        <v>http://collections.slsa.sa.gov.au/mpcimg/69500/B69282_50.htm</v>
      </c>
    </row>
    <row r="11003" spans="1:11" x14ac:dyDescent="0.25">
      <c r="A11003" t="s">
        <v>33932</v>
      </c>
      <c r="B11003" s="1" t="str">
        <f>HYPERLINK("https://www.catalog.slsa.sa.gov.au/record=b2204818")</f>
        <v>https://www.catalog.slsa.sa.gov.au/record=b2204818</v>
      </c>
      <c r="C11003" s="1" t="str">
        <f>HYPERLINK("https://www.catalog.slsa.sa.gov.au/xrecord=b2204818")</f>
        <v>https://www.catalog.slsa.sa.gov.au/xrecord=b2204818</v>
      </c>
      <c r="D11003" t="s">
        <v>31902</v>
      </c>
      <c r="E11003" t="s">
        <v>33933</v>
      </c>
      <c r="F11003">
        <v>1995</v>
      </c>
      <c r="G11003" t="s">
        <v>33690</v>
      </c>
      <c r="H11003" t="s">
        <v>33934</v>
      </c>
      <c r="J11003" t="s">
        <v>14768</v>
      </c>
      <c r="K11003" s="2" t="str">
        <f>HYPERLINK("http://collections.slsa.sa.gov.au/mpcimg/69500/B69282_51.htm")</f>
        <v>http://collections.slsa.sa.gov.au/mpcimg/69500/B69282_51.htm</v>
      </c>
    </row>
    <row r="11004" spans="1:11" x14ac:dyDescent="0.25">
      <c r="A11004" t="s">
        <v>33935</v>
      </c>
      <c r="B11004" s="1" t="str">
        <f>HYPERLINK("https://www.catalog.slsa.sa.gov.au/record=b2204952")</f>
        <v>https://www.catalog.slsa.sa.gov.au/record=b2204952</v>
      </c>
      <c r="C11004" s="1" t="str">
        <f>HYPERLINK("https://www.catalog.slsa.sa.gov.au/xrecord=b2204952")</f>
        <v>https://www.catalog.slsa.sa.gov.au/xrecord=b2204952</v>
      </c>
      <c r="D11004" t="s">
        <v>31902</v>
      </c>
      <c r="E11004" t="s">
        <v>33933</v>
      </c>
      <c r="F11004">
        <v>1995</v>
      </c>
      <c r="G11004" t="s">
        <v>33690</v>
      </c>
      <c r="H11004" t="s">
        <v>33936</v>
      </c>
      <c r="J11004" t="s">
        <v>14768</v>
      </c>
      <c r="K11004" s="2" t="str">
        <f>HYPERLINK("http://collections.slsa.sa.gov.au/mpcimg/69500/B69282_52.htm")</f>
        <v>http://collections.slsa.sa.gov.au/mpcimg/69500/B69282_52.htm</v>
      </c>
    </row>
    <row r="11005" spans="1:11" x14ac:dyDescent="0.25">
      <c r="A11005" t="s">
        <v>33937</v>
      </c>
      <c r="B11005" s="1" t="str">
        <f>HYPERLINK("https://www.catalog.slsa.sa.gov.au/record=b2290631")</f>
        <v>https://www.catalog.slsa.sa.gov.au/record=b2290631</v>
      </c>
      <c r="C11005" s="1" t="str">
        <f>HYPERLINK("https://www.catalog.slsa.sa.gov.au/xrecord=b2290631")</f>
        <v>https://www.catalog.slsa.sa.gov.au/xrecord=b2290631</v>
      </c>
      <c r="D11005" t="s">
        <v>31902</v>
      </c>
      <c r="E11005" t="s">
        <v>33938</v>
      </c>
      <c r="F11005">
        <v>1995</v>
      </c>
      <c r="G11005" t="s">
        <v>33690</v>
      </c>
      <c r="H11005" t="s">
        <v>33939</v>
      </c>
      <c r="J11005" t="s">
        <v>14768</v>
      </c>
      <c r="K11005" s="2" t="str">
        <f>HYPERLINK("http://collections.slsa.sa.gov.au/mpcimg/69500/B69282_259.htm")</f>
        <v>http://collections.slsa.sa.gov.au/mpcimg/69500/B69282_259.htm</v>
      </c>
    </row>
    <row r="11006" spans="1:11" x14ac:dyDescent="0.25">
      <c r="A11006" t="s">
        <v>33940</v>
      </c>
      <c r="B11006" s="1" t="str">
        <f>HYPERLINK("https://www.catalog.slsa.sa.gov.au/record=b2290634")</f>
        <v>https://www.catalog.slsa.sa.gov.au/record=b2290634</v>
      </c>
      <c r="C11006" s="1" t="str">
        <f>HYPERLINK("https://www.catalog.slsa.sa.gov.au/xrecord=b2290634")</f>
        <v>https://www.catalog.slsa.sa.gov.au/xrecord=b2290634</v>
      </c>
      <c r="D11006" t="s">
        <v>31902</v>
      </c>
      <c r="E11006" t="s">
        <v>33938</v>
      </c>
      <c r="F11006">
        <v>1995</v>
      </c>
      <c r="G11006" t="s">
        <v>33690</v>
      </c>
      <c r="H11006" t="s">
        <v>33941</v>
      </c>
      <c r="J11006" t="s">
        <v>14768</v>
      </c>
      <c r="K11006" s="2" t="str">
        <f>HYPERLINK("http://collections.slsa.sa.gov.au/mpcimg/69500/B69282_260.htm")</f>
        <v>http://collections.slsa.sa.gov.au/mpcimg/69500/B69282_260.htm</v>
      </c>
    </row>
    <row r="11007" spans="1:11" x14ac:dyDescent="0.25">
      <c r="A11007" t="s">
        <v>33942</v>
      </c>
      <c r="B11007" s="1" t="str">
        <f>HYPERLINK("https://www.catalog.slsa.sa.gov.au/record=b2363914")</f>
        <v>https://www.catalog.slsa.sa.gov.au/record=b2363914</v>
      </c>
      <c r="C11007" s="1" t="str">
        <f>HYPERLINK("https://www.catalog.slsa.sa.gov.au/xrecord=b2363914")</f>
        <v>https://www.catalog.slsa.sa.gov.au/xrecord=b2363914</v>
      </c>
      <c r="D11007" t="s">
        <v>31902</v>
      </c>
      <c r="E11007" t="s">
        <v>33943</v>
      </c>
      <c r="F11007">
        <v>1995</v>
      </c>
      <c r="G11007" t="s">
        <v>33690</v>
      </c>
      <c r="H11007" t="s">
        <v>33944</v>
      </c>
      <c r="I11007" t="s">
        <v>33945</v>
      </c>
      <c r="J11007" t="s">
        <v>14768</v>
      </c>
      <c r="K11007" s="2" t="str">
        <f>HYPERLINK("http://collections.slsa.sa.gov.au/mpcimg/69500/B69282_531.htm")</f>
        <v>http://collections.slsa.sa.gov.au/mpcimg/69500/B69282_531.htm</v>
      </c>
    </row>
    <row r="11008" spans="1:11" x14ac:dyDescent="0.25">
      <c r="A11008" t="s">
        <v>33946</v>
      </c>
      <c r="B11008" s="1" t="str">
        <f>HYPERLINK("https://www.catalog.slsa.sa.gov.au/record=b2075312")</f>
        <v>https://www.catalog.slsa.sa.gov.au/record=b2075312</v>
      </c>
      <c r="C11008" s="1" t="str">
        <f>HYPERLINK("https://www.catalog.slsa.sa.gov.au/xrecord=b2075312")</f>
        <v>https://www.catalog.slsa.sa.gov.au/xrecord=b2075312</v>
      </c>
      <c r="D11008" t="s">
        <v>16831</v>
      </c>
      <c r="E11008" t="s">
        <v>33947</v>
      </c>
      <c r="F11008">
        <v>1996</v>
      </c>
      <c r="G11008" t="s">
        <v>15269</v>
      </c>
      <c r="H11008" t="s">
        <v>33948</v>
      </c>
      <c r="I11008" t="s">
        <v>33949</v>
      </c>
      <c r="J11008" t="s">
        <v>32653</v>
      </c>
      <c r="K11008" s="2" t="str">
        <f>HYPERLINK("http://collections.slsa.sa.gov.au/mpcimg/62250/B62102.htm")</f>
        <v>http://collections.slsa.sa.gov.au/mpcimg/62250/B62102.htm</v>
      </c>
    </row>
    <row r="11009" spans="1:11" x14ac:dyDescent="0.25">
      <c r="A11009" t="s">
        <v>33950</v>
      </c>
      <c r="B11009" s="1" t="str">
        <f>HYPERLINK("https://www.catalog.slsa.sa.gov.au/record=b2075313")</f>
        <v>https://www.catalog.slsa.sa.gov.au/record=b2075313</v>
      </c>
      <c r="C11009" s="1" t="str">
        <f>HYPERLINK("https://www.catalog.slsa.sa.gov.au/xrecord=b2075313")</f>
        <v>https://www.catalog.slsa.sa.gov.au/xrecord=b2075313</v>
      </c>
      <c r="D11009" t="s">
        <v>16831</v>
      </c>
      <c r="E11009" t="s">
        <v>33947</v>
      </c>
      <c r="F11009">
        <v>1996</v>
      </c>
      <c r="G11009" t="s">
        <v>15269</v>
      </c>
      <c r="H11009" t="s">
        <v>33951</v>
      </c>
      <c r="I11009" t="s">
        <v>33952</v>
      </c>
      <c r="J11009" t="s">
        <v>32653</v>
      </c>
      <c r="K11009" s="2" t="str">
        <f>HYPERLINK("http://collections.slsa.sa.gov.au/mpcimg/62250/B62103.htm")</f>
        <v>http://collections.slsa.sa.gov.au/mpcimg/62250/B62103.htm</v>
      </c>
    </row>
    <row r="11010" spans="1:11" x14ac:dyDescent="0.25">
      <c r="A11010" t="s">
        <v>33953</v>
      </c>
      <c r="B11010" s="1" t="str">
        <f>HYPERLINK("https://www.catalog.slsa.sa.gov.au/record=b2075314")</f>
        <v>https://www.catalog.slsa.sa.gov.au/record=b2075314</v>
      </c>
      <c r="C11010" s="1" t="str">
        <f>HYPERLINK("https://www.catalog.slsa.sa.gov.au/xrecord=b2075314")</f>
        <v>https://www.catalog.slsa.sa.gov.au/xrecord=b2075314</v>
      </c>
      <c r="D11010" t="s">
        <v>16831</v>
      </c>
      <c r="E11010" t="s">
        <v>33947</v>
      </c>
      <c r="F11010">
        <v>1996</v>
      </c>
      <c r="G11010" t="s">
        <v>15269</v>
      </c>
      <c r="H11010" t="s">
        <v>33954</v>
      </c>
      <c r="I11010" t="s">
        <v>33955</v>
      </c>
      <c r="J11010" t="s">
        <v>32653</v>
      </c>
      <c r="K11010" s="2" t="str">
        <f>HYPERLINK("http://collections.slsa.sa.gov.au/mpcimg/62250/B62104.htm")</f>
        <v>http://collections.slsa.sa.gov.au/mpcimg/62250/B62104.htm</v>
      </c>
    </row>
    <row r="11011" spans="1:11" x14ac:dyDescent="0.25">
      <c r="A11011" t="s">
        <v>33956</v>
      </c>
      <c r="B11011" s="1" t="str">
        <f>HYPERLINK("https://www.catalog.slsa.sa.gov.au/record=b2075315")</f>
        <v>https://www.catalog.slsa.sa.gov.au/record=b2075315</v>
      </c>
      <c r="C11011" s="1" t="str">
        <f>HYPERLINK("https://www.catalog.slsa.sa.gov.au/xrecord=b2075315")</f>
        <v>https://www.catalog.slsa.sa.gov.au/xrecord=b2075315</v>
      </c>
      <c r="D11011" t="s">
        <v>16831</v>
      </c>
      <c r="E11011" t="s">
        <v>33947</v>
      </c>
      <c r="F11011">
        <v>1996</v>
      </c>
      <c r="G11011" t="s">
        <v>15269</v>
      </c>
      <c r="H11011" t="s">
        <v>33957</v>
      </c>
      <c r="I11011" t="s">
        <v>33958</v>
      </c>
      <c r="J11011" t="s">
        <v>32653</v>
      </c>
      <c r="K11011" s="2" t="str">
        <f>HYPERLINK("http://collections.slsa.sa.gov.au/mpcimg/62250/B62105.htm")</f>
        <v>http://collections.slsa.sa.gov.au/mpcimg/62250/B62105.htm</v>
      </c>
    </row>
    <row r="11012" spans="1:11" x14ac:dyDescent="0.25">
      <c r="A11012" t="s">
        <v>33959</v>
      </c>
      <c r="B11012" s="1" t="str">
        <f>HYPERLINK("https://www.catalog.slsa.sa.gov.au/record=b2075316")</f>
        <v>https://www.catalog.slsa.sa.gov.au/record=b2075316</v>
      </c>
      <c r="C11012" s="1" t="str">
        <f>HYPERLINK("https://www.catalog.slsa.sa.gov.au/xrecord=b2075316")</f>
        <v>https://www.catalog.slsa.sa.gov.au/xrecord=b2075316</v>
      </c>
      <c r="D11012" t="s">
        <v>16831</v>
      </c>
      <c r="E11012" t="s">
        <v>33947</v>
      </c>
      <c r="F11012">
        <v>1996</v>
      </c>
      <c r="G11012" t="s">
        <v>15269</v>
      </c>
      <c r="H11012" t="s">
        <v>33960</v>
      </c>
      <c r="I11012" t="s">
        <v>33961</v>
      </c>
      <c r="J11012" t="s">
        <v>32653</v>
      </c>
      <c r="K11012" s="2" t="str">
        <f>HYPERLINK("http://collections.slsa.sa.gov.au/mpcimg/62250/B62106.htm")</f>
        <v>http://collections.slsa.sa.gov.au/mpcimg/62250/B62106.htm</v>
      </c>
    </row>
    <row r="11013" spans="1:11" x14ac:dyDescent="0.25">
      <c r="A11013" t="s">
        <v>33962</v>
      </c>
      <c r="B11013" s="1" t="str">
        <f>HYPERLINK("https://www.catalog.slsa.sa.gov.au/record=b2205007")</f>
        <v>https://www.catalog.slsa.sa.gov.au/record=b2205007</v>
      </c>
      <c r="C11013" s="1" t="str">
        <f>HYPERLINK("https://www.catalog.slsa.sa.gov.au/xrecord=b2205007")</f>
        <v>https://www.catalog.slsa.sa.gov.au/xrecord=b2205007</v>
      </c>
      <c r="D11013" t="s">
        <v>31902</v>
      </c>
      <c r="E11013" t="s">
        <v>33963</v>
      </c>
      <c r="F11013">
        <v>1996</v>
      </c>
      <c r="G11013" t="s">
        <v>33690</v>
      </c>
      <c r="H11013" t="s">
        <v>33964</v>
      </c>
      <c r="J11013" t="s">
        <v>14768</v>
      </c>
      <c r="K11013" s="2" t="str">
        <f>HYPERLINK("http://collections.slsa.sa.gov.au/mpcimg/69500/B69282_53.htm")</f>
        <v>http://collections.slsa.sa.gov.au/mpcimg/69500/B69282_53.htm</v>
      </c>
    </row>
    <row r="11014" spans="1:11" x14ac:dyDescent="0.25">
      <c r="A11014" t="s">
        <v>33965</v>
      </c>
      <c r="B11014" s="1" t="str">
        <f>HYPERLINK("https://www.catalog.slsa.sa.gov.au/record=b2205009")</f>
        <v>https://www.catalog.slsa.sa.gov.au/record=b2205009</v>
      </c>
      <c r="C11014" s="1" t="str">
        <f>HYPERLINK("https://www.catalog.slsa.sa.gov.au/xrecord=b2205009")</f>
        <v>https://www.catalog.slsa.sa.gov.au/xrecord=b2205009</v>
      </c>
      <c r="D11014" t="s">
        <v>31902</v>
      </c>
      <c r="E11014" t="s">
        <v>33966</v>
      </c>
      <c r="F11014">
        <v>1996</v>
      </c>
      <c r="G11014" t="s">
        <v>33690</v>
      </c>
      <c r="H11014" t="s">
        <v>33967</v>
      </c>
      <c r="J11014" t="s">
        <v>14768</v>
      </c>
      <c r="K11014" s="2" t="str">
        <f>HYPERLINK("http://collections.slsa.sa.gov.au/mpcimg/69500/B69282_54.htm")</f>
        <v>http://collections.slsa.sa.gov.au/mpcimg/69500/B69282_54.htm</v>
      </c>
    </row>
    <row r="11015" spans="1:11" x14ac:dyDescent="0.25">
      <c r="A11015" t="s">
        <v>33968</v>
      </c>
      <c r="B11015" s="1" t="str">
        <f>HYPERLINK("https://www.catalog.slsa.sa.gov.au/record=b2205010")</f>
        <v>https://www.catalog.slsa.sa.gov.au/record=b2205010</v>
      </c>
      <c r="C11015" s="1" t="str">
        <f>HYPERLINK("https://www.catalog.slsa.sa.gov.au/xrecord=b2205010")</f>
        <v>https://www.catalog.slsa.sa.gov.au/xrecord=b2205010</v>
      </c>
      <c r="D11015" t="s">
        <v>31902</v>
      </c>
      <c r="E11015" t="s">
        <v>33969</v>
      </c>
      <c r="F11015">
        <v>1996</v>
      </c>
      <c r="G11015" t="s">
        <v>33690</v>
      </c>
      <c r="H11015" t="s">
        <v>33970</v>
      </c>
      <c r="J11015" t="s">
        <v>14768</v>
      </c>
      <c r="K11015" s="2" t="str">
        <f>HYPERLINK("http://collections.slsa.sa.gov.au/mpcimg/69500/B69282_55.htm")</f>
        <v>http://collections.slsa.sa.gov.au/mpcimg/69500/B69282_55.htm</v>
      </c>
    </row>
    <row r="11016" spans="1:11" x14ac:dyDescent="0.25">
      <c r="A11016" t="s">
        <v>33971</v>
      </c>
      <c r="B11016" s="1" t="str">
        <f>HYPERLINK("https://www.catalog.slsa.sa.gov.au/record=b2205013")</f>
        <v>https://www.catalog.slsa.sa.gov.au/record=b2205013</v>
      </c>
      <c r="C11016" s="1" t="str">
        <f>HYPERLINK("https://www.catalog.slsa.sa.gov.au/xrecord=b2205013")</f>
        <v>https://www.catalog.slsa.sa.gov.au/xrecord=b2205013</v>
      </c>
      <c r="D11016" t="s">
        <v>31902</v>
      </c>
      <c r="E11016" t="s">
        <v>33972</v>
      </c>
      <c r="F11016">
        <v>1996</v>
      </c>
      <c r="G11016" t="s">
        <v>33690</v>
      </c>
      <c r="H11016" t="s">
        <v>33970</v>
      </c>
      <c r="J11016" t="s">
        <v>14768</v>
      </c>
      <c r="K11016" s="2" t="str">
        <f>HYPERLINK("http://collections.slsa.sa.gov.au/mpcimg/69500/B69282_56.htm")</f>
        <v>http://collections.slsa.sa.gov.au/mpcimg/69500/B69282_56.htm</v>
      </c>
    </row>
    <row r="11017" spans="1:11" x14ac:dyDescent="0.25">
      <c r="A11017" t="s">
        <v>33973</v>
      </c>
      <c r="B11017" s="1" t="str">
        <f>HYPERLINK("https://www.catalog.slsa.sa.gov.au/record=b2205016")</f>
        <v>https://www.catalog.slsa.sa.gov.au/record=b2205016</v>
      </c>
      <c r="C11017" s="1" t="str">
        <f>HYPERLINK("https://www.catalog.slsa.sa.gov.au/xrecord=b2205016")</f>
        <v>https://www.catalog.slsa.sa.gov.au/xrecord=b2205016</v>
      </c>
      <c r="D11017" t="s">
        <v>31902</v>
      </c>
      <c r="E11017" t="s">
        <v>33974</v>
      </c>
      <c r="F11017">
        <v>1996</v>
      </c>
      <c r="G11017" t="s">
        <v>33690</v>
      </c>
      <c r="H11017" t="s">
        <v>33975</v>
      </c>
      <c r="J11017" t="s">
        <v>14768</v>
      </c>
      <c r="K11017" s="2" t="str">
        <f>HYPERLINK("http://collections.slsa.sa.gov.au/mpcimg/69500/B69282_57.htm")</f>
        <v>http://collections.slsa.sa.gov.au/mpcimg/69500/B69282_57.htm</v>
      </c>
    </row>
    <row r="11018" spans="1:11" x14ac:dyDescent="0.25">
      <c r="A11018" t="s">
        <v>33976</v>
      </c>
      <c r="B11018" s="1" t="str">
        <f>HYPERLINK("https://www.catalog.slsa.sa.gov.au/record=b2074689")</f>
        <v>https://www.catalog.slsa.sa.gov.au/record=b2074689</v>
      </c>
      <c r="C11018" s="1" t="str">
        <f>HYPERLINK("https://www.catalog.slsa.sa.gov.au/xrecord=b2074689")</f>
        <v>https://www.catalog.slsa.sa.gov.au/xrecord=b2074689</v>
      </c>
      <c r="D11018" t="s">
        <v>31902</v>
      </c>
      <c r="E11018" t="s">
        <v>33977</v>
      </c>
      <c r="F11018">
        <v>1997</v>
      </c>
      <c r="G11018" t="s">
        <v>33708</v>
      </c>
      <c r="H11018" t="s">
        <v>33978</v>
      </c>
      <c r="I11018" t="s">
        <v>33979</v>
      </c>
      <c r="J11018" t="s">
        <v>33980</v>
      </c>
      <c r="K11018" s="2" t="str">
        <f>HYPERLINK("http://collections.slsa.sa.gov.au/mpcimgr/64250/B64187.htm")</f>
        <v>http://collections.slsa.sa.gov.au/mpcimgr/64250/B64187.htm</v>
      </c>
    </row>
    <row r="11019" spans="1:11" x14ac:dyDescent="0.25">
      <c r="A11019" t="s">
        <v>33981</v>
      </c>
      <c r="B11019" s="1" t="str">
        <f>HYPERLINK("https://www.catalog.slsa.sa.gov.au/record=b2074690")</f>
        <v>https://www.catalog.slsa.sa.gov.au/record=b2074690</v>
      </c>
      <c r="C11019" s="1" t="str">
        <f>HYPERLINK("https://www.catalog.slsa.sa.gov.au/xrecord=b2074690")</f>
        <v>https://www.catalog.slsa.sa.gov.au/xrecord=b2074690</v>
      </c>
      <c r="D11019" t="s">
        <v>31902</v>
      </c>
      <c r="E11019" t="s">
        <v>33982</v>
      </c>
      <c r="F11019">
        <v>1997</v>
      </c>
      <c r="G11019" t="s">
        <v>33708</v>
      </c>
      <c r="H11019" t="s">
        <v>33983</v>
      </c>
      <c r="I11019" t="s">
        <v>33984</v>
      </c>
      <c r="J11019" t="s">
        <v>33980</v>
      </c>
      <c r="K11019" s="2" t="str">
        <f>HYPERLINK("http://collections.slsa.sa.gov.au/mpcimgr/64250/B64188.htm")</f>
        <v>http://collections.slsa.sa.gov.au/mpcimgr/64250/B64188.htm</v>
      </c>
    </row>
    <row r="11020" spans="1:11" x14ac:dyDescent="0.25">
      <c r="A11020" t="s">
        <v>33985</v>
      </c>
      <c r="B11020" s="1" t="str">
        <f>HYPERLINK("https://www.catalog.slsa.sa.gov.au/record=b2121722")</f>
        <v>https://www.catalog.slsa.sa.gov.au/record=b2121722</v>
      </c>
      <c r="C11020" s="1" t="str">
        <f>HYPERLINK("https://www.catalog.slsa.sa.gov.au/xrecord=b2121722")</f>
        <v>https://www.catalog.slsa.sa.gov.au/xrecord=b2121722</v>
      </c>
      <c r="D11020" t="s">
        <v>16831</v>
      </c>
      <c r="E11020" t="s">
        <v>33986</v>
      </c>
      <c r="F11020">
        <v>1997</v>
      </c>
      <c r="G11020" t="s">
        <v>33987</v>
      </c>
      <c r="H11020" t="s">
        <v>33988</v>
      </c>
      <c r="I11020" t="s">
        <v>33989</v>
      </c>
      <c r="J11020" t="s">
        <v>1809</v>
      </c>
      <c r="K11020" s="2" t="str">
        <f>HYPERLINK("http://collections.slsa.sa.gov.au/mpcimg/70750/B70562.htm")</f>
        <v>http://collections.slsa.sa.gov.au/mpcimg/70750/B70562.htm</v>
      </c>
    </row>
    <row r="11021" spans="1:11" x14ac:dyDescent="0.25">
      <c r="A11021" t="s">
        <v>33990</v>
      </c>
      <c r="B11021" s="1" t="str">
        <f>HYPERLINK("https://www.catalog.slsa.sa.gov.au/record=b2203513")</f>
        <v>https://www.catalog.slsa.sa.gov.au/record=b2203513</v>
      </c>
      <c r="C11021" s="1" t="str">
        <f>HYPERLINK("https://www.catalog.slsa.sa.gov.au/xrecord=b2203513")</f>
        <v>https://www.catalog.slsa.sa.gov.au/xrecord=b2203513</v>
      </c>
      <c r="D11021" t="s">
        <v>31902</v>
      </c>
      <c r="E11021" t="s">
        <v>33991</v>
      </c>
      <c r="F11021">
        <v>1997</v>
      </c>
      <c r="G11021" t="s">
        <v>33690</v>
      </c>
      <c r="H11021" t="s">
        <v>33992</v>
      </c>
      <c r="J11021" t="s">
        <v>14768</v>
      </c>
      <c r="K11021" s="2" t="str">
        <f>HYPERLINK("http://collections.slsa.sa.gov.au/mpcimg/69500/B69282_1.htm")</f>
        <v>http://collections.slsa.sa.gov.au/mpcimg/69500/B69282_1.htm</v>
      </c>
    </row>
    <row r="11022" spans="1:11" x14ac:dyDescent="0.25">
      <c r="A11022" t="s">
        <v>33993</v>
      </c>
      <c r="B11022" s="1" t="str">
        <f>HYPERLINK("https://www.catalog.slsa.sa.gov.au/record=b2203514")</f>
        <v>https://www.catalog.slsa.sa.gov.au/record=b2203514</v>
      </c>
      <c r="C11022" s="1" t="str">
        <f>HYPERLINK("https://www.catalog.slsa.sa.gov.au/xrecord=b2203514")</f>
        <v>https://www.catalog.slsa.sa.gov.au/xrecord=b2203514</v>
      </c>
      <c r="D11022" t="s">
        <v>31902</v>
      </c>
      <c r="E11022" t="s">
        <v>33994</v>
      </c>
      <c r="F11022">
        <v>1997</v>
      </c>
      <c r="G11022" t="s">
        <v>33690</v>
      </c>
      <c r="H11022" t="s">
        <v>33995</v>
      </c>
      <c r="J11022" t="s">
        <v>14768</v>
      </c>
      <c r="K11022" s="2" t="str">
        <f>HYPERLINK("http://collections.slsa.sa.gov.au/mpcimg/69500/B69282_2.htm")</f>
        <v>http://collections.slsa.sa.gov.au/mpcimg/69500/B69282_2.htm</v>
      </c>
    </row>
    <row r="11023" spans="1:11" x14ac:dyDescent="0.25">
      <c r="A11023" t="s">
        <v>33996</v>
      </c>
      <c r="B11023" s="1" t="str">
        <f>HYPERLINK("https://www.catalog.slsa.sa.gov.au/record=b2203515")</f>
        <v>https://www.catalog.slsa.sa.gov.au/record=b2203515</v>
      </c>
      <c r="C11023" s="1" t="str">
        <f>HYPERLINK("https://www.catalog.slsa.sa.gov.au/xrecord=b2203515")</f>
        <v>https://www.catalog.slsa.sa.gov.au/xrecord=b2203515</v>
      </c>
      <c r="D11023" t="s">
        <v>31902</v>
      </c>
      <c r="E11023" t="s">
        <v>33997</v>
      </c>
      <c r="F11023">
        <v>1997</v>
      </c>
      <c r="G11023" t="s">
        <v>33690</v>
      </c>
      <c r="H11023" t="s">
        <v>33998</v>
      </c>
      <c r="J11023" t="s">
        <v>14768</v>
      </c>
      <c r="K11023" s="2" t="str">
        <f>HYPERLINK("http://collections.slsa.sa.gov.au/mpcimg/69500/B69282_3.htm")</f>
        <v>http://collections.slsa.sa.gov.au/mpcimg/69500/B69282_3.htm</v>
      </c>
    </row>
    <row r="11024" spans="1:11" x14ac:dyDescent="0.25">
      <c r="A11024" t="s">
        <v>33999</v>
      </c>
      <c r="B11024" s="1" t="str">
        <f>HYPERLINK("https://www.catalog.slsa.sa.gov.au/record=b2203820")</f>
        <v>https://www.catalog.slsa.sa.gov.au/record=b2203820</v>
      </c>
      <c r="C11024" s="1" t="str">
        <f>HYPERLINK("https://www.catalog.slsa.sa.gov.au/xrecord=b2203820")</f>
        <v>https://www.catalog.slsa.sa.gov.au/xrecord=b2203820</v>
      </c>
      <c r="D11024" t="s">
        <v>31902</v>
      </c>
      <c r="E11024" t="s">
        <v>34000</v>
      </c>
      <c r="F11024">
        <v>1997</v>
      </c>
      <c r="G11024" t="s">
        <v>33690</v>
      </c>
      <c r="H11024" t="s">
        <v>34001</v>
      </c>
      <c r="J11024" t="s">
        <v>14768</v>
      </c>
      <c r="K11024" s="2" t="str">
        <f>HYPERLINK("http://collections.slsa.sa.gov.au/mpcimg/69500/B69282_8.htm")</f>
        <v>http://collections.slsa.sa.gov.au/mpcimg/69500/B69282_8.htm</v>
      </c>
    </row>
    <row r="11025" spans="1:11" x14ac:dyDescent="0.25">
      <c r="A11025" t="s">
        <v>34002</v>
      </c>
      <c r="B11025" s="1" t="str">
        <f>HYPERLINK("https://www.catalog.slsa.sa.gov.au/record=b2203848")</f>
        <v>https://www.catalog.slsa.sa.gov.au/record=b2203848</v>
      </c>
      <c r="C11025" s="1" t="str">
        <f>HYPERLINK("https://www.catalog.slsa.sa.gov.au/xrecord=b2203848")</f>
        <v>https://www.catalog.slsa.sa.gov.au/xrecord=b2203848</v>
      </c>
      <c r="D11025" t="s">
        <v>31902</v>
      </c>
      <c r="E11025" t="s">
        <v>34003</v>
      </c>
      <c r="F11025">
        <v>1997</v>
      </c>
      <c r="G11025" t="s">
        <v>33690</v>
      </c>
      <c r="H11025" t="s">
        <v>34004</v>
      </c>
      <c r="J11025" t="s">
        <v>14768</v>
      </c>
      <c r="K11025" s="2" t="str">
        <f>HYPERLINK("http://collections.slsa.sa.gov.au/mpcimg/69500/B69282_9.htm")</f>
        <v>http://collections.slsa.sa.gov.au/mpcimg/69500/B69282_9.htm</v>
      </c>
    </row>
    <row r="11026" spans="1:11" x14ac:dyDescent="0.25">
      <c r="A11026" t="s">
        <v>34005</v>
      </c>
      <c r="B11026" s="1" t="str">
        <f>HYPERLINK("https://www.catalog.slsa.sa.gov.au/record=b2203851")</f>
        <v>https://www.catalog.slsa.sa.gov.au/record=b2203851</v>
      </c>
      <c r="C11026" s="1" t="str">
        <f>HYPERLINK("https://www.catalog.slsa.sa.gov.au/xrecord=b2203851")</f>
        <v>https://www.catalog.slsa.sa.gov.au/xrecord=b2203851</v>
      </c>
      <c r="D11026" t="s">
        <v>31902</v>
      </c>
      <c r="E11026" t="s">
        <v>34006</v>
      </c>
      <c r="F11026">
        <v>1997</v>
      </c>
      <c r="G11026" t="s">
        <v>33690</v>
      </c>
      <c r="H11026" t="s">
        <v>34007</v>
      </c>
      <c r="J11026" t="s">
        <v>14768</v>
      </c>
      <c r="K11026" s="2" t="str">
        <f>HYPERLINK("http://collections.slsa.sa.gov.au/mpcimg/69500/B69282_10.htm")</f>
        <v>http://collections.slsa.sa.gov.au/mpcimg/69500/B69282_10.htm</v>
      </c>
    </row>
    <row r="11027" spans="1:11" x14ac:dyDescent="0.25">
      <c r="A11027" t="s">
        <v>34008</v>
      </c>
      <c r="B11027" s="1" t="str">
        <f>HYPERLINK("https://www.catalog.slsa.sa.gov.au/record=b2205171")</f>
        <v>https://www.catalog.slsa.sa.gov.au/record=b2205171</v>
      </c>
      <c r="C11027" s="1" t="str">
        <f>HYPERLINK("https://www.catalog.slsa.sa.gov.au/xrecord=b2205171")</f>
        <v>https://www.catalog.slsa.sa.gov.au/xrecord=b2205171</v>
      </c>
      <c r="D11027" t="s">
        <v>31902</v>
      </c>
      <c r="E11027" t="s">
        <v>34009</v>
      </c>
      <c r="F11027">
        <v>1997</v>
      </c>
      <c r="G11027" t="s">
        <v>33690</v>
      </c>
      <c r="H11027" t="s">
        <v>34010</v>
      </c>
      <c r="J11027" t="s">
        <v>14768</v>
      </c>
      <c r="K11027" s="2" t="str">
        <f>HYPERLINK("http://collections.slsa.sa.gov.au/mpcimg/69500/B69282_58.htm")</f>
        <v>http://collections.slsa.sa.gov.au/mpcimg/69500/B69282_58.htm</v>
      </c>
    </row>
    <row r="11028" spans="1:11" x14ac:dyDescent="0.25">
      <c r="A11028" t="s">
        <v>34011</v>
      </c>
      <c r="B11028" s="1" t="str">
        <f>HYPERLINK("https://www.catalog.slsa.sa.gov.au/record=b2205174")</f>
        <v>https://www.catalog.slsa.sa.gov.au/record=b2205174</v>
      </c>
      <c r="C11028" s="1" t="str">
        <f>HYPERLINK("https://www.catalog.slsa.sa.gov.au/xrecord=b2205174")</f>
        <v>https://www.catalog.slsa.sa.gov.au/xrecord=b2205174</v>
      </c>
      <c r="D11028" t="s">
        <v>31902</v>
      </c>
      <c r="E11028" t="s">
        <v>34009</v>
      </c>
      <c r="F11028">
        <v>1997</v>
      </c>
      <c r="G11028" t="s">
        <v>33690</v>
      </c>
      <c r="H11028" t="s">
        <v>34012</v>
      </c>
      <c r="J11028" t="s">
        <v>14768</v>
      </c>
      <c r="K11028" s="2" t="str">
        <f>HYPERLINK("http://collections.slsa.sa.gov.au/mpcimg/69500/B69282_59.htm")</f>
        <v>http://collections.slsa.sa.gov.au/mpcimg/69500/B69282_59.htm</v>
      </c>
    </row>
    <row r="11029" spans="1:11" x14ac:dyDescent="0.25">
      <c r="A11029" t="s">
        <v>34013</v>
      </c>
      <c r="B11029" s="1" t="str">
        <f>HYPERLINK("https://www.catalog.slsa.sa.gov.au/record=b2205180")</f>
        <v>https://www.catalog.slsa.sa.gov.au/record=b2205180</v>
      </c>
      <c r="C11029" s="1" t="str">
        <f>HYPERLINK("https://www.catalog.slsa.sa.gov.au/xrecord=b2205180")</f>
        <v>https://www.catalog.slsa.sa.gov.au/xrecord=b2205180</v>
      </c>
      <c r="D11029" t="s">
        <v>31902</v>
      </c>
      <c r="E11029" t="s">
        <v>34014</v>
      </c>
      <c r="F11029">
        <v>1997</v>
      </c>
      <c r="G11029" t="s">
        <v>33690</v>
      </c>
      <c r="H11029" t="s">
        <v>34015</v>
      </c>
      <c r="J11029" t="s">
        <v>14768</v>
      </c>
      <c r="K11029" s="2" t="str">
        <f>HYPERLINK("http://collections.slsa.sa.gov.au/mpcimg/69500/B69282_60.htm")</f>
        <v>http://collections.slsa.sa.gov.au/mpcimg/69500/B69282_60.htm</v>
      </c>
    </row>
    <row r="11030" spans="1:11" x14ac:dyDescent="0.25">
      <c r="A11030" t="s">
        <v>34016</v>
      </c>
      <c r="B11030" s="1" t="str">
        <f>HYPERLINK("https://www.catalog.slsa.sa.gov.au/record=b2205227")</f>
        <v>https://www.catalog.slsa.sa.gov.au/record=b2205227</v>
      </c>
      <c r="C11030" s="1" t="str">
        <f>HYPERLINK("https://www.catalog.slsa.sa.gov.au/xrecord=b2205227")</f>
        <v>https://www.catalog.slsa.sa.gov.au/xrecord=b2205227</v>
      </c>
      <c r="D11030" t="s">
        <v>31902</v>
      </c>
      <c r="E11030" t="s">
        <v>34014</v>
      </c>
      <c r="F11030">
        <v>1997</v>
      </c>
      <c r="G11030" t="s">
        <v>33690</v>
      </c>
      <c r="H11030" t="s">
        <v>34017</v>
      </c>
      <c r="J11030" t="s">
        <v>14768</v>
      </c>
      <c r="K11030" s="2" t="str">
        <f>HYPERLINK("http://collections.slsa.sa.gov.au/mpcimg/69500/B69282_61.htm")</f>
        <v>http://collections.slsa.sa.gov.au/mpcimg/69500/B69282_61.htm</v>
      </c>
    </row>
    <row r="11031" spans="1:11" x14ac:dyDescent="0.25">
      <c r="A11031" t="s">
        <v>34018</v>
      </c>
      <c r="B11031" s="1" t="str">
        <f>HYPERLINK("https://www.catalog.slsa.sa.gov.au/record=b2073521")</f>
        <v>https://www.catalog.slsa.sa.gov.au/record=b2073521</v>
      </c>
      <c r="C11031" s="1" t="str">
        <f>HYPERLINK("https://www.catalog.slsa.sa.gov.au/xrecord=b2073521")</f>
        <v>https://www.catalog.slsa.sa.gov.au/xrecord=b2073521</v>
      </c>
      <c r="D11031" t="s">
        <v>16831</v>
      </c>
      <c r="E11031" t="s">
        <v>34019</v>
      </c>
      <c r="F11031">
        <v>1998</v>
      </c>
      <c r="G11031" t="s">
        <v>34020</v>
      </c>
      <c r="H11031" t="s">
        <v>34021</v>
      </c>
      <c r="I11031" t="s">
        <v>34022</v>
      </c>
      <c r="J11031" t="s">
        <v>33542</v>
      </c>
      <c r="K11031" s="2" t="str">
        <f>HYPERLINK("http://collections.slsa.sa.gov.au/mpcimg/63250/B63060.htm")</f>
        <v>http://collections.slsa.sa.gov.au/mpcimg/63250/B63060.htm</v>
      </c>
    </row>
    <row r="11032" spans="1:11" x14ac:dyDescent="0.25">
      <c r="A11032" t="s">
        <v>34023</v>
      </c>
      <c r="B11032" s="1" t="str">
        <f>HYPERLINK("https://www.catalog.slsa.sa.gov.au/record=b2073560")</f>
        <v>https://www.catalog.slsa.sa.gov.au/record=b2073560</v>
      </c>
      <c r="C11032" s="1" t="str">
        <f>HYPERLINK("https://www.catalog.slsa.sa.gov.au/xrecord=b2073560")</f>
        <v>https://www.catalog.slsa.sa.gov.au/xrecord=b2073560</v>
      </c>
      <c r="D11032" t="s">
        <v>16831</v>
      </c>
      <c r="E11032" t="s">
        <v>34024</v>
      </c>
      <c r="F11032">
        <v>1998</v>
      </c>
      <c r="G11032" t="s">
        <v>34025</v>
      </c>
      <c r="H11032" t="s">
        <v>34026</v>
      </c>
      <c r="I11032" t="s">
        <v>34027</v>
      </c>
      <c r="J11032" t="s">
        <v>1809</v>
      </c>
      <c r="K11032" s="2" t="str">
        <f>HYPERLINK("http://collections.slsa.sa.gov.au/mpcimg/63250/B63096.htm")</f>
        <v>http://collections.slsa.sa.gov.au/mpcimg/63250/B63096.htm</v>
      </c>
    </row>
    <row r="11033" spans="1:11" x14ac:dyDescent="0.25">
      <c r="A11033" t="s">
        <v>34028</v>
      </c>
      <c r="B11033" s="1" t="str">
        <f>HYPERLINK("https://www.catalog.slsa.sa.gov.au/record=b2073561")</f>
        <v>https://www.catalog.slsa.sa.gov.au/record=b2073561</v>
      </c>
      <c r="C11033" s="1" t="str">
        <f>HYPERLINK("https://www.catalog.slsa.sa.gov.au/xrecord=b2073561")</f>
        <v>https://www.catalog.slsa.sa.gov.au/xrecord=b2073561</v>
      </c>
      <c r="D11033" t="s">
        <v>16831</v>
      </c>
      <c r="E11033" t="s">
        <v>34029</v>
      </c>
      <c r="F11033">
        <v>1998</v>
      </c>
      <c r="G11033" t="s">
        <v>34030</v>
      </c>
      <c r="H11033" t="s">
        <v>34031</v>
      </c>
      <c r="I11033" t="s">
        <v>34032</v>
      </c>
      <c r="J11033" t="s">
        <v>1809</v>
      </c>
      <c r="K11033" s="2" t="str">
        <f>HYPERLINK("http://collections.slsa.sa.gov.au/mpcimg/63250/B63097.htm")</f>
        <v>http://collections.slsa.sa.gov.au/mpcimg/63250/B63097.htm</v>
      </c>
    </row>
    <row r="11034" spans="1:11" x14ac:dyDescent="0.25">
      <c r="A11034" t="s">
        <v>34033</v>
      </c>
      <c r="B11034" s="1" t="str">
        <f>HYPERLINK("https://www.catalog.slsa.sa.gov.au/record=b2073562")</f>
        <v>https://www.catalog.slsa.sa.gov.au/record=b2073562</v>
      </c>
      <c r="C11034" s="1" t="str">
        <f>HYPERLINK("https://www.catalog.slsa.sa.gov.au/xrecord=b2073562")</f>
        <v>https://www.catalog.slsa.sa.gov.au/xrecord=b2073562</v>
      </c>
      <c r="D11034" t="s">
        <v>16831</v>
      </c>
      <c r="E11034" t="s">
        <v>34029</v>
      </c>
      <c r="F11034">
        <v>1998</v>
      </c>
      <c r="G11034" t="s">
        <v>34030</v>
      </c>
      <c r="H11034" t="s">
        <v>34034</v>
      </c>
      <c r="I11034" t="s">
        <v>34035</v>
      </c>
      <c r="J11034" t="s">
        <v>1809</v>
      </c>
      <c r="K11034" s="2" t="str">
        <f>HYPERLINK("http://collections.slsa.sa.gov.au/mpcimg/63250/B63098.htm")</f>
        <v>http://collections.slsa.sa.gov.au/mpcimg/63250/B63098.htm</v>
      </c>
    </row>
    <row r="11035" spans="1:11" x14ac:dyDescent="0.25">
      <c r="A11035" t="s">
        <v>34036</v>
      </c>
      <c r="B11035" s="1" t="str">
        <f>HYPERLINK("https://www.catalog.slsa.sa.gov.au/record=b2073563")</f>
        <v>https://www.catalog.slsa.sa.gov.au/record=b2073563</v>
      </c>
      <c r="C11035" s="1" t="str">
        <f>HYPERLINK("https://www.catalog.slsa.sa.gov.au/xrecord=b2073563")</f>
        <v>https://www.catalog.slsa.sa.gov.au/xrecord=b2073563</v>
      </c>
      <c r="D11035" t="s">
        <v>16831</v>
      </c>
      <c r="E11035" t="s">
        <v>34029</v>
      </c>
      <c r="F11035">
        <v>1998</v>
      </c>
      <c r="G11035" t="s">
        <v>34030</v>
      </c>
      <c r="H11035" t="s">
        <v>34037</v>
      </c>
      <c r="I11035" t="s">
        <v>34038</v>
      </c>
      <c r="J11035" t="s">
        <v>1809</v>
      </c>
      <c r="K11035" s="2" t="str">
        <f>HYPERLINK("http://collections.slsa.sa.gov.au/mpcimg/63250/B63099.htm")</f>
        <v>http://collections.slsa.sa.gov.au/mpcimg/63250/B63099.htm</v>
      </c>
    </row>
    <row r="11036" spans="1:11" x14ac:dyDescent="0.25">
      <c r="A11036" t="s">
        <v>34039</v>
      </c>
      <c r="B11036" s="1" t="str">
        <f>HYPERLINK("https://www.catalog.slsa.sa.gov.au/record=b2074656")</f>
        <v>https://www.catalog.slsa.sa.gov.au/record=b2074656</v>
      </c>
      <c r="C11036" s="1" t="str">
        <f>HYPERLINK("https://www.catalog.slsa.sa.gov.au/xrecord=b2074656")</f>
        <v>https://www.catalog.slsa.sa.gov.au/xrecord=b2074656</v>
      </c>
      <c r="D11036" t="s">
        <v>31902</v>
      </c>
      <c r="E11036" t="s">
        <v>34040</v>
      </c>
      <c r="F11036">
        <v>1998</v>
      </c>
      <c r="G11036" t="s">
        <v>34041</v>
      </c>
      <c r="H11036" t="s">
        <v>34042</v>
      </c>
      <c r="I11036" t="s">
        <v>34043</v>
      </c>
      <c r="J11036" t="s">
        <v>34044</v>
      </c>
      <c r="K11036" s="2" t="str">
        <f>HYPERLINK("http://collections.slsa.sa.gov.au/mpcimgr/64250/B64156.htm")</f>
        <v>http://collections.slsa.sa.gov.au/mpcimgr/64250/B64156.htm</v>
      </c>
    </row>
    <row r="11037" spans="1:11" x14ac:dyDescent="0.25">
      <c r="A11037" t="s">
        <v>34045</v>
      </c>
      <c r="B11037" s="1" t="str">
        <f>HYPERLINK("https://www.catalog.slsa.sa.gov.au/record=b2074657")</f>
        <v>https://www.catalog.slsa.sa.gov.au/record=b2074657</v>
      </c>
      <c r="C11037" s="1" t="str">
        <f>HYPERLINK("https://www.catalog.slsa.sa.gov.au/xrecord=b2074657")</f>
        <v>https://www.catalog.slsa.sa.gov.au/xrecord=b2074657</v>
      </c>
      <c r="D11037" t="s">
        <v>31902</v>
      </c>
      <c r="E11037" t="s">
        <v>34040</v>
      </c>
      <c r="F11037">
        <v>1998</v>
      </c>
      <c r="G11037" t="s">
        <v>34041</v>
      </c>
      <c r="H11037" t="s">
        <v>34046</v>
      </c>
      <c r="I11037" t="s">
        <v>34047</v>
      </c>
      <c r="J11037" t="s">
        <v>34044</v>
      </c>
      <c r="K11037" s="2" t="str">
        <f>HYPERLINK("http://collections.slsa.sa.gov.au/mpcimgr/64250/B64157.htm")</f>
        <v>http://collections.slsa.sa.gov.au/mpcimgr/64250/B64157.htm</v>
      </c>
    </row>
    <row r="11038" spans="1:11" x14ac:dyDescent="0.25">
      <c r="A11038" t="s">
        <v>34048</v>
      </c>
      <c r="B11038" s="1" t="str">
        <f>HYPERLINK("https://www.catalog.slsa.sa.gov.au/record=b2074662")</f>
        <v>https://www.catalog.slsa.sa.gov.au/record=b2074662</v>
      </c>
      <c r="C11038" s="1" t="str">
        <f>HYPERLINK("https://www.catalog.slsa.sa.gov.au/xrecord=b2074662")</f>
        <v>https://www.catalog.slsa.sa.gov.au/xrecord=b2074662</v>
      </c>
      <c r="D11038" t="s">
        <v>31902</v>
      </c>
      <c r="E11038" t="s">
        <v>34049</v>
      </c>
      <c r="F11038">
        <v>1998</v>
      </c>
      <c r="G11038" t="s">
        <v>33708</v>
      </c>
      <c r="H11038" t="s">
        <v>34050</v>
      </c>
      <c r="I11038" t="s">
        <v>34051</v>
      </c>
      <c r="J11038" t="s">
        <v>16168</v>
      </c>
      <c r="K11038" s="2" t="str">
        <f>HYPERLINK("http://collections.slsa.sa.gov.au/mpcimgr/64250/B64161.htm")</f>
        <v>http://collections.slsa.sa.gov.au/mpcimgr/64250/B64161.htm</v>
      </c>
    </row>
    <row r="11039" spans="1:11" x14ac:dyDescent="0.25">
      <c r="A11039" t="s">
        <v>34052</v>
      </c>
      <c r="B11039" s="1" t="str">
        <f>HYPERLINK("https://www.catalog.slsa.sa.gov.au/record=b2074691")</f>
        <v>https://www.catalog.slsa.sa.gov.au/record=b2074691</v>
      </c>
      <c r="C11039" s="1" t="str">
        <f>HYPERLINK("https://www.catalog.slsa.sa.gov.au/xrecord=b2074691")</f>
        <v>https://www.catalog.slsa.sa.gov.au/xrecord=b2074691</v>
      </c>
      <c r="D11039" t="s">
        <v>31902</v>
      </c>
      <c r="E11039" t="s">
        <v>34053</v>
      </c>
      <c r="F11039">
        <v>1998</v>
      </c>
      <c r="G11039" t="s">
        <v>33708</v>
      </c>
      <c r="H11039" t="s">
        <v>34054</v>
      </c>
      <c r="I11039" t="s">
        <v>34055</v>
      </c>
      <c r="J11039" t="s">
        <v>34056</v>
      </c>
      <c r="K11039" s="2" t="str">
        <f>HYPERLINK("http://collections.slsa.sa.gov.au/mpcimgr/64250/B64189.htm")</f>
        <v>http://collections.slsa.sa.gov.au/mpcimgr/64250/B64189.htm</v>
      </c>
    </row>
    <row r="11040" spans="1:11" x14ac:dyDescent="0.25">
      <c r="A11040" t="s">
        <v>34057</v>
      </c>
      <c r="B11040" s="1" t="str">
        <f>HYPERLINK("https://www.catalog.slsa.sa.gov.au/record=b2074693")</f>
        <v>https://www.catalog.slsa.sa.gov.au/record=b2074693</v>
      </c>
      <c r="C11040" s="1" t="str">
        <f>HYPERLINK("https://www.catalog.slsa.sa.gov.au/xrecord=b2074693")</f>
        <v>https://www.catalog.slsa.sa.gov.au/xrecord=b2074693</v>
      </c>
      <c r="D11040" t="s">
        <v>31902</v>
      </c>
      <c r="E11040" t="s">
        <v>34058</v>
      </c>
      <c r="F11040">
        <v>1998</v>
      </c>
      <c r="G11040" t="s">
        <v>33708</v>
      </c>
      <c r="H11040" t="s">
        <v>34059</v>
      </c>
      <c r="I11040" t="s">
        <v>34060</v>
      </c>
      <c r="J11040" t="s">
        <v>2510</v>
      </c>
      <c r="K11040" s="2" t="str">
        <f>HYPERLINK("http://collections.slsa.sa.gov.au/mpcimgr/64250/B64191.htm")</f>
        <v>http://collections.slsa.sa.gov.au/mpcimgr/64250/B64191.htm</v>
      </c>
    </row>
    <row r="11041" spans="1:11" x14ac:dyDescent="0.25">
      <c r="A11041" t="s">
        <v>34061</v>
      </c>
      <c r="B11041" s="1" t="str">
        <f>HYPERLINK("https://www.catalog.slsa.sa.gov.au/record=b2075433")</f>
        <v>https://www.catalog.slsa.sa.gov.au/record=b2075433</v>
      </c>
      <c r="C11041" s="1" t="str">
        <f>HYPERLINK("https://www.catalog.slsa.sa.gov.au/xrecord=b2075433")</f>
        <v>https://www.catalog.slsa.sa.gov.au/xrecord=b2075433</v>
      </c>
      <c r="D11041" t="s">
        <v>16831</v>
      </c>
      <c r="E11041" t="s">
        <v>34062</v>
      </c>
      <c r="F11041">
        <v>1998</v>
      </c>
      <c r="G11041" t="s">
        <v>15269</v>
      </c>
      <c r="H11041" t="s">
        <v>34063</v>
      </c>
      <c r="I11041" t="s">
        <v>34064</v>
      </c>
      <c r="J11041" t="s">
        <v>27272</v>
      </c>
      <c r="K11041" s="2" t="str">
        <f>HYPERLINK("http://collections.slsa.sa.gov.au/mpcimg/62250/B62223.htm")</f>
        <v>http://collections.slsa.sa.gov.au/mpcimg/62250/B62223.htm</v>
      </c>
    </row>
    <row r="11042" spans="1:11" x14ac:dyDescent="0.25">
      <c r="A11042" t="s">
        <v>34065</v>
      </c>
      <c r="B11042" s="1" t="str">
        <f>HYPERLINK("https://www.catalog.slsa.sa.gov.au/record=b2075434")</f>
        <v>https://www.catalog.slsa.sa.gov.au/record=b2075434</v>
      </c>
      <c r="C11042" s="1" t="str">
        <f>HYPERLINK("https://www.catalog.slsa.sa.gov.au/xrecord=b2075434")</f>
        <v>https://www.catalog.slsa.sa.gov.au/xrecord=b2075434</v>
      </c>
      <c r="D11042" t="s">
        <v>16831</v>
      </c>
      <c r="E11042" t="s">
        <v>34062</v>
      </c>
      <c r="F11042">
        <v>1998</v>
      </c>
      <c r="G11042" t="s">
        <v>15269</v>
      </c>
      <c r="H11042" t="s">
        <v>34066</v>
      </c>
      <c r="I11042" t="s">
        <v>34064</v>
      </c>
      <c r="J11042" t="s">
        <v>27272</v>
      </c>
      <c r="K11042" s="2" t="str">
        <f>HYPERLINK("http://collections.slsa.sa.gov.au/mpcimg/62250/B62224.htm")</f>
        <v>http://collections.slsa.sa.gov.au/mpcimg/62250/B62224.htm</v>
      </c>
    </row>
    <row r="11043" spans="1:11" x14ac:dyDescent="0.25">
      <c r="A11043" t="s">
        <v>34067</v>
      </c>
      <c r="B11043" s="1" t="str">
        <f>HYPERLINK("https://www.catalog.slsa.sa.gov.au/record=b2075435")</f>
        <v>https://www.catalog.slsa.sa.gov.au/record=b2075435</v>
      </c>
      <c r="C11043" s="1" t="str">
        <f>HYPERLINK("https://www.catalog.slsa.sa.gov.au/xrecord=b2075435")</f>
        <v>https://www.catalog.slsa.sa.gov.au/xrecord=b2075435</v>
      </c>
      <c r="D11043" t="s">
        <v>16831</v>
      </c>
      <c r="E11043" t="s">
        <v>34062</v>
      </c>
      <c r="F11043">
        <v>1998</v>
      </c>
      <c r="G11043" t="s">
        <v>15269</v>
      </c>
      <c r="H11043" t="s">
        <v>34068</v>
      </c>
      <c r="I11043" t="s">
        <v>34064</v>
      </c>
      <c r="J11043" t="s">
        <v>27272</v>
      </c>
      <c r="K11043" s="2" t="str">
        <f>HYPERLINK("http://collections.slsa.sa.gov.au/mpcimg/62250/B62225.htm")</f>
        <v>http://collections.slsa.sa.gov.au/mpcimg/62250/B62225.htm</v>
      </c>
    </row>
    <row r="11044" spans="1:11" x14ac:dyDescent="0.25">
      <c r="A11044" t="s">
        <v>34069</v>
      </c>
      <c r="B11044" s="1" t="str">
        <f>HYPERLINK("https://www.catalog.slsa.sa.gov.au/record=b2075436")</f>
        <v>https://www.catalog.slsa.sa.gov.au/record=b2075436</v>
      </c>
      <c r="C11044" s="1" t="str">
        <f>HYPERLINK("https://www.catalog.slsa.sa.gov.au/xrecord=b2075436")</f>
        <v>https://www.catalog.slsa.sa.gov.au/xrecord=b2075436</v>
      </c>
      <c r="D11044" t="s">
        <v>16831</v>
      </c>
      <c r="E11044" t="s">
        <v>34070</v>
      </c>
      <c r="F11044">
        <v>1998</v>
      </c>
      <c r="G11044" t="s">
        <v>15269</v>
      </c>
      <c r="H11044" t="s">
        <v>34071</v>
      </c>
      <c r="I11044" t="s">
        <v>34072</v>
      </c>
      <c r="J11044" t="s">
        <v>20900</v>
      </c>
      <c r="K11044" s="2" t="str">
        <f>HYPERLINK("http://collections.slsa.sa.gov.au/mpcimg/62250/B62226.htm")</f>
        <v>http://collections.slsa.sa.gov.au/mpcimg/62250/B62226.htm</v>
      </c>
    </row>
    <row r="11045" spans="1:11" x14ac:dyDescent="0.25">
      <c r="A11045" t="s">
        <v>34073</v>
      </c>
      <c r="B11045" s="1" t="str">
        <f>HYPERLINK("https://www.catalog.slsa.sa.gov.au/record=b2075437")</f>
        <v>https://www.catalog.slsa.sa.gov.au/record=b2075437</v>
      </c>
      <c r="C11045" s="1" t="str">
        <f>HYPERLINK("https://www.catalog.slsa.sa.gov.au/xrecord=b2075437")</f>
        <v>https://www.catalog.slsa.sa.gov.au/xrecord=b2075437</v>
      </c>
      <c r="D11045" t="s">
        <v>16831</v>
      </c>
      <c r="E11045" t="s">
        <v>34070</v>
      </c>
      <c r="F11045">
        <v>1998</v>
      </c>
      <c r="G11045" t="s">
        <v>15269</v>
      </c>
      <c r="H11045" t="s">
        <v>34074</v>
      </c>
      <c r="I11045" t="s">
        <v>34072</v>
      </c>
      <c r="J11045" t="s">
        <v>20900</v>
      </c>
      <c r="K11045" s="2" t="str">
        <f>HYPERLINK("http://collections.slsa.sa.gov.au/mpcimg/62250/B62227.htm")</f>
        <v>http://collections.slsa.sa.gov.au/mpcimg/62250/B62227.htm</v>
      </c>
    </row>
    <row r="11046" spans="1:11" x14ac:dyDescent="0.25">
      <c r="A11046" t="s">
        <v>34075</v>
      </c>
      <c r="B11046" s="1" t="str">
        <f>HYPERLINK("https://www.catalog.slsa.sa.gov.au/record=b2075438")</f>
        <v>https://www.catalog.slsa.sa.gov.au/record=b2075438</v>
      </c>
      <c r="C11046" s="1" t="str">
        <f>HYPERLINK("https://www.catalog.slsa.sa.gov.au/xrecord=b2075438")</f>
        <v>https://www.catalog.slsa.sa.gov.au/xrecord=b2075438</v>
      </c>
      <c r="D11046" t="s">
        <v>16831</v>
      </c>
      <c r="E11046" t="s">
        <v>34070</v>
      </c>
      <c r="F11046">
        <v>1998</v>
      </c>
      <c r="G11046" t="s">
        <v>15269</v>
      </c>
      <c r="H11046" t="s">
        <v>34074</v>
      </c>
      <c r="I11046" t="s">
        <v>34072</v>
      </c>
      <c r="J11046" t="s">
        <v>20900</v>
      </c>
      <c r="K11046" s="2" t="str">
        <f>HYPERLINK("http://collections.slsa.sa.gov.au/mpcimg/62250/B62228.htm")</f>
        <v>http://collections.slsa.sa.gov.au/mpcimg/62250/B62228.htm</v>
      </c>
    </row>
    <row r="11047" spans="1:11" x14ac:dyDescent="0.25">
      <c r="A11047" t="s">
        <v>34076</v>
      </c>
      <c r="B11047" s="1" t="str">
        <f>HYPERLINK("https://www.catalog.slsa.sa.gov.au/record=b2075439")</f>
        <v>https://www.catalog.slsa.sa.gov.au/record=b2075439</v>
      </c>
      <c r="C11047" s="1" t="str">
        <f>HYPERLINK("https://www.catalog.slsa.sa.gov.au/xrecord=b2075439")</f>
        <v>https://www.catalog.slsa.sa.gov.au/xrecord=b2075439</v>
      </c>
      <c r="D11047" t="s">
        <v>16831</v>
      </c>
      <c r="E11047" t="s">
        <v>34070</v>
      </c>
      <c r="F11047">
        <v>1998</v>
      </c>
      <c r="G11047" t="s">
        <v>15269</v>
      </c>
      <c r="H11047" t="s">
        <v>34074</v>
      </c>
      <c r="I11047" t="s">
        <v>34077</v>
      </c>
      <c r="J11047" t="s">
        <v>20900</v>
      </c>
      <c r="K11047" s="2" t="str">
        <f>HYPERLINK("http://collections.slsa.sa.gov.au/mpcimg/62250/B62229.htm")</f>
        <v>http://collections.slsa.sa.gov.au/mpcimg/62250/B62229.htm</v>
      </c>
    </row>
    <row r="11048" spans="1:11" x14ac:dyDescent="0.25">
      <c r="A11048" t="s">
        <v>34078</v>
      </c>
      <c r="B11048" s="1" t="str">
        <f>HYPERLINK("https://www.catalog.slsa.sa.gov.au/record=b2075440")</f>
        <v>https://www.catalog.slsa.sa.gov.au/record=b2075440</v>
      </c>
      <c r="C11048" s="1" t="str">
        <f>HYPERLINK("https://www.catalog.slsa.sa.gov.au/xrecord=b2075440")</f>
        <v>https://www.catalog.slsa.sa.gov.au/xrecord=b2075440</v>
      </c>
      <c r="D11048" t="s">
        <v>16831</v>
      </c>
      <c r="E11048" t="s">
        <v>34070</v>
      </c>
      <c r="F11048">
        <v>1998</v>
      </c>
      <c r="G11048" t="s">
        <v>15269</v>
      </c>
      <c r="H11048" t="s">
        <v>34074</v>
      </c>
      <c r="I11048" t="s">
        <v>34077</v>
      </c>
      <c r="J11048" t="s">
        <v>20900</v>
      </c>
      <c r="K11048" s="2" t="str">
        <f>HYPERLINK("http://collections.slsa.sa.gov.au/mpcimg/62250/B62230.htm")</f>
        <v>http://collections.slsa.sa.gov.au/mpcimg/62250/B62230.htm</v>
      </c>
    </row>
    <row r="11049" spans="1:11" x14ac:dyDescent="0.25">
      <c r="A11049" t="s">
        <v>34079</v>
      </c>
      <c r="B11049" s="1" t="str">
        <f>HYPERLINK("https://www.catalog.slsa.sa.gov.au/record=b2075441")</f>
        <v>https://www.catalog.slsa.sa.gov.au/record=b2075441</v>
      </c>
      <c r="C11049" s="1" t="str">
        <f>HYPERLINK("https://www.catalog.slsa.sa.gov.au/xrecord=b2075441")</f>
        <v>https://www.catalog.slsa.sa.gov.au/xrecord=b2075441</v>
      </c>
      <c r="D11049" t="s">
        <v>16831</v>
      </c>
      <c r="E11049" t="s">
        <v>34070</v>
      </c>
      <c r="F11049">
        <v>1998</v>
      </c>
      <c r="G11049" t="s">
        <v>15269</v>
      </c>
      <c r="H11049" t="s">
        <v>34074</v>
      </c>
      <c r="I11049" t="s">
        <v>34077</v>
      </c>
      <c r="J11049" t="s">
        <v>20900</v>
      </c>
      <c r="K11049" s="2" t="str">
        <f>HYPERLINK("http://collections.slsa.sa.gov.au/mpcimg/62250/B62231.htm")</f>
        <v>http://collections.slsa.sa.gov.au/mpcimg/62250/B62231.htm</v>
      </c>
    </row>
    <row r="11050" spans="1:11" x14ac:dyDescent="0.25">
      <c r="A11050" t="s">
        <v>34080</v>
      </c>
      <c r="B11050" s="1" t="str">
        <f>HYPERLINK("https://www.catalog.slsa.sa.gov.au/record=b2075442")</f>
        <v>https://www.catalog.slsa.sa.gov.au/record=b2075442</v>
      </c>
      <c r="C11050" s="1" t="str">
        <f>HYPERLINK("https://www.catalog.slsa.sa.gov.au/xrecord=b2075442")</f>
        <v>https://www.catalog.slsa.sa.gov.au/xrecord=b2075442</v>
      </c>
      <c r="D11050" t="s">
        <v>16831</v>
      </c>
      <c r="E11050" t="s">
        <v>34070</v>
      </c>
      <c r="F11050">
        <v>1998</v>
      </c>
      <c r="G11050" t="s">
        <v>15269</v>
      </c>
      <c r="H11050" t="s">
        <v>34081</v>
      </c>
      <c r="I11050" t="s">
        <v>34077</v>
      </c>
      <c r="J11050" t="s">
        <v>20900</v>
      </c>
      <c r="K11050" s="2" t="str">
        <f>HYPERLINK("http://collections.slsa.sa.gov.au/mpcimg/62250/B62232.htm")</f>
        <v>http://collections.slsa.sa.gov.au/mpcimg/62250/B62232.htm</v>
      </c>
    </row>
    <row r="11051" spans="1:11" x14ac:dyDescent="0.25">
      <c r="A11051" t="s">
        <v>34082</v>
      </c>
      <c r="B11051" s="1" t="str">
        <f>HYPERLINK("https://www.catalog.slsa.sa.gov.au/record=b2075444")</f>
        <v>https://www.catalog.slsa.sa.gov.au/record=b2075444</v>
      </c>
      <c r="C11051" s="1" t="str">
        <f>HYPERLINK("https://www.catalog.slsa.sa.gov.au/xrecord=b2075444")</f>
        <v>https://www.catalog.slsa.sa.gov.au/xrecord=b2075444</v>
      </c>
      <c r="D11051" t="s">
        <v>16831</v>
      </c>
      <c r="E11051" t="s">
        <v>34070</v>
      </c>
      <c r="F11051">
        <v>1998</v>
      </c>
      <c r="G11051" t="s">
        <v>15269</v>
      </c>
      <c r="H11051" t="s">
        <v>34081</v>
      </c>
      <c r="I11051" t="s">
        <v>34077</v>
      </c>
      <c r="J11051" t="s">
        <v>20900</v>
      </c>
      <c r="K11051" s="2" t="str">
        <f>HYPERLINK("http://collections.slsa.sa.gov.au/mpcimg/62250/B62234.htm")</f>
        <v>http://collections.slsa.sa.gov.au/mpcimg/62250/B62234.htm</v>
      </c>
    </row>
    <row r="11052" spans="1:11" x14ac:dyDescent="0.25">
      <c r="A11052" t="s">
        <v>34083</v>
      </c>
      <c r="B11052" s="1" t="str">
        <f>HYPERLINK("https://www.catalog.slsa.sa.gov.au/record=b2075445")</f>
        <v>https://www.catalog.slsa.sa.gov.au/record=b2075445</v>
      </c>
      <c r="C11052" s="1" t="str">
        <f>HYPERLINK("https://www.catalog.slsa.sa.gov.au/xrecord=b2075445")</f>
        <v>https://www.catalog.slsa.sa.gov.au/xrecord=b2075445</v>
      </c>
      <c r="D11052" t="s">
        <v>16831</v>
      </c>
      <c r="E11052" t="s">
        <v>34070</v>
      </c>
      <c r="F11052">
        <v>1998</v>
      </c>
      <c r="G11052" t="s">
        <v>15269</v>
      </c>
      <c r="H11052" t="s">
        <v>34081</v>
      </c>
      <c r="I11052" t="s">
        <v>34077</v>
      </c>
      <c r="J11052" t="s">
        <v>20900</v>
      </c>
      <c r="K11052" s="2" t="str">
        <f>HYPERLINK("http://collections.slsa.sa.gov.au/mpcimg/62250/B62235.htm")</f>
        <v>http://collections.slsa.sa.gov.au/mpcimg/62250/B62235.htm</v>
      </c>
    </row>
    <row r="11053" spans="1:11" x14ac:dyDescent="0.25">
      <c r="A11053" t="s">
        <v>34084</v>
      </c>
      <c r="B11053" s="1" t="str">
        <f>HYPERLINK("https://www.catalog.slsa.sa.gov.au/record=b2075473")</f>
        <v>https://www.catalog.slsa.sa.gov.au/record=b2075473</v>
      </c>
      <c r="C11053" s="1" t="str">
        <f>HYPERLINK("https://www.catalog.slsa.sa.gov.au/xrecord=b2075473")</f>
        <v>https://www.catalog.slsa.sa.gov.au/xrecord=b2075473</v>
      </c>
      <c r="D11053" t="s">
        <v>16831</v>
      </c>
      <c r="E11053" t="s">
        <v>34085</v>
      </c>
      <c r="F11053">
        <v>1998</v>
      </c>
      <c r="G11053" t="s">
        <v>34086</v>
      </c>
      <c r="H11053" t="s">
        <v>34087</v>
      </c>
      <c r="I11053" t="s">
        <v>34088</v>
      </c>
      <c r="J11053" t="s">
        <v>33542</v>
      </c>
      <c r="K11053" s="2" t="str">
        <f>HYPERLINK("http://collections.slsa.sa.gov.au/mpcimg/62500/B62263.htm")</f>
        <v>http://collections.slsa.sa.gov.au/mpcimg/62500/B62263.htm</v>
      </c>
    </row>
    <row r="11054" spans="1:11" x14ac:dyDescent="0.25">
      <c r="A11054" t="s">
        <v>34089</v>
      </c>
      <c r="B11054" s="1" t="str">
        <f>HYPERLINK("https://www.catalog.slsa.sa.gov.au/record=b2075474")</f>
        <v>https://www.catalog.slsa.sa.gov.au/record=b2075474</v>
      </c>
      <c r="C11054" s="1" t="str">
        <f>HYPERLINK("https://www.catalog.slsa.sa.gov.au/xrecord=b2075474")</f>
        <v>https://www.catalog.slsa.sa.gov.au/xrecord=b2075474</v>
      </c>
      <c r="D11054" t="s">
        <v>16831</v>
      </c>
      <c r="E11054" t="s">
        <v>34085</v>
      </c>
      <c r="F11054">
        <v>1998</v>
      </c>
      <c r="G11054" t="s">
        <v>34086</v>
      </c>
      <c r="H11054" t="s">
        <v>34090</v>
      </c>
      <c r="I11054" t="s">
        <v>34088</v>
      </c>
      <c r="J11054" t="s">
        <v>33542</v>
      </c>
      <c r="K11054" s="2" t="str">
        <f>HYPERLINK("http://collections.slsa.sa.gov.au/mpcimg/62500/B62264.htm")</f>
        <v>http://collections.slsa.sa.gov.au/mpcimg/62500/B62264.htm</v>
      </c>
    </row>
    <row r="11055" spans="1:11" x14ac:dyDescent="0.25">
      <c r="A11055" t="s">
        <v>34091</v>
      </c>
      <c r="B11055" s="1" t="str">
        <f>HYPERLINK("https://www.catalog.slsa.sa.gov.au/record=b2075475")</f>
        <v>https://www.catalog.slsa.sa.gov.au/record=b2075475</v>
      </c>
      <c r="C11055" s="1" t="str">
        <f>HYPERLINK("https://www.catalog.slsa.sa.gov.au/xrecord=b2075475")</f>
        <v>https://www.catalog.slsa.sa.gov.au/xrecord=b2075475</v>
      </c>
      <c r="D11055" t="s">
        <v>16831</v>
      </c>
      <c r="E11055" t="s">
        <v>34085</v>
      </c>
      <c r="F11055">
        <v>1998</v>
      </c>
      <c r="G11055" t="s">
        <v>34086</v>
      </c>
      <c r="H11055" t="s">
        <v>34092</v>
      </c>
      <c r="I11055" t="s">
        <v>34093</v>
      </c>
      <c r="J11055" t="s">
        <v>33542</v>
      </c>
      <c r="K11055" s="2" t="str">
        <f>HYPERLINK("http://collections.slsa.sa.gov.au/mpcimg/62500/B62265.htm")</f>
        <v>http://collections.slsa.sa.gov.au/mpcimg/62500/B62265.htm</v>
      </c>
    </row>
    <row r="11056" spans="1:11" x14ac:dyDescent="0.25">
      <c r="A11056" t="s">
        <v>34094</v>
      </c>
      <c r="B11056" s="1" t="str">
        <f>HYPERLINK("https://www.catalog.slsa.sa.gov.au/record=b2075507")</f>
        <v>https://www.catalog.slsa.sa.gov.au/record=b2075507</v>
      </c>
      <c r="C11056" s="1" t="str">
        <f>HYPERLINK("https://www.catalog.slsa.sa.gov.au/xrecord=b2075507")</f>
        <v>https://www.catalog.slsa.sa.gov.au/xrecord=b2075507</v>
      </c>
      <c r="D11056" t="s">
        <v>16831</v>
      </c>
      <c r="E11056" t="s">
        <v>34070</v>
      </c>
      <c r="F11056">
        <v>1998</v>
      </c>
      <c r="G11056" t="s">
        <v>15269</v>
      </c>
      <c r="H11056" t="s">
        <v>34095</v>
      </c>
      <c r="I11056" t="s">
        <v>34096</v>
      </c>
      <c r="J11056" t="s">
        <v>20900</v>
      </c>
      <c r="K11056" s="2" t="str">
        <f>HYPERLINK("http://collections.slsa.sa.gov.au/mpcimg/62500/B62297.htm")</f>
        <v>http://collections.slsa.sa.gov.au/mpcimg/62500/B62297.htm</v>
      </c>
    </row>
    <row r="11057" spans="1:11" x14ac:dyDescent="0.25">
      <c r="A11057" t="s">
        <v>34097</v>
      </c>
      <c r="B11057" s="1" t="str">
        <f>HYPERLINK("https://www.catalog.slsa.sa.gov.au/record=b2075508")</f>
        <v>https://www.catalog.slsa.sa.gov.au/record=b2075508</v>
      </c>
      <c r="C11057" s="1" t="str">
        <f>HYPERLINK("https://www.catalog.slsa.sa.gov.au/xrecord=b2075508")</f>
        <v>https://www.catalog.slsa.sa.gov.au/xrecord=b2075508</v>
      </c>
      <c r="D11057" t="s">
        <v>16831</v>
      </c>
      <c r="E11057" t="s">
        <v>34070</v>
      </c>
      <c r="F11057">
        <v>1998</v>
      </c>
      <c r="G11057" t="s">
        <v>15269</v>
      </c>
      <c r="H11057" t="s">
        <v>34095</v>
      </c>
      <c r="I11057" t="s">
        <v>34096</v>
      </c>
      <c r="J11057" t="s">
        <v>20900</v>
      </c>
      <c r="K11057" s="2" t="str">
        <f>HYPERLINK("http://collections.slsa.sa.gov.au/mpcimg/62500/B62298.htm")</f>
        <v>http://collections.slsa.sa.gov.au/mpcimg/62500/B62298.htm</v>
      </c>
    </row>
    <row r="11058" spans="1:11" x14ac:dyDescent="0.25">
      <c r="A11058" t="s">
        <v>34098</v>
      </c>
      <c r="B11058" s="1" t="str">
        <f>HYPERLINK("https://www.catalog.slsa.sa.gov.au/record=b2083683")</f>
        <v>https://www.catalog.slsa.sa.gov.au/record=b2083683</v>
      </c>
      <c r="C11058" s="1" t="str">
        <f>HYPERLINK("https://www.catalog.slsa.sa.gov.au/xrecord=b2083683")</f>
        <v>https://www.catalog.slsa.sa.gov.au/xrecord=b2083683</v>
      </c>
      <c r="D11058" t="s">
        <v>16831</v>
      </c>
      <c r="E11058" t="s">
        <v>34099</v>
      </c>
      <c r="F11058">
        <v>1998</v>
      </c>
      <c r="G11058" t="s">
        <v>15269</v>
      </c>
      <c r="H11058" t="s">
        <v>34100</v>
      </c>
      <c r="I11058" t="s">
        <v>34101</v>
      </c>
      <c r="J11058" t="s">
        <v>20900</v>
      </c>
      <c r="K11058" s="2" t="str">
        <f>HYPERLINK("http://collections.slsa.sa.gov.au/mpcimg/62500/B62415.htm")</f>
        <v>http://collections.slsa.sa.gov.au/mpcimg/62500/B62415.htm</v>
      </c>
    </row>
    <row r="11059" spans="1:11" x14ac:dyDescent="0.25">
      <c r="A11059" t="s">
        <v>34102</v>
      </c>
      <c r="B11059" s="1" t="str">
        <f>HYPERLINK("https://www.catalog.slsa.sa.gov.au/record=b2083684")</f>
        <v>https://www.catalog.slsa.sa.gov.au/record=b2083684</v>
      </c>
      <c r="C11059" s="1" t="str">
        <f>HYPERLINK("https://www.catalog.slsa.sa.gov.au/xrecord=b2083684")</f>
        <v>https://www.catalog.slsa.sa.gov.au/xrecord=b2083684</v>
      </c>
      <c r="D11059" t="s">
        <v>16831</v>
      </c>
      <c r="E11059" t="s">
        <v>34099</v>
      </c>
      <c r="F11059">
        <v>1998</v>
      </c>
      <c r="G11059" t="s">
        <v>15269</v>
      </c>
      <c r="H11059" t="s">
        <v>34100</v>
      </c>
      <c r="I11059" t="s">
        <v>34101</v>
      </c>
      <c r="J11059" t="s">
        <v>20900</v>
      </c>
      <c r="K11059" s="2" t="str">
        <f>HYPERLINK("http://collections.slsa.sa.gov.au/mpcimg/62500/B62416.htm")</f>
        <v>http://collections.slsa.sa.gov.au/mpcimg/62500/B62416.htm</v>
      </c>
    </row>
    <row r="11060" spans="1:11" x14ac:dyDescent="0.25">
      <c r="A11060" t="s">
        <v>34103</v>
      </c>
      <c r="B11060" s="1" t="str">
        <f>HYPERLINK("https://www.catalog.slsa.sa.gov.au/record=b2083685")</f>
        <v>https://www.catalog.slsa.sa.gov.au/record=b2083685</v>
      </c>
      <c r="C11060" s="1" t="str">
        <f>HYPERLINK("https://www.catalog.slsa.sa.gov.au/xrecord=b2083685")</f>
        <v>https://www.catalog.slsa.sa.gov.au/xrecord=b2083685</v>
      </c>
      <c r="D11060" t="s">
        <v>16831</v>
      </c>
      <c r="E11060" t="s">
        <v>34099</v>
      </c>
      <c r="F11060">
        <v>1998</v>
      </c>
      <c r="G11060" t="s">
        <v>15269</v>
      </c>
      <c r="H11060" t="s">
        <v>34100</v>
      </c>
      <c r="I11060" t="s">
        <v>34101</v>
      </c>
      <c r="J11060" t="s">
        <v>20900</v>
      </c>
      <c r="K11060" s="2" t="str">
        <f>HYPERLINK("http://collections.slsa.sa.gov.au/mpcimg/62500/B62417.htm")</f>
        <v>http://collections.slsa.sa.gov.au/mpcimg/62500/B62417.htm</v>
      </c>
    </row>
    <row r="11061" spans="1:11" x14ac:dyDescent="0.25">
      <c r="A11061" t="s">
        <v>34104</v>
      </c>
      <c r="B11061" s="1" t="str">
        <f>HYPERLINK("https://www.catalog.slsa.sa.gov.au/record=b2083686")</f>
        <v>https://www.catalog.slsa.sa.gov.au/record=b2083686</v>
      </c>
      <c r="C11061" s="1" t="str">
        <f>HYPERLINK("https://www.catalog.slsa.sa.gov.au/xrecord=b2083686")</f>
        <v>https://www.catalog.slsa.sa.gov.au/xrecord=b2083686</v>
      </c>
      <c r="D11061" t="s">
        <v>16831</v>
      </c>
      <c r="E11061" t="s">
        <v>34099</v>
      </c>
      <c r="F11061">
        <v>1998</v>
      </c>
      <c r="G11061" t="s">
        <v>15269</v>
      </c>
      <c r="H11061" t="s">
        <v>34100</v>
      </c>
      <c r="I11061" t="s">
        <v>34101</v>
      </c>
      <c r="J11061" t="s">
        <v>20900</v>
      </c>
      <c r="K11061" s="2" t="str">
        <f>HYPERLINK("http://collections.slsa.sa.gov.au/mpcimg/62500/B62418.htm")</f>
        <v>http://collections.slsa.sa.gov.au/mpcimg/62500/B62418.htm</v>
      </c>
    </row>
    <row r="11062" spans="1:11" x14ac:dyDescent="0.25">
      <c r="A11062" t="s">
        <v>34105</v>
      </c>
      <c r="B11062" s="1" t="str">
        <f>HYPERLINK("https://www.catalog.slsa.sa.gov.au/record=b2083687")</f>
        <v>https://www.catalog.slsa.sa.gov.au/record=b2083687</v>
      </c>
      <c r="C11062" s="1" t="str">
        <f>HYPERLINK("https://www.catalog.slsa.sa.gov.au/xrecord=b2083687")</f>
        <v>https://www.catalog.slsa.sa.gov.au/xrecord=b2083687</v>
      </c>
      <c r="D11062" t="s">
        <v>16831</v>
      </c>
      <c r="E11062" t="s">
        <v>34099</v>
      </c>
      <c r="F11062">
        <v>1998</v>
      </c>
      <c r="G11062" t="s">
        <v>15269</v>
      </c>
      <c r="H11062" t="s">
        <v>34100</v>
      </c>
      <c r="I11062" t="s">
        <v>34101</v>
      </c>
      <c r="J11062" t="s">
        <v>20900</v>
      </c>
      <c r="K11062" s="2" t="str">
        <f>HYPERLINK("http://collections.slsa.sa.gov.au/mpcimg/62500/B62419.htm")</f>
        <v>http://collections.slsa.sa.gov.au/mpcimg/62500/B62419.htm</v>
      </c>
    </row>
    <row r="11063" spans="1:11" x14ac:dyDescent="0.25">
      <c r="A11063" t="s">
        <v>34106</v>
      </c>
      <c r="B11063" s="1" t="str">
        <f>HYPERLINK("https://www.catalog.slsa.sa.gov.au/record=b2083688")</f>
        <v>https://www.catalog.slsa.sa.gov.au/record=b2083688</v>
      </c>
      <c r="C11063" s="1" t="str">
        <f>HYPERLINK("https://www.catalog.slsa.sa.gov.au/xrecord=b2083688")</f>
        <v>https://www.catalog.slsa.sa.gov.au/xrecord=b2083688</v>
      </c>
      <c r="D11063" t="s">
        <v>16831</v>
      </c>
      <c r="E11063" t="s">
        <v>34099</v>
      </c>
      <c r="F11063">
        <v>1998</v>
      </c>
      <c r="G11063" t="s">
        <v>15269</v>
      </c>
      <c r="H11063" t="s">
        <v>34107</v>
      </c>
      <c r="I11063" t="s">
        <v>34101</v>
      </c>
      <c r="J11063" t="s">
        <v>20900</v>
      </c>
      <c r="K11063" s="2" t="str">
        <f>HYPERLINK("http://collections.slsa.sa.gov.au/mpcimg/62500/B62420.htm")</f>
        <v>http://collections.slsa.sa.gov.au/mpcimg/62500/B62420.htm</v>
      </c>
    </row>
    <row r="11064" spans="1:11" x14ac:dyDescent="0.25">
      <c r="A11064" t="s">
        <v>34108</v>
      </c>
      <c r="B11064" s="1" t="str">
        <f>HYPERLINK("https://www.catalog.slsa.sa.gov.au/record=b2083689")</f>
        <v>https://www.catalog.slsa.sa.gov.au/record=b2083689</v>
      </c>
      <c r="C11064" s="1" t="str">
        <f>HYPERLINK("https://www.catalog.slsa.sa.gov.au/xrecord=b2083689")</f>
        <v>https://www.catalog.slsa.sa.gov.au/xrecord=b2083689</v>
      </c>
      <c r="D11064" t="s">
        <v>16831</v>
      </c>
      <c r="E11064" t="s">
        <v>34099</v>
      </c>
      <c r="F11064">
        <v>1998</v>
      </c>
      <c r="G11064" t="s">
        <v>15269</v>
      </c>
      <c r="H11064" t="s">
        <v>34107</v>
      </c>
      <c r="I11064" t="s">
        <v>34101</v>
      </c>
      <c r="J11064" t="s">
        <v>20900</v>
      </c>
      <c r="K11064" s="2" t="str">
        <f>HYPERLINK("http://collections.slsa.sa.gov.au/mpcimg/62500/B62421.htm")</f>
        <v>http://collections.slsa.sa.gov.au/mpcimg/62500/B62421.htm</v>
      </c>
    </row>
    <row r="11065" spans="1:11" x14ac:dyDescent="0.25">
      <c r="A11065" t="s">
        <v>34109</v>
      </c>
      <c r="B11065" s="1" t="str">
        <f>HYPERLINK("https://www.catalog.slsa.sa.gov.au/record=b2083690")</f>
        <v>https://www.catalog.slsa.sa.gov.au/record=b2083690</v>
      </c>
      <c r="C11065" s="1" t="str">
        <f>HYPERLINK("https://www.catalog.slsa.sa.gov.au/xrecord=b2083690")</f>
        <v>https://www.catalog.slsa.sa.gov.au/xrecord=b2083690</v>
      </c>
      <c r="D11065" t="s">
        <v>16831</v>
      </c>
      <c r="E11065" t="s">
        <v>34099</v>
      </c>
      <c r="F11065">
        <v>1998</v>
      </c>
      <c r="G11065" t="s">
        <v>15269</v>
      </c>
      <c r="H11065" t="s">
        <v>34107</v>
      </c>
      <c r="I11065" t="s">
        <v>34101</v>
      </c>
      <c r="J11065" t="s">
        <v>20900</v>
      </c>
      <c r="K11065" s="2" t="str">
        <f>HYPERLINK("http://collections.slsa.sa.gov.au/mpcimg/62500/B62422.htm")</f>
        <v>http://collections.slsa.sa.gov.au/mpcimg/62500/B62422.htm</v>
      </c>
    </row>
    <row r="11066" spans="1:11" x14ac:dyDescent="0.25">
      <c r="A11066" t="s">
        <v>34110</v>
      </c>
      <c r="B11066" s="1" t="str">
        <f>HYPERLINK("https://www.catalog.slsa.sa.gov.au/record=b2083691")</f>
        <v>https://www.catalog.slsa.sa.gov.au/record=b2083691</v>
      </c>
      <c r="C11066" s="1" t="str">
        <f>HYPERLINK("https://www.catalog.slsa.sa.gov.au/xrecord=b2083691")</f>
        <v>https://www.catalog.slsa.sa.gov.au/xrecord=b2083691</v>
      </c>
      <c r="D11066" t="s">
        <v>16831</v>
      </c>
      <c r="E11066" t="s">
        <v>34099</v>
      </c>
      <c r="F11066">
        <v>1998</v>
      </c>
      <c r="G11066" t="s">
        <v>15269</v>
      </c>
      <c r="H11066" t="s">
        <v>34107</v>
      </c>
      <c r="I11066" t="s">
        <v>34101</v>
      </c>
      <c r="J11066" t="s">
        <v>20900</v>
      </c>
      <c r="K11066" s="2" t="str">
        <f>HYPERLINK("http://collections.slsa.sa.gov.au/mpcimg/62500/B62423.htm")</f>
        <v>http://collections.slsa.sa.gov.au/mpcimg/62500/B62423.htm</v>
      </c>
    </row>
    <row r="11067" spans="1:11" x14ac:dyDescent="0.25">
      <c r="A11067" t="s">
        <v>34111</v>
      </c>
      <c r="B11067" s="1" t="str">
        <f>HYPERLINK("https://www.catalog.slsa.sa.gov.au/record=b2083692")</f>
        <v>https://www.catalog.slsa.sa.gov.au/record=b2083692</v>
      </c>
      <c r="C11067" s="1" t="str">
        <f>HYPERLINK("https://www.catalog.slsa.sa.gov.au/xrecord=b2083692")</f>
        <v>https://www.catalog.slsa.sa.gov.au/xrecord=b2083692</v>
      </c>
      <c r="D11067" t="s">
        <v>16831</v>
      </c>
      <c r="E11067" t="s">
        <v>34099</v>
      </c>
      <c r="F11067">
        <v>1998</v>
      </c>
      <c r="G11067" t="s">
        <v>15269</v>
      </c>
      <c r="H11067" t="s">
        <v>34107</v>
      </c>
      <c r="I11067" t="s">
        <v>34101</v>
      </c>
      <c r="J11067" t="s">
        <v>20900</v>
      </c>
      <c r="K11067" s="2" t="str">
        <f>HYPERLINK("http://collections.slsa.sa.gov.au/mpcimg/62500/B62424.htm")</f>
        <v>http://collections.slsa.sa.gov.au/mpcimg/62500/B62424.htm</v>
      </c>
    </row>
    <row r="11068" spans="1:11" x14ac:dyDescent="0.25">
      <c r="A11068" t="s">
        <v>34112</v>
      </c>
      <c r="B11068" s="1" t="str">
        <f>HYPERLINK("https://www.catalog.slsa.sa.gov.au/record=b2083693")</f>
        <v>https://www.catalog.slsa.sa.gov.au/record=b2083693</v>
      </c>
      <c r="C11068" s="1" t="str">
        <f>HYPERLINK("https://www.catalog.slsa.sa.gov.au/xrecord=b2083693")</f>
        <v>https://www.catalog.slsa.sa.gov.au/xrecord=b2083693</v>
      </c>
      <c r="D11068" t="s">
        <v>16831</v>
      </c>
      <c r="E11068" t="s">
        <v>34099</v>
      </c>
      <c r="F11068">
        <v>1998</v>
      </c>
      <c r="G11068" t="s">
        <v>15269</v>
      </c>
      <c r="H11068" t="s">
        <v>34113</v>
      </c>
      <c r="I11068" t="s">
        <v>34101</v>
      </c>
      <c r="J11068" t="s">
        <v>20900</v>
      </c>
      <c r="K11068" s="2" t="str">
        <f>HYPERLINK("http://collections.slsa.sa.gov.au/mpcimg/62500/B62425.htm")</f>
        <v>http://collections.slsa.sa.gov.au/mpcimg/62500/B62425.htm</v>
      </c>
    </row>
    <row r="11069" spans="1:11" x14ac:dyDescent="0.25">
      <c r="A11069" t="s">
        <v>34114</v>
      </c>
      <c r="B11069" s="1" t="str">
        <f>HYPERLINK("https://www.catalog.slsa.sa.gov.au/record=b2083694")</f>
        <v>https://www.catalog.slsa.sa.gov.au/record=b2083694</v>
      </c>
      <c r="C11069" s="1" t="str">
        <f>HYPERLINK("https://www.catalog.slsa.sa.gov.au/xrecord=b2083694")</f>
        <v>https://www.catalog.slsa.sa.gov.au/xrecord=b2083694</v>
      </c>
      <c r="D11069" t="s">
        <v>16831</v>
      </c>
      <c r="E11069" t="s">
        <v>34115</v>
      </c>
      <c r="F11069">
        <v>1998</v>
      </c>
      <c r="G11069" t="s">
        <v>15269</v>
      </c>
      <c r="H11069" t="s">
        <v>34116</v>
      </c>
      <c r="I11069" t="s">
        <v>34117</v>
      </c>
      <c r="J11069" t="s">
        <v>33542</v>
      </c>
      <c r="K11069" s="2" t="str">
        <f>HYPERLINK("http://collections.slsa.sa.gov.au/mpcimg/62500/B62426.htm")</f>
        <v>http://collections.slsa.sa.gov.au/mpcimg/62500/B62426.htm</v>
      </c>
    </row>
    <row r="11070" spans="1:11" x14ac:dyDescent="0.25">
      <c r="A11070" t="s">
        <v>34118</v>
      </c>
      <c r="B11070" s="1" t="str">
        <f>HYPERLINK("https://www.catalog.slsa.sa.gov.au/record=b2083695")</f>
        <v>https://www.catalog.slsa.sa.gov.au/record=b2083695</v>
      </c>
      <c r="C11070" s="1" t="str">
        <f>HYPERLINK("https://www.catalog.slsa.sa.gov.au/xrecord=b2083695")</f>
        <v>https://www.catalog.slsa.sa.gov.au/xrecord=b2083695</v>
      </c>
      <c r="D11070" t="s">
        <v>16831</v>
      </c>
      <c r="E11070" t="s">
        <v>34115</v>
      </c>
      <c r="F11070">
        <v>1998</v>
      </c>
      <c r="G11070" t="s">
        <v>15269</v>
      </c>
      <c r="H11070" t="s">
        <v>34119</v>
      </c>
      <c r="I11070" t="s">
        <v>34120</v>
      </c>
      <c r="J11070" t="s">
        <v>33542</v>
      </c>
      <c r="K11070" s="2" t="str">
        <f>HYPERLINK("http://collections.slsa.sa.gov.au/mpcimg/62500/B62427.htm")</f>
        <v>http://collections.slsa.sa.gov.au/mpcimg/62500/B62427.htm</v>
      </c>
    </row>
    <row r="11071" spans="1:11" x14ac:dyDescent="0.25">
      <c r="A11071" t="s">
        <v>34121</v>
      </c>
      <c r="B11071" s="1" t="str">
        <f>HYPERLINK("https://www.catalog.slsa.sa.gov.au/record=b2084141")</f>
        <v>https://www.catalog.slsa.sa.gov.au/record=b2084141</v>
      </c>
      <c r="C11071" s="1" t="str">
        <f>HYPERLINK("https://www.catalog.slsa.sa.gov.au/xrecord=b2084141")</f>
        <v>https://www.catalog.slsa.sa.gov.au/xrecord=b2084141</v>
      </c>
      <c r="D11071" t="s">
        <v>16831</v>
      </c>
      <c r="E11071" t="s">
        <v>34122</v>
      </c>
      <c r="F11071">
        <v>1998</v>
      </c>
      <c r="G11071" t="s">
        <v>34123</v>
      </c>
      <c r="H11071" t="s">
        <v>34124</v>
      </c>
      <c r="I11071" t="s">
        <v>34125</v>
      </c>
      <c r="J11071" t="s">
        <v>34126</v>
      </c>
      <c r="K11071" s="2" t="str">
        <f>HYPERLINK("http://collections.slsa.sa.gov.au/mpcimg/63000/B62873.htm")</f>
        <v>http://collections.slsa.sa.gov.au/mpcimg/63000/B62873.htm</v>
      </c>
    </row>
    <row r="11072" spans="1:11" x14ac:dyDescent="0.25">
      <c r="A11072" t="s">
        <v>34127</v>
      </c>
      <c r="B11072" s="1" t="str">
        <f>HYPERLINK("https://www.catalog.slsa.sa.gov.au/record=b2096524")</f>
        <v>https://www.catalog.slsa.sa.gov.au/record=b2096524</v>
      </c>
      <c r="C11072" s="1" t="str">
        <f>HYPERLINK("https://www.catalog.slsa.sa.gov.au/xrecord=b2096524")</f>
        <v>https://www.catalog.slsa.sa.gov.au/xrecord=b2096524</v>
      </c>
      <c r="D11072" t="s">
        <v>16831</v>
      </c>
      <c r="E11072" t="s">
        <v>34128</v>
      </c>
      <c r="F11072">
        <v>1998</v>
      </c>
      <c r="G11072" t="s">
        <v>18310</v>
      </c>
      <c r="H11072" t="s">
        <v>34129</v>
      </c>
      <c r="J11072" t="s">
        <v>33542</v>
      </c>
      <c r="K11072" s="2" t="str">
        <f>HYPERLINK("http://collections.slsa.sa.gov.au/mpcimg/69000/B68854.htm")</f>
        <v>http://collections.slsa.sa.gov.au/mpcimg/69000/B68854.htm</v>
      </c>
    </row>
    <row r="11073" spans="1:11" x14ac:dyDescent="0.25">
      <c r="A11073" t="s">
        <v>34130</v>
      </c>
      <c r="B11073" s="1" t="str">
        <f>HYPERLINK("https://www.catalog.slsa.sa.gov.au/record=b2096525")</f>
        <v>https://www.catalog.slsa.sa.gov.au/record=b2096525</v>
      </c>
      <c r="C11073" s="1" t="str">
        <f>HYPERLINK("https://www.catalog.slsa.sa.gov.au/xrecord=b2096525")</f>
        <v>https://www.catalog.slsa.sa.gov.au/xrecord=b2096525</v>
      </c>
      <c r="D11073" t="s">
        <v>16831</v>
      </c>
      <c r="E11073" t="s">
        <v>34131</v>
      </c>
      <c r="F11073">
        <v>1998</v>
      </c>
      <c r="G11073" t="s">
        <v>18310</v>
      </c>
      <c r="H11073" t="s">
        <v>34132</v>
      </c>
      <c r="J11073" t="s">
        <v>33542</v>
      </c>
      <c r="K11073" s="2" t="str">
        <f>HYPERLINK("http://collections.slsa.sa.gov.au/mpcimg/69000/B68855.htm")</f>
        <v>http://collections.slsa.sa.gov.au/mpcimg/69000/B68855.htm</v>
      </c>
    </row>
    <row r="11074" spans="1:11" x14ac:dyDescent="0.25">
      <c r="A11074" t="s">
        <v>34133</v>
      </c>
      <c r="B11074" s="1" t="str">
        <f>HYPERLINK("https://www.catalog.slsa.sa.gov.au/record=b2205230")</f>
        <v>https://www.catalog.slsa.sa.gov.au/record=b2205230</v>
      </c>
      <c r="C11074" s="1" t="str">
        <f>HYPERLINK("https://www.catalog.slsa.sa.gov.au/xrecord=b2205230")</f>
        <v>https://www.catalog.slsa.sa.gov.au/xrecord=b2205230</v>
      </c>
      <c r="D11074" t="s">
        <v>31902</v>
      </c>
      <c r="E11074" t="s">
        <v>34134</v>
      </c>
      <c r="F11074">
        <v>1998</v>
      </c>
      <c r="G11074" t="s">
        <v>33690</v>
      </c>
      <c r="H11074" t="s">
        <v>34135</v>
      </c>
      <c r="J11074" t="s">
        <v>14768</v>
      </c>
      <c r="K11074" s="2" t="str">
        <f>HYPERLINK("http://collections.slsa.sa.gov.au/mpcimg/69500/B69282_62.htm")</f>
        <v>http://collections.slsa.sa.gov.au/mpcimg/69500/B69282_62.htm</v>
      </c>
    </row>
    <row r="11075" spans="1:11" x14ac:dyDescent="0.25">
      <c r="A11075" t="s">
        <v>34136</v>
      </c>
      <c r="B11075" s="1" t="str">
        <f>HYPERLINK("https://www.catalog.slsa.sa.gov.au/record=b2205237")</f>
        <v>https://www.catalog.slsa.sa.gov.au/record=b2205237</v>
      </c>
      <c r="C11075" s="1" t="str">
        <f>HYPERLINK("https://www.catalog.slsa.sa.gov.au/xrecord=b2205237")</f>
        <v>https://www.catalog.slsa.sa.gov.au/xrecord=b2205237</v>
      </c>
      <c r="D11075" t="s">
        <v>31902</v>
      </c>
      <c r="E11075" t="s">
        <v>34137</v>
      </c>
      <c r="F11075">
        <v>1998</v>
      </c>
      <c r="G11075" t="s">
        <v>33690</v>
      </c>
      <c r="H11075" t="s">
        <v>34138</v>
      </c>
      <c r="J11075" t="s">
        <v>14768</v>
      </c>
      <c r="K11075" s="2" t="str">
        <f>HYPERLINK("http://collections.slsa.sa.gov.au/mpcimg/69500/B69282_63.htm")</f>
        <v>http://collections.slsa.sa.gov.au/mpcimg/69500/B69282_63.htm</v>
      </c>
    </row>
    <row r="11076" spans="1:11" x14ac:dyDescent="0.25">
      <c r="A11076" t="s">
        <v>34139</v>
      </c>
      <c r="B11076" s="1" t="str">
        <f>HYPERLINK("https://www.catalog.slsa.sa.gov.au/record=b2205239")</f>
        <v>https://www.catalog.slsa.sa.gov.au/record=b2205239</v>
      </c>
      <c r="C11076" s="1" t="str">
        <f>HYPERLINK("https://www.catalog.slsa.sa.gov.au/xrecord=b2205239")</f>
        <v>https://www.catalog.slsa.sa.gov.au/xrecord=b2205239</v>
      </c>
      <c r="D11076" t="s">
        <v>31902</v>
      </c>
      <c r="E11076" t="s">
        <v>34140</v>
      </c>
      <c r="F11076">
        <v>1998</v>
      </c>
      <c r="G11076" t="s">
        <v>33690</v>
      </c>
      <c r="H11076" t="s">
        <v>34141</v>
      </c>
      <c r="I11076" t="s">
        <v>34142</v>
      </c>
      <c r="J11076" t="s">
        <v>14768</v>
      </c>
      <c r="K11076" s="2" t="str">
        <f>HYPERLINK("http://collections.slsa.sa.gov.au/mpcimg/69500/B69282_64.htm")</f>
        <v>http://collections.slsa.sa.gov.au/mpcimg/69500/B69282_64.htm</v>
      </c>
    </row>
    <row r="11077" spans="1:11" x14ac:dyDescent="0.25">
      <c r="A11077" t="s">
        <v>34143</v>
      </c>
      <c r="B11077" s="1" t="str">
        <f>HYPERLINK("https://www.catalog.slsa.sa.gov.au/record=b2206239")</f>
        <v>https://www.catalog.slsa.sa.gov.au/record=b2206239</v>
      </c>
      <c r="C11077" s="1" t="str">
        <f>HYPERLINK("https://www.catalog.slsa.sa.gov.au/xrecord=b2206239")</f>
        <v>https://www.catalog.slsa.sa.gov.au/xrecord=b2206239</v>
      </c>
      <c r="D11077" t="s">
        <v>31902</v>
      </c>
      <c r="E11077" t="s">
        <v>34144</v>
      </c>
      <c r="F11077">
        <v>1998</v>
      </c>
      <c r="G11077" t="s">
        <v>33690</v>
      </c>
      <c r="H11077" t="s">
        <v>34145</v>
      </c>
      <c r="J11077" t="s">
        <v>14768</v>
      </c>
      <c r="K11077" s="2" t="str">
        <f>HYPERLINK("http://collections.slsa.sa.gov.au/mpcimg/69500/B69282_65.htm")</f>
        <v>http://collections.slsa.sa.gov.au/mpcimg/69500/B69282_65.htm</v>
      </c>
    </row>
    <row r="11078" spans="1:11" x14ac:dyDescent="0.25">
      <c r="A11078" t="s">
        <v>34146</v>
      </c>
      <c r="B11078" s="1" t="str">
        <f>HYPERLINK("https://www.catalog.slsa.sa.gov.au/record=b2206240")</f>
        <v>https://www.catalog.slsa.sa.gov.au/record=b2206240</v>
      </c>
      <c r="C11078" s="1" t="str">
        <f>HYPERLINK("https://www.catalog.slsa.sa.gov.au/xrecord=b2206240")</f>
        <v>https://www.catalog.slsa.sa.gov.au/xrecord=b2206240</v>
      </c>
      <c r="D11078" t="s">
        <v>31902</v>
      </c>
      <c r="E11078" t="s">
        <v>34147</v>
      </c>
      <c r="F11078">
        <v>1998</v>
      </c>
      <c r="G11078" t="s">
        <v>33690</v>
      </c>
      <c r="H11078" t="s">
        <v>34148</v>
      </c>
      <c r="J11078" t="s">
        <v>14768</v>
      </c>
      <c r="K11078" s="2" t="str">
        <f>HYPERLINK("http://collections.slsa.sa.gov.au/mpcimg/69500/B69282_66.htm")</f>
        <v>http://collections.slsa.sa.gov.au/mpcimg/69500/B69282_66.htm</v>
      </c>
    </row>
    <row r="11079" spans="1:11" x14ac:dyDescent="0.25">
      <c r="A11079" t="s">
        <v>34149</v>
      </c>
      <c r="B11079" s="1" t="str">
        <f>HYPERLINK("https://www.catalog.slsa.sa.gov.au/record=b2206260")</f>
        <v>https://www.catalog.slsa.sa.gov.au/record=b2206260</v>
      </c>
      <c r="C11079" s="1" t="str">
        <f>HYPERLINK("https://www.catalog.slsa.sa.gov.au/xrecord=b2206260")</f>
        <v>https://www.catalog.slsa.sa.gov.au/xrecord=b2206260</v>
      </c>
      <c r="D11079" t="s">
        <v>31902</v>
      </c>
      <c r="E11079" t="s">
        <v>34150</v>
      </c>
      <c r="F11079">
        <v>1998</v>
      </c>
      <c r="G11079" t="s">
        <v>33690</v>
      </c>
      <c r="H11079" t="s">
        <v>34151</v>
      </c>
      <c r="J11079" t="s">
        <v>14768</v>
      </c>
      <c r="K11079" s="2" t="str">
        <f>HYPERLINK("http://collections.slsa.sa.gov.au/mpcimg/69500/B69282_67.htm")</f>
        <v>http://collections.slsa.sa.gov.au/mpcimg/69500/B69282_67.htm</v>
      </c>
    </row>
    <row r="11080" spans="1:11" x14ac:dyDescent="0.25">
      <c r="A11080" t="s">
        <v>34152</v>
      </c>
      <c r="B11080" s="1" t="str">
        <f>HYPERLINK("https://www.catalog.slsa.sa.gov.au/record=b2220292")</f>
        <v>https://www.catalog.slsa.sa.gov.au/record=b2220292</v>
      </c>
      <c r="C11080" s="1" t="str">
        <f>HYPERLINK("https://www.catalog.slsa.sa.gov.au/xrecord=b2220292")</f>
        <v>https://www.catalog.slsa.sa.gov.au/xrecord=b2220292</v>
      </c>
      <c r="D11080" t="s">
        <v>31902</v>
      </c>
      <c r="E11080" t="s">
        <v>34150</v>
      </c>
      <c r="F11080">
        <v>1998</v>
      </c>
      <c r="G11080" t="s">
        <v>33690</v>
      </c>
      <c r="H11080" t="s">
        <v>34153</v>
      </c>
      <c r="J11080" t="s">
        <v>14768</v>
      </c>
      <c r="K11080" s="2" t="str">
        <f>HYPERLINK("http://collections.slsa.sa.gov.au/mpcimg/69500/B69282_68.htm")</f>
        <v>http://collections.slsa.sa.gov.au/mpcimg/69500/B69282_68.htm</v>
      </c>
    </row>
    <row r="11081" spans="1:11" x14ac:dyDescent="0.25">
      <c r="A11081" t="s">
        <v>34154</v>
      </c>
      <c r="B11081" s="1" t="str">
        <f>HYPERLINK("https://www.catalog.slsa.sa.gov.au/record=b2220297")</f>
        <v>https://www.catalog.slsa.sa.gov.au/record=b2220297</v>
      </c>
      <c r="C11081" s="1" t="str">
        <f>HYPERLINK("https://www.catalog.slsa.sa.gov.au/xrecord=b2220297")</f>
        <v>https://www.catalog.slsa.sa.gov.au/xrecord=b2220297</v>
      </c>
      <c r="D11081" t="s">
        <v>31902</v>
      </c>
      <c r="E11081" t="s">
        <v>34150</v>
      </c>
      <c r="F11081">
        <v>1998</v>
      </c>
      <c r="G11081" t="s">
        <v>33690</v>
      </c>
      <c r="H11081" t="s">
        <v>34155</v>
      </c>
      <c r="J11081" t="s">
        <v>14768</v>
      </c>
      <c r="K11081" s="2" t="str">
        <f>HYPERLINK("http://collections.slsa.sa.gov.au/mpcimg/69500/B69282_69.htm")</f>
        <v>http://collections.slsa.sa.gov.au/mpcimg/69500/B69282_69.htm</v>
      </c>
    </row>
    <row r="11082" spans="1:11" x14ac:dyDescent="0.25">
      <c r="A11082" t="s">
        <v>34156</v>
      </c>
      <c r="B11082" s="1" t="str">
        <f>HYPERLINK("https://www.catalog.slsa.sa.gov.au/record=b2220305")</f>
        <v>https://www.catalog.slsa.sa.gov.au/record=b2220305</v>
      </c>
      <c r="C11082" s="1" t="str">
        <f>HYPERLINK("https://www.catalog.slsa.sa.gov.au/xrecord=b2220305")</f>
        <v>https://www.catalog.slsa.sa.gov.au/xrecord=b2220305</v>
      </c>
      <c r="D11082" t="s">
        <v>31902</v>
      </c>
      <c r="E11082" t="s">
        <v>34157</v>
      </c>
      <c r="F11082">
        <v>1998</v>
      </c>
      <c r="G11082" t="s">
        <v>33690</v>
      </c>
      <c r="H11082" t="s">
        <v>34158</v>
      </c>
      <c r="J11082" t="s">
        <v>14768</v>
      </c>
      <c r="K11082" s="2" t="str">
        <f>HYPERLINK("http://collections.slsa.sa.gov.au/mpcimg/69500/B69282_70.htm")</f>
        <v>http://collections.slsa.sa.gov.au/mpcimg/69500/B69282_70.htm</v>
      </c>
    </row>
    <row r="11083" spans="1:11" x14ac:dyDescent="0.25">
      <c r="A11083" t="s">
        <v>34159</v>
      </c>
      <c r="B11083" s="1" t="str">
        <f>HYPERLINK("https://www.catalog.slsa.sa.gov.au/record=b3135577")</f>
        <v>https://www.catalog.slsa.sa.gov.au/record=b3135577</v>
      </c>
      <c r="C11083" s="1" t="str">
        <f>HYPERLINK("https://www.catalog.slsa.sa.gov.au/xrecord=b3135577")</f>
        <v>https://www.catalog.slsa.sa.gov.au/xrecord=b3135577</v>
      </c>
      <c r="D11083" t="s">
        <v>34160</v>
      </c>
      <c r="E11083" t="s">
        <v>34161</v>
      </c>
      <c r="F11083">
        <v>1998</v>
      </c>
      <c r="G11083" t="s">
        <v>34162</v>
      </c>
      <c r="H11083" t="s">
        <v>34161</v>
      </c>
      <c r="I11083" t="s">
        <v>34163</v>
      </c>
      <c r="J11083" t="s">
        <v>2510</v>
      </c>
      <c r="K11083" s="2" t="str">
        <f>HYPERLINK("http://collections.slsa.sa.gov.au/resource/B+76141")</f>
        <v>http://collections.slsa.sa.gov.au/resource/B+76141</v>
      </c>
    </row>
    <row r="11084" spans="1:11" x14ac:dyDescent="0.25">
      <c r="A11084" t="s">
        <v>34164</v>
      </c>
      <c r="B11084" s="1" t="str">
        <f>HYPERLINK("https://www.catalog.slsa.sa.gov.au/record=b3135582")</f>
        <v>https://www.catalog.slsa.sa.gov.au/record=b3135582</v>
      </c>
      <c r="C11084" s="1" t="str">
        <f>HYPERLINK("https://www.catalog.slsa.sa.gov.au/xrecord=b3135582")</f>
        <v>https://www.catalog.slsa.sa.gov.au/xrecord=b3135582</v>
      </c>
      <c r="D11084" t="s">
        <v>34160</v>
      </c>
      <c r="E11084" t="s">
        <v>34161</v>
      </c>
      <c r="F11084">
        <v>1998</v>
      </c>
      <c r="G11084" t="s">
        <v>34162</v>
      </c>
      <c r="H11084" t="s">
        <v>34161</v>
      </c>
      <c r="I11084" t="s">
        <v>34163</v>
      </c>
      <c r="J11084" t="s">
        <v>2510</v>
      </c>
      <c r="K11084" s="2" t="str">
        <f>HYPERLINK("http://collections.slsa.sa.gov.au/resource/B+76142")</f>
        <v>http://collections.slsa.sa.gov.au/resource/B+76142</v>
      </c>
    </row>
    <row r="11085" spans="1:11" x14ac:dyDescent="0.25">
      <c r="A11085" t="s">
        <v>34165</v>
      </c>
      <c r="B11085" s="1" t="str">
        <f>HYPERLINK("https://www.catalog.slsa.sa.gov.au/record=b3135583")</f>
        <v>https://www.catalog.slsa.sa.gov.au/record=b3135583</v>
      </c>
      <c r="C11085" s="1" t="str">
        <f>HYPERLINK("https://www.catalog.slsa.sa.gov.au/xrecord=b3135583")</f>
        <v>https://www.catalog.slsa.sa.gov.au/xrecord=b3135583</v>
      </c>
      <c r="D11085" t="s">
        <v>34160</v>
      </c>
      <c r="E11085" t="s">
        <v>34161</v>
      </c>
      <c r="F11085">
        <v>1998</v>
      </c>
      <c r="G11085" t="s">
        <v>34162</v>
      </c>
      <c r="H11085" t="s">
        <v>34161</v>
      </c>
      <c r="I11085" t="s">
        <v>34163</v>
      </c>
      <c r="J11085" t="s">
        <v>2510</v>
      </c>
      <c r="K11085" s="2" t="str">
        <f>HYPERLINK("http://collections.slsa.sa.gov.au/resource/B+76143")</f>
        <v>http://collections.slsa.sa.gov.au/resource/B+76143</v>
      </c>
    </row>
    <row r="11086" spans="1:11" x14ac:dyDescent="0.25">
      <c r="A11086" t="s">
        <v>34166</v>
      </c>
      <c r="B11086" s="1" t="str">
        <f>HYPERLINK("https://www.catalog.slsa.sa.gov.au/record=b2096526")</f>
        <v>https://www.catalog.slsa.sa.gov.au/record=b2096526</v>
      </c>
      <c r="C11086" s="1" t="str">
        <f>HYPERLINK("https://www.catalog.slsa.sa.gov.au/xrecord=b2096526")</f>
        <v>https://www.catalog.slsa.sa.gov.au/xrecord=b2096526</v>
      </c>
      <c r="D11086" t="s">
        <v>16831</v>
      </c>
      <c r="E11086" t="s">
        <v>34167</v>
      </c>
      <c r="F11086" t="s">
        <v>34168</v>
      </c>
      <c r="G11086" t="s">
        <v>18310</v>
      </c>
      <c r="H11086" t="s">
        <v>34169</v>
      </c>
      <c r="J11086" t="s">
        <v>33542</v>
      </c>
      <c r="K11086" s="2" t="str">
        <f>HYPERLINK("http://collections.slsa.sa.gov.au/mpcimg/69000/B68856.htm")</f>
        <v>http://collections.slsa.sa.gov.au/mpcimg/69000/B68856.htm</v>
      </c>
    </row>
    <row r="11087" spans="1:11" x14ac:dyDescent="0.25">
      <c r="A11087" t="s">
        <v>34170</v>
      </c>
      <c r="B11087" s="1" t="str">
        <f>HYPERLINK("https://www.catalog.slsa.sa.gov.au/record=b2096529")</f>
        <v>https://www.catalog.slsa.sa.gov.au/record=b2096529</v>
      </c>
      <c r="C11087" s="1" t="str">
        <f>HYPERLINK("https://www.catalog.slsa.sa.gov.au/xrecord=b2096529")</f>
        <v>https://www.catalog.slsa.sa.gov.au/xrecord=b2096529</v>
      </c>
      <c r="D11087" t="s">
        <v>16831</v>
      </c>
      <c r="E11087" t="s">
        <v>34171</v>
      </c>
      <c r="F11087" t="s">
        <v>34168</v>
      </c>
      <c r="G11087" t="s">
        <v>18310</v>
      </c>
      <c r="H11087" t="s">
        <v>34172</v>
      </c>
      <c r="J11087" t="s">
        <v>33542</v>
      </c>
      <c r="K11087" s="2" t="str">
        <f>HYPERLINK("http://collections.slsa.sa.gov.au/mpcimg/69000/B68857.htm")</f>
        <v>http://collections.slsa.sa.gov.au/mpcimg/69000/B68857.htm</v>
      </c>
    </row>
    <row r="11088" spans="1:11" x14ac:dyDescent="0.25">
      <c r="A11088" t="s">
        <v>34173</v>
      </c>
      <c r="B11088" s="1" t="str">
        <f>HYPERLINK("https://www.catalog.slsa.sa.gov.au/record=b2096531")</f>
        <v>https://www.catalog.slsa.sa.gov.au/record=b2096531</v>
      </c>
      <c r="C11088" s="1" t="str">
        <f>HYPERLINK("https://www.catalog.slsa.sa.gov.au/xrecord=b2096531")</f>
        <v>https://www.catalog.slsa.sa.gov.au/xrecord=b2096531</v>
      </c>
      <c r="D11088" t="s">
        <v>16831</v>
      </c>
      <c r="E11088" t="s">
        <v>34171</v>
      </c>
      <c r="F11088" t="s">
        <v>34168</v>
      </c>
      <c r="G11088" t="s">
        <v>18310</v>
      </c>
      <c r="H11088" t="s">
        <v>34169</v>
      </c>
      <c r="J11088" t="s">
        <v>33542</v>
      </c>
      <c r="K11088" s="2" t="str">
        <f>HYPERLINK("http://collections.slsa.sa.gov.au/mpcimg/69000/B68858.htm")</f>
        <v>http://collections.slsa.sa.gov.au/mpcimg/69000/B68858.htm</v>
      </c>
    </row>
    <row r="11089" spans="1:11" x14ac:dyDescent="0.25">
      <c r="A11089" t="s">
        <v>34174</v>
      </c>
      <c r="B11089" s="1" t="str">
        <f>HYPERLINK("https://www.catalog.slsa.sa.gov.au/record=b2096561")</f>
        <v>https://www.catalog.slsa.sa.gov.au/record=b2096561</v>
      </c>
      <c r="C11089" s="1" t="str">
        <f>HYPERLINK("https://www.catalog.slsa.sa.gov.au/xrecord=b2096561")</f>
        <v>https://www.catalog.slsa.sa.gov.au/xrecord=b2096561</v>
      </c>
      <c r="D11089" t="s">
        <v>16831</v>
      </c>
      <c r="E11089" t="s">
        <v>34175</v>
      </c>
      <c r="F11089" t="s">
        <v>34168</v>
      </c>
      <c r="G11089" t="s">
        <v>34176</v>
      </c>
      <c r="H11089" t="s">
        <v>34177</v>
      </c>
      <c r="J11089" t="s">
        <v>33542</v>
      </c>
      <c r="K11089" s="2" t="str">
        <f>HYPERLINK("http://collections.slsa.sa.gov.au/mpcimg/69000/B68859.htm")</f>
        <v>http://collections.slsa.sa.gov.au/mpcimg/69000/B68859.htm</v>
      </c>
    </row>
    <row r="11090" spans="1:11" x14ac:dyDescent="0.25">
      <c r="A11090" t="s">
        <v>34178</v>
      </c>
      <c r="B11090" s="1" t="str">
        <f>HYPERLINK("https://www.catalog.slsa.sa.gov.au/record=b2073541")</f>
        <v>https://www.catalog.slsa.sa.gov.au/record=b2073541</v>
      </c>
      <c r="C11090" s="1" t="str">
        <f>HYPERLINK("https://www.catalog.slsa.sa.gov.au/xrecord=b2073541")</f>
        <v>https://www.catalog.slsa.sa.gov.au/xrecord=b2073541</v>
      </c>
      <c r="D11090" t="s">
        <v>16831</v>
      </c>
      <c r="E11090" t="s">
        <v>34070</v>
      </c>
      <c r="F11090">
        <v>1999</v>
      </c>
      <c r="G11090" t="s">
        <v>34179</v>
      </c>
      <c r="H11090" t="s">
        <v>34180</v>
      </c>
      <c r="I11090" t="s">
        <v>34072</v>
      </c>
      <c r="J11090" t="s">
        <v>20900</v>
      </c>
      <c r="K11090" s="2" t="str">
        <f>HYPERLINK("http://collections.slsa.sa.gov.au/mpcimg/63250/B63080.htm")</f>
        <v>http://collections.slsa.sa.gov.au/mpcimg/63250/B63080.htm</v>
      </c>
    </row>
    <row r="11091" spans="1:11" x14ac:dyDescent="0.25">
      <c r="A11091" t="s">
        <v>34181</v>
      </c>
      <c r="B11091" s="1" t="str">
        <f>HYPERLINK("https://www.catalog.slsa.sa.gov.au/record=b2073542")</f>
        <v>https://www.catalog.slsa.sa.gov.au/record=b2073542</v>
      </c>
      <c r="C11091" s="1" t="str">
        <f>HYPERLINK("https://www.catalog.slsa.sa.gov.au/xrecord=b2073542")</f>
        <v>https://www.catalog.slsa.sa.gov.au/xrecord=b2073542</v>
      </c>
      <c r="D11091" t="s">
        <v>16831</v>
      </c>
      <c r="E11091" t="s">
        <v>34070</v>
      </c>
      <c r="F11091">
        <v>1999</v>
      </c>
      <c r="G11091" t="s">
        <v>34179</v>
      </c>
      <c r="H11091" t="s">
        <v>34180</v>
      </c>
      <c r="I11091" t="s">
        <v>34072</v>
      </c>
      <c r="J11091" t="s">
        <v>20900</v>
      </c>
      <c r="K11091" s="2" t="str">
        <f>HYPERLINK("http://collections.slsa.sa.gov.au/mpcimg/63250/B63081.htm")</f>
        <v>http://collections.slsa.sa.gov.au/mpcimg/63250/B63081.htm</v>
      </c>
    </row>
    <row r="11092" spans="1:11" x14ac:dyDescent="0.25">
      <c r="A11092" t="s">
        <v>34182</v>
      </c>
      <c r="B11092" s="1" t="str">
        <f>HYPERLINK("https://www.catalog.slsa.sa.gov.au/record=b2073543")</f>
        <v>https://www.catalog.slsa.sa.gov.au/record=b2073543</v>
      </c>
      <c r="C11092" s="1" t="str">
        <f>HYPERLINK("https://www.catalog.slsa.sa.gov.au/xrecord=b2073543")</f>
        <v>https://www.catalog.slsa.sa.gov.au/xrecord=b2073543</v>
      </c>
      <c r="D11092" t="s">
        <v>16831</v>
      </c>
      <c r="E11092" t="s">
        <v>34070</v>
      </c>
      <c r="F11092">
        <v>1999</v>
      </c>
      <c r="G11092" t="s">
        <v>34179</v>
      </c>
      <c r="H11092" t="s">
        <v>34180</v>
      </c>
      <c r="I11092" t="s">
        <v>34072</v>
      </c>
      <c r="J11092" t="s">
        <v>20900</v>
      </c>
      <c r="K11092" s="2" t="str">
        <f>HYPERLINK("http://collections.slsa.sa.gov.au/mpcimg/63250/B63082.htm")</f>
        <v>http://collections.slsa.sa.gov.au/mpcimg/63250/B63082.htm</v>
      </c>
    </row>
    <row r="11093" spans="1:11" x14ac:dyDescent="0.25">
      <c r="A11093" t="s">
        <v>34183</v>
      </c>
      <c r="B11093" s="1" t="str">
        <f>HYPERLINK("https://www.catalog.slsa.sa.gov.au/record=b2073544")</f>
        <v>https://www.catalog.slsa.sa.gov.au/record=b2073544</v>
      </c>
      <c r="C11093" s="1" t="str">
        <f>HYPERLINK("https://www.catalog.slsa.sa.gov.au/xrecord=b2073544")</f>
        <v>https://www.catalog.slsa.sa.gov.au/xrecord=b2073544</v>
      </c>
      <c r="D11093" t="s">
        <v>16831</v>
      </c>
      <c r="E11093" t="s">
        <v>34070</v>
      </c>
      <c r="F11093">
        <v>1999</v>
      </c>
      <c r="G11093" t="s">
        <v>34179</v>
      </c>
      <c r="H11093" t="s">
        <v>34184</v>
      </c>
      <c r="I11093" t="s">
        <v>34185</v>
      </c>
      <c r="J11093" t="s">
        <v>20900</v>
      </c>
      <c r="K11093" s="2" t="str">
        <f>HYPERLINK("http://collections.slsa.sa.gov.au/mpcimg/63250/B63083.htm")</f>
        <v>http://collections.slsa.sa.gov.au/mpcimg/63250/B63083.htm</v>
      </c>
    </row>
    <row r="11094" spans="1:11" x14ac:dyDescent="0.25">
      <c r="A11094" t="s">
        <v>34186</v>
      </c>
      <c r="B11094" s="1" t="str">
        <f>HYPERLINK("https://www.catalog.slsa.sa.gov.au/record=b2073545")</f>
        <v>https://www.catalog.slsa.sa.gov.au/record=b2073545</v>
      </c>
      <c r="C11094" s="1" t="str">
        <f>HYPERLINK("https://www.catalog.slsa.sa.gov.au/xrecord=b2073545")</f>
        <v>https://www.catalog.slsa.sa.gov.au/xrecord=b2073545</v>
      </c>
      <c r="D11094" t="s">
        <v>16831</v>
      </c>
      <c r="E11094" t="s">
        <v>34070</v>
      </c>
      <c r="F11094">
        <v>1999</v>
      </c>
      <c r="G11094" t="s">
        <v>34179</v>
      </c>
      <c r="H11094" t="s">
        <v>34187</v>
      </c>
      <c r="I11094" t="s">
        <v>34072</v>
      </c>
      <c r="J11094" t="s">
        <v>20900</v>
      </c>
      <c r="K11094" s="2" t="str">
        <f>HYPERLINK("http://collections.slsa.sa.gov.au/mpcimg/63250/B63084.htm")</f>
        <v>http://collections.slsa.sa.gov.au/mpcimg/63250/B63084.htm</v>
      </c>
    </row>
    <row r="11095" spans="1:11" x14ac:dyDescent="0.25">
      <c r="A11095" t="s">
        <v>34188</v>
      </c>
      <c r="B11095" s="1" t="str">
        <f>HYPERLINK("https://www.catalog.slsa.sa.gov.au/record=b2073546")</f>
        <v>https://www.catalog.slsa.sa.gov.au/record=b2073546</v>
      </c>
      <c r="C11095" s="1" t="str">
        <f>HYPERLINK("https://www.catalog.slsa.sa.gov.au/xrecord=b2073546")</f>
        <v>https://www.catalog.slsa.sa.gov.au/xrecord=b2073546</v>
      </c>
      <c r="D11095" t="s">
        <v>16831</v>
      </c>
      <c r="E11095" t="s">
        <v>34070</v>
      </c>
      <c r="F11095">
        <v>1999</v>
      </c>
      <c r="G11095" t="s">
        <v>34179</v>
      </c>
      <c r="H11095" t="s">
        <v>34189</v>
      </c>
      <c r="I11095" t="s">
        <v>34072</v>
      </c>
      <c r="J11095" t="s">
        <v>20900</v>
      </c>
      <c r="K11095" s="2" t="str">
        <f>HYPERLINK("http://collections.slsa.sa.gov.au/mpcimg/63250/B63085.htm")</f>
        <v>http://collections.slsa.sa.gov.au/mpcimg/63250/B63085.htm</v>
      </c>
    </row>
    <row r="11096" spans="1:11" x14ac:dyDescent="0.25">
      <c r="A11096" t="s">
        <v>34190</v>
      </c>
      <c r="B11096" s="1" t="str">
        <f>HYPERLINK("https://www.catalog.slsa.sa.gov.au/record=b2073547")</f>
        <v>https://www.catalog.slsa.sa.gov.au/record=b2073547</v>
      </c>
      <c r="C11096" s="1" t="str">
        <f>HYPERLINK("https://www.catalog.slsa.sa.gov.au/xrecord=b2073547")</f>
        <v>https://www.catalog.slsa.sa.gov.au/xrecord=b2073547</v>
      </c>
      <c r="D11096" t="s">
        <v>16831</v>
      </c>
      <c r="E11096" t="s">
        <v>34070</v>
      </c>
      <c r="F11096">
        <v>1999</v>
      </c>
      <c r="G11096" t="s">
        <v>34179</v>
      </c>
      <c r="H11096" t="s">
        <v>34191</v>
      </c>
      <c r="I11096" t="s">
        <v>34072</v>
      </c>
      <c r="J11096" t="s">
        <v>20900</v>
      </c>
      <c r="K11096" s="2" t="str">
        <f>HYPERLINK("http://collections.slsa.sa.gov.au/mpcimg/63250/B63086.htm")</f>
        <v>http://collections.slsa.sa.gov.au/mpcimg/63250/B63086.htm</v>
      </c>
    </row>
    <row r="11097" spans="1:11" x14ac:dyDescent="0.25">
      <c r="A11097" t="s">
        <v>34192</v>
      </c>
      <c r="B11097" s="1" t="str">
        <f>HYPERLINK("https://www.catalog.slsa.sa.gov.au/record=b2073938")</f>
        <v>https://www.catalog.slsa.sa.gov.au/record=b2073938</v>
      </c>
      <c r="C11097" s="1" t="str">
        <f>HYPERLINK("https://www.catalog.slsa.sa.gov.au/xrecord=b2073938")</f>
        <v>https://www.catalog.slsa.sa.gov.au/xrecord=b2073938</v>
      </c>
      <c r="D11097" t="s">
        <v>31902</v>
      </c>
      <c r="E11097" t="s">
        <v>34193</v>
      </c>
      <c r="F11097">
        <v>1999</v>
      </c>
      <c r="G11097" t="s">
        <v>33703</v>
      </c>
      <c r="H11097" t="s">
        <v>34194</v>
      </c>
      <c r="I11097" t="s">
        <v>34195</v>
      </c>
      <c r="J11097" t="s">
        <v>34196</v>
      </c>
      <c r="K11097" s="2" t="str">
        <f>HYPERLINK("http://collections.slsa.sa.gov.au/mpcimgr/63500/B63438.htm")</f>
        <v>http://collections.slsa.sa.gov.au/mpcimgr/63500/B63438.htm</v>
      </c>
    </row>
    <row r="11098" spans="1:11" x14ac:dyDescent="0.25">
      <c r="A11098" t="s">
        <v>34197</v>
      </c>
      <c r="B11098" s="1" t="str">
        <f>HYPERLINK("https://www.catalog.slsa.sa.gov.au/record=b2073939")</f>
        <v>https://www.catalog.slsa.sa.gov.au/record=b2073939</v>
      </c>
      <c r="C11098" s="1" t="str">
        <f>HYPERLINK("https://www.catalog.slsa.sa.gov.au/xrecord=b2073939")</f>
        <v>https://www.catalog.slsa.sa.gov.au/xrecord=b2073939</v>
      </c>
      <c r="D11098" t="s">
        <v>31902</v>
      </c>
      <c r="E11098" t="s">
        <v>34193</v>
      </c>
      <c r="F11098">
        <v>1999</v>
      </c>
      <c r="G11098" t="s">
        <v>34198</v>
      </c>
      <c r="H11098" t="s">
        <v>34199</v>
      </c>
      <c r="I11098" t="s">
        <v>34200</v>
      </c>
      <c r="J11098" t="s">
        <v>34196</v>
      </c>
      <c r="K11098" s="2" t="str">
        <f>HYPERLINK("http://collections.slsa.sa.gov.au/mpcimgr/63500/B63439.htm")</f>
        <v>http://collections.slsa.sa.gov.au/mpcimgr/63500/B63439.htm</v>
      </c>
    </row>
    <row r="11099" spans="1:11" x14ac:dyDescent="0.25">
      <c r="A11099" t="s">
        <v>34201</v>
      </c>
      <c r="B11099" s="1" t="str">
        <f>HYPERLINK("https://www.catalog.slsa.sa.gov.au/record=b2073940")</f>
        <v>https://www.catalog.slsa.sa.gov.au/record=b2073940</v>
      </c>
      <c r="C11099" s="1" t="str">
        <f>HYPERLINK("https://www.catalog.slsa.sa.gov.au/xrecord=b2073940")</f>
        <v>https://www.catalog.slsa.sa.gov.au/xrecord=b2073940</v>
      </c>
      <c r="D11099" t="s">
        <v>31902</v>
      </c>
      <c r="E11099" t="s">
        <v>34193</v>
      </c>
      <c r="F11099">
        <v>1999</v>
      </c>
      <c r="G11099" t="s">
        <v>33703</v>
      </c>
      <c r="H11099" t="s">
        <v>34202</v>
      </c>
      <c r="I11099" t="s">
        <v>34200</v>
      </c>
      <c r="J11099" t="s">
        <v>34196</v>
      </c>
      <c r="K11099" s="2" t="str">
        <f>HYPERLINK("http://collections.slsa.sa.gov.au/mpcimgr/63500/B63440.htm")</f>
        <v>http://collections.slsa.sa.gov.au/mpcimgr/63500/B63440.htm</v>
      </c>
    </row>
    <row r="11100" spans="1:11" x14ac:dyDescent="0.25">
      <c r="A11100" t="s">
        <v>34203</v>
      </c>
      <c r="B11100" s="1" t="str">
        <f>HYPERLINK("https://www.catalog.slsa.sa.gov.au/record=b2073941")</f>
        <v>https://www.catalog.slsa.sa.gov.au/record=b2073941</v>
      </c>
      <c r="C11100" s="1" t="str">
        <f>HYPERLINK("https://www.catalog.slsa.sa.gov.au/xrecord=b2073941")</f>
        <v>https://www.catalog.slsa.sa.gov.au/xrecord=b2073941</v>
      </c>
      <c r="D11100" t="s">
        <v>31902</v>
      </c>
      <c r="E11100" t="s">
        <v>34193</v>
      </c>
      <c r="F11100">
        <v>1999</v>
      </c>
      <c r="G11100" t="s">
        <v>34198</v>
      </c>
      <c r="H11100" t="s">
        <v>34204</v>
      </c>
      <c r="I11100" t="s">
        <v>34200</v>
      </c>
      <c r="J11100" t="s">
        <v>34196</v>
      </c>
      <c r="K11100" s="2" t="str">
        <f>HYPERLINK("http://collections.slsa.sa.gov.au/mpcimgr/63500/B63441.htm")</f>
        <v>http://collections.slsa.sa.gov.au/mpcimgr/63500/B63441.htm</v>
      </c>
    </row>
    <row r="11101" spans="1:11" x14ac:dyDescent="0.25">
      <c r="A11101" t="s">
        <v>34205</v>
      </c>
      <c r="B11101" s="1" t="str">
        <f>HYPERLINK("https://www.catalog.slsa.sa.gov.au/record=b2073942")</f>
        <v>https://www.catalog.slsa.sa.gov.au/record=b2073942</v>
      </c>
      <c r="C11101" s="1" t="str">
        <f>HYPERLINK("https://www.catalog.slsa.sa.gov.au/xrecord=b2073942")</f>
        <v>https://www.catalog.slsa.sa.gov.au/xrecord=b2073942</v>
      </c>
      <c r="D11101" t="s">
        <v>31902</v>
      </c>
      <c r="E11101" t="s">
        <v>34193</v>
      </c>
      <c r="F11101">
        <v>1999</v>
      </c>
      <c r="G11101" t="s">
        <v>34206</v>
      </c>
      <c r="H11101" t="s">
        <v>34207</v>
      </c>
      <c r="I11101" t="s">
        <v>34200</v>
      </c>
      <c r="J11101" t="s">
        <v>34196</v>
      </c>
      <c r="K11101" s="2" t="str">
        <f>HYPERLINK("http://collections.slsa.sa.gov.au/mpcimgr/63500/B63442.htm")</f>
        <v>http://collections.slsa.sa.gov.au/mpcimgr/63500/B63442.htm</v>
      </c>
    </row>
    <row r="11102" spans="1:11" x14ac:dyDescent="0.25">
      <c r="A11102" t="s">
        <v>34208</v>
      </c>
      <c r="B11102" s="1" t="str">
        <f>HYPERLINK("https://www.catalog.slsa.sa.gov.au/record=b2073943")</f>
        <v>https://www.catalog.slsa.sa.gov.au/record=b2073943</v>
      </c>
      <c r="C11102" s="1" t="str">
        <f>HYPERLINK("https://www.catalog.slsa.sa.gov.au/xrecord=b2073943")</f>
        <v>https://www.catalog.slsa.sa.gov.au/xrecord=b2073943</v>
      </c>
      <c r="D11102" t="s">
        <v>31902</v>
      </c>
      <c r="E11102" t="s">
        <v>34193</v>
      </c>
      <c r="F11102">
        <v>1999</v>
      </c>
      <c r="G11102" t="s">
        <v>34209</v>
      </c>
      <c r="H11102" t="s">
        <v>34210</v>
      </c>
      <c r="I11102" t="s">
        <v>34200</v>
      </c>
      <c r="J11102" t="s">
        <v>34196</v>
      </c>
      <c r="K11102" s="2" t="str">
        <f>HYPERLINK("http://collections.slsa.sa.gov.au/mpcimgr/63500/B63443.htm")</f>
        <v>http://collections.slsa.sa.gov.au/mpcimgr/63500/B63443.htm</v>
      </c>
    </row>
    <row r="11103" spans="1:11" x14ac:dyDescent="0.25">
      <c r="A11103" t="s">
        <v>34211</v>
      </c>
      <c r="B11103" s="1" t="str">
        <f>HYPERLINK("https://www.catalog.slsa.sa.gov.au/record=b2073944")</f>
        <v>https://www.catalog.slsa.sa.gov.au/record=b2073944</v>
      </c>
      <c r="C11103" s="1" t="str">
        <f>HYPERLINK("https://www.catalog.slsa.sa.gov.au/xrecord=b2073944")</f>
        <v>https://www.catalog.slsa.sa.gov.au/xrecord=b2073944</v>
      </c>
      <c r="D11103" t="s">
        <v>31902</v>
      </c>
      <c r="E11103" t="s">
        <v>34212</v>
      </c>
      <c r="F11103">
        <v>1999</v>
      </c>
      <c r="G11103" t="s">
        <v>33703</v>
      </c>
      <c r="H11103" t="s">
        <v>34213</v>
      </c>
      <c r="I11103" t="s">
        <v>34214</v>
      </c>
      <c r="J11103" t="s">
        <v>34196</v>
      </c>
      <c r="K11103" s="2" t="str">
        <f>HYPERLINK("http://collections.slsa.sa.gov.au/mpcimgr/63500/B63444.htm")</f>
        <v>http://collections.slsa.sa.gov.au/mpcimgr/63500/B63444.htm</v>
      </c>
    </row>
    <row r="11104" spans="1:11" x14ac:dyDescent="0.25">
      <c r="A11104" t="s">
        <v>34215</v>
      </c>
      <c r="B11104" s="1" t="str">
        <f>HYPERLINK("https://www.catalog.slsa.sa.gov.au/record=b2073945")</f>
        <v>https://www.catalog.slsa.sa.gov.au/record=b2073945</v>
      </c>
      <c r="C11104" s="1" t="str">
        <f>HYPERLINK("https://www.catalog.slsa.sa.gov.au/xrecord=b2073945")</f>
        <v>https://www.catalog.slsa.sa.gov.au/xrecord=b2073945</v>
      </c>
      <c r="D11104" t="s">
        <v>31902</v>
      </c>
      <c r="E11104" t="s">
        <v>34216</v>
      </c>
      <c r="F11104">
        <v>1999</v>
      </c>
      <c r="G11104" t="s">
        <v>33703</v>
      </c>
      <c r="H11104" t="s">
        <v>34217</v>
      </c>
      <c r="I11104" t="s">
        <v>34218</v>
      </c>
      <c r="J11104" t="s">
        <v>34196</v>
      </c>
      <c r="K11104" s="2" t="str">
        <f>HYPERLINK("http://collections.slsa.sa.gov.au/mpcimgr/63500/B63445.htm")</f>
        <v>http://collections.slsa.sa.gov.au/mpcimgr/63500/B63445.htm</v>
      </c>
    </row>
    <row r="11105" spans="1:11" x14ac:dyDescent="0.25">
      <c r="A11105" t="s">
        <v>34219</v>
      </c>
      <c r="B11105" s="1" t="str">
        <f>HYPERLINK("https://www.catalog.slsa.sa.gov.au/record=b2073946")</f>
        <v>https://www.catalog.slsa.sa.gov.au/record=b2073946</v>
      </c>
      <c r="C11105" s="1" t="str">
        <f>HYPERLINK("https://www.catalog.slsa.sa.gov.au/xrecord=b2073946")</f>
        <v>https://www.catalog.slsa.sa.gov.au/xrecord=b2073946</v>
      </c>
      <c r="D11105" t="s">
        <v>31902</v>
      </c>
      <c r="E11105" t="s">
        <v>34220</v>
      </c>
      <c r="F11105">
        <v>1999</v>
      </c>
      <c r="G11105" t="s">
        <v>34198</v>
      </c>
      <c r="H11105" t="s">
        <v>34221</v>
      </c>
      <c r="I11105" t="s">
        <v>34222</v>
      </c>
      <c r="J11105" t="s">
        <v>34223</v>
      </c>
      <c r="K11105" s="2" t="str">
        <f>HYPERLINK("http://collections.slsa.sa.gov.au/mpcimgr/63500/B63446.htm")</f>
        <v>http://collections.slsa.sa.gov.au/mpcimgr/63500/B63446.htm</v>
      </c>
    </row>
    <row r="11106" spans="1:11" x14ac:dyDescent="0.25">
      <c r="A11106" t="s">
        <v>34224</v>
      </c>
      <c r="B11106" s="1" t="str">
        <f>HYPERLINK("https://www.catalog.slsa.sa.gov.au/record=b2073947")</f>
        <v>https://www.catalog.slsa.sa.gov.au/record=b2073947</v>
      </c>
      <c r="C11106" s="1" t="str">
        <f>HYPERLINK("https://www.catalog.slsa.sa.gov.au/xrecord=b2073947")</f>
        <v>https://www.catalog.slsa.sa.gov.au/xrecord=b2073947</v>
      </c>
      <c r="D11106" t="s">
        <v>31902</v>
      </c>
      <c r="E11106" t="s">
        <v>34220</v>
      </c>
      <c r="F11106">
        <v>1999</v>
      </c>
      <c r="G11106" t="s">
        <v>34225</v>
      </c>
      <c r="H11106" t="s">
        <v>34226</v>
      </c>
      <c r="I11106" t="s">
        <v>34222</v>
      </c>
      <c r="J11106" t="s">
        <v>34223</v>
      </c>
      <c r="K11106" s="2" t="str">
        <f>HYPERLINK("http://collections.slsa.sa.gov.au/mpcimgr/63500/B63447.htm")</f>
        <v>http://collections.slsa.sa.gov.au/mpcimgr/63500/B63447.htm</v>
      </c>
    </row>
    <row r="11107" spans="1:11" x14ac:dyDescent="0.25">
      <c r="A11107" t="s">
        <v>34227</v>
      </c>
      <c r="B11107" s="1" t="str">
        <f>HYPERLINK("https://www.catalog.slsa.sa.gov.au/record=b2074030")</f>
        <v>https://www.catalog.slsa.sa.gov.au/record=b2074030</v>
      </c>
      <c r="C11107" s="1" t="str">
        <f>HYPERLINK("https://www.catalog.slsa.sa.gov.au/xrecord=b2074030")</f>
        <v>https://www.catalog.slsa.sa.gov.au/xrecord=b2074030</v>
      </c>
      <c r="D11107" t="s">
        <v>16831</v>
      </c>
      <c r="E11107" t="s">
        <v>34228</v>
      </c>
      <c r="F11107">
        <v>1999</v>
      </c>
      <c r="G11107" t="s">
        <v>33708</v>
      </c>
      <c r="H11107" t="s">
        <v>34229</v>
      </c>
      <c r="I11107" t="s">
        <v>34230</v>
      </c>
      <c r="J11107" t="s">
        <v>1809</v>
      </c>
      <c r="K11107" s="2" t="str">
        <f>HYPERLINK("http://collections.slsa.sa.gov.au/mpcimg/63750/B63567.htm")</f>
        <v>http://collections.slsa.sa.gov.au/mpcimg/63750/B63567.htm</v>
      </c>
    </row>
    <row r="11108" spans="1:11" x14ac:dyDescent="0.25">
      <c r="A11108" t="s">
        <v>34231</v>
      </c>
      <c r="B11108" s="1" t="str">
        <f>HYPERLINK("https://www.catalog.slsa.sa.gov.au/record=b2074486")</f>
        <v>https://www.catalog.slsa.sa.gov.au/record=b2074486</v>
      </c>
      <c r="C11108" s="1" t="str">
        <f>HYPERLINK("https://www.catalog.slsa.sa.gov.au/xrecord=b2074486")</f>
        <v>https://www.catalog.slsa.sa.gov.au/xrecord=b2074486</v>
      </c>
      <c r="D11108" t="s">
        <v>16831</v>
      </c>
      <c r="E11108" t="s">
        <v>34232</v>
      </c>
      <c r="F11108">
        <v>1999</v>
      </c>
      <c r="G11108" t="s">
        <v>33708</v>
      </c>
      <c r="H11108" t="s">
        <v>34233</v>
      </c>
      <c r="I11108" t="s">
        <v>34234</v>
      </c>
      <c r="J11108" t="s">
        <v>34235</v>
      </c>
      <c r="K11108" s="2" t="str">
        <f>HYPERLINK("http://collections.slsa.sa.gov.au/mpcimg/64000/B63983.htm")</f>
        <v>http://collections.slsa.sa.gov.au/mpcimg/64000/B63983.htm</v>
      </c>
    </row>
    <row r="11109" spans="1:11" x14ac:dyDescent="0.25">
      <c r="A11109" t="s">
        <v>34236</v>
      </c>
      <c r="B11109" s="1" t="str">
        <f>HYPERLINK("https://www.catalog.slsa.sa.gov.au/record=b2074487")</f>
        <v>https://www.catalog.slsa.sa.gov.au/record=b2074487</v>
      </c>
      <c r="C11109" s="1" t="str">
        <f>HYPERLINK("https://www.catalog.slsa.sa.gov.au/xrecord=b2074487")</f>
        <v>https://www.catalog.slsa.sa.gov.au/xrecord=b2074487</v>
      </c>
      <c r="D11109" t="s">
        <v>16831</v>
      </c>
      <c r="E11109" t="s">
        <v>34232</v>
      </c>
      <c r="F11109">
        <v>1999</v>
      </c>
      <c r="G11109" t="s">
        <v>33703</v>
      </c>
      <c r="H11109" t="s">
        <v>34237</v>
      </c>
      <c r="I11109" t="s">
        <v>34234</v>
      </c>
      <c r="J11109" t="s">
        <v>34235</v>
      </c>
      <c r="K11109" s="2" t="str">
        <f>HYPERLINK("http://collections.slsa.sa.gov.au/mpcimg/64000/B63985.htm")</f>
        <v>http://collections.slsa.sa.gov.au/mpcimg/64000/B63985.htm</v>
      </c>
    </row>
    <row r="11110" spans="1:11" x14ac:dyDescent="0.25">
      <c r="A11110" t="s">
        <v>34238</v>
      </c>
      <c r="B11110" s="1" t="str">
        <f>HYPERLINK("https://www.catalog.slsa.sa.gov.au/record=b2074488")</f>
        <v>https://www.catalog.slsa.sa.gov.au/record=b2074488</v>
      </c>
      <c r="C11110" s="1" t="str">
        <f>HYPERLINK("https://www.catalog.slsa.sa.gov.au/xrecord=b2074488")</f>
        <v>https://www.catalog.slsa.sa.gov.au/xrecord=b2074488</v>
      </c>
      <c r="D11110" t="s">
        <v>16831</v>
      </c>
      <c r="E11110" t="s">
        <v>34232</v>
      </c>
      <c r="F11110">
        <v>1999</v>
      </c>
      <c r="G11110" t="s">
        <v>33708</v>
      </c>
      <c r="H11110" t="s">
        <v>34239</v>
      </c>
      <c r="I11110" t="s">
        <v>34234</v>
      </c>
      <c r="J11110" t="s">
        <v>34235</v>
      </c>
      <c r="K11110" s="2" t="str">
        <f>HYPERLINK("http://collections.slsa.sa.gov.au/mpcimg/64000/B63986.htm")</f>
        <v>http://collections.slsa.sa.gov.au/mpcimg/64000/B63986.htm</v>
      </c>
    </row>
    <row r="11111" spans="1:11" x14ac:dyDescent="0.25">
      <c r="A11111" t="s">
        <v>34240</v>
      </c>
      <c r="B11111" s="1" t="str">
        <f>HYPERLINK("https://www.catalog.slsa.sa.gov.au/record=b2074489")</f>
        <v>https://www.catalog.slsa.sa.gov.au/record=b2074489</v>
      </c>
      <c r="C11111" s="1" t="str">
        <f>HYPERLINK("https://www.catalog.slsa.sa.gov.au/xrecord=b2074489")</f>
        <v>https://www.catalog.slsa.sa.gov.au/xrecord=b2074489</v>
      </c>
      <c r="D11111" t="s">
        <v>16831</v>
      </c>
      <c r="E11111" t="s">
        <v>34241</v>
      </c>
      <c r="F11111">
        <v>1999</v>
      </c>
      <c r="G11111" t="s">
        <v>34242</v>
      </c>
      <c r="H11111" t="s">
        <v>34243</v>
      </c>
      <c r="I11111" t="s">
        <v>34244</v>
      </c>
      <c r="J11111" t="s">
        <v>16866</v>
      </c>
      <c r="K11111" s="2" t="str">
        <f>HYPERLINK("http://collections.slsa.sa.gov.au/mpcimg/64000/B63987.htm")</f>
        <v>http://collections.slsa.sa.gov.au/mpcimg/64000/B63987.htm</v>
      </c>
    </row>
    <row r="11112" spans="1:11" x14ac:dyDescent="0.25">
      <c r="A11112" t="s">
        <v>34245</v>
      </c>
      <c r="B11112" s="1" t="str">
        <f>HYPERLINK("https://www.catalog.slsa.sa.gov.au/record=b2074490")</f>
        <v>https://www.catalog.slsa.sa.gov.au/record=b2074490</v>
      </c>
      <c r="C11112" s="1" t="str">
        <f>HYPERLINK("https://www.catalog.slsa.sa.gov.au/xrecord=b2074490")</f>
        <v>https://www.catalog.slsa.sa.gov.au/xrecord=b2074490</v>
      </c>
      <c r="D11112" t="s">
        <v>16831</v>
      </c>
      <c r="E11112" t="s">
        <v>34241</v>
      </c>
      <c r="F11112">
        <v>1999</v>
      </c>
      <c r="G11112" t="s">
        <v>33708</v>
      </c>
      <c r="H11112" t="s">
        <v>34246</v>
      </c>
      <c r="I11112" t="s">
        <v>34247</v>
      </c>
      <c r="J11112" t="s">
        <v>33542</v>
      </c>
      <c r="K11112" s="2" t="str">
        <f>HYPERLINK("http://collections.slsa.sa.gov.au/mpcimg/64000/B63988.htm")</f>
        <v>http://collections.slsa.sa.gov.au/mpcimg/64000/B63988.htm</v>
      </c>
    </row>
    <row r="11113" spans="1:11" x14ac:dyDescent="0.25">
      <c r="A11113" t="s">
        <v>34248</v>
      </c>
      <c r="B11113" s="1" t="str">
        <f>HYPERLINK("https://www.catalog.slsa.sa.gov.au/record=b2074495")</f>
        <v>https://www.catalog.slsa.sa.gov.au/record=b2074495</v>
      </c>
      <c r="C11113" s="1" t="str">
        <f>HYPERLINK("https://www.catalog.slsa.sa.gov.au/xrecord=b2074495")</f>
        <v>https://www.catalog.slsa.sa.gov.au/xrecord=b2074495</v>
      </c>
      <c r="D11113" t="s">
        <v>16831</v>
      </c>
      <c r="E11113" t="s">
        <v>34241</v>
      </c>
      <c r="F11113">
        <v>1999</v>
      </c>
      <c r="G11113" t="s">
        <v>33708</v>
      </c>
      <c r="H11113" t="s">
        <v>34246</v>
      </c>
      <c r="I11113" t="s">
        <v>34249</v>
      </c>
      <c r="J11113" t="s">
        <v>33542</v>
      </c>
      <c r="K11113" s="2" t="str">
        <f>HYPERLINK("http://collections.slsa.sa.gov.au/mpcimg/64000/B63989.htm")</f>
        <v>http://collections.slsa.sa.gov.au/mpcimg/64000/B63989.htm</v>
      </c>
    </row>
    <row r="11114" spans="1:11" x14ac:dyDescent="0.25">
      <c r="A11114" t="s">
        <v>34250</v>
      </c>
      <c r="B11114" s="1" t="str">
        <f>HYPERLINK("https://www.catalog.slsa.sa.gov.au/record=b2074496")</f>
        <v>https://www.catalog.slsa.sa.gov.au/record=b2074496</v>
      </c>
      <c r="C11114" s="1" t="str">
        <f>HYPERLINK("https://www.catalog.slsa.sa.gov.au/xrecord=b2074496")</f>
        <v>https://www.catalog.slsa.sa.gov.au/xrecord=b2074496</v>
      </c>
      <c r="D11114" t="s">
        <v>16831</v>
      </c>
      <c r="E11114" t="s">
        <v>34251</v>
      </c>
      <c r="F11114">
        <v>1999</v>
      </c>
      <c r="G11114" t="s">
        <v>33708</v>
      </c>
      <c r="H11114" t="s">
        <v>34252</v>
      </c>
      <c r="I11114" t="s">
        <v>34253</v>
      </c>
      <c r="J11114" t="s">
        <v>20900</v>
      </c>
      <c r="K11114" s="2" t="str">
        <f>HYPERLINK("http://collections.slsa.sa.gov.au/mpcimg/64000/B63990.htm")</f>
        <v>http://collections.slsa.sa.gov.au/mpcimg/64000/B63990.htm</v>
      </c>
    </row>
    <row r="11115" spans="1:11" x14ac:dyDescent="0.25">
      <c r="A11115" t="s">
        <v>34254</v>
      </c>
      <c r="B11115" s="1" t="str">
        <f>HYPERLINK("https://www.catalog.slsa.sa.gov.au/record=b2074497")</f>
        <v>https://www.catalog.slsa.sa.gov.au/record=b2074497</v>
      </c>
      <c r="C11115" s="1" t="str">
        <f>HYPERLINK("https://www.catalog.slsa.sa.gov.au/xrecord=b2074497")</f>
        <v>https://www.catalog.slsa.sa.gov.au/xrecord=b2074497</v>
      </c>
      <c r="D11115" t="s">
        <v>16831</v>
      </c>
      <c r="E11115" t="s">
        <v>34251</v>
      </c>
      <c r="F11115">
        <v>1999</v>
      </c>
      <c r="G11115" t="s">
        <v>33708</v>
      </c>
      <c r="H11115" t="s">
        <v>34255</v>
      </c>
      <c r="I11115" t="s">
        <v>34253</v>
      </c>
      <c r="J11115" t="s">
        <v>20900</v>
      </c>
      <c r="K11115" s="2" t="str">
        <f>HYPERLINK("http://collections.slsa.sa.gov.au/mpcimg/64000/B63991.htm")</f>
        <v>http://collections.slsa.sa.gov.au/mpcimg/64000/B63991.htm</v>
      </c>
    </row>
    <row r="11116" spans="1:11" x14ac:dyDescent="0.25">
      <c r="A11116" t="s">
        <v>34256</v>
      </c>
      <c r="B11116" s="1" t="str">
        <f>HYPERLINK("https://www.catalog.slsa.sa.gov.au/record=b2074499")</f>
        <v>https://www.catalog.slsa.sa.gov.au/record=b2074499</v>
      </c>
      <c r="C11116" s="1" t="str">
        <f>HYPERLINK("https://www.catalog.slsa.sa.gov.au/xrecord=b2074499")</f>
        <v>https://www.catalog.slsa.sa.gov.au/xrecord=b2074499</v>
      </c>
      <c r="D11116" t="s">
        <v>16831</v>
      </c>
      <c r="E11116" t="s">
        <v>34257</v>
      </c>
      <c r="F11116">
        <v>1999</v>
      </c>
      <c r="G11116" t="s">
        <v>34258</v>
      </c>
      <c r="H11116" t="s">
        <v>34259</v>
      </c>
      <c r="I11116" t="s">
        <v>34260</v>
      </c>
      <c r="J11116" t="s">
        <v>34261</v>
      </c>
      <c r="K11116" s="2" t="str">
        <f>HYPERLINK("http://collections.slsa.sa.gov.au/mpcimg/64000/B63997.htm")</f>
        <v>http://collections.slsa.sa.gov.au/mpcimg/64000/B63997.htm</v>
      </c>
    </row>
    <row r="11117" spans="1:11" x14ac:dyDescent="0.25">
      <c r="A11117" t="s">
        <v>34262</v>
      </c>
      <c r="B11117" s="1" t="str">
        <f>HYPERLINK("https://www.catalog.slsa.sa.gov.au/record=b2074500")</f>
        <v>https://www.catalog.slsa.sa.gov.au/record=b2074500</v>
      </c>
      <c r="C11117" s="1" t="str">
        <f>HYPERLINK("https://www.catalog.slsa.sa.gov.au/xrecord=b2074500")</f>
        <v>https://www.catalog.slsa.sa.gov.au/xrecord=b2074500</v>
      </c>
      <c r="D11117" t="s">
        <v>16831</v>
      </c>
      <c r="E11117" t="s">
        <v>34257</v>
      </c>
      <c r="F11117">
        <v>1999</v>
      </c>
      <c r="G11117" t="s">
        <v>34263</v>
      </c>
      <c r="H11117" t="s">
        <v>34264</v>
      </c>
      <c r="I11117" t="s">
        <v>34234</v>
      </c>
      <c r="J11117" t="s">
        <v>34235</v>
      </c>
      <c r="K11117" s="2" t="str">
        <f>HYPERLINK("http://collections.slsa.sa.gov.au/mpcimg/64000/B63998.htm")</f>
        <v>http://collections.slsa.sa.gov.au/mpcimg/64000/B63998.htm</v>
      </c>
    </row>
    <row r="11118" spans="1:11" x14ac:dyDescent="0.25">
      <c r="A11118" t="s">
        <v>34265</v>
      </c>
      <c r="B11118" s="1" t="str">
        <f>HYPERLINK("https://www.catalog.slsa.sa.gov.au/record=b2074501")</f>
        <v>https://www.catalog.slsa.sa.gov.au/record=b2074501</v>
      </c>
      <c r="C11118" s="1" t="str">
        <f>HYPERLINK("https://www.catalog.slsa.sa.gov.au/xrecord=b2074501")</f>
        <v>https://www.catalog.slsa.sa.gov.au/xrecord=b2074501</v>
      </c>
      <c r="D11118" t="s">
        <v>16831</v>
      </c>
      <c r="E11118" t="s">
        <v>34257</v>
      </c>
      <c r="F11118">
        <v>1999</v>
      </c>
      <c r="G11118" t="s">
        <v>33708</v>
      </c>
      <c r="H11118" t="s">
        <v>34266</v>
      </c>
      <c r="I11118" t="s">
        <v>34267</v>
      </c>
      <c r="J11118" t="s">
        <v>34235</v>
      </c>
      <c r="K11118" s="2" t="str">
        <f>HYPERLINK("http://collections.slsa.sa.gov.au/mpcimg/64000/B63999.htm")</f>
        <v>http://collections.slsa.sa.gov.au/mpcimg/64000/B63999.htm</v>
      </c>
    </row>
    <row r="11119" spans="1:11" x14ac:dyDescent="0.25">
      <c r="A11119" t="s">
        <v>34268</v>
      </c>
      <c r="B11119" s="1" t="str">
        <f>HYPERLINK("https://www.catalog.slsa.sa.gov.au/record=b2074502")</f>
        <v>https://www.catalog.slsa.sa.gov.au/record=b2074502</v>
      </c>
      <c r="C11119" s="1" t="str">
        <f>HYPERLINK("https://www.catalog.slsa.sa.gov.au/xrecord=b2074502")</f>
        <v>https://www.catalog.slsa.sa.gov.au/xrecord=b2074502</v>
      </c>
      <c r="D11119" t="s">
        <v>16831</v>
      </c>
      <c r="E11119" t="s">
        <v>34257</v>
      </c>
      <c r="F11119">
        <v>1999</v>
      </c>
      <c r="G11119" t="s">
        <v>34269</v>
      </c>
      <c r="H11119" t="s">
        <v>34270</v>
      </c>
      <c r="I11119" t="s">
        <v>34267</v>
      </c>
      <c r="J11119" t="s">
        <v>34235</v>
      </c>
      <c r="K11119" s="2" t="str">
        <f>HYPERLINK("http://collections.slsa.sa.gov.au/mpcimg/64000/B64000.htm")</f>
        <v>http://collections.slsa.sa.gov.au/mpcimg/64000/B64000.htm</v>
      </c>
    </row>
    <row r="11120" spans="1:11" x14ac:dyDescent="0.25">
      <c r="A11120" t="s">
        <v>34271</v>
      </c>
      <c r="B11120" s="1" t="str">
        <f>HYPERLINK("https://www.catalog.slsa.sa.gov.au/record=b2074503")</f>
        <v>https://www.catalog.slsa.sa.gov.au/record=b2074503</v>
      </c>
      <c r="C11120" s="1" t="str">
        <f>HYPERLINK("https://www.catalog.slsa.sa.gov.au/xrecord=b2074503")</f>
        <v>https://www.catalog.slsa.sa.gov.au/xrecord=b2074503</v>
      </c>
      <c r="D11120" t="s">
        <v>16831</v>
      </c>
      <c r="E11120" t="s">
        <v>34257</v>
      </c>
      <c r="F11120">
        <v>1999</v>
      </c>
      <c r="G11120" t="s">
        <v>34269</v>
      </c>
      <c r="H11120" t="s">
        <v>34272</v>
      </c>
      <c r="I11120" t="s">
        <v>34267</v>
      </c>
      <c r="J11120" t="s">
        <v>34235</v>
      </c>
      <c r="K11120" s="2" t="str">
        <f>HYPERLINK("http://collections.slsa.sa.gov.au/mpcimg/64250/B64001.htm")</f>
        <v>http://collections.slsa.sa.gov.au/mpcimg/64250/B64001.htm</v>
      </c>
    </row>
    <row r="11121" spans="1:11" x14ac:dyDescent="0.25">
      <c r="A11121" t="s">
        <v>34273</v>
      </c>
      <c r="B11121" s="1" t="str">
        <f>HYPERLINK("https://www.catalog.slsa.sa.gov.au/record=b2074504")</f>
        <v>https://www.catalog.slsa.sa.gov.au/record=b2074504</v>
      </c>
      <c r="C11121" s="1" t="str">
        <f>HYPERLINK("https://www.catalog.slsa.sa.gov.au/xrecord=b2074504")</f>
        <v>https://www.catalog.slsa.sa.gov.au/xrecord=b2074504</v>
      </c>
      <c r="D11121" t="s">
        <v>16831</v>
      </c>
      <c r="E11121" t="s">
        <v>34257</v>
      </c>
      <c r="F11121">
        <v>1999</v>
      </c>
      <c r="G11121" t="s">
        <v>34269</v>
      </c>
      <c r="H11121" t="s">
        <v>34274</v>
      </c>
      <c r="I11121" t="s">
        <v>34267</v>
      </c>
      <c r="J11121" t="s">
        <v>34235</v>
      </c>
      <c r="K11121" s="2" t="str">
        <f>HYPERLINK("http://collections.slsa.sa.gov.au/mpcimg/64250/B64002.htm")</f>
        <v>http://collections.slsa.sa.gov.au/mpcimg/64250/B64002.htm</v>
      </c>
    </row>
    <row r="11122" spans="1:11" x14ac:dyDescent="0.25">
      <c r="A11122" t="s">
        <v>34275</v>
      </c>
      <c r="B11122" s="1" t="str">
        <f>HYPERLINK("https://www.catalog.slsa.sa.gov.au/record=b2074505")</f>
        <v>https://www.catalog.slsa.sa.gov.au/record=b2074505</v>
      </c>
      <c r="C11122" s="1" t="str">
        <f>HYPERLINK("https://www.catalog.slsa.sa.gov.au/xrecord=b2074505")</f>
        <v>https://www.catalog.slsa.sa.gov.au/xrecord=b2074505</v>
      </c>
      <c r="D11122" t="s">
        <v>16831</v>
      </c>
      <c r="E11122" t="s">
        <v>34257</v>
      </c>
      <c r="F11122">
        <v>1999</v>
      </c>
      <c r="G11122" t="s">
        <v>33703</v>
      </c>
      <c r="H11122" t="s">
        <v>34276</v>
      </c>
      <c r="I11122" t="s">
        <v>34267</v>
      </c>
      <c r="J11122" t="s">
        <v>34235</v>
      </c>
      <c r="K11122" s="2" t="str">
        <f>HYPERLINK("http://collections.slsa.sa.gov.au/mpcimg/64250/B64003.htm")</f>
        <v>http://collections.slsa.sa.gov.au/mpcimg/64250/B64003.htm</v>
      </c>
    </row>
    <row r="11123" spans="1:11" x14ac:dyDescent="0.25">
      <c r="A11123" t="s">
        <v>34277</v>
      </c>
      <c r="B11123" s="1" t="str">
        <f>HYPERLINK("https://www.catalog.slsa.sa.gov.au/record=b2074506")</f>
        <v>https://www.catalog.slsa.sa.gov.au/record=b2074506</v>
      </c>
      <c r="C11123" s="1" t="str">
        <f>HYPERLINK("https://www.catalog.slsa.sa.gov.au/xrecord=b2074506")</f>
        <v>https://www.catalog.slsa.sa.gov.au/xrecord=b2074506</v>
      </c>
      <c r="D11123" t="s">
        <v>16831</v>
      </c>
      <c r="E11123" t="s">
        <v>34257</v>
      </c>
      <c r="F11123">
        <v>1999</v>
      </c>
      <c r="G11123" t="s">
        <v>33703</v>
      </c>
      <c r="H11123" t="s">
        <v>34278</v>
      </c>
      <c r="I11123" t="s">
        <v>34267</v>
      </c>
      <c r="J11123" t="s">
        <v>34235</v>
      </c>
      <c r="K11123" s="2" t="str">
        <f>HYPERLINK("http://collections.slsa.sa.gov.au/mpcimg/64250/B64004.htm")</f>
        <v>http://collections.slsa.sa.gov.au/mpcimg/64250/B64004.htm</v>
      </c>
    </row>
    <row r="11124" spans="1:11" x14ac:dyDescent="0.25">
      <c r="A11124" t="s">
        <v>34279</v>
      </c>
      <c r="B11124" s="1" t="str">
        <f>HYPERLINK("https://www.catalog.slsa.sa.gov.au/record=b2074507")</f>
        <v>https://www.catalog.slsa.sa.gov.au/record=b2074507</v>
      </c>
      <c r="C11124" s="1" t="str">
        <f>HYPERLINK("https://www.catalog.slsa.sa.gov.au/xrecord=b2074507")</f>
        <v>https://www.catalog.slsa.sa.gov.au/xrecord=b2074507</v>
      </c>
      <c r="D11124" t="s">
        <v>16831</v>
      </c>
      <c r="E11124" t="s">
        <v>34251</v>
      </c>
      <c r="F11124">
        <v>1999</v>
      </c>
      <c r="G11124" t="s">
        <v>34280</v>
      </c>
      <c r="H11124" t="s">
        <v>34281</v>
      </c>
      <c r="I11124" t="s">
        <v>34253</v>
      </c>
      <c r="J11124" t="s">
        <v>20900</v>
      </c>
      <c r="K11124" s="2" t="str">
        <f>HYPERLINK("http://collections.slsa.sa.gov.au/mpcimg/64250/B64005.htm")</f>
        <v>http://collections.slsa.sa.gov.au/mpcimg/64250/B64005.htm</v>
      </c>
    </row>
    <row r="11125" spans="1:11" x14ac:dyDescent="0.25">
      <c r="A11125" t="s">
        <v>34282</v>
      </c>
      <c r="B11125" s="1" t="str">
        <f>HYPERLINK("https://www.catalog.slsa.sa.gov.au/record=b2074509")</f>
        <v>https://www.catalog.slsa.sa.gov.au/record=b2074509</v>
      </c>
      <c r="C11125" s="1" t="str">
        <f>HYPERLINK("https://www.catalog.slsa.sa.gov.au/xrecord=b2074509")</f>
        <v>https://www.catalog.slsa.sa.gov.au/xrecord=b2074509</v>
      </c>
      <c r="D11125" t="s">
        <v>16831</v>
      </c>
      <c r="E11125" t="s">
        <v>34251</v>
      </c>
      <c r="F11125">
        <v>1999</v>
      </c>
      <c r="G11125" t="s">
        <v>33703</v>
      </c>
      <c r="H11125" t="s">
        <v>34283</v>
      </c>
      <c r="I11125" t="s">
        <v>34284</v>
      </c>
      <c r="J11125" t="s">
        <v>20900</v>
      </c>
      <c r="K11125" s="2" t="str">
        <f>HYPERLINK("http://collections.slsa.sa.gov.au/mpcimg/64250/B64006.htm")</f>
        <v>http://collections.slsa.sa.gov.au/mpcimg/64250/B64006.htm</v>
      </c>
    </row>
    <row r="11126" spans="1:11" x14ac:dyDescent="0.25">
      <c r="A11126" t="s">
        <v>34285</v>
      </c>
      <c r="B11126" s="1" t="str">
        <f>HYPERLINK("https://www.catalog.slsa.sa.gov.au/record=b2074510")</f>
        <v>https://www.catalog.slsa.sa.gov.au/record=b2074510</v>
      </c>
      <c r="C11126" s="1" t="str">
        <f>HYPERLINK("https://www.catalog.slsa.sa.gov.au/xrecord=b2074510")</f>
        <v>https://www.catalog.slsa.sa.gov.au/xrecord=b2074510</v>
      </c>
      <c r="D11126" t="s">
        <v>16831</v>
      </c>
      <c r="E11126" t="s">
        <v>34251</v>
      </c>
      <c r="F11126">
        <v>1999</v>
      </c>
      <c r="G11126" t="s">
        <v>34269</v>
      </c>
      <c r="H11126" t="s">
        <v>34283</v>
      </c>
      <c r="I11126" t="s">
        <v>34284</v>
      </c>
      <c r="J11126" t="s">
        <v>20900</v>
      </c>
      <c r="K11126" s="2" t="str">
        <f>HYPERLINK("http://collections.slsa.sa.gov.au/mpcimg/64250/B64007.htm")</f>
        <v>http://collections.slsa.sa.gov.au/mpcimg/64250/B64007.htm</v>
      </c>
    </row>
    <row r="11127" spans="1:11" x14ac:dyDescent="0.25">
      <c r="A11127" t="s">
        <v>34286</v>
      </c>
      <c r="B11127" s="1" t="str">
        <f>HYPERLINK("https://www.catalog.slsa.sa.gov.au/record=b2074511")</f>
        <v>https://www.catalog.slsa.sa.gov.au/record=b2074511</v>
      </c>
      <c r="C11127" s="1" t="str">
        <f>HYPERLINK("https://www.catalog.slsa.sa.gov.au/xrecord=b2074511")</f>
        <v>https://www.catalog.slsa.sa.gov.au/xrecord=b2074511</v>
      </c>
      <c r="D11127" t="s">
        <v>16831</v>
      </c>
      <c r="E11127" t="s">
        <v>34287</v>
      </c>
      <c r="F11127">
        <v>1999</v>
      </c>
      <c r="G11127" t="s">
        <v>34242</v>
      </c>
      <c r="H11127" t="s">
        <v>34288</v>
      </c>
      <c r="I11127" t="s">
        <v>34260</v>
      </c>
      <c r="J11127" t="s">
        <v>34235</v>
      </c>
      <c r="K11127" s="2" t="str">
        <f>HYPERLINK("http://collections.slsa.sa.gov.au/mpcimg/64250/B64008.htm")</f>
        <v>http://collections.slsa.sa.gov.au/mpcimg/64250/B64008.htm</v>
      </c>
    </row>
    <row r="11128" spans="1:11" x14ac:dyDescent="0.25">
      <c r="A11128" t="s">
        <v>34289</v>
      </c>
      <c r="B11128" s="1" t="str">
        <f>HYPERLINK("https://www.catalog.slsa.sa.gov.au/record=b2074644")</f>
        <v>https://www.catalog.slsa.sa.gov.au/record=b2074644</v>
      </c>
      <c r="C11128" s="1" t="str">
        <f>HYPERLINK("https://www.catalog.slsa.sa.gov.au/xrecord=b2074644")</f>
        <v>https://www.catalog.slsa.sa.gov.au/xrecord=b2074644</v>
      </c>
      <c r="D11128" t="s">
        <v>16831</v>
      </c>
      <c r="E11128" t="s">
        <v>29713</v>
      </c>
      <c r="F11128">
        <v>1999</v>
      </c>
      <c r="G11128" t="s">
        <v>34269</v>
      </c>
      <c r="H11128" t="s">
        <v>34290</v>
      </c>
      <c r="I11128" t="s">
        <v>34291</v>
      </c>
      <c r="J11128" t="s">
        <v>33542</v>
      </c>
      <c r="K11128" s="2" t="str">
        <f>HYPERLINK("http://collections.slsa.sa.gov.au/mpcimg/64250/B64085.htm")</f>
        <v>http://collections.slsa.sa.gov.au/mpcimg/64250/B64085.htm</v>
      </c>
    </row>
    <row r="11129" spans="1:11" x14ac:dyDescent="0.25">
      <c r="A11129" t="s">
        <v>34292</v>
      </c>
      <c r="B11129" s="1" t="str">
        <f>HYPERLINK("https://www.catalog.slsa.sa.gov.au/record=b2074645")</f>
        <v>https://www.catalog.slsa.sa.gov.au/record=b2074645</v>
      </c>
      <c r="C11129" s="1" t="str">
        <f>HYPERLINK("https://www.catalog.slsa.sa.gov.au/xrecord=b2074645")</f>
        <v>https://www.catalog.slsa.sa.gov.au/xrecord=b2074645</v>
      </c>
      <c r="D11129" t="s">
        <v>16831</v>
      </c>
      <c r="E11129" t="s">
        <v>29713</v>
      </c>
      <c r="F11129">
        <v>1999</v>
      </c>
      <c r="G11129" t="s">
        <v>34269</v>
      </c>
      <c r="H11129" t="s">
        <v>34293</v>
      </c>
      <c r="I11129" t="s">
        <v>34291</v>
      </c>
      <c r="J11129" t="s">
        <v>33542</v>
      </c>
      <c r="K11129" s="2" t="str">
        <f>HYPERLINK("http://collections.slsa.sa.gov.au/mpcimg/64250/B64086.htm")</f>
        <v>http://collections.slsa.sa.gov.au/mpcimg/64250/B64086.htm</v>
      </c>
    </row>
    <row r="11130" spans="1:11" x14ac:dyDescent="0.25">
      <c r="A11130" t="s">
        <v>34294</v>
      </c>
      <c r="B11130" s="1" t="str">
        <f>HYPERLINK("https://www.catalog.slsa.sa.gov.au/record=b2074646")</f>
        <v>https://www.catalog.slsa.sa.gov.au/record=b2074646</v>
      </c>
      <c r="C11130" s="1" t="str">
        <f>HYPERLINK("https://www.catalog.slsa.sa.gov.au/xrecord=b2074646")</f>
        <v>https://www.catalog.slsa.sa.gov.au/xrecord=b2074646</v>
      </c>
      <c r="D11130" t="s">
        <v>16831</v>
      </c>
      <c r="E11130" t="s">
        <v>34251</v>
      </c>
      <c r="F11130">
        <v>1999</v>
      </c>
      <c r="G11130" t="s">
        <v>34269</v>
      </c>
      <c r="H11130" t="s">
        <v>34283</v>
      </c>
      <c r="I11130" t="s">
        <v>34284</v>
      </c>
      <c r="J11130" t="s">
        <v>20900</v>
      </c>
      <c r="K11130" s="2" t="str">
        <f>HYPERLINK("http://collections.slsa.sa.gov.au/mpcimg/64250/B64087.htm")</f>
        <v>http://collections.slsa.sa.gov.au/mpcimg/64250/B64087.htm</v>
      </c>
    </row>
    <row r="11131" spans="1:11" x14ac:dyDescent="0.25">
      <c r="A11131" t="s">
        <v>34295</v>
      </c>
      <c r="B11131" s="1" t="str">
        <f>HYPERLINK("https://www.catalog.slsa.sa.gov.au/record=b2074647")</f>
        <v>https://www.catalog.slsa.sa.gov.au/record=b2074647</v>
      </c>
      <c r="C11131" s="1" t="str">
        <f>HYPERLINK("https://www.catalog.slsa.sa.gov.au/xrecord=b2074647")</f>
        <v>https://www.catalog.slsa.sa.gov.au/xrecord=b2074647</v>
      </c>
      <c r="D11131" t="s">
        <v>16831</v>
      </c>
      <c r="E11131" t="s">
        <v>34251</v>
      </c>
      <c r="F11131">
        <v>1999</v>
      </c>
      <c r="G11131" t="s">
        <v>34269</v>
      </c>
      <c r="H11131" t="s">
        <v>34283</v>
      </c>
      <c r="I11131" t="s">
        <v>34253</v>
      </c>
      <c r="J11131" t="s">
        <v>20900</v>
      </c>
      <c r="K11131" s="2" t="str">
        <f>HYPERLINK("http://collections.slsa.sa.gov.au/mpcimg/64250/B64088.htm")</f>
        <v>http://collections.slsa.sa.gov.au/mpcimg/64250/B64088.htm</v>
      </c>
    </row>
    <row r="11132" spans="1:11" x14ac:dyDescent="0.25">
      <c r="A11132" t="s">
        <v>34296</v>
      </c>
      <c r="B11132" s="1" t="str">
        <f>HYPERLINK("https://www.catalog.slsa.sa.gov.au/record=b2074648")</f>
        <v>https://www.catalog.slsa.sa.gov.au/record=b2074648</v>
      </c>
      <c r="C11132" s="1" t="str">
        <f>HYPERLINK("https://www.catalog.slsa.sa.gov.au/xrecord=b2074648")</f>
        <v>https://www.catalog.slsa.sa.gov.au/xrecord=b2074648</v>
      </c>
      <c r="D11132" t="s">
        <v>16831</v>
      </c>
      <c r="E11132" t="s">
        <v>34257</v>
      </c>
      <c r="F11132">
        <v>1999</v>
      </c>
      <c r="G11132" t="s">
        <v>34269</v>
      </c>
      <c r="H11132" t="s">
        <v>34297</v>
      </c>
      <c r="I11132" t="s">
        <v>34298</v>
      </c>
      <c r="J11132" t="s">
        <v>34235</v>
      </c>
      <c r="K11132" s="2" t="str">
        <f>HYPERLINK("http://collections.slsa.sa.gov.au/mpcimg/64250/B64089.htm")</f>
        <v>http://collections.slsa.sa.gov.au/mpcimg/64250/B64089.htm</v>
      </c>
    </row>
    <row r="11133" spans="1:11" x14ac:dyDescent="0.25">
      <c r="A11133" t="s">
        <v>34299</v>
      </c>
      <c r="B11133" s="1" t="str">
        <f>HYPERLINK("https://www.catalog.slsa.sa.gov.au/record=b2074649")</f>
        <v>https://www.catalog.slsa.sa.gov.au/record=b2074649</v>
      </c>
      <c r="C11133" s="1" t="str">
        <f>HYPERLINK("https://www.catalog.slsa.sa.gov.au/xrecord=b2074649")</f>
        <v>https://www.catalog.slsa.sa.gov.au/xrecord=b2074649</v>
      </c>
      <c r="D11133" t="s">
        <v>16831</v>
      </c>
      <c r="E11133" t="s">
        <v>34257</v>
      </c>
      <c r="F11133">
        <v>1999</v>
      </c>
      <c r="G11133" t="s">
        <v>34269</v>
      </c>
      <c r="H11133" t="s">
        <v>34300</v>
      </c>
      <c r="I11133" t="s">
        <v>34267</v>
      </c>
      <c r="J11133" t="s">
        <v>34235</v>
      </c>
      <c r="K11133" s="2" t="str">
        <f>HYPERLINK("http://collections.slsa.sa.gov.au/mpcimg/64250/B64090.htm")</f>
        <v>http://collections.slsa.sa.gov.au/mpcimg/64250/B64090.htm</v>
      </c>
    </row>
    <row r="11134" spans="1:11" x14ac:dyDescent="0.25">
      <c r="A11134" t="s">
        <v>34301</v>
      </c>
      <c r="B11134" s="1" t="str">
        <f>HYPERLINK("https://www.catalog.slsa.sa.gov.au/record=b2074650")</f>
        <v>https://www.catalog.slsa.sa.gov.au/record=b2074650</v>
      </c>
      <c r="C11134" s="1" t="str">
        <f>HYPERLINK("https://www.catalog.slsa.sa.gov.au/xrecord=b2074650")</f>
        <v>https://www.catalog.slsa.sa.gov.au/xrecord=b2074650</v>
      </c>
      <c r="D11134" t="s">
        <v>16831</v>
      </c>
      <c r="E11134" t="s">
        <v>34257</v>
      </c>
      <c r="F11134">
        <v>1999</v>
      </c>
      <c r="G11134" t="s">
        <v>34302</v>
      </c>
      <c r="H11134" t="s">
        <v>34303</v>
      </c>
      <c r="I11134" t="s">
        <v>34304</v>
      </c>
      <c r="J11134" t="s">
        <v>34235</v>
      </c>
      <c r="K11134" s="2" t="str">
        <f>HYPERLINK("http://collections.slsa.sa.gov.au/mpcimg/64250/B64091.htm")</f>
        <v>http://collections.slsa.sa.gov.au/mpcimg/64250/B64091.htm</v>
      </c>
    </row>
    <row r="11135" spans="1:11" x14ac:dyDescent="0.25">
      <c r="A11135" t="s">
        <v>34305</v>
      </c>
      <c r="B11135" s="1" t="str">
        <f>HYPERLINK("https://www.catalog.slsa.sa.gov.au/record=b2074651")</f>
        <v>https://www.catalog.slsa.sa.gov.au/record=b2074651</v>
      </c>
      <c r="C11135" s="1" t="str">
        <f>HYPERLINK("https://www.catalog.slsa.sa.gov.au/xrecord=b2074651")</f>
        <v>https://www.catalog.slsa.sa.gov.au/xrecord=b2074651</v>
      </c>
      <c r="D11135" t="s">
        <v>16831</v>
      </c>
      <c r="E11135" t="s">
        <v>34257</v>
      </c>
      <c r="F11135">
        <v>1999</v>
      </c>
      <c r="G11135" t="s">
        <v>34269</v>
      </c>
      <c r="H11135" t="s">
        <v>34306</v>
      </c>
      <c r="I11135" t="s">
        <v>34267</v>
      </c>
      <c r="J11135" t="s">
        <v>34235</v>
      </c>
      <c r="K11135" s="2" t="str">
        <f>HYPERLINK("http://collections.slsa.sa.gov.au/mpcimg/64250/B64092.htm")</f>
        <v>http://collections.slsa.sa.gov.au/mpcimg/64250/B64092.htm</v>
      </c>
    </row>
    <row r="11136" spans="1:11" x14ac:dyDescent="0.25">
      <c r="A11136" t="s">
        <v>34307</v>
      </c>
      <c r="B11136" s="1" t="str">
        <f>HYPERLINK("https://www.catalog.slsa.sa.gov.au/record=b2074652")</f>
        <v>https://www.catalog.slsa.sa.gov.au/record=b2074652</v>
      </c>
      <c r="C11136" s="1" t="str">
        <f>HYPERLINK("https://www.catalog.slsa.sa.gov.au/xrecord=b2074652")</f>
        <v>https://www.catalog.slsa.sa.gov.au/xrecord=b2074652</v>
      </c>
      <c r="D11136" t="s">
        <v>16831</v>
      </c>
      <c r="E11136" t="s">
        <v>34257</v>
      </c>
      <c r="F11136">
        <v>1999</v>
      </c>
      <c r="G11136" t="s">
        <v>34269</v>
      </c>
      <c r="H11136" t="s">
        <v>34308</v>
      </c>
      <c r="I11136" t="s">
        <v>34309</v>
      </c>
      <c r="J11136" t="s">
        <v>34235</v>
      </c>
      <c r="K11136" s="2" t="str">
        <f>HYPERLINK("http://collections.slsa.sa.gov.au/mpcimg/64250/B64093.htm")</f>
        <v>http://collections.slsa.sa.gov.au/mpcimg/64250/B64093.htm</v>
      </c>
    </row>
    <row r="11137" spans="1:11" x14ac:dyDescent="0.25">
      <c r="A11137" t="s">
        <v>34310</v>
      </c>
      <c r="B11137" s="1" t="str">
        <f>HYPERLINK("https://www.catalog.slsa.sa.gov.au/record=b2074667")</f>
        <v>https://www.catalog.slsa.sa.gov.au/record=b2074667</v>
      </c>
      <c r="C11137" s="1" t="str">
        <f>HYPERLINK("https://www.catalog.slsa.sa.gov.au/xrecord=b2074667")</f>
        <v>https://www.catalog.slsa.sa.gov.au/xrecord=b2074667</v>
      </c>
      <c r="D11137" t="s">
        <v>31902</v>
      </c>
      <c r="E11137" t="s">
        <v>34311</v>
      </c>
      <c r="F11137">
        <v>1999</v>
      </c>
      <c r="G11137" t="s">
        <v>33708</v>
      </c>
      <c r="H11137" t="s">
        <v>34312</v>
      </c>
      <c r="I11137" t="s">
        <v>34313</v>
      </c>
      <c r="J11137" t="s">
        <v>34314</v>
      </c>
      <c r="K11137" s="2" t="str">
        <f>HYPERLINK("http://collections.slsa.sa.gov.au/mpcimgr/64250/B64166.htm")</f>
        <v>http://collections.slsa.sa.gov.au/mpcimgr/64250/B64166.htm</v>
      </c>
    </row>
    <row r="11138" spans="1:11" x14ac:dyDescent="0.25">
      <c r="A11138" t="s">
        <v>34315</v>
      </c>
      <c r="B11138" s="1" t="str">
        <f>HYPERLINK("https://www.catalog.slsa.sa.gov.au/record=b2074668")</f>
        <v>https://www.catalog.slsa.sa.gov.au/record=b2074668</v>
      </c>
      <c r="C11138" s="1" t="str">
        <f>HYPERLINK("https://www.catalog.slsa.sa.gov.au/xrecord=b2074668")</f>
        <v>https://www.catalog.slsa.sa.gov.au/xrecord=b2074668</v>
      </c>
      <c r="D11138" t="s">
        <v>31902</v>
      </c>
      <c r="E11138" t="s">
        <v>34316</v>
      </c>
      <c r="F11138">
        <v>1999</v>
      </c>
      <c r="G11138" t="s">
        <v>33703</v>
      </c>
      <c r="H11138" t="s">
        <v>34317</v>
      </c>
      <c r="I11138" t="s">
        <v>34318</v>
      </c>
      <c r="J11138" t="s">
        <v>34314</v>
      </c>
      <c r="K11138" s="2" t="str">
        <f>HYPERLINK("http://collections.slsa.sa.gov.au/mpcimgr/64250/B64167.htm")</f>
        <v>http://collections.slsa.sa.gov.au/mpcimgr/64250/B64167.htm</v>
      </c>
    </row>
    <row r="11139" spans="1:11" x14ac:dyDescent="0.25">
      <c r="A11139" t="s">
        <v>34319</v>
      </c>
      <c r="B11139" s="1" t="str">
        <f>HYPERLINK("https://www.catalog.slsa.sa.gov.au/record=b2074669")</f>
        <v>https://www.catalog.slsa.sa.gov.au/record=b2074669</v>
      </c>
      <c r="C11139" s="1" t="str">
        <f>HYPERLINK("https://www.catalog.slsa.sa.gov.au/xrecord=b2074669")</f>
        <v>https://www.catalog.slsa.sa.gov.au/xrecord=b2074669</v>
      </c>
      <c r="D11139" t="s">
        <v>31902</v>
      </c>
      <c r="E11139" t="s">
        <v>34311</v>
      </c>
      <c r="F11139">
        <v>1999</v>
      </c>
      <c r="G11139" t="s">
        <v>33708</v>
      </c>
      <c r="H11139" t="s">
        <v>34320</v>
      </c>
      <c r="I11139" t="s">
        <v>34321</v>
      </c>
      <c r="J11139" t="s">
        <v>34314</v>
      </c>
      <c r="K11139" s="2" t="str">
        <f>HYPERLINK("http://collections.slsa.sa.gov.au/mpcimgr/64250/B64168.htm")</f>
        <v>http://collections.slsa.sa.gov.au/mpcimgr/64250/B64168.htm</v>
      </c>
    </row>
    <row r="11140" spans="1:11" x14ac:dyDescent="0.25">
      <c r="A11140" t="s">
        <v>34322</v>
      </c>
      <c r="B11140" s="1" t="str">
        <f>HYPERLINK("https://www.catalog.slsa.sa.gov.au/record=b2074670")</f>
        <v>https://www.catalog.slsa.sa.gov.au/record=b2074670</v>
      </c>
      <c r="C11140" s="1" t="str">
        <f>HYPERLINK("https://www.catalog.slsa.sa.gov.au/xrecord=b2074670")</f>
        <v>https://www.catalog.slsa.sa.gov.au/xrecord=b2074670</v>
      </c>
      <c r="D11140" t="s">
        <v>31902</v>
      </c>
      <c r="E11140" t="s">
        <v>34311</v>
      </c>
      <c r="F11140">
        <v>1999</v>
      </c>
      <c r="G11140" t="s">
        <v>33708</v>
      </c>
      <c r="H11140" t="s">
        <v>34323</v>
      </c>
      <c r="I11140" t="s">
        <v>34324</v>
      </c>
      <c r="J11140" t="s">
        <v>34314</v>
      </c>
      <c r="K11140" s="2" t="str">
        <f>HYPERLINK("http://collections.slsa.sa.gov.au/mpcimgr/64250/B64169.htm")</f>
        <v>http://collections.slsa.sa.gov.au/mpcimgr/64250/B64169.htm</v>
      </c>
    </row>
    <row r="11141" spans="1:11" x14ac:dyDescent="0.25">
      <c r="A11141" t="s">
        <v>34325</v>
      </c>
      <c r="B11141" s="1" t="str">
        <f>HYPERLINK("https://www.catalog.slsa.sa.gov.au/record=b2074671")</f>
        <v>https://www.catalog.slsa.sa.gov.au/record=b2074671</v>
      </c>
      <c r="C11141" s="1" t="str">
        <f>HYPERLINK("https://www.catalog.slsa.sa.gov.au/xrecord=b2074671")</f>
        <v>https://www.catalog.slsa.sa.gov.au/xrecord=b2074671</v>
      </c>
      <c r="D11141" t="s">
        <v>31902</v>
      </c>
      <c r="E11141" t="s">
        <v>34326</v>
      </c>
      <c r="F11141">
        <v>1999</v>
      </c>
      <c r="G11141" t="s">
        <v>33708</v>
      </c>
      <c r="H11141" t="s">
        <v>34327</v>
      </c>
      <c r="I11141" t="s">
        <v>34328</v>
      </c>
      <c r="J11141" t="s">
        <v>34314</v>
      </c>
      <c r="K11141" s="2" t="str">
        <f>HYPERLINK("http://collections.slsa.sa.gov.au/mpcimgr/64250/B64170.htm")</f>
        <v>http://collections.slsa.sa.gov.au/mpcimgr/64250/B64170.htm</v>
      </c>
    </row>
    <row r="11142" spans="1:11" x14ac:dyDescent="0.25">
      <c r="A11142" t="s">
        <v>34329</v>
      </c>
      <c r="B11142" s="1" t="str">
        <f>HYPERLINK("https://www.catalog.slsa.sa.gov.au/record=b2074672")</f>
        <v>https://www.catalog.slsa.sa.gov.au/record=b2074672</v>
      </c>
      <c r="C11142" s="1" t="str">
        <f>HYPERLINK("https://www.catalog.slsa.sa.gov.au/xrecord=b2074672")</f>
        <v>https://www.catalog.slsa.sa.gov.au/xrecord=b2074672</v>
      </c>
      <c r="D11142" t="s">
        <v>31902</v>
      </c>
      <c r="E11142" t="s">
        <v>34326</v>
      </c>
      <c r="F11142">
        <v>1999</v>
      </c>
      <c r="G11142" t="s">
        <v>33708</v>
      </c>
      <c r="H11142" t="s">
        <v>34330</v>
      </c>
      <c r="I11142" t="s">
        <v>34328</v>
      </c>
      <c r="J11142" t="s">
        <v>34314</v>
      </c>
      <c r="K11142" s="2" t="str">
        <f>HYPERLINK("http://collections.slsa.sa.gov.au/mpcimgr/64250/B64171.htm")</f>
        <v>http://collections.slsa.sa.gov.au/mpcimgr/64250/B64171.htm</v>
      </c>
    </row>
    <row r="11143" spans="1:11" x14ac:dyDescent="0.25">
      <c r="A11143" t="s">
        <v>34331</v>
      </c>
      <c r="B11143" s="1" t="str">
        <f>HYPERLINK("https://www.catalog.slsa.sa.gov.au/record=b2074673")</f>
        <v>https://www.catalog.slsa.sa.gov.au/record=b2074673</v>
      </c>
      <c r="C11143" s="1" t="str">
        <f>HYPERLINK("https://www.catalog.slsa.sa.gov.au/xrecord=b2074673")</f>
        <v>https://www.catalog.slsa.sa.gov.au/xrecord=b2074673</v>
      </c>
      <c r="D11143" t="s">
        <v>31902</v>
      </c>
      <c r="E11143" t="s">
        <v>34332</v>
      </c>
      <c r="F11143">
        <v>1999</v>
      </c>
      <c r="G11143" t="s">
        <v>33708</v>
      </c>
      <c r="H11143" t="s">
        <v>34333</v>
      </c>
      <c r="I11143" t="s">
        <v>34334</v>
      </c>
      <c r="J11143" t="s">
        <v>34314</v>
      </c>
      <c r="K11143" s="2" t="str">
        <f>HYPERLINK("http://collections.slsa.sa.gov.au/mpcimgr/64250/B64172.htm")</f>
        <v>http://collections.slsa.sa.gov.au/mpcimgr/64250/B64172.htm</v>
      </c>
    </row>
    <row r="11144" spans="1:11" x14ac:dyDescent="0.25">
      <c r="A11144" t="s">
        <v>34335</v>
      </c>
      <c r="B11144" s="1" t="str">
        <f>HYPERLINK("https://www.catalog.slsa.sa.gov.au/record=b2074674")</f>
        <v>https://www.catalog.slsa.sa.gov.au/record=b2074674</v>
      </c>
      <c r="C11144" s="1" t="str">
        <f>HYPERLINK("https://www.catalog.slsa.sa.gov.au/xrecord=b2074674")</f>
        <v>https://www.catalog.slsa.sa.gov.au/xrecord=b2074674</v>
      </c>
      <c r="D11144" t="s">
        <v>31902</v>
      </c>
      <c r="E11144" t="s">
        <v>34336</v>
      </c>
      <c r="F11144">
        <v>1999</v>
      </c>
      <c r="G11144" t="s">
        <v>33708</v>
      </c>
      <c r="H11144" t="s">
        <v>34337</v>
      </c>
      <c r="I11144" t="s">
        <v>34338</v>
      </c>
      <c r="J11144" t="s">
        <v>34314</v>
      </c>
      <c r="K11144" s="2" t="str">
        <f>HYPERLINK("http://collections.slsa.sa.gov.au/mpcimgr/64250/B64173.htm")</f>
        <v>http://collections.slsa.sa.gov.au/mpcimgr/64250/B64173.htm</v>
      </c>
    </row>
    <row r="11145" spans="1:11" x14ac:dyDescent="0.25">
      <c r="A11145" t="s">
        <v>34339</v>
      </c>
      <c r="B11145" s="1" t="str">
        <f>HYPERLINK("https://www.catalog.slsa.sa.gov.au/record=b2074675")</f>
        <v>https://www.catalog.slsa.sa.gov.au/record=b2074675</v>
      </c>
      <c r="C11145" s="1" t="str">
        <f>HYPERLINK("https://www.catalog.slsa.sa.gov.au/xrecord=b2074675")</f>
        <v>https://www.catalog.slsa.sa.gov.au/xrecord=b2074675</v>
      </c>
      <c r="D11145" t="s">
        <v>31902</v>
      </c>
      <c r="E11145" t="s">
        <v>34340</v>
      </c>
      <c r="F11145">
        <v>1999</v>
      </c>
      <c r="G11145" t="s">
        <v>33708</v>
      </c>
      <c r="H11145" t="s">
        <v>34341</v>
      </c>
      <c r="I11145" t="s">
        <v>34342</v>
      </c>
      <c r="J11145" t="s">
        <v>15320</v>
      </c>
      <c r="K11145" s="2" t="str">
        <f>HYPERLINK("http://collections.slsa.sa.gov.au/mpcimgr/64250/B64174.htm")</f>
        <v>http://collections.slsa.sa.gov.au/mpcimgr/64250/B64174.htm</v>
      </c>
    </row>
    <row r="11146" spans="1:11" x14ac:dyDescent="0.25">
      <c r="A11146" t="s">
        <v>34343</v>
      </c>
      <c r="B11146" s="1" t="str">
        <f>HYPERLINK("https://www.catalog.slsa.sa.gov.au/record=b2074676")</f>
        <v>https://www.catalog.slsa.sa.gov.au/record=b2074676</v>
      </c>
      <c r="C11146" s="1" t="str">
        <f>HYPERLINK("https://www.catalog.slsa.sa.gov.au/xrecord=b2074676")</f>
        <v>https://www.catalog.slsa.sa.gov.au/xrecord=b2074676</v>
      </c>
      <c r="D11146" t="s">
        <v>31902</v>
      </c>
      <c r="E11146" t="s">
        <v>34340</v>
      </c>
      <c r="F11146">
        <v>1999</v>
      </c>
      <c r="G11146" t="s">
        <v>33708</v>
      </c>
      <c r="H11146" t="s">
        <v>34344</v>
      </c>
      <c r="I11146" t="s">
        <v>34345</v>
      </c>
      <c r="J11146" t="s">
        <v>15320</v>
      </c>
      <c r="K11146" s="2" t="str">
        <f>HYPERLINK("http://collections.slsa.sa.gov.au/mpcimgr/64250/B64175.htm")</f>
        <v>http://collections.slsa.sa.gov.au/mpcimgr/64250/B64175.htm</v>
      </c>
    </row>
    <row r="11147" spans="1:11" x14ac:dyDescent="0.25">
      <c r="A11147" t="s">
        <v>34346</v>
      </c>
      <c r="B11147" s="1" t="str">
        <f>HYPERLINK("https://www.catalog.slsa.sa.gov.au/record=b2074678")</f>
        <v>https://www.catalog.slsa.sa.gov.au/record=b2074678</v>
      </c>
      <c r="C11147" s="1" t="str">
        <f>HYPERLINK("https://www.catalog.slsa.sa.gov.au/xrecord=b2074678")</f>
        <v>https://www.catalog.slsa.sa.gov.au/xrecord=b2074678</v>
      </c>
      <c r="D11147" t="s">
        <v>31902</v>
      </c>
      <c r="E11147" t="s">
        <v>34347</v>
      </c>
      <c r="F11147">
        <v>1999</v>
      </c>
      <c r="G11147" t="s">
        <v>33708</v>
      </c>
      <c r="H11147" t="s">
        <v>34348</v>
      </c>
      <c r="I11147" t="s">
        <v>34349</v>
      </c>
      <c r="J11147" t="s">
        <v>34350</v>
      </c>
      <c r="K11147" s="2" t="str">
        <f>HYPERLINK("http://collections.slsa.sa.gov.au/mpcimgr/64250/B64176.htm")</f>
        <v>http://collections.slsa.sa.gov.au/mpcimgr/64250/B64176.htm</v>
      </c>
    </row>
    <row r="11148" spans="1:11" x14ac:dyDescent="0.25">
      <c r="A11148" t="s">
        <v>34351</v>
      </c>
      <c r="B11148" s="1" t="str">
        <f>HYPERLINK("https://www.catalog.slsa.sa.gov.au/record=b2074679")</f>
        <v>https://www.catalog.slsa.sa.gov.au/record=b2074679</v>
      </c>
      <c r="C11148" s="1" t="str">
        <f>HYPERLINK("https://www.catalog.slsa.sa.gov.au/xrecord=b2074679")</f>
        <v>https://www.catalog.slsa.sa.gov.au/xrecord=b2074679</v>
      </c>
      <c r="D11148" t="s">
        <v>31902</v>
      </c>
      <c r="E11148" t="s">
        <v>34352</v>
      </c>
      <c r="F11148">
        <v>1999</v>
      </c>
      <c r="G11148" t="s">
        <v>33708</v>
      </c>
      <c r="H11148" t="s">
        <v>34353</v>
      </c>
      <c r="I11148" t="s">
        <v>34354</v>
      </c>
      <c r="J11148" t="s">
        <v>14994</v>
      </c>
      <c r="K11148" s="2" t="str">
        <f>HYPERLINK("http://collections.slsa.sa.gov.au/mpcimgr/64250/B64177.htm")</f>
        <v>http://collections.slsa.sa.gov.au/mpcimgr/64250/B64177.htm</v>
      </c>
    </row>
    <row r="11149" spans="1:11" x14ac:dyDescent="0.25">
      <c r="A11149" t="s">
        <v>34355</v>
      </c>
      <c r="B11149" s="1" t="str">
        <f>HYPERLINK("https://www.catalog.slsa.sa.gov.au/record=b2074680")</f>
        <v>https://www.catalog.slsa.sa.gov.au/record=b2074680</v>
      </c>
      <c r="C11149" s="1" t="str">
        <f>HYPERLINK("https://www.catalog.slsa.sa.gov.au/xrecord=b2074680")</f>
        <v>https://www.catalog.slsa.sa.gov.au/xrecord=b2074680</v>
      </c>
      <c r="D11149" t="s">
        <v>31902</v>
      </c>
      <c r="E11149" t="s">
        <v>34352</v>
      </c>
      <c r="F11149">
        <v>1999</v>
      </c>
      <c r="G11149" t="s">
        <v>33708</v>
      </c>
      <c r="H11149" t="s">
        <v>34353</v>
      </c>
      <c r="I11149" t="s">
        <v>34356</v>
      </c>
      <c r="J11149" t="s">
        <v>14994</v>
      </c>
      <c r="K11149" s="2" t="str">
        <f>HYPERLINK("http://collections.slsa.sa.gov.au/mpcimgr/64250/B64178.htm")</f>
        <v>http://collections.slsa.sa.gov.au/mpcimgr/64250/B64178.htm</v>
      </c>
    </row>
    <row r="11150" spans="1:11" x14ac:dyDescent="0.25">
      <c r="A11150" t="s">
        <v>34357</v>
      </c>
      <c r="B11150" s="1" t="str">
        <f>HYPERLINK("https://www.catalog.slsa.sa.gov.au/record=b2074681")</f>
        <v>https://www.catalog.slsa.sa.gov.au/record=b2074681</v>
      </c>
      <c r="C11150" s="1" t="str">
        <f>HYPERLINK("https://www.catalog.slsa.sa.gov.au/xrecord=b2074681")</f>
        <v>https://www.catalog.slsa.sa.gov.au/xrecord=b2074681</v>
      </c>
      <c r="D11150" t="s">
        <v>31902</v>
      </c>
      <c r="E11150" t="s">
        <v>34352</v>
      </c>
      <c r="F11150">
        <v>1999</v>
      </c>
      <c r="G11150" t="s">
        <v>33708</v>
      </c>
      <c r="H11150" t="s">
        <v>34358</v>
      </c>
      <c r="I11150" t="s">
        <v>34359</v>
      </c>
      <c r="J11150" t="s">
        <v>14994</v>
      </c>
      <c r="K11150" s="2" t="str">
        <f>HYPERLINK("http://collections.slsa.sa.gov.au/mpcimgr/64250/B64179.htm")</f>
        <v>http://collections.slsa.sa.gov.au/mpcimgr/64250/B64179.htm</v>
      </c>
    </row>
    <row r="11151" spans="1:11" x14ac:dyDescent="0.25">
      <c r="A11151" t="s">
        <v>34360</v>
      </c>
      <c r="B11151" s="1" t="str">
        <f>HYPERLINK("https://www.catalog.slsa.sa.gov.au/record=b2074682")</f>
        <v>https://www.catalog.slsa.sa.gov.au/record=b2074682</v>
      </c>
      <c r="C11151" s="1" t="str">
        <f>HYPERLINK("https://www.catalog.slsa.sa.gov.au/xrecord=b2074682")</f>
        <v>https://www.catalog.slsa.sa.gov.au/xrecord=b2074682</v>
      </c>
      <c r="D11151" t="s">
        <v>31902</v>
      </c>
      <c r="E11151" t="s">
        <v>34352</v>
      </c>
      <c r="F11151">
        <v>1999</v>
      </c>
      <c r="G11151" t="s">
        <v>33708</v>
      </c>
      <c r="H11151" t="s">
        <v>34361</v>
      </c>
      <c r="I11151" t="s">
        <v>34362</v>
      </c>
      <c r="J11151" t="s">
        <v>14994</v>
      </c>
      <c r="K11151" s="2" t="str">
        <f>HYPERLINK("http://collections.slsa.sa.gov.au/mpcimgr/64250/B64180.htm")</f>
        <v>http://collections.slsa.sa.gov.au/mpcimgr/64250/B64180.htm</v>
      </c>
    </row>
    <row r="11152" spans="1:11" x14ac:dyDescent="0.25">
      <c r="A11152" t="s">
        <v>34363</v>
      </c>
      <c r="B11152" s="1" t="str">
        <f>HYPERLINK("https://www.catalog.slsa.sa.gov.au/record=b2074683")</f>
        <v>https://www.catalog.slsa.sa.gov.au/record=b2074683</v>
      </c>
      <c r="C11152" s="1" t="str">
        <f>HYPERLINK("https://www.catalog.slsa.sa.gov.au/xrecord=b2074683")</f>
        <v>https://www.catalog.slsa.sa.gov.au/xrecord=b2074683</v>
      </c>
      <c r="D11152" t="s">
        <v>31902</v>
      </c>
      <c r="E11152" t="s">
        <v>34352</v>
      </c>
      <c r="F11152">
        <v>1999</v>
      </c>
      <c r="G11152" t="s">
        <v>33708</v>
      </c>
      <c r="H11152" t="s">
        <v>34364</v>
      </c>
      <c r="I11152" t="s">
        <v>34365</v>
      </c>
      <c r="J11152" t="s">
        <v>14994</v>
      </c>
      <c r="K11152" s="2" t="str">
        <f>HYPERLINK("http://collections.slsa.sa.gov.au/mpcimgr/64250/B64181.htm")</f>
        <v>http://collections.slsa.sa.gov.au/mpcimgr/64250/B64181.htm</v>
      </c>
    </row>
    <row r="11153" spans="1:11" x14ac:dyDescent="0.25">
      <c r="A11153" t="s">
        <v>34366</v>
      </c>
      <c r="B11153" s="1" t="str">
        <f>HYPERLINK("https://www.catalog.slsa.sa.gov.au/record=b2074684")</f>
        <v>https://www.catalog.slsa.sa.gov.au/record=b2074684</v>
      </c>
      <c r="C11153" s="1" t="str">
        <f>HYPERLINK("https://www.catalog.slsa.sa.gov.au/xrecord=b2074684")</f>
        <v>https://www.catalog.slsa.sa.gov.au/xrecord=b2074684</v>
      </c>
      <c r="D11153" t="s">
        <v>31902</v>
      </c>
      <c r="E11153" t="s">
        <v>34352</v>
      </c>
      <c r="F11153">
        <v>1999</v>
      </c>
      <c r="G11153" t="s">
        <v>33708</v>
      </c>
      <c r="H11153" t="s">
        <v>34367</v>
      </c>
      <c r="I11153" t="s">
        <v>34354</v>
      </c>
      <c r="J11153" t="s">
        <v>14994</v>
      </c>
      <c r="K11153" s="2" t="str">
        <f>HYPERLINK("http://collections.slsa.sa.gov.au/mpcimgr/64250/B64182.htm")</f>
        <v>http://collections.slsa.sa.gov.au/mpcimgr/64250/B64182.htm</v>
      </c>
    </row>
    <row r="11154" spans="1:11" x14ac:dyDescent="0.25">
      <c r="A11154" t="s">
        <v>34368</v>
      </c>
      <c r="B11154" s="1" t="str">
        <f>HYPERLINK("https://www.catalog.slsa.sa.gov.au/record=b2074685")</f>
        <v>https://www.catalog.slsa.sa.gov.au/record=b2074685</v>
      </c>
      <c r="C11154" s="1" t="str">
        <f>HYPERLINK("https://www.catalog.slsa.sa.gov.au/xrecord=b2074685")</f>
        <v>https://www.catalog.slsa.sa.gov.au/xrecord=b2074685</v>
      </c>
      <c r="D11154" t="s">
        <v>31902</v>
      </c>
      <c r="E11154" t="s">
        <v>34352</v>
      </c>
      <c r="F11154">
        <v>1999</v>
      </c>
      <c r="G11154" t="s">
        <v>33708</v>
      </c>
      <c r="H11154" t="s">
        <v>34369</v>
      </c>
      <c r="I11154" t="s">
        <v>34365</v>
      </c>
      <c r="J11154" t="s">
        <v>14994</v>
      </c>
      <c r="K11154" s="2" t="str">
        <f>HYPERLINK("http://collections.slsa.sa.gov.au/mpcimgr/64250/B64183.htm")</f>
        <v>http://collections.slsa.sa.gov.au/mpcimgr/64250/B64183.htm</v>
      </c>
    </row>
    <row r="11155" spans="1:11" x14ac:dyDescent="0.25">
      <c r="A11155" t="s">
        <v>34370</v>
      </c>
      <c r="B11155" s="1" t="str">
        <f>HYPERLINK("https://www.catalog.slsa.sa.gov.au/record=b2074686")</f>
        <v>https://www.catalog.slsa.sa.gov.au/record=b2074686</v>
      </c>
      <c r="C11155" s="1" t="str">
        <f>HYPERLINK("https://www.catalog.slsa.sa.gov.au/xrecord=b2074686")</f>
        <v>https://www.catalog.slsa.sa.gov.au/xrecord=b2074686</v>
      </c>
      <c r="D11155" t="s">
        <v>31902</v>
      </c>
      <c r="E11155" t="s">
        <v>34352</v>
      </c>
      <c r="F11155">
        <v>1999</v>
      </c>
      <c r="G11155" t="s">
        <v>34371</v>
      </c>
      <c r="H11155" t="s">
        <v>34372</v>
      </c>
      <c r="I11155" t="s">
        <v>34373</v>
      </c>
      <c r="J11155" t="s">
        <v>14994</v>
      </c>
      <c r="K11155" s="2" t="str">
        <f>HYPERLINK("http://collections.slsa.sa.gov.au/mpcimgr/64250/B64184.htm")</f>
        <v>http://collections.slsa.sa.gov.au/mpcimgr/64250/B64184.htm</v>
      </c>
    </row>
    <row r="11156" spans="1:11" x14ac:dyDescent="0.25">
      <c r="A11156" t="s">
        <v>34374</v>
      </c>
      <c r="B11156" s="1" t="str">
        <f>HYPERLINK("https://www.catalog.slsa.sa.gov.au/record=b2074687")</f>
        <v>https://www.catalog.slsa.sa.gov.au/record=b2074687</v>
      </c>
      <c r="C11156" s="1" t="str">
        <f>HYPERLINK("https://www.catalog.slsa.sa.gov.au/xrecord=b2074687")</f>
        <v>https://www.catalog.slsa.sa.gov.au/xrecord=b2074687</v>
      </c>
      <c r="D11156" t="s">
        <v>31902</v>
      </c>
      <c r="E11156" t="s">
        <v>34352</v>
      </c>
      <c r="F11156">
        <v>1999</v>
      </c>
      <c r="G11156" t="s">
        <v>33708</v>
      </c>
      <c r="H11156" t="s">
        <v>34375</v>
      </c>
      <c r="I11156" t="s">
        <v>34376</v>
      </c>
      <c r="J11156" t="s">
        <v>14994</v>
      </c>
      <c r="K11156" s="2" t="str">
        <f>HYPERLINK("http://collections.slsa.sa.gov.au/mpcimgr/64250/B64185.htm")</f>
        <v>http://collections.slsa.sa.gov.au/mpcimgr/64250/B64185.htm</v>
      </c>
    </row>
    <row r="11157" spans="1:11" x14ac:dyDescent="0.25">
      <c r="A11157" t="s">
        <v>34377</v>
      </c>
      <c r="B11157" s="1" t="str">
        <f>HYPERLINK("https://www.catalog.slsa.sa.gov.au/record=b2074688")</f>
        <v>https://www.catalog.slsa.sa.gov.au/record=b2074688</v>
      </c>
      <c r="C11157" s="1" t="str">
        <f>HYPERLINK("https://www.catalog.slsa.sa.gov.au/xrecord=b2074688")</f>
        <v>https://www.catalog.slsa.sa.gov.au/xrecord=b2074688</v>
      </c>
      <c r="D11157" t="s">
        <v>31902</v>
      </c>
      <c r="E11157" t="s">
        <v>34378</v>
      </c>
      <c r="F11157">
        <v>1999</v>
      </c>
      <c r="G11157" t="s">
        <v>33708</v>
      </c>
      <c r="H11157" t="s">
        <v>34379</v>
      </c>
      <c r="I11157" t="s">
        <v>34380</v>
      </c>
      <c r="J11157" t="s">
        <v>2510</v>
      </c>
      <c r="K11157" s="2" t="str">
        <f>HYPERLINK("http://collections.slsa.sa.gov.au/mpcimgr/64250/B64186.htm")</f>
        <v>http://collections.slsa.sa.gov.au/mpcimgr/64250/B64186.htm</v>
      </c>
    </row>
    <row r="11158" spans="1:11" x14ac:dyDescent="0.25">
      <c r="A11158" t="s">
        <v>34381</v>
      </c>
      <c r="B11158" s="1" t="str">
        <f>HYPERLINK("https://www.catalog.slsa.sa.gov.au/record=b2203518")</f>
        <v>https://www.catalog.slsa.sa.gov.au/record=b2203518</v>
      </c>
      <c r="C11158" s="1" t="str">
        <f>HYPERLINK("https://www.catalog.slsa.sa.gov.au/xrecord=b2203518")</f>
        <v>https://www.catalog.slsa.sa.gov.au/xrecord=b2203518</v>
      </c>
      <c r="D11158" t="s">
        <v>31902</v>
      </c>
      <c r="E11158" t="s">
        <v>34382</v>
      </c>
      <c r="F11158">
        <v>1999</v>
      </c>
      <c r="G11158" t="s">
        <v>33690</v>
      </c>
      <c r="H11158" t="s">
        <v>34383</v>
      </c>
      <c r="J11158" t="s">
        <v>14768</v>
      </c>
      <c r="K11158" s="2" t="str">
        <f>HYPERLINK("http://collections.slsa.sa.gov.au/mpcimg/69500/B69282_4.htm")</f>
        <v>http://collections.slsa.sa.gov.au/mpcimg/69500/B69282_4.htm</v>
      </c>
    </row>
    <row r="11159" spans="1:11" x14ac:dyDescent="0.25">
      <c r="A11159" t="s">
        <v>34384</v>
      </c>
      <c r="B11159" s="1" t="str">
        <f>HYPERLINK("https://www.catalog.slsa.sa.gov.au/record=b2203520")</f>
        <v>https://www.catalog.slsa.sa.gov.au/record=b2203520</v>
      </c>
      <c r="C11159" s="1" t="str">
        <f>HYPERLINK("https://www.catalog.slsa.sa.gov.au/xrecord=b2203520")</f>
        <v>https://www.catalog.slsa.sa.gov.au/xrecord=b2203520</v>
      </c>
      <c r="D11159" t="s">
        <v>31902</v>
      </c>
      <c r="E11159" t="s">
        <v>34385</v>
      </c>
      <c r="F11159">
        <v>1999</v>
      </c>
      <c r="G11159" t="s">
        <v>33690</v>
      </c>
      <c r="H11159" t="s">
        <v>34386</v>
      </c>
      <c r="J11159" t="s">
        <v>14768</v>
      </c>
      <c r="K11159" s="2" t="str">
        <f>HYPERLINK("http://collections.slsa.sa.gov.au/mpcimg/69500/B69282_5.htm")</f>
        <v>http://collections.slsa.sa.gov.au/mpcimg/69500/B69282_5.htm</v>
      </c>
    </row>
    <row r="11160" spans="1:11" x14ac:dyDescent="0.25">
      <c r="A11160" t="s">
        <v>34387</v>
      </c>
      <c r="B11160" s="1" t="str">
        <f>HYPERLINK("https://www.catalog.slsa.sa.gov.au/record=b2203521")</f>
        <v>https://www.catalog.slsa.sa.gov.au/record=b2203521</v>
      </c>
      <c r="C11160" s="1" t="str">
        <f>HYPERLINK("https://www.catalog.slsa.sa.gov.au/xrecord=b2203521")</f>
        <v>https://www.catalog.slsa.sa.gov.au/xrecord=b2203521</v>
      </c>
      <c r="D11160" t="s">
        <v>31902</v>
      </c>
      <c r="E11160" t="s">
        <v>34388</v>
      </c>
      <c r="F11160">
        <v>1999</v>
      </c>
      <c r="G11160" t="s">
        <v>33690</v>
      </c>
      <c r="H11160" t="s">
        <v>34389</v>
      </c>
      <c r="J11160" t="s">
        <v>14768</v>
      </c>
      <c r="K11160" s="2" t="str">
        <f>HYPERLINK("http://collections.slsa.sa.gov.au/mpcimg/69500/B69282_6.htm")</f>
        <v>http://collections.slsa.sa.gov.au/mpcimg/69500/B69282_6.htm</v>
      </c>
    </row>
    <row r="11161" spans="1:11" x14ac:dyDescent="0.25">
      <c r="A11161" t="s">
        <v>34390</v>
      </c>
      <c r="B11161" s="1" t="str">
        <f>HYPERLINK("https://www.catalog.slsa.sa.gov.au/record=b2203818")</f>
        <v>https://www.catalog.slsa.sa.gov.au/record=b2203818</v>
      </c>
      <c r="C11161" s="1" t="str">
        <f>HYPERLINK("https://www.catalog.slsa.sa.gov.au/xrecord=b2203818")</f>
        <v>https://www.catalog.slsa.sa.gov.au/xrecord=b2203818</v>
      </c>
      <c r="D11161" t="s">
        <v>31902</v>
      </c>
      <c r="E11161" t="s">
        <v>34391</v>
      </c>
      <c r="F11161">
        <v>1999</v>
      </c>
      <c r="G11161" t="s">
        <v>33690</v>
      </c>
      <c r="H11161" t="s">
        <v>34392</v>
      </c>
      <c r="J11161" t="s">
        <v>14768</v>
      </c>
      <c r="K11161" s="2" t="str">
        <f>HYPERLINK("http://collections.slsa.sa.gov.au/mpcimg/69500/B69282_7.htm")</f>
        <v>http://collections.slsa.sa.gov.au/mpcimg/69500/B69282_7.htm</v>
      </c>
    </row>
    <row r="11162" spans="1:11" x14ac:dyDescent="0.25">
      <c r="A11162" t="s">
        <v>34393</v>
      </c>
      <c r="B11162" s="1" t="str">
        <f>HYPERLINK("https://www.catalog.slsa.sa.gov.au/record=b2220317")</f>
        <v>https://www.catalog.slsa.sa.gov.au/record=b2220317</v>
      </c>
      <c r="C11162" s="1" t="str">
        <f>HYPERLINK("https://www.catalog.slsa.sa.gov.au/xrecord=b2220317")</f>
        <v>https://www.catalog.slsa.sa.gov.au/xrecord=b2220317</v>
      </c>
      <c r="D11162" t="s">
        <v>31902</v>
      </c>
      <c r="E11162" t="s">
        <v>34394</v>
      </c>
      <c r="F11162">
        <v>1999</v>
      </c>
      <c r="G11162" t="s">
        <v>33690</v>
      </c>
      <c r="H11162" t="s">
        <v>34395</v>
      </c>
      <c r="J11162" t="s">
        <v>14768</v>
      </c>
      <c r="K11162" s="2" t="str">
        <f>HYPERLINK("http://collections.slsa.sa.gov.au/mpcimg/69500/B69282_71.htm")</f>
        <v>http://collections.slsa.sa.gov.au/mpcimg/69500/B69282_71.htm</v>
      </c>
    </row>
    <row r="11163" spans="1:11" x14ac:dyDescent="0.25">
      <c r="A11163" t="s">
        <v>34396</v>
      </c>
      <c r="B11163" s="1" t="str">
        <f>HYPERLINK("https://www.catalog.slsa.sa.gov.au/record=b2220324")</f>
        <v>https://www.catalog.slsa.sa.gov.au/record=b2220324</v>
      </c>
      <c r="C11163" s="1" t="str">
        <f>HYPERLINK("https://www.catalog.slsa.sa.gov.au/xrecord=b2220324")</f>
        <v>https://www.catalog.slsa.sa.gov.au/xrecord=b2220324</v>
      </c>
      <c r="D11163" t="s">
        <v>31902</v>
      </c>
      <c r="E11163" t="s">
        <v>34397</v>
      </c>
      <c r="F11163">
        <v>1999</v>
      </c>
      <c r="G11163" t="s">
        <v>33690</v>
      </c>
      <c r="H11163" t="s">
        <v>34398</v>
      </c>
      <c r="J11163" t="s">
        <v>14768</v>
      </c>
      <c r="K11163" s="2" t="str">
        <f>HYPERLINK("http://collections.slsa.sa.gov.au/mpcimg/69500/B69282_72.htm")</f>
        <v>http://collections.slsa.sa.gov.au/mpcimg/69500/B69282_72.htm</v>
      </c>
    </row>
    <row r="11164" spans="1:11" x14ac:dyDescent="0.25">
      <c r="A11164" t="s">
        <v>34399</v>
      </c>
      <c r="B11164" s="1" t="str">
        <f>HYPERLINK("https://www.catalog.slsa.sa.gov.au/record=b2220328")</f>
        <v>https://www.catalog.slsa.sa.gov.au/record=b2220328</v>
      </c>
      <c r="C11164" s="1" t="str">
        <f>HYPERLINK("https://www.catalog.slsa.sa.gov.au/xrecord=b2220328")</f>
        <v>https://www.catalog.slsa.sa.gov.au/xrecord=b2220328</v>
      </c>
      <c r="D11164" t="s">
        <v>31902</v>
      </c>
      <c r="E11164" t="s">
        <v>34397</v>
      </c>
      <c r="F11164">
        <v>1999</v>
      </c>
      <c r="G11164" t="s">
        <v>33690</v>
      </c>
      <c r="H11164" t="s">
        <v>34400</v>
      </c>
      <c r="J11164" t="s">
        <v>14768</v>
      </c>
      <c r="K11164" s="2" t="str">
        <f>HYPERLINK("http://collections.slsa.sa.gov.au/mpcimg/69500/B69282_73.htm")</f>
        <v>http://collections.slsa.sa.gov.au/mpcimg/69500/B69282_73.htm</v>
      </c>
    </row>
    <row r="11165" spans="1:11" x14ac:dyDescent="0.25">
      <c r="A11165" t="s">
        <v>34401</v>
      </c>
      <c r="B11165" s="1" t="str">
        <f>HYPERLINK("https://www.catalog.slsa.sa.gov.au/record=b2220336")</f>
        <v>https://www.catalog.slsa.sa.gov.au/record=b2220336</v>
      </c>
      <c r="C11165" s="1" t="str">
        <f>HYPERLINK("https://www.catalog.slsa.sa.gov.au/xrecord=b2220336")</f>
        <v>https://www.catalog.slsa.sa.gov.au/xrecord=b2220336</v>
      </c>
      <c r="D11165" t="s">
        <v>31902</v>
      </c>
      <c r="E11165" t="s">
        <v>34402</v>
      </c>
      <c r="F11165">
        <v>1999</v>
      </c>
      <c r="G11165" t="s">
        <v>33690</v>
      </c>
      <c r="H11165" t="s">
        <v>34403</v>
      </c>
      <c r="J11165" t="s">
        <v>14768</v>
      </c>
      <c r="K11165" s="2" t="str">
        <f>HYPERLINK("http://collections.slsa.sa.gov.au/mpcimg/69500/B69282_74.htm")</f>
        <v>http://collections.slsa.sa.gov.au/mpcimg/69500/B69282_74.htm</v>
      </c>
    </row>
    <row r="11166" spans="1:11" x14ac:dyDescent="0.25">
      <c r="A11166" t="s">
        <v>34404</v>
      </c>
      <c r="B11166" s="1" t="str">
        <f>HYPERLINK("https://www.catalog.slsa.sa.gov.au/record=b3133989")</f>
        <v>https://www.catalog.slsa.sa.gov.au/record=b3133989</v>
      </c>
      <c r="C11166" s="1" t="str">
        <f>HYPERLINK("https://www.catalog.slsa.sa.gov.au/xrecord=b3133989")</f>
        <v>https://www.catalog.slsa.sa.gov.au/xrecord=b3133989</v>
      </c>
      <c r="D11166" t="s">
        <v>34160</v>
      </c>
      <c r="E11166" t="s">
        <v>34405</v>
      </c>
      <c r="F11166" t="s">
        <v>34406</v>
      </c>
      <c r="G11166" t="s">
        <v>34407</v>
      </c>
      <c r="H11166" t="s">
        <v>34408</v>
      </c>
      <c r="I11166" t="s">
        <v>34409</v>
      </c>
      <c r="J11166" t="s">
        <v>2510</v>
      </c>
      <c r="K11166" s="2" t="str">
        <f>HYPERLINK("http://collections.slsa.sa.gov.au/resource/B+76002")</f>
        <v>http://collections.slsa.sa.gov.au/resource/B+76002</v>
      </c>
    </row>
    <row r="11167" spans="1:11" x14ac:dyDescent="0.25">
      <c r="A11167" t="s">
        <v>34410</v>
      </c>
      <c r="B11167" s="1" t="str">
        <f>HYPERLINK("https://www.catalog.slsa.sa.gov.au/record=b3134013")</f>
        <v>https://www.catalog.slsa.sa.gov.au/record=b3134013</v>
      </c>
      <c r="C11167" s="1" t="str">
        <f>HYPERLINK("https://www.catalog.slsa.sa.gov.au/xrecord=b3134013")</f>
        <v>https://www.catalog.slsa.sa.gov.au/xrecord=b3134013</v>
      </c>
      <c r="D11167" t="s">
        <v>34160</v>
      </c>
      <c r="E11167" t="s">
        <v>34405</v>
      </c>
      <c r="F11167" t="s">
        <v>34406</v>
      </c>
      <c r="G11167" t="s">
        <v>34407</v>
      </c>
      <c r="H11167" t="s">
        <v>34408</v>
      </c>
      <c r="I11167" t="s">
        <v>34409</v>
      </c>
      <c r="J11167" t="s">
        <v>2510</v>
      </c>
      <c r="K11167" s="2" t="str">
        <f>HYPERLINK("http://collections.slsa.sa.gov.au/resource/B+76003")</f>
        <v>http://collections.slsa.sa.gov.au/resource/B+76003</v>
      </c>
    </row>
    <row r="11168" spans="1:11" x14ac:dyDescent="0.25">
      <c r="A11168" t="s">
        <v>34411</v>
      </c>
      <c r="B11168" s="1" t="str">
        <f>HYPERLINK("https://www.catalog.slsa.sa.gov.au/record=b3134014")</f>
        <v>https://www.catalog.slsa.sa.gov.au/record=b3134014</v>
      </c>
      <c r="C11168" s="1" t="str">
        <f>HYPERLINK("https://www.catalog.slsa.sa.gov.au/xrecord=b3134014")</f>
        <v>https://www.catalog.slsa.sa.gov.au/xrecord=b3134014</v>
      </c>
      <c r="D11168" t="s">
        <v>34160</v>
      </c>
      <c r="E11168" t="s">
        <v>34405</v>
      </c>
      <c r="F11168" t="s">
        <v>34406</v>
      </c>
      <c r="G11168" t="s">
        <v>34407</v>
      </c>
      <c r="H11168" t="s">
        <v>34408</v>
      </c>
      <c r="I11168" t="s">
        <v>34409</v>
      </c>
      <c r="J11168" t="s">
        <v>2510</v>
      </c>
      <c r="K11168" s="2" t="str">
        <f>HYPERLINK("http://collections.slsa.sa.gov.au/resource/B+76004")</f>
        <v>http://collections.slsa.sa.gov.au/resource/B+76004</v>
      </c>
    </row>
    <row r="11169" spans="1:11" x14ac:dyDescent="0.25">
      <c r="A11169" t="s">
        <v>34412</v>
      </c>
      <c r="B11169" s="1" t="str">
        <f>HYPERLINK("https://www.catalog.slsa.sa.gov.au/record=b3134015")</f>
        <v>https://www.catalog.slsa.sa.gov.au/record=b3134015</v>
      </c>
      <c r="C11169" s="1" t="str">
        <f>HYPERLINK("https://www.catalog.slsa.sa.gov.au/xrecord=b3134015")</f>
        <v>https://www.catalog.slsa.sa.gov.au/xrecord=b3134015</v>
      </c>
      <c r="D11169" t="s">
        <v>34160</v>
      </c>
      <c r="E11169" t="s">
        <v>34405</v>
      </c>
      <c r="F11169" t="s">
        <v>34406</v>
      </c>
      <c r="G11169" t="s">
        <v>34407</v>
      </c>
      <c r="H11169" t="s">
        <v>34408</v>
      </c>
      <c r="I11169" t="s">
        <v>34409</v>
      </c>
      <c r="J11169" t="s">
        <v>2510</v>
      </c>
      <c r="K11169" s="2" t="str">
        <f>HYPERLINK("http://collections.slsa.sa.gov.au/resource/B+76005")</f>
        <v>http://collections.slsa.sa.gov.au/resource/B+76005</v>
      </c>
    </row>
    <row r="11170" spans="1:11" x14ac:dyDescent="0.25">
      <c r="A11170" t="s">
        <v>34413</v>
      </c>
      <c r="B11170" s="1" t="str">
        <f>HYPERLINK("https://www.catalog.slsa.sa.gov.au/record=b3134016")</f>
        <v>https://www.catalog.slsa.sa.gov.au/record=b3134016</v>
      </c>
      <c r="C11170" s="1" t="str">
        <f>HYPERLINK("https://www.catalog.slsa.sa.gov.au/xrecord=b3134016")</f>
        <v>https://www.catalog.slsa.sa.gov.au/xrecord=b3134016</v>
      </c>
      <c r="D11170" t="s">
        <v>34160</v>
      </c>
      <c r="E11170" t="s">
        <v>34405</v>
      </c>
      <c r="F11170" t="s">
        <v>34406</v>
      </c>
      <c r="G11170" t="s">
        <v>34407</v>
      </c>
      <c r="H11170" t="s">
        <v>34408</v>
      </c>
      <c r="I11170" t="s">
        <v>34409</v>
      </c>
      <c r="J11170" t="s">
        <v>2510</v>
      </c>
      <c r="K11170" s="2" t="str">
        <f>HYPERLINK("http://collections.slsa.sa.gov.au/resource/B+76006")</f>
        <v>http://collections.slsa.sa.gov.au/resource/B+76006</v>
      </c>
    </row>
    <row r="11171" spans="1:11" x14ac:dyDescent="0.25">
      <c r="A11171" t="s">
        <v>34414</v>
      </c>
      <c r="B11171" s="1" t="str">
        <f>HYPERLINK("https://www.catalog.slsa.sa.gov.au/record=b3134017")</f>
        <v>https://www.catalog.slsa.sa.gov.au/record=b3134017</v>
      </c>
      <c r="C11171" s="1" t="str">
        <f>HYPERLINK("https://www.catalog.slsa.sa.gov.au/xrecord=b3134017")</f>
        <v>https://www.catalog.slsa.sa.gov.au/xrecord=b3134017</v>
      </c>
      <c r="D11171" t="s">
        <v>34160</v>
      </c>
      <c r="E11171" t="s">
        <v>34405</v>
      </c>
      <c r="F11171" t="s">
        <v>34406</v>
      </c>
      <c r="G11171" t="s">
        <v>34407</v>
      </c>
      <c r="H11171" t="s">
        <v>34408</v>
      </c>
      <c r="I11171" t="s">
        <v>34409</v>
      </c>
      <c r="J11171" t="s">
        <v>2510</v>
      </c>
      <c r="K11171" s="2" t="str">
        <f>HYPERLINK("http://collections.slsa.sa.gov.au/resource/B+76007")</f>
        <v>http://collections.slsa.sa.gov.au/resource/B+76007</v>
      </c>
    </row>
    <row r="11172" spans="1:11" x14ac:dyDescent="0.25">
      <c r="A11172" t="s">
        <v>34415</v>
      </c>
      <c r="B11172" s="1" t="str">
        <f>HYPERLINK("https://www.catalog.slsa.sa.gov.au/record=b3134018")</f>
        <v>https://www.catalog.slsa.sa.gov.au/record=b3134018</v>
      </c>
      <c r="C11172" s="1" t="str">
        <f>HYPERLINK("https://www.catalog.slsa.sa.gov.au/xrecord=b3134018")</f>
        <v>https://www.catalog.slsa.sa.gov.au/xrecord=b3134018</v>
      </c>
      <c r="D11172" t="s">
        <v>34160</v>
      </c>
      <c r="E11172" t="s">
        <v>34405</v>
      </c>
      <c r="F11172" t="s">
        <v>34406</v>
      </c>
      <c r="G11172" t="s">
        <v>34407</v>
      </c>
      <c r="H11172" t="s">
        <v>34408</v>
      </c>
      <c r="I11172" t="s">
        <v>34409</v>
      </c>
      <c r="J11172" t="s">
        <v>2510</v>
      </c>
      <c r="K11172" s="2" t="str">
        <f>HYPERLINK("http://collections.slsa.sa.gov.au/resource/B+76008")</f>
        <v>http://collections.slsa.sa.gov.au/resource/B+76008</v>
      </c>
    </row>
    <row r="11173" spans="1:11" x14ac:dyDescent="0.25">
      <c r="A11173" t="s">
        <v>34416</v>
      </c>
      <c r="B11173" s="1" t="str">
        <f>HYPERLINK("https://www.catalog.slsa.sa.gov.au/record=b3134019")</f>
        <v>https://www.catalog.slsa.sa.gov.au/record=b3134019</v>
      </c>
      <c r="C11173" s="1" t="str">
        <f>HYPERLINK("https://www.catalog.slsa.sa.gov.au/xrecord=b3134019")</f>
        <v>https://www.catalog.slsa.sa.gov.au/xrecord=b3134019</v>
      </c>
      <c r="D11173" t="s">
        <v>34160</v>
      </c>
      <c r="E11173" t="s">
        <v>34405</v>
      </c>
      <c r="F11173" t="s">
        <v>34406</v>
      </c>
      <c r="G11173" t="s">
        <v>34407</v>
      </c>
      <c r="H11173" t="s">
        <v>34408</v>
      </c>
      <c r="I11173" t="s">
        <v>34409</v>
      </c>
      <c r="J11173" t="s">
        <v>2510</v>
      </c>
      <c r="K11173" s="2" t="str">
        <f>HYPERLINK("http://collections.slsa.sa.gov.au/resource/B+76009")</f>
        <v>http://collections.slsa.sa.gov.au/resource/B+76009</v>
      </c>
    </row>
    <row r="11174" spans="1:11" x14ac:dyDescent="0.25">
      <c r="A11174" t="s">
        <v>34417</v>
      </c>
      <c r="B11174" s="1" t="str">
        <f>HYPERLINK("https://www.catalog.slsa.sa.gov.au/record=b3134020")</f>
        <v>https://www.catalog.slsa.sa.gov.au/record=b3134020</v>
      </c>
      <c r="C11174" s="1" t="str">
        <f>HYPERLINK("https://www.catalog.slsa.sa.gov.au/xrecord=b3134020")</f>
        <v>https://www.catalog.slsa.sa.gov.au/xrecord=b3134020</v>
      </c>
      <c r="D11174" t="s">
        <v>34160</v>
      </c>
      <c r="E11174" t="s">
        <v>34405</v>
      </c>
      <c r="F11174" t="s">
        <v>34406</v>
      </c>
      <c r="G11174" t="s">
        <v>34407</v>
      </c>
      <c r="H11174" t="s">
        <v>34408</v>
      </c>
      <c r="I11174" t="s">
        <v>34409</v>
      </c>
      <c r="J11174" t="s">
        <v>2510</v>
      </c>
      <c r="K11174" s="2" t="str">
        <f>HYPERLINK("http://collections.slsa.sa.gov.au/resource/B+76010")</f>
        <v>http://collections.slsa.sa.gov.au/resource/B+76010</v>
      </c>
    </row>
    <row r="11175" spans="1:11" x14ac:dyDescent="0.25">
      <c r="A11175" t="s">
        <v>34418</v>
      </c>
      <c r="B11175" s="1" t="str">
        <f>HYPERLINK("https://www.catalog.slsa.sa.gov.au/record=b3134021")</f>
        <v>https://www.catalog.slsa.sa.gov.au/record=b3134021</v>
      </c>
      <c r="C11175" s="1" t="str">
        <f>HYPERLINK("https://www.catalog.slsa.sa.gov.au/xrecord=b3134021")</f>
        <v>https://www.catalog.slsa.sa.gov.au/xrecord=b3134021</v>
      </c>
      <c r="D11175" t="s">
        <v>34160</v>
      </c>
      <c r="E11175" t="s">
        <v>34405</v>
      </c>
      <c r="F11175" t="s">
        <v>34406</v>
      </c>
      <c r="G11175" t="s">
        <v>34407</v>
      </c>
      <c r="H11175" t="s">
        <v>34408</v>
      </c>
      <c r="I11175" t="s">
        <v>34409</v>
      </c>
      <c r="J11175" t="s">
        <v>2510</v>
      </c>
      <c r="K11175" s="2" t="str">
        <f>HYPERLINK("http://collections.slsa.sa.gov.au/resource/B+76011")</f>
        <v>http://collections.slsa.sa.gov.au/resource/B+76011</v>
      </c>
    </row>
    <row r="11176" spans="1:11" x14ac:dyDescent="0.25">
      <c r="A11176" t="s">
        <v>34419</v>
      </c>
      <c r="B11176" s="1" t="str">
        <f>HYPERLINK("https://www.catalog.slsa.sa.gov.au/record=b3134022")</f>
        <v>https://www.catalog.slsa.sa.gov.au/record=b3134022</v>
      </c>
      <c r="C11176" s="1" t="str">
        <f>HYPERLINK("https://www.catalog.slsa.sa.gov.au/xrecord=b3134022")</f>
        <v>https://www.catalog.slsa.sa.gov.au/xrecord=b3134022</v>
      </c>
      <c r="D11176" t="s">
        <v>34160</v>
      </c>
      <c r="E11176" t="s">
        <v>34405</v>
      </c>
      <c r="F11176" t="s">
        <v>34406</v>
      </c>
      <c r="G11176" t="s">
        <v>34407</v>
      </c>
      <c r="H11176" t="s">
        <v>34408</v>
      </c>
      <c r="I11176" t="s">
        <v>34409</v>
      </c>
      <c r="J11176" t="s">
        <v>2510</v>
      </c>
      <c r="K11176" s="2" t="str">
        <f>HYPERLINK("http://collections.slsa.sa.gov.au/resource/B+76012")</f>
        <v>http://collections.slsa.sa.gov.au/resource/B+76012</v>
      </c>
    </row>
    <row r="11177" spans="1:11" x14ac:dyDescent="0.25">
      <c r="A11177" t="s">
        <v>34420</v>
      </c>
      <c r="B11177" s="1" t="str">
        <f>HYPERLINK("https://www.catalog.slsa.sa.gov.au/record=b3134023")</f>
        <v>https://www.catalog.slsa.sa.gov.au/record=b3134023</v>
      </c>
      <c r="C11177" s="1" t="str">
        <f>HYPERLINK("https://www.catalog.slsa.sa.gov.au/xrecord=b3134023")</f>
        <v>https://www.catalog.slsa.sa.gov.au/xrecord=b3134023</v>
      </c>
      <c r="D11177" t="s">
        <v>34160</v>
      </c>
      <c r="E11177" t="s">
        <v>34405</v>
      </c>
      <c r="F11177" t="s">
        <v>34406</v>
      </c>
      <c r="G11177" t="s">
        <v>34407</v>
      </c>
      <c r="H11177" t="s">
        <v>34408</v>
      </c>
      <c r="I11177" t="s">
        <v>34409</v>
      </c>
      <c r="J11177" t="s">
        <v>2510</v>
      </c>
      <c r="K11177" s="2" t="str">
        <f>HYPERLINK("http://collections.slsa.sa.gov.au/resource/B+76013")</f>
        <v>http://collections.slsa.sa.gov.au/resource/B+76013</v>
      </c>
    </row>
    <row r="11178" spans="1:11" x14ac:dyDescent="0.25">
      <c r="A11178" t="s">
        <v>34421</v>
      </c>
      <c r="B11178" s="1" t="str">
        <f>HYPERLINK("https://www.catalog.slsa.sa.gov.au/record=b3134024")</f>
        <v>https://www.catalog.slsa.sa.gov.au/record=b3134024</v>
      </c>
      <c r="C11178" s="1" t="str">
        <f>HYPERLINK("https://www.catalog.slsa.sa.gov.au/xrecord=b3134024")</f>
        <v>https://www.catalog.slsa.sa.gov.au/xrecord=b3134024</v>
      </c>
      <c r="D11178" t="s">
        <v>34160</v>
      </c>
      <c r="E11178" t="s">
        <v>34405</v>
      </c>
      <c r="F11178" t="s">
        <v>34406</v>
      </c>
      <c r="G11178" t="s">
        <v>34407</v>
      </c>
      <c r="H11178" t="s">
        <v>34408</v>
      </c>
      <c r="I11178" t="s">
        <v>34422</v>
      </c>
      <c r="J11178" t="s">
        <v>2510</v>
      </c>
      <c r="K11178" s="2" t="str">
        <f>HYPERLINK("http://collections.slsa.sa.gov.au/resource/B+76014")</f>
        <v>http://collections.slsa.sa.gov.au/resource/B+76014</v>
      </c>
    </row>
    <row r="11179" spans="1:11" x14ac:dyDescent="0.25">
      <c r="A11179" t="s">
        <v>34423</v>
      </c>
      <c r="B11179" s="1" t="str">
        <f>HYPERLINK("https://www.catalog.slsa.sa.gov.au/record=b3134025")</f>
        <v>https://www.catalog.slsa.sa.gov.au/record=b3134025</v>
      </c>
      <c r="C11179" s="1" t="str">
        <f>HYPERLINK("https://www.catalog.slsa.sa.gov.au/xrecord=b3134025")</f>
        <v>https://www.catalog.slsa.sa.gov.au/xrecord=b3134025</v>
      </c>
      <c r="D11179" t="s">
        <v>34160</v>
      </c>
      <c r="E11179" t="s">
        <v>34405</v>
      </c>
      <c r="F11179" t="s">
        <v>34406</v>
      </c>
      <c r="G11179" t="s">
        <v>34407</v>
      </c>
      <c r="H11179" t="s">
        <v>34408</v>
      </c>
      <c r="I11179" t="s">
        <v>34424</v>
      </c>
      <c r="J11179" t="s">
        <v>2510</v>
      </c>
      <c r="K11179" s="2" t="str">
        <f>HYPERLINK("http://collections.slsa.sa.gov.au/resource/B+76015")</f>
        <v>http://collections.slsa.sa.gov.au/resource/B+76015</v>
      </c>
    </row>
    <row r="11180" spans="1:11" x14ac:dyDescent="0.25">
      <c r="A11180" t="s">
        <v>34425</v>
      </c>
      <c r="B11180" s="1" t="str">
        <f>HYPERLINK("https://www.catalog.slsa.sa.gov.au/record=b3134026")</f>
        <v>https://www.catalog.slsa.sa.gov.au/record=b3134026</v>
      </c>
      <c r="C11180" s="1" t="str">
        <f>HYPERLINK("https://www.catalog.slsa.sa.gov.au/xrecord=b3134026")</f>
        <v>https://www.catalog.slsa.sa.gov.au/xrecord=b3134026</v>
      </c>
      <c r="D11180" t="s">
        <v>34160</v>
      </c>
      <c r="E11180" t="s">
        <v>34405</v>
      </c>
      <c r="F11180" t="s">
        <v>34406</v>
      </c>
      <c r="G11180" t="s">
        <v>34407</v>
      </c>
      <c r="H11180" t="s">
        <v>34408</v>
      </c>
      <c r="I11180" t="s">
        <v>34409</v>
      </c>
      <c r="J11180" t="s">
        <v>2510</v>
      </c>
      <c r="K11180" s="2" t="str">
        <f>HYPERLINK("http://collections.slsa.sa.gov.au/resource/B+76016")</f>
        <v>http://collections.slsa.sa.gov.au/resource/B+76016</v>
      </c>
    </row>
    <row r="11181" spans="1:11" x14ac:dyDescent="0.25">
      <c r="A11181" t="s">
        <v>34426</v>
      </c>
      <c r="B11181" s="1" t="str">
        <f>HYPERLINK("https://www.catalog.slsa.sa.gov.au/record=b3134027")</f>
        <v>https://www.catalog.slsa.sa.gov.au/record=b3134027</v>
      </c>
      <c r="C11181" s="1" t="str">
        <f>HYPERLINK("https://www.catalog.slsa.sa.gov.au/xrecord=b3134027")</f>
        <v>https://www.catalog.slsa.sa.gov.au/xrecord=b3134027</v>
      </c>
      <c r="D11181" t="s">
        <v>34160</v>
      </c>
      <c r="E11181" t="s">
        <v>34405</v>
      </c>
      <c r="F11181" t="s">
        <v>34406</v>
      </c>
      <c r="G11181" t="s">
        <v>34407</v>
      </c>
      <c r="H11181" t="s">
        <v>34408</v>
      </c>
      <c r="I11181" t="s">
        <v>34424</v>
      </c>
      <c r="J11181" t="s">
        <v>2510</v>
      </c>
      <c r="K11181" s="2" t="str">
        <f>HYPERLINK("http://collections.slsa.sa.gov.au/resource/B+76017")</f>
        <v>http://collections.slsa.sa.gov.au/resource/B+76017</v>
      </c>
    </row>
    <row r="11182" spans="1:11" x14ac:dyDescent="0.25">
      <c r="A11182" t="s">
        <v>34427</v>
      </c>
      <c r="B11182" s="1" t="str">
        <f>HYPERLINK("https://www.catalog.slsa.sa.gov.au/record=b3134028")</f>
        <v>https://www.catalog.slsa.sa.gov.au/record=b3134028</v>
      </c>
      <c r="C11182" s="1" t="str">
        <f>HYPERLINK("https://www.catalog.slsa.sa.gov.au/xrecord=b3134028")</f>
        <v>https://www.catalog.slsa.sa.gov.au/xrecord=b3134028</v>
      </c>
      <c r="D11182" t="s">
        <v>34160</v>
      </c>
      <c r="E11182" t="s">
        <v>34405</v>
      </c>
      <c r="F11182" t="s">
        <v>34406</v>
      </c>
      <c r="G11182" t="s">
        <v>34407</v>
      </c>
      <c r="H11182" t="s">
        <v>34428</v>
      </c>
      <c r="I11182" t="s">
        <v>34429</v>
      </c>
      <c r="J11182" t="s">
        <v>2510</v>
      </c>
      <c r="K11182" s="2" t="str">
        <f>HYPERLINK("http://collections.slsa.sa.gov.au/resource/B+76018")</f>
        <v>http://collections.slsa.sa.gov.au/resource/B+76018</v>
      </c>
    </row>
    <row r="11183" spans="1:11" x14ac:dyDescent="0.25">
      <c r="A11183" t="s">
        <v>34430</v>
      </c>
      <c r="B11183" s="1" t="str">
        <f>HYPERLINK("https://www.catalog.slsa.sa.gov.au/record=b3134029")</f>
        <v>https://www.catalog.slsa.sa.gov.au/record=b3134029</v>
      </c>
      <c r="C11183" s="1" t="str">
        <f>HYPERLINK("https://www.catalog.slsa.sa.gov.au/xrecord=b3134029")</f>
        <v>https://www.catalog.slsa.sa.gov.au/xrecord=b3134029</v>
      </c>
      <c r="D11183" t="s">
        <v>34160</v>
      </c>
      <c r="E11183" t="s">
        <v>34405</v>
      </c>
      <c r="F11183" t="s">
        <v>34406</v>
      </c>
      <c r="G11183" t="s">
        <v>34407</v>
      </c>
      <c r="H11183" t="s">
        <v>34431</v>
      </c>
      <c r="I11183" t="s">
        <v>34409</v>
      </c>
      <c r="J11183" t="s">
        <v>2510</v>
      </c>
      <c r="K11183" s="2" t="str">
        <f>HYPERLINK("http://collections.slsa.sa.gov.au/resource/B+76019")</f>
        <v>http://collections.slsa.sa.gov.au/resource/B+76019</v>
      </c>
    </row>
    <row r="11184" spans="1:11" x14ac:dyDescent="0.25">
      <c r="A11184" t="s">
        <v>34432</v>
      </c>
      <c r="B11184" s="1" t="str">
        <f>HYPERLINK("https://www.catalog.slsa.sa.gov.au/record=b3134030")</f>
        <v>https://www.catalog.slsa.sa.gov.au/record=b3134030</v>
      </c>
      <c r="C11184" s="1" t="str">
        <f>HYPERLINK("https://www.catalog.slsa.sa.gov.au/xrecord=b3134030")</f>
        <v>https://www.catalog.slsa.sa.gov.au/xrecord=b3134030</v>
      </c>
      <c r="D11184" t="s">
        <v>34160</v>
      </c>
      <c r="E11184" t="s">
        <v>34405</v>
      </c>
      <c r="F11184" t="s">
        <v>34406</v>
      </c>
      <c r="G11184" t="s">
        <v>34407</v>
      </c>
      <c r="H11184" t="s">
        <v>34408</v>
      </c>
      <c r="I11184" t="s">
        <v>34409</v>
      </c>
      <c r="J11184" t="s">
        <v>2510</v>
      </c>
      <c r="K11184" s="2" t="str">
        <f>HYPERLINK("http://collections.slsa.sa.gov.au/resource/B+76020")</f>
        <v>http://collections.slsa.sa.gov.au/resource/B+76020</v>
      </c>
    </row>
    <row r="11185" spans="1:11" x14ac:dyDescent="0.25">
      <c r="A11185" t="s">
        <v>34433</v>
      </c>
      <c r="B11185" s="1" t="str">
        <f>HYPERLINK("https://www.catalog.slsa.sa.gov.au/record=b3134031")</f>
        <v>https://www.catalog.slsa.sa.gov.au/record=b3134031</v>
      </c>
      <c r="C11185" s="1" t="str">
        <f>HYPERLINK("https://www.catalog.slsa.sa.gov.au/xrecord=b3134031")</f>
        <v>https://www.catalog.slsa.sa.gov.au/xrecord=b3134031</v>
      </c>
      <c r="D11185" t="s">
        <v>34160</v>
      </c>
      <c r="E11185" t="s">
        <v>34405</v>
      </c>
      <c r="F11185" t="s">
        <v>34406</v>
      </c>
      <c r="G11185" t="s">
        <v>34407</v>
      </c>
      <c r="H11185" t="s">
        <v>34408</v>
      </c>
      <c r="I11185" t="s">
        <v>34409</v>
      </c>
      <c r="J11185" t="s">
        <v>2510</v>
      </c>
      <c r="K11185" s="2" t="str">
        <f>HYPERLINK("http://collections.slsa.sa.gov.au/resource/B+76021")</f>
        <v>http://collections.slsa.sa.gov.au/resource/B+76021</v>
      </c>
    </row>
    <row r="11186" spans="1:11" x14ac:dyDescent="0.25">
      <c r="A11186" t="s">
        <v>34434</v>
      </c>
      <c r="B11186" s="1" t="str">
        <f>HYPERLINK("https://www.catalog.slsa.sa.gov.au/record=b3134032")</f>
        <v>https://www.catalog.slsa.sa.gov.au/record=b3134032</v>
      </c>
      <c r="C11186" s="1" t="str">
        <f>HYPERLINK("https://www.catalog.slsa.sa.gov.au/xrecord=b3134032")</f>
        <v>https://www.catalog.slsa.sa.gov.au/xrecord=b3134032</v>
      </c>
      <c r="D11186" t="s">
        <v>34160</v>
      </c>
      <c r="E11186" t="s">
        <v>34405</v>
      </c>
      <c r="F11186" t="s">
        <v>34406</v>
      </c>
      <c r="G11186" t="s">
        <v>34407</v>
      </c>
      <c r="H11186" t="s">
        <v>34408</v>
      </c>
      <c r="I11186" t="s">
        <v>34409</v>
      </c>
      <c r="J11186" t="s">
        <v>2510</v>
      </c>
      <c r="K11186" s="2" t="str">
        <f>HYPERLINK("http://collections.slsa.sa.gov.au/resource/B+76022")</f>
        <v>http://collections.slsa.sa.gov.au/resource/B+76022</v>
      </c>
    </row>
    <row r="11187" spans="1:11" x14ac:dyDescent="0.25">
      <c r="A11187" t="s">
        <v>34435</v>
      </c>
      <c r="B11187" s="1" t="str">
        <f>HYPERLINK("https://www.catalog.slsa.sa.gov.au/record=b3134033")</f>
        <v>https://www.catalog.slsa.sa.gov.au/record=b3134033</v>
      </c>
      <c r="C11187" s="1" t="str">
        <f>HYPERLINK("https://www.catalog.slsa.sa.gov.au/xrecord=b3134033")</f>
        <v>https://www.catalog.slsa.sa.gov.au/xrecord=b3134033</v>
      </c>
      <c r="D11187" t="s">
        <v>34160</v>
      </c>
      <c r="E11187" t="s">
        <v>34405</v>
      </c>
      <c r="F11187" t="s">
        <v>34406</v>
      </c>
      <c r="G11187" t="s">
        <v>34407</v>
      </c>
      <c r="H11187" t="s">
        <v>34408</v>
      </c>
      <c r="I11187" t="s">
        <v>34409</v>
      </c>
      <c r="J11187" t="s">
        <v>2510</v>
      </c>
      <c r="K11187" s="2" t="str">
        <f>HYPERLINK("http://collections.slsa.sa.gov.au/resource/B+76023")</f>
        <v>http://collections.slsa.sa.gov.au/resource/B+76023</v>
      </c>
    </row>
    <row r="11188" spans="1:11" x14ac:dyDescent="0.25">
      <c r="A11188" t="s">
        <v>34436</v>
      </c>
      <c r="B11188" s="1" t="str">
        <f>HYPERLINK("https://www.catalog.slsa.sa.gov.au/record=b3134034")</f>
        <v>https://www.catalog.slsa.sa.gov.au/record=b3134034</v>
      </c>
      <c r="C11188" s="1" t="str">
        <f>HYPERLINK("https://www.catalog.slsa.sa.gov.au/xrecord=b3134034")</f>
        <v>https://www.catalog.slsa.sa.gov.au/xrecord=b3134034</v>
      </c>
      <c r="D11188" t="s">
        <v>34160</v>
      </c>
      <c r="E11188" t="s">
        <v>34405</v>
      </c>
      <c r="F11188" t="s">
        <v>34406</v>
      </c>
      <c r="G11188" t="s">
        <v>34407</v>
      </c>
      <c r="H11188" t="s">
        <v>34437</v>
      </c>
      <c r="I11188" t="s">
        <v>34438</v>
      </c>
      <c r="J11188" t="s">
        <v>2510</v>
      </c>
      <c r="K11188" s="2" t="str">
        <f>HYPERLINK("http://collections.slsa.sa.gov.au/resource/B+76024")</f>
        <v>http://collections.slsa.sa.gov.au/resource/B+76024</v>
      </c>
    </row>
    <row r="11189" spans="1:11" x14ac:dyDescent="0.25">
      <c r="A11189" t="s">
        <v>34439</v>
      </c>
      <c r="B11189" s="1" t="str">
        <f>HYPERLINK("https://www.catalog.slsa.sa.gov.au/record=b3134035")</f>
        <v>https://www.catalog.slsa.sa.gov.au/record=b3134035</v>
      </c>
      <c r="C11189" s="1" t="str">
        <f>HYPERLINK("https://www.catalog.slsa.sa.gov.au/xrecord=b3134035")</f>
        <v>https://www.catalog.slsa.sa.gov.au/xrecord=b3134035</v>
      </c>
      <c r="D11189" t="s">
        <v>34160</v>
      </c>
      <c r="E11189" t="s">
        <v>34405</v>
      </c>
      <c r="F11189" t="s">
        <v>34406</v>
      </c>
      <c r="G11189" t="s">
        <v>34407</v>
      </c>
      <c r="H11189" t="s">
        <v>34437</v>
      </c>
      <c r="I11189" t="s">
        <v>34438</v>
      </c>
      <c r="J11189" t="s">
        <v>2510</v>
      </c>
      <c r="K11189" s="2" t="str">
        <f>HYPERLINK("http://collections.slsa.sa.gov.au/resource/B+76025")</f>
        <v>http://collections.slsa.sa.gov.au/resource/B+76025</v>
      </c>
    </row>
    <row r="11190" spans="1:11" x14ac:dyDescent="0.25">
      <c r="A11190" t="s">
        <v>34440</v>
      </c>
      <c r="B11190" s="1" t="str">
        <f>HYPERLINK("https://www.catalog.slsa.sa.gov.au/record=b3134036")</f>
        <v>https://www.catalog.slsa.sa.gov.au/record=b3134036</v>
      </c>
      <c r="C11190" s="1" t="str">
        <f>HYPERLINK("https://www.catalog.slsa.sa.gov.au/xrecord=b3134036")</f>
        <v>https://www.catalog.slsa.sa.gov.au/xrecord=b3134036</v>
      </c>
      <c r="D11190" t="s">
        <v>34160</v>
      </c>
      <c r="E11190" t="s">
        <v>34405</v>
      </c>
      <c r="F11190" t="s">
        <v>34406</v>
      </c>
      <c r="G11190" t="s">
        <v>34407</v>
      </c>
      <c r="H11190" t="s">
        <v>34441</v>
      </c>
      <c r="I11190" t="s">
        <v>34442</v>
      </c>
      <c r="J11190" t="s">
        <v>2510</v>
      </c>
      <c r="K11190" s="2" t="str">
        <f>HYPERLINK("http://collections.slsa.sa.gov.au/resource/B+76026")</f>
        <v>http://collections.slsa.sa.gov.au/resource/B+76026</v>
      </c>
    </row>
    <row r="11191" spans="1:11" x14ac:dyDescent="0.25">
      <c r="A11191" t="s">
        <v>34443</v>
      </c>
      <c r="B11191" s="1" t="str">
        <f>HYPERLINK("https://www.catalog.slsa.sa.gov.au/record=b3134037")</f>
        <v>https://www.catalog.slsa.sa.gov.au/record=b3134037</v>
      </c>
      <c r="C11191" s="1" t="str">
        <f>HYPERLINK("https://www.catalog.slsa.sa.gov.au/xrecord=b3134037")</f>
        <v>https://www.catalog.slsa.sa.gov.au/xrecord=b3134037</v>
      </c>
      <c r="D11191" t="s">
        <v>34160</v>
      </c>
      <c r="E11191" t="s">
        <v>34405</v>
      </c>
      <c r="F11191" t="s">
        <v>34406</v>
      </c>
      <c r="G11191" t="s">
        <v>34407</v>
      </c>
      <c r="H11191" t="s">
        <v>34444</v>
      </c>
      <c r="I11191" t="s">
        <v>34445</v>
      </c>
      <c r="J11191" t="s">
        <v>2510</v>
      </c>
      <c r="K11191" s="2" t="str">
        <f>HYPERLINK("http://collections.slsa.sa.gov.au/resource/B+76027")</f>
        <v>http://collections.slsa.sa.gov.au/resource/B+76027</v>
      </c>
    </row>
    <row r="11192" spans="1:11" x14ac:dyDescent="0.25">
      <c r="A11192" t="s">
        <v>34446</v>
      </c>
      <c r="B11192" s="1" t="str">
        <f>HYPERLINK("https://www.catalog.slsa.sa.gov.au/record=b3134038")</f>
        <v>https://www.catalog.slsa.sa.gov.au/record=b3134038</v>
      </c>
      <c r="C11192" s="1" t="str">
        <f>HYPERLINK("https://www.catalog.slsa.sa.gov.au/xrecord=b3134038")</f>
        <v>https://www.catalog.slsa.sa.gov.au/xrecord=b3134038</v>
      </c>
      <c r="D11192" t="s">
        <v>34160</v>
      </c>
      <c r="E11192" t="s">
        <v>34405</v>
      </c>
      <c r="F11192" t="s">
        <v>34406</v>
      </c>
      <c r="G11192" t="s">
        <v>34407</v>
      </c>
      <c r="H11192" t="s">
        <v>34408</v>
      </c>
      <c r="I11192" t="s">
        <v>34409</v>
      </c>
      <c r="J11192" t="s">
        <v>2510</v>
      </c>
      <c r="K11192" s="2" t="str">
        <f>HYPERLINK("http://collections.slsa.sa.gov.au/resource/B+76028")</f>
        <v>http://collections.slsa.sa.gov.au/resource/B+76028</v>
      </c>
    </row>
    <row r="11193" spans="1:11" x14ac:dyDescent="0.25">
      <c r="A11193" t="s">
        <v>34447</v>
      </c>
      <c r="B11193" s="1" t="str">
        <f>HYPERLINK("https://www.catalog.slsa.sa.gov.au/record=b3134039")</f>
        <v>https://www.catalog.slsa.sa.gov.au/record=b3134039</v>
      </c>
      <c r="C11193" s="1" t="str">
        <f>HYPERLINK("https://www.catalog.slsa.sa.gov.au/xrecord=b3134039")</f>
        <v>https://www.catalog.slsa.sa.gov.au/xrecord=b3134039</v>
      </c>
      <c r="D11193" t="s">
        <v>34160</v>
      </c>
      <c r="E11193" t="s">
        <v>34405</v>
      </c>
      <c r="F11193" t="s">
        <v>34406</v>
      </c>
      <c r="G11193" t="s">
        <v>34407</v>
      </c>
      <c r="H11193" t="s">
        <v>34444</v>
      </c>
      <c r="I11193" t="s">
        <v>34445</v>
      </c>
      <c r="J11193" t="s">
        <v>2510</v>
      </c>
      <c r="K11193" s="2" t="str">
        <f>HYPERLINK("http://collections.slsa.sa.gov.au/resource/B+76029")</f>
        <v>http://collections.slsa.sa.gov.au/resource/B+76029</v>
      </c>
    </row>
    <row r="11194" spans="1:11" x14ac:dyDescent="0.25">
      <c r="A11194" t="s">
        <v>34448</v>
      </c>
      <c r="B11194" s="1" t="str">
        <f>HYPERLINK("https://www.catalog.slsa.sa.gov.au/record=b3134040")</f>
        <v>https://www.catalog.slsa.sa.gov.au/record=b3134040</v>
      </c>
      <c r="C11194" s="1" t="str">
        <f>HYPERLINK("https://www.catalog.slsa.sa.gov.au/xrecord=b3134040")</f>
        <v>https://www.catalog.slsa.sa.gov.au/xrecord=b3134040</v>
      </c>
      <c r="D11194" t="s">
        <v>34160</v>
      </c>
      <c r="E11194" t="s">
        <v>34405</v>
      </c>
      <c r="F11194" t="s">
        <v>34406</v>
      </c>
      <c r="G11194" t="s">
        <v>34407</v>
      </c>
      <c r="H11194" t="s">
        <v>34444</v>
      </c>
      <c r="I11194" t="s">
        <v>34445</v>
      </c>
      <c r="J11194" t="s">
        <v>2510</v>
      </c>
      <c r="K11194" s="2" t="str">
        <f>HYPERLINK("http://collections.slsa.sa.gov.au/resource/B+76030")</f>
        <v>http://collections.slsa.sa.gov.au/resource/B+76030</v>
      </c>
    </row>
    <row r="11195" spans="1:11" x14ac:dyDescent="0.25">
      <c r="A11195" t="s">
        <v>34449</v>
      </c>
      <c r="B11195" s="1" t="str">
        <f>HYPERLINK("https://www.catalog.slsa.sa.gov.au/record=b3134042")</f>
        <v>https://www.catalog.slsa.sa.gov.au/record=b3134042</v>
      </c>
      <c r="C11195" s="1" t="str">
        <f>HYPERLINK("https://www.catalog.slsa.sa.gov.au/xrecord=b3134042")</f>
        <v>https://www.catalog.slsa.sa.gov.au/xrecord=b3134042</v>
      </c>
      <c r="D11195" t="s">
        <v>34160</v>
      </c>
      <c r="E11195" t="s">
        <v>34405</v>
      </c>
      <c r="F11195" t="s">
        <v>34406</v>
      </c>
      <c r="G11195" t="s">
        <v>34407</v>
      </c>
      <c r="H11195" t="s">
        <v>34444</v>
      </c>
      <c r="I11195" t="s">
        <v>34445</v>
      </c>
      <c r="J11195" t="s">
        <v>2510</v>
      </c>
      <c r="K11195" s="2" t="str">
        <f>HYPERLINK("http://collections.slsa.sa.gov.au/resource/B+76031")</f>
        <v>http://collections.slsa.sa.gov.au/resource/B+76031</v>
      </c>
    </row>
    <row r="11196" spans="1:11" x14ac:dyDescent="0.25">
      <c r="A11196" t="s">
        <v>34450</v>
      </c>
      <c r="B11196" s="1" t="str">
        <f>HYPERLINK("https://www.catalog.slsa.sa.gov.au/record=b3134043")</f>
        <v>https://www.catalog.slsa.sa.gov.au/record=b3134043</v>
      </c>
      <c r="C11196" s="1" t="str">
        <f>HYPERLINK("https://www.catalog.slsa.sa.gov.au/xrecord=b3134043")</f>
        <v>https://www.catalog.slsa.sa.gov.au/xrecord=b3134043</v>
      </c>
      <c r="D11196" t="s">
        <v>34160</v>
      </c>
      <c r="E11196" t="s">
        <v>34405</v>
      </c>
      <c r="F11196" t="s">
        <v>34406</v>
      </c>
      <c r="G11196" t="s">
        <v>34407</v>
      </c>
      <c r="H11196" t="s">
        <v>34408</v>
      </c>
      <c r="I11196" t="s">
        <v>34409</v>
      </c>
      <c r="J11196" t="s">
        <v>2510</v>
      </c>
      <c r="K11196" s="2" t="str">
        <f>HYPERLINK("http://collections.slsa.sa.gov.au/resource/B+76032")</f>
        <v>http://collections.slsa.sa.gov.au/resource/B+76032</v>
      </c>
    </row>
    <row r="11197" spans="1:11" x14ac:dyDescent="0.25">
      <c r="A11197" t="s">
        <v>34451</v>
      </c>
      <c r="B11197" s="1" t="str">
        <f>HYPERLINK("https://www.catalog.slsa.sa.gov.au/record=b3134044")</f>
        <v>https://www.catalog.slsa.sa.gov.au/record=b3134044</v>
      </c>
      <c r="C11197" s="1" t="str">
        <f>HYPERLINK("https://www.catalog.slsa.sa.gov.au/xrecord=b3134044")</f>
        <v>https://www.catalog.slsa.sa.gov.au/xrecord=b3134044</v>
      </c>
      <c r="D11197" t="s">
        <v>34160</v>
      </c>
      <c r="E11197" t="s">
        <v>34405</v>
      </c>
      <c r="F11197" t="s">
        <v>34406</v>
      </c>
      <c r="G11197" t="s">
        <v>34407</v>
      </c>
      <c r="H11197" t="s">
        <v>34408</v>
      </c>
      <c r="I11197" t="s">
        <v>34452</v>
      </c>
      <c r="J11197" t="s">
        <v>2510</v>
      </c>
      <c r="K11197" s="2" t="str">
        <f>HYPERLINK("http://collections.slsa.sa.gov.au/resource/B+76034")</f>
        <v>http://collections.slsa.sa.gov.au/resource/B+76034</v>
      </c>
    </row>
    <row r="11198" spans="1:11" x14ac:dyDescent="0.25">
      <c r="A11198" t="s">
        <v>34453</v>
      </c>
      <c r="B11198" s="1" t="str">
        <f>HYPERLINK("https://www.catalog.slsa.sa.gov.au/record=b3134045")</f>
        <v>https://www.catalog.slsa.sa.gov.au/record=b3134045</v>
      </c>
      <c r="C11198" s="1" t="str">
        <f>HYPERLINK("https://www.catalog.slsa.sa.gov.au/xrecord=b3134045")</f>
        <v>https://www.catalog.slsa.sa.gov.au/xrecord=b3134045</v>
      </c>
      <c r="D11198" t="s">
        <v>34160</v>
      </c>
      <c r="E11198" t="s">
        <v>34405</v>
      </c>
      <c r="F11198" t="s">
        <v>34406</v>
      </c>
      <c r="G11198" t="s">
        <v>34407</v>
      </c>
      <c r="H11198" t="s">
        <v>34408</v>
      </c>
      <c r="I11198" t="s">
        <v>34409</v>
      </c>
      <c r="J11198" t="s">
        <v>2510</v>
      </c>
      <c r="K11198" s="2" t="str">
        <f>HYPERLINK("http://collections.slsa.sa.gov.au/resource/B+76033")</f>
        <v>http://collections.slsa.sa.gov.au/resource/B+76033</v>
      </c>
    </row>
    <row r="11199" spans="1:11" x14ac:dyDescent="0.25">
      <c r="A11199" t="s">
        <v>34454</v>
      </c>
      <c r="B11199" s="1" t="str">
        <f>HYPERLINK("https://www.catalog.slsa.sa.gov.au/record=b3134046")</f>
        <v>https://www.catalog.slsa.sa.gov.au/record=b3134046</v>
      </c>
      <c r="C11199" s="1" t="str">
        <f>HYPERLINK("https://www.catalog.slsa.sa.gov.au/xrecord=b3134046")</f>
        <v>https://www.catalog.slsa.sa.gov.au/xrecord=b3134046</v>
      </c>
      <c r="D11199" t="s">
        <v>34160</v>
      </c>
      <c r="E11199" t="s">
        <v>34405</v>
      </c>
      <c r="F11199" t="s">
        <v>34406</v>
      </c>
      <c r="G11199" t="s">
        <v>34407</v>
      </c>
      <c r="H11199" t="s">
        <v>34408</v>
      </c>
      <c r="I11199" t="s">
        <v>34452</v>
      </c>
      <c r="J11199" t="s">
        <v>2510</v>
      </c>
      <c r="K11199" s="2" t="str">
        <f>HYPERLINK("http://collections.slsa.sa.gov.au/resource/B+76035")</f>
        <v>http://collections.slsa.sa.gov.au/resource/B+76035</v>
      </c>
    </row>
    <row r="11200" spans="1:11" x14ac:dyDescent="0.25">
      <c r="A11200" t="s">
        <v>34455</v>
      </c>
      <c r="B11200" s="1" t="str">
        <f>HYPERLINK("https://www.catalog.slsa.sa.gov.au/record=b3134047")</f>
        <v>https://www.catalog.slsa.sa.gov.au/record=b3134047</v>
      </c>
      <c r="C11200" s="1" t="str">
        <f>HYPERLINK("https://www.catalog.slsa.sa.gov.au/xrecord=b3134047")</f>
        <v>https://www.catalog.slsa.sa.gov.au/xrecord=b3134047</v>
      </c>
      <c r="D11200" t="s">
        <v>34160</v>
      </c>
      <c r="E11200" t="s">
        <v>34405</v>
      </c>
      <c r="F11200" t="s">
        <v>34406</v>
      </c>
      <c r="G11200" t="s">
        <v>34407</v>
      </c>
      <c r="H11200" t="s">
        <v>34408</v>
      </c>
      <c r="I11200" t="s">
        <v>34452</v>
      </c>
      <c r="J11200" t="s">
        <v>2510</v>
      </c>
      <c r="K11200" s="2" t="str">
        <f>HYPERLINK("http://collections.slsa.sa.gov.au/resource/B+76036")</f>
        <v>http://collections.slsa.sa.gov.au/resource/B+76036</v>
      </c>
    </row>
    <row r="11201" spans="1:11" x14ac:dyDescent="0.25">
      <c r="A11201" t="s">
        <v>34456</v>
      </c>
      <c r="B11201" s="1" t="str">
        <f>HYPERLINK("https://www.catalog.slsa.sa.gov.au/record=b3134049")</f>
        <v>https://www.catalog.slsa.sa.gov.au/record=b3134049</v>
      </c>
      <c r="C11201" s="1" t="str">
        <f>HYPERLINK("https://www.catalog.slsa.sa.gov.au/xrecord=b3134049")</f>
        <v>https://www.catalog.slsa.sa.gov.au/xrecord=b3134049</v>
      </c>
      <c r="D11201" t="s">
        <v>34160</v>
      </c>
      <c r="E11201" t="s">
        <v>34405</v>
      </c>
      <c r="F11201" t="s">
        <v>34406</v>
      </c>
      <c r="G11201" t="s">
        <v>34407</v>
      </c>
      <c r="H11201" t="s">
        <v>34408</v>
      </c>
      <c r="I11201" t="s">
        <v>34452</v>
      </c>
      <c r="J11201" t="s">
        <v>2510</v>
      </c>
      <c r="K11201" s="2" t="str">
        <f>HYPERLINK("http://collections.slsa.sa.gov.au/resource/B+76037")</f>
        <v>http://collections.slsa.sa.gov.au/resource/B+76037</v>
      </c>
    </row>
    <row r="11202" spans="1:11" x14ac:dyDescent="0.25">
      <c r="A11202" t="s">
        <v>34457</v>
      </c>
      <c r="B11202" s="1" t="str">
        <f>HYPERLINK("https://www.catalog.slsa.sa.gov.au/record=b3134050")</f>
        <v>https://www.catalog.slsa.sa.gov.au/record=b3134050</v>
      </c>
      <c r="C11202" s="1" t="str">
        <f>HYPERLINK("https://www.catalog.slsa.sa.gov.au/xrecord=b3134050")</f>
        <v>https://www.catalog.slsa.sa.gov.au/xrecord=b3134050</v>
      </c>
      <c r="D11202" t="s">
        <v>34160</v>
      </c>
      <c r="E11202" t="s">
        <v>34405</v>
      </c>
      <c r="F11202" t="s">
        <v>34406</v>
      </c>
      <c r="G11202" t="s">
        <v>34407</v>
      </c>
      <c r="H11202" t="s">
        <v>34408</v>
      </c>
      <c r="I11202" t="s">
        <v>34458</v>
      </c>
      <c r="J11202" t="s">
        <v>2510</v>
      </c>
      <c r="K11202" s="2" t="str">
        <f>HYPERLINK("http://collections.slsa.sa.gov.au/resource/B+76038")</f>
        <v>http://collections.slsa.sa.gov.au/resource/B+76038</v>
      </c>
    </row>
    <row r="11203" spans="1:11" x14ac:dyDescent="0.25">
      <c r="A11203" t="s">
        <v>34459</v>
      </c>
      <c r="B11203" s="1" t="str">
        <f>HYPERLINK("https://www.catalog.slsa.sa.gov.au/record=b3134051")</f>
        <v>https://www.catalog.slsa.sa.gov.au/record=b3134051</v>
      </c>
      <c r="C11203" s="1" t="str">
        <f>HYPERLINK("https://www.catalog.slsa.sa.gov.au/xrecord=b3134051")</f>
        <v>https://www.catalog.slsa.sa.gov.au/xrecord=b3134051</v>
      </c>
      <c r="D11203" t="s">
        <v>34160</v>
      </c>
      <c r="E11203" t="s">
        <v>34405</v>
      </c>
      <c r="F11203" t="s">
        <v>34406</v>
      </c>
      <c r="G11203" t="s">
        <v>34407</v>
      </c>
      <c r="H11203" t="s">
        <v>34408</v>
      </c>
      <c r="I11203" t="s">
        <v>34458</v>
      </c>
      <c r="J11203" t="s">
        <v>2510</v>
      </c>
      <c r="K11203" s="2" t="str">
        <f>HYPERLINK("http://collections.slsa.sa.gov.au/resource/B+76039")</f>
        <v>http://collections.slsa.sa.gov.au/resource/B+76039</v>
      </c>
    </row>
    <row r="11204" spans="1:11" x14ac:dyDescent="0.25">
      <c r="A11204" t="s">
        <v>34460</v>
      </c>
      <c r="B11204" s="1" t="str">
        <f>HYPERLINK("https://www.catalog.slsa.sa.gov.au/record=b3134052")</f>
        <v>https://www.catalog.slsa.sa.gov.au/record=b3134052</v>
      </c>
      <c r="C11204" s="1" t="str">
        <f>HYPERLINK("https://www.catalog.slsa.sa.gov.au/xrecord=b3134052")</f>
        <v>https://www.catalog.slsa.sa.gov.au/xrecord=b3134052</v>
      </c>
      <c r="D11204" t="s">
        <v>34160</v>
      </c>
      <c r="E11204" t="s">
        <v>34405</v>
      </c>
      <c r="F11204" t="s">
        <v>34406</v>
      </c>
      <c r="G11204" t="s">
        <v>34407</v>
      </c>
      <c r="H11204" t="s">
        <v>34461</v>
      </c>
      <c r="I11204" t="s">
        <v>34462</v>
      </c>
      <c r="J11204" t="s">
        <v>2510</v>
      </c>
      <c r="K11204" s="2" t="str">
        <f>HYPERLINK("http://collections.slsa.sa.gov.au/resource/B+76040")</f>
        <v>http://collections.slsa.sa.gov.au/resource/B+76040</v>
      </c>
    </row>
    <row r="11205" spans="1:11" x14ac:dyDescent="0.25">
      <c r="A11205" t="s">
        <v>34463</v>
      </c>
      <c r="B11205" s="1" t="str">
        <f>HYPERLINK("https://www.catalog.slsa.sa.gov.au/record=b3134053")</f>
        <v>https://www.catalog.slsa.sa.gov.au/record=b3134053</v>
      </c>
      <c r="C11205" s="1" t="str">
        <f>HYPERLINK("https://www.catalog.slsa.sa.gov.au/xrecord=b3134053")</f>
        <v>https://www.catalog.slsa.sa.gov.au/xrecord=b3134053</v>
      </c>
      <c r="D11205" t="s">
        <v>34160</v>
      </c>
      <c r="E11205" t="s">
        <v>34405</v>
      </c>
      <c r="F11205" t="s">
        <v>34406</v>
      </c>
      <c r="G11205" t="s">
        <v>34407</v>
      </c>
      <c r="H11205" t="s">
        <v>34464</v>
      </c>
      <c r="I11205" t="s">
        <v>34465</v>
      </c>
      <c r="J11205" t="s">
        <v>2510</v>
      </c>
      <c r="K11205" s="2" t="str">
        <f>HYPERLINK("http://collections.slsa.sa.gov.au/resource/B+76041")</f>
        <v>http://collections.slsa.sa.gov.au/resource/B+76041</v>
      </c>
    </row>
    <row r="11206" spans="1:11" x14ac:dyDescent="0.25">
      <c r="A11206" t="s">
        <v>34466</v>
      </c>
      <c r="B11206" s="1" t="str">
        <f>HYPERLINK("https://www.catalog.slsa.sa.gov.au/record=b3134055")</f>
        <v>https://www.catalog.slsa.sa.gov.au/record=b3134055</v>
      </c>
      <c r="C11206" s="1" t="str">
        <f>HYPERLINK("https://www.catalog.slsa.sa.gov.au/xrecord=b3134055")</f>
        <v>https://www.catalog.slsa.sa.gov.au/xrecord=b3134055</v>
      </c>
      <c r="D11206" t="s">
        <v>34160</v>
      </c>
      <c r="E11206" t="s">
        <v>34405</v>
      </c>
      <c r="F11206" t="s">
        <v>34406</v>
      </c>
      <c r="G11206" t="s">
        <v>34407</v>
      </c>
      <c r="H11206" t="s">
        <v>34408</v>
      </c>
      <c r="I11206" t="s">
        <v>34409</v>
      </c>
      <c r="J11206" t="s">
        <v>2510</v>
      </c>
      <c r="K11206" s="2" t="str">
        <f>HYPERLINK("http://collections.slsa.sa.gov.au/resource/B+76042")</f>
        <v>http://collections.slsa.sa.gov.au/resource/B+76042</v>
      </c>
    </row>
    <row r="11207" spans="1:11" x14ac:dyDescent="0.25">
      <c r="A11207" t="s">
        <v>34467</v>
      </c>
      <c r="B11207" s="1" t="str">
        <f>HYPERLINK("https://www.catalog.slsa.sa.gov.au/record=b3134056")</f>
        <v>https://www.catalog.slsa.sa.gov.au/record=b3134056</v>
      </c>
      <c r="C11207" s="1" t="str">
        <f>HYPERLINK("https://www.catalog.slsa.sa.gov.au/xrecord=b3134056")</f>
        <v>https://www.catalog.slsa.sa.gov.au/xrecord=b3134056</v>
      </c>
      <c r="D11207" t="s">
        <v>34160</v>
      </c>
      <c r="E11207" t="s">
        <v>34405</v>
      </c>
      <c r="F11207" t="s">
        <v>34406</v>
      </c>
      <c r="G11207" t="s">
        <v>34407</v>
      </c>
      <c r="H11207" t="s">
        <v>34408</v>
      </c>
      <c r="I11207" t="s">
        <v>34409</v>
      </c>
      <c r="J11207" t="s">
        <v>2510</v>
      </c>
      <c r="K11207" s="2" t="str">
        <f>HYPERLINK("http://collections.slsa.sa.gov.au/resource/B+76043")</f>
        <v>http://collections.slsa.sa.gov.au/resource/B+76043</v>
      </c>
    </row>
    <row r="11208" spans="1:11" x14ac:dyDescent="0.25">
      <c r="A11208" t="s">
        <v>34468</v>
      </c>
      <c r="B11208" s="1" t="str">
        <f>HYPERLINK("https://www.catalog.slsa.sa.gov.au/record=b3134057")</f>
        <v>https://www.catalog.slsa.sa.gov.au/record=b3134057</v>
      </c>
      <c r="C11208" s="1" t="str">
        <f>HYPERLINK("https://www.catalog.slsa.sa.gov.au/xrecord=b3134057")</f>
        <v>https://www.catalog.slsa.sa.gov.au/xrecord=b3134057</v>
      </c>
      <c r="D11208" t="s">
        <v>34160</v>
      </c>
      <c r="E11208" t="s">
        <v>34405</v>
      </c>
      <c r="F11208" t="s">
        <v>34406</v>
      </c>
      <c r="G11208" t="s">
        <v>34407</v>
      </c>
      <c r="H11208" t="s">
        <v>34408</v>
      </c>
      <c r="I11208" t="s">
        <v>34409</v>
      </c>
      <c r="J11208" t="s">
        <v>2510</v>
      </c>
      <c r="K11208" s="2" t="str">
        <f>HYPERLINK("http://collections.slsa.sa.gov.au/resource/B+76044")</f>
        <v>http://collections.slsa.sa.gov.au/resource/B+76044</v>
      </c>
    </row>
    <row r="11209" spans="1:11" x14ac:dyDescent="0.25">
      <c r="A11209" t="s">
        <v>34469</v>
      </c>
      <c r="B11209" s="1" t="str">
        <f>HYPERLINK("https://www.catalog.slsa.sa.gov.au/record=b3134058")</f>
        <v>https://www.catalog.slsa.sa.gov.au/record=b3134058</v>
      </c>
      <c r="C11209" s="1" t="str">
        <f>HYPERLINK("https://www.catalog.slsa.sa.gov.au/xrecord=b3134058")</f>
        <v>https://www.catalog.slsa.sa.gov.au/xrecord=b3134058</v>
      </c>
      <c r="D11209" t="s">
        <v>34160</v>
      </c>
      <c r="E11209" t="s">
        <v>34405</v>
      </c>
      <c r="F11209" t="s">
        <v>34406</v>
      </c>
      <c r="G11209" t="s">
        <v>34407</v>
      </c>
      <c r="H11209" t="s">
        <v>34408</v>
      </c>
      <c r="I11209" t="s">
        <v>34409</v>
      </c>
      <c r="J11209" t="s">
        <v>2510</v>
      </c>
      <c r="K11209" s="2" t="str">
        <f>HYPERLINK("http://collections.slsa.sa.gov.au/resource/B+76045")</f>
        <v>http://collections.slsa.sa.gov.au/resource/B+76045</v>
      </c>
    </row>
    <row r="11210" spans="1:11" x14ac:dyDescent="0.25">
      <c r="A11210" t="s">
        <v>34470</v>
      </c>
      <c r="B11210" s="1" t="str">
        <f>HYPERLINK("https://www.catalog.slsa.sa.gov.au/record=b3134059")</f>
        <v>https://www.catalog.slsa.sa.gov.au/record=b3134059</v>
      </c>
      <c r="C11210" s="1" t="str">
        <f>HYPERLINK("https://www.catalog.slsa.sa.gov.au/xrecord=b3134059")</f>
        <v>https://www.catalog.slsa.sa.gov.au/xrecord=b3134059</v>
      </c>
      <c r="D11210" t="s">
        <v>34160</v>
      </c>
      <c r="E11210" t="s">
        <v>34405</v>
      </c>
      <c r="F11210" t="s">
        <v>34406</v>
      </c>
      <c r="G11210" t="s">
        <v>34407</v>
      </c>
      <c r="H11210" t="s">
        <v>34408</v>
      </c>
      <c r="I11210" t="s">
        <v>34409</v>
      </c>
      <c r="J11210" t="s">
        <v>2510</v>
      </c>
      <c r="K11210" s="2" t="str">
        <f>HYPERLINK("http://collections.slsa.sa.gov.au/resource/B+76046")</f>
        <v>http://collections.slsa.sa.gov.au/resource/B+76046</v>
      </c>
    </row>
    <row r="11211" spans="1:11" x14ac:dyDescent="0.25">
      <c r="A11211" t="s">
        <v>34471</v>
      </c>
      <c r="B11211" s="1" t="str">
        <f>HYPERLINK("https://www.catalog.slsa.sa.gov.au/record=b3134060")</f>
        <v>https://www.catalog.slsa.sa.gov.au/record=b3134060</v>
      </c>
      <c r="C11211" s="1" t="str">
        <f>HYPERLINK("https://www.catalog.slsa.sa.gov.au/xrecord=b3134060")</f>
        <v>https://www.catalog.slsa.sa.gov.au/xrecord=b3134060</v>
      </c>
      <c r="D11211" t="s">
        <v>34160</v>
      </c>
      <c r="E11211" t="s">
        <v>34405</v>
      </c>
      <c r="F11211" t="s">
        <v>34406</v>
      </c>
      <c r="G11211" t="s">
        <v>34407</v>
      </c>
      <c r="H11211" t="s">
        <v>34408</v>
      </c>
      <c r="I11211" t="s">
        <v>34409</v>
      </c>
      <c r="J11211" t="s">
        <v>2510</v>
      </c>
      <c r="K11211" s="2" t="str">
        <f>HYPERLINK("http://collections.slsa.sa.gov.au/resource/B+76047")</f>
        <v>http://collections.slsa.sa.gov.au/resource/B+76047</v>
      </c>
    </row>
    <row r="11212" spans="1:11" x14ac:dyDescent="0.25">
      <c r="A11212" t="s">
        <v>34472</v>
      </c>
      <c r="B11212" s="1" t="str">
        <f>HYPERLINK("https://www.catalog.slsa.sa.gov.au/record=b3134062")</f>
        <v>https://www.catalog.slsa.sa.gov.au/record=b3134062</v>
      </c>
      <c r="C11212" s="1" t="str">
        <f>HYPERLINK("https://www.catalog.slsa.sa.gov.au/xrecord=b3134062")</f>
        <v>https://www.catalog.slsa.sa.gov.au/xrecord=b3134062</v>
      </c>
      <c r="D11212" t="s">
        <v>34160</v>
      </c>
      <c r="E11212" t="s">
        <v>34405</v>
      </c>
      <c r="F11212" t="s">
        <v>34406</v>
      </c>
      <c r="G11212" t="s">
        <v>34407</v>
      </c>
      <c r="H11212" t="s">
        <v>34408</v>
      </c>
      <c r="I11212" t="s">
        <v>34409</v>
      </c>
      <c r="J11212" t="s">
        <v>2510</v>
      </c>
      <c r="K11212" s="2" t="str">
        <f>HYPERLINK("http://collections.slsa.sa.gov.au/resource/B+76048")</f>
        <v>http://collections.slsa.sa.gov.au/resource/B+76048</v>
      </c>
    </row>
    <row r="11213" spans="1:11" x14ac:dyDescent="0.25">
      <c r="A11213" t="s">
        <v>34473</v>
      </c>
      <c r="B11213" s="1" t="str">
        <f>HYPERLINK("https://www.catalog.slsa.sa.gov.au/record=b3134063")</f>
        <v>https://www.catalog.slsa.sa.gov.au/record=b3134063</v>
      </c>
      <c r="C11213" s="1" t="str">
        <f>HYPERLINK("https://www.catalog.slsa.sa.gov.au/xrecord=b3134063")</f>
        <v>https://www.catalog.slsa.sa.gov.au/xrecord=b3134063</v>
      </c>
      <c r="D11213" t="s">
        <v>34160</v>
      </c>
      <c r="E11213" t="s">
        <v>34405</v>
      </c>
      <c r="F11213" t="s">
        <v>34406</v>
      </c>
      <c r="G11213" t="s">
        <v>34407</v>
      </c>
      <c r="H11213" t="s">
        <v>34408</v>
      </c>
      <c r="I11213" t="s">
        <v>34409</v>
      </c>
      <c r="J11213" t="s">
        <v>2510</v>
      </c>
      <c r="K11213" s="2" t="str">
        <f>HYPERLINK("http://collections.slsa.sa.gov.au/resource/B+76049")</f>
        <v>http://collections.slsa.sa.gov.au/resource/B+76049</v>
      </c>
    </row>
    <row r="11214" spans="1:11" x14ac:dyDescent="0.25">
      <c r="A11214" t="s">
        <v>34474</v>
      </c>
      <c r="B11214" s="1" t="str">
        <f>HYPERLINK("https://www.catalog.slsa.sa.gov.au/record=b3134064")</f>
        <v>https://www.catalog.slsa.sa.gov.au/record=b3134064</v>
      </c>
      <c r="C11214" s="1" t="str">
        <f>HYPERLINK("https://www.catalog.slsa.sa.gov.au/xrecord=b3134064")</f>
        <v>https://www.catalog.slsa.sa.gov.au/xrecord=b3134064</v>
      </c>
      <c r="D11214" t="s">
        <v>34160</v>
      </c>
      <c r="E11214" t="s">
        <v>34405</v>
      </c>
      <c r="F11214" t="s">
        <v>34406</v>
      </c>
      <c r="G11214" t="s">
        <v>34407</v>
      </c>
      <c r="H11214" t="s">
        <v>34408</v>
      </c>
      <c r="I11214" t="s">
        <v>34409</v>
      </c>
      <c r="J11214" t="s">
        <v>2510</v>
      </c>
      <c r="K11214" s="2" t="str">
        <f>HYPERLINK("http://collections.slsa.sa.gov.au/resource/B+76050")</f>
        <v>http://collections.slsa.sa.gov.au/resource/B+76050</v>
      </c>
    </row>
    <row r="11215" spans="1:11" x14ac:dyDescent="0.25">
      <c r="A11215" t="s">
        <v>34475</v>
      </c>
      <c r="B11215" s="1" t="str">
        <f>HYPERLINK("https://www.catalog.slsa.sa.gov.au/record=b3134065")</f>
        <v>https://www.catalog.slsa.sa.gov.au/record=b3134065</v>
      </c>
      <c r="C11215" s="1" t="str">
        <f>HYPERLINK("https://www.catalog.slsa.sa.gov.au/xrecord=b3134065")</f>
        <v>https://www.catalog.slsa.sa.gov.au/xrecord=b3134065</v>
      </c>
      <c r="D11215" t="s">
        <v>34160</v>
      </c>
      <c r="E11215" t="s">
        <v>34405</v>
      </c>
      <c r="F11215" t="s">
        <v>34406</v>
      </c>
      <c r="G11215" t="s">
        <v>34407</v>
      </c>
      <c r="H11215" t="s">
        <v>34408</v>
      </c>
      <c r="I11215" t="s">
        <v>34409</v>
      </c>
      <c r="J11215" t="s">
        <v>2510</v>
      </c>
      <c r="K11215" s="2" t="str">
        <f>HYPERLINK("http://collections.slsa.sa.gov.au/resource/B+76051")</f>
        <v>http://collections.slsa.sa.gov.au/resource/B+76051</v>
      </c>
    </row>
    <row r="11216" spans="1:11" x14ac:dyDescent="0.25">
      <c r="A11216" t="s">
        <v>34476</v>
      </c>
      <c r="B11216" s="1" t="str">
        <f>HYPERLINK("https://www.catalog.slsa.sa.gov.au/record=b3134066")</f>
        <v>https://www.catalog.slsa.sa.gov.au/record=b3134066</v>
      </c>
      <c r="C11216" s="1" t="str">
        <f>HYPERLINK("https://www.catalog.slsa.sa.gov.au/xrecord=b3134066")</f>
        <v>https://www.catalog.slsa.sa.gov.au/xrecord=b3134066</v>
      </c>
      <c r="D11216" t="s">
        <v>34160</v>
      </c>
      <c r="E11216" t="s">
        <v>34405</v>
      </c>
      <c r="F11216" t="s">
        <v>34406</v>
      </c>
      <c r="G11216" t="s">
        <v>34407</v>
      </c>
      <c r="H11216" t="s">
        <v>34408</v>
      </c>
      <c r="I11216" t="s">
        <v>34409</v>
      </c>
      <c r="J11216" t="s">
        <v>2510</v>
      </c>
      <c r="K11216" s="2" t="str">
        <f>HYPERLINK("http://collections.slsa.sa.gov.au/resource/B+76052")</f>
        <v>http://collections.slsa.sa.gov.au/resource/B+76052</v>
      </c>
    </row>
    <row r="11217" spans="1:11" x14ac:dyDescent="0.25">
      <c r="A11217" t="s">
        <v>34477</v>
      </c>
      <c r="B11217" s="1" t="str">
        <f>HYPERLINK("https://www.catalog.slsa.sa.gov.au/record=b3134230")</f>
        <v>https://www.catalog.slsa.sa.gov.au/record=b3134230</v>
      </c>
      <c r="C11217" s="1" t="str">
        <f>HYPERLINK("https://www.catalog.slsa.sa.gov.au/xrecord=b3134230")</f>
        <v>https://www.catalog.slsa.sa.gov.au/xrecord=b3134230</v>
      </c>
      <c r="D11217" t="s">
        <v>34160</v>
      </c>
      <c r="E11217" t="s">
        <v>34405</v>
      </c>
      <c r="F11217" t="s">
        <v>34406</v>
      </c>
      <c r="G11217" t="s">
        <v>34407</v>
      </c>
      <c r="H11217" t="s">
        <v>34408</v>
      </c>
      <c r="I11217" t="s">
        <v>34409</v>
      </c>
      <c r="J11217" t="s">
        <v>2510</v>
      </c>
      <c r="K11217" s="2" t="str">
        <f>HYPERLINK("http://collections.slsa.sa.gov.au/resource/B+76053")</f>
        <v>http://collections.slsa.sa.gov.au/resource/B+76053</v>
      </c>
    </row>
    <row r="11218" spans="1:11" x14ac:dyDescent="0.25">
      <c r="A11218" t="s">
        <v>34478</v>
      </c>
      <c r="B11218" s="1" t="str">
        <f>HYPERLINK("https://www.catalog.slsa.sa.gov.au/record=b3134234")</f>
        <v>https://www.catalog.slsa.sa.gov.au/record=b3134234</v>
      </c>
      <c r="C11218" s="1" t="str">
        <f>HYPERLINK("https://www.catalog.slsa.sa.gov.au/xrecord=b3134234")</f>
        <v>https://www.catalog.slsa.sa.gov.au/xrecord=b3134234</v>
      </c>
      <c r="D11218" t="s">
        <v>34160</v>
      </c>
      <c r="E11218" t="s">
        <v>34405</v>
      </c>
      <c r="F11218" t="s">
        <v>34406</v>
      </c>
      <c r="G11218" t="s">
        <v>34407</v>
      </c>
      <c r="H11218" t="s">
        <v>34408</v>
      </c>
      <c r="I11218" t="s">
        <v>34409</v>
      </c>
      <c r="J11218" t="s">
        <v>2510</v>
      </c>
      <c r="K11218" s="2" t="str">
        <f>HYPERLINK("http://collections.slsa.sa.gov.au/resource/B+76054")</f>
        <v>http://collections.slsa.sa.gov.au/resource/B+76054</v>
      </c>
    </row>
    <row r="11219" spans="1:11" x14ac:dyDescent="0.25">
      <c r="A11219" t="s">
        <v>34479</v>
      </c>
      <c r="B11219" s="1" t="str">
        <f>HYPERLINK("https://www.catalog.slsa.sa.gov.au/record=b3134235")</f>
        <v>https://www.catalog.slsa.sa.gov.au/record=b3134235</v>
      </c>
      <c r="C11219" s="1" t="str">
        <f>HYPERLINK("https://www.catalog.slsa.sa.gov.au/xrecord=b3134235")</f>
        <v>https://www.catalog.slsa.sa.gov.au/xrecord=b3134235</v>
      </c>
      <c r="D11219" t="s">
        <v>34160</v>
      </c>
      <c r="E11219" t="s">
        <v>34405</v>
      </c>
      <c r="F11219" t="s">
        <v>34406</v>
      </c>
      <c r="G11219" t="s">
        <v>34407</v>
      </c>
      <c r="H11219" t="s">
        <v>34408</v>
      </c>
      <c r="I11219" t="s">
        <v>34409</v>
      </c>
      <c r="J11219" t="s">
        <v>2510</v>
      </c>
      <c r="K11219" s="2" t="str">
        <f>HYPERLINK("http://collections.slsa.sa.gov.au/resource/B+76055")</f>
        <v>http://collections.slsa.sa.gov.au/resource/B+76055</v>
      </c>
    </row>
    <row r="11220" spans="1:11" x14ac:dyDescent="0.25">
      <c r="A11220" t="s">
        <v>34480</v>
      </c>
      <c r="B11220" s="1" t="str">
        <f>HYPERLINK("https://www.catalog.slsa.sa.gov.au/record=b3134236")</f>
        <v>https://www.catalog.slsa.sa.gov.au/record=b3134236</v>
      </c>
      <c r="C11220" s="1" t="str">
        <f>HYPERLINK("https://www.catalog.slsa.sa.gov.au/xrecord=b3134236")</f>
        <v>https://www.catalog.slsa.sa.gov.au/xrecord=b3134236</v>
      </c>
      <c r="D11220" t="s">
        <v>34160</v>
      </c>
      <c r="E11220" t="s">
        <v>34405</v>
      </c>
      <c r="F11220" t="s">
        <v>34406</v>
      </c>
      <c r="G11220" t="s">
        <v>34407</v>
      </c>
      <c r="H11220" t="s">
        <v>34408</v>
      </c>
      <c r="I11220" t="s">
        <v>34409</v>
      </c>
      <c r="J11220" t="s">
        <v>2510</v>
      </c>
      <c r="K11220" s="2" t="str">
        <f>HYPERLINK("http://collections.slsa.sa.gov.au/resource/B+76056")</f>
        <v>http://collections.slsa.sa.gov.au/resource/B+76056</v>
      </c>
    </row>
    <row r="11221" spans="1:11" x14ac:dyDescent="0.25">
      <c r="A11221" t="s">
        <v>34481</v>
      </c>
      <c r="B11221" s="1" t="str">
        <f>HYPERLINK("https://www.catalog.slsa.sa.gov.au/record=b3134237")</f>
        <v>https://www.catalog.slsa.sa.gov.au/record=b3134237</v>
      </c>
      <c r="C11221" s="1" t="str">
        <f>HYPERLINK("https://www.catalog.slsa.sa.gov.au/xrecord=b3134237")</f>
        <v>https://www.catalog.slsa.sa.gov.au/xrecord=b3134237</v>
      </c>
      <c r="D11221" t="s">
        <v>34160</v>
      </c>
      <c r="E11221" t="s">
        <v>34405</v>
      </c>
      <c r="F11221" t="s">
        <v>34406</v>
      </c>
      <c r="G11221" t="s">
        <v>34407</v>
      </c>
      <c r="H11221" t="s">
        <v>34482</v>
      </c>
      <c r="I11221" t="s">
        <v>34483</v>
      </c>
      <c r="J11221" t="s">
        <v>2510</v>
      </c>
      <c r="K11221" s="2" t="str">
        <f>HYPERLINK("http://collections.slsa.sa.gov.au/resource/B+76057")</f>
        <v>http://collections.slsa.sa.gov.au/resource/B+76057</v>
      </c>
    </row>
    <row r="11222" spans="1:11" x14ac:dyDescent="0.25">
      <c r="A11222" t="s">
        <v>34484</v>
      </c>
      <c r="B11222" s="1" t="str">
        <f>HYPERLINK("https://www.catalog.slsa.sa.gov.au/record=b3134239")</f>
        <v>https://www.catalog.slsa.sa.gov.au/record=b3134239</v>
      </c>
      <c r="C11222" s="1" t="str">
        <f>HYPERLINK("https://www.catalog.slsa.sa.gov.au/xrecord=b3134239")</f>
        <v>https://www.catalog.slsa.sa.gov.au/xrecord=b3134239</v>
      </c>
      <c r="D11222" t="s">
        <v>34160</v>
      </c>
      <c r="E11222" t="s">
        <v>34405</v>
      </c>
      <c r="F11222" t="s">
        <v>34406</v>
      </c>
      <c r="G11222" t="s">
        <v>34407</v>
      </c>
      <c r="H11222" t="s">
        <v>34408</v>
      </c>
      <c r="I11222" t="s">
        <v>34409</v>
      </c>
      <c r="J11222" t="s">
        <v>2510</v>
      </c>
      <c r="K11222" s="2" t="str">
        <f>HYPERLINK("http://collections.slsa.sa.gov.au/resource/B+76058")</f>
        <v>http://collections.slsa.sa.gov.au/resource/B+76058</v>
      </c>
    </row>
    <row r="11223" spans="1:11" x14ac:dyDescent="0.25">
      <c r="A11223" t="s">
        <v>34485</v>
      </c>
      <c r="B11223" s="1" t="str">
        <f>HYPERLINK("https://www.catalog.slsa.sa.gov.au/record=b3134240")</f>
        <v>https://www.catalog.slsa.sa.gov.au/record=b3134240</v>
      </c>
      <c r="C11223" s="1" t="str">
        <f>HYPERLINK("https://www.catalog.slsa.sa.gov.au/xrecord=b3134240")</f>
        <v>https://www.catalog.slsa.sa.gov.au/xrecord=b3134240</v>
      </c>
      <c r="D11223" t="s">
        <v>34160</v>
      </c>
      <c r="E11223" t="s">
        <v>34405</v>
      </c>
      <c r="F11223" t="s">
        <v>34406</v>
      </c>
      <c r="G11223" t="s">
        <v>34407</v>
      </c>
      <c r="H11223" t="s">
        <v>34408</v>
      </c>
      <c r="I11223" t="s">
        <v>34409</v>
      </c>
      <c r="J11223" t="s">
        <v>2510</v>
      </c>
      <c r="K11223" s="2" t="str">
        <f>HYPERLINK("http://collections.slsa.sa.gov.au/resource/B+76059")</f>
        <v>http://collections.slsa.sa.gov.au/resource/B+76059</v>
      </c>
    </row>
    <row r="11224" spans="1:11" x14ac:dyDescent="0.25">
      <c r="A11224" t="s">
        <v>34486</v>
      </c>
      <c r="B11224" s="1" t="str">
        <f>HYPERLINK("https://www.catalog.slsa.sa.gov.au/record=b3134241")</f>
        <v>https://www.catalog.slsa.sa.gov.au/record=b3134241</v>
      </c>
      <c r="C11224" s="1" t="str">
        <f>HYPERLINK("https://www.catalog.slsa.sa.gov.au/xrecord=b3134241")</f>
        <v>https://www.catalog.slsa.sa.gov.au/xrecord=b3134241</v>
      </c>
      <c r="D11224" t="s">
        <v>34160</v>
      </c>
      <c r="E11224" t="s">
        <v>34405</v>
      </c>
      <c r="F11224" t="s">
        <v>34406</v>
      </c>
      <c r="G11224" t="s">
        <v>34407</v>
      </c>
      <c r="H11224" t="s">
        <v>34408</v>
      </c>
      <c r="I11224" t="s">
        <v>34462</v>
      </c>
      <c r="J11224" t="s">
        <v>2510</v>
      </c>
      <c r="K11224" s="2" t="str">
        <f>HYPERLINK("http://collections.slsa.sa.gov.au/resource/B+76060")</f>
        <v>http://collections.slsa.sa.gov.au/resource/B+76060</v>
      </c>
    </row>
    <row r="11225" spans="1:11" x14ac:dyDescent="0.25">
      <c r="A11225" t="s">
        <v>34487</v>
      </c>
      <c r="B11225" s="1" t="str">
        <f>HYPERLINK("https://www.catalog.slsa.sa.gov.au/record=b3134242")</f>
        <v>https://www.catalog.slsa.sa.gov.au/record=b3134242</v>
      </c>
      <c r="C11225" s="1" t="str">
        <f>HYPERLINK("https://www.catalog.slsa.sa.gov.au/xrecord=b3134242")</f>
        <v>https://www.catalog.slsa.sa.gov.au/xrecord=b3134242</v>
      </c>
      <c r="D11225" t="s">
        <v>34160</v>
      </c>
      <c r="E11225" t="s">
        <v>34405</v>
      </c>
      <c r="F11225" t="s">
        <v>34406</v>
      </c>
      <c r="G11225" t="s">
        <v>34407</v>
      </c>
      <c r="H11225" t="s">
        <v>34408</v>
      </c>
      <c r="I11225" t="s">
        <v>34462</v>
      </c>
      <c r="J11225" t="s">
        <v>2510</v>
      </c>
      <c r="K11225" s="2" t="str">
        <f>HYPERLINK("http://collections.slsa.sa.gov.au/resource/B+76061")</f>
        <v>http://collections.slsa.sa.gov.au/resource/B+76061</v>
      </c>
    </row>
    <row r="11226" spans="1:11" x14ac:dyDescent="0.25">
      <c r="A11226" t="s">
        <v>34488</v>
      </c>
      <c r="B11226" s="1" t="str">
        <f>HYPERLINK("https://www.catalog.slsa.sa.gov.au/record=b3134243")</f>
        <v>https://www.catalog.slsa.sa.gov.au/record=b3134243</v>
      </c>
      <c r="C11226" s="1" t="str">
        <f>HYPERLINK("https://www.catalog.slsa.sa.gov.au/xrecord=b3134243")</f>
        <v>https://www.catalog.slsa.sa.gov.au/xrecord=b3134243</v>
      </c>
      <c r="D11226" t="s">
        <v>34160</v>
      </c>
      <c r="E11226" t="s">
        <v>34405</v>
      </c>
      <c r="F11226" t="s">
        <v>34406</v>
      </c>
      <c r="G11226" t="s">
        <v>34407</v>
      </c>
      <c r="H11226" t="s">
        <v>34408</v>
      </c>
      <c r="I11226" t="s">
        <v>34489</v>
      </c>
      <c r="J11226" t="s">
        <v>2510</v>
      </c>
      <c r="K11226" s="2" t="str">
        <f>HYPERLINK("http://collections.slsa.sa.gov.au/resource/B+76062")</f>
        <v>http://collections.slsa.sa.gov.au/resource/B+76062</v>
      </c>
    </row>
    <row r="11227" spans="1:11" x14ac:dyDescent="0.25">
      <c r="A11227" t="s">
        <v>34490</v>
      </c>
      <c r="B11227" s="1" t="str">
        <f>HYPERLINK("https://www.catalog.slsa.sa.gov.au/record=b3134244")</f>
        <v>https://www.catalog.slsa.sa.gov.au/record=b3134244</v>
      </c>
      <c r="C11227" s="1" t="str">
        <f>HYPERLINK("https://www.catalog.slsa.sa.gov.au/xrecord=b3134244")</f>
        <v>https://www.catalog.slsa.sa.gov.au/xrecord=b3134244</v>
      </c>
      <c r="D11227" t="s">
        <v>34160</v>
      </c>
      <c r="E11227" t="s">
        <v>34405</v>
      </c>
      <c r="F11227" t="s">
        <v>34406</v>
      </c>
      <c r="G11227" t="s">
        <v>34407</v>
      </c>
      <c r="H11227" t="s">
        <v>34408</v>
      </c>
      <c r="I11227" t="s">
        <v>34489</v>
      </c>
      <c r="J11227" t="s">
        <v>2510</v>
      </c>
      <c r="K11227" s="2" t="str">
        <f>HYPERLINK("http://collections.slsa.sa.gov.au/resource/B+76063")</f>
        <v>http://collections.slsa.sa.gov.au/resource/B+76063</v>
      </c>
    </row>
    <row r="11228" spans="1:11" x14ac:dyDescent="0.25">
      <c r="A11228" t="s">
        <v>34491</v>
      </c>
      <c r="B11228" s="1" t="str">
        <f>HYPERLINK("https://www.catalog.slsa.sa.gov.au/record=b3134245")</f>
        <v>https://www.catalog.slsa.sa.gov.au/record=b3134245</v>
      </c>
      <c r="C11228" s="1" t="str">
        <f>HYPERLINK("https://www.catalog.slsa.sa.gov.au/xrecord=b3134245")</f>
        <v>https://www.catalog.slsa.sa.gov.au/xrecord=b3134245</v>
      </c>
      <c r="D11228" t="s">
        <v>34160</v>
      </c>
      <c r="E11228" t="s">
        <v>34405</v>
      </c>
      <c r="F11228" t="s">
        <v>34406</v>
      </c>
      <c r="G11228" t="s">
        <v>34407</v>
      </c>
      <c r="H11228" t="s">
        <v>34408</v>
      </c>
      <c r="I11228" t="s">
        <v>34492</v>
      </c>
      <c r="J11228" t="s">
        <v>2510</v>
      </c>
      <c r="K11228" s="2" t="str">
        <f>HYPERLINK("http://collections.slsa.sa.gov.au/resource/B+76064")</f>
        <v>http://collections.slsa.sa.gov.au/resource/B+76064</v>
      </c>
    </row>
    <row r="11229" spans="1:11" x14ac:dyDescent="0.25">
      <c r="A11229" t="s">
        <v>34493</v>
      </c>
      <c r="B11229" s="1" t="str">
        <f>HYPERLINK("https://www.catalog.slsa.sa.gov.au/record=b3134246")</f>
        <v>https://www.catalog.slsa.sa.gov.au/record=b3134246</v>
      </c>
      <c r="C11229" s="1" t="str">
        <f>HYPERLINK("https://www.catalog.slsa.sa.gov.au/xrecord=b3134246")</f>
        <v>https://www.catalog.slsa.sa.gov.au/xrecord=b3134246</v>
      </c>
      <c r="D11229" t="s">
        <v>34160</v>
      </c>
      <c r="E11229" t="s">
        <v>34405</v>
      </c>
      <c r="F11229" t="s">
        <v>34406</v>
      </c>
      <c r="G11229" t="s">
        <v>34407</v>
      </c>
      <c r="H11229" t="s">
        <v>34408</v>
      </c>
      <c r="I11229" t="s">
        <v>34492</v>
      </c>
      <c r="J11229" t="s">
        <v>2510</v>
      </c>
      <c r="K11229" s="2" t="str">
        <f>HYPERLINK("http://collections.slsa.sa.gov.au/resource/B+76065")</f>
        <v>http://collections.slsa.sa.gov.au/resource/B+76065</v>
      </c>
    </row>
    <row r="11230" spans="1:11" x14ac:dyDescent="0.25">
      <c r="A11230" t="s">
        <v>34494</v>
      </c>
      <c r="B11230" s="1" t="str">
        <f>HYPERLINK("https://www.catalog.slsa.sa.gov.au/record=b3134247")</f>
        <v>https://www.catalog.slsa.sa.gov.au/record=b3134247</v>
      </c>
      <c r="C11230" s="1" t="str">
        <f>HYPERLINK("https://www.catalog.slsa.sa.gov.au/xrecord=b3134247")</f>
        <v>https://www.catalog.slsa.sa.gov.au/xrecord=b3134247</v>
      </c>
      <c r="D11230" t="s">
        <v>34160</v>
      </c>
      <c r="E11230" t="s">
        <v>34405</v>
      </c>
      <c r="F11230" t="s">
        <v>34406</v>
      </c>
      <c r="G11230" t="s">
        <v>34407</v>
      </c>
      <c r="H11230" t="s">
        <v>34408</v>
      </c>
      <c r="I11230" t="s">
        <v>34409</v>
      </c>
      <c r="J11230" t="s">
        <v>2510</v>
      </c>
      <c r="K11230" s="2" t="str">
        <f>HYPERLINK("http://collections.slsa.sa.gov.au/resource/B+76066")</f>
        <v>http://collections.slsa.sa.gov.au/resource/B+76066</v>
      </c>
    </row>
    <row r="11231" spans="1:11" x14ac:dyDescent="0.25">
      <c r="A11231" t="s">
        <v>34495</v>
      </c>
      <c r="B11231" s="1" t="str">
        <f>HYPERLINK("https://www.catalog.slsa.sa.gov.au/record=b3134248")</f>
        <v>https://www.catalog.slsa.sa.gov.au/record=b3134248</v>
      </c>
      <c r="C11231" s="1" t="str">
        <f>HYPERLINK("https://www.catalog.slsa.sa.gov.au/xrecord=b3134248")</f>
        <v>https://www.catalog.slsa.sa.gov.au/xrecord=b3134248</v>
      </c>
      <c r="D11231" t="s">
        <v>34160</v>
      </c>
      <c r="E11231" t="s">
        <v>34405</v>
      </c>
      <c r="F11231" t="s">
        <v>34406</v>
      </c>
      <c r="G11231" t="s">
        <v>34407</v>
      </c>
      <c r="H11231" t="s">
        <v>34408</v>
      </c>
      <c r="I11231" t="s">
        <v>34409</v>
      </c>
      <c r="J11231" t="s">
        <v>2510</v>
      </c>
      <c r="K11231" s="2" t="str">
        <f>HYPERLINK("http://collections.slsa.sa.gov.au/resource/B+76067")</f>
        <v>http://collections.slsa.sa.gov.au/resource/B+76067</v>
      </c>
    </row>
    <row r="11232" spans="1:11" x14ac:dyDescent="0.25">
      <c r="A11232" t="s">
        <v>34496</v>
      </c>
      <c r="B11232" s="1" t="str">
        <f>HYPERLINK("https://www.catalog.slsa.sa.gov.au/record=b3134249")</f>
        <v>https://www.catalog.slsa.sa.gov.au/record=b3134249</v>
      </c>
      <c r="C11232" s="1" t="str">
        <f>HYPERLINK("https://www.catalog.slsa.sa.gov.au/xrecord=b3134249")</f>
        <v>https://www.catalog.slsa.sa.gov.au/xrecord=b3134249</v>
      </c>
      <c r="D11232" t="s">
        <v>34160</v>
      </c>
      <c r="E11232" t="s">
        <v>34405</v>
      </c>
      <c r="F11232" t="s">
        <v>34406</v>
      </c>
      <c r="G11232" t="s">
        <v>34407</v>
      </c>
      <c r="H11232" t="s">
        <v>34408</v>
      </c>
      <c r="I11232" t="s">
        <v>34409</v>
      </c>
      <c r="J11232" t="s">
        <v>2510</v>
      </c>
      <c r="K11232" s="2" t="str">
        <f>HYPERLINK("http://collections.slsa.sa.gov.au/resource/B+76068")</f>
        <v>http://collections.slsa.sa.gov.au/resource/B+76068</v>
      </c>
    </row>
    <row r="11233" spans="1:11" x14ac:dyDescent="0.25">
      <c r="A11233" t="s">
        <v>34497</v>
      </c>
      <c r="B11233" s="1" t="str">
        <f>HYPERLINK("https://www.catalog.slsa.sa.gov.au/record=b3134250")</f>
        <v>https://www.catalog.slsa.sa.gov.au/record=b3134250</v>
      </c>
      <c r="C11233" s="1" t="str">
        <f>HYPERLINK("https://www.catalog.slsa.sa.gov.au/xrecord=b3134250")</f>
        <v>https://www.catalog.slsa.sa.gov.au/xrecord=b3134250</v>
      </c>
      <c r="D11233" t="s">
        <v>34160</v>
      </c>
      <c r="E11233" t="s">
        <v>34405</v>
      </c>
      <c r="F11233" t="s">
        <v>34406</v>
      </c>
      <c r="G11233" t="s">
        <v>34407</v>
      </c>
      <c r="H11233" t="s">
        <v>34408</v>
      </c>
      <c r="I11233" t="s">
        <v>34409</v>
      </c>
      <c r="J11233" t="s">
        <v>2510</v>
      </c>
      <c r="K11233" s="2" t="str">
        <f>HYPERLINK("http://collections.slsa.sa.gov.au/resource/B+76069")</f>
        <v>http://collections.slsa.sa.gov.au/resource/B+76069</v>
      </c>
    </row>
    <row r="11234" spans="1:11" x14ac:dyDescent="0.25">
      <c r="A11234" t="s">
        <v>34498</v>
      </c>
      <c r="B11234" s="1" t="str">
        <f>HYPERLINK("https://www.catalog.slsa.sa.gov.au/record=b3134251")</f>
        <v>https://www.catalog.slsa.sa.gov.au/record=b3134251</v>
      </c>
      <c r="C11234" s="1" t="str">
        <f>HYPERLINK("https://www.catalog.slsa.sa.gov.au/xrecord=b3134251")</f>
        <v>https://www.catalog.slsa.sa.gov.au/xrecord=b3134251</v>
      </c>
      <c r="D11234" t="s">
        <v>34160</v>
      </c>
      <c r="E11234" t="s">
        <v>34405</v>
      </c>
      <c r="F11234" t="s">
        <v>34406</v>
      </c>
      <c r="G11234" t="s">
        <v>34407</v>
      </c>
      <c r="H11234" t="s">
        <v>34408</v>
      </c>
      <c r="I11234" t="s">
        <v>34499</v>
      </c>
      <c r="J11234" t="s">
        <v>2510</v>
      </c>
      <c r="K11234" s="2" t="str">
        <f>HYPERLINK("http://collections.slsa.sa.gov.au/resource/B+76070")</f>
        <v>http://collections.slsa.sa.gov.au/resource/B+76070</v>
      </c>
    </row>
    <row r="11235" spans="1:11" x14ac:dyDescent="0.25">
      <c r="A11235" t="s">
        <v>34500</v>
      </c>
      <c r="B11235" s="1" t="str">
        <f>HYPERLINK("https://www.catalog.slsa.sa.gov.au/record=b3134252")</f>
        <v>https://www.catalog.slsa.sa.gov.au/record=b3134252</v>
      </c>
      <c r="C11235" s="1" t="str">
        <f>HYPERLINK("https://www.catalog.slsa.sa.gov.au/xrecord=b3134252")</f>
        <v>https://www.catalog.slsa.sa.gov.au/xrecord=b3134252</v>
      </c>
      <c r="D11235" t="s">
        <v>34160</v>
      </c>
      <c r="E11235" t="s">
        <v>34405</v>
      </c>
      <c r="F11235" t="s">
        <v>34406</v>
      </c>
      <c r="G11235" t="s">
        <v>34407</v>
      </c>
      <c r="H11235" t="s">
        <v>34408</v>
      </c>
      <c r="I11235" t="s">
        <v>34499</v>
      </c>
      <c r="J11235" t="s">
        <v>2510</v>
      </c>
      <c r="K11235" s="2" t="str">
        <f>HYPERLINK("http://collections.slsa.sa.gov.au/resource/B+76071")</f>
        <v>http://collections.slsa.sa.gov.au/resource/B+76071</v>
      </c>
    </row>
    <row r="11236" spans="1:11" x14ac:dyDescent="0.25">
      <c r="A11236" t="s">
        <v>34501</v>
      </c>
      <c r="B11236" s="1" t="str">
        <f>HYPERLINK("https://www.catalog.slsa.sa.gov.au/record=b3134253")</f>
        <v>https://www.catalog.slsa.sa.gov.au/record=b3134253</v>
      </c>
      <c r="C11236" s="1" t="str">
        <f>HYPERLINK("https://www.catalog.slsa.sa.gov.au/xrecord=b3134253")</f>
        <v>https://www.catalog.slsa.sa.gov.au/xrecord=b3134253</v>
      </c>
      <c r="D11236" t="s">
        <v>34160</v>
      </c>
      <c r="E11236" t="s">
        <v>34405</v>
      </c>
      <c r="F11236" t="s">
        <v>34406</v>
      </c>
      <c r="G11236" t="s">
        <v>34407</v>
      </c>
      <c r="H11236" t="s">
        <v>34408</v>
      </c>
      <c r="I11236" t="s">
        <v>34502</v>
      </c>
      <c r="J11236" t="s">
        <v>2510</v>
      </c>
      <c r="K11236" s="2" t="str">
        <f>HYPERLINK("http://collections.slsa.sa.gov.au/resource/B+76072")</f>
        <v>http://collections.slsa.sa.gov.au/resource/B+76072</v>
      </c>
    </row>
    <row r="11237" spans="1:11" x14ac:dyDescent="0.25">
      <c r="A11237" t="s">
        <v>34503</v>
      </c>
      <c r="B11237" s="1" t="str">
        <f>HYPERLINK("https://www.catalog.slsa.sa.gov.au/record=b3135218")</f>
        <v>https://www.catalog.slsa.sa.gov.au/record=b3135218</v>
      </c>
      <c r="C11237" s="1" t="str">
        <f>HYPERLINK("https://www.catalog.slsa.sa.gov.au/xrecord=b3135218")</f>
        <v>https://www.catalog.slsa.sa.gov.au/xrecord=b3135218</v>
      </c>
      <c r="D11237" t="s">
        <v>34160</v>
      </c>
      <c r="E11237" t="s">
        <v>34405</v>
      </c>
      <c r="F11237" t="s">
        <v>34406</v>
      </c>
      <c r="G11237" t="s">
        <v>34407</v>
      </c>
      <c r="H11237" t="s">
        <v>34408</v>
      </c>
      <c r="I11237" t="s">
        <v>34502</v>
      </c>
      <c r="J11237" t="s">
        <v>2510</v>
      </c>
      <c r="K11237" s="2" t="str">
        <f>HYPERLINK("http://collections.slsa.sa.gov.au/resource/B+76073")</f>
        <v>http://collections.slsa.sa.gov.au/resource/B+76073</v>
      </c>
    </row>
    <row r="11238" spans="1:11" x14ac:dyDescent="0.25">
      <c r="A11238" t="s">
        <v>34504</v>
      </c>
      <c r="B11238" s="1" t="str">
        <f>HYPERLINK("https://www.catalog.slsa.sa.gov.au/record=b3135219")</f>
        <v>https://www.catalog.slsa.sa.gov.au/record=b3135219</v>
      </c>
      <c r="C11238" s="1" t="str">
        <f>HYPERLINK("https://www.catalog.slsa.sa.gov.au/xrecord=b3135219")</f>
        <v>https://www.catalog.slsa.sa.gov.au/xrecord=b3135219</v>
      </c>
      <c r="D11238" t="s">
        <v>34160</v>
      </c>
      <c r="E11238" t="s">
        <v>34405</v>
      </c>
      <c r="F11238" t="s">
        <v>34406</v>
      </c>
      <c r="G11238" t="s">
        <v>34407</v>
      </c>
      <c r="H11238" t="s">
        <v>34408</v>
      </c>
      <c r="I11238" t="s">
        <v>34502</v>
      </c>
      <c r="J11238" t="s">
        <v>2510</v>
      </c>
      <c r="K11238" s="2" t="str">
        <f>HYPERLINK("http://collections.slsa.sa.gov.au/resource/B+76074")</f>
        <v>http://collections.slsa.sa.gov.au/resource/B+76074</v>
      </c>
    </row>
    <row r="11239" spans="1:11" x14ac:dyDescent="0.25">
      <c r="A11239" t="s">
        <v>34505</v>
      </c>
      <c r="B11239" s="1" t="str">
        <f>HYPERLINK("https://www.catalog.slsa.sa.gov.au/record=b3135220")</f>
        <v>https://www.catalog.slsa.sa.gov.au/record=b3135220</v>
      </c>
      <c r="C11239" s="1" t="str">
        <f>HYPERLINK("https://www.catalog.slsa.sa.gov.au/xrecord=b3135220")</f>
        <v>https://www.catalog.slsa.sa.gov.au/xrecord=b3135220</v>
      </c>
      <c r="D11239" t="s">
        <v>34160</v>
      </c>
      <c r="E11239" t="s">
        <v>34405</v>
      </c>
      <c r="F11239" t="s">
        <v>34406</v>
      </c>
      <c r="G11239" t="s">
        <v>34407</v>
      </c>
      <c r="H11239" t="s">
        <v>34408</v>
      </c>
      <c r="I11239" t="s">
        <v>34502</v>
      </c>
      <c r="J11239" t="s">
        <v>2510</v>
      </c>
      <c r="K11239" s="2" t="str">
        <f>HYPERLINK("http://collections.slsa.sa.gov.au/resource/B+76075")</f>
        <v>http://collections.slsa.sa.gov.au/resource/B+76075</v>
      </c>
    </row>
    <row r="11240" spans="1:11" x14ac:dyDescent="0.25">
      <c r="A11240" t="s">
        <v>34506</v>
      </c>
      <c r="B11240" s="1" t="str">
        <f>HYPERLINK("https://www.catalog.slsa.sa.gov.au/record=b3135221")</f>
        <v>https://www.catalog.slsa.sa.gov.au/record=b3135221</v>
      </c>
      <c r="C11240" s="1" t="str">
        <f>HYPERLINK("https://www.catalog.slsa.sa.gov.au/xrecord=b3135221")</f>
        <v>https://www.catalog.slsa.sa.gov.au/xrecord=b3135221</v>
      </c>
      <c r="D11240" t="s">
        <v>34160</v>
      </c>
      <c r="E11240" t="s">
        <v>34405</v>
      </c>
      <c r="F11240" t="s">
        <v>34406</v>
      </c>
      <c r="G11240" t="s">
        <v>34407</v>
      </c>
      <c r="H11240" t="s">
        <v>34408</v>
      </c>
      <c r="I11240" t="s">
        <v>34409</v>
      </c>
      <c r="J11240" t="s">
        <v>2510</v>
      </c>
      <c r="K11240" s="2" t="str">
        <f>HYPERLINK("http://collections.slsa.sa.gov.au/resource/B+76076")</f>
        <v>http://collections.slsa.sa.gov.au/resource/B+76076</v>
      </c>
    </row>
    <row r="11241" spans="1:11" x14ac:dyDescent="0.25">
      <c r="A11241" t="s">
        <v>34507</v>
      </c>
      <c r="B11241" s="1" t="str">
        <f>HYPERLINK("https://www.catalog.slsa.sa.gov.au/record=b3135223")</f>
        <v>https://www.catalog.slsa.sa.gov.au/record=b3135223</v>
      </c>
      <c r="C11241" s="1" t="str">
        <f>HYPERLINK("https://www.catalog.slsa.sa.gov.au/xrecord=b3135223")</f>
        <v>https://www.catalog.slsa.sa.gov.au/xrecord=b3135223</v>
      </c>
      <c r="D11241" t="s">
        <v>34160</v>
      </c>
      <c r="E11241" t="s">
        <v>34405</v>
      </c>
      <c r="F11241" t="s">
        <v>34406</v>
      </c>
      <c r="G11241" t="s">
        <v>34407</v>
      </c>
      <c r="H11241" t="s">
        <v>34408</v>
      </c>
      <c r="I11241" t="s">
        <v>34409</v>
      </c>
      <c r="J11241" t="s">
        <v>2510</v>
      </c>
      <c r="K11241" s="2" t="str">
        <f>HYPERLINK("http://collections.slsa.sa.gov.au/resource/B+76077")</f>
        <v>http://collections.slsa.sa.gov.au/resource/B+76077</v>
      </c>
    </row>
    <row r="11242" spans="1:11" x14ac:dyDescent="0.25">
      <c r="A11242" t="s">
        <v>34508</v>
      </c>
      <c r="B11242" s="1" t="str">
        <f>HYPERLINK("https://www.catalog.slsa.sa.gov.au/record=b3135224")</f>
        <v>https://www.catalog.slsa.sa.gov.au/record=b3135224</v>
      </c>
      <c r="C11242" s="1" t="str">
        <f>HYPERLINK("https://www.catalog.slsa.sa.gov.au/xrecord=b3135224")</f>
        <v>https://www.catalog.slsa.sa.gov.au/xrecord=b3135224</v>
      </c>
      <c r="D11242" t="s">
        <v>34160</v>
      </c>
      <c r="E11242" t="s">
        <v>34405</v>
      </c>
      <c r="F11242" t="s">
        <v>34406</v>
      </c>
      <c r="G11242" t="s">
        <v>34407</v>
      </c>
      <c r="H11242" t="s">
        <v>34509</v>
      </c>
      <c r="I11242" t="s">
        <v>34510</v>
      </c>
      <c r="J11242" t="s">
        <v>2510</v>
      </c>
      <c r="K11242" s="2" t="str">
        <f>HYPERLINK("http://collections.slsa.sa.gov.au/resource/B+76078")</f>
        <v>http://collections.slsa.sa.gov.au/resource/B+76078</v>
      </c>
    </row>
    <row r="11243" spans="1:11" x14ac:dyDescent="0.25">
      <c r="A11243" t="s">
        <v>34511</v>
      </c>
      <c r="B11243" s="1" t="str">
        <f>HYPERLINK("https://www.catalog.slsa.sa.gov.au/record=b3135225")</f>
        <v>https://www.catalog.slsa.sa.gov.au/record=b3135225</v>
      </c>
      <c r="C11243" s="1" t="str">
        <f>HYPERLINK("https://www.catalog.slsa.sa.gov.au/xrecord=b3135225")</f>
        <v>https://www.catalog.slsa.sa.gov.au/xrecord=b3135225</v>
      </c>
      <c r="D11243" t="s">
        <v>34160</v>
      </c>
      <c r="E11243" t="s">
        <v>34405</v>
      </c>
      <c r="F11243" t="s">
        <v>34406</v>
      </c>
      <c r="G11243" t="s">
        <v>34407</v>
      </c>
      <c r="H11243" t="s">
        <v>34408</v>
      </c>
      <c r="I11243" t="s">
        <v>34409</v>
      </c>
      <c r="J11243" t="s">
        <v>2510</v>
      </c>
      <c r="K11243" s="2" t="str">
        <f>HYPERLINK("http://collections.slsa.sa.gov.au/resource/B+76079")</f>
        <v>http://collections.slsa.sa.gov.au/resource/B+76079</v>
      </c>
    </row>
    <row r="11244" spans="1:11" x14ac:dyDescent="0.25">
      <c r="A11244" t="s">
        <v>34512</v>
      </c>
      <c r="B11244" s="1" t="str">
        <f>HYPERLINK("https://www.catalog.slsa.sa.gov.au/record=b3135226")</f>
        <v>https://www.catalog.slsa.sa.gov.au/record=b3135226</v>
      </c>
      <c r="C11244" s="1" t="str">
        <f>HYPERLINK("https://www.catalog.slsa.sa.gov.au/xrecord=b3135226")</f>
        <v>https://www.catalog.slsa.sa.gov.au/xrecord=b3135226</v>
      </c>
      <c r="D11244" t="s">
        <v>34160</v>
      </c>
      <c r="E11244" t="s">
        <v>34405</v>
      </c>
      <c r="F11244" t="s">
        <v>34406</v>
      </c>
      <c r="G11244" t="s">
        <v>34407</v>
      </c>
      <c r="H11244" t="s">
        <v>34408</v>
      </c>
      <c r="I11244" t="s">
        <v>34409</v>
      </c>
      <c r="J11244" t="s">
        <v>2510</v>
      </c>
      <c r="K11244" s="2" t="str">
        <f>HYPERLINK("http://collections.slsa.sa.gov.au/resource/B+76080")</f>
        <v>http://collections.slsa.sa.gov.au/resource/B+76080</v>
      </c>
    </row>
    <row r="11245" spans="1:11" x14ac:dyDescent="0.25">
      <c r="A11245" t="s">
        <v>34513</v>
      </c>
      <c r="B11245" s="1" t="str">
        <f>HYPERLINK("https://www.catalog.slsa.sa.gov.au/record=b3135227")</f>
        <v>https://www.catalog.slsa.sa.gov.au/record=b3135227</v>
      </c>
      <c r="C11245" s="1" t="str">
        <f>HYPERLINK("https://www.catalog.slsa.sa.gov.au/xrecord=b3135227")</f>
        <v>https://www.catalog.slsa.sa.gov.au/xrecord=b3135227</v>
      </c>
      <c r="D11245" t="s">
        <v>34160</v>
      </c>
      <c r="E11245" t="s">
        <v>34405</v>
      </c>
      <c r="F11245" t="s">
        <v>34406</v>
      </c>
      <c r="G11245" t="s">
        <v>34407</v>
      </c>
      <c r="H11245" t="s">
        <v>34509</v>
      </c>
      <c r="I11245" t="s">
        <v>34510</v>
      </c>
      <c r="J11245" t="s">
        <v>2510</v>
      </c>
      <c r="K11245" s="2" t="str">
        <f>HYPERLINK("http://collections.slsa.sa.gov.au/resource/B+76081")</f>
        <v>http://collections.slsa.sa.gov.au/resource/B+76081</v>
      </c>
    </row>
    <row r="11246" spans="1:11" x14ac:dyDescent="0.25">
      <c r="A11246" t="s">
        <v>34514</v>
      </c>
      <c r="B11246" s="1" t="str">
        <f>HYPERLINK("https://www.catalog.slsa.sa.gov.au/record=b3135228")</f>
        <v>https://www.catalog.slsa.sa.gov.au/record=b3135228</v>
      </c>
      <c r="C11246" s="1" t="str">
        <f>HYPERLINK("https://www.catalog.slsa.sa.gov.au/xrecord=b3135228")</f>
        <v>https://www.catalog.slsa.sa.gov.au/xrecord=b3135228</v>
      </c>
      <c r="D11246" t="s">
        <v>34160</v>
      </c>
      <c r="E11246" t="s">
        <v>34405</v>
      </c>
      <c r="F11246" t="s">
        <v>34406</v>
      </c>
      <c r="G11246" t="s">
        <v>34407</v>
      </c>
      <c r="H11246" t="s">
        <v>34515</v>
      </c>
      <c r="I11246" t="s">
        <v>34409</v>
      </c>
      <c r="J11246" t="s">
        <v>2510</v>
      </c>
      <c r="K11246" s="2" t="str">
        <f>HYPERLINK("http://collections.slsa.sa.gov.au/resource/B+76082")</f>
        <v>http://collections.slsa.sa.gov.au/resource/B+76082</v>
      </c>
    </row>
    <row r="11247" spans="1:11" x14ac:dyDescent="0.25">
      <c r="A11247" t="s">
        <v>34516</v>
      </c>
      <c r="B11247" s="1" t="str">
        <f>HYPERLINK("https://www.catalog.slsa.sa.gov.au/record=b3135229")</f>
        <v>https://www.catalog.slsa.sa.gov.au/record=b3135229</v>
      </c>
      <c r="C11247" s="1" t="str">
        <f>HYPERLINK("https://www.catalog.slsa.sa.gov.au/xrecord=b3135229")</f>
        <v>https://www.catalog.slsa.sa.gov.au/xrecord=b3135229</v>
      </c>
      <c r="D11247" t="s">
        <v>34160</v>
      </c>
      <c r="E11247" t="s">
        <v>34405</v>
      </c>
      <c r="F11247" t="s">
        <v>34406</v>
      </c>
      <c r="G11247" t="s">
        <v>34407</v>
      </c>
      <c r="H11247" t="s">
        <v>34408</v>
      </c>
      <c r="I11247" t="s">
        <v>34409</v>
      </c>
      <c r="J11247" t="s">
        <v>2510</v>
      </c>
      <c r="K11247" s="2" t="str">
        <f>HYPERLINK("http://collections.slsa.sa.gov.au/resource/B+76083")</f>
        <v>http://collections.slsa.sa.gov.au/resource/B+76083</v>
      </c>
    </row>
    <row r="11248" spans="1:11" x14ac:dyDescent="0.25">
      <c r="A11248" t="s">
        <v>34517</v>
      </c>
      <c r="B11248" s="1" t="str">
        <f>HYPERLINK("https://www.catalog.slsa.sa.gov.au/record=b3135230")</f>
        <v>https://www.catalog.slsa.sa.gov.au/record=b3135230</v>
      </c>
      <c r="C11248" s="1" t="str">
        <f>HYPERLINK("https://www.catalog.slsa.sa.gov.au/xrecord=b3135230")</f>
        <v>https://www.catalog.slsa.sa.gov.au/xrecord=b3135230</v>
      </c>
      <c r="D11248" t="s">
        <v>34160</v>
      </c>
      <c r="E11248" t="s">
        <v>34405</v>
      </c>
      <c r="F11248" t="s">
        <v>34406</v>
      </c>
      <c r="G11248" t="s">
        <v>34407</v>
      </c>
      <c r="H11248" t="s">
        <v>34408</v>
      </c>
      <c r="I11248" t="s">
        <v>34409</v>
      </c>
      <c r="J11248" t="s">
        <v>2510</v>
      </c>
      <c r="K11248" s="2" t="str">
        <f>HYPERLINK("http://collections.slsa.sa.gov.au/resource/B+76084")</f>
        <v>http://collections.slsa.sa.gov.au/resource/B+76084</v>
      </c>
    </row>
    <row r="11249" spans="1:11" x14ac:dyDescent="0.25">
      <c r="A11249" t="s">
        <v>34518</v>
      </c>
      <c r="B11249" s="1" t="str">
        <f>HYPERLINK("https://www.catalog.slsa.sa.gov.au/record=b3135231")</f>
        <v>https://www.catalog.slsa.sa.gov.au/record=b3135231</v>
      </c>
      <c r="C11249" s="1" t="str">
        <f>HYPERLINK("https://www.catalog.slsa.sa.gov.au/xrecord=b3135231")</f>
        <v>https://www.catalog.slsa.sa.gov.au/xrecord=b3135231</v>
      </c>
      <c r="D11249" t="s">
        <v>34160</v>
      </c>
      <c r="E11249" t="s">
        <v>34405</v>
      </c>
      <c r="F11249" t="s">
        <v>34406</v>
      </c>
      <c r="G11249" t="s">
        <v>34407</v>
      </c>
      <c r="H11249" t="s">
        <v>34408</v>
      </c>
      <c r="I11249" t="s">
        <v>34409</v>
      </c>
      <c r="J11249" t="s">
        <v>2510</v>
      </c>
      <c r="K11249" s="2" t="str">
        <f>HYPERLINK("http://collections.slsa.sa.gov.au/resource/B+76085")</f>
        <v>http://collections.slsa.sa.gov.au/resource/B+76085</v>
      </c>
    </row>
    <row r="11250" spans="1:11" x14ac:dyDescent="0.25">
      <c r="A11250" t="s">
        <v>34519</v>
      </c>
      <c r="B11250" s="1" t="str">
        <f>HYPERLINK("https://www.catalog.slsa.sa.gov.au/record=b3135232")</f>
        <v>https://www.catalog.slsa.sa.gov.au/record=b3135232</v>
      </c>
      <c r="C11250" s="1" t="str">
        <f>HYPERLINK("https://www.catalog.slsa.sa.gov.au/xrecord=b3135232")</f>
        <v>https://www.catalog.slsa.sa.gov.au/xrecord=b3135232</v>
      </c>
      <c r="D11250" t="s">
        <v>34160</v>
      </c>
      <c r="E11250" t="s">
        <v>34405</v>
      </c>
      <c r="F11250" t="s">
        <v>34406</v>
      </c>
      <c r="G11250" t="s">
        <v>34407</v>
      </c>
      <c r="H11250" t="s">
        <v>34408</v>
      </c>
      <c r="I11250" t="s">
        <v>34409</v>
      </c>
      <c r="J11250" t="s">
        <v>2510</v>
      </c>
      <c r="K11250" s="2" t="str">
        <f>HYPERLINK("http://collections.slsa.sa.gov.au/resource/B+76086")</f>
        <v>http://collections.slsa.sa.gov.au/resource/B+76086</v>
      </c>
    </row>
    <row r="11251" spans="1:11" x14ac:dyDescent="0.25">
      <c r="A11251" t="s">
        <v>34520</v>
      </c>
      <c r="B11251" s="1" t="str">
        <f>HYPERLINK("https://www.catalog.slsa.sa.gov.au/record=b3135233")</f>
        <v>https://www.catalog.slsa.sa.gov.au/record=b3135233</v>
      </c>
      <c r="C11251" s="1" t="str">
        <f>HYPERLINK("https://www.catalog.slsa.sa.gov.au/xrecord=b3135233")</f>
        <v>https://www.catalog.slsa.sa.gov.au/xrecord=b3135233</v>
      </c>
      <c r="D11251" t="s">
        <v>34160</v>
      </c>
      <c r="E11251" t="s">
        <v>34405</v>
      </c>
      <c r="F11251" t="s">
        <v>34406</v>
      </c>
      <c r="G11251" t="s">
        <v>34407</v>
      </c>
      <c r="H11251" t="s">
        <v>34408</v>
      </c>
      <c r="I11251" t="s">
        <v>34409</v>
      </c>
      <c r="J11251" t="s">
        <v>2510</v>
      </c>
      <c r="K11251" s="2" t="str">
        <f>HYPERLINK("http://collections.slsa.sa.gov.au/resource/B+76087")</f>
        <v>http://collections.slsa.sa.gov.au/resource/B+76087</v>
      </c>
    </row>
    <row r="11252" spans="1:11" x14ac:dyDescent="0.25">
      <c r="A11252" t="s">
        <v>34521</v>
      </c>
      <c r="B11252" s="1" t="str">
        <f>HYPERLINK("https://www.catalog.slsa.sa.gov.au/record=b3135234")</f>
        <v>https://www.catalog.slsa.sa.gov.au/record=b3135234</v>
      </c>
      <c r="C11252" s="1" t="str">
        <f>HYPERLINK("https://www.catalog.slsa.sa.gov.au/xrecord=b3135234")</f>
        <v>https://www.catalog.slsa.sa.gov.au/xrecord=b3135234</v>
      </c>
      <c r="D11252" t="s">
        <v>34160</v>
      </c>
      <c r="E11252" t="s">
        <v>34405</v>
      </c>
      <c r="F11252" t="s">
        <v>34406</v>
      </c>
      <c r="G11252" t="s">
        <v>34407</v>
      </c>
      <c r="H11252" t="s">
        <v>34408</v>
      </c>
      <c r="I11252" t="s">
        <v>34409</v>
      </c>
      <c r="J11252" t="s">
        <v>2510</v>
      </c>
      <c r="K11252" s="2" t="str">
        <f>HYPERLINK("http://collections.slsa.sa.gov.au/resource/B+76088")</f>
        <v>http://collections.slsa.sa.gov.au/resource/B+76088</v>
      </c>
    </row>
    <row r="11253" spans="1:11" x14ac:dyDescent="0.25">
      <c r="A11253" t="s">
        <v>34522</v>
      </c>
      <c r="B11253" s="1" t="str">
        <f>HYPERLINK("https://www.catalog.slsa.sa.gov.au/record=b3135235")</f>
        <v>https://www.catalog.slsa.sa.gov.au/record=b3135235</v>
      </c>
      <c r="C11253" s="1" t="str">
        <f>HYPERLINK("https://www.catalog.slsa.sa.gov.au/xrecord=b3135235")</f>
        <v>https://www.catalog.slsa.sa.gov.au/xrecord=b3135235</v>
      </c>
      <c r="D11253" t="s">
        <v>34160</v>
      </c>
      <c r="E11253" t="s">
        <v>34405</v>
      </c>
      <c r="F11253" t="s">
        <v>34406</v>
      </c>
      <c r="G11253" t="s">
        <v>34407</v>
      </c>
      <c r="H11253" t="s">
        <v>34408</v>
      </c>
      <c r="I11253" t="s">
        <v>34409</v>
      </c>
      <c r="J11253" t="s">
        <v>2510</v>
      </c>
      <c r="K11253" s="2" t="str">
        <f>HYPERLINK("http://collections.slsa.sa.gov.au/resource/B+76089")</f>
        <v>http://collections.slsa.sa.gov.au/resource/B+76089</v>
      </c>
    </row>
    <row r="11254" spans="1:11" x14ac:dyDescent="0.25">
      <c r="A11254" t="s">
        <v>34523</v>
      </c>
      <c r="B11254" s="1" t="str">
        <f>HYPERLINK("https://www.catalog.slsa.sa.gov.au/record=b3135236")</f>
        <v>https://www.catalog.slsa.sa.gov.au/record=b3135236</v>
      </c>
      <c r="C11254" s="1" t="str">
        <f>HYPERLINK("https://www.catalog.slsa.sa.gov.au/xrecord=b3135236")</f>
        <v>https://www.catalog.slsa.sa.gov.au/xrecord=b3135236</v>
      </c>
      <c r="D11254" t="s">
        <v>34160</v>
      </c>
      <c r="E11254" t="s">
        <v>34405</v>
      </c>
      <c r="F11254" t="s">
        <v>34406</v>
      </c>
      <c r="G11254" t="s">
        <v>34407</v>
      </c>
      <c r="H11254" t="s">
        <v>34408</v>
      </c>
      <c r="I11254" t="s">
        <v>34409</v>
      </c>
      <c r="J11254" t="s">
        <v>2510</v>
      </c>
      <c r="K11254" s="2" t="str">
        <f>HYPERLINK("http://collections.slsa.sa.gov.au/resource/B+76090")</f>
        <v>http://collections.slsa.sa.gov.au/resource/B+76090</v>
      </c>
    </row>
    <row r="11255" spans="1:11" x14ac:dyDescent="0.25">
      <c r="A11255" t="s">
        <v>34524</v>
      </c>
      <c r="B11255" s="1" t="str">
        <f>HYPERLINK("https://www.catalog.slsa.sa.gov.au/record=b3135237")</f>
        <v>https://www.catalog.slsa.sa.gov.au/record=b3135237</v>
      </c>
      <c r="C11255" s="1" t="str">
        <f>HYPERLINK("https://www.catalog.slsa.sa.gov.au/xrecord=b3135237")</f>
        <v>https://www.catalog.slsa.sa.gov.au/xrecord=b3135237</v>
      </c>
      <c r="D11255" t="s">
        <v>34160</v>
      </c>
      <c r="E11255" t="s">
        <v>34405</v>
      </c>
      <c r="F11255" t="s">
        <v>34406</v>
      </c>
      <c r="G11255" t="s">
        <v>34407</v>
      </c>
      <c r="H11255" t="s">
        <v>34408</v>
      </c>
      <c r="I11255" t="s">
        <v>34409</v>
      </c>
      <c r="J11255" t="s">
        <v>2510</v>
      </c>
      <c r="K11255" s="2" t="str">
        <f>HYPERLINK("http://collections.slsa.sa.gov.au/resource/B+76091")</f>
        <v>http://collections.slsa.sa.gov.au/resource/B+76091</v>
      </c>
    </row>
    <row r="11256" spans="1:11" x14ac:dyDescent="0.25">
      <c r="A11256" t="s">
        <v>34525</v>
      </c>
      <c r="B11256" s="1" t="str">
        <f>HYPERLINK("https://www.catalog.slsa.sa.gov.au/record=b3135239")</f>
        <v>https://www.catalog.slsa.sa.gov.au/record=b3135239</v>
      </c>
      <c r="C11256" s="1" t="str">
        <f>HYPERLINK("https://www.catalog.slsa.sa.gov.au/xrecord=b3135239")</f>
        <v>https://www.catalog.slsa.sa.gov.au/xrecord=b3135239</v>
      </c>
      <c r="D11256" t="s">
        <v>34160</v>
      </c>
      <c r="E11256" t="s">
        <v>34405</v>
      </c>
      <c r="F11256" t="s">
        <v>34406</v>
      </c>
      <c r="G11256" t="s">
        <v>34407</v>
      </c>
      <c r="H11256" t="s">
        <v>34408</v>
      </c>
      <c r="I11256" t="s">
        <v>34409</v>
      </c>
      <c r="J11256" t="s">
        <v>2510</v>
      </c>
      <c r="K11256" s="2" t="str">
        <f>HYPERLINK("http://collections.slsa.sa.gov.au/resource/B+76092")</f>
        <v>http://collections.slsa.sa.gov.au/resource/B+76092</v>
      </c>
    </row>
    <row r="11257" spans="1:11" x14ac:dyDescent="0.25">
      <c r="A11257" t="s">
        <v>34526</v>
      </c>
      <c r="B11257" s="1" t="str">
        <f>HYPERLINK("https://www.catalog.slsa.sa.gov.au/record=b3135240")</f>
        <v>https://www.catalog.slsa.sa.gov.au/record=b3135240</v>
      </c>
      <c r="C11257" s="1" t="str">
        <f>HYPERLINK("https://www.catalog.slsa.sa.gov.au/xrecord=b3135240")</f>
        <v>https://www.catalog.slsa.sa.gov.au/xrecord=b3135240</v>
      </c>
      <c r="D11257" t="s">
        <v>34160</v>
      </c>
      <c r="E11257" t="s">
        <v>34405</v>
      </c>
      <c r="F11257" t="s">
        <v>34406</v>
      </c>
      <c r="G11257" t="s">
        <v>34407</v>
      </c>
      <c r="H11257" t="s">
        <v>34408</v>
      </c>
      <c r="I11257" t="s">
        <v>34409</v>
      </c>
      <c r="J11257" t="s">
        <v>2510</v>
      </c>
      <c r="K11257" s="2" t="str">
        <f>HYPERLINK("http://collections.slsa.sa.gov.au/resource/B+76093")</f>
        <v>http://collections.slsa.sa.gov.au/resource/B+76093</v>
      </c>
    </row>
    <row r="11258" spans="1:11" x14ac:dyDescent="0.25">
      <c r="A11258" t="s">
        <v>34527</v>
      </c>
      <c r="B11258" s="1" t="str">
        <f>HYPERLINK("https://www.catalog.slsa.sa.gov.au/record=b3135241")</f>
        <v>https://www.catalog.slsa.sa.gov.au/record=b3135241</v>
      </c>
      <c r="C11258" s="1" t="str">
        <f>HYPERLINK("https://www.catalog.slsa.sa.gov.au/xrecord=b3135241")</f>
        <v>https://www.catalog.slsa.sa.gov.au/xrecord=b3135241</v>
      </c>
      <c r="D11258" t="s">
        <v>34160</v>
      </c>
      <c r="E11258" t="s">
        <v>34405</v>
      </c>
      <c r="F11258" t="s">
        <v>34406</v>
      </c>
      <c r="G11258" t="s">
        <v>34407</v>
      </c>
      <c r="H11258" t="s">
        <v>34408</v>
      </c>
      <c r="I11258" t="s">
        <v>34409</v>
      </c>
      <c r="J11258" t="s">
        <v>2510</v>
      </c>
      <c r="K11258" s="2" t="str">
        <f>HYPERLINK("http://collections.slsa.sa.gov.au/resource/B+76094")</f>
        <v>http://collections.slsa.sa.gov.au/resource/B+76094</v>
      </c>
    </row>
    <row r="11259" spans="1:11" x14ac:dyDescent="0.25">
      <c r="A11259" t="s">
        <v>34528</v>
      </c>
      <c r="B11259" s="1" t="str">
        <f>HYPERLINK("https://www.catalog.slsa.sa.gov.au/record=b3135242")</f>
        <v>https://www.catalog.slsa.sa.gov.au/record=b3135242</v>
      </c>
      <c r="C11259" s="1" t="str">
        <f>HYPERLINK("https://www.catalog.slsa.sa.gov.au/xrecord=b3135242")</f>
        <v>https://www.catalog.slsa.sa.gov.au/xrecord=b3135242</v>
      </c>
      <c r="D11259" t="s">
        <v>34160</v>
      </c>
      <c r="E11259" t="s">
        <v>34405</v>
      </c>
      <c r="F11259" t="s">
        <v>34406</v>
      </c>
      <c r="G11259" t="s">
        <v>34407</v>
      </c>
      <c r="H11259" t="s">
        <v>34408</v>
      </c>
      <c r="I11259" t="s">
        <v>34409</v>
      </c>
      <c r="J11259" t="s">
        <v>2510</v>
      </c>
      <c r="K11259" s="2" t="str">
        <f>HYPERLINK("http://collections.slsa.sa.gov.au/resource/B+76095")</f>
        <v>http://collections.slsa.sa.gov.au/resource/B+76095</v>
      </c>
    </row>
    <row r="11260" spans="1:11" x14ac:dyDescent="0.25">
      <c r="A11260" t="s">
        <v>34529</v>
      </c>
      <c r="B11260" s="1" t="str">
        <f>HYPERLINK("https://www.catalog.slsa.sa.gov.au/record=b3135243")</f>
        <v>https://www.catalog.slsa.sa.gov.au/record=b3135243</v>
      </c>
      <c r="C11260" s="1" t="str">
        <f>HYPERLINK("https://www.catalog.slsa.sa.gov.au/xrecord=b3135243")</f>
        <v>https://www.catalog.slsa.sa.gov.au/xrecord=b3135243</v>
      </c>
      <c r="D11260" t="s">
        <v>34160</v>
      </c>
      <c r="E11260" t="s">
        <v>34405</v>
      </c>
      <c r="F11260" t="s">
        <v>34406</v>
      </c>
      <c r="G11260" t="s">
        <v>34407</v>
      </c>
      <c r="H11260" t="s">
        <v>34408</v>
      </c>
      <c r="I11260" t="s">
        <v>34409</v>
      </c>
      <c r="J11260" t="s">
        <v>2510</v>
      </c>
      <c r="K11260" s="2" t="str">
        <f>HYPERLINK("http://collections.slsa.sa.gov.au/resource/B+76096")</f>
        <v>http://collections.slsa.sa.gov.au/resource/B+76096</v>
      </c>
    </row>
    <row r="11261" spans="1:11" x14ac:dyDescent="0.25">
      <c r="A11261" t="s">
        <v>34530</v>
      </c>
      <c r="B11261" s="1" t="str">
        <f>HYPERLINK("https://www.catalog.slsa.sa.gov.au/record=b3135245")</f>
        <v>https://www.catalog.slsa.sa.gov.au/record=b3135245</v>
      </c>
      <c r="C11261" s="1" t="str">
        <f>HYPERLINK("https://www.catalog.slsa.sa.gov.au/xrecord=b3135245")</f>
        <v>https://www.catalog.slsa.sa.gov.au/xrecord=b3135245</v>
      </c>
      <c r="D11261" t="s">
        <v>34160</v>
      </c>
      <c r="E11261" t="s">
        <v>34405</v>
      </c>
      <c r="F11261" t="s">
        <v>34406</v>
      </c>
      <c r="G11261" t="s">
        <v>34407</v>
      </c>
      <c r="H11261" t="s">
        <v>34408</v>
      </c>
      <c r="I11261" t="s">
        <v>34409</v>
      </c>
      <c r="J11261" t="s">
        <v>2510</v>
      </c>
      <c r="K11261" s="2" t="str">
        <f>HYPERLINK("http://collections.slsa.sa.gov.au/resource/B+76097")</f>
        <v>http://collections.slsa.sa.gov.au/resource/B+76097</v>
      </c>
    </row>
    <row r="11262" spans="1:11" x14ac:dyDescent="0.25">
      <c r="A11262" t="s">
        <v>34531</v>
      </c>
      <c r="B11262" s="1" t="str">
        <f>HYPERLINK("https://www.catalog.slsa.sa.gov.au/record=b3135246")</f>
        <v>https://www.catalog.slsa.sa.gov.au/record=b3135246</v>
      </c>
      <c r="C11262" s="1" t="str">
        <f>HYPERLINK("https://www.catalog.slsa.sa.gov.au/xrecord=b3135246")</f>
        <v>https://www.catalog.slsa.sa.gov.au/xrecord=b3135246</v>
      </c>
      <c r="D11262" t="s">
        <v>34160</v>
      </c>
      <c r="E11262" t="s">
        <v>34405</v>
      </c>
      <c r="F11262" t="s">
        <v>34406</v>
      </c>
      <c r="G11262" t="s">
        <v>34407</v>
      </c>
      <c r="H11262" t="s">
        <v>34408</v>
      </c>
      <c r="I11262" t="s">
        <v>34409</v>
      </c>
      <c r="J11262" t="s">
        <v>2510</v>
      </c>
      <c r="K11262" s="2" t="str">
        <f>HYPERLINK("http://collections.slsa.sa.gov.au/resource/B+76098")</f>
        <v>http://collections.slsa.sa.gov.au/resource/B+76098</v>
      </c>
    </row>
    <row r="11263" spans="1:11" x14ac:dyDescent="0.25">
      <c r="A11263" t="s">
        <v>34532</v>
      </c>
      <c r="B11263" s="1" t="str">
        <f>HYPERLINK("https://www.catalog.slsa.sa.gov.au/record=b3135247")</f>
        <v>https://www.catalog.slsa.sa.gov.au/record=b3135247</v>
      </c>
      <c r="C11263" s="1" t="str">
        <f>HYPERLINK("https://www.catalog.slsa.sa.gov.au/xrecord=b3135247")</f>
        <v>https://www.catalog.slsa.sa.gov.au/xrecord=b3135247</v>
      </c>
      <c r="D11263" t="s">
        <v>34160</v>
      </c>
      <c r="E11263" t="s">
        <v>34405</v>
      </c>
      <c r="F11263" t="s">
        <v>34406</v>
      </c>
      <c r="G11263" t="s">
        <v>34407</v>
      </c>
      <c r="H11263" t="s">
        <v>34408</v>
      </c>
      <c r="I11263" t="s">
        <v>34409</v>
      </c>
      <c r="J11263" t="s">
        <v>2510</v>
      </c>
      <c r="K11263" s="2" t="str">
        <f>HYPERLINK("http://collections.slsa.sa.gov.au/resource/B+76099")</f>
        <v>http://collections.slsa.sa.gov.au/resource/B+76099</v>
      </c>
    </row>
    <row r="11264" spans="1:11" x14ac:dyDescent="0.25">
      <c r="A11264" t="s">
        <v>34533</v>
      </c>
      <c r="B11264" s="1" t="str">
        <f>HYPERLINK("https://www.catalog.slsa.sa.gov.au/record=b3135248")</f>
        <v>https://www.catalog.slsa.sa.gov.au/record=b3135248</v>
      </c>
      <c r="C11264" s="1" t="str">
        <f>HYPERLINK("https://www.catalog.slsa.sa.gov.au/xrecord=b3135248")</f>
        <v>https://www.catalog.slsa.sa.gov.au/xrecord=b3135248</v>
      </c>
      <c r="D11264" t="s">
        <v>34160</v>
      </c>
      <c r="E11264" t="s">
        <v>34405</v>
      </c>
      <c r="F11264" t="s">
        <v>34406</v>
      </c>
      <c r="G11264" t="s">
        <v>34407</v>
      </c>
      <c r="H11264" t="s">
        <v>34509</v>
      </c>
      <c r="I11264" t="s">
        <v>34510</v>
      </c>
      <c r="J11264" t="s">
        <v>2510</v>
      </c>
      <c r="K11264" s="2" t="str">
        <f>HYPERLINK("http://collections.slsa.sa.gov.au/resource/B+76100")</f>
        <v>http://collections.slsa.sa.gov.au/resource/B+76100</v>
      </c>
    </row>
    <row r="11265" spans="1:11" x14ac:dyDescent="0.25">
      <c r="A11265" t="s">
        <v>34534</v>
      </c>
      <c r="B11265" s="1" t="str">
        <f>HYPERLINK("https://www.catalog.slsa.sa.gov.au/record=b3135249")</f>
        <v>https://www.catalog.slsa.sa.gov.au/record=b3135249</v>
      </c>
      <c r="C11265" s="1" t="str">
        <f>HYPERLINK("https://www.catalog.slsa.sa.gov.au/xrecord=b3135249")</f>
        <v>https://www.catalog.slsa.sa.gov.au/xrecord=b3135249</v>
      </c>
      <c r="D11265" t="s">
        <v>34160</v>
      </c>
      <c r="E11265" t="s">
        <v>34405</v>
      </c>
      <c r="F11265" t="s">
        <v>34406</v>
      </c>
      <c r="G11265" t="s">
        <v>34407</v>
      </c>
      <c r="H11265" t="s">
        <v>34408</v>
      </c>
      <c r="I11265" t="s">
        <v>34409</v>
      </c>
      <c r="J11265" t="s">
        <v>2510</v>
      </c>
      <c r="K11265" s="2" t="str">
        <f>HYPERLINK("http://collections.slsa.sa.gov.au/resource/B+76101")</f>
        <v>http://collections.slsa.sa.gov.au/resource/B+76101</v>
      </c>
    </row>
    <row r="11266" spans="1:11" x14ac:dyDescent="0.25">
      <c r="A11266" t="s">
        <v>34535</v>
      </c>
      <c r="B11266" s="1" t="str">
        <f>HYPERLINK("https://www.catalog.slsa.sa.gov.au/record=b3135250")</f>
        <v>https://www.catalog.slsa.sa.gov.au/record=b3135250</v>
      </c>
      <c r="C11266" s="1" t="str">
        <f>HYPERLINK("https://www.catalog.slsa.sa.gov.au/xrecord=b3135250")</f>
        <v>https://www.catalog.slsa.sa.gov.au/xrecord=b3135250</v>
      </c>
      <c r="D11266" t="s">
        <v>34160</v>
      </c>
      <c r="E11266" t="s">
        <v>34405</v>
      </c>
      <c r="F11266" t="s">
        <v>34406</v>
      </c>
      <c r="G11266" t="s">
        <v>34407</v>
      </c>
      <c r="H11266" t="s">
        <v>34408</v>
      </c>
      <c r="I11266" t="s">
        <v>34409</v>
      </c>
      <c r="J11266" t="s">
        <v>2510</v>
      </c>
      <c r="K11266" s="2" t="str">
        <f>HYPERLINK("http://collections.slsa.sa.gov.au/resource/B+76102")</f>
        <v>http://collections.slsa.sa.gov.au/resource/B+76102</v>
      </c>
    </row>
    <row r="11267" spans="1:11" x14ac:dyDescent="0.25">
      <c r="A11267" t="s">
        <v>34536</v>
      </c>
      <c r="B11267" s="1" t="str">
        <f>HYPERLINK("https://www.catalog.slsa.sa.gov.au/record=b3135266")</f>
        <v>https://www.catalog.slsa.sa.gov.au/record=b3135266</v>
      </c>
      <c r="C11267" s="1" t="str">
        <f>HYPERLINK("https://www.catalog.slsa.sa.gov.au/xrecord=b3135266")</f>
        <v>https://www.catalog.slsa.sa.gov.au/xrecord=b3135266</v>
      </c>
      <c r="D11267" t="s">
        <v>34160</v>
      </c>
      <c r="E11267" t="s">
        <v>34405</v>
      </c>
      <c r="F11267" t="s">
        <v>34406</v>
      </c>
      <c r="G11267" t="s">
        <v>34407</v>
      </c>
      <c r="H11267" t="s">
        <v>34408</v>
      </c>
      <c r="I11267" t="s">
        <v>34409</v>
      </c>
      <c r="J11267" t="s">
        <v>2510</v>
      </c>
      <c r="K11267" s="2" t="str">
        <f>HYPERLINK("http://collections.slsa.sa.gov.au/resource/B+76103")</f>
        <v>http://collections.slsa.sa.gov.au/resource/B+76103</v>
      </c>
    </row>
    <row r="11268" spans="1:11" x14ac:dyDescent="0.25">
      <c r="A11268" t="s">
        <v>34537</v>
      </c>
      <c r="B11268" s="1" t="str">
        <f>HYPERLINK("https://www.catalog.slsa.sa.gov.au/record=b3135268")</f>
        <v>https://www.catalog.slsa.sa.gov.au/record=b3135268</v>
      </c>
      <c r="C11268" s="1" t="str">
        <f>HYPERLINK("https://www.catalog.slsa.sa.gov.au/xrecord=b3135268")</f>
        <v>https://www.catalog.slsa.sa.gov.au/xrecord=b3135268</v>
      </c>
      <c r="D11268" t="s">
        <v>34160</v>
      </c>
      <c r="E11268" t="s">
        <v>34405</v>
      </c>
      <c r="F11268" t="s">
        <v>34406</v>
      </c>
      <c r="G11268" t="s">
        <v>34407</v>
      </c>
      <c r="H11268" t="s">
        <v>34408</v>
      </c>
      <c r="I11268" t="s">
        <v>34409</v>
      </c>
      <c r="J11268" t="s">
        <v>2510</v>
      </c>
      <c r="K11268" s="2" t="str">
        <f>HYPERLINK("http://collections.slsa.sa.gov.au/resource/B+76104")</f>
        <v>http://collections.slsa.sa.gov.au/resource/B+76104</v>
      </c>
    </row>
    <row r="11269" spans="1:11" x14ac:dyDescent="0.25">
      <c r="A11269" t="s">
        <v>34538</v>
      </c>
      <c r="B11269" s="1" t="str">
        <f>HYPERLINK("https://www.catalog.slsa.sa.gov.au/record=b3135271")</f>
        <v>https://www.catalog.slsa.sa.gov.au/record=b3135271</v>
      </c>
      <c r="C11269" s="1" t="str">
        <f>HYPERLINK("https://www.catalog.slsa.sa.gov.au/xrecord=b3135271")</f>
        <v>https://www.catalog.slsa.sa.gov.au/xrecord=b3135271</v>
      </c>
      <c r="D11269" t="s">
        <v>34160</v>
      </c>
      <c r="E11269" t="s">
        <v>34405</v>
      </c>
      <c r="F11269" t="s">
        <v>34406</v>
      </c>
      <c r="G11269" t="s">
        <v>34407</v>
      </c>
      <c r="H11269" t="s">
        <v>34408</v>
      </c>
      <c r="I11269" t="s">
        <v>34409</v>
      </c>
      <c r="J11269" t="s">
        <v>2510</v>
      </c>
      <c r="K11269" s="2" t="str">
        <f>HYPERLINK("http://collections.slsa.sa.gov.au/resource/B+76105")</f>
        <v>http://collections.slsa.sa.gov.au/resource/B+76105</v>
      </c>
    </row>
    <row r="11270" spans="1:11" x14ac:dyDescent="0.25">
      <c r="A11270" t="s">
        <v>34539</v>
      </c>
      <c r="B11270" s="1" t="str">
        <f>HYPERLINK("https://www.catalog.slsa.sa.gov.au/record=b3135279")</f>
        <v>https://www.catalog.slsa.sa.gov.au/record=b3135279</v>
      </c>
      <c r="C11270" s="1" t="str">
        <f>HYPERLINK("https://www.catalog.slsa.sa.gov.au/xrecord=b3135279")</f>
        <v>https://www.catalog.slsa.sa.gov.au/xrecord=b3135279</v>
      </c>
      <c r="D11270" t="s">
        <v>34160</v>
      </c>
      <c r="E11270" t="s">
        <v>34405</v>
      </c>
      <c r="F11270" t="s">
        <v>34406</v>
      </c>
      <c r="G11270" t="s">
        <v>34407</v>
      </c>
      <c r="H11270" t="s">
        <v>34408</v>
      </c>
      <c r="I11270" t="s">
        <v>34409</v>
      </c>
      <c r="J11270" t="s">
        <v>2510</v>
      </c>
      <c r="K11270" s="2" t="str">
        <f>HYPERLINK("http://collections.slsa.sa.gov.au/resource/B+76106")</f>
        <v>http://collections.slsa.sa.gov.au/resource/B+76106</v>
      </c>
    </row>
    <row r="11271" spans="1:11" x14ac:dyDescent="0.25">
      <c r="A11271" t="s">
        <v>34540</v>
      </c>
      <c r="B11271" s="1" t="str">
        <f>HYPERLINK("https://www.catalog.slsa.sa.gov.au/record=b3135280")</f>
        <v>https://www.catalog.slsa.sa.gov.au/record=b3135280</v>
      </c>
      <c r="C11271" s="1" t="str">
        <f>HYPERLINK("https://www.catalog.slsa.sa.gov.au/xrecord=b3135280")</f>
        <v>https://www.catalog.slsa.sa.gov.au/xrecord=b3135280</v>
      </c>
      <c r="D11271" t="s">
        <v>34160</v>
      </c>
      <c r="E11271" t="s">
        <v>34405</v>
      </c>
      <c r="F11271" t="s">
        <v>34406</v>
      </c>
      <c r="G11271" t="s">
        <v>34407</v>
      </c>
      <c r="H11271" t="s">
        <v>34408</v>
      </c>
      <c r="I11271" t="s">
        <v>34409</v>
      </c>
      <c r="J11271" t="s">
        <v>2510</v>
      </c>
      <c r="K11271" s="2" t="str">
        <f>HYPERLINK("http://collections.slsa.sa.gov.au/resource/B+76107")</f>
        <v>http://collections.slsa.sa.gov.au/resource/B+76107</v>
      </c>
    </row>
    <row r="11272" spans="1:11" x14ac:dyDescent="0.25">
      <c r="A11272" t="s">
        <v>34541</v>
      </c>
      <c r="B11272" s="1" t="str">
        <f>HYPERLINK("https://www.catalog.slsa.sa.gov.au/record=b3135281")</f>
        <v>https://www.catalog.slsa.sa.gov.au/record=b3135281</v>
      </c>
      <c r="C11272" s="1" t="str">
        <f>HYPERLINK("https://www.catalog.slsa.sa.gov.au/xrecord=b3135281")</f>
        <v>https://www.catalog.slsa.sa.gov.au/xrecord=b3135281</v>
      </c>
      <c r="D11272" t="s">
        <v>34160</v>
      </c>
      <c r="E11272" t="s">
        <v>34405</v>
      </c>
      <c r="F11272" t="s">
        <v>34406</v>
      </c>
      <c r="G11272" t="s">
        <v>34407</v>
      </c>
      <c r="H11272" t="s">
        <v>34408</v>
      </c>
      <c r="I11272" t="s">
        <v>34409</v>
      </c>
      <c r="J11272" t="s">
        <v>2510</v>
      </c>
      <c r="K11272" s="2" t="str">
        <f>HYPERLINK("http://collections.slsa.sa.gov.au/resource/B+76108")</f>
        <v>http://collections.slsa.sa.gov.au/resource/B+76108</v>
      </c>
    </row>
    <row r="11273" spans="1:11" x14ac:dyDescent="0.25">
      <c r="A11273" t="s">
        <v>34542</v>
      </c>
      <c r="B11273" s="1" t="str">
        <f>HYPERLINK("https://www.catalog.slsa.sa.gov.au/record=b3135282")</f>
        <v>https://www.catalog.slsa.sa.gov.au/record=b3135282</v>
      </c>
      <c r="C11273" s="1" t="str">
        <f>HYPERLINK("https://www.catalog.slsa.sa.gov.au/xrecord=b3135282")</f>
        <v>https://www.catalog.slsa.sa.gov.au/xrecord=b3135282</v>
      </c>
      <c r="D11273" t="s">
        <v>34160</v>
      </c>
      <c r="E11273" t="s">
        <v>34405</v>
      </c>
      <c r="F11273" t="s">
        <v>34406</v>
      </c>
      <c r="G11273" t="s">
        <v>34407</v>
      </c>
      <c r="H11273" t="s">
        <v>34408</v>
      </c>
      <c r="I11273" t="s">
        <v>34409</v>
      </c>
      <c r="J11273" t="s">
        <v>2510</v>
      </c>
      <c r="K11273" s="2" t="str">
        <f>HYPERLINK("http://collections.slsa.sa.gov.au/resource/B+76109")</f>
        <v>http://collections.slsa.sa.gov.au/resource/B+76109</v>
      </c>
    </row>
    <row r="11274" spans="1:11" x14ac:dyDescent="0.25">
      <c r="A11274" t="s">
        <v>34543</v>
      </c>
      <c r="B11274" s="1" t="str">
        <f>HYPERLINK("https://www.catalog.slsa.sa.gov.au/record=b3135283")</f>
        <v>https://www.catalog.slsa.sa.gov.au/record=b3135283</v>
      </c>
      <c r="C11274" s="1" t="str">
        <f>HYPERLINK("https://www.catalog.slsa.sa.gov.au/xrecord=b3135283")</f>
        <v>https://www.catalog.slsa.sa.gov.au/xrecord=b3135283</v>
      </c>
      <c r="D11274" t="s">
        <v>34160</v>
      </c>
      <c r="E11274" t="s">
        <v>34405</v>
      </c>
      <c r="F11274" t="s">
        <v>34406</v>
      </c>
      <c r="G11274" t="s">
        <v>34407</v>
      </c>
      <c r="H11274" t="s">
        <v>34408</v>
      </c>
      <c r="I11274" t="s">
        <v>34409</v>
      </c>
      <c r="J11274" t="s">
        <v>2510</v>
      </c>
      <c r="K11274" s="2" t="str">
        <f>HYPERLINK("http://collections.slsa.sa.gov.au/resource/B+76110")</f>
        <v>http://collections.slsa.sa.gov.au/resource/B+76110</v>
      </c>
    </row>
    <row r="11275" spans="1:11" x14ac:dyDescent="0.25">
      <c r="A11275" t="s">
        <v>34544</v>
      </c>
      <c r="B11275" s="1" t="str">
        <f>HYPERLINK("https://www.catalog.slsa.sa.gov.au/record=b3135284")</f>
        <v>https://www.catalog.slsa.sa.gov.au/record=b3135284</v>
      </c>
      <c r="C11275" s="1" t="str">
        <f>HYPERLINK("https://www.catalog.slsa.sa.gov.au/xrecord=b3135284")</f>
        <v>https://www.catalog.slsa.sa.gov.au/xrecord=b3135284</v>
      </c>
      <c r="D11275" t="s">
        <v>34160</v>
      </c>
      <c r="E11275" t="s">
        <v>34405</v>
      </c>
      <c r="F11275" t="s">
        <v>34406</v>
      </c>
      <c r="G11275" t="s">
        <v>34407</v>
      </c>
      <c r="H11275" t="s">
        <v>34408</v>
      </c>
      <c r="I11275" t="s">
        <v>34409</v>
      </c>
      <c r="J11275" t="s">
        <v>2510</v>
      </c>
      <c r="K11275" s="2" t="str">
        <f>HYPERLINK("http://collections.slsa.sa.gov.au/resource/B+76111")</f>
        <v>http://collections.slsa.sa.gov.au/resource/B+76111</v>
      </c>
    </row>
    <row r="11276" spans="1:11" x14ac:dyDescent="0.25">
      <c r="A11276" t="s">
        <v>34545</v>
      </c>
      <c r="B11276" s="1" t="str">
        <f>HYPERLINK("https://www.catalog.slsa.sa.gov.au/record=b3135288")</f>
        <v>https://www.catalog.slsa.sa.gov.au/record=b3135288</v>
      </c>
      <c r="C11276" s="1" t="str">
        <f>HYPERLINK("https://www.catalog.slsa.sa.gov.au/xrecord=b3135288")</f>
        <v>https://www.catalog.slsa.sa.gov.au/xrecord=b3135288</v>
      </c>
      <c r="D11276" t="s">
        <v>34160</v>
      </c>
      <c r="E11276" t="s">
        <v>34405</v>
      </c>
      <c r="F11276" t="s">
        <v>34406</v>
      </c>
      <c r="G11276" t="s">
        <v>34407</v>
      </c>
      <c r="H11276" t="s">
        <v>34408</v>
      </c>
      <c r="I11276" t="s">
        <v>34409</v>
      </c>
      <c r="J11276" t="s">
        <v>2510</v>
      </c>
      <c r="K11276" s="2" t="str">
        <f>HYPERLINK("http://collections.slsa.sa.gov.au/resource/B+76112")</f>
        <v>http://collections.slsa.sa.gov.au/resource/B+76112</v>
      </c>
    </row>
    <row r="11277" spans="1:11" x14ac:dyDescent="0.25">
      <c r="A11277" t="s">
        <v>34546</v>
      </c>
      <c r="B11277" s="1" t="str">
        <f>HYPERLINK("https://www.catalog.slsa.sa.gov.au/record=b3135289")</f>
        <v>https://www.catalog.slsa.sa.gov.au/record=b3135289</v>
      </c>
      <c r="C11277" s="1" t="str">
        <f>HYPERLINK("https://www.catalog.slsa.sa.gov.au/xrecord=b3135289")</f>
        <v>https://www.catalog.slsa.sa.gov.au/xrecord=b3135289</v>
      </c>
      <c r="D11277" t="s">
        <v>34160</v>
      </c>
      <c r="E11277" t="s">
        <v>34405</v>
      </c>
      <c r="F11277" t="s">
        <v>34406</v>
      </c>
      <c r="G11277" t="s">
        <v>34407</v>
      </c>
      <c r="H11277" t="s">
        <v>34408</v>
      </c>
      <c r="I11277" t="s">
        <v>34409</v>
      </c>
      <c r="J11277" t="s">
        <v>2510</v>
      </c>
      <c r="K11277" s="2" t="str">
        <f>HYPERLINK("http://collections.slsa.sa.gov.au/resource/B+76113")</f>
        <v>http://collections.slsa.sa.gov.au/resource/B+76113</v>
      </c>
    </row>
    <row r="11278" spans="1:11" x14ac:dyDescent="0.25">
      <c r="A11278" t="s">
        <v>34547</v>
      </c>
      <c r="B11278" s="1" t="str">
        <f>HYPERLINK("https://www.catalog.slsa.sa.gov.au/record=b3135290")</f>
        <v>https://www.catalog.slsa.sa.gov.au/record=b3135290</v>
      </c>
      <c r="C11278" s="1" t="str">
        <f>HYPERLINK("https://www.catalog.slsa.sa.gov.au/xrecord=b3135290")</f>
        <v>https://www.catalog.slsa.sa.gov.au/xrecord=b3135290</v>
      </c>
      <c r="D11278" t="s">
        <v>34160</v>
      </c>
      <c r="E11278" t="s">
        <v>34405</v>
      </c>
      <c r="F11278" t="s">
        <v>34406</v>
      </c>
      <c r="G11278" t="s">
        <v>34407</v>
      </c>
      <c r="H11278" t="s">
        <v>34408</v>
      </c>
      <c r="I11278" t="s">
        <v>34409</v>
      </c>
      <c r="J11278" t="s">
        <v>2510</v>
      </c>
      <c r="K11278" s="2" t="str">
        <f>HYPERLINK("http://collections.slsa.sa.gov.au/resource/B+76114")</f>
        <v>http://collections.slsa.sa.gov.au/resource/B+76114</v>
      </c>
    </row>
    <row r="11279" spans="1:11" x14ac:dyDescent="0.25">
      <c r="A11279" t="s">
        <v>34548</v>
      </c>
      <c r="B11279" s="1" t="str">
        <f>HYPERLINK("https://www.catalog.slsa.sa.gov.au/record=b3135291")</f>
        <v>https://www.catalog.slsa.sa.gov.au/record=b3135291</v>
      </c>
      <c r="C11279" s="1" t="str">
        <f>HYPERLINK("https://www.catalog.slsa.sa.gov.au/xrecord=b3135291")</f>
        <v>https://www.catalog.slsa.sa.gov.au/xrecord=b3135291</v>
      </c>
      <c r="D11279" t="s">
        <v>34160</v>
      </c>
      <c r="E11279" t="s">
        <v>34405</v>
      </c>
      <c r="F11279" t="s">
        <v>34406</v>
      </c>
      <c r="G11279" t="s">
        <v>34407</v>
      </c>
      <c r="H11279" t="s">
        <v>34408</v>
      </c>
      <c r="I11279" t="s">
        <v>34409</v>
      </c>
      <c r="J11279" t="s">
        <v>2510</v>
      </c>
      <c r="K11279" s="2" t="str">
        <f>HYPERLINK("http://collections.slsa.sa.gov.au/resource/B+76115")</f>
        <v>http://collections.slsa.sa.gov.au/resource/B+76115</v>
      </c>
    </row>
    <row r="11280" spans="1:11" x14ac:dyDescent="0.25">
      <c r="A11280" t="s">
        <v>34549</v>
      </c>
      <c r="B11280" s="1" t="str">
        <f>HYPERLINK("https://www.catalog.slsa.sa.gov.au/record=b3135292")</f>
        <v>https://www.catalog.slsa.sa.gov.au/record=b3135292</v>
      </c>
      <c r="C11280" s="1" t="str">
        <f>HYPERLINK("https://www.catalog.slsa.sa.gov.au/xrecord=b3135292")</f>
        <v>https://www.catalog.slsa.sa.gov.au/xrecord=b3135292</v>
      </c>
      <c r="D11280" t="s">
        <v>34160</v>
      </c>
      <c r="E11280" t="s">
        <v>34405</v>
      </c>
      <c r="F11280" t="s">
        <v>34406</v>
      </c>
      <c r="G11280" t="s">
        <v>34407</v>
      </c>
      <c r="H11280" t="s">
        <v>34408</v>
      </c>
      <c r="I11280" t="s">
        <v>34409</v>
      </c>
      <c r="J11280" t="s">
        <v>2510</v>
      </c>
      <c r="K11280" s="2" t="str">
        <f>HYPERLINK("http://collections.slsa.sa.gov.au/resource/B+76116")</f>
        <v>http://collections.slsa.sa.gov.au/resource/B+76116</v>
      </c>
    </row>
    <row r="11281" spans="1:11" x14ac:dyDescent="0.25">
      <c r="A11281" t="s">
        <v>34550</v>
      </c>
      <c r="B11281" s="1" t="str">
        <f>HYPERLINK("https://www.catalog.slsa.sa.gov.au/record=b2074409")</f>
        <v>https://www.catalog.slsa.sa.gov.au/record=b2074409</v>
      </c>
      <c r="C11281" s="1" t="str">
        <f>HYPERLINK("https://www.catalog.slsa.sa.gov.au/xrecord=b2074409")</f>
        <v>https://www.catalog.slsa.sa.gov.au/xrecord=b2074409</v>
      </c>
      <c r="D11281" t="s">
        <v>16831</v>
      </c>
      <c r="E11281" t="s">
        <v>34551</v>
      </c>
      <c r="F11281">
        <v>2000</v>
      </c>
      <c r="G11281" t="s">
        <v>34552</v>
      </c>
      <c r="H11281" t="s">
        <v>34553</v>
      </c>
      <c r="I11281" t="s">
        <v>34554</v>
      </c>
      <c r="J11281" t="s">
        <v>33542</v>
      </c>
      <c r="K11281" s="2" t="str">
        <f>HYPERLINK("http://collections.slsa.sa.gov.au/mpcimg/64000/B63922.htm")</f>
        <v>http://collections.slsa.sa.gov.au/mpcimg/64000/B63922.htm</v>
      </c>
    </row>
    <row r="11282" spans="1:11" x14ac:dyDescent="0.25">
      <c r="A11282" t="s">
        <v>34555</v>
      </c>
      <c r="B11282" s="1" t="str">
        <f>HYPERLINK("https://www.catalog.slsa.sa.gov.au/record=b2074410")</f>
        <v>https://www.catalog.slsa.sa.gov.au/record=b2074410</v>
      </c>
      <c r="C11282" s="1" t="str">
        <f>HYPERLINK("https://www.catalog.slsa.sa.gov.au/xrecord=b2074410")</f>
        <v>https://www.catalog.slsa.sa.gov.au/xrecord=b2074410</v>
      </c>
      <c r="D11282" t="s">
        <v>16831</v>
      </c>
      <c r="E11282" t="s">
        <v>34556</v>
      </c>
      <c r="F11282">
        <v>2000</v>
      </c>
      <c r="G11282" t="s">
        <v>34179</v>
      </c>
      <c r="H11282" t="s">
        <v>34557</v>
      </c>
      <c r="I11282" t="s">
        <v>34558</v>
      </c>
      <c r="J11282" t="s">
        <v>33542</v>
      </c>
      <c r="K11282" s="2" t="str">
        <f>HYPERLINK("http://collections.slsa.sa.gov.au/mpcimg/64000/B63923.htm")</f>
        <v>http://collections.slsa.sa.gov.au/mpcimg/64000/B63923.htm</v>
      </c>
    </row>
    <row r="11283" spans="1:11" x14ac:dyDescent="0.25">
      <c r="A11283" t="s">
        <v>34559</v>
      </c>
      <c r="B11283" s="1" t="str">
        <f>HYPERLINK("https://www.catalog.slsa.sa.gov.au/record=b2074411")</f>
        <v>https://www.catalog.slsa.sa.gov.au/record=b2074411</v>
      </c>
      <c r="C11283" s="1" t="str">
        <f>HYPERLINK("https://www.catalog.slsa.sa.gov.au/xrecord=b2074411")</f>
        <v>https://www.catalog.slsa.sa.gov.au/xrecord=b2074411</v>
      </c>
      <c r="D11283" t="s">
        <v>16831</v>
      </c>
      <c r="E11283" t="s">
        <v>34556</v>
      </c>
      <c r="F11283">
        <v>2000</v>
      </c>
      <c r="G11283" t="s">
        <v>34560</v>
      </c>
      <c r="H11283" t="s">
        <v>34561</v>
      </c>
      <c r="I11283" t="s">
        <v>34562</v>
      </c>
      <c r="J11283" t="s">
        <v>33542</v>
      </c>
      <c r="K11283" s="2" t="str">
        <f>HYPERLINK("http://collections.slsa.sa.gov.au/mpcimg/64000/B63924.htm")</f>
        <v>http://collections.slsa.sa.gov.au/mpcimg/64000/B63924.htm</v>
      </c>
    </row>
    <row r="11284" spans="1:11" x14ac:dyDescent="0.25">
      <c r="A11284" t="s">
        <v>34563</v>
      </c>
      <c r="B11284" s="1" t="str">
        <f>HYPERLINK("https://www.catalog.slsa.sa.gov.au/record=b2074412")</f>
        <v>https://www.catalog.slsa.sa.gov.au/record=b2074412</v>
      </c>
      <c r="C11284" s="1" t="str">
        <f>HYPERLINK("https://www.catalog.slsa.sa.gov.au/xrecord=b2074412")</f>
        <v>https://www.catalog.slsa.sa.gov.au/xrecord=b2074412</v>
      </c>
      <c r="D11284" t="s">
        <v>16831</v>
      </c>
      <c r="E11284" t="s">
        <v>34556</v>
      </c>
      <c r="F11284">
        <v>2000</v>
      </c>
      <c r="G11284" t="s">
        <v>34564</v>
      </c>
      <c r="H11284" t="s">
        <v>34565</v>
      </c>
      <c r="I11284" t="s">
        <v>34566</v>
      </c>
      <c r="J11284" t="s">
        <v>33542</v>
      </c>
      <c r="K11284" s="2" t="str">
        <f>HYPERLINK("http://collections.slsa.sa.gov.au/mpcimg/64000/B63925.htm")</f>
        <v>http://collections.slsa.sa.gov.au/mpcimg/64000/B63925.htm</v>
      </c>
    </row>
    <row r="11285" spans="1:11" x14ac:dyDescent="0.25">
      <c r="A11285" t="s">
        <v>34567</v>
      </c>
      <c r="B11285" s="1" t="str">
        <f>HYPERLINK("https://www.catalog.slsa.sa.gov.au/record=b2074413")</f>
        <v>https://www.catalog.slsa.sa.gov.au/record=b2074413</v>
      </c>
      <c r="C11285" s="1" t="str">
        <f>HYPERLINK("https://www.catalog.slsa.sa.gov.au/xrecord=b2074413")</f>
        <v>https://www.catalog.slsa.sa.gov.au/xrecord=b2074413</v>
      </c>
      <c r="D11285" t="s">
        <v>16831</v>
      </c>
      <c r="E11285" t="s">
        <v>34556</v>
      </c>
      <c r="F11285">
        <v>2000</v>
      </c>
      <c r="G11285" t="s">
        <v>34560</v>
      </c>
      <c r="H11285" t="s">
        <v>34568</v>
      </c>
      <c r="I11285" t="s">
        <v>34569</v>
      </c>
      <c r="J11285" t="s">
        <v>33542</v>
      </c>
      <c r="K11285" s="2" t="str">
        <f>HYPERLINK("http://collections.slsa.sa.gov.au/mpcimg/64000/B63926.htm")</f>
        <v>http://collections.slsa.sa.gov.au/mpcimg/64000/B63926.htm</v>
      </c>
    </row>
    <row r="11286" spans="1:11" x14ac:dyDescent="0.25">
      <c r="A11286" t="s">
        <v>34570</v>
      </c>
      <c r="B11286" s="1" t="str">
        <f>HYPERLINK("https://www.catalog.slsa.sa.gov.au/record=b2074654")</f>
        <v>https://www.catalog.slsa.sa.gov.au/record=b2074654</v>
      </c>
      <c r="C11286" s="1" t="str">
        <f>HYPERLINK("https://www.catalog.slsa.sa.gov.au/xrecord=b2074654")</f>
        <v>https://www.catalog.slsa.sa.gov.au/xrecord=b2074654</v>
      </c>
      <c r="D11286" t="s">
        <v>31902</v>
      </c>
      <c r="E11286" t="s">
        <v>34571</v>
      </c>
      <c r="F11286">
        <v>2000</v>
      </c>
      <c r="G11286" t="s">
        <v>33708</v>
      </c>
      <c r="H11286" t="s">
        <v>34572</v>
      </c>
      <c r="I11286" t="s">
        <v>34573</v>
      </c>
      <c r="J11286" t="s">
        <v>34044</v>
      </c>
      <c r="K11286" s="2" t="str">
        <f>HYPERLINK("http://collections.slsa.sa.gov.au/mpcimgr/64250/B64154.htm")</f>
        <v>http://collections.slsa.sa.gov.au/mpcimgr/64250/B64154.htm</v>
      </c>
    </row>
    <row r="11287" spans="1:11" x14ac:dyDescent="0.25">
      <c r="A11287" t="s">
        <v>34574</v>
      </c>
      <c r="B11287" s="1" t="str">
        <f>HYPERLINK("https://www.catalog.slsa.sa.gov.au/record=b2074655")</f>
        <v>https://www.catalog.slsa.sa.gov.au/record=b2074655</v>
      </c>
      <c r="C11287" s="1" t="str">
        <f>HYPERLINK("https://www.catalog.slsa.sa.gov.au/xrecord=b2074655")</f>
        <v>https://www.catalog.slsa.sa.gov.au/xrecord=b2074655</v>
      </c>
      <c r="D11287" t="s">
        <v>31902</v>
      </c>
      <c r="E11287" t="s">
        <v>34575</v>
      </c>
      <c r="F11287">
        <v>2000</v>
      </c>
      <c r="G11287" t="s">
        <v>33708</v>
      </c>
      <c r="H11287" t="s">
        <v>34576</v>
      </c>
      <c r="I11287" t="s">
        <v>34577</v>
      </c>
      <c r="J11287" t="s">
        <v>34044</v>
      </c>
      <c r="K11287" s="2" t="str">
        <f>HYPERLINK("http://collections.slsa.sa.gov.au/mpcimgr/64250/B64155.htm")</f>
        <v>http://collections.slsa.sa.gov.au/mpcimgr/64250/B64155.htm</v>
      </c>
    </row>
    <row r="11288" spans="1:11" x14ac:dyDescent="0.25">
      <c r="A11288" t="s">
        <v>34578</v>
      </c>
      <c r="B11288" s="1" t="str">
        <f>HYPERLINK("https://www.catalog.slsa.sa.gov.au/record=b2074658")</f>
        <v>https://www.catalog.slsa.sa.gov.au/record=b2074658</v>
      </c>
      <c r="C11288" s="1" t="str">
        <f>HYPERLINK("https://www.catalog.slsa.sa.gov.au/xrecord=b2074658")</f>
        <v>https://www.catalog.slsa.sa.gov.au/xrecord=b2074658</v>
      </c>
      <c r="D11288" t="s">
        <v>31902</v>
      </c>
      <c r="E11288" t="s">
        <v>34040</v>
      </c>
      <c r="F11288">
        <v>2000</v>
      </c>
      <c r="G11288" t="s">
        <v>33708</v>
      </c>
      <c r="H11288" t="s">
        <v>34579</v>
      </c>
      <c r="I11288" t="s">
        <v>34047</v>
      </c>
      <c r="J11288" t="s">
        <v>34044</v>
      </c>
      <c r="K11288" s="2" t="str">
        <f>HYPERLINK("http://collections.slsa.sa.gov.au/mpcimgr/64250/B64158.htm")</f>
        <v>http://collections.slsa.sa.gov.au/mpcimgr/64250/B64158.htm</v>
      </c>
    </row>
    <row r="11289" spans="1:11" x14ac:dyDescent="0.25">
      <c r="A11289" t="s">
        <v>34580</v>
      </c>
      <c r="B11289" s="1" t="str">
        <f>HYPERLINK("https://www.catalog.slsa.sa.gov.au/record=b2074660")</f>
        <v>https://www.catalog.slsa.sa.gov.au/record=b2074660</v>
      </c>
      <c r="C11289" s="1" t="str">
        <f>HYPERLINK("https://www.catalog.slsa.sa.gov.au/xrecord=b2074660")</f>
        <v>https://www.catalog.slsa.sa.gov.au/xrecord=b2074660</v>
      </c>
      <c r="D11289" t="s">
        <v>31902</v>
      </c>
      <c r="E11289" t="s">
        <v>34581</v>
      </c>
      <c r="F11289">
        <v>2000</v>
      </c>
      <c r="G11289" t="s">
        <v>33708</v>
      </c>
      <c r="H11289" t="s">
        <v>34582</v>
      </c>
      <c r="I11289" t="s">
        <v>34583</v>
      </c>
      <c r="J11289" t="s">
        <v>34584</v>
      </c>
      <c r="K11289" s="2" t="str">
        <f>HYPERLINK("http://collections.slsa.sa.gov.au/mpcimgr/64250/B64159.htm")</f>
        <v>http://collections.slsa.sa.gov.au/mpcimgr/64250/B64159.htm</v>
      </c>
    </row>
    <row r="11290" spans="1:11" x14ac:dyDescent="0.25">
      <c r="A11290" t="s">
        <v>34585</v>
      </c>
      <c r="B11290" s="1" t="str">
        <f>HYPERLINK("https://www.catalog.slsa.sa.gov.au/record=b2074661")</f>
        <v>https://www.catalog.slsa.sa.gov.au/record=b2074661</v>
      </c>
      <c r="C11290" s="1" t="str">
        <f>HYPERLINK("https://www.catalog.slsa.sa.gov.au/xrecord=b2074661")</f>
        <v>https://www.catalog.slsa.sa.gov.au/xrecord=b2074661</v>
      </c>
      <c r="D11290" t="s">
        <v>31902</v>
      </c>
      <c r="E11290" t="s">
        <v>34586</v>
      </c>
      <c r="F11290">
        <v>2000</v>
      </c>
      <c r="G11290" t="s">
        <v>33708</v>
      </c>
      <c r="H11290" t="s">
        <v>34587</v>
      </c>
      <c r="I11290" t="s">
        <v>34588</v>
      </c>
      <c r="J11290" t="s">
        <v>34589</v>
      </c>
      <c r="K11290" s="2" t="str">
        <f>HYPERLINK("http://collections.slsa.sa.gov.au/mpcimgr/64250/B64160.htm")</f>
        <v>http://collections.slsa.sa.gov.au/mpcimgr/64250/B64160.htm</v>
      </c>
    </row>
    <row r="11291" spans="1:11" x14ac:dyDescent="0.25">
      <c r="A11291" t="s">
        <v>34590</v>
      </c>
      <c r="B11291" s="1" t="str">
        <f>HYPERLINK("https://www.catalog.slsa.sa.gov.au/record=b2074697")</f>
        <v>https://www.catalog.slsa.sa.gov.au/record=b2074697</v>
      </c>
      <c r="C11291" s="1" t="str">
        <f>HYPERLINK("https://www.catalog.slsa.sa.gov.au/xrecord=b2074697")</f>
        <v>https://www.catalog.slsa.sa.gov.au/xrecord=b2074697</v>
      </c>
      <c r="D11291" t="s">
        <v>16831</v>
      </c>
      <c r="E11291" t="s">
        <v>34257</v>
      </c>
      <c r="F11291">
        <v>2000</v>
      </c>
      <c r="G11291" t="s">
        <v>34269</v>
      </c>
      <c r="H11291" t="s">
        <v>34591</v>
      </c>
      <c r="I11291" t="s">
        <v>34592</v>
      </c>
      <c r="J11291" t="s">
        <v>34593</v>
      </c>
      <c r="K11291" s="2" t="str">
        <f>HYPERLINK("http://collections.slsa.sa.gov.au/mpcimg/64250/B64094.htm")</f>
        <v>http://collections.slsa.sa.gov.au/mpcimg/64250/B64094.htm</v>
      </c>
    </row>
    <row r="11292" spans="1:11" x14ac:dyDescent="0.25">
      <c r="A11292" t="s">
        <v>34594</v>
      </c>
      <c r="B11292" s="1" t="str">
        <f>HYPERLINK("https://www.catalog.slsa.sa.gov.au/record=b2096703")</f>
        <v>https://www.catalog.slsa.sa.gov.au/record=b2096703</v>
      </c>
      <c r="C11292" s="1" t="str">
        <f>HYPERLINK("https://www.catalog.slsa.sa.gov.au/xrecord=b2096703")</f>
        <v>https://www.catalog.slsa.sa.gov.au/xrecord=b2096703</v>
      </c>
      <c r="D11292" t="s">
        <v>16831</v>
      </c>
      <c r="E11292" t="s">
        <v>34595</v>
      </c>
      <c r="F11292">
        <v>2000</v>
      </c>
      <c r="G11292" t="s">
        <v>34596</v>
      </c>
      <c r="H11292" t="s">
        <v>34597</v>
      </c>
      <c r="I11292" t="s">
        <v>34598</v>
      </c>
      <c r="J11292" t="s">
        <v>2510</v>
      </c>
      <c r="K11292" s="2" t="str">
        <f>HYPERLINK("http://collections.slsa.sa.gov.au/mpcimg/69000/B68880.htm")</f>
        <v>http://collections.slsa.sa.gov.au/mpcimg/69000/B68880.htm</v>
      </c>
    </row>
    <row r="11293" spans="1:11" x14ac:dyDescent="0.25">
      <c r="A11293" t="s">
        <v>34599</v>
      </c>
      <c r="B11293" s="1" t="str">
        <f>HYPERLINK("https://www.catalog.slsa.sa.gov.au/record=b2121697")</f>
        <v>https://www.catalog.slsa.sa.gov.au/record=b2121697</v>
      </c>
      <c r="C11293" s="1" t="str">
        <f>HYPERLINK("https://www.catalog.slsa.sa.gov.au/xrecord=b2121697")</f>
        <v>https://www.catalog.slsa.sa.gov.au/xrecord=b2121697</v>
      </c>
      <c r="D11293" t="s">
        <v>16831</v>
      </c>
      <c r="E11293" t="s">
        <v>34600</v>
      </c>
      <c r="F11293">
        <v>2000</v>
      </c>
      <c r="G11293" t="s">
        <v>34601</v>
      </c>
      <c r="H11293" t="s">
        <v>34602</v>
      </c>
      <c r="I11293" t="s">
        <v>34603</v>
      </c>
      <c r="J11293" t="s">
        <v>32653</v>
      </c>
      <c r="K11293" s="2" t="str">
        <f>HYPERLINK("http://collections.slsa.sa.gov.au/mpcimg/70750/B70552.htm")</f>
        <v>http://collections.slsa.sa.gov.au/mpcimg/70750/B70552.htm</v>
      </c>
    </row>
    <row r="11294" spans="1:11" x14ac:dyDescent="0.25">
      <c r="A11294" t="s">
        <v>34604</v>
      </c>
      <c r="B11294" s="1" t="str">
        <f>HYPERLINK("https://www.catalog.slsa.sa.gov.au/record=b2121698")</f>
        <v>https://www.catalog.slsa.sa.gov.au/record=b2121698</v>
      </c>
      <c r="C11294" s="1" t="str">
        <f>HYPERLINK("https://www.catalog.slsa.sa.gov.au/xrecord=b2121698")</f>
        <v>https://www.catalog.slsa.sa.gov.au/xrecord=b2121698</v>
      </c>
      <c r="D11294" t="s">
        <v>16831</v>
      </c>
      <c r="E11294" t="s">
        <v>34605</v>
      </c>
      <c r="F11294">
        <v>2000</v>
      </c>
      <c r="G11294" t="s">
        <v>34606</v>
      </c>
      <c r="H11294" t="s">
        <v>34607</v>
      </c>
      <c r="I11294" t="s">
        <v>34608</v>
      </c>
      <c r="J11294" t="s">
        <v>32653</v>
      </c>
      <c r="K11294" s="2" t="str">
        <f>HYPERLINK("http://collections.slsa.sa.gov.au/mpcimg/70750/B70553.htm")</f>
        <v>http://collections.slsa.sa.gov.au/mpcimg/70750/B70553.htm</v>
      </c>
    </row>
    <row r="11295" spans="1:11" x14ac:dyDescent="0.25">
      <c r="A11295" t="s">
        <v>34609</v>
      </c>
      <c r="B11295" s="1" t="str">
        <f>HYPERLINK("https://www.catalog.slsa.sa.gov.au/record=b2121702")</f>
        <v>https://www.catalog.slsa.sa.gov.au/record=b2121702</v>
      </c>
      <c r="C11295" s="1" t="str">
        <f>HYPERLINK("https://www.catalog.slsa.sa.gov.au/xrecord=b2121702")</f>
        <v>https://www.catalog.slsa.sa.gov.au/xrecord=b2121702</v>
      </c>
      <c r="D11295" t="s">
        <v>16831</v>
      </c>
      <c r="E11295" t="s">
        <v>34610</v>
      </c>
      <c r="F11295">
        <v>2000</v>
      </c>
      <c r="G11295" t="s">
        <v>34606</v>
      </c>
      <c r="H11295" t="s">
        <v>34611</v>
      </c>
      <c r="I11295" t="s">
        <v>34612</v>
      </c>
      <c r="J11295" t="s">
        <v>32653</v>
      </c>
      <c r="K11295" s="2" t="str">
        <f>HYPERLINK("http://collections.slsa.sa.gov.au/mpcimg/70750/B70554.htm")</f>
        <v>http://collections.slsa.sa.gov.au/mpcimg/70750/B70554.htm</v>
      </c>
    </row>
    <row r="11296" spans="1:11" x14ac:dyDescent="0.25">
      <c r="A11296" t="s">
        <v>34613</v>
      </c>
      <c r="B11296" s="1" t="str">
        <f>HYPERLINK("https://www.catalog.slsa.sa.gov.au/record=b2121703")</f>
        <v>https://www.catalog.slsa.sa.gov.au/record=b2121703</v>
      </c>
      <c r="C11296" s="1" t="str">
        <f>HYPERLINK("https://www.catalog.slsa.sa.gov.au/xrecord=b2121703")</f>
        <v>https://www.catalog.slsa.sa.gov.au/xrecord=b2121703</v>
      </c>
      <c r="D11296" t="s">
        <v>16831</v>
      </c>
      <c r="E11296" t="s">
        <v>34610</v>
      </c>
      <c r="F11296">
        <v>2000</v>
      </c>
      <c r="G11296" t="s">
        <v>34601</v>
      </c>
      <c r="H11296" t="s">
        <v>34611</v>
      </c>
      <c r="I11296" t="s">
        <v>34612</v>
      </c>
      <c r="J11296" t="s">
        <v>32653</v>
      </c>
      <c r="K11296" s="2" t="str">
        <f>HYPERLINK("http://collections.slsa.sa.gov.au/mpcimg/70750/B70555.htm")</f>
        <v>http://collections.slsa.sa.gov.au/mpcimg/70750/B70555.htm</v>
      </c>
    </row>
    <row r="11297" spans="1:11" x14ac:dyDescent="0.25">
      <c r="A11297" t="s">
        <v>34614</v>
      </c>
      <c r="B11297" s="1" t="str">
        <f>HYPERLINK("https://www.catalog.slsa.sa.gov.au/record=b2121704")</f>
        <v>https://www.catalog.slsa.sa.gov.au/record=b2121704</v>
      </c>
      <c r="C11297" s="1" t="str">
        <f>HYPERLINK("https://www.catalog.slsa.sa.gov.au/xrecord=b2121704")</f>
        <v>https://www.catalog.slsa.sa.gov.au/xrecord=b2121704</v>
      </c>
      <c r="D11297" t="s">
        <v>16831</v>
      </c>
      <c r="E11297" t="s">
        <v>34615</v>
      </c>
      <c r="F11297">
        <v>2000</v>
      </c>
      <c r="G11297" t="s">
        <v>34616</v>
      </c>
      <c r="H11297" t="s">
        <v>34617</v>
      </c>
      <c r="I11297" t="s">
        <v>34618</v>
      </c>
      <c r="J11297" t="s">
        <v>32653</v>
      </c>
      <c r="K11297" s="2" t="str">
        <f>HYPERLINK("http://collections.slsa.sa.gov.au/mpcimg/70750/B70556.htm")</f>
        <v>http://collections.slsa.sa.gov.au/mpcimg/70750/B70556.htm</v>
      </c>
    </row>
    <row r="11298" spans="1:11" x14ac:dyDescent="0.25">
      <c r="A11298" t="s">
        <v>34619</v>
      </c>
      <c r="B11298" s="1" t="str">
        <f>HYPERLINK("https://www.catalog.slsa.sa.gov.au/record=b2121705")</f>
        <v>https://www.catalog.slsa.sa.gov.au/record=b2121705</v>
      </c>
      <c r="C11298" s="1" t="str">
        <f>HYPERLINK("https://www.catalog.slsa.sa.gov.au/xrecord=b2121705")</f>
        <v>https://www.catalog.slsa.sa.gov.au/xrecord=b2121705</v>
      </c>
      <c r="D11298" t="s">
        <v>16831</v>
      </c>
      <c r="E11298" t="s">
        <v>34620</v>
      </c>
      <c r="F11298">
        <v>2000</v>
      </c>
      <c r="G11298" t="s">
        <v>34616</v>
      </c>
      <c r="H11298" t="s">
        <v>34621</v>
      </c>
      <c r="I11298" t="s">
        <v>34622</v>
      </c>
      <c r="J11298" t="s">
        <v>32653</v>
      </c>
      <c r="K11298" s="2" t="str">
        <f>HYPERLINK("http://collections.slsa.sa.gov.au/mpcimg/70750/B70557.htm")</f>
        <v>http://collections.slsa.sa.gov.au/mpcimg/70750/B70557.htm</v>
      </c>
    </row>
    <row r="11299" spans="1:11" x14ac:dyDescent="0.25">
      <c r="A11299" t="s">
        <v>34623</v>
      </c>
      <c r="B11299" s="1" t="str">
        <f>HYPERLINK("https://www.catalog.slsa.sa.gov.au/record=b2121707")</f>
        <v>https://www.catalog.slsa.sa.gov.au/record=b2121707</v>
      </c>
      <c r="C11299" s="1" t="str">
        <f>HYPERLINK("https://www.catalog.slsa.sa.gov.au/xrecord=b2121707")</f>
        <v>https://www.catalog.slsa.sa.gov.au/xrecord=b2121707</v>
      </c>
      <c r="D11299" t="s">
        <v>16831</v>
      </c>
      <c r="E11299" t="s">
        <v>34624</v>
      </c>
      <c r="F11299">
        <v>2000</v>
      </c>
      <c r="G11299" t="s">
        <v>34625</v>
      </c>
      <c r="H11299" t="s">
        <v>34626</v>
      </c>
      <c r="I11299" t="s">
        <v>34627</v>
      </c>
      <c r="J11299" t="s">
        <v>32653</v>
      </c>
      <c r="K11299" s="2" t="str">
        <f>HYPERLINK("http://collections.slsa.sa.gov.au/mpcimg/70750/B70558.htm")</f>
        <v>http://collections.slsa.sa.gov.au/mpcimg/70750/B70558.htm</v>
      </c>
    </row>
    <row r="11300" spans="1:11" x14ac:dyDescent="0.25">
      <c r="A11300" t="s">
        <v>34628</v>
      </c>
      <c r="B11300" s="1" t="str">
        <f>HYPERLINK("https://www.catalog.slsa.sa.gov.au/record=b2121709")</f>
        <v>https://www.catalog.slsa.sa.gov.au/record=b2121709</v>
      </c>
      <c r="C11300" s="1" t="str">
        <f>HYPERLINK("https://www.catalog.slsa.sa.gov.au/xrecord=b2121709")</f>
        <v>https://www.catalog.slsa.sa.gov.au/xrecord=b2121709</v>
      </c>
      <c r="D11300" t="s">
        <v>16831</v>
      </c>
      <c r="E11300" t="s">
        <v>34629</v>
      </c>
      <c r="F11300">
        <v>2000</v>
      </c>
      <c r="G11300" t="s">
        <v>34606</v>
      </c>
      <c r="H11300" t="s">
        <v>34630</v>
      </c>
      <c r="I11300" t="s">
        <v>34618</v>
      </c>
      <c r="J11300" t="s">
        <v>32653</v>
      </c>
      <c r="K11300" s="2" t="str">
        <f>HYPERLINK("http://collections.slsa.sa.gov.au/mpcimg/70750/B70559.htm")</f>
        <v>http://collections.slsa.sa.gov.au/mpcimg/70750/B70559.htm</v>
      </c>
    </row>
    <row r="11301" spans="1:11" x14ac:dyDescent="0.25">
      <c r="A11301" t="s">
        <v>34631</v>
      </c>
      <c r="B11301" s="1" t="str">
        <f>HYPERLINK("https://www.catalog.slsa.sa.gov.au/record=b2121710")</f>
        <v>https://www.catalog.slsa.sa.gov.au/record=b2121710</v>
      </c>
      <c r="C11301" s="1" t="str">
        <f>HYPERLINK("https://www.catalog.slsa.sa.gov.au/xrecord=b2121710")</f>
        <v>https://www.catalog.slsa.sa.gov.au/xrecord=b2121710</v>
      </c>
      <c r="D11301" t="s">
        <v>16831</v>
      </c>
      <c r="E11301" t="s">
        <v>34632</v>
      </c>
      <c r="F11301">
        <v>2000</v>
      </c>
      <c r="G11301" t="s">
        <v>34606</v>
      </c>
      <c r="H11301" t="s">
        <v>34633</v>
      </c>
      <c r="I11301" t="s">
        <v>34618</v>
      </c>
      <c r="J11301" t="s">
        <v>32653</v>
      </c>
      <c r="K11301" s="2" t="str">
        <f>HYPERLINK("http://collections.slsa.sa.gov.au/mpcimg/70750/B70560.htm")</f>
        <v>http://collections.slsa.sa.gov.au/mpcimg/70750/B70560.htm</v>
      </c>
    </row>
    <row r="11302" spans="1:11" x14ac:dyDescent="0.25">
      <c r="A11302" t="s">
        <v>34634</v>
      </c>
      <c r="B11302" s="1" t="str">
        <f>HYPERLINK("https://www.catalog.slsa.sa.gov.au/record=b2121714")</f>
        <v>https://www.catalog.slsa.sa.gov.au/record=b2121714</v>
      </c>
      <c r="C11302" s="1" t="str">
        <f>HYPERLINK("https://www.catalog.slsa.sa.gov.au/xrecord=b2121714")</f>
        <v>https://www.catalog.slsa.sa.gov.au/xrecord=b2121714</v>
      </c>
      <c r="D11302" t="s">
        <v>16831</v>
      </c>
      <c r="E11302" t="s">
        <v>34635</v>
      </c>
      <c r="F11302">
        <v>2000</v>
      </c>
      <c r="G11302" t="s">
        <v>34625</v>
      </c>
      <c r="H11302" t="s">
        <v>34636</v>
      </c>
      <c r="I11302" t="s">
        <v>34612</v>
      </c>
      <c r="J11302" t="s">
        <v>32653</v>
      </c>
      <c r="K11302" s="2" t="str">
        <f>HYPERLINK("http://collections.slsa.sa.gov.au/mpcimg/70750/B70561.htm")</f>
        <v>http://collections.slsa.sa.gov.au/mpcimg/70750/B70561.htm</v>
      </c>
    </row>
    <row r="11303" spans="1:11" x14ac:dyDescent="0.25">
      <c r="A11303" t="s">
        <v>34637</v>
      </c>
      <c r="B11303" s="1" t="str">
        <f>HYPERLINK("https://www.catalog.slsa.sa.gov.au/record=b2203868")</f>
        <v>https://www.catalog.slsa.sa.gov.au/record=b2203868</v>
      </c>
      <c r="C11303" s="1" t="str">
        <f>HYPERLINK("https://www.catalog.slsa.sa.gov.au/xrecord=b2203868")</f>
        <v>https://www.catalog.slsa.sa.gov.au/xrecord=b2203868</v>
      </c>
      <c r="D11303" t="s">
        <v>31902</v>
      </c>
      <c r="E11303" t="s">
        <v>34638</v>
      </c>
      <c r="F11303">
        <v>2000</v>
      </c>
      <c r="G11303" t="s">
        <v>33690</v>
      </c>
      <c r="H11303" t="s">
        <v>34639</v>
      </c>
      <c r="J11303" t="s">
        <v>14768</v>
      </c>
      <c r="K11303" s="2" t="str">
        <f>HYPERLINK("http://collections.slsa.sa.gov.au/mpcimg/69500/B69282_11.htm")</f>
        <v>http://collections.slsa.sa.gov.au/mpcimg/69500/B69282_11.htm</v>
      </c>
    </row>
    <row r="11304" spans="1:11" x14ac:dyDescent="0.25">
      <c r="A11304" t="s">
        <v>34640</v>
      </c>
      <c r="B11304" s="1" t="str">
        <f>HYPERLINK("https://www.catalog.slsa.sa.gov.au/record=b2203869")</f>
        <v>https://www.catalog.slsa.sa.gov.au/record=b2203869</v>
      </c>
      <c r="C11304" s="1" t="str">
        <f>HYPERLINK("https://www.catalog.slsa.sa.gov.au/xrecord=b2203869")</f>
        <v>https://www.catalog.slsa.sa.gov.au/xrecord=b2203869</v>
      </c>
      <c r="D11304" t="s">
        <v>31902</v>
      </c>
      <c r="E11304" t="s">
        <v>34638</v>
      </c>
      <c r="F11304">
        <v>2000</v>
      </c>
      <c r="G11304" t="s">
        <v>33690</v>
      </c>
      <c r="H11304" t="s">
        <v>34641</v>
      </c>
      <c r="J11304" t="s">
        <v>14768</v>
      </c>
      <c r="K11304" s="2" t="str">
        <f>HYPERLINK("http://collections.slsa.sa.gov.au/mpcimg/69500/B69282_12.htm")</f>
        <v>http://collections.slsa.sa.gov.au/mpcimg/69500/B69282_12.htm</v>
      </c>
    </row>
    <row r="11305" spans="1:11" x14ac:dyDescent="0.25">
      <c r="A11305" t="s">
        <v>34642</v>
      </c>
      <c r="B11305" s="1" t="str">
        <f>HYPERLINK("https://www.catalog.slsa.sa.gov.au/record=b2203870")</f>
        <v>https://www.catalog.slsa.sa.gov.au/record=b2203870</v>
      </c>
      <c r="C11305" s="1" t="str">
        <f>HYPERLINK("https://www.catalog.slsa.sa.gov.au/xrecord=b2203870")</f>
        <v>https://www.catalog.slsa.sa.gov.au/xrecord=b2203870</v>
      </c>
      <c r="D11305" t="s">
        <v>31902</v>
      </c>
      <c r="E11305" t="s">
        <v>34638</v>
      </c>
      <c r="F11305">
        <v>2000</v>
      </c>
      <c r="G11305" t="s">
        <v>33690</v>
      </c>
      <c r="H11305" t="s">
        <v>34643</v>
      </c>
      <c r="J11305" t="s">
        <v>14768</v>
      </c>
      <c r="K11305" s="2" t="str">
        <f>HYPERLINK("http://collections.slsa.sa.gov.au/mpcimg/69500/B69282_13.htm")</f>
        <v>http://collections.slsa.sa.gov.au/mpcimg/69500/B69282_13.htm</v>
      </c>
    </row>
    <row r="11306" spans="1:11" x14ac:dyDescent="0.25">
      <c r="A11306" t="s">
        <v>34644</v>
      </c>
      <c r="B11306" s="1" t="str">
        <f>HYPERLINK("https://www.catalog.slsa.sa.gov.au/record=b2203873")</f>
        <v>https://www.catalog.slsa.sa.gov.au/record=b2203873</v>
      </c>
      <c r="C11306" s="1" t="str">
        <f>HYPERLINK("https://www.catalog.slsa.sa.gov.au/xrecord=b2203873")</f>
        <v>https://www.catalog.slsa.sa.gov.au/xrecord=b2203873</v>
      </c>
      <c r="D11306" t="s">
        <v>31902</v>
      </c>
      <c r="E11306" t="s">
        <v>34638</v>
      </c>
      <c r="F11306">
        <v>2000</v>
      </c>
      <c r="G11306" t="s">
        <v>33690</v>
      </c>
      <c r="H11306" t="s">
        <v>34645</v>
      </c>
      <c r="J11306" t="s">
        <v>14768</v>
      </c>
      <c r="K11306" s="2" t="str">
        <f>HYPERLINK("http://collections.slsa.sa.gov.au/mpcimg/69500/B69282_14.htm")</f>
        <v>http://collections.slsa.sa.gov.au/mpcimg/69500/B69282_14.htm</v>
      </c>
    </row>
    <row r="11307" spans="1:11" x14ac:dyDescent="0.25">
      <c r="A11307" t="s">
        <v>34646</v>
      </c>
      <c r="B11307" s="1" t="str">
        <f>HYPERLINK("https://www.catalog.slsa.sa.gov.au/record=b2203929")</f>
        <v>https://www.catalog.slsa.sa.gov.au/record=b2203929</v>
      </c>
      <c r="C11307" s="1" t="str">
        <f>HYPERLINK("https://www.catalog.slsa.sa.gov.au/xrecord=b2203929")</f>
        <v>https://www.catalog.slsa.sa.gov.au/xrecord=b2203929</v>
      </c>
      <c r="D11307" t="s">
        <v>31902</v>
      </c>
      <c r="E11307" t="s">
        <v>34638</v>
      </c>
      <c r="F11307">
        <v>2000</v>
      </c>
      <c r="G11307" t="s">
        <v>33690</v>
      </c>
      <c r="H11307" t="s">
        <v>34647</v>
      </c>
      <c r="J11307" t="s">
        <v>14768</v>
      </c>
      <c r="K11307" s="2" t="str">
        <f>HYPERLINK("http://collections.slsa.sa.gov.au/mpcimg/69500/B69282_15.htm")</f>
        <v>http://collections.slsa.sa.gov.au/mpcimg/69500/B69282_15.htm</v>
      </c>
    </row>
    <row r="11308" spans="1:11" x14ac:dyDescent="0.25">
      <c r="A11308" t="s">
        <v>34648</v>
      </c>
      <c r="B11308" s="1" t="str">
        <f>HYPERLINK("https://www.catalog.slsa.sa.gov.au/record=b2203939")</f>
        <v>https://www.catalog.slsa.sa.gov.au/record=b2203939</v>
      </c>
      <c r="C11308" s="1" t="str">
        <f>HYPERLINK("https://www.catalog.slsa.sa.gov.au/xrecord=b2203939")</f>
        <v>https://www.catalog.slsa.sa.gov.au/xrecord=b2203939</v>
      </c>
      <c r="D11308" t="s">
        <v>31902</v>
      </c>
      <c r="E11308" t="s">
        <v>34649</v>
      </c>
      <c r="F11308">
        <v>2000</v>
      </c>
      <c r="G11308" t="s">
        <v>33690</v>
      </c>
      <c r="H11308" t="s">
        <v>34650</v>
      </c>
      <c r="J11308" t="s">
        <v>14768</v>
      </c>
      <c r="K11308" s="2" t="str">
        <f>HYPERLINK("http://collections.slsa.sa.gov.au/mpcimg/69500/B69282_16.htm")</f>
        <v>http://collections.slsa.sa.gov.au/mpcimg/69500/B69282_16.htm</v>
      </c>
    </row>
    <row r="11309" spans="1:11" x14ac:dyDescent="0.25">
      <c r="A11309" t="s">
        <v>34651</v>
      </c>
      <c r="B11309" s="1" t="str">
        <f>HYPERLINK("https://www.catalog.slsa.sa.gov.au/record=b2203943")</f>
        <v>https://www.catalog.slsa.sa.gov.au/record=b2203943</v>
      </c>
      <c r="C11309" s="1" t="str">
        <f>HYPERLINK("https://www.catalog.slsa.sa.gov.au/xrecord=b2203943")</f>
        <v>https://www.catalog.slsa.sa.gov.au/xrecord=b2203943</v>
      </c>
      <c r="D11309" t="s">
        <v>31902</v>
      </c>
      <c r="E11309" t="s">
        <v>34652</v>
      </c>
      <c r="F11309">
        <v>2000</v>
      </c>
      <c r="G11309" t="s">
        <v>33690</v>
      </c>
      <c r="H11309" t="s">
        <v>34653</v>
      </c>
      <c r="J11309" t="s">
        <v>14768</v>
      </c>
      <c r="K11309" s="2" t="str">
        <f>HYPERLINK("http://collections.slsa.sa.gov.au/mpcimg/69500/B69282_17.htm")</f>
        <v>http://collections.slsa.sa.gov.au/mpcimg/69500/B69282_17.htm</v>
      </c>
    </row>
    <row r="11310" spans="1:11" x14ac:dyDescent="0.25">
      <c r="A11310" t="s">
        <v>34654</v>
      </c>
      <c r="B11310" s="1" t="str">
        <f>HYPERLINK("https://www.catalog.slsa.sa.gov.au/record=b2203945")</f>
        <v>https://www.catalog.slsa.sa.gov.au/record=b2203945</v>
      </c>
      <c r="C11310" s="1" t="str">
        <f>HYPERLINK("https://www.catalog.slsa.sa.gov.au/xrecord=b2203945")</f>
        <v>https://www.catalog.slsa.sa.gov.au/xrecord=b2203945</v>
      </c>
      <c r="D11310" t="s">
        <v>31902</v>
      </c>
      <c r="E11310" t="s">
        <v>34655</v>
      </c>
      <c r="F11310">
        <v>2000</v>
      </c>
      <c r="G11310" t="s">
        <v>33690</v>
      </c>
      <c r="H11310" t="s">
        <v>34656</v>
      </c>
      <c r="J11310" t="s">
        <v>14768</v>
      </c>
      <c r="K11310" s="2" t="str">
        <f>HYPERLINK("http://collections.slsa.sa.gov.au/mpcimg/69500/B69282_18.htm")</f>
        <v>http://collections.slsa.sa.gov.au/mpcimg/69500/B69282_18.htm</v>
      </c>
    </row>
    <row r="11311" spans="1:11" x14ac:dyDescent="0.25">
      <c r="A11311" t="s">
        <v>34657</v>
      </c>
      <c r="B11311" s="1" t="str">
        <f>HYPERLINK("https://www.catalog.slsa.sa.gov.au/record=b2203946")</f>
        <v>https://www.catalog.slsa.sa.gov.au/record=b2203946</v>
      </c>
      <c r="C11311" s="1" t="str">
        <f>HYPERLINK("https://www.catalog.slsa.sa.gov.au/xrecord=b2203946")</f>
        <v>https://www.catalog.slsa.sa.gov.au/xrecord=b2203946</v>
      </c>
      <c r="D11311" t="s">
        <v>31902</v>
      </c>
      <c r="E11311" t="s">
        <v>34658</v>
      </c>
      <c r="F11311">
        <v>2000</v>
      </c>
      <c r="G11311" t="s">
        <v>33690</v>
      </c>
      <c r="H11311" t="s">
        <v>34659</v>
      </c>
      <c r="J11311" t="s">
        <v>14768</v>
      </c>
      <c r="K11311" s="2" t="str">
        <f>HYPERLINK("http://collections.slsa.sa.gov.au/mpcimg/69500/B69282_19.htm")</f>
        <v>http://collections.slsa.sa.gov.au/mpcimg/69500/B69282_19.htm</v>
      </c>
    </row>
    <row r="11312" spans="1:11" x14ac:dyDescent="0.25">
      <c r="A11312" t="s">
        <v>34660</v>
      </c>
      <c r="B11312" s="1" t="str">
        <f>HYPERLINK("https://www.catalog.slsa.sa.gov.au/record=b2203948")</f>
        <v>https://www.catalog.slsa.sa.gov.au/record=b2203948</v>
      </c>
      <c r="C11312" s="1" t="str">
        <f>HYPERLINK("https://www.catalog.slsa.sa.gov.au/xrecord=b2203948")</f>
        <v>https://www.catalog.slsa.sa.gov.au/xrecord=b2203948</v>
      </c>
      <c r="D11312" t="s">
        <v>31902</v>
      </c>
      <c r="E11312" t="s">
        <v>34661</v>
      </c>
      <c r="F11312">
        <v>2000</v>
      </c>
      <c r="G11312" t="s">
        <v>33690</v>
      </c>
      <c r="H11312" t="s">
        <v>34662</v>
      </c>
      <c r="J11312" t="s">
        <v>14768</v>
      </c>
      <c r="K11312" s="2" t="str">
        <f>HYPERLINK("http://collections.slsa.sa.gov.au/mpcimg/69500/B69282_20.htm")</f>
        <v>http://collections.slsa.sa.gov.au/mpcimg/69500/B69282_20.htm</v>
      </c>
    </row>
    <row r="11313" spans="1:11" x14ac:dyDescent="0.25">
      <c r="A11313" t="s">
        <v>34663</v>
      </c>
      <c r="B11313" s="1" t="str">
        <f>HYPERLINK("https://www.catalog.slsa.sa.gov.au/record=b2203952")</f>
        <v>https://www.catalog.slsa.sa.gov.au/record=b2203952</v>
      </c>
      <c r="C11313" s="1" t="str">
        <f>HYPERLINK("https://www.catalog.slsa.sa.gov.au/xrecord=b2203952")</f>
        <v>https://www.catalog.slsa.sa.gov.au/xrecord=b2203952</v>
      </c>
      <c r="D11313" t="s">
        <v>31902</v>
      </c>
      <c r="E11313" t="s">
        <v>34664</v>
      </c>
      <c r="F11313">
        <v>2000</v>
      </c>
      <c r="G11313" t="s">
        <v>33690</v>
      </c>
      <c r="H11313" t="s">
        <v>34665</v>
      </c>
      <c r="J11313" t="s">
        <v>14768</v>
      </c>
      <c r="K11313" s="2" t="str">
        <f>HYPERLINK("http://collections.slsa.sa.gov.au/mpcimg/69500/B69282_21.htm")</f>
        <v>http://collections.slsa.sa.gov.au/mpcimg/69500/B69282_21.htm</v>
      </c>
    </row>
    <row r="11314" spans="1:11" x14ac:dyDescent="0.25">
      <c r="A11314" t="s">
        <v>34666</v>
      </c>
      <c r="B11314" s="1" t="str">
        <f>HYPERLINK("https://www.catalog.slsa.sa.gov.au/record=b2203955")</f>
        <v>https://www.catalog.slsa.sa.gov.au/record=b2203955</v>
      </c>
      <c r="C11314" s="1" t="str">
        <f>HYPERLINK("https://www.catalog.slsa.sa.gov.au/xrecord=b2203955")</f>
        <v>https://www.catalog.slsa.sa.gov.au/xrecord=b2203955</v>
      </c>
      <c r="D11314" t="s">
        <v>31902</v>
      </c>
      <c r="E11314" t="s">
        <v>34667</v>
      </c>
      <c r="F11314">
        <v>2000</v>
      </c>
      <c r="G11314" t="s">
        <v>33690</v>
      </c>
      <c r="H11314" t="s">
        <v>34668</v>
      </c>
      <c r="J11314" t="s">
        <v>14768</v>
      </c>
      <c r="K11314" s="2" t="str">
        <f>HYPERLINK("http://collections.slsa.sa.gov.au/mpcimg/69500/B69282_22.htm")</f>
        <v>http://collections.slsa.sa.gov.au/mpcimg/69500/B69282_22.htm</v>
      </c>
    </row>
    <row r="11315" spans="1:11" x14ac:dyDescent="0.25">
      <c r="A11315" t="s">
        <v>34669</v>
      </c>
      <c r="B11315" s="1" t="str">
        <f>HYPERLINK("https://www.catalog.slsa.sa.gov.au/record=b2203989")</f>
        <v>https://www.catalog.slsa.sa.gov.au/record=b2203989</v>
      </c>
      <c r="C11315" s="1" t="str">
        <f>HYPERLINK("https://www.catalog.slsa.sa.gov.au/xrecord=b2203989")</f>
        <v>https://www.catalog.slsa.sa.gov.au/xrecord=b2203989</v>
      </c>
      <c r="D11315" t="s">
        <v>31902</v>
      </c>
      <c r="E11315" t="s">
        <v>34670</v>
      </c>
      <c r="F11315">
        <v>2000</v>
      </c>
      <c r="G11315" t="s">
        <v>33690</v>
      </c>
      <c r="H11315" t="s">
        <v>34671</v>
      </c>
      <c r="J11315" t="s">
        <v>14768</v>
      </c>
      <c r="K11315" s="2" t="str">
        <f>HYPERLINK("http://collections.slsa.sa.gov.au/mpcimg/69500/B69282_23.htm")</f>
        <v>http://collections.slsa.sa.gov.au/mpcimg/69500/B69282_23.htm</v>
      </c>
    </row>
    <row r="11316" spans="1:11" x14ac:dyDescent="0.25">
      <c r="A11316" t="s">
        <v>34672</v>
      </c>
      <c r="B11316" s="1" t="str">
        <f>HYPERLINK("https://www.catalog.slsa.sa.gov.au/record=b2203999")</f>
        <v>https://www.catalog.slsa.sa.gov.au/record=b2203999</v>
      </c>
      <c r="C11316" s="1" t="str">
        <f>HYPERLINK("https://www.catalog.slsa.sa.gov.au/xrecord=b2203999")</f>
        <v>https://www.catalog.slsa.sa.gov.au/xrecord=b2203999</v>
      </c>
      <c r="D11316" t="s">
        <v>31902</v>
      </c>
      <c r="E11316" t="s">
        <v>34673</v>
      </c>
      <c r="F11316">
        <v>2000</v>
      </c>
      <c r="G11316" t="s">
        <v>33690</v>
      </c>
      <c r="H11316" t="s">
        <v>34674</v>
      </c>
      <c r="J11316" t="s">
        <v>14768</v>
      </c>
      <c r="K11316" s="2" t="str">
        <f>HYPERLINK("http://collections.slsa.sa.gov.au/mpcimg/69500/B69282_24.htm")</f>
        <v>http://collections.slsa.sa.gov.au/mpcimg/69500/B69282_24.htm</v>
      </c>
    </row>
    <row r="11317" spans="1:11" x14ac:dyDescent="0.25">
      <c r="A11317" t="s">
        <v>34675</v>
      </c>
      <c r="B11317" s="1" t="str">
        <f>HYPERLINK("https://www.catalog.slsa.sa.gov.au/record=b2204000")</f>
        <v>https://www.catalog.slsa.sa.gov.au/record=b2204000</v>
      </c>
      <c r="C11317" s="1" t="str">
        <f>HYPERLINK("https://www.catalog.slsa.sa.gov.au/xrecord=b2204000")</f>
        <v>https://www.catalog.slsa.sa.gov.au/xrecord=b2204000</v>
      </c>
      <c r="D11317" t="s">
        <v>31902</v>
      </c>
      <c r="E11317" t="s">
        <v>34676</v>
      </c>
      <c r="F11317">
        <v>2000</v>
      </c>
      <c r="G11317" t="s">
        <v>33690</v>
      </c>
      <c r="H11317" t="s">
        <v>34677</v>
      </c>
      <c r="J11317" t="s">
        <v>14768</v>
      </c>
      <c r="K11317" s="2" t="str">
        <f>HYPERLINK("http://collections.slsa.sa.gov.au/mpcimg/69500/B69282_25.htm")</f>
        <v>http://collections.slsa.sa.gov.au/mpcimg/69500/B69282_25.htm</v>
      </c>
    </row>
    <row r="11318" spans="1:11" x14ac:dyDescent="0.25">
      <c r="A11318" t="s">
        <v>34678</v>
      </c>
      <c r="B11318" s="1" t="str">
        <f>HYPERLINK("https://www.catalog.slsa.sa.gov.au/record=b2204001")</f>
        <v>https://www.catalog.slsa.sa.gov.au/record=b2204001</v>
      </c>
      <c r="C11318" s="1" t="str">
        <f>HYPERLINK("https://www.catalog.slsa.sa.gov.au/xrecord=b2204001")</f>
        <v>https://www.catalog.slsa.sa.gov.au/xrecord=b2204001</v>
      </c>
      <c r="D11318" t="s">
        <v>31902</v>
      </c>
      <c r="E11318" t="s">
        <v>34679</v>
      </c>
      <c r="F11318">
        <v>2000</v>
      </c>
      <c r="G11318" t="s">
        <v>33690</v>
      </c>
      <c r="H11318" t="s">
        <v>34680</v>
      </c>
      <c r="J11318" t="s">
        <v>14768</v>
      </c>
      <c r="K11318" s="2" t="str">
        <f>HYPERLINK("http://collections.slsa.sa.gov.au/mpcimg/69500/B69282_26.htm")</f>
        <v>http://collections.slsa.sa.gov.au/mpcimg/69500/B69282_26.htm</v>
      </c>
    </row>
    <row r="11319" spans="1:11" x14ac:dyDescent="0.25">
      <c r="A11319" t="s">
        <v>34681</v>
      </c>
      <c r="B11319" s="1" t="str">
        <f>HYPERLINK("https://www.catalog.slsa.sa.gov.au/record=b2204106")</f>
        <v>https://www.catalog.slsa.sa.gov.au/record=b2204106</v>
      </c>
      <c r="C11319" s="1" t="str">
        <f>HYPERLINK("https://www.catalog.slsa.sa.gov.au/xrecord=b2204106")</f>
        <v>https://www.catalog.slsa.sa.gov.au/xrecord=b2204106</v>
      </c>
      <c r="D11319" t="s">
        <v>31902</v>
      </c>
      <c r="E11319" t="s">
        <v>34682</v>
      </c>
      <c r="F11319">
        <v>2000</v>
      </c>
      <c r="G11319" t="s">
        <v>33690</v>
      </c>
      <c r="H11319" t="s">
        <v>34683</v>
      </c>
      <c r="J11319" t="s">
        <v>14768</v>
      </c>
      <c r="K11319" s="2" t="str">
        <f>HYPERLINK("http://collections.slsa.sa.gov.au/mpcimg/69500/B69282_27.htm")</f>
        <v>http://collections.slsa.sa.gov.au/mpcimg/69500/B69282_27.htm</v>
      </c>
    </row>
    <row r="11320" spans="1:11" x14ac:dyDescent="0.25">
      <c r="A11320" t="s">
        <v>34684</v>
      </c>
      <c r="B11320" s="1" t="str">
        <f>HYPERLINK("https://www.catalog.slsa.sa.gov.au/record=b2204107")</f>
        <v>https://www.catalog.slsa.sa.gov.au/record=b2204107</v>
      </c>
      <c r="C11320" s="1" t="str">
        <f>HYPERLINK("https://www.catalog.slsa.sa.gov.au/xrecord=b2204107")</f>
        <v>https://www.catalog.slsa.sa.gov.au/xrecord=b2204107</v>
      </c>
      <c r="D11320" t="s">
        <v>31902</v>
      </c>
      <c r="E11320" t="s">
        <v>34682</v>
      </c>
      <c r="F11320">
        <v>2000</v>
      </c>
      <c r="G11320" t="s">
        <v>33690</v>
      </c>
      <c r="H11320" t="s">
        <v>34685</v>
      </c>
      <c r="J11320" t="s">
        <v>14768</v>
      </c>
      <c r="K11320" s="2" t="str">
        <f>HYPERLINK("http://collections.slsa.sa.gov.au/mpcimg/69500/B69282_28.htm")</f>
        <v>http://collections.slsa.sa.gov.au/mpcimg/69500/B69282_28.htm</v>
      </c>
    </row>
    <row r="11321" spans="1:11" x14ac:dyDescent="0.25">
      <c r="A11321" t="s">
        <v>34686</v>
      </c>
      <c r="B11321" s="1" t="str">
        <f>HYPERLINK("https://www.catalog.slsa.sa.gov.au/record=b2204109")</f>
        <v>https://www.catalog.slsa.sa.gov.au/record=b2204109</v>
      </c>
      <c r="C11321" s="1" t="str">
        <f>HYPERLINK("https://www.catalog.slsa.sa.gov.au/xrecord=b2204109")</f>
        <v>https://www.catalog.slsa.sa.gov.au/xrecord=b2204109</v>
      </c>
      <c r="D11321" t="s">
        <v>31902</v>
      </c>
      <c r="E11321" t="s">
        <v>34687</v>
      </c>
      <c r="F11321">
        <v>2000</v>
      </c>
      <c r="G11321" t="s">
        <v>33690</v>
      </c>
      <c r="H11321" t="s">
        <v>34688</v>
      </c>
      <c r="J11321" t="s">
        <v>14768</v>
      </c>
      <c r="K11321" s="2" t="str">
        <f>HYPERLINK("http://collections.slsa.sa.gov.au/mpcimg/69500/B69282_29.htm")</f>
        <v>http://collections.slsa.sa.gov.au/mpcimg/69500/B69282_29.htm</v>
      </c>
    </row>
    <row r="11322" spans="1:11" x14ac:dyDescent="0.25">
      <c r="A11322" t="s">
        <v>34689</v>
      </c>
      <c r="B11322" s="1" t="str">
        <f>HYPERLINK("https://www.catalog.slsa.sa.gov.au/record=b2204110")</f>
        <v>https://www.catalog.slsa.sa.gov.au/record=b2204110</v>
      </c>
      <c r="C11322" s="1" t="str">
        <f>HYPERLINK("https://www.catalog.slsa.sa.gov.au/xrecord=b2204110")</f>
        <v>https://www.catalog.slsa.sa.gov.au/xrecord=b2204110</v>
      </c>
      <c r="D11322" t="s">
        <v>31902</v>
      </c>
      <c r="E11322" t="s">
        <v>34690</v>
      </c>
      <c r="F11322">
        <v>2000</v>
      </c>
      <c r="G11322" t="s">
        <v>33690</v>
      </c>
      <c r="H11322" t="s">
        <v>34691</v>
      </c>
      <c r="J11322" t="s">
        <v>14768</v>
      </c>
      <c r="K11322" s="2" t="str">
        <f>HYPERLINK("http://collections.slsa.sa.gov.au/mpcimg/69500/B69282_30.htm")</f>
        <v>http://collections.slsa.sa.gov.au/mpcimg/69500/B69282_30.htm</v>
      </c>
    </row>
    <row r="11323" spans="1:11" x14ac:dyDescent="0.25">
      <c r="A11323" t="s">
        <v>34692</v>
      </c>
      <c r="B11323" s="1" t="str">
        <f>HYPERLINK("https://www.catalog.slsa.sa.gov.au/record=b2204239")</f>
        <v>https://www.catalog.slsa.sa.gov.au/record=b2204239</v>
      </c>
      <c r="C11323" s="1" t="str">
        <f>HYPERLINK("https://www.catalog.slsa.sa.gov.au/xrecord=b2204239")</f>
        <v>https://www.catalog.slsa.sa.gov.au/xrecord=b2204239</v>
      </c>
      <c r="D11323" t="s">
        <v>31902</v>
      </c>
      <c r="E11323" t="s">
        <v>34693</v>
      </c>
      <c r="F11323">
        <v>2000</v>
      </c>
      <c r="G11323" t="s">
        <v>33690</v>
      </c>
      <c r="H11323" t="s">
        <v>34694</v>
      </c>
      <c r="J11323" t="s">
        <v>14768</v>
      </c>
      <c r="K11323" s="2" t="str">
        <f>HYPERLINK("http://collections.slsa.sa.gov.au/mpcimg/69500/B69282_31.htm")</f>
        <v>http://collections.slsa.sa.gov.au/mpcimg/69500/B69282_31.htm</v>
      </c>
    </row>
    <row r="11324" spans="1:11" x14ac:dyDescent="0.25">
      <c r="A11324" t="s">
        <v>34695</v>
      </c>
      <c r="B11324" s="1" t="str">
        <f>HYPERLINK("https://www.catalog.slsa.sa.gov.au/record=b2204241")</f>
        <v>https://www.catalog.slsa.sa.gov.au/record=b2204241</v>
      </c>
      <c r="C11324" s="1" t="str">
        <f>HYPERLINK("https://www.catalog.slsa.sa.gov.au/xrecord=b2204241")</f>
        <v>https://www.catalog.slsa.sa.gov.au/xrecord=b2204241</v>
      </c>
      <c r="D11324" t="s">
        <v>31902</v>
      </c>
      <c r="E11324" t="s">
        <v>34696</v>
      </c>
      <c r="F11324">
        <v>2000</v>
      </c>
      <c r="G11324" t="s">
        <v>33690</v>
      </c>
      <c r="H11324" t="s">
        <v>34697</v>
      </c>
      <c r="J11324" t="s">
        <v>14768</v>
      </c>
      <c r="K11324" s="2" t="str">
        <f>HYPERLINK("http://collections.slsa.sa.gov.au/mpcimg/69500/B69282_32.htm")</f>
        <v>http://collections.slsa.sa.gov.au/mpcimg/69500/B69282_32.htm</v>
      </c>
    </row>
    <row r="11325" spans="1:11" x14ac:dyDescent="0.25">
      <c r="A11325" t="s">
        <v>34698</v>
      </c>
      <c r="B11325" s="1" t="str">
        <f>HYPERLINK("https://www.catalog.slsa.sa.gov.au/record=b2220339")</f>
        <v>https://www.catalog.slsa.sa.gov.au/record=b2220339</v>
      </c>
      <c r="C11325" s="1" t="str">
        <f>HYPERLINK("https://www.catalog.slsa.sa.gov.au/xrecord=b2220339")</f>
        <v>https://www.catalog.slsa.sa.gov.au/xrecord=b2220339</v>
      </c>
      <c r="D11325" t="s">
        <v>31902</v>
      </c>
      <c r="E11325" t="s">
        <v>34699</v>
      </c>
      <c r="F11325">
        <v>2000</v>
      </c>
      <c r="G11325" t="s">
        <v>33690</v>
      </c>
      <c r="H11325" t="s">
        <v>34700</v>
      </c>
      <c r="J11325" t="s">
        <v>14768</v>
      </c>
      <c r="K11325" s="2" t="str">
        <f>HYPERLINK("http://collections.slsa.sa.gov.au/mpcimg/69500/B69282_75.htm")</f>
        <v>http://collections.slsa.sa.gov.au/mpcimg/69500/B69282_75.htm</v>
      </c>
    </row>
    <row r="11326" spans="1:11" x14ac:dyDescent="0.25">
      <c r="A11326" t="s">
        <v>34701</v>
      </c>
      <c r="B11326" s="1" t="str">
        <f>HYPERLINK("https://www.catalog.slsa.sa.gov.au/record=b2220345")</f>
        <v>https://www.catalog.slsa.sa.gov.au/record=b2220345</v>
      </c>
      <c r="C11326" s="1" t="str">
        <f>HYPERLINK("https://www.catalog.slsa.sa.gov.au/xrecord=b2220345")</f>
        <v>https://www.catalog.slsa.sa.gov.au/xrecord=b2220345</v>
      </c>
      <c r="D11326" t="s">
        <v>31902</v>
      </c>
      <c r="E11326" t="s">
        <v>34702</v>
      </c>
      <c r="F11326">
        <v>2000</v>
      </c>
      <c r="G11326" t="s">
        <v>33690</v>
      </c>
      <c r="H11326" t="s">
        <v>34703</v>
      </c>
      <c r="J11326" t="s">
        <v>14768</v>
      </c>
      <c r="K11326" s="2" t="str">
        <f>HYPERLINK("http://collections.slsa.sa.gov.au/mpcimg/69500/B69282_76.htm")</f>
        <v>http://collections.slsa.sa.gov.au/mpcimg/69500/B69282_76.htm</v>
      </c>
    </row>
    <row r="11327" spans="1:11" x14ac:dyDescent="0.25">
      <c r="A11327" t="s">
        <v>34704</v>
      </c>
      <c r="B11327" s="1" t="str">
        <f>HYPERLINK("https://www.catalog.slsa.sa.gov.au/record=b2220346")</f>
        <v>https://www.catalog.slsa.sa.gov.au/record=b2220346</v>
      </c>
      <c r="C11327" s="1" t="str">
        <f>HYPERLINK("https://www.catalog.slsa.sa.gov.au/xrecord=b2220346")</f>
        <v>https://www.catalog.slsa.sa.gov.au/xrecord=b2220346</v>
      </c>
      <c r="D11327" t="s">
        <v>31902</v>
      </c>
      <c r="E11327" t="s">
        <v>34705</v>
      </c>
      <c r="F11327">
        <v>2000</v>
      </c>
      <c r="G11327" t="s">
        <v>33690</v>
      </c>
      <c r="H11327" t="s">
        <v>34706</v>
      </c>
      <c r="J11327" t="s">
        <v>14768</v>
      </c>
      <c r="K11327" s="2" t="str">
        <f>HYPERLINK("http://collections.slsa.sa.gov.au/mpcimg/69500/B69282_77.htm")</f>
        <v>http://collections.slsa.sa.gov.au/mpcimg/69500/B69282_77.htm</v>
      </c>
    </row>
    <row r="11328" spans="1:11" x14ac:dyDescent="0.25">
      <c r="A11328" t="s">
        <v>34707</v>
      </c>
      <c r="B11328" s="1" t="str">
        <f>HYPERLINK("https://www.catalog.slsa.sa.gov.au/record=b2220348")</f>
        <v>https://www.catalog.slsa.sa.gov.au/record=b2220348</v>
      </c>
      <c r="C11328" s="1" t="str">
        <f>HYPERLINK("https://www.catalog.slsa.sa.gov.au/xrecord=b2220348")</f>
        <v>https://www.catalog.slsa.sa.gov.au/xrecord=b2220348</v>
      </c>
      <c r="D11328" t="s">
        <v>31902</v>
      </c>
      <c r="E11328" t="s">
        <v>34708</v>
      </c>
      <c r="F11328">
        <v>2000</v>
      </c>
      <c r="G11328" t="s">
        <v>33690</v>
      </c>
      <c r="H11328" t="s">
        <v>34709</v>
      </c>
      <c r="J11328" t="s">
        <v>14768</v>
      </c>
      <c r="K11328" s="2" t="str">
        <f>HYPERLINK("http://collections.slsa.sa.gov.au/mpcimg/69500/B69282_78.htm")</f>
        <v>http://collections.slsa.sa.gov.au/mpcimg/69500/B69282_78.htm</v>
      </c>
    </row>
    <row r="11329" spans="1:11" x14ac:dyDescent="0.25">
      <c r="A11329" t="s">
        <v>34710</v>
      </c>
      <c r="B11329" s="1" t="str">
        <f>HYPERLINK("https://www.catalog.slsa.sa.gov.au/record=b2220642")</f>
        <v>https://www.catalog.slsa.sa.gov.au/record=b2220642</v>
      </c>
      <c r="C11329" s="1" t="str">
        <f>HYPERLINK("https://www.catalog.slsa.sa.gov.au/xrecord=b2220642")</f>
        <v>https://www.catalog.slsa.sa.gov.au/xrecord=b2220642</v>
      </c>
      <c r="D11329" t="s">
        <v>31902</v>
      </c>
      <c r="E11329" t="s">
        <v>34711</v>
      </c>
      <c r="F11329">
        <v>2000</v>
      </c>
      <c r="G11329" t="s">
        <v>33690</v>
      </c>
      <c r="H11329" t="s">
        <v>34712</v>
      </c>
      <c r="J11329" t="s">
        <v>14768</v>
      </c>
      <c r="K11329" s="2" t="str">
        <f>HYPERLINK("http://collections.slsa.sa.gov.au/mpcimg/69500/B69282_79.htm")</f>
        <v>http://collections.slsa.sa.gov.au/mpcimg/69500/B69282_79.htm</v>
      </c>
    </row>
    <row r="11330" spans="1:11" x14ac:dyDescent="0.25">
      <c r="A11330" t="s">
        <v>34713</v>
      </c>
      <c r="B11330" s="1" t="str">
        <f>HYPERLINK("https://www.catalog.slsa.sa.gov.au/record=b2220643")</f>
        <v>https://www.catalog.slsa.sa.gov.au/record=b2220643</v>
      </c>
      <c r="C11330" s="1" t="str">
        <f>HYPERLINK("https://www.catalog.slsa.sa.gov.au/xrecord=b2220643")</f>
        <v>https://www.catalog.slsa.sa.gov.au/xrecord=b2220643</v>
      </c>
      <c r="D11330" t="s">
        <v>31902</v>
      </c>
      <c r="E11330" t="s">
        <v>34711</v>
      </c>
      <c r="F11330">
        <v>2000</v>
      </c>
      <c r="G11330" t="s">
        <v>33690</v>
      </c>
      <c r="H11330" t="s">
        <v>34712</v>
      </c>
      <c r="J11330" t="s">
        <v>14768</v>
      </c>
      <c r="K11330" s="2" t="str">
        <f>HYPERLINK("http://collections.slsa.sa.gov.au/mpcimg/69500/B69282_80.htm")</f>
        <v>http://collections.slsa.sa.gov.au/mpcimg/69500/B69282_80.htm</v>
      </c>
    </row>
    <row r="11331" spans="1:11" x14ac:dyDescent="0.25">
      <c r="A11331" t="s">
        <v>34714</v>
      </c>
      <c r="B11331" s="1" t="str">
        <f>HYPERLINK("https://www.catalog.slsa.sa.gov.au/record=b2220645")</f>
        <v>https://www.catalog.slsa.sa.gov.au/record=b2220645</v>
      </c>
      <c r="C11331" s="1" t="str">
        <f>HYPERLINK("https://www.catalog.slsa.sa.gov.au/xrecord=b2220645")</f>
        <v>https://www.catalog.slsa.sa.gov.au/xrecord=b2220645</v>
      </c>
      <c r="D11331" t="s">
        <v>31902</v>
      </c>
      <c r="E11331" t="s">
        <v>34711</v>
      </c>
      <c r="F11331">
        <v>2000</v>
      </c>
      <c r="G11331" t="s">
        <v>33690</v>
      </c>
      <c r="H11331" t="s">
        <v>34712</v>
      </c>
      <c r="J11331" t="s">
        <v>14768</v>
      </c>
      <c r="K11331" s="2" t="str">
        <f>HYPERLINK("http://collections.slsa.sa.gov.au/mpcimg/69500/B69282_81.htm")</f>
        <v>http://collections.slsa.sa.gov.au/mpcimg/69500/B69282_81.htm</v>
      </c>
    </row>
    <row r="11332" spans="1:11" x14ac:dyDescent="0.25">
      <c r="A11332" t="s">
        <v>34715</v>
      </c>
      <c r="B11332" s="1" t="str">
        <f>HYPERLINK("https://www.catalog.slsa.sa.gov.au/record=b2220646")</f>
        <v>https://www.catalog.slsa.sa.gov.au/record=b2220646</v>
      </c>
      <c r="C11332" s="1" t="str">
        <f>HYPERLINK("https://www.catalog.slsa.sa.gov.au/xrecord=b2220646")</f>
        <v>https://www.catalog.slsa.sa.gov.au/xrecord=b2220646</v>
      </c>
      <c r="D11332" t="s">
        <v>31902</v>
      </c>
      <c r="E11332" t="s">
        <v>34711</v>
      </c>
      <c r="F11332">
        <v>2000</v>
      </c>
      <c r="G11332" t="s">
        <v>33690</v>
      </c>
      <c r="H11332" t="s">
        <v>34716</v>
      </c>
      <c r="J11332" t="s">
        <v>14768</v>
      </c>
      <c r="K11332" s="2" t="str">
        <f>HYPERLINK("http://collections.slsa.sa.gov.au/mpcimg/69500/B69282_82.htm")</f>
        <v>http://collections.slsa.sa.gov.au/mpcimg/69500/B69282_82.htm</v>
      </c>
    </row>
    <row r="11333" spans="1:11" x14ac:dyDescent="0.25">
      <c r="A11333" t="s">
        <v>34717</v>
      </c>
      <c r="B11333" s="1" t="str">
        <f>HYPERLINK("https://www.catalog.slsa.sa.gov.au/record=b2220647")</f>
        <v>https://www.catalog.slsa.sa.gov.au/record=b2220647</v>
      </c>
      <c r="C11333" s="1" t="str">
        <f>HYPERLINK("https://www.catalog.slsa.sa.gov.au/xrecord=b2220647")</f>
        <v>https://www.catalog.slsa.sa.gov.au/xrecord=b2220647</v>
      </c>
      <c r="D11333" t="s">
        <v>31902</v>
      </c>
      <c r="E11333" t="s">
        <v>34711</v>
      </c>
      <c r="F11333">
        <v>2000</v>
      </c>
      <c r="G11333" t="s">
        <v>33690</v>
      </c>
      <c r="H11333" t="s">
        <v>34718</v>
      </c>
      <c r="J11333" t="s">
        <v>14768</v>
      </c>
      <c r="K11333" s="2" t="str">
        <f>HYPERLINK("http://collections.slsa.sa.gov.au/mpcimg/69500/B69282_83.htm")</f>
        <v>http://collections.slsa.sa.gov.au/mpcimg/69500/B69282_83.htm</v>
      </c>
    </row>
    <row r="11334" spans="1:11" x14ac:dyDescent="0.25">
      <c r="A11334" t="s">
        <v>34719</v>
      </c>
      <c r="B11334" s="1" t="str">
        <f>HYPERLINK("https://www.catalog.slsa.sa.gov.au/record=b2220649")</f>
        <v>https://www.catalog.slsa.sa.gov.au/record=b2220649</v>
      </c>
      <c r="C11334" s="1" t="str">
        <f>HYPERLINK("https://www.catalog.slsa.sa.gov.au/xrecord=b2220649")</f>
        <v>https://www.catalog.slsa.sa.gov.au/xrecord=b2220649</v>
      </c>
      <c r="D11334" t="s">
        <v>31902</v>
      </c>
      <c r="E11334" t="s">
        <v>34711</v>
      </c>
      <c r="F11334">
        <v>2000</v>
      </c>
      <c r="G11334" t="s">
        <v>33690</v>
      </c>
      <c r="H11334" t="s">
        <v>34718</v>
      </c>
      <c r="J11334" t="s">
        <v>14768</v>
      </c>
      <c r="K11334" s="2" t="str">
        <f>HYPERLINK("http://collections.slsa.sa.gov.au/mpcimg/69500/B69282_84.htm")</f>
        <v>http://collections.slsa.sa.gov.au/mpcimg/69500/B69282_84.htm</v>
      </c>
    </row>
    <row r="11335" spans="1:11" x14ac:dyDescent="0.25">
      <c r="A11335" t="s">
        <v>34720</v>
      </c>
      <c r="B11335" s="1" t="str">
        <f>HYPERLINK("https://www.catalog.slsa.sa.gov.au/record=b2220700")</f>
        <v>https://www.catalog.slsa.sa.gov.au/record=b2220700</v>
      </c>
      <c r="C11335" s="1" t="str">
        <f>HYPERLINK("https://www.catalog.slsa.sa.gov.au/xrecord=b2220700")</f>
        <v>https://www.catalog.slsa.sa.gov.au/xrecord=b2220700</v>
      </c>
      <c r="D11335" t="s">
        <v>31902</v>
      </c>
      <c r="E11335" t="s">
        <v>34711</v>
      </c>
      <c r="F11335">
        <v>2000</v>
      </c>
      <c r="G11335" t="s">
        <v>33690</v>
      </c>
      <c r="H11335" t="s">
        <v>34718</v>
      </c>
      <c r="J11335" t="s">
        <v>14768</v>
      </c>
      <c r="K11335" s="2" t="str">
        <f>HYPERLINK("http://collections.slsa.sa.gov.au/mpcimg/69500/B69282_85.htm")</f>
        <v>http://collections.slsa.sa.gov.au/mpcimg/69500/B69282_85.htm</v>
      </c>
    </row>
    <row r="11336" spans="1:11" x14ac:dyDescent="0.25">
      <c r="A11336" t="s">
        <v>34721</v>
      </c>
      <c r="B11336" s="1" t="str">
        <f>HYPERLINK("https://www.catalog.slsa.sa.gov.au/record=b2220702")</f>
        <v>https://www.catalog.slsa.sa.gov.au/record=b2220702</v>
      </c>
      <c r="C11336" s="1" t="str">
        <f>HYPERLINK("https://www.catalog.slsa.sa.gov.au/xrecord=b2220702")</f>
        <v>https://www.catalog.slsa.sa.gov.au/xrecord=b2220702</v>
      </c>
      <c r="D11336" t="s">
        <v>31902</v>
      </c>
      <c r="E11336" t="s">
        <v>34711</v>
      </c>
      <c r="F11336">
        <v>2000</v>
      </c>
      <c r="G11336" t="s">
        <v>33690</v>
      </c>
      <c r="H11336" t="s">
        <v>34718</v>
      </c>
      <c r="J11336" t="s">
        <v>14768</v>
      </c>
      <c r="K11336" s="2" t="str">
        <f>HYPERLINK("http://collections.slsa.sa.gov.au/mpcimg/69500/B69282_86.htm")</f>
        <v>http://collections.slsa.sa.gov.au/mpcimg/69500/B69282_86.htm</v>
      </c>
    </row>
    <row r="11337" spans="1:11" x14ac:dyDescent="0.25">
      <c r="A11337" t="s">
        <v>34722</v>
      </c>
      <c r="B11337" s="1" t="str">
        <f>HYPERLINK("https://www.catalog.slsa.sa.gov.au/record=b2220703")</f>
        <v>https://www.catalog.slsa.sa.gov.au/record=b2220703</v>
      </c>
      <c r="C11337" s="1" t="str">
        <f>HYPERLINK("https://www.catalog.slsa.sa.gov.au/xrecord=b2220703")</f>
        <v>https://www.catalog.slsa.sa.gov.au/xrecord=b2220703</v>
      </c>
      <c r="D11337" t="s">
        <v>31902</v>
      </c>
      <c r="E11337" t="s">
        <v>34711</v>
      </c>
      <c r="F11337">
        <v>2000</v>
      </c>
      <c r="G11337" t="s">
        <v>33690</v>
      </c>
      <c r="H11337" t="s">
        <v>34718</v>
      </c>
      <c r="J11337" t="s">
        <v>14768</v>
      </c>
      <c r="K11337" s="2" t="str">
        <f>HYPERLINK("http://collections.slsa.sa.gov.au/mpcimg/69500/B69282_87.htm")</f>
        <v>http://collections.slsa.sa.gov.au/mpcimg/69500/B69282_87.htm</v>
      </c>
    </row>
    <row r="11338" spans="1:11" x14ac:dyDescent="0.25">
      <c r="A11338" t="s">
        <v>34723</v>
      </c>
      <c r="B11338" s="1" t="str">
        <f>HYPERLINK("https://www.catalog.slsa.sa.gov.au/record=b2220705")</f>
        <v>https://www.catalog.slsa.sa.gov.au/record=b2220705</v>
      </c>
      <c r="C11338" s="1" t="str">
        <f>HYPERLINK("https://www.catalog.slsa.sa.gov.au/xrecord=b2220705")</f>
        <v>https://www.catalog.slsa.sa.gov.au/xrecord=b2220705</v>
      </c>
      <c r="D11338" t="s">
        <v>31902</v>
      </c>
      <c r="E11338" t="s">
        <v>34711</v>
      </c>
      <c r="F11338">
        <v>2000</v>
      </c>
      <c r="G11338" t="s">
        <v>33690</v>
      </c>
      <c r="H11338" t="s">
        <v>34718</v>
      </c>
      <c r="J11338" t="s">
        <v>14768</v>
      </c>
      <c r="K11338" s="2" t="str">
        <f>HYPERLINK("http://collections.slsa.sa.gov.au/mpcimg/69500/B69282_88.htm")</f>
        <v>http://collections.slsa.sa.gov.au/mpcimg/69500/B69282_88.htm</v>
      </c>
    </row>
    <row r="11339" spans="1:11" x14ac:dyDescent="0.25">
      <c r="A11339" t="s">
        <v>34724</v>
      </c>
      <c r="B11339" s="1" t="str">
        <f>HYPERLINK("https://www.catalog.slsa.sa.gov.au/record=b2220706")</f>
        <v>https://www.catalog.slsa.sa.gov.au/record=b2220706</v>
      </c>
      <c r="C11339" s="1" t="str">
        <f>HYPERLINK("https://www.catalog.slsa.sa.gov.au/xrecord=b2220706")</f>
        <v>https://www.catalog.slsa.sa.gov.au/xrecord=b2220706</v>
      </c>
      <c r="D11339" t="s">
        <v>31902</v>
      </c>
      <c r="E11339" t="s">
        <v>34711</v>
      </c>
      <c r="F11339">
        <v>2000</v>
      </c>
      <c r="G11339" t="s">
        <v>33690</v>
      </c>
      <c r="H11339" t="s">
        <v>34718</v>
      </c>
      <c r="J11339" t="s">
        <v>14768</v>
      </c>
      <c r="K11339" s="2" t="str">
        <f>HYPERLINK("http://collections.slsa.sa.gov.au/mpcimg/69500/B69282_89.htm")</f>
        <v>http://collections.slsa.sa.gov.au/mpcimg/69500/B69282_89.htm</v>
      </c>
    </row>
    <row r="11340" spans="1:11" x14ac:dyDescent="0.25">
      <c r="A11340" t="s">
        <v>34725</v>
      </c>
      <c r="B11340" s="1" t="str">
        <f>HYPERLINK("https://www.catalog.slsa.sa.gov.au/record=b2220707")</f>
        <v>https://www.catalog.slsa.sa.gov.au/record=b2220707</v>
      </c>
      <c r="C11340" s="1" t="str">
        <f>HYPERLINK("https://www.catalog.slsa.sa.gov.au/xrecord=b2220707")</f>
        <v>https://www.catalog.slsa.sa.gov.au/xrecord=b2220707</v>
      </c>
      <c r="D11340" t="s">
        <v>31902</v>
      </c>
      <c r="E11340" t="s">
        <v>34711</v>
      </c>
      <c r="F11340">
        <v>2000</v>
      </c>
      <c r="G11340" t="s">
        <v>33690</v>
      </c>
      <c r="H11340" t="s">
        <v>34718</v>
      </c>
      <c r="J11340" t="s">
        <v>14768</v>
      </c>
      <c r="K11340" s="2" t="str">
        <f>HYPERLINK("http://collections.slsa.sa.gov.au/mpcimg/69500/B69282_90.htm")</f>
        <v>http://collections.slsa.sa.gov.au/mpcimg/69500/B69282_90.htm</v>
      </c>
    </row>
    <row r="11341" spans="1:11" x14ac:dyDescent="0.25">
      <c r="A11341" t="s">
        <v>34726</v>
      </c>
      <c r="B11341" s="1" t="str">
        <f>HYPERLINK("https://www.catalog.slsa.sa.gov.au/record=b2220709")</f>
        <v>https://www.catalog.slsa.sa.gov.au/record=b2220709</v>
      </c>
      <c r="C11341" s="1" t="str">
        <f>HYPERLINK("https://www.catalog.slsa.sa.gov.au/xrecord=b2220709")</f>
        <v>https://www.catalog.slsa.sa.gov.au/xrecord=b2220709</v>
      </c>
      <c r="D11341" t="s">
        <v>31902</v>
      </c>
      <c r="E11341" t="s">
        <v>34711</v>
      </c>
      <c r="F11341">
        <v>2000</v>
      </c>
      <c r="G11341" t="s">
        <v>33690</v>
      </c>
      <c r="H11341" t="s">
        <v>34718</v>
      </c>
      <c r="J11341" t="s">
        <v>14768</v>
      </c>
      <c r="K11341" s="2" t="str">
        <f>HYPERLINK("http://collections.slsa.sa.gov.au/mpcimg/69500/B69282_91.htm")</f>
        <v>http://collections.slsa.sa.gov.au/mpcimg/69500/B69282_91.htm</v>
      </c>
    </row>
    <row r="11342" spans="1:11" x14ac:dyDescent="0.25">
      <c r="A11342" t="s">
        <v>34727</v>
      </c>
      <c r="B11342" s="1" t="str">
        <f>HYPERLINK("https://www.catalog.slsa.sa.gov.au/record=b2220710")</f>
        <v>https://www.catalog.slsa.sa.gov.au/record=b2220710</v>
      </c>
      <c r="C11342" s="1" t="str">
        <f>HYPERLINK("https://www.catalog.slsa.sa.gov.au/xrecord=b2220710")</f>
        <v>https://www.catalog.slsa.sa.gov.au/xrecord=b2220710</v>
      </c>
      <c r="D11342" t="s">
        <v>31902</v>
      </c>
      <c r="E11342" t="s">
        <v>34711</v>
      </c>
      <c r="F11342">
        <v>2000</v>
      </c>
      <c r="G11342" t="s">
        <v>33690</v>
      </c>
      <c r="H11342" t="s">
        <v>34718</v>
      </c>
      <c r="J11342" t="s">
        <v>14768</v>
      </c>
      <c r="K11342" s="2" t="str">
        <f>HYPERLINK("http://collections.slsa.sa.gov.au/mpcimg/69500/B69282_92.htm")</f>
        <v>http://collections.slsa.sa.gov.au/mpcimg/69500/B69282_92.htm</v>
      </c>
    </row>
    <row r="11343" spans="1:11" x14ac:dyDescent="0.25">
      <c r="A11343" t="s">
        <v>34728</v>
      </c>
      <c r="B11343" s="1" t="str">
        <f>HYPERLINK("https://www.catalog.slsa.sa.gov.au/record=b2220712")</f>
        <v>https://www.catalog.slsa.sa.gov.au/record=b2220712</v>
      </c>
      <c r="C11343" s="1" t="str">
        <f>HYPERLINK("https://www.catalog.slsa.sa.gov.au/xrecord=b2220712")</f>
        <v>https://www.catalog.slsa.sa.gov.au/xrecord=b2220712</v>
      </c>
      <c r="D11343" t="s">
        <v>31902</v>
      </c>
      <c r="E11343" t="s">
        <v>34711</v>
      </c>
      <c r="F11343">
        <v>2000</v>
      </c>
      <c r="G11343" t="s">
        <v>33690</v>
      </c>
      <c r="H11343" t="s">
        <v>34718</v>
      </c>
      <c r="J11343" t="s">
        <v>14768</v>
      </c>
      <c r="K11343" s="2" t="str">
        <f>HYPERLINK("http://collections.slsa.sa.gov.au/mpcimg/69500/B69282_93.htm")</f>
        <v>http://collections.slsa.sa.gov.au/mpcimg/69500/B69282_93.htm</v>
      </c>
    </row>
    <row r="11344" spans="1:11" x14ac:dyDescent="0.25">
      <c r="A11344" t="s">
        <v>34729</v>
      </c>
      <c r="B11344" s="1" t="str">
        <f>HYPERLINK("https://www.catalog.slsa.sa.gov.au/record=b2220713")</f>
        <v>https://www.catalog.slsa.sa.gov.au/record=b2220713</v>
      </c>
      <c r="C11344" s="1" t="str">
        <f>HYPERLINK("https://www.catalog.slsa.sa.gov.au/xrecord=b2220713")</f>
        <v>https://www.catalog.slsa.sa.gov.au/xrecord=b2220713</v>
      </c>
      <c r="D11344" t="s">
        <v>31902</v>
      </c>
      <c r="E11344" t="s">
        <v>34711</v>
      </c>
      <c r="F11344">
        <v>2000</v>
      </c>
      <c r="G11344" t="s">
        <v>33690</v>
      </c>
      <c r="H11344" t="s">
        <v>34718</v>
      </c>
      <c r="J11344" t="s">
        <v>14768</v>
      </c>
      <c r="K11344" s="2" t="str">
        <f>HYPERLINK("http://collections.slsa.sa.gov.au/mpcimg/69500/B69282_94.htm")</f>
        <v>http://collections.slsa.sa.gov.au/mpcimg/69500/B69282_94.htm</v>
      </c>
    </row>
    <row r="11345" spans="1:11" x14ac:dyDescent="0.25">
      <c r="A11345" t="s">
        <v>34730</v>
      </c>
      <c r="B11345" s="1" t="str">
        <f>HYPERLINK("https://www.catalog.slsa.sa.gov.au/record=b2220714")</f>
        <v>https://www.catalog.slsa.sa.gov.au/record=b2220714</v>
      </c>
      <c r="C11345" s="1" t="str">
        <f>HYPERLINK("https://www.catalog.slsa.sa.gov.au/xrecord=b2220714")</f>
        <v>https://www.catalog.slsa.sa.gov.au/xrecord=b2220714</v>
      </c>
      <c r="D11345" t="s">
        <v>31902</v>
      </c>
      <c r="E11345" t="s">
        <v>34711</v>
      </c>
      <c r="F11345">
        <v>2000</v>
      </c>
      <c r="G11345" t="s">
        <v>33690</v>
      </c>
      <c r="H11345" t="s">
        <v>34718</v>
      </c>
      <c r="J11345" t="s">
        <v>14768</v>
      </c>
      <c r="K11345" s="2" t="str">
        <f>HYPERLINK("http://collections.slsa.sa.gov.au/mpcimg/69500/B69282_95.htm")</f>
        <v>http://collections.slsa.sa.gov.au/mpcimg/69500/B69282_95.htm</v>
      </c>
    </row>
    <row r="11346" spans="1:11" x14ac:dyDescent="0.25">
      <c r="A11346" t="s">
        <v>34731</v>
      </c>
      <c r="B11346" s="1" t="str">
        <f>HYPERLINK("https://www.catalog.slsa.sa.gov.au/record=b2220761")</f>
        <v>https://www.catalog.slsa.sa.gov.au/record=b2220761</v>
      </c>
      <c r="C11346" s="1" t="str">
        <f>HYPERLINK("https://www.catalog.slsa.sa.gov.au/xrecord=b2220761")</f>
        <v>https://www.catalog.slsa.sa.gov.au/xrecord=b2220761</v>
      </c>
      <c r="D11346" t="s">
        <v>31902</v>
      </c>
      <c r="E11346" t="s">
        <v>34732</v>
      </c>
      <c r="F11346">
        <v>2000</v>
      </c>
      <c r="G11346" t="s">
        <v>33690</v>
      </c>
      <c r="H11346" t="s">
        <v>34733</v>
      </c>
      <c r="J11346" t="s">
        <v>14768</v>
      </c>
      <c r="K11346" s="2" t="str">
        <f>HYPERLINK("http://collections.slsa.sa.gov.au/mpcimg/69500/B69282_96.htm")</f>
        <v>http://collections.slsa.sa.gov.au/mpcimg/69500/B69282_96.htm</v>
      </c>
    </row>
    <row r="11347" spans="1:11" x14ac:dyDescent="0.25">
      <c r="A11347" t="s">
        <v>34734</v>
      </c>
      <c r="B11347" s="1" t="str">
        <f>HYPERLINK("https://www.catalog.slsa.sa.gov.au/record=b2220849")</f>
        <v>https://www.catalog.slsa.sa.gov.au/record=b2220849</v>
      </c>
      <c r="C11347" s="1" t="str">
        <f>HYPERLINK("https://www.catalog.slsa.sa.gov.au/xrecord=b2220849")</f>
        <v>https://www.catalog.slsa.sa.gov.au/xrecord=b2220849</v>
      </c>
      <c r="D11347" t="s">
        <v>31902</v>
      </c>
      <c r="E11347" t="s">
        <v>34732</v>
      </c>
      <c r="F11347">
        <v>2000</v>
      </c>
      <c r="G11347" t="s">
        <v>33690</v>
      </c>
      <c r="H11347" t="s">
        <v>34735</v>
      </c>
      <c r="J11347" t="s">
        <v>14768</v>
      </c>
      <c r="K11347" s="2" t="str">
        <f>HYPERLINK("http://collections.slsa.sa.gov.au/mpcimg/69500/B69282_97.htm")</f>
        <v>http://collections.slsa.sa.gov.au/mpcimg/69500/B69282_97.htm</v>
      </c>
    </row>
    <row r="11348" spans="1:11" x14ac:dyDescent="0.25">
      <c r="A11348" t="s">
        <v>34736</v>
      </c>
      <c r="B11348" s="1" t="str">
        <f>HYPERLINK("https://www.catalog.slsa.sa.gov.au/record=b2220850")</f>
        <v>https://www.catalog.slsa.sa.gov.au/record=b2220850</v>
      </c>
      <c r="C11348" s="1" t="str">
        <f>HYPERLINK("https://www.catalog.slsa.sa.gov.au/xrecord=b2220850")</f>
        <v>https://www.catalog.slsa.sa.gov.au/xrecord=b2220850</v>
      </c>
      <c r="D11348" t="s">
        <v>31902</v>
      </c>
      <c r="E11348" t="s">
        <v>34732</v>
      </c>
      <c r="F11348">
        <v>2000</v>
      </c>
      <c r="G11348" t="s">
        <v>33690</v>
      </c>
      <c r="H11348" t="s">
        <v>34735</v>
      </c>
      <c r="J11348" t="s">
        <v>14768</v>
      </c>
      <c r="K11348" s="2" t="str">
        <f>HYPERLINK("http://collections.slsa.sa.gov.au/mpcimg/69500/B69282_98.htm")</f>
        <v>http://collections.slsa.sa.gov.au/mpcimg/69500/B69282_98.htm</v>
      </c>
    </row>
    <row r="11349" spans="1:11" x14ac:dyDescent="0.25">
      <c r="A11349" t="s">
        <v>34737</v>
      </c>
      <c r="B11349" s="1" t="str">
        <f>HYPERLINK("https://www.catalog.slsa.sa.gov.au/record=b2221960")</f>
        <v>https://www.catalog.slsa.sa.gov.au/record=b2221960</v>
      </c>
      <c r="C11349" s="1" t="str">
        <f>HYPERLINK("https://www.catalog.slsa.sa.gov.au/xrecord=b2221960")</f>
        <v>https://www.catalog.slsa.sa.gov.au/xrecord=b2221960</v>
      </c>
      <c r="D11349" t="s">
        <v>31902</v>
      </c>
      <c r="E11349" t="s">
        <v>34738</v>
      </c>
      <c r="F11349">
        <v>2000</v>
      </c>
      <c r="G11349" t="s">
        <v>33690</v>
      </c>
      <c r="H11349" t="s">
        <v>34739</v>
      </c>
      <c r="J11349" t="s">
        <v>14768</v>
      </c>
      <c r="K11349" s="2" t="str">
        <f>HYPERLINK("http://collections.slsa.sa.gov.au/mpcimg/69500/B69282_99.htm")</f>
        <v>http://collections.slsa.sa.gov.au/mpcimg/69500/B69282_99.htm</v>
      </c>
    </row>
    <row r="11350" spans="1:11" x14ac:dyDescent="0.25">
      <c r="A11350" t="s">
        <v>34740</v>
      </c>
      <c r="B11350" s="1" t="str">
        <f>HYPERLINK("https://www.catalog.slsa.sa.gov.au/record=b2221970")</f>
        <v>https://www.catalog.slsa.sa.gov.au/record=b2221970</v>
      </c>
      <c r="C11350" s="1" t="str">
        <f>HYPERLINK("https://www.catalog.slsa.sa.gov.au/xrecord=b2221970")</f>
        <v>https://www.catalog.slsa.sa.gov.au/xrecord=b2221970</v>
      </c>
      <c r="D11350" t="s">
        <v>31902</v>
      </c>
      <c r="E11350" t="s">
        <v>34741</v>
      </c>
      <c r="F11350">
        <v>2000</v>
      </c>
      <c r="G11350" t="s">
        <v>33690</v>
      </c>
      <c r="H11350" t="s">
        <v>34742</v>
      </c>
      <c r="J11350" t="s">
        <v>14768</v>
      </c>
      <c r="K11350" s="2" t="str">
        <f>HYPERLINK("http://collections.slsa.sa.gov.au/mpcimg/69500/B69282_100.htm")</f>
        <v>http://collections.slsa.sa.gov.au/mpcimg/69500/B69282_100.htm</v>
      </c>
    </row>
    <row r="11351" spans="1:11" x14ac:dyDescent="0.25">
      <c r="A11351" t="s">
        <v>34743</v>
      </c>
      <c r="B11351" s="1" t="str">
        <f>HYPERLINK("https://www.catalog.slsa.sa.gov.au/record=b2221971")</f>
        <v>https://www.catalog.slsa.sa.gov.au/record=b2221971</v>
      </c>
      <c r="C11351" s="1" t="str">
        <f>HYPERLINK("https://www.catalog.slsa.sa.gov.au/xrecord=b2221971")</f>
        <v>https://www.catalog.slsa.sa.gov.au/xrecord=b2221971</v>
      </c>
      <c r="D11351" t="s">
        <v>31902</v>
      </c>
      <c r="E11351" t="s">
        <v>34741</v>
      </c>
      <c r="F11351">
        <v>2000</v>
      </c>
      <c r="G11351" t="s">
        <v>33690</v>
      </c>
      <c r="H11351" t="s">
        <v>34744</v>
      </c>
      <c r="J11351" t="s">
        <v>14768</v>
      </c>
      <c r="K11351" s="2" t="str">
        <f>HYPERLINK("http://collections.slsa.sa.gov.au/mpcimg/69500/B69282_101.htm")</f>
        <v>http://collections.slsa.sa.gov.au/mpcimg/69500/B69282_101.htm</v>
      </c>
    </row>
    <row r="11352" spans="1:11" x14ac:dyDescent="0.25">
      <c r="A11352" t="s">
        <v>34745</v>
      </c>
      <c r="B11352" s="1" t="str">
        <f>HYPERLINK("https://www.catalog.slsa.sa.gov.au/record=b2222020")</f>
        <v>https://www.catalog.slsa.sa.gov.au/record=b2222020</v>
      </c>
      <c r="C11352" s="1" t="str">
        <f>HYPERLINK("https://www.catalog.slsa.sa.gov.au/xrecord=b2222020")</f>
        <v>https://www.catalog.slsa.sa.gov.au/xrecord=b2222020</v>
      </c>
      <c r="D11352" t="s">
        <v>31902</v>
      </c>
      <c r="E11352" t="s">
        <v>34746</v>
      </c>
      <c r="F11352">
        <v>2000</v>
      </c>
      <c r="G11352" t="s">
        <v>33690</v>
      </c>
      <c r="H11352" t="s">
        <v>34747</v>
      </c>
      <c r="J11352" t="s">
        <v>14768</v>
      </c>
      <c r="K11352" s="2" t="str">
        <f>HYPERLINK("http://collections.slsa.sa.gov.au/mpcimg/69500/B69282_102.htm")</f>
        <v>http://collections.slsa.sa.gov.au/mpcimg/69500/B69282_102.htm</v>
      </c>
    </row>
    <row r="11353" spans="1:11" x14ac:dyDescent="0.25">
      <c r="A11353" t="s">
        <v>34748</v>
      </c>
      <c r="B11353" s="1" t="str">
        <f>HYPERLINK("https://www.catalog.slsa.sa.gov.au/record=b2222027")</f>
        <v>https://www.catalog.slsa.sa.gov.au/record=b2222027</v>
      </c>
      <c r="C11353" s="1" t="str">
        <f>HYPERLINK("https://www.catalog.slsa.sa.gov.au/xrecord=b2222027")</f>
        <v>https://www.catalog.slsa.sa.gov.au/xrecord=b2222027</v>
      </c>
      <c r="D11353" t="s">
        <v>31902</v>
      </c>
      <c r="E11353" t="s">
        <v>34749</v>
      </c>
      <c r="F11353">
        <v>2000</v>
      </c>
      <c r="G11353" t="s">
        <v>33690</v>
      </c>
      <c r="H11353" t="s">
        <v>34750</v>
      </c>
      <c r="J11353" t="s">
        <v>14768</v>
      </c>
      <c r="K11353" s="2" t="str">
        <f>HYPERLINK("http://collections.slsa.sa.gov.au/mpcimg/69500/B69282_103.htm")</f>
        <v>http://collections.slsa.sa.gov.au/mpcimg/69500/B69282_103.htm</v>
      </c>
    </row>
    <row r="11354" spans="1:11" x14ac:dyDescent="0.25">
      <c r="A11354" t="s">
        <v>34751</v>
      </c>
      <c r="B11354" s="1" t="str">
        <f>HYPERLINK("https://www.catalog.slsa.sa.gov.au/record=b2222029")</f>
        <v>https://www.catalog.slsa.sa.gov.au/record=b2222029</v>
      </c>
      <c r="C11354" s="1" t="str">
        <f>HYPERLINK("https://www.catalog.slsa.sa.gov.au/xrecord=b2222029")</f>
        <v>https://www.catalog.slsa.sa.gov.au/xrecord=b2222029</v>
      </c>
      <c r="D11354" t="s">
        <v>31902</v>
      </c>
      <c r="E11354" t="s">
        <v>34749</v>
      </c>
      <c r="F11354">
        <v>2000</v>
      </c>
      <c r="G11354" t="s">
        <v>33690</v>
      </c>
      <c r="H11354" t="s">
        <v>34752</v>
      </c>
      <c r="J11354" t="s">
        <v>14768</v>
      </c>
      <c r="K11354" s="2" t="str">
        <f>HYPERLINK("http://collections.slsa.sa.gov.au/mpcimg/69500/B69282_104.htm")</f>
        <v>http://collections.slsa.sa.gov.au/mpcimg/69500/B69282_104.htm</v>
      </c>
    </row>
    <row r="11355" spans="1:11" x14ac:dyDescent="0.25">
      <c r="A11355" t="s">
        <v>34753</v>
      </c>
      <c r="B11355" s="1" t="str">
        <f>HYPERLINK("https://www.catalog.slsa.sa.gov.au/record=b2222030")</f>
        <v>https://www.catalog.slsa.sa.gov.au/record=b2222030</v>
      </c>
      <c r="C11355" s="1" t="str">
        <f>HYPERLINK("https://www.catalog.slsa.sa.gov.au/xrecord=b2222030")</f>
        <v>https://www.catalog.slsa.sa.gov.au/xrecord=b2222030</v>
      </c>
      <c r="D11355" t="s">
        <v>31902</v>
      </c>
      <c r="E11355" t="s">
        <v>34749</v>
      </c>
      <c r="F11355">
        <v>2000</v>
      </c>
      <c r="G11355" t="s">
        <v>33690</v>
      </c>
      <c r="H11355" t="s">
        <v>34754</v>
      </c>
      <c r="J11355" t="s">
        <v>14768</v>
      </c>
      <c r="K11355" s="2" t="str">
        <f>HYPERLINK("http://collections.slsa.sa.gov.au/mpcimg/69500/B69282_105.htm")</f>
        <v>http://collections.slsa.sa.gov.au/mpcimg/69500/B69282_105.htm</v>
      </c>
    </row>
    <row r="11356" spans="1:11" x14ac:dyDescent="0.25">
      <c r="A11356" t="s">
        <v>34755</v>
      </c>
      <c r="B11356" s="1" t="str">
        <f>HYPERLINK("https://www.catalog.slsa.sa.gov.au/record=b2222031")</f>
        <v>https://www.catalog.slsa.sa.gov.au/record=b2222031</v>
      </c>
      <c r="C11356" s="1" t="str">
        <f>HYPERLINK("https://www.catalog.slsa.sa.gov.au/xrecord=b2222031")</f>
        <v>https://www.catalog.slsa.sa.gov.au/xrecord=b2222031</v>
      </c>
      <c r="D11356" t="s">
        <v>31902</v>
      </c>
      <c r="E11356" t="s">
        <v>34749</v>
      </c>
      <c r="F11356">
        <v>2000</v>
      </c>
      <c r="G11356" t="s">
        <v>33690</v>
      </c>
      <c r="H11356" t="s">
        <v>34756</v>
      </c>
      <c r="J11356" t="s">
        <v>14768</v>
      </c>
      <c r="K11356" s="2" t="str">
        <f>HYPERLINK("http://collections.slsa.sa.gov.au/mpcimg/69500/B69282_106.htm")</f>
        <v>http://collections.slsa.sa.gov.au/mpcimg/69500/B69282_106.htm</v>
      </c>
    </row>
    <row r="11357" spans="1:11" x14ac:dyDescent="0.25">
      <c r="A11357" t="s">
        <v>34757</v>
      </c>
      <c r="B11357" s="1" t="str">
        <f>HYPERLINK("https://www.catalog.slsa.sa.gov.au/record=b2222035")</f>
        <v>https://www.catalog.slsa.sa.gov.au/record=b2222035</v>
      </c>
      <c r="C11357" s="1" t="str">
        <f>HYPERLINK("https://www.catalog.slsa.sa.gov.au/xrecord=b2222035")</f>
        <v>https://www.catalog.slsa.sa.gov.au/xrecord=b2222035</v>
      </c>
      <c r="D11357" t="s">
        <v>31902</v>
      </c>
      <c r="E11357" t="s">
        <v>34749</v>
      </c>
      <c r="F11357">
        <v>2000</v>
      </c>
      <c r="G11357" t="s">
        <v>33690</v>
      </c>
      <c r="H11357" t="s">
        <v>34758</v>
      </c>
      <c r="J11357" t="s">
        <v>14768</v>
      </c>
      <c r="K11357" s="2" t="str">
        <f>HYPERLINK("http://collections.slsa.sa.gov.au/mpcimg/69500/B69282_107.htm")</f>
        <v>http://collections.slsa.sa.gov.au/mpcimg/69500/B69282_107.htm</v>
      </c>
    </row>
    <row r="11358" spans="1:11" x14ac:dyDescent="0.25">
      <c r="A11358" t="s">
        <v>34759</v>
      </c>
      <c r="B11358" s="1" t="str">
        <f>HYPERLINK("https://www.catalog.slsa.sa.gov.au/record=b2222038")</f>
        <v>https://www.catalog.slsa.sa.gov.au/record=b2222038</v>
      </c>
      <c r="C11358" s="1" t="str">
        <f>HYPERLINK("https://www.catalog.slsa.sa.gov.au/xrecord=b2222038")</f>
        <v>https://www.catalog.slsa.sa.gov.au/xrecord=b2222038</v>
      </c>
      <c r="D11358" t="s">
        <v>31902</v>
      </c>
      <c r="E11358" t="s">
        <v>34749</v>
      </c>
      <c r="F11358">
        <v>2000</v>
      </c>
      <c r="G11358" t="s">
        <v>33690</v>
      </c>
      <c r="H11358" t="s">
        <v>34760</v>
      </c>
      <c r="J11358" t="s">
        <v>14768</v>
      </c>
      <c r="K11358" s="2" t="str">
        <f>HYPERLINK("http://collections.slsa.sa.gov.au/mpcimg/69500/B69282_108.htm")</f>
        <v>http://collections.slsa.sa.gov.au/mpcimg/69500/B69282_108.htm</v>
      </c>
    </row>
    <row r="11359" spans="1:11" x14ac:dyDescent="0.25">
      <c r="A11359" t="s">
        <v>34761</v>
      </c>
      <c r="B11359" s="1" t="str">
        <f>HYPERLINK("https://www.catalog.slsa.sa.gov.au/record=b2222040")</f>
        <v>https://www.catalog.slsa.sa.gov.au/record=b2222040</v>
      </c>
      <c r="C11359" s="1" t="str">
        <f>HYPERLINK("https://www.catalog.slsa.sa.gov.au/xrecord=b2222040")</f>
        <v>https://www.catalog.slsa.sa.gov.au/xrecord=b2222040</v>
      </c>
      <c r="D11359" t="s">
        <v>31902</v>
      </c>
      <c r="E11359" t="s">
        <v>34749</v>
      </c>
      <c r="F11359">
        <v>2000</v>
      </c>
      <c r="G11359" t="s">
        <v>33690</v>
      </c>
      <c r="H11359" t="s">
        <v>34762</v>
      </c>
      <c r="J11359" t="s">
        <v>14768</v>
      </c>
      <c r="K11359" s="2" t="str">
        <f>HYPERLINK("http://collections.slsa.sa.gov.au/mpcimg/69500/B69282_109.htm")</f>
        <v>http://collections.slsa.sa.gov.au/mpcimg/69500/B69282_109.htm</v>
      </c>
    </row>
    <row r="11360" spans="1:11" x14ac:dyDescent="0.25">
      <c r="A11360" t="s">
        <v>34763</v>
      </c>
      <c r="B11360" s="1" t="str">
        <f>HYPERLINK("https://www.catalog.slsa.sa.gov.au/record=b2222043")</f>
        <v>https://www.catalog.slsa.sa.gov.au/record=b2222043</v>
      </c>
      <c r="C11360" s="1" t="str">
        <f>HYPERLINK("https://www.catalog.slsa.sa.gov.au/xrecord=b2222043")</f>
        <v>https://www.catalog.slsa.sa.gov.au/xrecord=b2222043</v>
      </c>
      <c r="D11360" t="s">
        <v>31902</v>
      </c>
      <c r="E11360" t="s">
        <v>34749</v>
      </c>
      <c r="F11360">
        <v>2000</v>
      </c>
      <c r="G11360" t="s">
        <v>33690</v>
      </c>
      <c r="H11360" t="s">
        <v>34764</v>
      </c>
      <c r="J11360" t="s">
        <v>14768</v>
      </c>
      <c r="K11360" s="2" t="str">
        <f>HYPERLINK("http://collections.slsa.sa.gov.au/mpcimg/69500/B69282_110.htm")</f>
        <v>http://collections.slsa.sa.gov.au/mpcimg/69500/B69282_110.htm</v>
      </c>
    </row>
    <row r="11361" spans="1:11" x14ac:dyDescent="0.25">
      <c r="A11361" t="s">
        <v>34765</v>
      </c>
      <c r="B11361" s="1" t="str">
        <f>HYPERLINK("https://www.catalog.slsa.sa.gov.au/record=b2222044")</f>
        <v>https://www.catalog.slsa.sa.gov.au/record=b2222044</v>
      </c>
      <c r="C11361" s="1" t="str">
        <f>HYPERLINK("https://www.catalog.slsa.sa.gov.au/xrecord=b2222044")</f>
        <v>https://www.catalog.slsa.sa.gov.au/xrecord=b2222044</v>
      </c>
      <c r="D11361" t="s">
        <v>31902</v>
      </c>
      <c r="E11361" t="s">
        <v>34749</v>
      </c>
      <c r="F11361">
        <v>2000</v>
      </c>
      <c r="G11361" t="s">
        <v>33690</v>
      </c>
      <c r="H11361" t="s">
        <v>34766</v>
      </c>
      <c r="J11361" t="s">
        <v>14768</v>
      </c>
      <c r="K11361" s="2" t="str">
        <f>HYPERLINK("http://collections.slsa.sa.gov.au/mpcimg/69500/B69282_111.htm")</f>
        <v>http://collections.slsa.sa.gov.au/mpcimg/69500/B69282_111.htm</v>
      </c>
    </row>
    <row r="11362" spans="1:11" x14ac:dyDescent="0.25">
      <c r="A11362" t="s">
        <v>34767</v>
      </c>
      <c r="B11362" s="1" t="str">
        <f>HYPERLINK("https://www.catalog.slsa.sa.gov.au/record=b2222047")</f>
        <v>https://www.catalog.slsa.sa.gov.au/record=b2222047</v>
      </c>
      <c r="C11362" s="1" t="str">
        <f>HYPERLINK("https://www.catalog.slsa.sa.gov.au/xrecord=b2222047")</f>
        <v>https://www.catalog.slsa.sa.gov.au/xrecord=b2222047</v>
      </c>
      <c r="D11362" t="s">
        <v>31902</v>
      </c>
      <c r="E11362" t="s">
        <v>34749</v>
      </c>
      <c r="F11362">
        <v>2000</v>
      </c>
      <c r="G11362" t="s">
        <v>33690</v>
      </c>
      <c r="H11362" t="s">
        <v>34768</v>
      </c>
      <c r="J11362" t="s">
        <v>14768</v>
      </c>
      <c r="K11362" s="2" t="str">
        <f>HYPERLINK("http://collections.slsa.sa.gov.au/mpcimg/69500/B69282_112.htm")</f>
        <v>http://collections.slsa.sa.gov.au/mpcimg/69500/B69282_112.htm</v>
      </c>
    </row>
    <row r="11363" spans="1:11" x14ac:dyDescent="0.25">
      <c r="A11363" t="s">
        <v>34769</v>
      </c>
      <c r="B11363" s="1" t="str">
        <f>HYPERLINK("https://www.catalog.slsa.sa.gov.au/record=b2222226")</f>
        <v>https://www.catalog.slsa.sa.gov.au/record=b2222226</v>
      </c>
      <c r="C11363" s="1" t="str">
        <f>HYPERLINK("https://www.catalog.slsa.sa.gov.au/xrecord=b2222226")</f>
        <v>https://www.catalog.slsa.sa.gov.au/xrecord=b2222226</v>
      </c>
      <c r="D11363" t="s">
        <v>31902</v>
      </c>
      <c r="E11363" t="s">
        <v>34749</v>
      </c>
      <c r="F11363">
        <v>2000</v>
      </c>
      <c r="G11363" t="s">
        <v>33690</v>
      </c>
      <c r="H11363" t="s">
        <v>34770</v>
      </c>
      <c r="J11363" t="s">
        <v>14768</v>
      </c>
      <c r="K11363" s="2" t="str">
        <f>HYPERLINK("http://collections.slsa.sa.gov.au/mpcimg/69500/B69282_113.htm")</f>
        <v>http://collections.slsa.sa.gov.au/mpcimg/69500/B69282_113.htm</v>
      </c>
    </row>
    <row r="11364" spans="1:11" x14ac:dyDescent="0.25">
      <c r="A11364" t="s">
        <v>34771</v>
      </c>
      <c r="B11364" s="1" t="str">
        <f>HYPERLINK("https://www.catalog.slsa.sa.gov.au/record=b2222332")</f>
        <v>https://www.catalog.slsa.sa.gov.au/record=b2222332</v>
      </c>
      <c r="C11364" s="1" t="str">
        <f>HYPERLINK("https://www.catalog.slsa.sa.gov.au/xrecord=b2222332")</f>
        <v>https://www.catalog.slsa.sa.gov.au/xrecord=b2222332</v>
      </c>
      <c r="D11364" t="s">
        <v>31902</v>
      </c>
      <c r="E11364" t="s">
        <v>34772</v>
      </c>
      <c r="F11364">
        <v>2000</v>
      </c>
      <c r="G11364" t="s">
        <v>33690</v>
      </c>
      <c r="H11364" t="s">
        <v>34773</v>
      </c>
      <c r="J11364" t="s">
        <v>14768</v>
      </c>
      <c r="K11364" s="2" t="str">
        <f>HYPERLINK("http://collections.slsa.sa.gov.au/mpcimg/69500/B69282_114.htm")</f>
        <v>http://collections.slsa.sa.gov.au/mpcimg/69500/B69282_114.htm</v>
      </c>
    </row>
    <row r="11365" spans="1:11" x14ac:dyDescent="0.25">
      <c r="A11365" t="s">
        <v>34774</v>
      </c>
      <c r="B11365" s="1" t="str">
        <f>HYPERLINK("https://www.catalog.slsa.sa.gov.au/record=b2222340")</f>
        <v>https://www.catalog.slsa.sa.gov.au/record=b2222340</v>
      </c>
      <c r="C11365" s="1" t="str">
        <f>HYPERLINK("https://www.catalog.slsa.sa.gov.au/xrecord=b2222340")</f>
        <v>https://www.catalog.slsa.sa.gov.au/xrecord=b2222340</v>
      </c>
      <c r="D11365" t="s">
        <v>31902</v>
      </c>
      <c r="E11365" t="s">
        <v>34772</v>
      </c>
      <c r="F11365">
        <v>2000</v>
      </c>
      <c r="G11365" t="s">
        <v>33690</v>
      </c>
      <c r="H11365" t="s">
        <v>34775</v>
      </c>
      <c r="J11365" t="s">
        <v>14768</v>
      </c>
      <c r="K11365" s="2" t="str">
        <f>HYPERLINK("http://collections.slsa.sa.gov.au/mpcimg/69500/B69282_115.htm")</f>
        <v>http://collections.slsa.sa.gov.au/mpcimg/69500/B69282_115.htm</v>
      </c>
    </row>
    <row r="11366" spans="1:11" x14ac:dyDescent="0.25">
      <c r="A11366" t="s">
        <v>34776</v>
      </c>
      <c r="B11366" s="1" t="str">
        <f>HYPERLINK("https://www.catalog.slsa.sa.gov.au/record=b2222348")</f>
        <v>https://www.catalog.slsa.sa.gov.au/record=b2222348</v>
      </c>
      <c r="C11366" s="1" t="str">
        <f>HYPERLINK("https://www.catalog.slsa.sa.gov.au/xrecord=b2222348")</f>
        <v>https://www.catalog.slsa.sa.gov.au/xrecord=b2222348</v>
      </c>
      <c r="D11366" t="s">
        <v>31902</v>
      </c>
      <c r="E11366" t="s">
        <v>34772</v>
      </c>
      <c r="F11366">
        <v>2000</v>
      </c>
      <c r="G11366" t="s">
        <v>33690</v>
      </c>
      <c r="H11366" t="s">
        <v>34777</v>
      </c>
      <c r="J11366" t="s">
        <v>14768</v>
      </c>
      <c r="K11366" s="2" t="str">
        <f>HYPERLINK("http://collections.slsa.sa.gov.au/mpcimg/69500/B69282_116.htm")</f>
        <v>http://collections.slsa.sa.gov.au/mpcimg/69500/B69282_116.htm</v>
      </c>
    </row>
    <row r="11367" spans="1:11" x14ac:dyDescent="0.25">
      <c r="A11367" t="s">
        <v>34778</v>
      </c>
      <c r="B11367" s="1" t="str">
        <f>HYPERLINK("https://www.catalog.slsa.sa.gov.au/record=b2222358")</f>
        <v>https://www.catalog.slsa.sa.gov.au/record=b2222358</v>
      </c>
      <c r="C11367" s="1" t="str">
        <f>HYPERLINK("https://www.catalog.slsa.sa.gov.au/xrecord=b2222358")</f>
        <v>https://www.catalog.slsa.sa.gov.au/xrecord=b2222358</v>
      </c>
      <c r="D11367" t="s">
        <v>31902</v>
      </c>
      <c r="E11367" t="s">
        <v>34772</v>
      </c>
      <c r="F11367">
        <v>2000</v>
      </c>
      <c r="G11367" t="s">
        <v>33690</v>
      </c>
      <c r="H11367" t="s">
        <v>34779</v>
      </c>
      <c r="J11367" t="s">
        <v>14768</v>
      </c>
      <c r="K11367" s="2" t="str">
        <f>HYPERLINK("http://collections.slsa.sa.gov.au/mpcimg/69500/B69282_117.htm")</f>
        <v>http://collections.slsa.sa.gov.au/mpcimg/69500/B69282_117.htm</v>
      </c>
    </row>
    <row r="11368" spans="1:11" x14ac:dyDescent="0.25">
      <c r="A11368" t="s">
        <v>34780</v>
      </c>
      <c r="B11368" s="1" t="str">
        <f>HYPERLINK("https://www.catalog.slsa.sa.gov.au/record=b2222360")</f>
        <v>https://www.catalog.slsa.sa.gov.au/record=b2222360</v>
      </c>
      <c r="C11368" s="1" t="str">
        <f>HYPERLINK("https://www.catalog.slsa.sa.gov.au/xrecord=b2222360")</f>
        <v>https://www.catalog.slsa.sa.gov.au/xrecord=b2222360</v>
      </c>
      <c r="D11368" t="s">
        <v>31902</v>
      </c>
      <c r="E11368" t="s">
        <v>34772</v>
      </c>
      <c r="F11368">
        <v>2000</v>
      </c>
      <c r="G11368" t="s">
        <v>33690</v>
      </c>
      <c r="H11368" t="s">
        <v>34781</v>
      </c>
      <c r="J11368" t="s">
        <v>14768</v>
      </c>
      <c r="K11368" s="2" t="str">
        <f>HYPERLINK("http://collections.slsa.sa.gov.au/mpcimg/69500/B69282_118.htm")</f>
        <v>http://collections.slsa.sa.gov.au/mpcimg/69500/B69282_118.htm</v>
      </c>
    </row>
    <row r="11369" spans="1:11" x14ac:dyDescent="0.25">
      <c r="A11369" t="s">
        <v>34782</v>
      </c>
      <c r="B11369" s="1" t="str">
        <f>HYPERLINK("https://www.catalog.slsa.sa.gov.au/record=b2222363")</f>
        <v>https://www.catalog.slsa.sa.gov.au/record=b2222363</v>
      </c>
      <c r="C11369" s="1" t="str">
        <f>HYPERLINK("https://www.catalog.slsa.sa.gov.au/xrecord=b2222363")</f>
        <v>https://www.catalog.slsa.sa.gov.au/xrecord=b2222363</v>
      </c>
      <c r="D11369" t="s">
        <v>31902</v>
      </c>
      <c r="E11369" t="s">
        <v>34772</v>
      </c>
      <c r="F11369">
        <v>2000</v>
      </c>
      <c r="G11369" t="s">
        <v>33690</v>
      </c>
      <c r="H11369" t="s">
        <v>34783</v>
      </c>
      <c r="J11369" t="s">
        <v>14768</v>
      </c>
      <c r="K11369" s="2" t="str">
        <f>HYPERLINK("http://collections.slsa.sa.gov.au/mpcimg/69500/B69282_119.htm")</f>
        <v>http://collections.slsa.sa.gov.au/mpcimg/69500/B69282_119.htm</v>
      </c>
    </row>
    <row r="11370" spans="1:11" x14ac:dyDescent="0.25">
      <c r="A11370" t="s">
        <v>34784</v>
      </c>
      <c r="B11370" s="1" t="str">
        <f>HYPERLINK("https://www.catalog.slsa.sa.gov.au/record=b2222686")</f>
        <v>https://www.catalog.slsa.sa.gov.au/record=b2222686</v>
      </c>
      <c r="C11370" s="1" t="str">
        <f>HYPERLINK("https://www.catalog.slsa.sa.gov.au/xrecord=b2222686")</f>
        <v>https://www.catalog.slsa.sa.gov.au/xrecord=b2222686</v>
      </c>
      <c r="D11370" t="s">
        <v>16831</v>
      </c>
      <c r="E11370" t="s">
        <v>34785</v>
      </c>
      <c r="F11370">
        <v>2000</v>
      </c>
      <c r="G11370" t="s">
        <v>34786</v>
      </c>
      <c r="H11370" t="s">
        <v>34787</v>
      </c>
      <c r="I11370" t="s">
        <v>34788</v>
      </c>
      <c r="J11370" t="s">
        <v>2510</v>
      </c>
      <c r="K11370" s="2" t="str">
        <f>HYPERLINK("http://collections.slsa.sa.gov.au/mpcimg/71250/B71090_1.htm")</f>
        <v>http://collections.slsa.sa.gov.au/mpcimg/71250/B71090_1.htm</v>
      </c>
    </row>
    <row r="11371" spans="1:11" x14ac:dyDescent="0.25">
      <c r="A11371" t="s">
        <v>34789</v>
      </c>
      <c r="B11371" s="1" t="str">
        <f>HYPERLINK("https://www.catalog.slsa.sa.gov.au/record=b2222689")</f>
        <v>https://www.catalog.slsa.sa.gov.au/record=b2222689</v>
      </c>
      <c r="C11371" s="1" t="str">
        <f>HYPERLINK("https://www.catalog.slsa.sa.gov.au/xrecord=b2222689")</f>
        <v>https://www.catalog.slsa.sa.gov.au/xrecord=b2222689</v>
      </c>
      <c r="D11371" t="s">
        <v>16831</v>
      </c>
      <c r="E11371" t="s">
        <v>34790</v>
      </c>
      <c r="F11371">
        <v>2000</v>
      </c>
      <c r="G11371" t="s">
        <v>34786</v>
      </c>
      <c r="H11371" t="s">
        <v>34791</v>
      </c>
      <c r="I11371" t="s">
        <v>34792</v>
      </c>
      <c r="J11371" t="s">
        <v>2510</v>
      </c>
      <c r="K11371" s="2" t="str">
        <f>HYPERLINK("http://collections.slsa.sa.gov.au/mpcimg/71250/B71090_2.htm")</f>
        <v>http://collections.slsa.sa.gov.au/mpcimg/71250/B71090_2.htm</v>
      </c>
    </row>
    <row r="11372" spans="1:11" x14ac:dyDescent="0.25">
      <c r="A11372" t="s">
        <v>34793</v>
      </c>
      <c r="B11372" s="1" t="str">
        <f>HYPERLINK("https://www.catalog.slsa.sa.gov.au/record=b2222694")</f>
        <v>https://www.catalog.slsa.sa.gov.au/record=b2222694</v>
      </c>
      <c r="C11372" s="1" t="str">
        <f>HYPERLINK("https://www.catalog.slsa.sa.gov.au/xrecord=b2222694")</f>
        <v>https://www.catalog.slsa.sa.gov.au/xrecord=b2222694</v>
      </c>
      <c r="D11372" t="s">
        <v>31902</v>
      </c>
      <c r="E11372" t="s">
        <v>34794</v>
      </c>
      <c r="F11372">
        <v>2000</v>
      </c>
      <c r="G11372" t="s">
        <v>33690</v>
      </c>
      <c r="H11372" t="s">
        <v>34795</v>
      </c>
      <c r="J11372" t="s">
        <v>14768</v>
      </c>
      <c r="K11372" s="2" t="str">
        <f>HYPERLINK("http://collections.slsa.sa.gov.au/mpcimg/69500/B69282_120.htm")</f>
        <v>http://collections.slsa.sa.gov.au/mpcimg/69500/B69282_120.htm</v>
      </c>
    </row>
    <row r="11373" spans="1:11" x14ac:dyDescent="0.25">
      <c r="A11373" t="s">
        <v>34796</v>
      </c>
      <c r="B11373" s="1" t="str">
        <f>HYPERLINK("https://www.catalog.slsa.sa.gov.au/record=b2222702")</f>
        <v>https://www.catalog.slsa.sa.gov.au/record=b2222702</v>
      </c>
      <c r="C11373" s="1" t="str">
        <f>HYPERLINK("https://www.catalog.slsa.sa.gov.au/xrecord=b2222702")</f>
        <v>https://www.catalog.slsa.sa.gov.au/xrecord=b2222702</v>
      </c>
      <c r="D11373" t="s">
        <v>31902</v>
      </c>
      <c r="E11373" t="s">
        <v>34794</v>
      </c>
      <c r="F11373">
        <v>2000</v>
      </c>
      <c r="G11373" t="s">
        <v>33690</v>
      </c>
      <c r="H11373" t="s">
        <v>34797</v>
      </c>
      <c r="J11373" t="s">
        <v>14768</v>
      </c>
      <c r="K11373" s="2" t="str">
        <f>HYPERLINK("http://collections.slsa.sa.gov.au/mpcimg/69500/B69282_121.htm")</f>
        <v>http://collections.slsa.sa.gov.au/mpcimg/69500/B69282_121.htm</v>
      </c>
    </row>
    <row r="11374" spans="1:11" x14ac:dyDescent="0.25">
      <c r="A11374" t="s">
        <v>34798</v>
      </c>
      <c r="B11374" s="1" t="str">
        <f>HYPERLINK("https://www.catalog.slsa.sa.gov.au/record=b2222755")</f>
        <v>https://www.catalog.slsa.sa.gov.au/record=b2222755</v>
      </c>
      <c r="C11374" s="1" t="str">
        <f>HYPERLINK("https://www.catalog.slsa.sa.gov.au/xrecord=b2222755")</f>
        <v>https://www.catalog.slsa.sa.gov.au/xrecord=b2222755</v>
      </c>
      <c r="D11374" t="s">
        <v>31902</v>
      </c>
      <c r="E11374" t="s">
        <v>34799</v>
      </c>
      <c r="F11374">
        <v>2000</v>
      </c>
      <c r="G11374" t="s">
        <v>33690</v>
      </c>
      <c r="H11374" t="s">
        <v>34800</v>
      </c>
      <c r="J11374" t="s">
        <v>14768</v>
      </c>
      <c r="K11374" s="2" t="str">
        <f>HYPERLINK("http://collections.slsa.sa.gov.au/mpcimg/69500/B69282_122.htm")</f>
        <v>http://collections.slsa.sa.gov.au/mpcimg/69500/B69282_122.htm</v>
      </c>
    </row>
    <row r="11375" spans="1:11" x14ac:dyDescent="0.25">
      <c r="A11375" t="s">
        <v>34801</v>
      </c>
      <c r="B11375" s="1" t="str">
        <f>HYPERLINK("https://www.catalog.slsa.sa.gov.au/record=b2222757")</f>
        <v>https://www.catalog.slsa.sa.gov.au/record=b2222757</v>
      </c>
      <c r="C11375" s="1" t="str">
        <f>HYPERLINK("https://www.catalog.slsa.sa.gov.au/xrecord=b2222757")</f>
        <v>https://www.catalog.slsa.sa.gov.au/xrecord=b2222757</v>
      </c>
      <c r="D11375" t="s">
        <v>31902</v>
      </c>
      <c r="E11375" t="s">
        <v>34799</v>
      </c>
      <c r="F11375">
        <v>2000</v>
      </c>
      <c r="G11375" t="s">
        <v>33690</v>
      </c>
      <c r="H11375" t="s">
        <v>34802</v>
      </c>
      <c r="J11375" t="s">
        <v>14768</v>
      </c>
      <c r="K11375" s="2" t="str">
        <f>HYPERLINK("http://collections.slsa.sa.gov.au/mpcimg/69500/B69282_123.htm")</f>
        <v>http://collections.slsa.sa.gov.au/mpcimg/69500/B69282_123.htm</v>
      </c>
    </row>
    <row r="11376" spans="1:11" x14ac:dyDescent="0.25">
      <c r="A11376" t="s">
        <v>34803</v>
      </c>
      <c r="B11376" s="1" t="str">
        <f>HYPERLINK("https://www.catalog.slsa.sa.gov.au/record=b2223464")</f>
        <v>https://www.catalog.slsa.sa.gov.au/record=b2223464</v>
      </c>
      <c r="C11376" s="1" t="str">
        <f>HYPERLINK("https://www.catalog.slsa.sa.gov.au/xrecord=b2223464")</f>
        <v>https://www.catalog.slsa.sa.gov.au/xrecord=b2223464</v>
      </c>
      <c r="D11376" t="s">
        <v>31902</v>
      </c>
      <c r="E11376" t="s">
        <v>34804</v>
      </c>
      <c r="F11376">
        <v>2000</v>
      </c>
      <c r="G11376" t="s">
        <v>33690</v>
      </c>
      <c r="H11376" t="s">
        <v>34805</v>
      </c>
      <c r="J11376" t="s">
        <v>14768</v>
      </c>
      <c r="K11376" s="2" t="str">
        <f>HYPERLINK("http://collections.slsa.sa.gov.au/mpcimg/69500/B69282_124.htm")</f>
        <v>http://collections.slsa.sa.gov.au/mpcimg/69500/B69282_124.htm</v>
      </c>
    </row>
    <row r="11377" spans="1:11" x14ac:dyDescent="0.25">
      <c r="A11377" t="s">
        <v>34806</v>
      </c>
      <c r="B11377" s="1" t="str">
        <f>HYPERLINK("https://www.catalog.slsa.sa.gov.au/record=b2223472")</f>
        <v>https://www.catalog.slsa.sa.gov.au/record=b2223472</v>
      </c>
      <c r="C11377" s="1" t="str">
        <f>HYPERLINK("https://www.catalog.slsa.sa.gov.au/xrecord=b2223472")</f>
        <v>https://www.catalog.slsa.sa.gov.au/xrecord=b2223472</v>
      </c>
      <c r="D11377" t="s">
        <v>31902</v>
      </c>
      <c r="E11377" t="s">
        <v>34804</v>
      </c>
      <c r="F11377">
        <v>2000</v>
      </c>
      <c r="G11377" t="s">
        <v>33690</v>
      </c>
      <c r="H11377" t="s">
        <v>34807</v>
      </c>
      <c r="J11377" t="s">
        <v>14768</v>
      </c>
      <c r="K11377" s="2" t="str">
        <f>HYPERLINK("http://collections.slsa.sa.gov.au/mpcimg/69500/B69282_125.htm")</f>
        <v>http://collections.slsa.sa.gov.au/mpcimg/69500/B69282_125.htm</v>
      </c>
    </row>
    <row r="11378" spans="1:11" x14ac:dyDescent="0.25">
      <c r="A11378" t="s">
        <v>34808</v>
      </c>
      <c r="B11378" s="1" t="str">
        <f>HYPERLINK("https://www.catalog.slsa.sa.gov.au/record=b2223477")</f>
        <v>https://www.catalog.slsa.sa.gov.au/record=b2223477</v>
      </c>
      <c r="C11378" s="1" t="str">
        <f>HYPERLINK("https://www.catalog.slsa.sa.gov.au/xrecord=b2223477")</f>
        <v>https://www.catalog.slsa.sa.gov.au/xrecord=b2223477</v>
      </c>
      <c r="D11378" t="s">
        <v>31902</v>
      </c>
      <c r="E11378" t="s">
        <v>34804</v>
      </c>
      <c r="F11378">
        <v>2000</v>
      </c>
      <c r="G11378" t="s">
        <v>33690</v>
      </c>
      <c r="H11378" t="s">
        <v>34809</v>
      </c>
      <c r="J11378" t="s">
        <v>14768</v>
      </c>
      <c r="K11378" s="2" t="str">
        <f>HYPERLINK("http://collections.slsa.sa.gov.au/mpcimg/69500/B69282_126.htm")</f>
        <v>http://collections.slsa.sa.gov.au/mpcimg/69500/B69282_126.htm</v>
      </c>
    </row>
    <row r="11379" spans="1:11" x14ac:dyDescent="0.25">
      <c r="A11379" t="s">
        <v>34810</v>
      </c>
      <c r="B11379" s="1" t="str">
        <f>HYPERLINK("https://www.catalog.slsa.sa.gov.au/record=b2223484")</f>
        <v>https://www.catalog.slsa.sa.gov.au/record=b2223484</v>
      </c>
      <c r="C11379" s="1" t="str">
        <f>HYPERLINK("https://www.catalog.slsa.sa.gov.au/xrecord=b2223484")</f>
        <v>https://www.catalog.slsa.sa.gov.au/xrecord=b2223484</v>
      </c>
      <c r="D11379" t="s">
        <v>31902</v>
      </c>
      <c r="E11379" t="s">
        <v>34811</v>
      </c>
      <c r="F11379">
        <v>2000</v>
      </c>
      <c r="G11379" t="s">
        <v>33690</v>
      </c>
      <c r="H11379" t="s">
        <v>34812</v>
      </c>
      <c r="J11379" t="s">
        <v>14768</v>
      </c>
      <c r="K11379" s="2" t="str">
        <f>HYPERLINK("http://collections.slsa.sa.gov.au/mpcimg/69500/B69282_127.htm")</f>
        <v>http://collections.slsa.sa.gov.au/mpcimg/69500/B69282_127.htm</v>
      </c>
    </row>
    <row r="11380" spans="1:11" x14ac:dyDescent="0.25">
      <c r="A11380" t="s">
        <v>34813</v>
      </c>
      <c r="B11380" s="1" t="str">
        <f>HYPERLINK("https://www.catalog.slsa.sa.gov.au/record=b2223489")</f>
        <v>https://www.catalog.slsa.sa.gov.au/record=b2223489</v>
      </c>
      <c r="C11380" s="1" t="str">
        <f>HYPERLINK("https://www.catalog.slsa.sa.gov.au/xrecord=b2223489")</f>
        <v>https://www.catalog.slsa.sa.gov.au/xrecord=b2223489</v>
      </c>
      <c r="D11380" t="s">
        <v>31902</v>
      </c>
      <c r="E11380" t="s">
        <v>34814</v>
      </c>
      <c r="F11380">
        <v>2000</v>
      </c>
      <c r="G11380" t="s">
        <v>33690</v>
      </c>
      <c r="H11380" t="s">
        <v>34815</v>
      </c>
      <c r="J11380" t="s">
        <v>14768</v>
      </c>
      <c r="K11380" s="2" t="str">
        <f>HYPERLINK("http://collections.slsa.sa.gov.au/mpcimg/69500/B69282_128.htm")</f>
        <v>http://collections.slsa.sa.gov.au/mpcimg/69500/B69282_128.htm</v>
      </c>
    </row>
    <row r="11381" spans="1:11" x14ac:dyDescent="0.25">
      <c r="A11381" t="s">
        <v>34816</v>
      </c>
      <c r="B11381" s="1" t="str">
        <f>HYPERLINK("https://www.catalog.slsa.sa.gov.au/record=b2223642")</f>
        <v>https://www.catalog.slsa.sa.gov.au/record=b2223642</v>
      </c>
      <c r="C11381" s="1" t="str">
        <f>HYPERLINK("https://www.catalog.slsa.sa.gov.au/xrecord=b2223642")</f>
        <v>https://www.catalog.slsa.sa.gov.au/xrecord=b2223642</v>
      </c>
      <c r="D11381" t="s">
        <v>31902</v>
      </c>
      <c r="E11381" t="s">
        <v>34817</v>
      </c>
      <c r="F11381">
        <v>2000</v>
      </c>
      <c r="G11381" t="s">
        <v>33690</v>
      </c>
      <c r="H11381" t="s">
        <v>34818</v>
      </c>
      <c r="J11381" t="s">
        <v>14768</v>
      </c>
      <c r="K11381" s="2" t="str">
        <f>HYPERLINK("http://collections.slsa.sa.gov.au/mpcimg/69500/B69282_129.htm")</f>
        <v>http://collections.slsa.sa.gov.au/mpcimg/69500/B69282_129.htm</v>
      </c>
    </row>
    <row r="11382" spans="1:11" x14ac:dyDescent="0.25">
      <c r="A11382" t="s">
        <v>34819</v>
      </c>
      <c r="B11382" s="1" t="str">
        <f>HYPERLINK("https://www.catalog.slsa.sa.gov.au/record=b2223647")</f>
        <v>https://www.catalog.slsa.sa.gov.au/record=b2223647</v>
      </c>
      <c r="C11382" s="1" t="str">
        <f>HYPERLINK("https://www.catalog.slsa.sa.gov.au/xrecord=b2223647")</f>
        <v>https://www.catalog.slsa.sa.gov.au/xrecord=b2223647</v>
      </c>
      <c r="D11382" t="s">
        <v>31902</v>
      </c>
      <c r="E11382" t="s">
        <v>34817</v>
      </c>
      <c r="F11382">
        <v>2000</v>
      </c>
      <c r="G11382" t="s">
        <v>33690</v>
      </c>
      <c r="H11382" t="s">
        <v>34820</v>
      </c>
      <c r="J11382" t="s">
        <v>14768</v>
      </c>
      <c r="K11382" s="2" t="str">
        <f>HYPERLINK("http://collections.slsa.sa.gov.au/mpcimg/69500/B69282_130.htm")</f>
        <v>http://collections.slsa.sa.gov.au/mpcimg/69500/B69282_130.htm</v>
      </c>
    </row>
    <row r="11383" spans="1:11" x14ac:dyDescent="0.25">
      <c r="A11383" t="s">
        <v>34821</v>
      </c>
      <c r="B11383" s="1" t="str">
        <f>HYPERLINK("https://www.catalog.slsa.sa.gov.au/record=b2223650")</f>
        <v>https://www.catalog.slsa.sa.gov.au/record=b2223650</v>
      </c>
      <c r="C11383" s="1" t="str">
        <f>HYPERLINK("https://www.catalog.slsa.sa.gov.au/xrecord=b2223650")</f>
        <v>https://www.catalog.slsa.sa.gov.au/xrecord=b2223650</v>
      </c>
      <c r="D11383" t="s">
        <v>31902</v>
      </c>
      <c r="E11383" t="s">
        <v>34817</v>
      </c>
      <c r="F11383">
        <v>2000</v>
      </c>
      <c r="G11383" t="s">
        <v>33690</v>
      </c>
      <c r="H11383" t="s">
        <v>34822</v>
      </c>
      <c r="J11383" t="s">
        <v>14768</v>
      </c>
      <c r="K11383" s="2" t="str">
        <f>HYPERLINK("http://collections.slsa.sa.gov.au/mpcimg/69500/B69282_131.htm")</f>
        <v>http://collections.slsa.sa.gov.au/mpcimg/69500/B69282_131.htm</v>
      </c>
    </row>
    <row r="11384" spans="1:11" x14ac:dyDescent="0.25">
      <c r="A11384" t="s">
        <v>34823</v>
      </c>
      <c r="B11384" s="1" t="str">
        <f>HYPERLINK("https://www.catalog.slsa.sa.gov.au/record=b2223655")</f>
        <v>https://www.catalog.slsa.sa.gov.au/record=b2223655</v>
      </c>
      <c r="C11384" s="1" t="str">
        <f>HYPERLINK("https://www.catalog.slsa.sa.gov.au/xrecord=b2223655")</f>
        <v>https://www.catalog.slsa.sa.gov.au/xrecord=b2223655</v>
      </c>
      <c r="D11384" t="s">
        <v>31902</v>
      </c>
      <c r="E11384" t="s">
        <v>34824</v>
      </c>
      <c r="F11384">
        <v>2000</v>
      </c>
      <c r="G11384" t="s">
        <v>33690</v>
      </c>
      <c r="H11384" t="s">
        <v>34825</v>
      </c>
      <c r="J11384" t="s">
        <v>14768</v>
      </c>
      <c r="K11384" s="2" t="str">
        <f>HYPERLINK("http://collections.slsa.sa.gov.au/mpcimg/69500/B69282_132.htm")</f>
        <v>http://collections.slsa.sa.gov.au/mpcimg/69500/B69282_132.htm</v>
      </c>
    </row>
    <row r="11385" spans="1:11" x14ac:dyDescent="0.25">
      <c r="A11385" t="s">
        <v>34826</v>
      </c>
      <c r="B11385" s="1" t="str">
        <f>HYPERLINK("https://www.catalog.slsa.sa.gov.au/record=b2223668")</f>
        <v>https://www.catalog.slsa.sa.gov.au/record=b2223668</v>
      </c>
      <c r="C11385" s="1" t="str">
        <f>HYPERLINK("https://www.catalog.slsa.sa.gov.au/xrecord=b2223668")</f>
        <v>https://www.catalog.slsa.sa.gov.au/xrecord=b2223668</v>
      </c>
      <c r="D11385" t="s">
        <v>31902</v>
      </c>
      <c r="E11385" t="s">
        <v>34827</v>
      </c>
      <c r="F11385">
        <v>2000</v>
      </c>
      <c r="G11385" t="s">
        <v>33690</v>
      </c>
      <c r="H11385" t="s">
        <v>34828</v>
      </c>
      <c r="J11385" t="s">
        <v>14768</v>
      </c>
      <c r="K11385" s="2" t="str">
        <f>HYPERLINK("http://collections.slsa.sa.gov.au/mpcimg/69500/B69282_133.htm")</f>
        <v>http://collections.slsa.sa.gov.au/mpcimg/69500/B69282_133.htm</v>
      </c>
    </row>
    <row r="11386" spans="1:11" x14ac:dyDescent="0.25">
      <c r="A11386" t="s">
        <v>34829</v>
      </c>
      <c r="B11386" s="1" t="str">
        <f>HYPERLINK("https://www.catalog.slsa.sa.gov.au/record=b2223679")</f>
        <v>https://www.catalog.slsa.sa.gov.au/record=b2223679</v>
      </c>
      <c r="C11386" s="1" t="str">
        <f>HYPERLINK("https://www.catalog.slsa.sa.gov.au/xrecord=b2223679")</f>
        <v>https://www.catalog.slsa.sa.gov.au/xrecord=b2223679</v>
      </c>
      <c r="D11386" t="s">
        <v>31902</v>
      </c>
      <c r="E11386" t="s">
        <v>34827</v>
      </c>
      <c r="F11386">
        <v>2000</v>
      </c>
      <c r="G11386" t="s">
        <v>33690</v>
      </c>
      <c r="H11386" t="s">
        <v>34830</v>
      </c>
      <c r="J11386" t="s">
        <v>14768</v>
      </c>
      <c r="K11386" s="2" t="str">
        <f>HYPERLINK("http://collections.slsa.sa.gov.au/mpcimg/69500/B69282_134.htm")</f>
        <v>http://collections.slsa.sa.gov.au/mpcimg/69500/B69282_134.htm</v>
      </c>
    </row>
    <row r="11387" spans="1:11" x14ac:dyDescent="0.25">
      <c r="A11387" t="s">
        <v>34831</v>
      </c>
      <c r="B11387" s="1" t="str">
        <f>HYPERLINK("https://www.catalog.slsa.sa.gov.au/record=b2223681")</f>
        <v>https://www.catalog.slsa.sa.gov.au/record=b2223681</v>
      </c>
      <c r="C11387" s="1" t="str">
        <f>HYPERLINK("https://www.catalog.slsa.sa.gov.au/xrecord=b2223681")</f>
        <v>https://www.catalog.slsa.sa.gov.au/xrecord=b2223681</v>
      </c>
      <c r="D11387" t="s">
        <v>31902</v>
      </c>
      <c r="E11387" t="s">
        <v>34827</v>
      </c>
      <c r="F11387">
        <v>2000</v>
      </c>
      <c r="G11387" t="s">
        <v>33690</v>
      </c>
      <c r="H11387" t="s">
        <v>34832</v>
      </c>
      <c r="J11387" t="s">
        <v>14768</v>
      </c>
      <c r="K11387" s="2" t="str">
        <f>HYPERLINK("http://collections.slsa.sa.gov.au/mpcimg/69500/B69282_135.htm")</f>
        <v>http://collections.slsa.sa.gov.au/mpcimg/69500/B69282_135.htm</v>
      </c>
    </row>
    <row r="11388" spans="1:11" x14ac:dyDescent="0.25">
      <c r="A11388" t="s">
        <v>34833</v>
      </c>
      <c r="B11388" s="1" t="str">
        <f>HYPERLINK("https://www.catalog.slsa.sa.gov.au/record=b2223714")</f>
        <v>https://www.catalog.slsa.sa.gov.au/record=b2223714</v>
      </c>
      <c r="C11388" s="1" t="str">
        <f>HYPERLINK("https://www.catalog.slsa.sa.gov.au/xrecord=b2223714")</f>
        <v>https://www.catalog.slsa.sa.gov.au/xrecord=b2223714</v>
      </c>
      <c r="D11388" t="s">
        <v>31902</v>
      </c>
      <c r="E11388" t="s">
        <v>34834</v>
      </c>
      <c r="F11388">
        <v>2000</v>
      </c>
      <c r="G11388" t="s">
        <v>33690</v>
      </c>
      <c r="H11388" t="s">
        <v>34835</v>
      </c>
      <c r="J11388" t="s">
        <v>14768</v>
      </c>
      <c r="K11388" s="2" t="str">
        <f>HYPERLINK("http://collections.slsa.sa.gov.au/mpcimg/69500/B69282_136.htm")</f>
        <v>http://collections.slsa.sa.gov.au/mpcimg/69500/B69282_136.htm</v>
      </c>
    </row>
    <row r="11389" spans="1:11" x14ac:dyDescent="0.25">
      <c r="A11389" t="s">
        <v>34836</v>
      </c>
      <c r="B11389" s="1" t="str">
        <f>HYPERLINK("https://www.catalog.slsa.sa.gov.au/record=b2223766")</f>
        <v>https://www.catalog.slsa.sa.gov.au/record=b2223766</v>
      </c>
      <c r="C11389" s="1" t="str">
        <f>HYPERLINK("https://www.catalog.slsa.sa.gov.au/xrecord=b2223766")</f>
        <v>https://www.catalog.slsa.sa.gov.au/xrecord=b2223766</v>
      </c>
      <c r="D11389" t="s">
        <v>31902</v>
      </c>
      <c r="E11389" t="s">
        <v>34827</v>
      </c>
      <c r="F11389">
        <v>2000</v>
      </c>
      <c r="G11389" t="s">
        <v>33690</v>
      </c>
      <c r="H11389" t="s">
        <v>34837</v>
      </c>
      <c r="J11389" t="s">
        <v>14768</v>
      </c>
      <c r="K11389" s="2" t="str">
        <f>HYPERLINK("http://collections.slsa.sa.gov.au/mpcimg/69500/B69282_137.htm")</f>
        <v>http://collections.slsa.sa.gov.au/mpcimg/69500/B69282_137.htm</v>
      </c>
    </row>
    <row r="11390" spans="1:11" x14ac:dyDescent="0.25">
      <c r="A11390" t="s">
        <v>34838</v>
      </c>
      <c r="B11390" s="1" t="str">
        <f>HYPERLINK("https://www.catalog.slsa.sa.gov.au/record=b2223770")</f>
        <v>https://www.catalog.slsa.sa.gov.au/record=b2223770</v>
      </c>
      <c r="C11390" s="1" t="str">
        <f>HYPERLINK("https://www.catalog.slsa.sa.gov.au/xrecord=b2223770")</f>
        <v>https://www.catalog.slsa.sa.gov.au/xrecord=b2223770</v>
      </c>
      <c r="D11390" t="s">
        <v>31902</v>
      </c>
      <c r="E11390" t="s">
        <v>34827</v>
      </c>
      <c r="F11390">
        <v>2000</v>
      </c>
      <c r="G11390" t="s">
        <v>33690</v>
      </c>
      <c r="H11390" t="s">
        <v>34839</v>
      </c>
      <c r="J11390" t="s">
        <v>14768</v>
      </c>
      <c r="K11390" s="2" t="str">
        <f>HYPERLINK("http://collections.slsa.sa.gov.au/mpcimg/69500/B69282_138.htm")</f>
        <v>http://collections.slsa.sa.gov.au/mpcimg/69500/B69282_138.htm</v>
      </c>
    </row>
    <row r="11391" spans="1:11" x14ac:dyDescent="0.25">
      <c r="A11391" t="s">
        <v>34840</v>
      </c>
      <c r="B11391" s="1" t="str">
        <f>HYPERLINK("https://www.catalog.slsa.sa.gov.au/record=b2223775")</f>
        <v>https://www.catalog.slsa.sa.gov.au/record=b2223775</v>
      </c>
      <c r="C11391" s="1" t="str">
        <f>HYPERLINK("https://www.catalog.slsa.sa.gov.au/xrecord=b2223775")</f>
        <v>https://www.catalog.slsa.sa.gov.au/xrecord=b2223775</v>
      </c>
      <c r="D11391" t="s">
        <v>31902</v>
      </c>
      <c r="E11391" t="s">
        <v>34827</v>
      </c>
      <c r="F11391">
        <v>2000</v>
      </c>
      <c r="G11391" t="s">
        <v>33690</v>
      </c>
      <c r="H11391" t="s">
        <v>34841</v>
      </c>
      <c r="J11391" t="s">
        <v>14768</v>
      </c>
      <c r="K11391" s="2" t="str">
        <f>HYPERLINK("http://collections.slsa.sa.gov.au/mpcimg/69500/B69282_139.htm")</f>
        <v>http://collections.slsa.sa.gov.au/mpcimg/69500/B69282_139.htm</v>
      </c>
    </row>
    <row r="11392" spans="1:11" x14ac:dyDescent="0.25">
      <c r="A11392" t="s">
        <v>34842</v>
      </c>
      <c r="B11392" s="1" t="str">
        <f>HYPERLINK("https://www.catalog.slsa.sa.gov.au/record=b2223780")</f>
        <v>https://www.catalog.slsa.sa.gov.au/record=b2223780</v>
      </c>
      <c r="C11392" s="1" t="str">
        <f>HYPERLINK("https://www.catalog.slsa.sa.gov.au/xrecord=b2223780")</f>
        <v>https://www.catalog.slsa.sa.gov.au/xrecord=b2223780</v>
      </c>
      <c r="D11392" t="s">
        <v>31902</v>
      </c>
      <c r="E11392" t="s">
        <v>34827</v>
      </c>
      <c r="F11392">
        <v>2000</v>
      </c>
      <c r="G11392" t="s">
        <v>33690</v>
      </c>
      <c r="H11392" t="s">
        <v>34843</v>
      </c>
      <c r="J11392" t="s">
        <v>14768</v>
      </c>
      <c r="K11392" s="2" t="str">
        <f>HYPERLINK("http://collections.slsa.sa.gov.au/mpcimg/69500/B69282_140.htm")</f>
        <v>http://collections.slsa.sa.gov.au/mpcimg/69500/B69282_140.htm</v>
      </c>
    </row>
    <row r="11393" spans="1:11" x14ac:dyDescent="0.25">
      <c r="A11393" t="s">
        <v>34844</v>
      </c>
      <c r="B11393" s="1" t="str">
        <f>HYPERLINK("https://www.catalog.slsa.sa.gov.au/record=b2223796")</f>
        <v>https://www.catalog.slsa.sa.gov.au/record=b2223796</v>
      </c>
      <c r="C11393" s="1" t="str">
        <f>HYPERLINK("https://www.catalog.slsa.sa.gov.au/xrecord=b2223796")</f>
        <v>https://www.catalog.slsa.sa.gov.au/xrecord=b2223796</v>
      </c>
      <c r="D11393" t="s">
        <v>31902</v>
      </c>
      <c r="E11393" t="s">
        <v>34827</v>
      </c>
      <c r="F11393">
        <v>2000</v>
      </c>
      <c r="G11393" t="s">
        <v>33690</v>
      </c>
      <c r="H11393" t="s">
        <v>34845</v>
      </c>
      <c r="J11393" t="s">
        <v>14768</v>
      </c>
      <c r="K11393" s="2" t="str">
        <f>HYPERLINK("http://collections.slsa.sa.gov.au/mpcimg/69500/B69282_141.htm")</f>
        <v>http://collections.slsa.sa.gov.au/mpcimg/69500/B69282_141.htm</v>
      </c>
    </row>
    <row r="11394" spans="1:11" x14ac:dyDescent="0.25">
      <c r="A11394" t="s">
        <v>34846</v>
      </c>
      <c r="B11394" s="1" t="str">
        <f>HYPERLINK("https://www.catalog.slsa.sa.gov.au/record=b2223804")</f>
        <v>https://www.catalog.slsa.sa.gov.au/record=b2223804</v>
      </c>
      <c r="C11394" s="1" t="str">
        <f>HYPERLINK("https://www.catalog.slsa.sa.gov.au/xrecord=b2223804")</f>
        <v>https://www.catalog.slsa.sa.gov.au/xrecord=b2223804</v>
      </c>
      <c r="D11394" t="s">
        <v>31902</v>
      </c>
      <c r="E11394" t="s">
        <v>34827</v>
      </c>
      <c r="F11394">
        <v>2000</v>
      </c>
      <c r="G11394" t="s">
        <v>33690</v>
      </c>
      <c r="H11394" t="s">
        <v>34847</v>
      </c>
      <c r="J11394" t="s">
        <v>14768</v>
      </c>
      <c r="K11394" s="2" t="str">
        <f>HYPERLINK("http://collections.slsa.sa.gov.au/mpcimg/69500/B69282_143.htm")</f>
        <v>http://collections.slsa.sa.gov.au/mpcimg/69500/B69282_143.htm</v>
      </c>
    </row>
    <row r="11395" spans="1:11" x14ac:dyDescent="0.25">
      <c r="A11395" t="s">
        <v>34848</v>
      </c>
      <c r="B11395" s="1" t="str">
        <f>HYPERLINK("https://www.catalog.slsa.sa.gov.au/record=b2223809")</f>
        <v>https://www.catalog.slsa.sa.gov.au/record=b2223809</v>
      </c>
      <c r="C11395" s="1" t="str">
        <f>HYPERLINK("https://www.catalog.slsa.sa.gov.au/xrecord=b2223809")</f>
        <v>https://www.catalog.slsa.sa.gov.au/xrecord=b2223809</v>
      </c>
      <c r="D11395" t="s">
        <v>31902</v>
      </c>
      <c r="E11395" t="s">
        <v>34827</v>
      </c>
      <c r="F11395">
        <v>2000</v>
      </c>
      <c r="G11395" t="s">
        <v>33690</v>
      </c>
      <c r="H11395" t="s">
        <v>34849</v>
      </c>
      <c r="J11395" t="s">
        <v>14768</v>
      </c>
      <c r="K11395" s="2" t="str">
        <f>HYPERLINK("http://collections.slsa.sa.gov.au/mpcimg/69500/B69282_144.htm")</f>
        <v>http://collections.slsa.sa.gov.au/mpcimg/69500/B69282_144.htm</v>
      </c>
    </row>
    <row r="11396" spans="1:11" x14ac:dyDescent="0.25">
      <c r="A11396" t="s">
        <v>34850</v>
      </c>
      <c r="B11396" s="1" t="str">
        <f>HYPERLINK("https://www.catalog.slsa.sa.gov.au/record=b2223841")</f>
        <v>https://www.catalog.slsa.sa.gov.au/record=b2223841</v>
      </c>
      <c r="C11396" s="1" t="str">
        <f>HYPERLINK("https://www.catalog.slsa.sa.gov.au/xrecord=b2223841")</f>
        <v>https://www.catalog.slsa.sa.gov.au/xrecord=b2223841</v>
      </c>
      <c r="D11396" t="s">
        <v>31902</v>
      </c>
      <c r="E11396" t="s">
        <v>34827</v>
      </c>
      <c r="F11396">
        <v>2000</v>
      </c>
      <c r="G11396" t="s">
        <v>33690</v>
      </c>
      <c r="H11396" t="s">
        <v>34851</v>
      </c>
      <c r="J11396" t="s">
        <v>14768</v>
      </c>
      <c r="K11396" s="2" t="str">
        <f>HYPERLINK("http://collections.slsa.sa.gov.au/mpcimg/69500/B69282_142.htm")</f>
        <v>http://collections.slsa.sa.gov.au/mpcimg/69500/B69282_142.htm</v>
      </c>
    </row>
    <row r="11397" spans="1:11" x14ac:dyDescent="0.25">
      <c r="A11397" t="s">
        <v>34852</v>
      </c>
      <c r="B11397" s="1" t="str">
        <f>HYPERLINK("https://www.catalog.slsa.sa.gov.au/record=b2229923")</f>
        <v>https://www.catalog.slsa.sa.gov.au/record=b2229923</v>
      </c>
      <c r="C11397" s="1" t="str">
        <f>HYPERLINK("https://www.catalog.slsa.sa.gov.au/xrecord=b2229923")</f>
        <v>https://www.catalog.slsa.sa.gov.au/xrecord=b2229923</v>
      </c>
      <c r="D11397" t="s">
        <v>31902</v>
      </c>
      <c r="E11397" t="s">
        <v>34827</v>
      </c>
      <c r="F11397">
        <v>2000</v>
      </c>
      <c r="G11397" t="s">
        <v>33690</v>
      </c>
      <c r="H11397" t="s">
        <v>34853</v>
      </c>
      <c r="J11397" t="s">
        <v>14768</v>
      </c>
      <c r="K11397" s="2" t="str">
        <f>HYPERLINK("http://collections.slsa.sa.gov.au/mpcimg/69500/B69282_145.htm")</f>
        <v>http://collections.slsa.sa.gov.au/mpcimg/69500/B69282_145.htm</v>
      </c>
    </row>
    <row r="11398" spans="1:11" x14ac:dyDescent="0.25">
      <c r="A11398" t="s">
        <v>34854</v>
      </c>
      <c r="B11398" s="1" t="str">
        <f>HYPERLINK("https://www.catalog.slsa.sa.gov.au/record=b2229924")</f>
        <v>https://www.catalog.slsa.sa.gov.au/record=b2229924</v>
      </c>
      <c r="C11398" s="1" t="str">
        <f>HYPERLINK("https://www.catalog.slsa.sa.gov.au/xrecord=b2229924")</f>
        <v>https://www.catalog.slsa.sa.gov.au/xrecord=b2229924</v>
      </c>
      <c r="D11398" t="s">
        <v>31902</v>
      </c>
      <c r="E11398" t="s">
        <v>34827</v>
      </c>
      <c r="F11398">
        <v>2000</v>
      </c>
      <c r="G11398" t="s">
        <v>33690</v>
      </c>
      <c r="H11398" t="s">
        <v>34855</v>
      </c>
      <c r="J11398" t="s">
        <v>14768</v>
      </c>
      <c r="K11398" s="2" t="str">
        <f>HYPERLINK("http://collections.slsa.sa.gov.au/mpcimg/69500/B69282_146.htm")</f>
        <v>http://collections.slsa.sa.gov.au/mpcimg/69500/B69282_146.htm</v>
      </c>
    </row>
    <row r="11399" spans="1:11" x14ac:dyDescent="0.25">
      <c r="A11399" t="s">
        <v>34856</v>
      </c>
      <c r="B11399" s="1" t="str">
        <f>HYPERLINK("https://www.catalog.slsa.sa.gov.au/record=b2229927")</f>
        <v>https://www.catalog.slsa.sa.gov.au/record=b2229927</v>
      </c>
      <c r="C11399" s="1" t="str">
        <f>HYPERLINK("https://www.catalog.slsa.sa.gov.au/xrecord=b2229927")</f>
        <v>https://www.catalog.slsa.sa.gov.au/xrecord=b2229927</v>
      </c>
      <c r="D11399" t="s">
        <v>31902</v>
      </c>
      <c r="E11399" t="s">
        <v>34827</v>
      </c>
      <c r="F11399">
        <v>2000</v>
      </c>
      <c r="G11399" t="s">
        <v>33690</v>
      </c>
      <c r="H11399" t="s">
        <v>34853</v>
      </c>
      <c r="J11399" t="s">
        <v>14768</v>
      </c>
      <c r="K11399" s="2" t="str">
        <f>HYPERLINK("http://collections.slsa.sa.gov.au/mpcimg/69500/B69282_147.htm")</f>
        <v>http://collections.slsa.sa.gov.au/mpcimg/69500/B69282_147.htm</v>
      </c>
    </row>
    <row r="11400" spans="1:11" x14ac:dyDescent="0.25">
      <c r="A11400" t="s">
        <v>34857</v>
      </c>
      <c r="B11400" s="1" t="str">
        <f>HYPERLINK("https://www.catalog.slsa.sa.gov.au/record=b2229932")</f>
        <v>https://www.catalog.slsa.sa.gov.au/record=b2229932</v>
      </c>
      <c r="C11400" s="1" t="str">
        <f>HYPERLINK("https://www.catalog.slsa.sa.gov.au/xrecord=b2229932")</f>
        <v>https://www.catalog.slsa.sa.gov.au/xrecord=b2229932</v>
      </c>
      <c r="D11400" t="s">
        <v>31902</v>
      </c>
      <c r="E11400" t="s">
        <v>34827</v>
      </c>
      <c r="F11400">
        <v>2000</v>
      </c>
      <c r="G11400" t="s">
        <v>33690</v>
      </c>
      <c r="H11400" t="s">
        <v>34858</v>
      </c>
      <c r="J11400" t="s">
        <v>14768</v>
      </c>
      <c r="K11400" s="2" t="str">
        <f>HYPERLINK("http://collections.slsa.sa.gov.au/mpcimg/69500/B69282_148.htm")</f>
        <v>http://collections.slsa.sa.gov.au/mpcimg/69500/B69282_148.htm</v>
      </c>
    </row>
    <row r="11401" spans="1:11" x14ac:dyDescent="0.25">
      <c r="A11401" t="s">
        <v>34859</v>
      </c>
      <c r="B11401" s="1" t="str">
        <f>HYPERLINK("https://www.catalog.slsa.sa.gov.au/record=b2229940")</f>
        <v>https://www.catalog.slsa.sa.gov.au/record=b2229940</v>
      </c>
      <c r="C11401" s="1" t="str">
        <f>HYPERLINK("https://www.catalog.slsa.sa.gov.au/xrecord=b2229940")</f>
        <v>https://www.catalog.slsa.sa.gov.au/xrecord=b2229940</v>
      </c>
      <c r="D11401" t="s">
        <v>31902</v>
      </c>
      <c r="E11401" t="s">
        <v>34827</v>
      </c>
      <c r="F11401">
        <v>2000</v>
      </c>
      <c r="G11401" t="s">
        <v>33690</v>
      </c>
      <c r="H11401" t="s">
        <v>34860</v>
      </c>
      <c r="J11401" t="s">
        <v>14768</v>
      </c>
      <c r="K11401" s="2" t="str">
        <f>HYPERLINK("http://collections.slsa.sa.gov.au/mpcimg/69500/B69282_149.htm")</f>
        <v>http://collections.slsa.sa.gov.au/mpcimg/69500/B69282_149.htm</v>
      </c>
    </row>
    <row r="11402" spans="1:11" x14ac:dyDescent="0.25">
      <c r="A11402" t="s">
        <v>34861</v>
      </c>
      <c r="B11402" s="1" t="str">
        <f>HYPERLINK("https://www.catalog.slsa.sa.gov.au/record=b2229957")</f>
        <v>https://www.catalog.slsa.sa.gov.au/record=b2229957</v>
      </c>
      <c r="C11402" s="1" t="str">
        <f>HYPERLINK("https://www.catalog.slsa.sa.gov.au/xrecord=b2229957")</f>
        <v>https://www.catalog.slsa.sa.gov.au/xrecord=b2229957</v>
      </c>
      <c r="D11402" t="s">
        <v>31902</v>
      </c>
      <c r="E11402" t="s">
        <v>34827</v>
      </c>
      <c r="F11402">
        <v>2000</v>
      </c>
      <c r="G11402" t="s">
        <v>33690</v>
      </c>
      <c r="H11402" t="s">
        <v>34862</v>
      </c>
      <c r="J11402" t="s">
        <v>14768</v>
      </c>
      <c r="K11402" s="2" t="str">
        <f>HYPERLINK("http://collections.slsa.sa.gov.au/mpcimg/69500/B69282_150.htm")</f>
        <v>http://collections.slsa.sa.gov.au/mpcimg/69500/B69282_150.htm</v>
      </c>
    </row>
    <row r="11403" spans="1:11" x14ac:dyDescent="0.25">
      <c r="A11403" t="s">
        <v>34863</v>
      </c>
      <c r="B11403" s="1" t="str">
        <f>HYPERLINK("https://www.catalog.slsa.sa.gov.au/record=b3136110")</f>
        <v>https://www.catalog.slsa.sa.gov.au/record=b3136110</v>
      </c>
      <c r="C11403" s="1" t="str">
        <f>HYPERLINK("https://www.catalog.slsa.sa.gov.au/xrecord=b3136110")</f>
        <v>https://www.catalog.slsa.sa.gov.au/xrecord=b3136110</v>
      </c>
      <c r="E11403" t="s">
        <v>34864</v>
      </c>
      <c r="F11403">
        <v>2000</v>
      </c>
      <c r="G11403" t="s">
        <v>34865</v>
      </c>
      <c r="H11403" t="s">
        <v>34866</v>
      </c>
      <c r="I11403" t="s">
        <v>34867</v>
      </c>
      <c r="J11403" t="s">
        <v>24353</v>
      </c>
      <c r="K11403" s="2" t="str">
        <f>HYPERLINK("http://collections.slsa.sa.gov.au/resource/B+76265")</f>
        <v>http://collections.slsa.sa.gov.au/resource/B+76265</v>
      </c>
    </row>
    <row r="11404" spans="1:11" x14ac:dyDescent="0.25">
      <c r="A11404" t="s">
        <v>34868</v>
      </c>
      <c r="B11404" s="1" t="str">
        <f>HYPERLINK("https://www.catalog.slsa.sa.gov.au/record=b3136111")</f>
        <v>https://www.catalog.slsa.sa.gov.au/record=b3136111</v>
      </c>
      <c r="C11404" s="1" t="str">
        <f>HYPERLINK("https://www.catalog.slsa.sa.gov.au/xrecord=b3136111")</f>
        <v>https://www.catalog.slsa.sa.gov.au/xrecord=b3136111</v>
      </c>
      <c r="E11404" t="s">
        <v>34869</v>
      </c>
      <c r="F11404">
        <v>2000</v>
      </c>
      <c r="G11404" t="s">
        <v>34870</v>
      </c>
      <c r="H11404" t="s">
        <v>34866</v>
      </c>
      <c r="I11404" t="s">
        <v>34867</v>
      </c>
      <c r="J11404" t="s">
        <v>24353</v>
      </c>
      <c r="K11404" s="2" t="str">
        <f>HYPERLINK("http://collections.slsa.sa.gov.au/resource/B+76266")</f>
        <v>http://collections.slsa.sa.gov.au/resource/B+76266</v>
      </c>
    </row>
    <row r="11405" spans="1:11" x14ac:dyDescent="0.25">
      <c r="A11405" t="s">
        <v>34871</v>
      </c>
      <c r="B11405" s="1" t="str">
        <f>HYPERLINK("https://www.catalog.slsa.sa.gov.au/record=b2106165")</f>
        <v>https://www.catalog.slsa.sa.gov.au/record=b2106165</v>
      </c>
      <c r="C11405" s="1" t="str">
        <f>HYPERLINK("https://www.catalog.slsa.sa.gov.au/xrecord=b2106165")</f>
        <v>https://www.catalog.slsa.sa.gov.au/xrecord=b2106165</v>
      </c>
      <c r="D11405" t="s">
        <v>16831</v>
      </c>
      <c r="E11405" t="s">
        <v>34872</v>
      </c>
      <c r="F11405" t="s">
        <v>34873</v>
      </c>
      <c r="G11405" t="s">
        <v>34874</v>
      </c>
      <c r="H11405" t="s">
        <v>34875</v>
      </c>
      <c r="I11405" t="s">
        <v>34876</v>
      </c>
      <c r="J11405" t="s">
        <v>5381</v>
      </c>
      <c r="K11405" s="2" t="str">
        <f>HYPERLINK("http://collections.slsa.sa.gov.au/mpcimg/69500/B69256.htm")</f>
        <v>http://collections.slsa.sa.gov.au/mpcimg/69500/B69256.htm</v>
      </c>
    </row>
    <row r="11406" spans="1:11" x14ac:dyDescent="0.25">
      <c r="A11406" t="s">
        <v>34877</v>
      </c>
      <c r="B11406" s="1" t="str">
        <f>HYPERLINK("https://www.catalog.slsa.sa.gov.au/record=b2106166")</f>
        <v>https://www.catalog.slsa.sa.gov.au/record=b2106166</v>
      </c>
      <c r="C11406" s="1" t="str">
        <f>HYPERLINK("https://www.catalog.slsa.sa.gov.au/xrecord=b2106166")</f>
        <v>https://www.catalog.slsa.sa.gov.au/xrecord=b2106166</v>
      </c>
      <c r="D11406" t="s">
        <v>16831</v>
      </c>
      <c r="E11406" t="s">
        <v>34872</v>
      </c>
      <c r="F11406" t="s">
        <v>34873</v>
      </c>
      <c r="G11406" t="s">
        <v>34874</v>
      </c>
      <c r="H11406" t="s">
        <v>34875</v>
      </c>
      <c r="I11406" t="s">
        <v>34876</v>
      </c>
      <c r="J11406" t="s">
        <v>5381</v>
      </c>
      <c r="K11406" s="2" t="str">
        <f>HYPERLINK("http://collections.slsa.sa.gov.au/mpcimg/69500/B69257.htm")</f>
        <v>http://collections.slsa.sa.gov.au/mpcimg/69500/B69257.htm</v>
      </c>
    </row>
    <row r="11407" spans="1:11" x14ac:dyDescent="0.25">
      <c r="A11407" t="s">
        <v>34878</v>
      </c>
      <c r="B11407" s="1" t="str">
        <f>HYPERLINK("https://www.catalog.slsa.sa.gov.au/record=b2106167")</f>
        <v>https://www.catalog.slsa.sa.gov.au/record=b2106167</v>
      </c>
      <c r="C11407" s="1" t="str">
        <f>HYPERLINK("https://www.catalog.slsa.sa.gov.au/xrecord=b2106167")</f>
        <v>https://www.catalog.slsa.sa.gov.au/xrecord=b2106167</v>
      </c>
      <c r="D11407" t="s">
        <v>16831</v>
      </c>
      <c r="E11407" t="s">
        <v>34872</v>
      </c>
      <c r="F11407" t="s">
        <v>34873</v>
      </c>
      <c r="G11407" t="s">
        <v>34874</v>
      </c>
      <c r="H11407" t="s">
        <v>34875</v>
      </c>
      <c r="I11407" t="s">
        <v>34876</v>
      </c>
      <c r="J11407" t="s">
        <v>5381</v>
      </c>
      <c r="K11407" s="2" t="str">
        <f>HYPERLINK("http://collections.slsa.sa.gov.au/mpcimg/69500/B69258.htm")</f>
        <v>http://collections.slsa.sa.gov.au/mpcimg/69500/B69258.htm</v>
      </c>
    </row>
    <row r="11408" spans="1:11" x14ac:dyDescent="0.25">
      <c r="A11408" t="s">
        <v>34879</v>
      </c>
      <c r="B11408" s="1" t="str">
        <f>HYPERLINK("https://www.catalog.slsa.sa.gov.au/record=b2106168")</f>
        <v>https://www.catalog.slsa.sa.gov.au/record=b2106168</v>
      </c>
      <c r="C11408" s="1" t="str">
        <f>HYPERLINK("https://www.catalog.slsa.sa.gov.au/xrecord=b2106168")</f>
        <v>https://www.catalog.slsa.sa.gov.au/xrecord=b2106168</v>
      </c>
      <c r="D11408" t="s">
        <v>16831</v>
      </c>
      <c r="E11408" t="s">
        <v>34872</v>
      </c>
      <c r="F11408" t="s">
        <v>34873</v>
      </c>
      <c r="G11408" t="s">
        <v>34874</v>
      </c>
      <c r="H11408" t="s">
        <v>34875</v>
      </c>
      <c r="I11408" t="s">
        <v>34876</v>
      </c>
      <c r="J11408" t="s">
        <v>5381</v>
      </c>
      <c r="K11408" s="2" t="str">
        <f>HYPERLINK("http://collections.slsa.sa.gov.au/mpcimg/69500/B69259.htm")</f>
        <v>http://collections.slsa.sa.gov.au/mpcimg/69500/B69259.htm</v>
      </c>
    </row>
    <row r="11409" spans="1:11" x14ac:dyDescent="0.25">
      <c r="A11409" t="s">
        <v>34880</v>
      </c>
      <c r="B11409" s="1" t="str">
        <f>HYPERLINK("https://www.catalog.slsa.sa.gov.au/record=b2106169")</f>
        <v>https://www.catalog.slsa.sa.gov.au/record=b2106169</v>
      </c>
      <c r="C11409" s="1" t="str">
        <f>HYPERLINK("https://www.catalog.slsa.sa.gov.au/xrecord=b2106169")</f>
        <v>https://www.catalog.slsa.sa.gov.au/xrecord=b2106169</v>
      </c>
      <c r="D11409" t="s">
        <v>16831</v>
      </c>
      <c r="E11409" t="s">
        <v>34881</v>
      </c>
      <c r="F11409" t="s">
        <v>34873</v>
      </c>
      <c r="G11409" t="s">
        <v>34882</v>
      </c>
      <c r="H11409" t="s">
        <v>34883</v>
      </c>
      <c r="I11409" t="s">
        <v>34884</v>
      </c>
      <c r="J11409" t="s">
        <v>5381</v>
      </c>
      <c r="K11409" s="2" t="str">
        <f>HYPERLINK("http://collections.slsa.sa.gov.au/mpcimg/69500/B69260.htm")</f>
        <v>http://collections.slsa.sa.gov.au/mpcimg/69500/B69260.htm</v>
      </c>
    </row>
    <row r="11410" spans="1:11" x14ac:dyDescent="0.25">
      <c r="A11410" t="s">
        <v>34885</v>
      </c>
      <c r="B11410" s="1" t="str">
        <f>HYPERLINK("https://www.catalog.slsa.sa.gov.au/record=b2106170")</f>
        <v>https://www.catalog.slsa.sa.gov.au/record=b2106170</v>
      </c>
      <c r="C11410" s="1" t="str">
        <f>HYPERLINK("https://www.catalog.slsa.sa.gov.au/xrecord=b2106170")</f>
        <v>https://www.catalog.slsa.sa.gov.au/xrecord=b2106170</v>
      </c>
      <c r="D11410" t="s">
        <v>16831</v>
      </c>
      <c r="E11410" t="s">
        <v>34886</v>
      </c>
      <c r="F11410" t="s">
        <v>34873</v>
      </c>
      <c r="G11410" t="s">
        <v>34887</v>
      </c>
      <c r="H11410" t="s">
        <v>34888</v>
      </c>
      <c r="I11410" t="s">
        <v>34889</v>
      </c>
      <c r="J11410" t="s">
        <v>5381</v>
      </c>
      <c r="K11410" s="2" t="str">
        <f>HYPERLINK("http://collections.slsa.sa.gov.au/mpcimg/69500/B69261.htm")</f>
        <v>http://collections.slsa.sa.gov.au/mpcimg/69500/B69261.htm</v>
      </c>
    </row>
    <row r="11411" spans="1:11" x14ac:dyDescent="0.25">
      <c r="A11411" t="s">
        <v>34890</v>
      </c>
      <c r="B11411" s="1" t="str">
        <f>HYPERLINK("https://www.catalog.slsa.sa.gov.au/record=b2106171")</f>
        <v>https://www.catalog.slsa.sa.gov.au/record=b2106171</v>
      </c>
      <c r="C11411" s="1" t="str">
        <f>HYPERLINK("https://www.catalog.slsa.sa.gov.au/xrecord=b2106171")</f>
        <v>https://www.catalog.slsa.sa.gov.au/xrecord=b2106171</v>
      </c>
      <c r="D11411" t="s">
        <v>16831</v>
      </c>
      <c r="E11411" t="s">
        <v>34891</v>
      </c>
      <c r="F11411" t="s">
        <v>34873</v>
      </c>
      <c r="G11411" t="s">
        <v>34887</v>
      </c>
      <c r="H11411" t="s">
        <v>34892</v>
      </c>
      <c r="I11411" t="s">
        <v>34889</v>
      </c>
      <c r="J11411" t="s">
        <v>5381</v>
      </c>
      <c r="K11411" s="2" t="str">
        <f>HYPERLINK("http://collections.slsa.sa.gov.au/mpcimg/69500/B69262.htm")</f>
        <v>http://collections.slsa.sa.gov.au/mpcimg/69500/B69262.htm</v>
      </c>
    </row>
    <row r="11412" spans="1:11" x14ac:dyDescent="0.25">
      <c r="A11412" t="s">
        <v>34893</v>
      </c>
      <c r="B11412" s="1" t="str">
        <f>HYPERLINK("https://www.catalog.slsa.sa.gov.au/record=b2106172")</f>
        <v>https://www.catalog.slsa.sa.gov.au/record=b2106172</v>
      </c>
      <c r="C11412" s="1" t="str">
        <f>HYPERLINK("https://www.catalog.slsa.sa.gov.au/xrecord=b2106172")</f>
        <v>https://www.catalog.slsa.sa.gov.au/xrecord=b2106172</v>
      </c>
      <c r="D11412" t="s">
        <v>16831</v>
      </c>
      <c r="E11412" t="s">
        <v>34891</v>
      </c>
      <c r="F11412" t="s">
        <v>34873</v>
      </c>
      <c r="G11412" t="s">
        <v>34887</v>
      </c>
      <c r="H11412" t="s">
        <v>34894</v>
      </c>
      <c r="I11412" t="s">
        <v>34889</v>
      </c>
      <c r="J11412" t="s">
        <v>5381</v>
      </c>
      <c r="K11412" s="2" t="str">
        <f>HYPERLINK("http://collections.slsa.sa.gov.au/mpcimg/69500/B69263.htm")</f>
        <v>http://collections.slsa.sa.gov.au/mpcimg/69500/B69263.htm</v>
      </c>
    </row>
    <row r="11413" spans="1:11" x14ac:dyDescent="0.25">
      <c r="A11413" t="s">
        <v>34895</v>
      </c>
      <c r="B11413" s="1" t="str">
        <f>HYPERLINK("https://www.catalog.slsa.sa.gov.au/record=b2106173")</f>
        <v>https://www.catalog.slsa.sa.gov.au/record=b2106173</v>
      </c>
      <c r="C11413" s="1" t="str">
        <f>HYPERLINK("https://www.catalog.slsa.sa.gov.au/xrecord=b2106173")</f>
        <v>https://www.catalog.slsa.sa.gov.au/xrecord=b2106173</v>
      </c>
      <c r="D11413" t="s">
        <v>16831</v>
      </c>
      <c r="E11413" t="s">
        <v>34886</v>
      </c>
      <c r="F11413" t="s">
        <v>34873</v>
      </c>
      <c r="G11413" t="s">
        <v>34887</v>
      </c>
      <c r="H11413" t="s">
        <v>34888</v>
      </c>
      <c r="I11413" t="s">
        <v>34889</v>
      </c>
      <c r="J11413" t="s">
        <v>5381</v>
      </c>
      <c r="K11413" s="2" t="str">
        <f>HYPERLINK("http://collections.slsa.sa.gov.au/mpcimg/69500/B69264.htm")</f>
        <v>http://collections.slsa.sa.gov.au/mpcimg/69500/B69264.htm</v>
      </c>
    </row>
    <row r="11414" spans="1:11" x14ac:dyDescent="0.25">
      <c r="A11414" t="s">
        <v>34896</v>
      </c>
      <c r="B11414" s="1" t="str">
        <f>HYPERLINK("https://www.catalog.slsa.sa.gov.au/record=b2106174")</f>
        <v>https://www.catalog.slsa.sa.gov.au/record=b2106174</v>
      </c>
      <c r="C11414" s="1" t="str">
        <f>HYPERLINK("https://www.catalog.slsa.sa.gov.au/xrecord=b2106174")</f>
        <v>https://www.catalog.slsa.sa.gov.au/xrecord=b2106174</v>
      </c>
      <c r="D11414" t="s">
        <v>16831</v>
      </c>
      <c r="E11414" t="s">
        <v>34886</v>
      </c>
      <c r="F11414" t="s">
        <v>34873</v>
      </c>
      <c r="G11414" t="s">
        <v>34887</v>
      </c>
      <c r="H11414" t="s">
        <v>34888</v>
      </c>
      <c r="I11414" t="s">
        <v>34889</v>
      </c>
      <c r="J11414" t="s">
        <v>5381</v>
      </c>
      <c r="K11414" s="2" t="str">
        <f>HYPERLINK("http://collections.slsa.sa.gov.au/mpcimg/69500/B69265.htm")</f>
        <v>http://collections.slsa.sa.gov.au/mpcimg/69500/B69265.htm</v>
      </c>
    </row>
    <row r="11415" spans="1:11" x14ac:dyDescent="0.25">
      <c r="A11415" t="s">
        <v>34897</v>
      </c>
      <c r="B11415" s="1" t="str">
        <f>HYPERLINK("https://www.catalog.slsa.sa.gov.au/record=b2106175")</f>
        <v>https://www.catalog.slsa.sa.gov.au/record=b2106175</v>
      </c>
      <c r="C11415" s="1" t="str">
        <f>HYPERLINK("https://www.catalog.slsa.sa.gov.au/xrecord=b2106175")</f>
        <v>https://www.catalog.slsa.sa.gov.au/xrecord=b2106175</v>
      </c>
      <c r="D11415" t="s">
        <v>16831</v>
      </c>
      <c r="E11415" t="s">
        <v>34886</v>
      </c>
      <c r="F11415" t="s">
        <v>34873</v>
      </c>
      <c r="G11415" t="s">
        <v>34887</v>
      </c>
      <c r="H11415" t="s">
        <v>34888</v>
      </c>
      <c r="I11415" t="s">
        <v>34889</v>
      </c>
      <c r="J11415" t="s">
        <v>5381</v>
      </c>
      <c r="K11415" s="2" t="str">
        <f>HYPERLINK("http://collections.slsa.sa.gov.au/mpcimg/69500/B69266.htm")</f>
        <v>http://collections.slsa.sa.gov.au/mpcimg/69500/B69266.htm</v>
      </c>
    </row>
    <row r="11416" spans="1:11" x14ac:dyDescent="0.25">
      <c r="A11416" t="s">
        <v>34898</v>
      </c>
      <c r="B11416" s="1" t="str">
        <f>HYPERLINK("https://www.catalog.slsa.sa.gov.au/record=b2106176")</f>
        <v>https://www.catalog.slsa.sa.gov.au/record=b2106176</v>
      </c>
      <c r="C11416" s="1" t="str">
        <f>HYPERLINK("https://www.catalog.slsa.sa.gov.au/xrecord=b2106176")</f>
        <v>https://www.catalog.slsa.sa.gov.au/xrecord=b2106176</v>
      </c>
      <c r="D11416" t="s">
        <v>16831</v>
      </c>
      <c r="E11416" t="s">
        <v>34886</v>
      </c>
      <c r="F11416" t="s">
        <v>34873</v>
      </c>
      <c r="G11416" t="s">
        <v>34887</v>
      </c>
      <c r="H11416" t="s">
        <v>34888</v>
      </c>
      <c r="I11416" t="s">
        <v>34889</v>
      </c>
      <c r="J11416" t="s">
        <v>5381</v>
      </c>
      <c r="K11416" s="2" t="str">
        <f>HYPERLINK("http://collections.slsa.sa.gov.au/mpcimg/69500/B69267.htm")</f>
        <v>http://collections.slsa.sa.gov.au/mpcimg/69500/B69267.htm</v>
      </c>
    </row>
    <row r="11417" spans="1:11" x14ac:dyDescent="0.25">
      <c r="A11417" t="s">
        <v>34899</v>
      </c>
      <c r="B11417" s="1" t="str">
        <f>HYPERLINK("https://www.catalog.slsa.sa.gov.au/record=b2106177")</f>
        <v>https://www.catalog.slsa.sa.gov.au/record=b2106177</v>
      </c>
      <c r="C11417" s="1" t="str">
        <f>HYPERLINK("https://www.catalog.slsa.sa.gov.au/xrecord=b2106177")</f>
        <v>https://www.catalog.slsa.sa.gov.au/xrecord=b2106177</v>
      </c>
      <c r="D11417" t="s">
        <v>16831</v>
      </c>
      <c r="E11417" t="s">
        <v>34900</v>
      </c>
      <c r="F11417" t="s">
        <v>34873</v>
      </c>
      <c r="G11417" t="s">
        <v>34887</v>
      </c>
      <c r="H11417" t="s">
        <v>34901</v>
      </c>
      <c r="I11417" t="s">
        <v>34889</v>
      </c>
      <c r="J11417" t="s">
        <v>5381</v>
      </c>
      <c r="K11417" s="2" t="str">
        <f>HYPERLINK("http://collections.slsa.sa.gov.au/mpcimg/69500/B69268.htm")</f>
        <v>http://collections.slsa.sa.gov.au/mpcimg/69500/B69268.htm</v>
      </c>
    </row>
    <row r="11418" spans="1:11" x14ac:dyDescent="0.25">
      <c r="A11418" t="s">
        <v>34902</v>
      </c>
      <c r="B11418" s="1" t="str">
        <f>HYPERLINK("https://www.catalog.slsa.sa.gov.au/record=b2913289")</f>
        <v>https://www.catalog.slsa.sa.gov.au/record=b2913289</v>
      </c>
      <c r="C11418" s="1" t="str">
        <f>HYPERLINK("https://www.catalog.slsa.sa.gov.au/xrecord=b2913289")</f>
        <v>https://www.catalog.slsa.sa.gov.au/xrecord=b2913289</v>
      </c>
      <c r="E11418" t="s">
        <v>34903</v>
      </c>
      <c r="F11418" t="s">
        <v>34904</v>
      </c>
      <c r="G11418" t="s">
        <v>34905</v>
      </c>
      <c r="H11418" t="s">
        <v>34906</v>
      </c>
      <c r="I11418" t="s">
        <v>34907</v>
      </c>
      <c r="J11418" t="s">
        <v>1809</v>
      </c>
      <c r="K11418" s="2" t="str">
        <f>HYPERLINK("http://collections.slsa.sa.gov.au/mpcimgr/72750/B72672.htm")</f>
        <v>http://collections.slsa.sa.gov.au/mpcimgr/72750/B72672.htm</v>
      </c>
    </row>
    <row r="11419" spans="1:11" x14ac:dyDescent="0.25">
      <c r="A11419" t="s">
        <v>34908</v>
      </c>
      <c r="B11419" s="1" t="str">
        <f>HYPERLINK("https://www.catalog.slsa.sa.gov.au/record=b2096573")</f>
        <v>https://www.catalog.slsa.sa.gov.au/record=b2096573</v>
      </c>
      <c r="C11419" s="1" t="str">
        <f>HYPERLINK("https://www.catalog.slsa.sa.gov.au/xrecord=b2096573")</f>
        <v>https://www.catalog.slsa.sa.gov.au/xrecord=b2096573</v>
      </c>
      <c r="D11419" t="s">
        <v>16831</v>
      </c>
      <c r="E11419" t="s">
        <v>34909</v>
      </c>
      <c r="F11419">
        <v>2001</v>
      </c>
      <c r="G11419" t="s">
        <v>18310</v>
      </c>
      <c r="H11419" t="s">
        <v>34910</v>
      </c>
      <c r="I11419" t="s">
        <v>34911</v>
      </c>
      <c r="J11419" t="s">
        <v>33542</v>
      </c>
      <c r="K11419" s="2" t="str">
        <f>HYPERLINK("http://collections.slsa.sa.gov.au/mpcimg/69000/B68860.htm")</f>
        <v>http://collections.slsa.sa.gov.au/mpcimg/69000/B68860.htm</v>
      </c>
    </row>
    <row r="11420" spans="1:11" x14ac:dyDescent="0.25">
      <c r="A11420" t="s">
        <v>34912</v>
      </c>
      <c r="B11420" s="1" t="str">
        <f>HYPERLINK("https://www.catalog.slsa.sa.gov.au/record=b2096574")</f>
        <v>https://www.catalog.slsa.sa.gov.au/record=b2096574</v>
      </c>
      <c r="C11420" s="1" t="str">
        <f>HYPERLINK("https://www.catalog.slsa.sa.gov.au/xrecord=b2096574")</f>
        <v>https://www.catalog.slsa.sa.gov.au/xrecord=b2096574</v>
      </c>
      <c r="D11420" t="s">
        <v>16831</v>
      </c>
      <c r="E11420" t="s">
        <v>34909</v>
      </c>
      <c r="F11420">
        <v>2001</v>
      </c>
      <c r="G11420" t="s">
        <v>18310</v>
      </c>
      <c r="H11420" t="s">
        <v>34910</v>
      </c>
      <c r="I11420" t="s">
        <v>34911</v>
      </c>
      <c r="J11420" t="s">
        <v>33542</v>
      </c>
      <c r="K11420" s="2" t="str">
        <f>HYPERLINK("http://collections.slsa.sa.gov.au/mpcimg/69000/B68861.htm")</f>
        <v>http://collections.slsa.sa.gov.au/mpcimg/69000/B68861.htm</v>
      </c>
    </row>
    <row r="11421" spans="1:11" x14ac:dyDescent="0.25">
      <c r="A11421" t="s">
        <v>34913</v>
      </c>
      <c r="B11421" s="1" t="str">
        <f>HYPERLINK("https://www.catalog.slsa.sa.gov.au/record=b2096575")</f>
        <v>https://www.catalog.slsa.sa.gov.au/record=b2096575</v>
      </c>
      <c r="C11421" s="1" t="str">
        <f>HYPERLINK("https://www.catalog.slsa.sa.gov.au/xrecord=b2096575")</f>
        <v>https://www.catalog.slsa.sa.gov.au/xrecord=b2096575</v>
      </c>
      <c r="D11421" t="s">
        <v>16831</v>
      </c>
      <c r="E11421" t="s">
        <v>34909</v>
      </c>
      <c r="F11421">
        <v>2001</v>
      </c>
      <c r="G11421" t="s">
        <v>18310</v>
      </c>
      <c r="H11421" t="s">
        <v>34914</v>
      </c>
      <c r="I11421" t="s">
        <v>34915</v>
      </c>
      <c r="J11421" t="s">
        <v>33542</v>
      </c>
      <c r="K11421" s="2" t="str">
        <f>HYPERLINK("http://collections.slsa.sa.gov.au/mpcimg/69000/B68862.htm")</f>
        <v>http://collections.slsa.sa.gov.au/mpcimg/69000/B68862.htm</v>
      </c>
    </row>
    <row r="11422" spans="1:11" x14ac:dyDescent="0.25">
      <c r="A11422" t="s">
        <v>34916</v>
      </c>
      <c r="B11422" s="1" t="str">
        <f>HYPERLINK("https://www.catalog.slsa.sa.gov.au/record=b2230012")</f>
        <v>https://www.catalog.slsa.sa.gov.au/record=b2230012</v>
      </c>
      <c r="C11422" s="1" t="str">
        <f>HYPERLINK("https://www.catalog.slsa.sa.gov.au/xrecord=b2230012")</f>
        <v>https://www.catalog.slsa.sa.gov.au/xrecord=b2230012</v>
      </c>
      <c r="D11422" t="s">
        <v>31902</v>
      </c>
      <c r="E11422" t="s">
        <v>34638</v>
      </c>
      <c r="F11422">
        <v>2001</v>
      </c>
      <c r="G11422" t="s">
        <v>33690</v>
      </c>
      <c r="H11422" t="s">
        <v>34917</v>
      </c>
      <c r="J11422" t="s">
        <v>14768</v>
      </c>
      <c r="K11422" s="2" t="str">
        <f>HYPERLINK("http://collections.slsa.sa.gov.au/mpcimg/69500/B69282_151.htm")</f>
        <v>http://collections.slsa.sa.gov.au/mpcimg/69500/B69282_151.htm</v>
      </c>
    </row>
    <row r="11423" spans="1:11" x14ac:dyDescent="0.25">
      <c r="A11423" t="s">
        <v>34918</v>
      </c>
      <c r="B11423" s="1" t="str">
        <f>HYPERLINK("https://www.catalog.slsa.sa.gov.au/record=b2230017")</f>
        <v>https://www.catalog.slsa.sa.gov.au/record=b2230017</v>
      </c>
      <c r="C11423" s="1" t="str">
        <f>HYPERLINK("https://www.catalog.slsa.sa.gov.au/xrecord=b2230017")</f>
        <v>https://www.catalog.slsa.sa.gov.au/xrecord=b2230017</v>
      </c>
      <c r="D11423" t="s">
        <v>31902</v>
      </c>
      <c r="E11423" t="s">
        <v>34638</v>
      </c>
      <c r="F11423">
        <v>2001</v>
      </c>
      <c r="G11423" t="s">
        <v>33690</v>
      </c>
      <c r="H11423" t="s">
        <v>34919</v>
      </c>
      <c r="J11423" t="s">
        <v>14768</v>
      </c>
      <c r="K11423" s="2" t="str">
        <f>HYPERLINK("http://collections.slsa.sa.gov.au/mpcimg/69500/B69282_155.htm")</f>
        <v>http://collections.slsa.sa.gov.au/mpcimg/69500/B69282_155.htm</v>
      </c>
    </row>
    <row r="11424" spans="1:11" x14ac:dyDescent="0.25">
      <c r="A11424" t="s">
        <v>34920</v>
      </c>
      <c r="B11424" s="1" t="str">
        <f>HYPERLINK("https://www.catalog.slsa.sa.gov.au/record=b2230020")</f>
        <v>https://www.catalog.slsa.sa.gov.au/record=b2230020</v>
      </c>
      <c r="C11424" s="1" t="str">
        <f>HYPERLINK("https://www.catalog.slsa.sa.gov.au/xrecord=b2230020")</f>
        <v>https://www.catalog.slsa.sa.gov.au/xrecord=b2230020</v>
      </c>
      <c r="D11424" t="s">
        <v>31902</v>
      </c>
      <c r="E11424" t="s">
        <v>34638</v>
      </c>
      <c r="F11424">
        <v>2001</v>
      </c>
      <c r="G11424" t="s">
        <v>33690</v>
      </c>
      <c r="H11424" t="s">
        <v>34921</v>
      </c>
      <c r="J11424" t="s">
        <v>14768</v>
      </c>
      <c r="K11424" s="2" t="str">
        <f>HYPERLINK("http://collections.slsa.sa.gov.au/mpcimg/69500/B69282_156.htm")</f>
        <v>http://collections.slsa.sa.gov.au/mpcimg/69500/B69282_156.htm</v>
      </c>
    </row>
    <row r="11425" spans="1:11" x14ac:dyDescent="0.25">
      <c r="A11425" t="s">
        <v>34922</v>
      </c>
      <c r="B11425" s="1" t="str">
        <f>HYPERLINK("https://www.catalog.slsa.sa.gov.au/record=b2230021")</f>
        <v>https://www.catalog.slsa.sa.gov.au/record=b2230021</v>
      </c>
      <c r="C11425" s="1" t="str">
        <f>HYPERLINK("https://www.catalog.slsa.sa.gov.au/xrecord=b2230021")</f>
        <v>https://www.catalog.slsa.sa.gov.au/xrecord=b2230021</v>
      </c>
      <c r="D11425" t="s">
        <v>31902</v>
      </c>
      <c r="E11425" t="s">
        <v>34638</v>
      </c>
      <c r="F11425">
        <v>2001</v>
      </c>
      <c r="G11425" t="s">
        <v>33690</v>
      </c>
      <c r="H11425" t="s">
        <v>34921</v>
      </c>
      <c r="J11425" t="s">
        <v>14768</v>
      </c>
      <c r="K11425" s="2" t="str">
        <f>HYPERLINK("http://collections.slsa.sa.gov.au/mpcimg/69500/B69282_157.htm")</f>
        <v>http://collections.slsa.sa.gov.au/mpcimg/69500/B69282_157.htm</v>
      </c>
    </row>
    <row r="11426" spans="1:11" x14ac:dyDescent="0.25">
      <c r="A11426" t="s">
        <v>34923</v>
      </c>
      <c r="B11426" s="1" t="str">
        <f>HYPERLINK("https://www.catalog.slsa.sa.gov.au/record=b2230026")</f>
        <v>https://www.catalog.slsa.sa.gov.au/record=b2230026</v>
      </c>
      <c r="C11426" s="1" t="str">
        <f>HYPERLINK("https://www.catalog.slsa.sa.gov.au/xrecord=b2230026")</f>
        <v>https://www.catalog.slsa.sa.gov.au/xrecord=b2230026</v>
      </c>
      <c r="D11426" t="s">
        <v>31902</v>
      </c>
      <c r="E11426" t="s">
        <v>34638</v>
      </c>
      <c r="F11426">
        <v>2001</v>
      </c>
      <c r="G11426" t="s">
        <v>33690</v>
      </c>
      <c r="H11426" t="s">
        <v>34924</v>
      </c>
      <c r="J11426" t="s">
        <v>14768</v>
      </c>
      <c r="K11426" s="2" t="str">
        <f>HYPERLINK("http://collections.slsa.sa.gov.au/mpcimg/69500/B69282_152.htm")</f>
        <v>http://collections.slsa.sa.gov.au/mpcimg/69500/B69282_152.htm</v>
      </c>
    </row>
    <row r="11427" spans="1:11" x14ac:dyDescent="0.25">
      <c r="A11427" t="s">
        <v>34925</v>
      </c>
      <c r="B11427" s="1" t="str">
        <f>HYPERLINK("https://www.catalog.slsa.sa.gov.au/record=b2230030")</f>
        <v>https://www.catalog.slsa.sa.gov.au/record=b2230030</v>
      </c>
      <c r="C11427" s="1" t="str">
        <f>HYPERLINK("https://www.catalog.slsa.sa.gov.au/xrecord=b2230030")</f>
        <v>https://www.catalog.slsa.sa.gov.au/xrecord=b2230030</v>
      </c>
      <c r="D11427" t="s">
        <v>31902</v>
      </c>
      <c r="E11427" t="s">
        <v>34638</v>
      </c>
      <c r="F11427">
        <v>2001</v>
      </c>
      <c r="G11427" t="s">
        <v>33690</v>
      </c>
      <c r="H11427" t="s">
        <v>34926</v>
      </c>
      <c r="J11427" t="s">
        <v>14768</v>
      </c>
      <c r="K11427" s="2" t="str">
        <f>HYPERLINK("http://collections.slsa.sa.gov.au/mpcimg/69500/B69282_153.htm")</f>
        <v>http://collections.slsa.sa.gov.au/mpcimg/69500/B69282_153.htm</v>
      </c>
    </row>
    <row r="11428" spans="1:11" x14ac:dyDescent="0.25">
      <c r="A11428" t="s">
        <v>34927</v>
      </c>
      <c r="B11428" s="1" t="str">
        <f>HYPERLINK("https://www.catalog.slsa.sa.gov.au/record=b2230032")</f>
        <v>https://www.catalog.slsa.sa.gov.au/record=b2230032</v>
      </c>
      <c r="C11428" s="1" t="str">
        <f>HYPERLINK("https://www.catalog.slsa.sa.gov.au/xrecord=b2230032")</f>
        <v>https://www.catalog.slsa.sa.gov.au/xrecord=b2230032</v>
      </c>
      <c r="D11428" t="s">
        <v>31902</v>
      </c>
      <c r="E11428" t="s">
        <v>34638</v>
      </c>
      <c r="F11428">
        <v>2001</v>
      </c>
      <c r="G11428" t="s">
        <v>33690</v>
      </c>
      <c r="H11428" t="s">
        <v>34926</v>
      </c>
      <c r="J11428" t="s">
        <v>14768</v>
      </c>
      <c r="K11428" s="2" t="str">
        <f>HYPERLINK("http://collections.slsa.sa.gov.au/mpcimg/69500/B69282_154.htm")</f>
        <v>http://collections.slsa.sa.gov.au/mpcimg/69500/B69282_154.htm</v>
      </c>
    </row>
    <row r="11429" spans="1:11" x14ac:dyDescent="0.25">
      <c r="A11429" t="s">
        <v>34928</v>
      </c>
      <c r="B11429" s="1" t="str">
        <f>HYPERLINK("https://www.catalog.slsa.sa.gov.au/record=b2230203")</f>
        <v>https://www.catalog.slsa.sa.gov.au/record=b2230203</v>
      </c>
      <c r="C11429" s="1" t="str">
        <f>HYPERLINK("https://www.catalog.slsa.sa.gov.au/xrecord=b2230203")</f>
        <v>https://www.catalog.slsa.sa.gov.au/xrecord=b2230203</v>
      </c>
      <c r="D11429" t="s">
        <v>31902</v>
      </c>
      <c r="E11429" t="s">
        <v>34638</v>
      </c>
      <c r="F11429">
        <v>2001</v>
      </c>
      <c r="G11429" t="s">
        <v>33690</v>
      </c>
      <c r="H11429" t="s">
        <v>34929</v>
      </c>
      <c r="J11429" t="s">
        <v>14768</v>
      </c>
      <c r="K11429" s="2" t="str">
        <f>HYPERLINK("http://collections.slsa.sa.gov.au/mpcimg/69500/B69282_158.htm")</f>
        <v>http://collections.slsa.sa.gov.au/mpcimg/69500/B69282_158.htm</v>
      </c>
    </row>
    <row r="11430" spans="1:11" x14ac:dyDescent="0.25">
      <c r="A11430" t="s">
        <v>34930</v>
      </c>
      <c r="B11430" s="1" t="str">
        <f>HYPERLINK("https://www.catalog.slsa.sa.gov.au/record=b2230217")</f>
        <v>https://www.catalog.slsa.sa.gov.au/record=b2230217</v>
      </c>
      <c r="C11430" s="1" t="str">
        <f>HYPERLINK("https://www.catalog.slsa.sa.gov.au/xrecord=b2230217")</f>
        <v>https://www.catalog.slsa.sa.gov.au/xrecord=b2230217</v>
      </c>
      <c r="D11430" t="s">
        <v>31902</v>
      </c>
      <c r="E11430" t="s">
        <v>34696</v>
      </c>
      <c r="F11430">
        <v>2001</v>
      </c>
      <c r="G11430" t="s">
        <v>33690</v>
      </c>
      <c r="H11430" t="s">
        <v>34931</v>
      </c>
      <c r="J11430" t="s">
        <v>14768</v>
      </c>
      <c r="K11430" s="2" t="str">
        <f>HYPERLINK("http://collections.slsa.sa.gov.au/mpcimg/69500/B69282_159.htm")</f>
        <v>http://collections.slsa.sa.gov.au/mpcimg/69500/B69282_159.htm</v>
      </c>
    </row>
    <row r="11431" spans="1:11" x14ac:dyDescent="0.25">
      <c r="A11431" t="s">
        <v>34932</v>
      </c>
      <c r="B11431" s="1" t="str">
        <f>HYPERLINK("https://www.catalog.slsa.sa.gov.au/record=b2230218")</f>
        <v>https://www.catalog.slsa.sa.gov.au/record=b2230218</v>
      </c>
      <c r="C11431" s="1" t="str">
        <f>HYPERLINK("https://www.catalog.slsa.sa.gov.au/xrecord=b2230218")</f>
        <v>https://www.catalog.slsa.sa.gov.au/xrecord=b2230218</v>
      </c>
      <c r="D11431" t="s">
        <v>31902</v>
      </c>
      <c r="E11431" t="s">
        <v>34696</v>
      </c>
      <c r="F11431">
        <v>2001</v>
      </c>
      <c r="G11431" t="s">
        <v>33690</v>
      </c>
      <c r="H11431" t="s">
        <v>34933</v>
      </c>
      <c r="J11431" t="s">
        <v>14768</v>
      </c>
      <c r="K11431" s="2" t="str">
        <f>HYPERLINK("http://collections.slsa.sa.gov.au/mpcimg/69500/B69282_160.htm")</f>
        <v>http://collections.slsa.sa.gov.au/mpcimg/69500/B69282_160.htm</v>
      </c>
    </row>
    <row r="11432" spans="1:11" x14ac:dyDescent="0.25">
      <c r="A11432" t="s">
        <v>34934</v>
      </c>
      <c r="B11432" s="1" t="str">
        <f>HYPERLINK("https://www.catalog.slsa.sa.gov.au/record=b2230225")</f>
        <v>https://www.catalog.slsa.sa.gov.au/record=b2230225</v>
      </c>
      <c r="C11432" s="1" t="str">
        <f>HYPERLINK("https://www.catalog.slsa.sa.gov.au/xrecord=b2230225")</f>
        <v>https://www.catalog.slsa.sa.gov.au/xrecord=b2230225</v>
      </c>
      <c r="D11432" t="s">
        <v>31902</v>
      </c>
      <c r="E11432" t="s">
        <v>34696</v>
      </c>
      <c r="F11432">
        <v>2001</v>
      </c>
      <c r="G11432" t="s">
        <v>33690</v>
      </c>
      <c r="H11432" t="s">
        <v>34935</v>
      </c>
      <c r="J11432" t="s">
        <v>14768</v>
      </c>
      <c r="K11432" s="2" t="str">
        <f>HYPERLINK("http://collections.slsa.sa.gov.au/mpcimg/69500/B69282_161.htm")</f>
        <v>http://collections.slsa.sa.gov.au/mpcimg/69500/B69282_161.htm</v>
      </c>
    </row>
    <row r="11433" spans="1:11" x14ac:dyDescent="0.25">
      <c r="A11433" t="s">
        <v>34936</v>
      </c>
      <c r="B11433" s="1" t="str">
        <f>HYPERLINK("https://www.catalog.slsa.sa.gov.au/record=b2230506")</f>
        <v>https://www.catalog.slsa.sa.gov.au/record=b2230506</v>
      </c>
      <c r="C11433" s="1" t="str">
        <f>HYPERLINK("https://www.catalog.slsa.sa.gov.au/xrecord=b2230506")</f>
        <v>https://www.catalog.slsa.sa.gov.au/xrecord=b2230506</v>
      </c>
      <c r="D11433" t="s">
        <v>31902</v>
      </c>
      <c r="E11433" t="s">
        <v>34696</v>
      </c>
      <c r="F11433">
        <v>2001</v>
      </c>
      <c r="G11433" t="s">
        <v>33690</v>
      </c>
      <c r="H11433" t="s">
        <v>34937</v>
      </c>
      <c r="J11433" t="s">
        <v>14768</v>
      </c>
      <c r="K11433" s="2" t="str">
        <f>HYPERLINK("http://collections.slsa.sa.gov.au/mpcimg/69500/B69282_162.htm")</f>
        <v>http://collections.slsa.sa.gov.au/mpcimg/69500/B69282_162.htm</v>
      </c>
    </row>
    <row r="11434" spans="1:11" x14ac:dyDescent="0.25">
      <c r="A11434" t="s">
        <v>34938</v>
      </c>
      <c r="B11434" s="1" t="str">
        <f>HYPERLINK("https://www.catalog.slsa.sa.gov.au/record=b2230514")</f>
        <v>https://www.catalog.slsa.sa.gov.au/record=b2230514</v>
      </c>
      <c r="C11434" s="1" t="str">
        <f>HYPERLINK("https://www.catalog.slsa.sa.gov.au/xrecord=b2230514")</f>
        <v>https://www.catalog.slsa.sa.gov.au/xrecord=b2230514</v>
      </c>
      <c r="D11434" t="s">
        <v>31902</v>
      </c>
      <c r="E11434" t="s">
        <v>34696</v>
      </c>
      <c r="F11434">
        <v>2001</v>
      </c>
      <c r="G11434" t="s">
        <v>33690</v>
      </c>
      <c r="H11434" t="s">
        <v>34939</v>
      </c>
      <c r="J11434" t="s">
        <v>14768</v>
      </c>
      <c r="K11434" s="2" t="str">
        <f>HYPERLINK("http://collections.slsa.sa.gov.au/mpcimg/69500/B69282_163.htm")</f>
        <v>http://collections.slsa.sa.gov.au/mpcimg/69500/B69282_163.htm</v>
      </c>
    </row>
    <row r="11435" spans="1:11" x14ac:dyDescent="0.25">
      <c r="A11435" t="s">
        <v>34940</v>
      </c>
      <c r="B11435" s="1" t="str">
        <f>HYPERLINK("https://www.catalog.slsa.sa.gov.au/record=b2230521")</f>
        <v>https://www.catalog.slsa.sa.gov.au/record=b2230521</v>
      </c>
      <c r="C11435" s="1" t="str">
        <f>HYPERLINK("https://www.catalog.slsa.sa.gov.au/xrecord=b2230521")</f>
        <v>https://www.catalog.slsa.sa.gov.au/xrecord=b2230521</v>
      </c>
      <c r="D11435" t="s">
        <v>31902</v>
      </c>
      <c r="E11435" t="s">
        <v>34696</v>
      </c>
      <c r="F11435">
        <v>2001</v>
      </c>
      <c r="G11435" t="s">
        <v>33690</v>
      </c>
      <c r="H11435" t="s">
        <v>34941</v>
      </c>
      <c r="J11435" t="s">
        <v>14768</v>
      </c>
      <c r="K11435" s="2" t="str">
        <f>HYPERLINK("http://collections.slsa.sa.gov.au/mpcimg/69500/B69282_164.htm")</f>
        <v>http://collections.slsa.sa.gov.au/mpcimg/69500/B69282_164.htm</v>
      </c>
    </row>
    <row r="11436" spans="1:11" x14ac:dyDescent="0.25">
      <c r="A11436" t="s">
        <v>34942</v>
      </c>
      <c r="B11436" s="1" t="str">
        <f>HYPERLINK("https://www.catalog.slsa.sa.gov.au/record=b2230528")</f>
        <v>https://www.catalog.slsa.sa.gov.au/record=b2230528</v>
      </c>
      <c r="C11436" s="1" t="str">
        <f>HYPERLINK("https://www.catalog.slsa.sa.gov.au/xrecord=b2230528")</f>
        <v>https://www.catalog.slsa.sa.gov.au/xrecord=b2230528</v>
      </c>
      <c r="D11436" t="s">
        <v>31902</v>
      </c>
      <c r="E11436" t="s">
        <v>34696</v>
      </c>
      <c r="F11436">
        <v>2001</v>
      </c>
      <c r="G11436" t="s">
        <v>33690</v>
      </c>
      <c r="H11436" t="s">
        <v>34943</v>
      </c>
      <c r="J11436" t="s">
        <v>14768</v>
      </c>
      <c r="K11436" s="2" t="str">
        <f>HYPERLINK("http://collections.slsa.sa.gov.au/mpcimg/69500/B69282_165.htm")</f>
        <v>http://collections.slsa.sa.gov.au/mpcimg/69500/B69282_165.htm</v>
      </c>
    </row>
    <row r="11437" spans="1:11" x14ac:dyDescent="0.25">
      <c r="A11437" t="s">
        <v>34944</v>
      </c>
      <c r="B11437" s="1" t="str">
        <f>HYPERLINK("https://www.catalog.slsa.sa.gov.au/record=b2230529")</f>
        <v>https://www.catalog.slsa.sa.gov.au/record=b2230529</v>
      </c>
      <c r="C11437" s="1" t="str">
        <f>HYPERLINK("https://www.catalog.slsa.sa.gov.au/xrecord=b2230529")</f>
        <v>https://www.catalog.slsa.sa.gov.au/xrecord=b2230529</v>
      </c>
      <c r="D11437" t="s">
        <v>31902</v>
      </c>
      <c r="E11437" t="s">
        <v>34696</v>
      </c>
      <c r="F11437">
        <v>2001</v>
      </c>
      <c r="G11437" t="s">
        <v>33690</v>
      </c>
      <c r="H11437" t="s">
        <v>34945</v>
      </c>
      <c r="J11437" t="s">
        <v>14768</v>
      </c>
      <c r="K11437" s="2" t="str">
        <f>HYPERLINK("http://collections.slsa.sa.gov.au/mpcimg/69500/B69282_166.htm")</f>
        <v>http://collections.slsa.sa.gov.au/mpcimg/69500/B69282_166.htm</v>
      </c>
    </row>
    <row r="11438" spans="1:11" x14ac:dyDescent="0.25">
      <c r="A11438" t="s">
        <v>34946</v>
      </c>
      <c r="B11438" s="1" t="str">
        <f>HYPERLINK("https://www.catalog.slsa.sa.gov.au/record=b2230530")</f>
        <v>https://www.catalog.slsa.sa.gov.au/record=b2230530</v>
      </c>
      <c r="C11438" s="1" t="str">
        <f>HYPERLINK("https://www.catalog.slsa.sa.gov.au/xrecord=b2230530")</f>
        <v>https://www.catalog.slsa.sa.gov.au/xrecord=b2230530</v>
      </c>
      <c r="D11438" t="s">
        <v>31902</v>
      </c>
      <c r="E11438" t="s">
        <v>34696</v>
      </c>
      <c r="F11438">
        <v>2001</v>
      </c>
      <c r="G11438" t="s">
        <v>33690</v>
      </c>
      <c r="H11438" t="s">
        <v>34947</v>
      </c>
      <c r="J11438" t="s">
        <v>14768</v>
      </c>
      <c r="K11438" s="2" t="str">
        <f>HYPERLINK("http://collections.slsa.sa.gov.au/mpcimg/69500/B69282_167.htm")</f>
        <v>http://collections.slsa.sa.gov.au/mpcimg/69500/B69282_167.htm</v>
      </c>
    </row>
    <row r="11439" spans="1:11" x14ac:dyDescent="0.25">
      <c r="A11439" t="s">
        <v>34948</v>
      </c>
      <c r="B11439" s="1" t="str">
        <f>HYPERLINK("https://www.catalog.slsa.sa.gov.au/record=b2230534")</f>
        <v>https://www.catalog.slsa.sa.gov.au/record=b2230534</v>
      </c>
      <c r="C11439" s="1" t="str">
        <f>HYPERLINK("https://www.catalog.slsa.sa.gov.au/xrecord=b2230534")</f>
        <v>https://www.catalog.slsa.sa.gov.au/xrecord=b2230534</v>
      </c>
      <c r="D11439" t="s">
        <v>31902</v>
      </c>
      <c r="E11439" t="s">
        <v>34949</v>
      </c>
      <c r="F11439">
        <v>2001</v>
      </c>
      <c r="G11439" t="s">
        <v>33690</v>
      </c>
      <c r="H11439" t="s">
        <v>34950</v>
      </c>
      <c r="J11439" t="s">
        <v>14768</v>
      </c>
      <c r="K11439" s="2" t="str">
        <f>HYPERLINK("http://collections.slsa.sa.gov.au/mpcimg/69500/B69282_168.htm")</f>
        <v>http://collections.slsa.sa.gov.au/mpcimg/69500/B69282_168.htm</v>
      </c>
    </row>
    <row r="11440" spans="1:11" x14ac:dyDescent="0.25">
      <c r="A11440" t="s">
        <v>34951</v>
      </c>
      <c r="B11440" s="1" t="str">
        <f>HYPERLINK("https://www.catalog.slsa.sa.gov.au/record=b2230740")</f>
        <v>https://www.catalog.slsa.sa.gov.au/record=b2230740</v>
      </c>
      <c r="C11440" s="1" t="str">
        <f>HYPERLINK("https://www.catalog.slsa.sa.gov.au/xrecord=b2230740")</f>
        <v>https://www.catalog.slsa.sa.gov.au/xrecord=b2230740</v>
      </c>
      <c r="D11440" t="s">
        <v>31902</v>
      </c>
      <c r="E11440" t="s">
        <v>34952</v>
      </c>
      <c r="F11440">
        <v>2001</v>
      </c>
      <c r="G11440" t="s">
        <v>33690</v>
      </c>
      <c r="H11440" t="s">
        <v>34953</v>
      </c>
      <c r="J11440" t="s">
        <v>14768</v>
      </c>
      <c r="K11440" s="2" t="str">
        <f>HYPERLINK("http://collections.slsa.sa.gov.au/mpcimg/69500/B69282_169.htm")</f>
        <v>http://collections.slsa.sa.gov.au/mpcimg/69500/B69282_169.htm</v>
      </c>
    </row>
    <row r="11441" spans="1:11" x14ac:dyDescent="0.25">
      <c r="A11441" t="s">
        <v>34954</v>
      </c>
      <c r="B11441" s="1" t="str">
        <f>HYPERLINK("https://www.catalog.slsa.sa.gov.au/record=b2230743")</f>
        <v>https://www.catalog.slsa.sa.gov.au/record=b2230743</v>
      </c>
      <c r="C11441" s="1" t="str">
        <f>HYPERLINK("https://www.catalog.slsa.sa.gov.au/xrecord=b2230743")</f>
        <v>https://www.catalog.slsa.sa.gov.au/xrecord=b2230743</v>
      </c>
      <c r="D11441" t="s">
        <v>31902</v>
      </c>
      <c r="E11441" t="s">
        <v>34955</v>
      </c>
      <c r="F11441">
        <v>2001</v>
      </c>
      <c r="G11441" t="s">
        <v>33690</v>
      </c>
      <c r="H11441" t="s">
        <v>34956</v>
      </c>
      <c r="J11441" t="s">
        <v>14768</v>
      </c>
      <c r="K11441" s="2" t="str">
        <f>HYPERLINK("http://collections.slsa.sa.gov.au/mpcimg/69500/B69282_170.htm")</f>
        <v>http://collections.slsa.sa.gov.au/mpcimg/69500/B69282_170.htm</v>
      </c>
    </row>
    <row r="11442" spans="1:11" x14ac:dyDescent="0.25">
      <c r="A11442" t="s">
        <v>34957</v>
      </c>
      <c r="B11442" s="1" t="str">
        <f>HYPERLINK("https://www.catalog.slsa.sa.gov.au/record=b2230774")</f>
        <v>https://www.catalog.slsa.sa.gov.au/record=b2230774</v>
      </c>
      <c r="C11442" s="1" t="str">
        <f>HYPERLINK("https://www.catalog.slsa.sa.gov.au/xrecord=b2230774")</f>
        <v>https://www.catalog.slsa.sa.gov.au/xrecord=b2230774</v>
      </c>
      <c r="D11442" t="s">
        <v>31902</v>
      </c>
      <c r="E11442" t="s">
        <v>34955</v>
      </c>
      <c r="F11442">
        <v>2001</v>
      </c>
      <c r="G11442" t="s">
        <v>33690</v>
      </c>
      <c r="H11442" t="s">
        <v>34956</v>
      </c>
      <c r="J11442" t="s">
        <v>14768</v>
      </c>
      <c r="K11442" s="2" t="str">
        <f>HYPERLINK("http://collections.slsa.sa.gov.au/mpcimg/69500/B69282_171.htm")</f>
        <v>http://collections.slsa.sa.gov.au/mpcimg/69500/B69282_171.htm</v>
      </c>
    </row>
    <row r="11443" spans="1:11" x14ac:dyDescent="0.25">
      <c r="A11443" t="s">
        <v>34958</v>
      </c>
      <c r="B11443" s="1" t="str">
        <f>HYPERLINK("https://www.catalog.slsa.sa.gov.au/record=b2230784")</f>
        <v>https://www.catalog.slsa.sa.gov.au/record=b2230784</v>
      </c>
      <c r="C11443" s="1" t="str">
        <f>HYPERLINK("https://www.catalog.slsa.sa.gov.au/xrecord=b2230784")</f>
        <v>https://www.catalog.slsa.sa.gov.au/xrecord=b2230784</v>
      </c>
      <c r="D11443" t="s">
        <v>31902</v>
      </c>
      <c r="E11443" t="s">
        <v>34959</v>
      </c>
      <c r="F11443">
        <v>2001</v>
      </c>
      <c r="G11443" t="s">
        <v>33690</v>
      </c>
      <c r="H11443" t="s">
        <v>34960</v>
      </c>
      <c r="J11443" t="s">
        <v>14768</v>
      </c>
      <c r="K11443" s="2" t="str">
        <f>HYPERLINK("http://collections.slsa.sa.gov.au/mpcimg/69500/B69282_172.htm")</f>
        <v>http://collections.slsa.sa.gov.au/mpcimg/69500/B69282_172.htm</v>
      </c>
    </row>
    <row r="11444" spans="1:11" x14ac:dyDescent="0.25">
      <c r="A11444" t="s">
        <v>34961</v>
      </c>
      <c r="B11444" s="1" t="str">
        <f>HYPERLINK("https://www.catalog.slsa.sa.gov.au/record=b2230799")</f>
        <v>https://www.catalog.slsa.sa.gov.au/record=b2230799</v>
      </c>
      <c r="C11444" s="1" t="str">
        <f>HYPERLINK("https://www.catalog.slsa.sa.gov.au/xrecord=b2230799")</f>
        <v>https://www.catalog.slsa.sa.gov.au/xrecord=b2230799</v>
      </c>
      <c r="D11444" t="s">
        <v>31902</v>
      </c>
      <c r="E11444" t="s">
        <v>34962</v>
      </c>
      <c r="F11444">
        <v>2001</v>
      </c>
      <c r="G11444" t="s">
        <v>33690</v>
      </c>
      <c r="H11444" t="s">
        <v>34963</v>
      </c>
      <c r="J11444" t="s">
        <v>14768</v>
      </c>
      <c r="K11444" s="2" t="str">
        <f>HYPERLINK("http://collections.slsa.sa.gov.au/mpcimg/69500/B69282_174.htm")</f>
        <v>http://collections.slsa.sa.gov.au/mpcimg/69500/B69282_174.htm</v>
      </c>
    </row>
    <row r="11445" spans="1:11" x14ac:dyDescent="0.25">
      <c r="A11445" t="s">
        <v>34964</v>
      </c>
      <c r="B11445" s="1" t="str">
        <f>HYPERLINK("https://www.catalog.slsa.sa.gov.au/record=b2230806")</f>
        <v>https://www.catalog.slsa.sa.gov.au/record=b2230806</v>
      </c>
      <c r="C11445" s="1" t="str">
        <f>HYPERLINK("https://www.catalog.slsa.sa.gov.au/xrecord=b2230806")</f>
        <v>https://www.catalog.slsa.sa.gov.au/xrecord=b2230806</v>
      </c>
      <c r="D11445" t="s">
        <v>31902</v>
      </c>
      <c r="E11445" t="s">
        <v>34965</v>
      </c>
      <c r="F11445">
        <v>2001</v>
      </c>
      <c r="G11445" t="s">
        <v>33690</v>
      </c>
      <c r="H11445" t="s">
        <v>34966</v>
      </c>
      <c r="J11445" t="s">
        <v>14768</v>
      </c>
      <c r="K11445" s="2" t="str">
        <f>HYPERLINK("http://collections.slsa.sa.gov.au/mpcimg/69500/B69282_173.htm")</f>
        <v>http://collections.slsa.sa.gov.au/mpcimg/69500/B69282_173.htm</v>
      </c>
    </row>
    <row r="11446" spans="1:11" x14ac:dyDescent="0.25">
      <c r="A11446" t="s">
        <v>34967</v>
      </c>
      <c r="B11446" s="1" t="str">
        <f>HYPERLINK("https://www.catalog.slsa.sa.gov.au/record=b2230820")</f>
        <v>https://www.catalog.slsa.sa.gov.au/record=b2230820</v>
      </c>
      <c r="C11446" s="1" t="str">
        <f>HYPERLINK("https://www.catalog.slsa.sa.gov.au/xrecord=b2230820")</f>
        <v>https://www.catalog.slsa.sa.gov.au/xrecord=b2230820</v>
      </c>
      <c r="D11446" t="s">
        <v>31902</v>
      </c>
      <c r="E11446" t="s">
        <v>34962</v>
      </c>
      <c r="F11446">
        <v>2001</v>
      </c>
      <c r="G11446" t="s">
        <v>33690</v>
      </c>
      <c r="H11446" t="s">
        <v>34968</v>
      </c>
      <c r="J11446" t="s">
        <v>14768</v>
      </c>
      <c r="K11446" s="2" t="str">
        <f>HYPERLINK("http://collections.slsa.sa.gov.au/mpcimg/69500/B69282_178.htm")</f>
        <v>http://collections.slsa.sa.gov.au/mpcimg/69500/B69282_178.htm</v>
      </c>
    </row>
    <row r="11447" spans="1:11" x14ac:dyDescent="0.25">
      <c r="A11447" t="s">
        <v>34969</v>
      </c>
      <c r="B11447" s="1" t="str">
        <f>HYPERLINK("https://www.catalog.slsa.sa.gov.au/record=b2230822")</f>
        <v>https://www.catalog.slsa.sa.gov.au/record=b2230822</v>
      </c>
      <c r="C11447" s="1" t="str">
        <f>HYPERLINK("https://www.catalog.slsa.sa.gov.au/xrecord=b2230822")</f>
        <v>https://www.catalog.slsa.sa.gov.au/xrecord=b2230822</v>
      </c>
      <c r="D11447" t="s">
        <v>31902</v>
      </c>
      <c r="E11447" t="s">
        <v>34970</v>
      </c>
      <c r="F11447">
        <v>2001</v>
      </c>
      <c r="G11447" t="s">
        <v>33690</v>
      </c>
      <c r="H11447" t="s">
        <v>34971</v>
      </c>
      <c r="J11447" t="s">
        <v>14768</v>
      </c>
      <c r="K11447" s="2" t="str">
        <f>HYPERLINK("http://collections.slsa.sa.gov.au/mpcimg/69500/B69282_175.htm")</f>
        <v>http://collections.slsa.sa.gov.au/mpcimg/69500/B69282_175.htm</v>
      </c>
    </row>
    <row r="11448" spans="1:11" x14ac:dyDescent="0.25">
      <c r="A11448" t="s">
        <v>34972</v>
      </c>
      <c r="B11448" s="1" t="str">
        <f>HYPERLINK("https://www.catalog.slsa.sa.gov.au/record=b2230823")</f>
        <v>https://www.catalog.slsa.sa.gov.au/record=b2230823</v>
      </c>
      <c r="C11448" s="1" t="str">
        <f>HYPERLINK("https://www.catalog.slsa.sa.gov.au/xrecord=b2230823")</f>
        <v>https://www.catalog.slsa.sa.gov.au/xrecord=b2230823</v>
      </c>
      <c r="D11448" t="s">
        <v>31902</v>
      </c>
      <c r="E11448" t="s">
        <v>34970</v>
      </c>
      <c r="F11448">
        <v>2001</v>
      </c>
      <c r="G11448" t="s">
        <v>33690</v>
      </c>
      <c r="H11448" t="s">
        <v>34973</v>
      </c>
      <c r="J11448" t="s">
        <v>14768</v>
      </c>
      <c r="K11448" s="2" t="str">
        <f>HYPERLINK("http://collections.slsa.sa.gov.au/mpcimg/69500/B69282_176.htm")</f>
        <v>http://collections.slsa.sa.gov.au/mpcimg/69500/B69282_176.htm</v>
      </c>
    </row>
    <row r="11449" spans="1:11" x14ac:dyDescent="0.25">
      <c r="A11449" t="s">
        <v>34974</v>
      </c>
      <c r="B11449" s="1" t="str">
        <f>HYPERLINK("https://www.catalog.slsa.sa.gov.au/record=b2230824")</f>
        <v>https://www.catalog.slsa.sa.gov.au/record=b2230824</v>
      </c>
      <c r="C11449" s="1" t="str">
        <f>HYPERLINK("https://www.catalog.slsa.sa.gov.au/xrecord=b2230824")</f>
        <v>https://www.catalog.slsa.sa.gov.au/xrecord=b2230824</v>
      </c>
      <c r="D11449" t="s">
        <v>31902</v>
      </c>
      <c r="E11449" t="s">
        <v>34970</v>
      </c>
      <c r="F11449">
        <v>2001</v>
      </c>
      <c r="G11449" t="s">
        <v>33690</v>
      </c>
      <c r="H11449" t="s">
        <v>34975</v>
      </c>
      <c r="J11449" t="s">
        <v>14768</v>
      </c>
      <c r="K11449" s="2" t="str">
        <f>HYPERLINK("http://collections.slsa.sa.gov.au/mpcimg/69500/B69282_177.htm")</f>
        <v>http://collections.slsa.sa.gov.au/mpcimg/69500/B69282_177.htm</v>
      </c>
    </row>
    <row r="11450" spans="1:11" x14ac:dyDescent="0.25">
      <c r="A11450" t="s">
        <v>34976</v>
      </c>
      <c r="B11450" s="1" t="str">
        <f>HYPERLINK("https://www.catalog.slsa.sa.gov.au/record=b2231065")</f>
        <v>https://www.catalog.slsa.sa.gov.au/record=b2231065</v>
      </c>
      <c r="C11450" s="1" t="str">
        <f>HYPERLINK("https://www.catalog.slsa.sa.gov.au/xrecord=b2231065")</f>
        <v>https://www.catalog.slsa.sa.gov.au/xrecord=b2231065</v>
      </c>
      <c r="D11450" t="s">
        <v>31902</v>
      </c>
      <c r="E11450" t="s">
        <v>34977</v>
      </c>
      <c r="F11450">
        <v>2001</v>
      </c>
      <c r="G11450" t="s">
        <v>33690</v>
      </c>
      <c r="H11450" t="s">
        <v>34978</v>
      </c>
      <c r="J11450" t="s">
        <v>14768</v>
      </c>
      <c r="K11450" s="2" t="str">
        <f>HYPERLINK("http://collections.slsa.sa.gov.au/mpcimg/69500/B69282_179.htm")</f>
        <v>http://collections.slsa.sa.gov.au/mpcimg/69500/B69282_179.htm</v>
      </c>
    </row>
    <row r="11451" spans="1:11" x14ac:dyDescent="0.25">
      <c r="A11451" t="s">
        <v>34979</v>
      </c>
      <c r="B11451" s="1" t="str">
        <f>HYPERLINK("https://www.catalog.slsa.sa.gov.au/record=b2231074")</f>
        <v>https://www.catalog.slsa.sa.gov.au/record=b2231074</v>
      </c>
      <c r="C11451" s="1" t="str">
        <f>HYPERLINK("https://www.catalog.slsa.sa.gov.au/xrecord=b2231074")</f>
        <v>https://www.catalog.slsa.sa.gov.au/xrecord=b2231074</v>
      </c>
      <c r="D11451" t="s">
        <v>31902</v>
      </c>
      <c r="E11451" t="s">
        <v>34977</v>
      </c>
      <c r="F11451">
        <v>2001</v>
      </c>
      <c r="G11451" t="s">
        <v>33690</v>
      </c>
      <c r="H11451" t="s">
        <v>34980</v>
      </c>
      <c r="J11451" t="s">
        <v>14768</v>
      </c>
      <c r="K11451" s="2" t="str">
        <f>HYPERLINK("http://collections.slsa.sa.gov.au/mpcimg/69500/B69282_180.htm")</f>
        <v>http://collections.slsa.sa.gov.au/mpcimg/69500/B69282_180.htm</v>
      </c>
    </row>
    <row r="11452" spans="1:11" x14ac:dyDescent="0.25">
      <c r="A11452" t="s">
        <v>34981</v>
      </c>
      <c r="B11452" s="1" t="str">
        <f>HYPERLINK("https://www.catalog.slsa.sa.gov.au/record=b2231075")</f>
        <v>https://www.catalog.slsa.sa.gov.au/record=b2231075</v>
      </c>
      <c r="C11452" s="1" t="str">
        <f>HYPERLINK("https://www.catalog.slsa.sa.gov.au/xrecord=b2231075")</f>
        <v>https://www.catalog.slsa.sa.gov.au/xrecord=b2231075</v>
      </c>
      <c r="D11452" t="s">
        <v>31902</v>
      </c>
      <c r="E11452" t="s">
        <v>34982</v>
      </c>
      <c r="F11452">
        <v>2001</v>
      </c>
      <c r="G11452" t="s">
        <v>33690</v>
      </c>
      <c r="H11452" t="s">
        <v>34983</v>
      </c>
      <c r="J11452" t="s">
        <v>14768</v>
      </c>
      <c r="K11452" s="2" t="str">
        <f>HYPERLINK("http://collections.slsa.sa.gov.au/mpcimg/69500/B69282_181.htm")</f>
        <v>http://collections.slsa.sa.gov.au/mpcimg/69500/B69282_181.htm</v>
      </c>
    </row>
    <row r="11453" spans="1:11" x14ac:dyDescent="0.25">
      <c r="A11453" t="s">
        <v>34984</v>
      </c>
      <c r="B11453" s="1" t="str">
        <f>HYPERLINK("https://www.catalog.slsa.sa.gov.au/record=b2231076")</f>
        <v>https://www.catalog.slsa.sa.gov.au/record=b2231076</v>
      </c>
      <c r="C11453" s="1" t="str">
        <f>HYPERLINK("https://www.catalog.slsa.sa.gov.au/xrecord=b2231076")</f>
        <v>https://www.catalog.slsa.sa.gov.au/xrecord=b2231076</v>
      </c>
      <c r="D11453" t="s">
        <v>31902</v>
      </c>
      <c r="E11453" t="s">
        <v>34982</v>
      </c>
      <c r="F11453">
        <v>2001</v>
      </c>
      <c r="G11453" t="s">
        <v>33690</v>
      </c>
      <c r="H11453" t="s">
        <v>34985</v>
      </c>
      <c r="J11453" t="s">
        <v>14768</v>
      </c>
      <c r="K11453" s="2" t="str">
        <f>HYPERLINK("http://collections.slsa.sa.gov.au/mpcimg/69500/B69282_182.htm")</f>
        <v>http://collections.slsa.sa.gov.au/mpcimg/69500/B69282_182.htm</v>
      </c>
    </row>
    <row r="11454" spans="1:11" x14ac:dyDescent="0.25">
      <c r="A11454" t="s">
        <v>34986</v>
      </c>
      <c r="B11454" s="1" t="str">
        <f>HYPERLINK("https://www.catalog.slsa.sa.gov.au/record=b2231079")</f>
        <v>https://www.catalog.slsa.sa.gov.au/record=b2231079</v>
      </c>
      <c r="C11454" s="1" t="str">
        <f>HYPERLINK("https://www.catalog.slsa.sa.gov.au/xrecord=b2231079")</f>
        <v>https://www.catalog.slsa.sa.gov.au/xrecord=b2231079</v>
      </c>
      <c r="D11454" t="s">
        <v>31902</v>
      </c>
      <c r="E11454" t="s">
        <v>34987</v>
      </c>
      <c r="F11454">
        <v>2001</v>
      </c>
      <c r="G11454" t="s">
        <v>33690</v>
      </c>
      <c r="H11454" t="s">
        <v>34988</v>
      </c>
      <c r="J11454" t="s">
        <v>14768</v>
      </c>
      <c r="K11454" s="2" t="str">
        <f>HYPERLINK("http://collections.slsa.sa.gov.au/mpcimg/69500/B69282_183.htm")</f>
        <v>http://collections.slsa.sa.gov.au/mpcimg/69500/B69282_183.htm</v>
      </c>
    </row>
    <row r="11455" spans="1:11" x14ac:dyDescent="0.25">
      <c r="A11455" t="s">
        <v>34989</v>
      </c>
      <c r="B11455" s="1" t="str">
        <f>HYPERLINK("https://www.catalog.slsa.sa.gov.au/record=b2231089")</f>
        <v>https://www.catalog.slsa.sa.gov.au/record=b2231089</v>
      </c>
      <c r="C11455" s="1" t="str">
        <f>HYPERLINK("https://www.catalog.slsa.sa.gov.au/xrecord=b2231089")</f>
        <v>https://www.catalog.slsa.sa.gov.au/xrecord=b2231089</v>
      </c>
      <c r="D11455" t="s">
        <v>31902</v>
      </c>
      <c r="E11455" t="s">
        <v>34990</v>
      </c>
      <c r="F11455">
        <v>2001</v>
      </c>
      <c r="G11455" t="s">
        <v>33690</v>
      </c>
      <c r="H11455" t="s">
        <v>34991</v>
      </c>
      <c r="J11455" t="s">
        <v>14768</v>
      </c>
      <c r="K11455" s="2" t="str">
        <f>HYPERLINK("http://collections.slsa.sa.gov.au/mpcimg/69500/B69282_184.htm")</f>
        <v>http://collections.slsa.sa.gov.au/mpcimg/69500/B69282_184.htm</v>
      </c>
    </row>
    <row r="11456" spans="1:11" x14ac:dyDescent="0.25">
      <c r="A11456" t="s">
        <v>34992</v>
      </c>
      <c r="B11456" s="1" t="str">
        <f>HYPERLINK("https://www.catalog.slsa.sa.gov.au/record=b2231095")</f>
        <v>https://www.catalog.slsa.sa.gov.au/record=b2231095</v>
      </c>
      <c r="C11456" s="1" t="str">
        <f>HYPERLINK("https://www.catalog.slsa.sa.gov.au/xrecord=b2231095")</f>
        <v>https://www.catalog.slsa.sa.gov.au/xrecord=b2231095</v>
      </c>
      <c r="D11456" t="s">
        <v>31902</v>
      </c>
      <c r="E11456" t="s">
        <v>34993</v>
      </c>
      <c r="F11456">
        <v>2001</v>
      </c>
      <c r="G11456" t="s">
        <v>33690</v>
      </c>
      <c r="H11456" t="s">
        <v>34994</v>
      </c>
      <c r="J11456" t="s">
        <v>14768</v>
      </c>
      <c r="K11456" s="2" t="str">
        <f>HYPERLINK("http://collections.slsa.sa.gov.au/mpcimg/69500/B69282_185.htm")</f>
        <v>http://collections.slsa.sa.gov.au/mpcimg/69500/B69282_185.htm</v>
      </c>
    </row>
    <row r="11457" spans="1:11" x14ac:dyDescent="0.25">
      <c r="A11457" t="s">
        <v>34995</v>
      </c>
      <c r="B11457" s="1" t="str">
        <f>HYPERLINK("https://www.catalog.slsa.sa.gov.au/record=b2231096")</f>
        <v>https://www.catalog.slsa.sa.gov.au/record=b2231096</v>
      </c>
      <c r="C11457" s="1" t="str">
        <f>HYPERLINK("https://www.catalog.slsa.sa.gov.au/xrecord=b2231096")</f>
        <v>https://www.catalog.slsa.sa.gov.au/xrecord=b2231096</v>
      </c>
      <c r="D11457" t="s">
        <v>31902</v>
      </c>
      <c r="E11457" t="s">
        <v>34993</v>
      </c>
      <c r="F11457">
        <v>2001</v>
      </c>
      <c r="G11457" t="s">
        <v>33690</v>
      </c>
      <c r="H11457" t="s">
        <v>34996</v>
      </c>
      <c r="J11457" t="s">
        <v>14768</v>
      </c>
      <c r="K11457" s="2" t="str">
        <f>HYPERLINK("http://collections.slsa.sa.gov.au/mpcimg/69500/B69282_186.htm")</f>
        <v>http://collections.slsa.sa.gov.au/mpcimg/69500/B69282_186.htm</v>
      </c>
    </row>
    <row r="11458" spans="1:11" x14ac:dyDescent="0.25">
      <c r="A11458" t="s">
        <v>34997</v>
      </c>
      <c r="B11458" s="1" t="str">
        <f>HYPERLINK("https://www.catalog.slsa.sa.gov.au/record=b2231098")</f>
        <v>https://www.catalog.slsa.sa.gov.au/record=b2231098</v>
      </c>
      <c r="C11458" s="1" t="str">
        <f>HYPERLINK("https://www.catalog.slsa.sa.gov.au/xrecord=b2231098")</f>
        <v>https://www.catalog.slsa.sa.gov.au/xrecord=b2231098</v>
      </c>
      <c r="D11458" t="s">
        <v>31902</v>
      </c>
      <c r="E11458" t="s">
        <v>34993</v>
      </c>
      <c r="F11458">
        <v>2001</v>
      </c>
      <c r="G11458" t="s">
        <v>33690</v>
      </c>
      <c r="H11458" t="s">
        <v>34994</v>
      </c>
      <c r="J11458" t="s">
        <v>14768</v>
      </c>
      <c r="K11458" s="2" t="str">
        <f>HYPERLINK("http://collections.slsa.sa.gov.au/mpcimg/69500/B69282_187.htm")</f>
        <v>http://collections.slsa.sa.gov.au/mpcimg/69500/B69282_187.htm</v>
      </c>
    </row>
    <row r="11459" spans="1:11" x14ac:dyDescent="0.25">
      <c r="A11459" t="s">
        <v>34998</v>
      </c>
      <c r="B11459" s="1" t="str">
        <f>HYPERLINK("https://www.catalog.slsa.sa.gov.au/record=b2115130")</f>
        <v>https://www.catalog.slsa.sa.gov.au/record=b2115130</v>
      </c>
      <c r="C11459" s="1" t="str">
        <f>HYPERLINK("https://www.catalog.slsa.sa.gov.au/xrecord=b2115130")</f>
        <v>https://www.catalog.slsa.sa.gov.au/xrecord=b2115130</v>
      </c>
      <c r="D11459" t="s">
        <v>16831</v>
      </c>
      <c r="E11459" t="s">
        <v>34999</v>
      </c>
      <c r="F11459">
        <v>2002</v>
      </c>
      <c r="G11459" t="s">
        <v>35000</v>
      </c>
      <c r="H11459" t="s">
        <v>35001</v>
      </c>
      <c r="I11459" t="s">
        <v>35002</v>
      </c>
      <c r="J11459" t="s">
        <v>33542</v>
      </c>
      <c r="K11459" s="2" t="str">
        <f>HYPERLINK("http://collections.slsa.sa.gov.au/mpcimg/70250/B70242.htm")</f>
        <v>http://collections.slsa.sa.gov.au/mpcimg/70250/B70242.htm</v>
      </c>
    </row>
    <row r="11460" spans="1:11" x14ac:dyDescent="0.25">
      <c r="A11460" t="s">
        <v>35003</v>
      </c>
      <c r="B11460" s="1" t="str">
        <f>HYPERLINK("https://www.catalog.slsa.sa.gov.au/record=b2115131")</f>
        <v>https://www.catalog.slsa.sa.gov.au/record=b2115131</v>
      </c>
      <c r="C11460" s="1" t="str">
        <f>HYPERLINK("https://www.catalog.slsa.sa.gov.au/xrecord=b2115131")</f>
        <v>https://www.catalog.slsa.sa.gov.au/xrecord=b2115131</v>
      </c>
      <c r="D11460" t="s">
        <v>16831</v>
      </c>
      <c r="E11460" t="s">
        <v>34999</v>
      </c>
      <c r="F11460">
        <v>2002</v>
      </c>
      <c r="G11460" t="s">
        <v>35000</v>
      </c>
      <c r="H11460" t="s">
        <v>35001</v>
      </c>
      <c r="I11460" t="s">
        <v>35002</v>
      </c>
      <c r="J11460" t="s">
        <v>33542</v>
      </c>
      <c r="K11460" s="2" t="str">
        <f>HYPERLINK("http://collections.slsa.sa.gov.au/mpcimg/70250/B70243.htm")</f>
        <v>http://collections.slsa.sa.gov.au/mpcimg/70250/B70243.htm</v>
      </c>
    </row>
    <row r="11461" spans="1:11" x14ac:dyDescent="0.25">
      <c r="A11461" t="s">
        <v>35004</v>
      </c>
      <c r="B11461" s="1" t="str">
        <f>HYPERLINK("https://www.catalog.slsa.sa.gov.au/record=b2115132")</f>
        <v>https://www.catalog.slsa.sa.gov.au/record=b2115132</v>
      </c>
      <c r="C11461" s="1" t="str">
        <f>HYPERLINK("https://www.catalog.slsa.sa.gov.au/xrecord=b2115132")</f>
        <v>https://www.catalog.slsa.sa.gov.au/xrecord=b2115132</v>
      </c>
      <c r="D11461" t="s">
        <v>16831</v>
      </c>
      <c r="E11461" t="s">
        <v>34999</v>
      </c>
      <c r="F11461">
        <v>2002</v>
      </c>
      <c r="G11461" t="s">
        <v>35000</v>
      </c>
      <c r="H11461" t="s">
        <v>35001</v>
      </c>
      <c r="I11461" t="s">
        <v>35002</v>
      </c>
      <c r="J11461" t="s">
        <v>33542</v>
      </c>
      <c r="K11461" s="2" t="str">
        <f>HYPERLINK("http://collections.slsa.sa.gov.au/mpcimg/70250/B70244.htm")</f>
        <v>http://collections.slsa.sa.gov.au/mpcimg/70250/B70244.htm</v>
      </c>
    </row>
    <row r="11462" spans="1:11" x14ac:dyDescent="0.25">
      <c r="A11462" t="s">
        <v>35005</v>
      </c>
      <c r="B11462" s="1" t="str">
        <f>HYPERLINK("https://www.catalog.slsa.sa.gov.au/record=b2231100")</f>
        <v>https://www.catalog.slsa.sa.gov.au/record=b2231100</v>
      </c>
      <c r="C11462" s="1" t="str">
        <f>HYPERLINK("https://www.catalog.slsa.sa.gov.au/xrecord=b2231100")</f>
        <v>https://www.catalog.slsa.sa.gov.au/xrecord=b2231100</v>
      </c>
      <c r="D11462" t="s">
        <v>31902</v>
      </c>
      <c r="E11462" t="s">
        <v>35006</v>
      </c>
      <c r="F11462">
        <v>2002</v>
      </c>
      <c r="G11462" t="s">
        <v>33690</v>
      </c>
      <c r="H11462" t="s">
        <v>35007</v>
      </c>
      <c r="J11462" t="s">
        <v>14768</v>
      </c>
      <c r="K11462" s="2" t="str">
        <f>HYPERLINK("http://collections.slsa.sa.gov.au/mpcimg/69500/B69282_188.htm")</f>
        <v>http://collections.slsa.sa.gov.au/mpcimg/69500/B69282_188.htm</v>
      </c>
    </row>
    <row r="11463" spans="1:11" x14ac:dyDescent="0.25">
      <c r="A11463" t="s">
        <v>35008</v>
      </c>
      <c r="B11463" s="1" t="str">
        <f>HYPERLINK("https://www.catalog.slsa.sa.gov.au/record=b2231101")</f>
        <v>https://www.catalog.slsa.sa.gov.au/record=b2231101</v>
      </c>
      <c r="C11463" s="1" t="str">
        <f>HYPERLINK("https://www.catalog.slsa.sa.gov.au/xrecord=b2231101")</f>
        <v>https://www.catalog.slsa.sa.gov.au/xrecord=b2231101</v>
      </c>
      <c r="D11463" t="s">
        <v>31902</v>
      </c>
      <c r="E11463" t="s">
        <v>35009</v>
      </c>
      <c r="F11463">
        <v>2002</v>
      </c>
      <c r="G11463" t="s">
        <v>33690</v>
      </c>
      <c r="H11463" t="s">
        <v>35010</v>
      </c>
      <c r="J11463" t="s">
        <v>14768</v>
      </c>
      <c r="K11463" s="2" t="str">
        <f>HYPERLINK("http://collections.slsa.sa.gov.au/mpcimg/69500/B69282_189.htm")</f>
        <v>http://collections.slsa.sa.gov.au/mpcimg/69500/B69282_189.htm</v>
      </c>
    </row>
    <row r="11464" spans="1:11" x14ac:dyDescent="0.25">
      <c r="A11464" t="s">
        <v>35011</v>
      </c>
      <c r="B11464" s="1" t="str">
        <f>HYPERLINK("https://www.catalog.slsa.sa.gov.au/record=b2231630")</f>
        <v>https://www.catalog.slsa.sa.gov.au/record=b2231630</v>
      </c>
      <c r="C11464" s="1" t="str">
        <f>HYPERLINK("https://www.catalog.slsa.sa.gov.au/xrecord=b2231630")</f>
        <v>https://www.catalog.slsa.sa.gov.au/xrecord=b2231630</v>
      </c>
      <c r="D11464" t="s">
        <v>31902</v>
      </c>
      <c r="E11464" t="s">
        <v>35012</v>
      </c>
      <c r="F11464">
        <v>2002</v>
      </c>
      <c r="G11464" t="s">
        <v>33690</v>
      </c>
      <c r="H11464" t="s">
        <v>35013</v>
      </c>
      <c r="J11464" t="s">
        <v>14768</v>
      </c>
      <c r="K11464" s="2" t="str">
        <f>HYPERLINK("http://collections.slsa.sa.gov.au/mpcimg/69500/B69282_190.htm")</f>
        <v>http://collections.slsa.sa.gov.au/mpcimg/69500/B69282_190.htm</v>
      </c>
    </row>
    <row r="11465" spans="1:11" x14ac:dyDescent="0.25">
      <c r="A11465" t="s">
        <v>35014</v>
      </c>
      <c r="B11465" s="1" t="str">
        <f>HYPERLINK("https://www.catalog.slsa.sa.gov.au/record=b2231633")</f>
        <v>https://www.catalog.slsa.sa.gov.au/record=b2231633</v>
      </c>
      <c r="C11465" s="1" t="str">
        <f>HYPERLINK("https://www.catalog.slsa.sa.gov.au/xrecord=b2231633")</f>
        <v>https://www.catalog.slsa.sa.gov.au/xrecord=b2231633</v>
      </c>
      <c r="D11465" t="s">
        <v>31902</v>
      </c>
      <c r="E11465" t="s">
        <v>35015</v>
      </c>
      <c r="F11465">
        <v>2002</v>
      </c>
      <c r="G11465" t="s">
        <v>33690</v>
      </c>
      <c r="H11465" t="s">
        <v>35016</v>
      </c>
      <c r="J11465" t="s">
        <v>14768</v>
      </c>
      <c r="K11465" s="2" t="str">
        <f>HYPERLINK("http://collections.slsa.sa.gov.au/mpcimg/69500/B69282_191.htm")</f>
        <v>http://collections.slsa.sa.gov.au/mpcimg/69500/B69282_191.htm</v>
      </c>
    </row>
    <row r="11466" spans="1:11" x14ac:dyDescent="0.25">
      <c r="A11466" t="s">
        <v>35017</v>
      </c>
      <c r="B11466" s="1" t="str">
        <f>HYPERLINK("https://www.catalog.slsa.sa.gov.au/record=b2231636")</f>
        <v>https://www.catalog.slsa.sa.gov.au/record=b2231636</v>
      </c>
      <c r="C11466" s="1" t="str">
        <f>HYPERLINK("https://www.catalog.slsa.sa.gov.au/xrecord=b2231636")</f>
        <v>https://www.catalog.slsa.sa.gov.au/xrecord=b2231636</v>
      </c>
      <c r="D11466" t="s">
        <v>31902</v>
      </c>
      <c r="E11466" t="s">
        <v>35018</v>
      </c>
      <c r="F11466">
        <v>2002</v>
      </c>
      <c r="G11466" t="s">
        <v>18310</v>
      </c>
      <c r="H11466" t="s">
        <v>35019</v>
      </c>
      <c r="J11466" t="s">
        <v>14768</v>
      </c>
      <c r="K11466" s="2" t="str">
        <f>HYPERLINK("http://collections.slsa.sa.gov.au/mpcimg/69500/B69282_192.htm")</f>
        <v>http://collections.slsa.sa.gov.au/mpcimg/69500/B69282_192.htm</v>
      </c>
    </row>
    <row r="11467" spans="1:11" x14ac:dyDescent="0.25">
      <c r="A11467" t="s">
        <v>35020</v>
      </c>
      <c r="B11467" s="1" t="str">
        <f>HYPERLINK("https://www.catalog.slsa.sa.gov.au/record=b2231637")</f>
        <v>https://www.catalog.slsa.sa.gov.au/record=b2231637</v>
      </c>
      <c r="C11467" s="1" t="str">
        <f>HYPERLINK("https://www.catalog.slsa.sa.gov.au/xrecord=b2231637")</f>
        <v>https://www.catalog.slsa.sa.gov.au/xrecord=b2231637</v>
      </c>
      <c r="D11467" t="s">
        <v>31902</v>
      </c>
      <c r="E11467" t="s">
        <v>35018</v>
      </c>
      <c r="F11467">
        <v>2002</v>
      </c>
      <c r="G11467" t="s">
        <v>33690</v>
      </c>
      <c r="H11467" t="s">
        <v>35021</v>
      </c>
      <c r="J11467" t="s">
        <v>14768</v>
      </c>
      <c r="K11467" s="2" t="str">
        <f>HYPERLINK("http://collections.slsa.sa.gov.au/mpcimg/69500/B69282_193.htm")</f>
        <v>http://collections.slsa.sa.gov.au/mpcimg/69500/B69282_193.htm</v>
      </c>
    </row>
    <row r="11468" spans="1:11" x14ac:dyDescent="0.25">
      <c r="A11468" t="s">
        <v>35022</v>
      </c>
      <c r="B11468" s="1" t="str">
        <f>HYPERLINK("https://www.catalog.slsa.sa.gov.au/record=b2231639")</f>
        <v>https://www.catalog.slsa.sa.gov.au/record=b2231639</v>
      </c>
      <c r="C11468" s="1" t="str">
        <f>HYPERLINK("https://www.catalog.slsa.sa.gov.au/xrecord=b2231639")</f>
        <v>https://www.catalog.slsa.sa.gov.au/xrecord=b2231639</v>
      </c>
      <c r="D11468" t="s">
        <v>31902</v>
      </c>
      <c r="E11468" t="s">
        <v>35018</v>
      </c>
      <c r="F11468">
        <v>2002</v>
      </c>
      <c r="G11468" t="s">
        <v>33690</v>
      </c>
      <c r="H11468" t="s">
        <v>35023</v>
      </c>
      <c r="J11468" t="s">
        <v>14768</v>
      </c>
      <c r="K11468" s="2" t="str">
        <f>HYPERLINK("http://collections.slsa.sa.gov.au/mpcimg/69500/B69282_194.htm")</f>
        <v>http://collections.slsa.sa.gov.au/mpcimg/69500/B69282_194.htm</v>
      </c>
    </row>
    <row r="11469" spans="1:11" x14ac:dyDescent="0.25">
      <c r="A11469" t="s">
        <v>35024</v>
      </c>
      <c r="B11469" s="1" t="str">
        <f>HYPERLINK("https://www.catalog.slsa.sa.gov.au/record=b2231642")</f>
        <v>https://www.catalog.slsa.sa.gov.au/record=b2231642</v>
      </c>
      <c r="C11469" s="1" t="str">
        <f>HYPERLINK("https://www.catalog.slsa.sa.gov.au/xrecord=b2231642")</f>
        <v>https://www.catalog.slsa.sa.gov.au/xrecord=b2231642</v>
      </c>
      <c r="D11469" t="s">
        <v>31902</v>
      </c>
      <c r="E11469" t="s">
        <v>35018</v>
      </c>
      <c r="F11469">
        <v>2002</v>
      </c>
      <c r="G11469" t="s">
        <v>33690</v>
      </c>
      <c r="H11469" t="s">
        <v>35025</v>
      </c>
      <c r="J11469" t="s">
        <v>14768</v>
      </c>
      <c r="K11469" s="2" t="str">
        <f>HYPERLINK("http://collections.slsa.sa.gov.au/mpcimg/69500/B69282_195.htm")</f>
        <v>http://collections.slsa.sa.gov.au/mpcimg/69500/B69282_195.htm</v>
      </c>
    </row>
    <row r="11470" spans="1:11" x14ac:dyDescent="0.25">
      <c r="A11470" t="s">
        <v>35026</v>
      </c>
      <c r="B11470" s="1" t="str">
        <f>HYPERLINK("https://www.catalog.slsa.sa.gov.au/record=b2231644")</f>
        <v>https://www.catalog.slsa.sa.gov.au/record=b2231644</v>
      </c>
      <c r="C11470" s="1" t="str">
        <f>HYPERLINK("https://www.catalog.slsa.sa.gov.au/xrecord=b2231644")</f>
        <v>https://www.catalog.slsa.sa.gov.au/xrecord=b2231644</v>
      </c>
      <c r="D11470" t="s">
        <v>31902</v>
      </c>
      <c r="E11470" t="s">
        <v>35018</v>
      </c>
      <c r="F11470">
        <v>2002</v>
      </c>
      <c r="G11470" t="s">
        <v>33690</v>
      </c>
      <c r="H11470" t="s">
        <v>35027</v>
      </c>
      <c r="J11470" t="s">
        <v>14768</v>
      </c>
      <c r="K11470" s="2" t="str">
        <f>HYPERLINK("http://collections.slsa.sa.gov.au/mpcimg/69500/B69282_196.htm")</f>
        <v>http://collections.slsa.sa.gov.au/mpcimg/69500/B69282_196.htm</v>
      </c>
    </row>
    <row r="11471" spans="1:11" x14ac:dyDescent="0.25">
      <c r="A11471" t="s">
        <v>35028</v>
      </c>
      <c r="B11471" s="1" t="str">
        <f>HYPERLINK("https://www.catalog.slsa.sa.gov.au/record=b2231645")</f>
        <v>https://www.catalog.slsa.sa.gov.au/record=b2231645</v>
      </c>
      <c r="C11471" s="1" t="str">
        <f>HYPERLINK("https://www.catalog.slsa.sa.gov.au/xrecord=b2231645")</f>
        <v>https://www.catalog.slsa.sa.gov.au/xrecord=b2231645</v>
      </c>
      <c r="D11471" t="s">
        <v>31902</v>
      </c>
      <c r="E11471" t="s">
        <v>35018</v>
      </c>
      <c r="F11471">
        <v>2002</v>
      </c>
      <c r="G11471" t="s">
        <v>33690</v>
      </c>
      <c r="H11471" t="s">
        <v>35029</v>
      </c>
      <c r="J11471" t="s">
        <v>14768</v>
      </c>
      <c r="K11471" s="2" t="str">
        <f>HYPERLINK("http://collections.slsa.sa.gov.au/mpcimg/69500/B69282_197.htm")</f>
        <v>http://collections.slsa.sa.gov.au/mpcimg/69500/B69282_197.htm</v>
      </c>
    </row>
    <row r="11472" spans="1:11" x14ac:dyDescent="0.25">
      <c r="A11472" t="s">
        <v>35030</v>
      </c>
      <c r="B11472" s="1" t="str">
        <f>HYPERLINK("https://www.catalog.slsa.sa.gov.au/record=b2231656")</f>
        <v>https://www.catalog.slsa.sa.gov.au/record=b2231656</v>
      </c>
      <c r="C11472" s="1" t="str">
        <f>HYPERLINK("https://www.catalog.slsa.sa.gov.au/xrecord=b2231656")</f>
        <v>https://www.catalog.slsa.sa.gov.au/xrecord=b2231656</v>
      </c>
      <c r="D11472" t="s">
        <v>31902</v>
      </c>
      <c r="E11472" t="s">
        <v>35018</v>
      </c>
      <c r="F11472">
        <v>2002</v>
      </c>
      <c r="G11472" t="s">
        <v>33690</v>
      </c>
      <c r="H11472" t="s">
        <v>35031</v>
      </c>
      <c r="J11472" t="s">
        <v>14768</v>
      </c>
      <c r="K11472" s="2" t="str">
        <f>HYPERLINK("http://collections.slsa.sa.gov.au/mpcimg/69500/B69282_198.htm")</f>
        <v>http://collections.slsa.sa.gov.au/mpcimg/69500/B69282_198.htm</v>
      </c>
    </row>
    <row r="11473" spans="1:11" x14ac:dyDescent="0.25">
      <c r="A11473" t="s">
        <v>35032</v>
      </c>
      <c r="B11473" s="1" t="str">
        <f>HYPERLINK("https://www.catalog.slsa.sa.gov.au/record=b2231657")</f>
        <v>https://www.catalog.slsa.sa.gov.au/record=b2231657</v>
      </c>
      <c r="C11473" s="1" t="str">
        <f>HYPERLINK("https://www.catalog.slsa.sa.gov.au/xrecord=b2231657")</f>
        <v>https://www.catalog.slsa.sa.gov.au/xrecord=b2231657</v>
      </c>
      <c r="D11473" t="s">
        <v>31902</v>
      </c>
      <c r="E11473" t="s">
        <v>35018</v>
      </c>
      <c r="F11473">
        <v>2002</v>
      </c>
      <c r="G11473" t="s">
        <v>33690</v>
      </c>
      <c r="H11473" t="s">
        <v>35033</v>
      </c>
      <c r="J11473" t="s">
        <v>14768</v>
      </c>
      <c r="K11473" s="2" t="str">
        <f>HYPERLINK("http://collections.slsa.sa.gov.au/mpcimg/69500/B69282_199.htm")</f>
        <v>http://collections.slsa.sa.gov.au/mpcimg/69500/B69282_199.htm</v>
      </c>
    </row>
    <row r="11474" spans="1:11" x14ac:dyDescent="0.25">
      <c r="A11474" t="s">
        <v>35034</v>
      </c>
      <c r="B11474" s="1" t="str">
        <f>HYPERLINK("https://www.catalog.slsa.sa.gov.au/record=b2231781")</f>
        <v>https://www.catalog.slsa.sa.gov.au/record=b2231781</v>
      </c>
      <c r="C11474" s="1" t="str">
        <f>HYPERLINK("https://www.catalog.slsa.sa.gov.au/xrecord=b2231781")</f>
        <v>https://www.catalog.slsa.sa.gov.au/xrecord=b2231781</v>
      </c>
      <c r="D11474" t="s">
        <v>31902</v>
      </c>
      <c r="E11474" t="s">
        <v>35018</v>
      </c>
      <c r="F11474">
        <v>2002</v>
      </c>
      <c r="G11474" t="s">
        <v>33690</v>
      </c>
      <c r="H11474" t="s">
        <v>35035</v>
      </c>
      <c r="J11474" t="s">
        <v>14768</v>
      </c>
      <c r="K11474" s="2" t="str">
        <f>HYPERLINK("http://collections.slsa.sa.gov.au/mpcimg/69500/B69282_200.htm")</f>
        <v>http://collections.slsa.sa.gov.au/mpcimg/69500/B69282_200.htm</v>
      </c>
    </row>
    <row r="11475" spans="1:11" x14ac:dyDescent="0.25">
      <c r="A11475" t="s">
        <v>35036</v>
      </c>
      <c r="B11475" s="1" t="str">
        <f>HYPERLINK("https://www.catalog.slsa.sa.gov.au/record=b2231788")</f>
        <v>https://www.catalog.slsa.sa.gov.au/record=b2231788</v>
      </c>
      <c r="C11475" s="1" t="str">
        <f>HYPERLINK("https://www.catalog.slsa.sa.gov.au/xrecord=b2231788")</f>
        <v>https://www.catalog.slsa.sa.gov.au/xrecord=b2231788</v>
      </c>
      <c r="D11475" t="s">
        <v>31902</v>
      </c>
      <c r="E11475" t="s">
        <v>35037</v>
      </c>
      <c r="F11475">
        <v>2002</v>
      </c>
      <c r="G11475" t="s">
        <v>33690</v>
      </c>
      <c r="H11475" t="s">
        <v>35038</v>
      </c>
      <c r="J11475" t="s">
        <v>14768</v>
      </c>
      <c r="K11475" s="2" t="str">
        <f>HYPERLINK("http://collections.slsa.sa.gov.au/mpcimg/69500/B69282_201.htm")</f>
        <v>http://collections.slsa.sa.gov.au/mpcimg/69500/B69282_201.htm</v>
      </c>
    </row>
    <row r="11476" spans="1:11" x14ac:dyDescent="0.25">
      <c r="A11476" t="s">
        <v>35039</v>
      </c>
      <c r="B11476" s="1" t="str">
        <f>HYPERLINK("https://www.catalog.slsa.sa.gov.au/record=b2231794")</f>
        <v>https://www.catalog.slsa.sa.gov.au/record=b2231794</v>
      </c>
      <c r="C11476" s="1" t="str">
        <f>HYPERLINK("https://www.catalog.slsa.sa.gov.au/xrecord=b2231794")</f>
        <v>https://www.catalog.slsa.sa.gov.au/xrecord=b2231794</v>
      </c>
      <c r="D11476" t="s">
        <v>31902</v>
      </c>
      <c r="E11476" t="s">
        <v>35037</v>
      </c>
      <c r="F11476">
        <v>2002</v>
      </c>
      <c r="G11476" t="s">
        <v>33690</v>
      </c>
      <c r="H11476" t="s">
        <v>35040</v>
      </c>
      <c r="J11476" t="s">
        <v>14768</v>
      </c>
      <c r="K11476" s="2" t="str">
        <f>HYPERLINK("http://collections.slsa.sa.gov.au/mpcimg/69500/B69282_202.htm")</f>
        <v>http://collections.slsa.sa.gov.au/mpcimg/69500/B69282_202.htm</v>
      </c>
    </row>
    <row r="11477" spans="1:11" x14ac:dyDescent="0.25">
      <c r="A11477" t="s">
        <v>35041</v>
      </c>
      <c r="B11477" s="1" t="str">
        <f>HYPERLINK("https://www.catalog.slsa.sa.gov.au/record=b2231798")</f>
        <v>https://www.catalog.slsa.sa.gov.au/record=b2231798</v>
      </c>
      <c r="C11477" s="1" t="str">
        <f>HYPERLINK("https://www.catalog.slsa.sa.gov.au/xrecord=b2231798")</f>
        <v>https://www.catalog.slsa.sa.gov.au/xrecord=b2231798</v>
      </c>
      <c r="D11477" t="s">
        <v>31902</v>
      </c>
      <c r="E11477" t="s">
        <v>35037</v>
      </c>
      <c r="F11477">
        <v>2002</v>
      </c>
      <c r="G11477" t="s">
        <v>33690</v>
      </c>
      <c r="H11477" t="s">
        <v>35042</v>
      </c>
      <c r="J11477" t="s">
        <v>14768</v>
      </c>
      <c r="K11477" s="2" t="str">
        <f>HYPERLINK("http://collections.slsa.sa.gov.au/mpcimg/69500/B69282_203.htm")</f>
        <v>http://collections.slsa.sa.gov.au/mpcimg/69500/B69282_203.htm</v>
      </c>
    </row>
    <row r="11478" spans="1:11" x14ac:dyDescent="0.25">
      <c r="A11478" t="s">
        <v>35043</v>
      </c>
      <c r="B11478" s="1" t="str">
        <f>HYPERLINK("https://www.catalog.slsa.sa.gov.au/record=b2231800")</f>
        <v>https://www.catalog.slsa.sa.gov.au/record=b2231800</v>
      </c>
      <c r="C11478" s="1" t="str">
        <f>HYPERLINK("https://www.catalog.slsa.sa.gov.au/xrecord=b2231800")</f>
        <v>https://www.catalog.slsa.sa.gov.au/xrecord=b2231800</v>
      </c>
      <c r="D11478" t="s">
        <v>31902</v>
      </c>
      <c r="E11478" t="s">
        <v>35037</v>
      </c>
      <c r="F11478">
        <v>2002</v>
      </c>
      <c r="G11478" t="s">
        <v>33690</v>
      </c>
      <c r="H11478" t="s">
        <v>35044</v>
      </c>
      <c r="J11478" t="s">
        <v>14768</v>
      </c>
      <c r="K11478" s="2" t="str">
        <f>HYPERLINK("http://collections.slsa.sa.gov.au/mpcimg/69500/B69282_204.htm")</f>
        <v>http://collections.slsa.sa.gov.au/mpcimg/69500/B69282_204.htm</v>
      </c>
    </row>
    <row r="11479" spans="1:11" x14ac:dyDescent="0.25">
      <c r="A11479" t="s">
        <v>35045</v>
      </c>
      <c r="B11479" s="1" t="str">
        <f>HYPERLINK("https://www.catalog.slsa.sa.gov.au/record=b2231945")</f>
        <v>https://www.catalog.slsa.sa.gov.au/record=b2231945</v>
      </c>
      <c r="C11479" s="1" t="str">
        <f>HYPERLINK("https://www.catalog.slsa.sa.gov.au/xrecord=b2231945")</f>
        <v>https://www.catalog.slsa.sa.gov.au/xrecord=b2231945</v>
      </c>
      <c r="D11479" t="s">
        <v>31902</v>
      </c>
      <c r="E11479" t="s">
        <v>35037</v>
      </c>
      <c r="F11479">
        <v>2002</v>
      </c>
      <c r="G11479" t="s">
        <v>33690</v>
      </c>
      <c r="H11479" t="s">
        <v>35046</v>
      </c>
      <c r="J11479" t="s">
        <v>14768</v>
      </c>
      <c r="K11479" s="2" t="str">
        <f>HYPERLINK("http://collections.slsa.sa.gov.au/mpcimg/69500/B69282_205.htm")</f>
        <v>http://collections.slsa.sa.gov.au/mpcimg/69500/B69282_205.htm</v>
      </c>
    </row>
    <row r="11480" spans="1:11" x14ac:dyDescent="0.25">
      <c r="A11480" t="s">
        <v>35047</v>
      </c>
      <c r="B11480" s="1" t="str">
        <f>HYPERLINK("https://www.catalog.slsa.sa.gov.au/record=b2231957")</f>
        <v>https://www.catalog.slsa.sa.gov.au/record=b2231957</v>
      </c>
      <c r="C11480" s="1" t="str">
        <f>HYPERLINK("https://www.catalog.slsa.sa.gov.au/xrecord=b2231957")</f>
        <v>https://www.catalog.slsa.sa.gov.au/xrecord=b2231957</v>
      </c>
      <c r="D11480" t="s">
        <v>31902</v>
      </c>
      <c r="E11480" t="s">
        <v>35037</v>
      </c>
      <c r="F11480">
        <v>2002</v>
      </c>
      <c r="G11480" t="s">
        <v>33690</v>
      </c>
      <c r="H11480" t="s">
        <v>35048</v>
      </c>
      <c r="J11480" t="s">
        <v>14768</v>
      </c>
      <c r="K11480" s="2" t="str">
        <f>HYPERLINK("http://collections.slsa.sa.gov.au/mpcimg/69500/B69282_206.htm")</f>
        <v>http://collections.slsa.sa.gov.au/mpcimg/69500/B69282_206.htm</v>
      </c>
    </row>
    <row r="11481" spans="1:11" x14ac:dyDescent="0.25">
      <c r="A11481" t="s">
        <v>35049</v>
      </c>
      <c r="B11481" s="1" t="str">
        <f>HYPERLINK("https://www.catalog.slsa.sa.gov.au/record=b2231959")</f>
        <v>https://www.catalog.slsa.sa.gov.au/record=b2231959</v>
      </c>
      <c r="C11481" s="1" t="str">
        <f>HYPERLINK("https://www.catalog.slsa.sa.gov.au/xrecord=b2231959")</f>
        <v>https://www.catalog.slsa.sa.gov.au/xrecord=b2231959</v>
      </c>
      <c r="D11481" t="s">
        <v>31902</v>
      </c>
      <c r="E11481" t="s">
        <v>35037</v>
      </c>
      <c r="F11481">
        <v>2002</v>
      </c>
      <c r="G11481" t="s">
        <v>33690</v>
      </c>
      <c r="H11481" t="s">
        <v>35048</v>
      </c>
      <c r="J11481" t="s">
        <v>14768</v>
      </c>
      <c r="K11481" s="2" t="str">
        <f>HYPERLINK("http://collections.slsa.sa.gov.au/mpcimg/69500/B69282_207.htm")</f>
        <v>http://collections.slsa.sa.gov.au/mpcimg/69500/B69282_207.htm</v>
      </c>
    </row>
    <row r="11482" spans="1:11" x14ac:dyDescent="0.25">
      <c r="A11482" t="s">
        <v>35050</v>
      </c>
      <c r="B11482" s="1" t="str">
        <f>HYPERLINK("https://www.catalog.slsa.sa.gov.au/record=b2231960")</f>
        <v>https://www.catalog.slsa.sa.gov.au/record=b2231960</v>
      </c>
      <c r="C11482" s="1" t="str">
        <f>HYPERLINK("https://www.catalog.slsa.sa.gov.au/xrecord=b2231960")</f>
        <v>https://www.catalog.slsa.sa.gov.au/xrecord=b2231960</v>
      </c>
      <c r="D11482" t="s">
        <v>31902</v>
      </c>
      <c r="E11482" t="s">
        <v>35037</v>
      </c>
      <c r="F11482">
        <v>2002</v>
      </c>
      <c r="G11482" t="s">
        <v>33690</v>
      </c>
      <c r="H11482" t="s">
        <v>35051</v>
      </c>
      <c r="J11482" t="s">
        <v>14768</v>
      </c>
      <c r="K11482" s="2" t="str">
        <f>HYPERLINK("http://collections.slsa.sa.gov.au/mpcimg/69500/B69282_208.htm")</f>
        <v>http://collections.slsa.sa.gov.au/mpcimg/69500/B69282_208.htm</v>
      </c>
    </row>
    <row r="11483" spans="1:11" x14ac:dyDescent="0.25">
      <c r="A11483" t="s">
        <v>35052</v>
      </c>
      <c r="B11483" s="1" t="str">
        <f>HYPERLINK("https://www.catalog.slsa.sa.gov.au/record=b2231965")</f>
        <v>https://www.catalog.slsa.sa.gov.au/record=b2231965</v>
      </c>
      <c r="C11483" s="1" t="str">
        <f>HYPERLINK("https://www.catalog.slsa.sa.gov.au/xrecord=b2231965")</f>
        <v>https://www.catalog.slsa.sa.gov.au/xrecord=b2231965</v>
      </c>
      <c r="D11483" t="s">
        <v>31902</v>
      </c>
      <c r="E11483" t="s">
        <v>35037</v>
      </c>
      <c r="F11483">
        <v>2002</v>
      </c>
      <c r="G11483" t="s">
        <v>33690</v>
      </c>
      <c r="H11483" t="s">
        <v>35053</v>
      </c>
      <c r="J11483" t="s">
        <v>14768</v>
      </c>
      <c r="K11483" s="2" t="str">
        <f>HYPERLINK("http://collections.slsa.sa.gov.au/mpcimg/69500/B69282_209.htm")</f>
        <v>http://collections.slsa.sa.gov.au/mpcimg/69500/B69282_209.htm</v>
      </c>
    </row>
    <row r="11484" spans="1:11" x14ac:dyDescent="0.25">
      <c r="A11484" t="s">
        <v>35054</v>
      </c>
      <c r="B11484" s="1" t="str">
        <f>HYPERLINK("https://www.catalog.slsa.sa.gov.au/record=b2231971")</f>
        <v>https://www.catalog.slsa.sa.gov.au/record=b2231971</v>
      </c>
      <c r="C11484" s="1" t="str">
        <f>HYPERLINK("https://www.catalog.slsa.sa.gov.au/xrecord=b2231971")</f>
        <v>https://www.catalog.slsa.sa.gov.au/xrecord=b2231971</v>
      </c>
      <c r="D11484" t="s">
        <v>31902</v>
      </c>
      <c r="E11484" t="s">
        <v>35037</v>
      </c>
      <c r="F11484">
        <v>2002</v>
      </c>
      <c r="G11484" t="s">
        <v>33690</v>
      </c>
      <c r="H11484" t="s">
        <v>35055</v>
      </c>
      <c r="J11484" t="s">
        <v>14768</v>
      </c>
      <c r="K11484" s="2" t="str">
        <f>HYPERLINK("http://collections.slsa.sa.gov.au/mpcimg/69500/B69282_210.htm")</f>
        <v>http://collections.slsa.sa.gov.au/mpcimg/69500/B69282_210.htm</v>
      </c>
    </row>
    <row r="11485" spans="1:11" x14ac:dyDescent="0.25">
      <c r="A11485" t="s">
        <v>35056</v>
      </c>
      <c r="B11485" s="1" t="str">
        <f>HYPERLINK("https://www.catalog.slsa.sa.gov.au/record=b2231980")</f>
        <v>https://www.catalog.slsa.sa.gov.au/record=b2231980</v>
      </c>
      <c r="C11485" s="1" t="str">
        <f>HYPERLINK("https://www.catalog.slsa.sa.gov.au/xrecord=b2231980")</f>
        <v>https://www.catalog.slsa.sa.gov.au/xrecord=b2231980</v>
      </c>
      <c r="D11485" t="s">
        <v>31902</v>
      </c>
      <c r="E11485" t="s">
        <v>35037</v>
      </c>
      <c r="F11485">
        <v>2002</v>
      </c>
      <c r="G11485" t="s">
        <v>33690</v>
      </c>
      <c r="H11485" t="s">
        <v>35057</v>
      </c>
      <c r="J11485" t="s">
        <v>14768</v>
      </c>
      <c r="K11485" s="2" t="str">
        <f>HYPERLINK("http://collections.slsa.sa.gov.au/mpcimg/69500/B69282_211.htm")</f>
        <v>http://collections.slsa.sa.gov.au/mpcimg/69500/B69282_211.htm</v>
      </c>
    </row>
    <row r="11486" spans="1:11" x14ac:dyDescent="0.25">
      <c r="A11486" t="s">
        <v>35058</v>
      </c>
      <c r="B11486" s="1" t="str">
        <f>HYPERLINK("https://www.catalog.slsa.sa.gov.au/record=b2231982")</f>
        <v>https://www.catalog.slsa.sa.gov.au/record=b2231982</v>
      </c>
      <c r="C11486" s="1" t="str">
        <f>HYPERLINK("https://www.catalog.slsa.sa.gov.au/xrecord=b2231982")</f>
        <v>https://www.catalog.slsa.sa.gov.au/xrecord=b2231982</v>
      </c>
      <c r="D11486" t="s">
        <v>31902</v>
      </c>
      <c r="E11486" t="s">
        <v>35037</v>
      </c>
      <c r="F11486">
        <v>2002</v>
      </c>
      <c r="G11486" t="s">
        <v>33690</v>
      </c>
      <c r="H11486" t="s">
        <v>35059</v>
      </c>
      <c r="J11486" t="s">
        <v>14768</v>
      </c>
      <c r="K11486" s="2" t="str">
        <f>HYPERLINK("http://collections.slsa.sa.gov.au/mpcimg/69500/B69282_212.htm")</f>
        <v>http://collections.slsa.sa.gov.au/mpcimg/69500/B69282_212.htm</v>
      </c>
    </row>
    <row r="11487" spans="1:11" x14ac:dyDescent="0.25">
      <c r="A11487" t="s">
        <v>35060</v>
      </c>
      <c r="B11487" s="1" t="str">
        <f>HYPERLINK("https://www.catalog.slsa.sa.gov.au/record=b2231984")</f>
        <v>https://www.catalog.slsa.sa.gov.au/record=b2231984</v>
      </c>
      <c r="C11487" s="1" t="str">
        <f>HYPERLINK("https://www.catalog.slsa.sa.gov.au/xrecord=b2231984")</f>
        <v>https://www.catalog.slsa.sa.gov.au/xrecord=b2231984</v>
      </c>
      <c r="D11487" t="s">
        <v>31902</v>
      </c>
      <c r="E11487" t="s">
        <v>35037</v>
      </c>
      <c r="F11487">
        <v>2002</v>
      </c>
      <c r="G11487" t="s">
        <v>33690</v>
      </c>
      <c r="H11487" t="s">
        <v>35061</v>
      </c>
      <c r="J11487" t="s">
        <v>14768</v>
      </c>
      <c r="K11487" s="2" t="str">
        <f>HYPERLINK("http://collections.slsa.sa.gov.au/mpcimg/69500/B69282_213.htm")</f>
        <v>http://collections.slsa.sa.gov.au/mpcimg/69500/B69282_213.htm</v>
      </c>
    </row>
    <row r="11488" spans="1:11" x14ac:dyDescent="0.25">
      <c r="A11488" t="s">
        <v>35062</v>
      </c>
      <c r="B11488" s="1" t="str">
        <f>HYPERLINK("https://www.catalog.slsa.sa.gov.au/record=b2231986")</f>
        <v>https://www.catalog.slsa.sa.gov.au/record=b2231986</v>
      </c>
      <c r="C11488" s="1" t="str">
        <f>HYPERLINK("https://www.catalog.slsa.sa.gov.au/xrecord=b2231986")</f>
        <v>https://www.catalog.slsa.sa.gov.au/xrecord=b2231986</v>
      </c>
      <c r="D11488" t="s">
        <v>31902</v>
      </c>
      <c r="E11488" t="s">
        <v>35037</v>
      </c>
      <c r="F11488">
        <v>2002</v>
      </c>
      <c r="G11488" t="s">
        <v>33690</v>
      </c>
      <c r="H11488" t="s">
        <v>35063</v>
      </c>
      <c r="J11488" t="s">
        <v>14768</v>
      </c>
      <c r="K11488" s="2" t="str">
        <f>HYPERLINK("http://collections.slsa.sa.gov.au/mpcimg/69500/B69282_214.htm")</f>
        <v>http://collections.slsa.sa.gov.au/mpcimg/69500/B69282_214.htm</v>
      </c>
    </row>
    <row r="11489" spans="1:11" x14ac:dyDescent="0.25">
      <c r="A11489" t="s">
        <v>35064</v>
      </c>
      <c r="B11489" s="1" t="str">
        <f>HYPERLINK("https://www.catalog.slsa.sa.gov.au/record=b2231988")</f>
        <v>https://www.catalog.slsa.sa.gov.au/record=b2231988</v>
      </c>
      <c r="C11489" s="1" t="str">
        <f>HYPERLINK("https://www.catalog.slsa.sa.gov.au/xrecord=b2231988")</f>
        <v>https://www.catalog.slsa.sa.gov.au/xrecord=b2231988</v>
      </c>
      <c r="D11489" t="s">
        <v>31902</v>
      </c>
      <c r="E11489" t="s">
        <v>35037</v>
      </c>
      <c r="F11489">
        <v>2002</v>
      </c>
      <c r="G11489" t="s">
        <v>33690</v>
      </c>
      <c r="H11489" t="s">
        <v>35065</v>
      </c>
      <c r="J11489" t="s">
        <v>14768</v>
      </c>
      <c r="K11489" s="2" t="str">
        <f>HYPERLINK("http://collections.slsa.sa.gov.au/mpcimg/69500/B69282_215.htm")</f>
        <v>http://collections.slsa.sa.gov.au/mpcimg/69500/B69282_215.htm</v>
      </c>
    </row>
    <row r="11490" spans="1:11" x14ac:dyDescent="0.25">
      <c r="A11490" t="s">
        <v>35066</v>
      </c>
      <c r="B11490" s="1" t="str">
        <f>HYPERLINK("https://www.catalog.slsa.sa.gov.au/record=b2231989")</f>
        <v>https://www.catalog.slsa.sa.gov.au/record=b2231989</v>
      </c>
      <c r="C11490" s="1" t="str">
        <f>HYPERLINK("https://www.catalog.slsa.sa.gov.au/xrecord=b2231989")</f>
        <v>https://www.catalog.slsa.sa.gov.au/xrecord=b2231989</v>
      </c>
      <c r="D11490" t="s">
        <v>31902</v>
      </c>
      <c r="E11490" t="s">
        <v>35037</v>
      </c>
      <c r="F11490">
        <v>2002</v>
      </c>
      <c r="G11490" t="s">
        <v>33690</v>
      </c>
      <c r="H11490" t="s">
        <v>35067</v>
      </c>
      <c r="J11490" t="s">
        <v>14768</v>
      </c>
      <c r="K11490" s="2" t="str">
        <f>HYPERLINK("http://collections.slsa.sa.gov.au/mpcimg/69500/B69282_216.htm")</f>
        <v>http://collections.slsa.sa.gov.au/mpcimg/69500/B69282_216.htm</v>
      </c>
    </row>
    <row r="11491" spans="1:11" x14ac:dyDescent="0.25">
      <c r="A11491" t="s">
        <v>35068</v>
      </c>
      <c r="B11491" s="1" t="str">
        <f>HYPERLINK("https://www.catalog.slsa.sa.gov.au/record=b2232303")</f>
        <v>https://www.catalog.slsa.sa.gov.au/record=b2232303</v>
      </c>
      <c r="C11491" s="1" t="str">
        <f>HYPERLINK("https://www.catalog.slsa.sa.gov.au/xrecord=b2232303")</f>
        <v>https://www.catalog.slsa.sa.gov.au/xrecord=b2232303</v>
      </c>
      <c r="D11491" t="s">
        <v>31902</v>
      </c>
      <c r="E11491" t="s">
        <v>35069</v>
      </c>
      <c r="F11491">
        <v>2002</v>
      </c>
      <c r="G11491" t="s">
        <v>33690</v>
      </c>
      <c r="H11491" t="s">
        <v>35070</v>
      </c>
      <c r="J11491" t="s">
        <v>14768</v>
      </c>
      <c r="K11491" s="2" t="str">
        <f>HYPERLINK("http://collections.slsa.sa.gov.au/mpcimg/69500/B69282_217.htm")</f>
        <v>http://collections.slsa.sa.gov.au/mpcimg/69500/B69282_217.htm</v>
      </c>
    </row>
    <row r="11492" spans="1:11" x14ac:dyDescent="0.25">
      <c r="A11492" t="s">
        <v>35071</v>
      </c>
      <c r="B11492" s="1" t="str">
        <f>HYPERLINK("https://www.catalog.slsa.sa.gov.au/record=b2232306")</f>
        <v>https://www.catalog.slsa.sa.gov.au/record=b2232306</v>
      </c>
      <c r="C11492" s="1" t="str">
        <f>HYPERLINK("https://www.catalog.slsa.sa.gov.au/xrecord=b2232306")</f>
        <v>https://www.catalog.slsa.sa.gov.au/xrecord=b2232306</v>
      </c>
      <c r="D11492" t="s">
        <v>31902</v>
      </c>
      <c r="E11492" t="s">
        <v>35069</v>
      </c>
      <c r="F11492">
        <v>2002</v>
      </c>
      <c r="G11492" t="s">
        <v>33690</v>
      </c>
      <c r="H11492" t="s">
        <v>35072</v>
      </c>
      <c r="J11492" t="s">
        <v>14768</v>
      </c>
      <c r="K11492" s="2" t="str">
        <f>HYPERLINK("http://collections.slsa.sa.gov.au/mpcimg/69500/B69282_218.htm")</f>
        <v>http://collections.slsa.sa.gov.au/mpcimg/69500/B69282_218.htm</v>
      </c>
    </row>
    <row r="11493" spans="1:11" x14ac:dyDescent="0.25">
      <c r="A11493" t="s">
        <v>35073</v>
      </c>
      <c r="B11493" s="1" t="str">
        <f>HYPERLINK("https://www.catalog.slsa.sa.gov.au/record=b2233059")</f>
        <v>https://www.catalog.slsa.sa.gov.au/record=b2233059</v>
      </c>
      <c r="C11493" s="1" t="str">
        <f>HYPERLINK("https://www.catalog.slsa.sa.gov.au/xrecord=b2233059")</f>
        <v>https://www.catalog.slsa.sa.gov.au/xrecord=b2233059</v>
      </c>
      <c r="D11493" t="s">
        <v>31902</v>
      </c>
      <c r="E11493" t="s">
        <v>35069</v>
      </c>
      <c r="F11493">
        <v>2002</v>
      </c>
      <c r="G11493" t="s">
        <v>33690</v>
      </c>
      <c r="H11493" t="s">
        <v>35074</v>
      </c>
      <c r="J11493" t="s">
        <v>14768</v>
      </c>
      <c r="K11493" s="2" t="str">
        <f>HYPERLINK("http://collections.slsa.sa.gov.au/mpcimg/69500/B69282_219.htm")</f>
        <v>http://collections.slsa.sa.gov.au/mpcimg/69500/B69282_219.htm</v>
      </c>
    </row>
    <row r="11494" spans="1:11" x14ac:dyDescent="0.25">
      <c r="A11494" t="s">
        <v>35075</v>
      </c>
      <c r="B11494" s="1" t="str">
        <f>HYPERLINK("https://www.catalog.slsa.sa.gov.au/record=b2233062")</f>
        <v>https://www.catalog.slsa.sa.gov.au/record=b2233062</v>
      </c>
      <c r="C11494" s="1" t="str">
        <f>HYPERLINK("https://www.catalog.slsa.sa.gov.au/xrecord=b2233062")</f>
        <v>https://www.catalog.slsa.sa.gov.au/xrecord=b2233062</v>
      </c>
      <c r="D11494" t="s">
        <v>31902</v>
      </c>
      <c r="E11494" t="s">
        <v>35069</v>
      </c>
      <c r="F11494">
        <v>2002</v>
      </c>
      <c r="G11494" t="s">
        <v>33690</v>
      </c>
      <c r="H11494" t="s">
        <v>35076</v>
      </c>
      <c r="J11494" t="s">
        <v>14768</v>
      </c>
      <c r="K11494" s="2" t="str">
        <f>HYPERLINK("http://collections.slsa.sa.gov.au/mpcimg/69500/B69282_220.htm")</f>
        <v>http://collections.slsa.sa.gov.au/mpcimg/69500/B69282_220.htm</v>
      </c>
    </row>
    <row r="11495" spans="1:11" x14ac:dyDescent="0.25">
      <c r="A11495" t="s">
        <v>35077</v>
      </c>
      <c r="B11495" s="1" t="str">
        <f>HYPERLINK("https://www.catalog.slsa.sa.gov.au/record=b2233097")</f>
        <v>https://www.catalog.slsa.sa.gov.au/record=b2233097</v>
      </c>
      <c r="C11495" s="1" t="str">
        <f>HYPERLINK("https://www.catalog.slsa.sa.gov.au/xrecord=b2233097")</f>
        <v>https://www.catalog.slsa.sa.gov.au/xrecord=b2233097</v>
      </c>
      <c r="D11495" t="s">
        <v>31902</v>
      </c>
      <c r="E11495" t="s">
        <v>35069</v>
      </c>
      <c r="F11495">
        <v>2002</v>
      </c>
      <c r="G11495" t="s">
        <v>33690</v>
      </c>
      <c r="H11495" t="s">
        <v>35078</v>
      </c>
      <c r="J11495" t="s">
        <v>14768</v>
      </c>
      <c r="K11495" s="2" t="str">
        <f>HYPERLINK("http://collections.slsa.sa.gov.au/mpcimg/69500/B69282_221.htm")</f>
        <v>http://collections.slsa.sa.gov.au/mpcimg/69500/B69282_221.htm</v>
      </c>
    </row>
    <row r="11496" spans="1:11" x14ac:dyDescent="0.25">
      <c r="A11496" t="s">
        <v>35079</v>
      </c>
      <c r="B11496" s="1" t="str">
        <f>HYPERLINK("https://www.catalog.slsa.sa.gov.au/record=b2233101")</f>
        <v>https://www.catalog.slsa.sa.gov.au/record=b2233101</v>
      </c>
      <c r="C11496" s="1" t="str">
        <f>HYPERLINK("https://www.catalog.slsa.sa.gov.au/xrecord=b2233101")</f>
        <v>https://www.catalog.slsa.sa.gov.au/xrecord=b2233101</v>
      </c>
      <c r="D11496" t="s">
        <v>31902</v>
      </c>
      <c r="E11496" t="s">
        <v>35080</v>
      </c>
      <c r="F11496">
        <v>2002</v>
      </c>
      <c r="G11496" t="s">
        <v>33690</v>
      </c>
      <c r="H11496" t="s">
        <v>35081</v>
      </c>
      <c r="J11496" t="s">
        <v>14768</v>
      </c>
      <c r="K11496" s="2" t="str">
        <f>HYPERLINK("http://collections.slsa.sa.gov.au/mpcimg/69500/B69282_222.htm")</f>
        <v>http://collections.slsa.sa.gov.au/mpcimg/69500/B69282_222.htm</v>
      </c>
    </row>
    <row r="11497" spans="1:11" x14ac:dyDescent="0.25">
      <c r="A11497" t="s">
        <v>35082</v>
      </c>
      <c r="B11497" s="1" t="str">
        <f>HYPERLINK("https://www.catalog.slsa.sa.gov.au/record=b2233116")</f>
        <v>https://www.catalog.slsa.sa.gov.au/record=b2233116</v>
      </c>
      <c r="C11497" s="1" t="str">
        <f>HYPERLINK("https://www.catalog.slsa.sa.gov.au/xrecord=b2233116")</f>
        <v>https://www.catalog.slsa.sa.gov.au/xrecord=b2233116</v>
      </c>
      <c r="D11497" t="s">
        <v>31902</v>
      </c>
      <c r="E11497" t="s">
        <v>35080</v>
      </c>
      <c r="F11497">
        <v>2002</v>
      </c>
      <c r="G11497" t="s">
        <v>33690</v>
      </c>
      <c r="H11497" t="s">
        <v>35083</v>
      </c>
      <c r="J11497" t="s">
        <v>14768</v>
      </c>
      <c r="K11497" s="2" t="str">
        <f>HYPERLINK("http://collections.slsa.sa.gov.au/mpcimg/69500/B69282_223.htm")</f>
        <v>http://collections.slsa.sa.gov.au/mpcimg/69500/B69282_223.htm</v>
      </c>
    </row>
    <row r="11498" spans="1:11" x14ac:dyDescent="0.25">
      <c r="A11498" t="s">
        <v>35084</v>
      </c>
      <c r="B11498" s="1" t="str">
        <f>HYPERLINK("https://www.catalog.slsa.sa.gov.au/record=b2233118")</f>
        <v>https://www.catalog.slsa.sa.gov.au/record=b2233118</v>
      </c>
      <c r="C11498" s="1" t="str">
        <f>HYPERLINK("https://www.catalog.slsa.sa.gov.au/xrecord=b2233118")</f>
        <v>https://www.catalog.slsa.sa.gov.au/xrecord=b2233118</v>
      </c>
      <c r="D11498" t="s">
        <v>31902</v>
      </c>
      <c r="E11498" t="s">
        <v>35080</v>
      </c>
      <c r="F11498">
        <v>2002</v>
      </c>
      <c r="G11498" t="s">
        <v>33690</v>
      </c>
      <c r="H11498" t="s">
        <v>35085</v>
      </c>
      <c r="J11498" t="s">
        <v>14768</v>
      </c>
      <c r="K11498" s="2" t="str">
        <f>HYPERLINK("http://collections.slsa.sa.gov.au/mpcimg/69500/B69282_224.htm")</f>
        <v>http://collections.slsa.sa.gov.au/mpcimg/69500/B69282_224.htm</v>
      </c>
    </row>
    <row r="11499" spans="1:11" x14ac:dyDescent="0.25">
      <c r="A11499" t="s">
        <v>35086</v>
      </c>
      <c r="B11499" s="1" t="str">
        <f>HYPERLINK("https://www.catalog.slsa.sa.gov.au/record=b2233421")</f>
        <v>https://www.catalog.slsa.sa.gov.au/record=b2233421</v>
      </c>
      <c r="C11499" s="1" t="str">
        <f>HYPERLINK("https://www.catalog.slsa.sa.gov.au/xrecord=b2233421")</f>
        <v>https://www.catalog.slsa.sa.gov.au/xrecord=b2233421</v>
      </c>
      <c r="D11499" t="s">
        <v>31902</v>
      </c>
      <c r="E11499" t="s">
        <v>35080</v>
      </c>
      <c r="F11499">
        <v>2002</v>
      </c>
      <c r="G11499" t="s">
        <v>33690</v>
      </c>
      <c r="H11499" t="s">
        <v>35087</v>
      </c>
      <c r="J11499" t="s">
        <v>14768</v>
      </c>
      <c r="K11499" s="2" t="str">
        <f>HYPERLINK("http://collections.slsa.sa.gov.au/mpcimg/69500/B69282_225.htm")</f>
        <v>http://collections.slsa.sa.gov.au/mpcimg/69500/B69282_225.htm</v>
      </c>
    </row>
    <row r="11500" spans="1:11" x14ac:dyDescent="0.25">
      <c r="A11500" t="s">
        <v>35088</v>
      </c>
      <c r="B11500" s="1" t="str">
        <f>HYPERLINK("https://www.catalog.slsa.sa.gov.au/record=b2290636")</f>
        <v>https://www.catalog.slsa.sa.gov.au/record=b2290636</v>
      </c>
      <c r="C11500" s="1" t="str">
        <f>HYPERLINK("https://www.catalog.slsa.sa.gov.au/xrecord=b2290636")</f>
        <v>https://www.catalog.slsa.sa.gov.au/xrecord=b2290636</v>
      </c>
      <c r="D11500" t="s">
        <v>31902</v>
      </c>
      <c r="E11500" t="s">
        <v>35015</v>
      </c>
      <c r="F11500">
        <v>2002</v>
      </c>
      <c r="G11500" t="s">
        <v>33690</v>
      </c>
      <c r="H11500" t="s">
        <v>35089</v>
      </c>
      <c r="J11500" t="s">
        <v>14768</v>
      </c>
      <c r="K11500" s="2" t="str">
        <f>HYPERLINK("http://collections.slsa.sa.gov.au/mpcimg/69500/B69282_261.htm")</f>
        <v>http://collections.slsa.sa.gov.au/mpcimg/69500/B69282_261.htm</v>
      </c>
    </row>
    <row r="11501" spans="1:11" x14ac:dyDescent="0.25">
      <c r="A11501" t="s">
        <v>35090</v>
      </c>
      <c r="B11501" s="1" t="str">
        <f>HYPERLINK("https://www.catalog.slsa.sa.gov.au/record=b2290639")</f>
        <v>https://www.catalog.slsa.sa.gov.au/record=b2290639</v>
      </c>
      <c r="C11501" s="1" t="str">
        <f>HYPERLINK("https://www.catalog.slsa.sa.gov.au/xrecord=b2290639")</f>
        <v>https://www.catalog.slsa.sa.gov.au/xrecord=b2290639</v>
      </c>
      <c r="D11501" t="s">
        <v>31902</v>
      </c>
      <c r="E11501" t="s">
        <v>16267</v>
      </c>
      <c r="F11501">
        <v>2002</v>
      </c>
      <c r="G11501" t="s">
        <v>33690</v>
      </c>
      <c r="H11501" t="s">
        <v>35091</v>
      </c>
      <c r="J11501" t="s">
        <v>14768</v>
      </c>
      <c r="K11501" s="2" t="str">
        <f>HYPERLINK("http://collections.slsa.sa.gov.au/mpcimg/69500/B69282_262.htm")</f>
        <v>http://collections.slsa.sa.gov.au/mpcimg/69500/B69282_262.htm</v>
      </c>
    </row>
    <row r="11502" spans="1:11" x14ac:dyDescent="0.25">
      <c r="A11502" t="s">
        <v>35092</v>
      </c>
      <c r="B11502" s="1" t="str">
        <f>HYPERLINK("https://www.catalog.slsa.sa.gov.au/record=b2290644")</f>
        <v>https://www.catalog.slsa.sa.gov.au/record=b2290644</v>
      </c>
      <c r="C11502" s="1" t="str">
        <f>HYPERLINK("https://www.catalog.slsa.sa.gov.au/xrecord=b2290644")</f>
        <v>https://www.catalog.slsa.sa.gov.au/xrecord=b2290644</v>
      </c>
      <c r="D11502" t="s">
        <v>31902</v>
      </c>
      <c r="E11502" t="s">
        <v>16267</v>
      </c>
      <c r="F11502">
        <v>2002</v>
      </c>
      <c r="G11502" t="s">
        <v>33690</v>
      </c>
      <c r="H11502" t="s">
        <v>35093</v>
      </c>
      <c r="J11502" t="s">
        <v>14768</v>
      </c>
      <c r="K11502" s="2" t="str">
        <f>HYPERLINK("http://collections.slsa.sa.gov.au/mpcimg/69500/B69282_263.htm")</f>
        <v>http://collections.slsa.sa.gov.au/mpcimg/69500/B69282_263.htm</v>
      </c>
    </row>
    <row r="11503" spans="1:11" x14ac:dyDescent="0.25">
      <c r="A11503" t="s">
        <v>35094</v>
      </c>
      <c r="B11503" s="1" t="str">
        <f>HYPERLINK("https://www.catalog.slsa.sa.gov.au/record=b2290646")</f>
        <v>https://www.catalog.slsa.sa.gov.au/record=b2290646</v>
      </c>
      <c r="C11503" s="1" t="str">
        <f>HYPERLINK("https://www.catalog.slsa.sa.gov.au/xrecord=b2290646")</f>
        <v>https://www.catalog.slsa.sa.gov.au/xrecord=b2290646</v>
      </c>
      <c r="D11503" t="s">
        <v>31902</v>
      </c>
      <c r="E11503" t="s">
        <v>16267</v>
      </c>
      <c r="F11503">
        <v>2002</v>
      </c>
      <c r="G11503" t="s">
        <v>33690</v>
      </c>
      <c r="H11503" t="s">
        <v>35095</v>
      </c>
      <c r="J11503" t="s">
        <v>14768</v>
      </c>
      <c r="K11503" s="2" t="str">
        <f>HYPERLINK("http://collections.slsa.sa.gov.au/mpcimg/69500/B69282_264.htm")</f>
        <v>http://collections.slsa.sa.gov.au/mpcimg/69500/B69282_264.htm</v>
      </c>
    </row>
    <row r="11504" spans="1:11" x14ac:dyDescent="0.25">
      <c r="A11504" t="s">
        <v>35096</v>
      </c>
      <c r="B11504" s="1" t="str">
        <f>HYPERLINK("https://www.catalog.slsa.sa.gov.au/record=b2290648")</f>
        <v>https://www.catalog.slsa.sa.gov.au/record=b2290648</v>
      </c>
      <c r="C11504" s="1" t="str">
        <f>HYPERLINK("https://www.catalog.slsa.sa.gov.au/xrecord=b2290648")</f>
        <v>https://www.catalog.slsa.sa.gov.au/xrecord=b2290648</v>
      </c>
      <c r="D11504" t="s">
        <v>31902</v>
      </c>
      <c r="E11504" t="s">
        <v>16267</v>
      </c>
      <c r="F11504">
        <v>2002</v>
      </c>
      <c r="G11504" t="s">
        <v>33690</v>
      </c>
      <c r="H11504" t="s">
        <v>35097</v>
      </c>
      <c r="J11504" t="s">
        <v>14768</v>
      </c>
      <c r="K11504" s="2" t="str">
        <f>HYPERLINK("http://collections.slsa.sa.gov.au/mpcimg/69500/B69282_265.htm")</f>
        <v>http://collections.slsa.sa.gov.au/mpcimg/69500/B69282_265.htm</v>
      </c>
    </row>
    <row r="11505" spans="1:11" x14ac:dyDescent="0.25">
      <c r="A11505" t="s">
        <v>35098</v>
      </c>
      <c r="B11505" s="1" t="str">
        <f>HYPERLINK("https://www.catalog.slsa.sa.gov.au/record=b2290649")</f>
        <v>https://www.catalog.slsa.sa.gov.au/record=b2290649</v>
      </c>
      <c r="C11505" s="1" t="str">
        <f>HYPERLINK("https://www.catalog.slsa.sa.gov.au/xrecord=b2290649")</f>
        <v>https://www.catalog.slsa.sa.gov.au/xrecord=b2290649</v>
      </c>
      <c r="D11505" t="s">
        <v>31902</v>
      </c>
      <c r="E11505" t="s">
        <v>16267</v>
      </c>
      <c r="F11505">
        <v>2002</v>
      </c>
      <c r="G11505" t="s">
        <v>33690</v>
      </c>
      <c r="H11505" t="s">
        <v>35099</v>
      </c>
      <c r="J11505" t="s">
        <v>14768</v>
      </c>
      <c r="K11505" s="2" t="str">
        <f>HYPERLINK("http://collections.slsa.sa.gov.au/mpcimg/69500/B69282_266.htm")</f>
        <v>http://collections.slsa.sa.gov.au/mpcimg/69500/B69282_266.htm</v>
      </c>
    </row>
    <row r="11506" spans="1:11" x14ac:dyDescent="0.25">
      <c r="A11506" t="s">
        <v>35100</v>
      </c>
      <c r="B11506" s="1" t="str">
        <f>HYPERLINK("https://www.catalog.slsa.sa.gov.au/record=b3135294")</f>
        <v>https://www.catalog.slsa.sa.gov.au/record=b3135294</v>
      </c>
      <c r="C11506" s="1" t="str">
        <f>HYPERLINK("https://www.catalog.slsa.sa.gov.au/xrecord=b3135294")</f>
        <v>https://www.catalog.slsa.sa.gov.au/xrecord=b3135294</v>
      </c>
      <c r="D11506" t="s">
        <v>34160</v>
      </c>
      <c r="E11506" t="s">
        <v>35101</v>
      </c>
      <c r="F11506">
        <v>2002</v>
      </c>
      <c r="G11506" t="s">
        <v>34407</v>
      </c>
      <c r="H11506" t="s">
        <v>35102</v>
      </c>
      <c r="I11506" t="s">
        <v>35103</v>
      </c>
      <c r="J11506" t="s">
        <v>16370</v>
      </c>
      <c r="K11506" s="2" t="str">
        <f>HYPERLINK("http://collections.slsa.sa.gov.au/resource/B+76117")</f>
        <v>http://collections.slsa.sa.gov.au/resource/B+76117</v>
      </c>
    </row>
    <row r="11507" spans="1:11" x14ac:dyDescent="0.25">
      <c r="A11507" t="s">
        <v>35104</v>
      </c>
      <c r="B11507" s="1" t="str">
        <f>HYPERLINK("https://www.catalog.slsa.sa.gov.au/record=b3135295")</f>
        <v>https://www.catalog.slsa.sa.gov.au/record=b3135295</v>
      </c>
      <c r="C11507" s="1" t="str">
        <f>HYPERLINK("https://www.catalog.slsa.sa.gov.au/xrecord=b3135295")</f>
        <v>https://www.catalog.slsa.sa.gov.au/xrecord=b3135295</v>
      </c>
      <c r="D11507" t="s">
        <v>34160</v>
      </c>
      <c r="E11507" t="s">
        <v>35101</v>
      </c>
      <c r="F11507">
        <v>2002</v>
      </c>
      <c r="G11507" t="s">
        <v>34407</v>
      </c>
      <c r="H11507" t="s">
        <v>35105</v>
      </c>
      <c r="I11507" t="s">
        <v>35103</v>
      </c>
      <c r="J11507" t="s">
        <v>16370</v>
      </c>
      <c r="K11507" s="2" t="str">
        <f>HYPERLINK("http://collections.slsa.sa.gov.au/resource/B+76118")</f>
        <v>http://collections.slsa.sa.gov.au/resource/B+76118</v>
      </c>
    </row>
    <row r="11508" spans="1:11" x14ac:dyDescent="0.25">
      <c r="A11508" t="s">
        <v>35106</v>
      </c>
      <c r="B11508" s="1" t="str">
        <f>HYPERLINK("https://www.catalog.slsa.sa.gov.au/record=b3135296")</f>
        <v>https://www.catalog.slsa.sa.gov.au/record=b3135296</v>
      </c>
      <c r="C11508" s="1" t="str">
        <f>HYPERLINK("https://www.catalog.slsa.sa.gov.au/xrecord=b3135296")</f>
        <v>https://www.catalog.slsa.sa.gov.au/xrecord=b3135296</v>
      </c>
      <c r="D11508" t="s">
        <v>34160</v>
      </c>
      <c r="E11508" t="s">
        <v>35101</v>
      </c>
      <c r="F11508">
        <v>2002</v>
      </c>
      <c r="G11508" t="s">
        <v>34407</v>
      </c>
      <c r="H11508" t="s">
        <v>35105</v>
      </c>
      <c r="I11508" t="s">
        <v>35103</v>
      </c>
      <c r="J11508" t="s">
        <v>16370</v>
      </c>
      <c r="K11508" s="2" t="str">
        <f>HYPERLINK("http://collections.slsa.sa.gov.au/resource/B+76119")</f>
        <v>http://collections.slsa.sa.gov.au/resource/B+76119</v>
      </c>
    </row>
    <row r="11509" spans="1:11" x14ac:dyDescent="0.25">
      <c r="A11509" t="s">
        <v>35107</v>
      </c>
      <c r="B11509" s="1" t="str">
        <f>HYPERLINK("https://www.catalog.slsa.sa.gov.au/record=b3135297")</f>
        <v>https://www.catalog.slsa.sa.gov.au/record=b3135297</v>
      </c>
      <c r="C11509" s="1" t="str">
        <f>HYPERLINK("https://www.catalog.slsa.sa.gov.au/xrecord=b3135297")</f>
        <v>https://www.catalog.slsa.sa.gov.au/xrecord=b3135297</v>
      </c>
      <c r="D11509" t="s">
        <v>34160</v>
      </c>
      <c r="E11509" t="s">
        <v>35101</v>
      </c>
      <c r="F11509">
        <v>2002</v>
      </c>
      <c r="G11509" t="s">
        <v>34407</v>
      </c>
      <c r="H11509" t="s">
        <v>35108</v>
      </c>
      <c r="I11509" t="s">
        <v>35103</v>
      </c>
      <c r="J11509" t="s">
        <v>2510</v>
      </c>
      <c r="K11509" s="2" t="str">
        <f>HYPERLINK("http://collections.slsa.sa.gov.au/resource/B+76120")</f>
        <v>http://collections.slsa.sa.gov.au/resource/B+76120</v>
      </c>
    </row>
    <row r="11510" spans="1:11" x14ac:dyDescent="0.25">
      <c r="A11510" t="s">
        <v>35109</v>
      </c>
      <c r="B11510" s="1" t="str">
        <f>HYPERLINK("https://www.catalog.slsa.sa.gov.au/record=b3135490")</f>
        <v>https://www.catalog.slsa.sa.gov.au/record=b3135490</v>
      </c>
      <c r="C11510" s="1" t="str">
        <f>HYPERLINK("https://www.catalog.slsa.sa.gov.au/xrecord=b3135490")</f>
        <v>https://www.catalog.slsa.sa.gov.au/xrecord=b3135490</v>
      </c>
      <c r="D11510" t="s">
        <v>34160</v>
      </c>
      <c r="E11510" t="s">
        <v>35101</v>
      </c>
      <c r="F11510">
        <v>2002</v>
      </c>
      <c r="G11510" t="s">
        <v>34407</v>
      </c>
      <c r="H11510" t="s">
        <v>35110</v>
      </c>
      <c r="I11510" t="s">
        <v>35103</v>
      </c>
      <c r="J11510" t="s">
        <v>2510</v>
      </c>
      <c r="K11510" s="2" t="str">
        <f>HYPERLINK("http://collections.slsa.sa.gov.au/resource/B+76121")</f>
        <v>http://collections.slsa.sa.gov.au/resource/B+76121</v>
      </c>
    </row>
    <row r="11511" spans="1:11" x14ac:dyDescent="0.25">
      <c r="A11511" t="s">
        <v>35111</v>
      </c>
      <c r="B11511" s="1" t="str">
        <f>HYPERLINK("https://www.catalog.slsa.sa.gov.au/record=b3135491")</f>
        <v>https://www.catalog.slsa.sa.gov.au/record=b3135491</v>
      </c>
      <c r="C11511" s="1" t="str">
        <f>HYPERLINK("https://www.catalog.slsa.sa.gov.au/xrecord=b3135491")</f>
        <v>https://www.catalog.slsa.sa.gov.au/xrecord=b3135491</v>
      </c>
      <c r="D11511" t="s">
        <v>34160</v>
      </c>
      <c r="E11511" t="s">
        <v>35101</v>
      </c>
      <c r="F11511">
        <v>2002</v>
      </c>
      <c r="G11511" t="s">
        <v>34407</v>
      </c>
      <c r="H11511" t="s">
        <v>35108</v>
      </c>
      <c r="I11511" t="s">
        <v>35103</v>
      </c>
      <c r="J11511" t="s">
        <v>2510</v>
      </c>
      <c r="K11511" s="2" t="str">
        <f>HYPERLINK("http://collections.slsa.sa.gov.au/resource/B+76122")</f>
        <v>http://collections.slsa.sa.gov.au/resource/B+76122</v>
      </c>
    </row>
    <row r="11512" spans="1:11" x14ac:dyDescent="0.25">
      <c r="A11512" t="s">
        <v>35112</v>
      </c>
      <c r="B11512" s="1" t="str">
        <f>HYPERLINK("https://www.catalog.slsa.sa.gov.au/record=b3135492")</f>
        <v>https://www.catalog.slsa.sa.gov.au/record=b3135492</v>
      </c>
      <c r="C11512" s="1" t="str">
        <f>HYPERLINK("https://www.catalog.slsa.sa.gov.au/xrecord=b3135492")</f>
        <v>https://www.catalog.slsa.sa.gov.au/xrecord=b3135492</v>
      </c>
      <c r="D11512" t="s">
        <v>34160</v>
      </c>
      <c r="E11512" t="s">
        <v>35101</v>
      </c>
      <c r="F11512">
        <v>2002</v>
      </c>
      <c r="G11512" t="s">
        <v>34407</v>
      </c>
      <c r="H11512" t="s">
        <v>35113</v>
      </c>
      <c r="I11512" t="s">
        <v>35114</v>
      </c>
      <c r="J11512" t="s">
        <v>2510</v>
      </c>
      <c r="K11512" s="2" t="str">
        <f>HYPERLINK("http://collections.slsa.sa.gov.au/resource/B+76123")</f>
        <v>http://collections.slsa.sa.gov.au/resource/B+76123</v>
      </c>
    </row>
    <row r="11513" spans="1:11" x14ac:dyDescent="0.25">
      <c r="A11513" t="s">
        <v>35115</v>
      </c>
      <c r="B11513" s="1" t="str">
        <f>HYPERLINK("https://www.catalog.slsa.sa.gov.au/record=b3135493")</f>
        <v>https://www.catalog.slsa.sa.gov.au/record=b3135493</v>
      </c>
      <c r="C11513" s="1" t="str">
        <f>HYPERLINK("https://www.catalog.slsa.sa.gov.au/xrecord=b3135493")</f>
        <v>https://www.catalog.slsa.sa.gov.au/xrecord=b3135493</v>
      </c>
      <c r="D11513" t="s">
        <v>34160</v>
      </c>
      <c r="E11513" t="s">
        <v>35101</v>
      </c>
      <c r="F11513">
        <v>2002</v>
      </c>
      <c r="G11513" t="s">
        <v>34407</v>
      </c>
      <c r="H11513" t="s">
        <v>35116</v>
      </c>
      <c r="I11513" t="s">
        <v>35117</v>
      </c>
      <c r="J11513" t="s">
        <v>2510</v>
      </c>
      <c r="K11513" s="2" t="str">
        <f>HYPERLINK("http://collections.slsa.sa.gov.au/resource/B+76124")</f>
        <v>http://collections.slsa.sa.gov.au/resource/B+76124</v>
      </c>
    </row>
    <row r="11514" spans="1:11" x14ac:dyDescent="0.25">
      <c r="A11514" t="s">
        <v>35118</v>
      </c>
      <c r="B11514" s="1" t="str">
        <f>HYPERLINK("https://www.catalog.slsa.sa.gov.au/record=b3135494")</f>
        <v>https://www.catalog.slsa.sa.gov.au/record=b3135494</v>
      </c>
      <c r="C11514" s="1" t="str">
        <f>HYPERLINK("https://www.catalog.slsa.sa.gov.au/xrecord=b3135494")</f>
        <v>https://www.catalog.slsa.sa.gov.au/xrecord=b3135494</v>
      </c>
      <c r="D11514" t="s">
        <v>34160</v>
      </c>
      <c r="E11514" t="s">
        <v>35101</v>
      </c>
      <c r="F11514">
        <v>2002</v>
      </c>
      <c r="G11514" t="s">
        <v>34407</v>
      </c>
      <c r="H11514" t="s">
        <v>35119</v>
      </c>
      <c r="I11514" t="s">
        <v>35117</v>
      </c>
      <c r="J11514" t="s">
        <v>2510</v>
      </c>
      <c r="K11514" s="2" t="str">
        <f>HYPERLINK("http://collections.slsa.sa.gov.au/resource/B+76125")</f>
        <v>http://collections.slsa.sa.gov.au/resource/B+76125</v>
      </c>
    </row>
    <row r="11515" spans="1:11" x14ac:dyDescent="0.25">
      <c r="A11515" t="s">
        <v>35120</v>
      </c>
      <c r="B11515" s="1" t="str">
        <f>HYPERLINK("https://www.catalog.slsa.sa.gov.au/record=b3135495")</f>
        <v>https://www.catalog.slsa.sa.gov.au/record=b3135495</v>
      </c>
      <c r="C11515" s="1" t="str">
        <f>HYPERLINK("https://www.catalog.slsa.sa.gov.au/xrecord=b3135495")</f>
        <v>https://www.catalog.slsa.sa.gov.au/xrecord=b3135495</v>
      </c>
      <c r="D11515" t="s">
        <v>34160</v>
      </c>
      <c r="E11515" t="s">
        <v>35101</v>
      </c>
      <c r="F11515">
        <v>2002</v>
      </c>
      <c r="G11515" t="s">
        <v>34407</v>
      </c>
      <c r="H11515" t="s">
        <v>35121</v>
      </c>
      <c r="I11515" t="s">
        <v>35117</v>
      </c>
      <c r="J11515" t="s">
        <v>2510</v>
      </c>
      <c r="K11515" s="2" t="str">
        <f>HYPERLINK("http://collections.slsa.sa.gov.au/resource/B+76126")</f>
        <v>http://collections.slsa.sa.gov.au/resource/B+76126</v>
      </c>
    </row>
    <row r="11516" spans="1:11" x14ac:dyDescent="0.25">
      <c r="A11516" t="s">
        <v>35122</v>
      </c>
      <c r="B11516" s="1" t="str">
        <f>HYPERLINK("https://www.catalog.slsa.sa.gov.au/record=b3135496")</f>
        <v>https://www.catalog.slsa.sa.gov.au/record=b3135496</v>
      </c>
      <c r="C11516" s="1" t="str">
        <f>HYPERLINK("https://www.catalog.slsa.sa.gov.au/xrecord=b3135496")</f>
        <v>https://www.catalog.slsa.sa.gov.au/xrecord=b3135496</v>
      </c>
      <c r="D11516" t="s">
        <v>34160</v>
      </c>
      <c r="E11516" t="s">
        <v>35101</v>
      </c>
      <c r="F11516">
        <v>2002</v>
      </c>
      <c r="G11516" t="s">
        <v>34407</v>
      </c>
      <c r="H11516" t="s">
        <v>35121</v>
      </c>
      <c r="I11516" t="s">
        <v>35117</v>
      </c>
      <c r="J11516" t="s">
        <v>2510</v>
      </c>
      <c r="K11516" s="2" t="str">
        <f>HYPERLINK("http://collections.slsa.sa.gov.au/resource/B+76127")</f>
        <v>http://collections.slsa.sa.gov.au/resource/B+76127</v>
      </c>
    </row>
    <row r="11517" spans="1:11" x14ac:dyDescent="0.25">
      <c r="A11517" t="s">
        <v>35123</v>
      </c>
      <c r="B11517" s="1" t="str">
        <f>HYPERLINK("https://www.catalog.slsa.sa.gov.au/record=b3135497")</f>
        <v>https://www.catalog.slsa.sa.gov.au/record=b3135497</v>
      </c>
      <c r="C11517" s="1" t="str">
        <f>HYPERLINK("https://www.catalog.slsa.sa.gov.au/xrecord=b3135497")</f>
        <v>https://www.catalog.slsa.sa.gov.au/xrecord=b3135497</v>
      </c>
      <c r="D11517" t="s">
        <v>34160</v>
      </c>
      <c r="E11517" t="s">
        <v>35101</v>
      </c>
      <c r="F11517">
        <v>2002</v>
      </c>
      <c r="G11517" t="s">
        <v>34407</v>
      </c>
      <c r="H11517" t="s">
        <v>35121</v>
      </c>
      <c r="I11517" t="s">
        <v>35117</v>
      </c>
      <c r="J11517" t="s">
        <v>2510</v>
      </c>
      <c r="K11517" s="2" t="str">
        <f>HYPERLINK("http://collections.slsa.sa.gov.au/resource/B+76128")</f>
        <v>http://collections.slsa.sa.gov.au/resource/B+76128</v>
      </c>
    </row>
    <row r="11518" spans="1:11" x14ac:dyDescent="0.25">
      <c r="A11518" t="s">
        <v>35124</v>
      </c>
      <c r="B11518" s="1" t="str">
        <f>HYPERLINK("https://www.catalog.slsa.sa.gov.au/record=b3135498")</f>
        <v>https://www.catalog.slsa.sa.gov.au/record=b3135498</v>
      </c>
      <c r="C11518" s="1" t="str">
        <f>HYPERLINK("https://www.catalog.slsa.sa.gov.au/xrecord=b3135498")</f>
        <v>https://www.catalog.slsa.sa.gov.au/xrecord=b3135498</v>
      </c>
      <c r="D11518" t="s">
        <v>34160</v>
      </c>
      <c r="E11518" t="s">
        <v>35101</v>
      </c>
      <c r="F11518">
        <v>2002</v>
      </c>
      <c r="G11518" t="s">
        <v>34407</v>
      </c>
      <c r="H11518" t="s">
        <v>35125</v>
      </c>
      <c r="I11518" t="s">
        <v>35117</v>
      </c>
      <c r="J11518" t="s">
        <v>2510</v>
      </c>
      <c r="K11518" s="2" t="str">
        <f>HYPERLINK("http://collections.slsa.sa.gov.au/resource/B+76129")</f>
        <v>http://collections.slsa.sa.gov.au/resource/B+76129</v>
      </c>
    </row>
    <row r="11519" spans="1:11" x14ac:dyDescent="0.25">
      <c r="A11519" t="s">
        <v>35126</v>
      </c>
      <c r="B11519" s="1" t="str">
        <f>HYPERLINK("https://www.catalog.slsa.sa.gov.au/record=b3135502")</f>
        <v>https://www.catalog.slsa.sa.gov.au/record=b3135502</v>
      </c>
      <c r="C11519" s="1" t="str">
        <f>HYPERLINK("https://www.catalog.slsa.sa.gov.au/xrecord=b3135502")</f>
        <v>https://www.catalog.slsa.sa.gov.au/xrecord=b3135502</v>
      </c>
      <c r="D11519" t="s">
        <v>34160</v>
      </c>
      <c r="E11519" t="s">
        <v>35101</v>
      </c>
      <c r="F11519">
        <v>2002</v>
      </c>
      <c r="G11519" t="s">
        <v>34407</v>
      </c>
      <c r="H11519" t="s">
        <v>35127</v>
      </c>
      <c r="I11519" t="s">
        <v>35117</v>
      </c>
      <c r="J11519" t="s">
        <v>2510</v>
      </c>
      <c r="K11519" s="2" t="str">
        <f>HYPERLINK("http://collections.slsa.sa.gov.au/resource/B+76130")</f>
        <v>http://collections.slsa.sa.gov.au/resource/B+76130</v>
      </c>
    </row>
    <row r="11520" spans="1:11" x14ac:dyDescent="0.25">
      <c r="A11520" t="s">
        <v>35128</v>
      </c>
      <c r="B11520" s="1" t="str">
        <f>HYPERLINK("https://www.catalog.slsa.sa.gov.au/record=b3135504")</f>
        <v>https://www.catalog.slsa.sa.gov.au/record=b3135504</v>
      </c>
      <c r="C11520" s="1" t="str">
        <f>HYPERLINK("https://www.catalog.slsa.sa.gov.au/xrecord=b3135504")</f>
        <v>https://www.catalog.slsa.sa.gov.au/xrecord=b3135504</v>
      </c>
      <c r="D11520" t="s">
        <v>34160</v>
      </c>
      <c r="E11520" t="s">
        <v>35101</v>
      </c>
      <c r="F11520">
        <v>2002</v>
      </c>
      <c r="G11520" t="s">
        <v>34407</v>
      </c>
      <c r="H11520" t="s">
        <v>35129</v>
      </c>
      <c r="I11520" t="s">
        <v>35117</v>
      </c>
      <c r="J11520" t="s">
        <v>2510</v>
      </c>
      <c r="K11520" s="2" t="str">
        <f>HYPERLINK("http://collections.slsa.sa.gov.au/resource/B+76131")</f>
        <v>http://collections.slsa.sa.gov.au/resource/B+76131</v>
      </c>
    </row>
    <row r="11521" spans="1:11" x14ac:dyDescent="0.25">
      <c r="A11521" t="s">
        <v>35130</v>
      </c>
      <c r="B11521" s="1" t="str">
        <f>HYPERLINK("https://www.catalog.slsa.sa.gov.au/record=b3135505")</f>
        <v>https://www.catalog.slsa.sa.gov.au/record=b3135505</v>
      </c>
      <c r="C11521" s="1" t="str">
        <f>HYPERLINK("https://www.catalog.slsa.sa.gov.au/xrecord=b3135505")</f>
        <v>https://www.catalog.slsa.sa.gov.au/xrecord=b3135505</v>
      </c>
      <c r="D11521" t="s">
        <v>34160</v>
      </c>
      <c r="E11521" t="s">
        <v>35101</v>
      </c>
      <c r="F11521">
        <v>2002</v>
      </c>
      <c r="G11521" t="s">
        <v>34407</v>
      </c>
      <c r="H11521" t="s">
        <v>35129</v>
      </c>
      <c r="I11521" t="s">
        <v>35117</v>
      </c>
      <c r="J11521" t="s">
        <v>2510</v>
      </c>
      <c r="K11521" s="2" t="str">
        <f>HYPERLINK("http://collections.slsa.sa.gov.au/resource/B+76132")</f>
        <v>http://collections.slsa.sa.gov.au/resource/B+76132</v>
      </c>
    </row>
    <row r="11522" spans="1:11" x14ac:dyDescent="0.25">
      <c r="A11522" t="s">
        <v>35131</v>
      </c>
      <c r="B11522" s="1" t="str">
        <f>HYPERLINK("https://www.catalog.slsa.sa.gov.au/record=b3135506")</f>
        <v>https://www.catalog.slsa.sa.gov.au/record=b3135506</v>
      </c>
      <c r="C11522" s="1" t="str">
        <f>HYPERLINK("https://www.catalog.slsa.sa.gov.au/xrecord=b3135506")</f>
        <v>https://www.catalog.slsa.sa.gov.au/xrecord=b3135506</v>
      </c>
      <c r="D11522" t="s">
        <v>34160</v>
      </c>
      <c r="E11522" t="s">
        <v>35101</v>
      </c>
      <c r="F11522">
        <v>2002</v>
      </c>
      <c r="G11522" t="s">
        <v>34407</v>
      </c>
      <c r="H11522" t="s">
        <v>35132</v>
      </c>
      <c r="I11522" t="s">
        <v>35117</v>
      </c>
      <c r="J11522" t="s">
        <v>2510</v>
      </c>
      <c r="K11522" s="2" t="str">
        <f>HYPERLINK("http://collections.slsa.sa.gov.au/resource/B+76133")</f>
        <v>http://collections.slsa.sa.gov.au/resource/B+76133</v>
      </c>
    </row>
    <row r="11523" spans="1:11" x14ac:dyDescent="0.25">
      <c r="A11523" t="s">
        <v>35133</v>
      </c>
      <c r="B11523" s="1" t="str">
        <f>HYPERLINK("https://www.catalog.slsa.sa.gov.au/record=b3135507")</f>
        <v>https://www.catalog.slsa.sa.gov.au/record=b3135507</v>
      </c>
      <c r="C11523" s="1" t="str">
        <f>HYPERLINK("https://www.catalog.slsa.sa.gov.au/xrecord=b3135507")</f>
        <v>https://www.catalog.slsa.sa.gov.au/xrecord=b3135507</v>
      </c>
      <c r="D11523" t="s">
        <v>34160</v>
      </c>
      <c r="E11523" t="s">
        <v>35101</v>
      </c>
      <c r="F11523">
        <v>2002</v>
      </c>
      <c r="G11523" t="s">
        <v>34407</v>
      </c>
      <c r="H11523" t="s">
        <v>35132</v>
      </c>
      <c r="I11523" t="s">
        <v>35117</v>
      </c>
      <c r="J11523" t="s">
        <v>2510</v>
      </c>
      <c r="K11523" s="2" t="str">
        <f>HYPERLINK("http://collections.slsa.sa.gov.au/resource/B+76134")</f>
        <v>http://collections.slsa.sa.gov.au/resource/B+76134</v>
      </c>
    </row>
    <row r="11524" spans="1:11" x14ac:dyDescent="0.25">
      <c r="A11524" t="s">
        <v>35134</v>
      </c>
      <c r="B11524" s="1" t="str">
        <f>HYPERLINK("https://www.catalog.slsa.sa.gov.au/record=b3135508")</f>
        <v>https://www.catalog.slsa.sa.gov.au/record=b3135508</v>
      </c>
      <c r="C11524" s="1" t="str">
        <f>HYPERLINK("https://www.catalog.slsa.sa.gov.au/xrecord=b3135508")</f>
        <v>https://www.catalog.slsa.sa.gov.au/xrecord=b3135508</v>
      </c>
      <c r="D11524" t="s">
        <v>34160</v>
      </c>
      <c r="E11524" t="s">
        <v>35101</v>
      </c>
      <c r="F11524">
        <v>2002</v>
      </c>
      <c r="G11524" t="s">
        <v>34407</v>
      </c>
      <c r="H11524" t="s">
        <v>35135</v>
      </c>
      <c r="I11524" t="s">
        <v>35117</v>
      </c>
      <c r="J11524" t="s">
        <v>2510</v>
      </c>
      <c r="K11524" s="2" t="str">
        <f>HYPERLINK("http://collections.slsa.sa.gov.au/resource/B+76135")</f>
        <v>http://collections.slsa.sa.gov.au/resource/B+76135</v>
      </c>
    </row>
    <row r="11525" spans="1:11" x14ac:dyDescent="0.25">
      <c r="A11525" t="s">
        <v>35136</v>
      </c>
      <c r="B11525" s="1" t="str">
        <f>HYPERLINK("https://www.catalog.slsa.sa.gov.au/record=b3135509")</f>
        <v>https://www.catalog.slsa.sa.gov.au/record=b3135509</v>
      </c>
      <c r="C11525" s="1" t="str">
        <f>HYPERLINK("https://www.catalog.slsa.sa.gov.au/xrecord=b3135509")</f>
        <v>https://www.catalog.slsa.sa.gov.au/xrecord=b3135509</v>
      </c>
      <c r="D11525" t="s">
        <v>34160</v>
      </c>
      <c r="E11525" t="s">
        <v>35101</v>
      </c>
      <c r="F11525">
        <v>2002</v>
      </c>
      <c r="G11525" t="s">
        <v>34407</v>
      </c>
      <c r="H11525" t="s">
        <v>35137</v>
      </c>
      <c r="I11525" t="s">
        <v>35117</v>
      </c>
      <c r="J11525" t="s">
        <v>16370</v>
      </c>
      <c r="K11525" s="2" t="str">
        <f>HYPERLINK("http://collections.slsa.sa.gov.au/resource/B+76136")</f>
        <v>http://collections.slsa.sa.gov.au/resource/B+76136</v>
      </c>
    </row>
    <row r="11526" spans="1:11" x14ac:dyDescent="0.25">
      <c r="A11526" t="s">
        <v>35138</v>
      </c>
      <c r="B11526" s="1" t="str">
        <f>HYPERLINK("https://www.catalog.slsa.sa.gov.au/record=b3135511")</f>
        <v>https://www.catalog.slsa.sa.gov.au/record=b3135511</v>
      </c>
      <c r="C11526" s="1" t="str">
        <f>HYPERLINK("https://www.catalog.slsa.sa.gov.au/xrecord=b3135511")</f>
        <v>https://www.catalog.slsa.sa.gov.au/xrecord=b3135511</v>
      </c>
      <c r="D11526" t="s">
        <v>34160</v>
      </c>
      <c r="E11526" t="s">
        <v>35101</v>
      </c>
      <c r="F11526">
        <v>2002</v>
      </c>
      <c r="G11526" t="s">
        <v>34407</v>
      </c>
      <c r="H11526" t="s">
        <v>35139</v>
      </c>
      <c r="I11526" t="s">
        <v>35140</v>
      </c>
      <c r="J11526" t="s">
        <v>2510</v>
      </c>
      <c r="K11526" s="2" t="str">
        <f>HYPERLINK("http://collections.slsa.sa.gov.au/resource/B+76137")</f>
        <v>http://collections.slsa.sa.gov.au/resource/B+76137</v>
      </c>
    </row>
    <row r="11527" spans="1:11" x14ac:dyDescent="0.25">
      <c r="A11527" t="s">
        <v>35141</v>
      </c>
      <c r="B11527" s="1" t="str">
        <f>HYPERLINK("https://www.catalog.slsa.sa.gov.au/record=b3135512")</f>
        <v>https://www.catalog.slsa.sa.gov.au/record=b3135512</v>
      </c>
      <c r="C11527" s="1" t="str">
        <f>HYPERLINK("https://www.catalog.slsa.sa.gov.au/xrecord=b3135512")</f>
        <v>https://www.catalog.slsa.sa.gov.au/xrecord=b3135512</v>
      </c>
      <c r="D11527" t="s">
        <v>34160</v>
      </c>
      <c r="E11527" t="s">
        <v>35101</v>
      </c>
      <c r="F11527">
        <v>2002</v>
      </c>
      <c r="G11527" t="s">
        <v>34407</v>
      </c>
      <c r="H11527" t="s">
        <v>35142</v>
      </c>
      <c r="I11527" t="s">
        <v>35140</v>
      </c>
      <c r="J11527" t="s">
        <v>2510</v>
      </c>
      <c r="K11527" s="2" t="str">
        <f>HYPERLINK("http://collections.slsa.sa.gov.au/resource/B+76138")</f>
        <v>http://collections.slsa.sa.gov.au/resource/B+76138</v>
      </c>
    </row>
    <row r="11528" spans="1:11" x14ac:dyDescent="0.25">
      <c r="A11528" t="s">
        <v>35143</v>
      </c>
      <c r="B11528" s="1" t="str">
        <f>HYPERLINK("https://www.catalog.slsa.sa.gov.au/record=b3135513")</f>
        <v>https://www.catalog.slsa.sa.gov.au/record=b3135513</v>
      </c>
      <c r="C11528" s="1" t="str">
        <f>HYPERLINK("https://www.catalog.slsa.sa.gov.au/xrecord=b3135513")</f>
        <v>https://www.catalog.slsa.sa.gov.au/xrecord=b3135513</v>
      </c>
      <c r="D11528" t="s">
        <v>34160</v>
      </c>
      <c r="E11528" t="s">
        <v>35101</v>
      </c>
      <c r="F11528">
        <v>2002</v>
      </c>
      <c r="G11528" t="s">
        <v>34407</v>
      </c>
      <c r="H11528" t="s">
        <v>35144</v>
      </c>
      <c r="I11528" t="s">
        <v>35140</v>
      </c>
      <c r="J11528" t="s">
        <v>2510</v>
      </c>
      <c r="K11528" s="2" t="str">
        <f>HYPERLINK("http://collections.slsa.sa.gov.au/resource/B+76139")</f>
        <v>http://collections.slsa.sa.gov.au/resource/B+76139</v>
      </c>
    </row>
    <row r="11529" spans="1:11" x14ac:dyDescent="0.25">
      <c r="A11529" t="s">
        <v>35145</v>
      </c>
      <c r="B11529" s="1" t="str">
        <f>HYPERLINK("https://www.catalog.slsa.sa.gov.au/record=b3135514")</f>
        <v>https://www.catalog.slsa.sa.gov.au/record=b3135514</v>
      </c>
      <c r="C11529" s="1" t="str">
        <f>HYPERLINK("https://www.catalog.slsa.sa.gov.au/xrecord=b3135514")</f>
        <v>https://www.catalog.slsa.sa.gov.au/xrecord=b3135514</v>
      </c>
      <c r="D11529" t="s">
        <v>34160</v>
      </c>
      <c r="E11529" t="s">
        <v>35101</v>
      </c>
      <c r="F11529">
        <v>2002</v>
      </c>
      <c r="G11529" t="s">
        <v>34407</v>
      </c>
      <c r="H11529" t="s">
        <v>35146</v>
      </c>
      <c r="I11529" t="s">
        <v>35147</v>
      </c>
      <c r="J11529" t="s">
        <v>2510</v>
      </c>
      <c r="K11529" s="2" t="str">
        <f>HYPERLINK("http://collections.slsa.sa.gov.au/resource/B+76140")</f>
        <v>http://collections.slsa.sa.gov.au/resource/B+76140</v>
      </c>
    </row>
    <row r="11530" spans="1:11" x14ac:dyDescent="0.25">
      <c r="A11530" t="s">
        <v>35148</v>
      </c>
      <c r="B11530" s="1" t="str">
        <f>HYPERLINK("https://www.catalog.slsa.sa.gov.au/record=b2204564")</f>
        <v>https://www.catalog.slsa.sa.gov.au/record=b2204564</v>
      </c>
      <c r="C11530" s="1" t="str">
        <f>HYPERLINK("https://www.catalog.slsa.sa.gov.au/xrecord=b2204564")</f>
        <v>https://www.catalog.slsa.sa.gov.au/xrecord=b2204564</v>
      </c>
      <c r="D11530" t="s">
        <v>31902</v>
      </c>
      <c r="E11530" t="s">
        <v>35149</v>
      </c>
      <c r="F11530">
        <v>2003</v>
      </c>
      <c r="G11530" t="s">
        <v>33690</v>
      </c>
      <c r="H11530" t="s">
        <v>35150</v>
      </c>
      <c r="J11530" t="s">
        <v>14768</v>
      </c>
      <c r="K11530" s="2" t="str">
        <f>HYPERLINK("http://collections.slsa.sa.gov.au/mpcimg/69500/B69282_35.htm")</f>
        <v>http://collections.slsa.sa.gov.au/mpcimg/69500/B69282_35.htm</v>
      </c>
    </row>
    <row r="11531" spans="1:11" x14ac:dyDescent="0.25">
      <c r="A11531" t="s">
        <v>35151</v>
      </c>
      <c r="B11531" s="1" t="str">
        <f>HYPERLINK("https://www.catalog.slsa.sa.gov.au/record=b2204567")</f>
        <v>https://www.catalog.slsa.sa.gov.au/record=b2204567</v>
      </c>
      <c r="C11531" s="1" t="str">
        <f>HYPERLINK("https://www.catalog.slsa.sa.gov.au/xrecord=b2204567")</f>
        <v>https://www.catalog.slsa.sa.gov.au/xrecord=b2204567</v>
      </c>
      <c r="D11531" t="s">
        <v>31902</v>
      </c>
      <c r="E11531" t="s">
        <v>35152</v>
      </c>
      <c r="F11531">
        <v>2003</v>
      </c>
      <c r="G11531" t="s">
        <v>33690</v>
      </c>
      <c r="H11531" t="s">
        <v>35153</v>
      </c>
      <c r="J11531" t="s">
        <v>14768</v>
      </c>
      <c r="K11531" s="2" t="str">
        <f>HYPERLINK("http://collections.slsa.sa.gov.au/mpcimg/69500/B69282_36.htm")</f>
        <v>http://collections.slsa.sa.gov.au/mpcimg/69500/B69282_36.htm</v>
      </c>
    </row>
    <row r="11532" spans="1:11" x14ac:dyDescent="0.25">
      <c r="A11532" t="s">
        <v>35154</v>
      </c>
      <c r="B11532" s="1" t="str">
        <f>HYPERLINK("https://www.catalog.slsa.sa.gov.au/record=b2204571")</f>
        <v>https://www.catalog.slsa.sa.gov.au/record=b2204571</v>
      </c>
      <c r="C11532" s="1" t="str">
        <f>HYPERLINK("https://www.catalog.slsa.sa.gov.au/xrecord=b2204571")</f>
        <v>https://www.catalog.slsa.sa.gov.au/xrecord=b2204571</v>
      </c>
      <c r="D11532" t="s">
        <v>31902</v>
      </c>
      <c r="E11532" t="s">
        <v>35149</v>
      </c>
      <c r="F11532">
        <v>2003</v>
      </c>
      <c r="G11532" t="s">
        <v>33690</v>
      </c>
      <c r="H11532" t="s">
        <v>35155</v>
      </c>
      <c r="J11532" t="s">
        <v>14768</v>
      </c>
      <c r="K11532" s="2" t="str">
        <f>HYPERLINK("http://collections.slsa.sa.gov.au/mpcimg/69500/B69282_37.htm")</f>
        <v>http://collections.slsa.sa.gov.au/mpcimg/69500/B69282_37.htm</v>
      </c>
    </row>
    <row r="11533" spans="1:11" x14ac:dyDescent="0.25">
      <c r="A11533" t="s">
        <v>35156</v>
      </c>
      <c r="B11533" s="1" t="str">
        <f>HYPERLINK("https://www.catalog.slsa.sa.gov.au/record=b2204577")</f>
        <v>https://www.catalog.slsa.sa.gov.au/record=b2204577</v>
      </c>
      <c r="C11533" s="1" t="str">
        <f>HYPERLINK("https://www.catalog.slsa.sa.gov.au/xrecord=b2204577")</f>
        <v>https://www.catalog.slsa.sa.gov.au/xrecord=b2204577</v>
      </c>
      <c r="D11533" t="s">
        <v>31902</v>
      </c>
      <c r="E11533" t="s">
        <v>35157</v>
      </c>
      <c r="F11533">
        <v>2003</v>
      </c>
      <c r="G11533" t="s">
        <v>33690</v>
      </c>
      <c r="H11533" t="s">
        <v>35158</v>
      </c>
      <c r="J11533" t="s">
        <v>14768</v>
      </c>
      <c r="K11533" s="2" t="str">
        <f>HYPERLINK("http://collections.slsa.sa.gov.au/mpcimg/69500/B69282_38.htm")</f>
        <v>http://collections.slsa.sa.gov.au/mpcimg/69500/B69282_38.htm</v>
      </c>
    </row>
    <row r="11534" spans="1:11" x14ac:dyDescent="0.25">
      <c r="A11534" t="s">
        <v>35159</v>
      </c>
      <c r="B11534" s="1" t="str">
        <f>HYPERLINK("https://www.catalog.slsa.sa.gov.au/record=b2204580")</f>
        <v>https://www.catalog.slsa.sa.gov.au/record=b2204580</v>
      </c>
      <c r="C11534" s="1" t="str">
        <f>HYPERLINK("https://www.catalog.slsa.sa.gov.au/xrecord=b2204580")</f>
        <v>https://www.catalog.slsa.sa.gov.au/xrecord=b2204580</v>
      </c>
      <c r="D11534" t="s">
        <v>31902</v>
      </c>
      <c r="E11534" t="s">
        <v>35160</v>
      </c>
      <c r="F11534">
        <v>2003</v>
      </c>
      <c r="G11534" t="s">
        <v>33690</v>
      </c>
      <c r="H11534" t="s">
        <v>35161</v>
      </c>
      <c r="J11534" t="s">
        <v>14768</v>
      </c>
      <c r="K11534" s="2" t="str">
        <f>HYPERLINK("http://collections.slsa.sa.gov.au/mpcimg/69500/B69282_39.htm")</f>
        <v>http://collections.slsa.sa.gov.au/mpcimg/69500/B69282_39.htm</v>
      </c>
    </row>
    <row r="11535" spans="1:11" x14ac:dyDescent="0.25">
      <c r="A11535" t="s">
        <v>35162</v>
      </c>
      <c r="B11535" s="1" t="str">
        <f>HYPERLINK("https://www.catalog.slsa.sa.gov.au/record=b2204581")</f>
        <v>https://www.catalog.slsa.sa.gov.au/record=b2204581</v>
      </c>
      <c r="C11535" s="1" t="str">
        <f>HYPERLINK("https://www.catalog.slsa.sa.gov.au/xrecord=b2204581")</f>
        <v>https://www.catalog.slsa.sa.gov.au/xrecord=b2204581</v>
      </c>
      <c r="D11535" t="s">
        <v>31902</v>
      </c>
      <c r="E11535" t="s">
        <v>35163</v>
      </c>
      <c r="F11535">
        <v>2003</v>
      </c>
      <c r="G11535" t="s">
        <v>33690</v>
      </c>
      <c r="H11535" t="s">
        <v>35164</v>
      </c>
      <c r="J11535" t="s">
        <v>14768</v>
      </c>
      <c r="K11535" s="2" t="str">
        <f>HYPERLINK("http://collections.slsa.sa.gov.au/mpcimg/69500/B69282_40.htm")</f>
        <v>http://collections.slsa.sa.gov.au/mpcimg/69500/B69282_40.htm</v>
      </c>
    </row>
    <row r="11536" spans="1:11" x14ac:dyDescent="0.25">
      <c r="A11536" t="s">
        <v>35165</v>
      </c>
      <c r="B11536" s="1" t="str">
        <f>HYPERLINK("https://www.catalog.slsa.sa.gov.au/record=b2233458")</f>
        <v>https://www.catalog.slsa.sa.gov.au/record=b2233458</v>
      </c>
      <c r="C11536" s="1" t="str">
        <f>HYPERLINK("https://www.catalog.slsa.sa.gov.au/xrecord=b2233458")</f>
        <v>https://www.catalog.slsa.sa.gov.au/xrecord=b2233458</v>
      </c>
      <c r="D11536" t="s">
        <v>31902</v>
      </c>
      <c r="E11536" t="s">
        <v>35166</v>
      </c>
      <c r="F11536">
        <v>2003</v>
      </c>
      <c r="G11536" t="s">
        <v>33690</v>
      </c>
      <c r="H11536" t="s">
        <v>35167</v>
      </c>
      <c r="J11536" t="s">
        <v>14768</v>
      </c>
      <c r="K11536" s="2" t="str">
        <f>HYPERLINK("http://collections.slsa.sa.gov.au/mpcimg/69500/B69282_226.htm")</f>
        <v>http://collections.slsa.sa.gov.au/mpcimg/69500/B69282_226.htm</v>
      </c>
    </row>
    <row r="11537" spans="1:11" x14ac:dyDescent="0.25">
      <c r="A11537" t="s">
        <v>35168</v>
      </c>
      <c r="B11537" s="1" t="str">
        <f>HYPERLINK("https://www.catalog.slsa.sa.gov.au/record=b2233460")</f>
        <v>https://www.catalog.slsa.sa.gov.au/record=b2233460</v>
      </c>
      <c r="C11537" s="1" t="str">
        <f>HYPERLINK("https://www.catalog.slsa.sa.gov.au/xrecord=b2233460")</f>
        <v>https://www.catalog.slsa.sa.gov.au/xrecord=b2233460</v>
      </c>
      <c r="D11537" t="s">
        <v>31902</v>
      </c>
      <c r="E11537" t="s">
        <v>35166</v>
      </c>
      <c r="F11537">
        <v>2003</v>
      </c>
      <c r="G11537" t="s">
        <v>33690</v>
      </c>
      <c r="H11537" t="s">
        <v>35169</v>
      </c>
      <c r="J11537" t="s">
        <v>14768</v>
      </c>
      <c r="K11537" s="2" t="str">
        <f>HYPERLINK("http://collections.slsa.sa.gov.au/mpcimg/69500/B69282_227.htm")</f>
        <v>http://collections.slsa.sa.gov.au/mpcimg/69500/B69282_227.htm</v>
      </c>
    </row>
    <row r="11538" spans="1:11" x14ac:dyDescent="0.25">
      <c r="A11538" t="s">
        <v>35170</v>
      </c>
      <c r="B11538" s="1" t="str">
        <f>HYPERLINK("https://www.catalog.slsa.sa.gov.au/record=b2233469")</f>
        <v>https://www.catalog.slsa.sa.gov.au/record=b2233469</v>
      </c>
      <c r="C11538" s="1" t="str">
        <f>HYPERLINK("https://www.catalog.slsa.sa.gov.au/xrecord=b2233469")</f>
        <v>https://www.catalog.slsa.sa.gov.au/xrecord=b2233469</v>
      </c>
      <c r="D11538" t="s">
        <v>31902</v>
      </c>
      <c r="E11538" t="s">
        <v>35166</v>
      </c>
      <c r="F11538">
        <v>2003</v>
      </c>
      <c r="G11538" t="s">
        <v>33690</v>
      </c>
      <c r="H11538" t="s">
        <v>35171</v>
      </c>
      <c r="J11538" t="s">
        <v>14768</v>
      </c>
      <c r="K11538" s="2" t="str">
        <f>HYPERLINK("http://collections.slsa.sa.gov.au/mpcimg/69500/B69282_228.htm")</f>
        <v>http://collections.slsa.sa.gov.au/mpcimg/69500/B69282_228.htm</v>
      </c>
    </row>
    <row r="11539" spans="1:11" x14ac:dyDescent="0.25">
      <c r="A11539" t="s">
        <v>35172</v>
      </c>
      <c r="B11539" s="1" t="str">
        <f>HYPERLINK("https://www.catalog.slsa.sa.gov.au/record=b2233473")</f>
        <v>https://www.catalog.slsa.sa.gov.au/record=b2233473</v>
      </c>
      <c r="C11539" s="1" t="str">
        <f>HYPERLINK("https://www.catalog.slsa.sa.gov.au/xrecord=b2233473")</f>
        <v>https://www.catalog.slsa.sa.gov.au/xrecord=b2233473</v>
      </c>
      <c r="D11539" t="s">
        <v>31902</v>
      </c>
      <c r="E11539" t="s">
        <v>35166</v>
      </c>
      <c r="F11539">
        <v>2003</v>
      </c>
      <c r="G11539" t="s">
        <v>33690</v>
      </c>
      <c r="H11539" t="s">
        <v>35173</v>
      </c>
      <c r="J11539" t="s">
        <v>14768</v>
      </c>
      <c r="K11539" s="2" t="str">
        <f>HYPERLINK("http://collections.slsa.sa.gov.au/mpcimg/69500/B69282_230.htm")</f>
        <v>http://collections.slsa.sa.gov.au/mpcimg/69500/B69282_230.htm</v>
      </c>
    </row>
    <row r="11540" spans="1:11" x14ac:dyDescent="0.25">
      <c r="A11540" t="s">
        <v>35174</v>
      </c>
      <c r="B11540" s="1" t="str">
        <f>HYPERLINK("https://www.catalog.slsa.sa.gov.au/record=b2233475")</f>
        <v>https://www.catalog.slsa.sa.gov.au/record=b2233475</v>
      </c>
      <c r="C11540" s="1" t="str">
        <f>HYPERLINK("https://www.catalog.slsa.sa.gov.au/xrecord=b2233475")</f>
        <v>https://www.catalog.slsa.sa.gov.au/xrecord=b2233475</v>
      </c>
      <c r="D11540" t="s">
        <v>31902</v>
      </c>
      <c r="E11540" t="s">
        <v>35166</v>
      </c>
      <c r="F11540">
        <v>2003</v>
      </c>
      <c r="G11540" t="s">
        <v>33690</v>
      </c>
      <c r="H11540" t="s">
        <v>35175</v>
      </c>
      <c r="J11540" t="s">
        <v>14768</v>
      </c>
      <c r="K11540" s="2" t="str">
        <f>HYPERLINK("http://collections.slsa.sa.gov.au/mpcimg/69500/B69282_229.htm")</f>
        <v>http://collections.slsa.sa.gov.au/mpcimg/69500/B69282_229.htm</v>
      </c>
    </row>
    <row r="11541" spans="1:11" x14ac:dyDescent="0.25">
      <c r="A11541" t="s">
        <v>35176</v>
      </c>
      <c r="B11541" s="1" t="str">
        <f>HYPERLINK("https://www.catalog.slsa.sa.gov.au/record=b2233476")</f>
        <v>https://www.catalog.slsa.sa.gov.au/record=b2233476</v>
      </c>
      <c r="C11541" s="1" t="str">
        <f>HYPERLINK("https://www.catalog.slsa.sa.gov.au/xrecord=b2233476")</f>
        <v>https://www.catalog.slsa.sa.gov.au/xrecord=b2233476</v>
      </c>
      <c r="D11541" t="s">
        <v>31902</v>
      </c>
      <c r="E11541" t="s">
        <v>35166</v>
      </c>
      <c r="F11541">
        <v>2003</v>
      </c>
      <c r="G11541" t="s">
        <v>33690</v>
      </c>
      <c r="H11541" t="s">
        <v>35177</v>
      </c>
      <c r="J11541" t="s">
        <v>14768</v>
      </c>
      <c r="K11541" s="2" t="str">
        <f>HYPERLINK("http://collections.slsa.sa.gov.au/mpcimg/69500/B69282_231.htm")</f>
        <v>http://collections.slsa.sa.gov.au/mpcimg/69500/B69282_231.htm</v>
      </c>
    </row>
    <row r="11542" spans="1:11" x14ac:dyDescent="0.25">
      <c r="A11542" t="s">
        <v>35178</v>
      </c>
      <c r="B11542" s="1" t="str">
        <f>HYPERLINK("https://www.catalog.slsa.sa.gov.au/record=b2233477")</f>
        <v>https://www.catalog.slsa.sa.gov.au/record=b2233477</v>
      </c>
      <c r="C11542" s="1" t="str">
        <f>HYPERLINK("https://www.catalog.slsa.sa.gov.au/xrecord=b2233477")</f>
        <v>https://www.catalog.slsa.sa.gov.au/xrecord=b2233477</v>
      </c>
      <c r="D11542" t="s">
        <v>31902</v>
      </c>
      <c r="E11542" t="s">
        <v>35166</v>
      </c>
      <c r="F11542">
        <v>2003</v>
      </c>
      <c r="G11542" t="s">
        <v>33690</v>
      </c>
      <c r="H11542" t="s">
        <v>35179</v>
      </c>
      <c r="J11542" t="s">
        <v>14768</v>
      </c>
      <c r="K11542" s="2" t="str">
        <f>HYPERLINK("http://collections.slsa.sa.gov.au/mpcimg/69500/B69282_232.htm")</f>
        <v>http://collections.slsa.sa.gov.au/mpcimg/69500/B69282_232.htm</v>
      </c>
    </row>
    <row r="11543" spans="1:11" x14ac:dyDescent="0.25">
      <c r="A11543" t="s">
        <v>35180</v>
      </c>
      <c r="B11543" s="1" t="str">
        <f>HYPERLINK("https://www.catalog.slsa.sa.gov.au/record=b2233478")</f>
        <v>https://www.catalog.slsa.sa.gov.au/record=b2233478</v>
      </c>
      <c r="C11543" s="1" t="str">
        <f>HYPERLINK("https://www.catalog.slsa.sa.gov.au/xrecord=b2233478")</f>
        <v>https://www.catalog.slsa.sa.gov.au/xrecord=b2233478</v>
      </c>
      <c r="D11543" t="s">
        <v>31902</v>
      </c>
      <c r="E11543" t="s">
        <v>35166</v>
      </c>
      <c r="F11543">
        <v>2003</v>
      </c>
      <c r="G11543" t="s">
        <v>33690</v>
      </c>
      <c r="H11543" t="s">
        <v>35181</v>
      </c>
      <c r="J11543" t="s">
        <v>14768</v>
      </c>
      <c r="K11543" s="2" t="str">
        <f>HYPERLINK("http://collections.slsa.sa.gov.au/mpcimg/69500/B69282_234.htm")</f>
        <v>http://collections.slsa.sa.gov.au/mpcimg/69500/B69282_234.htm</v>
      </c>
    </row>
    <row r="11544" spans="1:11" x14ac:dyDescent="0.25">
      <c r="A11544" t="s">
        <v>35182</v>
      </c>
      <c r="B11544" s="1" t="str">
        <f>HYPERLINK("https://www.catalog.slsa.sa.gov.au/record=b2233479")</f>
        <v>https://www.catalog.slsa.sa.gov.au/record=b2233479</v>
      </c>
      <c r="C11544" s="1" t="str">
        <f>HYPERLINK("https://www.catalog.slsa.sa.gov.au/xrecord=b2233479")</f>
        <v>https://www.catalog.slsa.sa.gov.au/xrecord=b2233479</v>
      </c>
      <c r="D11544" t="s">
        <v>31902</v>
      </c>
      <c r="E11544" t="s">
        <v>35166</v>
      </c>
      <c r="F11544">
        <v>2003</v>
      </c>
      <c r="G11544" t="s">
        <v>33690</v>
      </c>
      <c r="H11544" t="s">
        <v>35183</v>
      </c>
      <c r="J11544" t="s">
        <v>14768</v>
      </c>
      <c r="K11544" s="2" t="str">
        <f>HYPERLINK("http://collections.slsa.sa.gov.au/mpcimg/69500/B69282_233.htm")</f>
        <v>http://collections.slsa.sa.gov.au/mpcimg/69500/B69282_233.htm</v>
      </c>
    </row>
    <row r="11545" spans="1:11" x14ac:dyDescent="0.25">
      <c r="A11545" t="s">
        <v>35184</v>
      </c>
      <c r="B11545" s="1" t="str">
        <f>HYPERLINK("https://www.catalog.slsa.sa.gov.au/record=b2233790")</f>
        <v>https://www.catalog.slsa.sa.gov.au/record=b2233790</v>
      </c>
      <c r="C11545" s="1" t="str">
        <f>HYPERLINK("https://www.catalog.slsa.sa.gov.au/xrecord=b2233790")</f>
        <v>https://www.catalog.slsa.sa.gov.au/xrecord=b2233790</v>
      </c>
      <c r="D11545" t="s">
        <v>31902</v>
      </c>
      <c r="E11545" t="s">
        <v>35166</v>
      </c>
      <c r="F11545">
        <v>2003</v>
      </c>
      <c r="G11545" t="s">
        <v>33690</v>
      </c>
      <c r="H11545" t="s">
        <v>35185</v>
      </c>
      <c r="J11545" t="s">
        <v>14768</v>
      </c>
      <c r="K11545" s="2" t="str">
        <f>HYPERLINK("http://collections.slsa.sa.gov.au/mpcimg/69500/B69282_235.htm")</f>
        <v>http://collections.slsa.sa.gov.au/mpcimg/69500/B69282_235.htm</v>
      </c>
    </row>
    <row r="11546" spans="1:11" x14ac:dyDescent="0.25">
      <c r="A11546" t="s">
        <v>35186</v>
      </c>
      <c r="B11546" s="1" t="str">
        <f>HYPERLINK("https://www.catalog.slsa.sa.gov.au/record=b2233794")</f>
        <v>https://www.catalog.slsa.sa.gov.au/record=b2233794</v>
      </c>
      <c r="C11546" s="1" t="str">
        <f>HYPERLINK("https://www.catalog.slsa.sa.gov.au/xrecord=b2233794")</f>
        <v>https://www.catalog.slsa.sa.gov.au/xrecord=b2233794</v>
      </c>
      <c r="D11546" t="s">
        <v>31902</v>
      </c>
      <c r="E11546" t="s">
        <v>35166</v>
      </c>
      <c r="F11546">
        <v>2003</v>
      </c>
      <c r="G11546" t="s">
        <v>33690</v>
      </c>
      <c r="H11546" t="s">
        <v>35187</v>
      </c>
      <c r="J11546" t="s">
        <v>14768</v>
      </c>
      <c r="K11546" s="2" t="str">
        <f>HYPERLINK("http://collections.slsa.sa.gov.au/mpcimg/69500/B69282_236A.htm")</f>
        <v>http://collections.slsa.sa.gov.au/mpcimg/69500/B69282_236A.htm</v>
      </c>
    </row>
    <row r="11547" spans="1:11" x14ac:dyDescent="0.25">
      <c r="A11547" t="s">
        <v>35188</v>
      </c>
      <c r="B11547" s="1" t="str">
        <f>HYPERLINK("https://www.catalog.slsa.sa.gov.au/record=b2233795")</f>
        <v>https://www.catalog.slsa.sa.gov.au/record=b2233795</v>
      </c>
      <c r="C11547" s="1" t="str">
        <f>HYPERLINK("https://www.catalog.slsa.sa.gov.au/xrecord=b2233795")</f>
        <v>https://www.catalog.slsa.sa.gov.au/xrecord=b2233795</v>
      </c>
      <c r="D11547" t="s">
        <v>31902</v>
      </c>
      <c r="E11547" t="s">
        <v>35166</v>
      </c>
      <c r="F11547">
        <v>2003</v>
      </c>
      <c r="G11547" t="s">
        <v>33690</v>
      </c>
      <c r="H11547" t="s">
        <v>35189</v>
      </c>
      <c r="J11547" t="s">
        <v>14768</v>
      </c>
      <c r="K11547" s="2" t="str">
        <f>HYPERLINK("http://collections.slsa.sa.gov.au/mpcimg/69500/B69282_236.htm")</f>
        <v>http://collections.slsa.sa.gov.au/mpcimg/69500/B69282_236.htm</v>
      </c>
    </row>
    <row r="11548" spans="1:11" x14ac:dyDescent="0.25">
      <c r="A11548" t="s">
        <v>35190</v>
      </c>
      <c r="B11548" s="1" t="str">
        <f>HYPERLINK("https://www.catalog.slsa.sa.gov.au/record=b2233797")</f>
        <v>https://www.catalog.slsa.sa.gov.au/record=b2233797</v>
      </c>
      <c r="C11548" s="1" t="str">
        <f>HYPERLINK("https://www.catalog.slsa.sa.gov.au/xrecord=b2233797")</f>
        <v>https://www.catalog.slsa.sa.gov.au/xrecord=b2233797</v>
      </c>
      <c r="D11548" t="s">
        <v>31902</v>
      </c>
      <c r="E11548" t="s">
        <v>35166</v>
      </c>
      <c r="F11548">
        <v>2003</v>
      </c>
      <c r="G11548" t="s">
        <v>33690</v>
      </c>
      <c r="H11548" t="s">
        <v>35191</v>
      </c>
      <c r="J11548" t="s">
        <v>14768</v>
      </c>
      <c r="K11548" s="2" t="str">
        <f>HYPERLINK("http://collections.slsa.sa.gov.au/mpcimg/69500/B69282_237.htm")</f>
        <v>http://collections.slsa.sa.gov.au/mpcimg/69500/B69282_237.htm</v>
      </c>
    </row>
    <row r="11549" spans="1:11" x14ac:dyDescent="0.25">
      <c r="A11549" t="s">
        <v>35192</v>
      </c>
      <c r="B11549" s="1" t="str">
        <f>HYPERLINK("https://www.catalog.slsa.sa.gov.au/record=b2233798")</f>
        <v>https://www.catalog.slsa.sa.gov.au/record=b2233798</v>
      </c>
      <c r="C11549" s="1" t="str">
        <f>HYPERLINK("https://www.catalog.slsa.sa.gov.au/xrecord=b2233798")</f>
        <v>https://www.catalog.slsa.sa.gov.au/xrecord=b2233798</v>
      </c>
      <c r="D11549" t="s">
        <v>31902</v>
      </c>
      <c r="E11549" t="s">
        <v>35166</v>
      </c>
      <c r="F11549">
        <v>2003</v>
      </c>
      <c r="G11549" t="s">
        <v>33690</v>
      </c>
      <c r="H11549" t="s">
        <v>35193</v>
      </c>
      <c r="J11549" t="s">
        <v>14768</v>
      </c>
      <c r="K11549" s="2" t="str">
        <f>HYPERLINK("http://collections.slsa.sa.gov.au/mpcimg/69500/B69282_238.htm")</f>
        <v>http://collections.slsa.sa.gov.au/mpcimg/69500/B69282_238.htm</v>
      </c>
    </row>
    <row r="11550" spans="1:11" x14ac:dyDescent="0.25">
      <c r="A11550" t="s">
        <v>35194</v>
      </c>
      <c r="B11550" s="1" t="str">
        <f>HYPERLINK("https://www.catalog.slsa.sa.gov.au/record=b2233799")</f>
        <v>https://www.catalog.slsa.sa.gov.au/record=b2233799</v>
      </c>
      <c r="C11550" s="1" t="str">
        <f>HYPERLINK("https://www.catalog.slsa.sa.gov.au/xrecord=b2233799")</f>
        <v>https://www.catalog.slsa.sa.gov.au/xrecord=b2233799</v>
      </c>
      <c r="D11550" t="s">
        <v>31902</v>
      </c>
      <c r="E11550" t="s">
        <v>35166</v>
      </c>
      <c r="F11550">
        <v>2003</v>
      </c>
      <c r="G11550" t="s">
        <v>33690</v>
      </c>
      <c r="H11550" t="s">
        <v>35195</v>
      </c>
      <c r="J11550" t="s">
        <v>14768</v>
      </c>
      <c r="K11550" s="2" t="str">
        <f>HYPERLINK("http://collections.slsa.sa.gov.au/mpcimg/69500/B69282_239.htm")</f>
        <v>http://collections.slsa.sa.gov.au/mpcimg/69500/B69282_239.htm</v>
      </c>
    </row>
    <row r="11551" spans="1:11" x14ac:dyDescent="0.25">
      <c r="A11551" t="s">
        <v>35196</v>
      </c>
      <c r="B11551" s="1" t="str">
        <f>HYPERLINK("https://www.catalog.slsa.sa.gov.au/record=b2275458")</f>
        <v>https://www.catalog.slsa.sa.gov.au/record=b2275458</v>
      </c>
      <c r="C11551" s="1" t="str">
        <f>HYPERLINK("https://www.catalog.slsa.sa.gov.au/xrecord=b2275458")</f>
        <v>https://www.catalog.slsa.sa.gov.au/xrecord=b2275458</v>
      </c>
      <c r="D11551" t="s">
        <v>31902</v>
      </c>
      <c r="E11551" t="s">
        <v>35197</v>
      </c>
      <c r="F11551">
        <v>2003</v>
      </c>
      <c r="G11551" t="s">
        <v>33690</v>
      </c>
      <c r="H11551" t="s">
        <v>35198</v>
      </c>
      <c r="J11551" t="s">
        <v>14768</v>
      </c>
      <c r="K11551" s="2" t="str">
        <f>HYPERLINK("http://collections.slsa.sa.gov.au/mpcimg/69500/B69282_240.htm")</f>
        <v>http://collections.slsa.sa.gov.au/mpcimg/69500/B69282_240.htm</v>
      </c>
    </row>
    <row r="11552" spans="1:11" x14ac:dyDescent="0.25">
      <c r="A11552" t="s">
        <v>35199</v>
      </c>
      <c r="B11552" s="1" t="str">
        <f>HYPERLINK("https://www.catalog.slsa.sa.gov.au/record=b2275461")</f>
        <v>https://www.catalog.slsa.sa.gov.au/record=b2275461</v>
      </c>
      <c r="C11552" s="1" t="str">
        <f>HYPERLINK("https://www.catalog.slsa.sa.gov.au/xrecord=b2275461")</f>
        <v>https://www.catalog.slsa.sa.gov.au/xrecord=b2275461</v>
      </c>
      <c r="D11552" t="s">
        <v>31902</v>
      </c>
      <c r="E11552" t="s">
        <v>35200</v>
      </c>
      <c r="F11552">
        <v>2003</v>
      </c>
      <c r="G11552" t="s">
        <v>33690</v>
      </c>
      <c r="H11552" t="s">
        <v>35201</v>
      </c>
      <c r="J11552" t="s">
        <v>14768</v>
      </c>
      <c r="K11552" s="2" t="str">
        <f>HYPERLINK("http://collections.slsa.sa.gov.au/mpcimg/69500/B69282_241.htm")</f>
        <v>http://collections.slsa.sa.gov.au/mpcimg/69500/B69282_241.htm</v>
      </c>
    </row>
    <row r="11553" spans="1:11" x14ac:dyDescent="0.25">
      <c r="A11553" t="s">
        <v>35202</v>
      </c>
      <c r="B11553" s="1" t="str">
        <f>HYPERLINK("https://www.catalog.slsa.sa.gov.au/record=b2275462")</f>
        <v>https://www.catalog.slsa.sa.gov.au/record=b2275462</v>
      </c>
      <c r="C11553" s="1" t="str">
        <f>HYPERLINK("https://www.catalog.slsa.sa.gov.au/xrecord=b2275462")</f>
        <v>https://www.catalog.slsa.sa.gov.au/xrecord=b2275462</v>
      </c>
      <c r="D11553" t="s">
        <v>31902</v>
      </c>
      <c r="E11553" t="s">
        <v>35200</v>
      </c>
      <c r="F11553">
        <v>2003</v>
      </c>
      <c r="G11553" t="s">
        <v>33690</v>
      </c>
      <c r="H11553" t="s">
        <v>35201</v>
      </c>
      <c r="J11553" t="s">
        <v>14768</v>
      </c>
      <c r="K11553" s="2" t="str">
        <f>HYPERLINK("http://collections.slsa.sa.gov.au/mpcimg/69500/B69282_242.htm")</f>
        <v>http://collections.slsa.sa.gov.au/mpcimg/69500/B69282_242.htm</v>
      </c>
    </row>
    <row r="11554" spans="1:11" x14ac:dyDescent="0.25">
      <c r="A11554" t="s">
        <v>35203</v>
      </c>
      <c r="B11554" s="1" t="str">
        <f>HYPERLINK("https://www.catalog.slsa.sa.gov.au/record=b2275463")</f>
        <v>https://www.catalog.slsa.sa.gov.au/record=b2275463</v>
      </c>
      <c r="C11554" s="1" t="str">
        <f>HYPERLINK("https://www.catalog.slsa.sa.gov.au/xrecord=b2275463")</f>
        <v>https://www.catalog.slsa.sa.gov.au/xrecord=b2275463</v>
      </c>
      <c r="D11554" t="s">
        <v>31902</v>
      </c>
      <c r="E11554" t="s">
        <v>35200</v>
      </c>
      <c r="F11554">
        <v>2003</v>
      </c>
      <c r="G11554" t="s">
        <v>33690</v>
      </c>
      <c r="H11554" t="s">
        <v>35204</v>
      </c>
      <c r="J11554" t="s">
        <v>14768</v>
      </c>
      <c r="K11554" s="2" t="str">
        <f>HYPERLINK("http://collections.slsa.sa.gov.au/mpcimg/69500/B69282_243.htm")</f>
        <v>http://collections.slsa.sa.gov.au/mpcimg/69500/B69282_243.htm</v>
      </c>
    </row>
    <row r="11555" spans="1:11" x14ac:dyDescent="0.25">
      <c r="A11555" t="s">
        <v>35205</v>
      </c>
      <c r="B11555" s="1" t="str">
        <f>HYPERLINK("https://www.catalog.slsa.sa.gov.au/record=b2275467")</f>
        <v>https://www.catalog.slsa.sa.gov.au/record=b2275467</v>
      </c>
      <c r="C11555" s="1" t="str">
        <f>HYPERLINK("https://www.catalog.slsa.sa.gov.au/xrecord=b2275467")</f>
        <v>https://www.catalog.slsa.sa.gov.au/xrecord=b2275467</v>
      </c>
      <c r="D11555" t="s">
        <v>31902</v>
      </c>
      <c r="E11555" t="s">
        <v>35200</v>
      </c>
      <c r="F11555">
        <v>2003</v>
      </c>
      <c r="G11555" t="s">
        <v>33690</v>
      </c>
      <c r="H11555" t="s">
        <v>35206</v>
      </c>
      <c r="J11555" t="s">
        <v>14768</v>
      </c>
      <c r="K11555" s="2" t="str">
        <f>HYPERLINK("http://collections.slsa.sa.gov.au/mpcimg/69500/B69282_244.htm")</f>
        <v>http://collections.slsa.sa.gov.au/mpcimg/69500/B69282_244.htm</v>
      </c>
    </row>
    <row r="11556" spans="1:11" x14ac:dyDescent="0.25">
      <c r="A11556" t="s">
        <v>35207</v>
      </c>
      <c r="B11556" s="1" t="str">
        <f>HYPERLINK("https://www.catalog.slsa.sa.gov.au/record=b2275470")</f>
        <v>https://www.catalog.slsa.sa.gov.au/record=b2275470</v>
      </c>
      <c r="C11556" s="1" t="str">
        <f>HYPERLINK("https://www.catalog.slsa.sa.gov.au/xrecord=b2275470")</f>
        <v>https://www.catalog.slsa.sa.gov.au/xrecord=b2275470</v>
      </c>
      <c r="D11556" t="s">
        <v>31902</v>
      </c>
      <c r="E11556" t="s">
        <v>35200</v>
      </c>
      <c r="F11556">
        <v>2003</v>
      </c>
      <c r="G11556" t="s">
        <v>33690</v>
      </c>
      <c r="H11556" t="s">
        <v>35208</v>
      </c>
      <c r="J11556" t="s">
        <v>14768</v>
      </c>
      <c r="K11556" s="2" t="str">
        <f>HYPERLINK("http://collections.slsa.sa.gov.au/mpcimg/69500/B69282_245.htm")</f>
        <v>http://collections.slsa.sa.gov.au/mpcimg/69500/B69282_245.htm</v>
      </c>
    </row>
    <row r="11557" spans="1:11" x14ac:dyDescent="0.25">
      <c r="A11557" t="s">
        <v>35209</v>
      </c>
      <c r="B11557" s="1" t="str">
        <f>HYPERLINK("https://www.catalog.slsa.sa.gov.au/record=b2275472")</f>
        <v>https://www.catalog.slsa.sa.gov.au/record=b2275472</v>
      </c>
      <c r="C11557" s="1" t="str">
        <f>HYPERLINK("https://www.catalog.slsa.sa.gov.au/xrecord=b2275472")</f>
        <v>https://www.catalog.slsa.sa.gov.au/xrecord=b2275472</v>
      </c>
      <c r="D11557" t="s">
        <v>31902</v>
      </c>
      <c r="E11557" t="s">
        <v>35210</v>
      </c>
      <c r="F11557">
        <v>2003</v>
      </c>
      <c r="G11557" t="s">
        <v>33690</v>
      </c>
      <c r="H11557" t="s">
        <v>35211</v>
      </c>
      <c r="J11557" t="s">
        <v>14768</v>
      </c>
      <c r="K11557" s="2" t="str">
        <f>HYPERLINK("http://collections.slsa.sa.gov.au/mpcimg/69500/B69282_246.htm")</f>
        <v>http://collections.slsa.sa.gov.au/mpcimg/69500/B69282_246.htm</v>
      </c>
    </row>
    <row r="11558" spans="1:11" x14ac:dyDescent="0.25">
      <c r="A11558" t="s">
        <v>35212</v>
      </c>
      <c r="B11558" s="1" t="str">
        <f>HYPERLINK("https://www.catalog.slsa.sa.gov.au/record=b2275474")</f>
        <v>https://www.catalog.slsa.sa.gov.au/record=b2275474</v>
      </c>
      <c r="C11558" s="1" t="str">
        <f>HYPERLINK("https://www.catalog.slsa.sa.gov.au/xrecord=b2275474")</f>
        <v>https://www.catalog.slsa.sa.gov.au/xrecord=b2275474</v>
      </c>
      <c r="D11558" t="s">
        <v>31902</v>
      </c>
      <c r="E11558" t="s">
        <v>35210</v>
      </c>
      <c r="F11558">
        <v>2003</v>
      </c>
      <c r="G11558" t="s">
        <v>33690</v>
      </c>
      <c r="H11558" t="s">
        <v>35213</v>
      </c>
      <c r="J11558" t="s">
        <v>14768</v>
      </c>
      <c r="K11558" s="2" t="str">
        <f>HYPERLINK("http://collections.slsa.sa.gov.au/mpcimg/69500/B69282_247.htm")</f>
        <v>http://collections.slsa.sa.gov.au/mpcimg/69500/B69282_247.htm</v>
      </c>
    </row>
    <row r="11559" spans="1:11" x14ac:dyDescent="0.25">
      <c r="A11559" t="s">
        <v>35214</v>
      </c>
      <c r="B11559" s="1" t="str">
        <f>HYPERLINK("https://www.catalog.slsa.sa.gov.au/record=b2275477")</f>
        <v>https://www.catalog.slsa.sa.gov.au/record=b2275477</v>
      </c>
      <c r="C11559" s="1" t="str">
        <f>HYPERLINK("https://www.catalog.slsa.sa.gov.au/xrecord=b2275477")</f>
        <v>https://www.catalog.slsa.sa.gov.au/xrecord=b2275477</v>
      </c>
      <c r="D11559" t="s">
        <v>31902</v>
      </c>
      <c r="E11559" t="s">
        <v>35210</v>
      </c>
      <c r="F11559">
        <v>2003</v>
      </c>
      <c r="G11559" t="s">
        <v>33690</v>
      </c>
      <c r="H11559" t="s">
        <v>35215</v>
      </c>
      <c r="J11559" t="s">
        <v>14768</v>
      </c>
      <c r="K11559" s="2" t="str">
        <f>HYPERLINK("http://collections.slsa.sa.gov.au/mpcimg/69500/B69282_248.htm")</f>
        <v>http://collections.slsa.sa.gov.au/mpcimg/69500/B69282_248.htm</v>
      </c>
    </row>
    <row r="11560" spans="1:11" x14ac:dyDescent="0.25">
      <c r="A11560" t="s">
        <v>35216</v>
      </c>
      <c r="B11560" s="1" t="str">
        <f>HYPERLINK("https://www.catalog.slsa.sa.gov.au/record=b2275479")</f>
        <v>https://www.catalog.slsa.sa.gov.au/record=b2275479</v>
      </c>
      <c r="C11560" s="1" t="str">
        <f>HYPERLINK("https://www.catalog.slsa.sa.gov.au/xrecord=b2275479")</f>
        <v>https://www.catalog.slsa.sa.gov.au/xrecord=b2275479</v>
      </c>
      <c r="D11560" t="s">
        <v>31902</v>
      </c>
      <c r="E11560" t="s">
        <v>35160</v>
      </c>
      <c r="F11560">
        <v>2003</v>
      </c>
      <c r="G11560" t="s">
        <v>33690</v>
      </c>
      <c r="H11560" t="s">
        <v>35217</v>
      </c>
      <c r="J11560" t="s">
        <v>14768</v>
      </c>
      <c r="K11560" s="2" t="str">
        <f>HYPERLINK("http://collections.slsa.sa.gov.au/mpcimg/69500/B69282_249.htm")</f>
        <v>http://collections.slsa.sa.gov.au/mpcimg/69500/B69282_249.htm</v>
      </c>
    </row>
    <row r="11561" spans="1:11" x14ac:dyDescent="0.25">
      <c r="A11561" t="s">
        <v>35218</v>
      </c>
      <c r="B11561" s="1" t="str">
        <f>HYPERLINK("https://www.catalog.slsa.sa.gov.au/record=b2275601")</f>
        <v>https://www.catalog.slsa.sa.gov.au/record=b2275601</v>
      </c>
      <c r="C11561" s="1" t="str">
        <f>HYPERLINK("https://www.catalog.slsa.sa.gov.au/xrecord=b2275601")</f>
        <v>https://www.catalog.slsa.sa.gov.au/xrecord=b2275601</v>
      </c>
      <c r="D11561" t="s">
        <v>31902</v>
      </c>
      <c r="E11561" t="s">
        <v>35219</v>
      </c>
      <c r="F11561">
        <v>2003</v>
      </c>
      <c r="G11561" t="s">
        <v>33690</v>
      </c>
      <c r="H11561" t="s">
        <v>35220</v>
      </c>
      <c r="J11561" t="s">
        <v>14768</v>
      </c>
      <c r="K11561" s="2" t="str">
        <f>HYPERLINK("http://collections.slsa.sa.gov.au/mpcimg/69500/B69282_250.htm")</f>
        <v>http://collections.slsa.sa.gov.au/mpcimg/69500/B69282_250.htm</v>
      </c>
    </row>
    <row r="11562" spans="1:11" x14ac:dyDescent="0.25">
      <c r="A11562" t="s">
        <v>35221</v>
      </c>
      <c r="B11562" s="1" t="str">
        <f>HYPERLINK("https://www.catalog.slsa.sa.gov.au/record=b2275604")</f>
        <v>https://www.catalog.slsa.sa.gov.au/record=b2275604</v>
      </c>
      <c r="C11562" s="1" t="str">
        <f>HYPERLINK("https://www.catalog.slsa.sa.gov.au/xrecord=b2275604")</f>
        <v>https://www.catalog.slsa.sa.gov.au/xrecord=b2275604</v>
      </c>
      <c r="D11562" t="s">
        <v>31902</v>
      </c>
      <c r="E11562" t="s">
        <v>35219</v>
      </c>
      <c r="F11562">
        <v>2003</v>
      </c>
      <c r="G11562" t="s">
        <v>33690</v>
      </c>
      <c r="H11562" t="s">
        <v>35222</v>
      </c>
      <c r="J11562" t="s">
        <v>14768</v>
      </c>
      <c r="K11562" s="2" t="str">
        <f>HYPERLINK("http://collections.slsa.sa.gov.au/mpcimg/69500/B69282_251.htm")</f>
        <v>http://collections.slsa.sa.gov.au/mpcimg/69500/B69282_251.htm</v>
      </c>
    </row>
    <row r="11563" spans="1:11" x14ac:dyDescent="0.25">
      <c r="A11563" t="s">
        <v>35223</v>
      </c>
      <c r="B11563" s="1" t="str">
        <f>HYPERLINK("https://www.catalog.slsa.sa.gov.au/record=b2275605")</f>
        <v>https://www.catalog.slsa.sa.gov.au/record=b2275605</v>
      </c>
      <c r="C11563" s="1" t="str">
        <f>HYPERLINK("https://www.catalog.slsa.sa.gov.au/xrecord=b2275605")</f>
        <v>https://www.catalog.slsa.sa.gov.au/xrecord=b2275605</v>
      </c>
      <c r="D11563" t="s">
        <v>31902</v>
      </c>
      <c r="E11563" t="s">
        <v>35224</v>
      </c>
      <c r="F11563">
        <v>2003</v>
      </c>
      <c r="G11563" t="s">
        <v>33690</v>
      </c>
      <c r="H11563" t="s">
        <v>35225</v>
      </c>
      <c r="J11563" t="s">
        <v>14768</v>
      </c>
      <c r="K11563" s="2" t="str">
        <f>HYPERLINK("http://collections.slsa.sa.gov.au/mpcimg/69500/B69282_254.htm")</f>
        <v>http://collections.slsa.sa.gov.au/mpcimg/69500/B69282_254.htm</v>
      </c>
    </row>
    <row r="11564" spans="1:11" x14ac:dyDescent="0.25">
      <c r="A11564" t="s">
        <v>35226</v>
      </c>
      <c r="B11564" s="1" t="str">
        <f>HYPERLINK("https://www.catalog.slsa.sa.gov.au/record=b2275607")</f>
        <v>https://www.catalog.slsa.sa.gov.au/record=b2275607</v>
      </c>
      <c r="C11564" s="1" t="str">
        <f>HYPERLINK("https://www.catalog.slsa.sa.gov.au/xrecord=b2275607")</f>
        <v>https://www.catalog.slsa.sa.gov.au/xrecord=b2275607</v>
      </c>
      <c r="D11564" t="s">
        <v>31902</v>
      </c>
      <c r="E11564" t="s">
        <v>35224</v>
      </c>
      <c r="F11564">
        <v>2003</v>
      </c>
      <c r="G11564" t="s">
        <v>33690</v>
      </c>
      <c r="H11564" t="s">
        <v>35227</v>
      </c>
      <c r="J11564" t="s">
        <v>14768</v>
      </c>
      <c r="K11564" s="2" t="str">
        <f>HYPERLINK("http://collections.slsa.sa.gov.au/mpcimg/69500/B69282_253.htm")</f>
        <v>http://collections.slsa.sa.gov.au/mpcimg/69500/B69282_253.htm</v>
      </c>
    </row>
    <row r="11565" spans="1:11" x14ac:dyDescent="0.25">
      <c r="A11565" t="s">
        <v>35228</v>
      </c>
      <c r="B11565" s="1" t="str">
        <f>HYPERLINK("https://www.catalog.slsa.sa.gov.au/record=b2275614")</f>
        <v>https://www.catalog.slsa.sa.gov.au/record=b2275614</v>
      </c>
      <c r="C11565" s="1" t="str">
        <f>HYPERLINK("https://www.catalog.slsa.sa.gov.au/xrecord=b2275614")</f>
        <v>https://www.catalog.slsa.sa.gov.au/xrecord=b2275614</v>
      </c>
      <c r="D11565" t="s">
        <v>31902</v>
      </c>
      <c r="E11565" t="s">
        <v>35224</v>
      </c>
      <c r="F11565">
        <v>2003</v>
      </c>
      <c r="G11565" t="s">
        <v>33690</v>
      </c>
      <c r="H11565" t="s">
        <v>35229</v>
      </c>
      <c r="J11565" t="s">
        <v>14768</v>
      </c>
      <c r="K11565" s="2" t="str">
        <f>HYPERLINK("http://collections.slsa.sa.gov.au/mpcimg/69500/B69282_255.htm")</f>
        <v>http://collections.slsa.sa.gov.au/mpcimg/69500/B69282_255.htm</v>
      </c>
    </row>
    <row r="11566" spans="1:11" x14ac:dyDescent="0.25">
      <c r="A11566" t="s">
        <v>35230</v>
      </c>
      <c r="B11566" s="1" t="str">
        <f>HYPERLINK("https://www.catalog.slsa.sa.gov.au/record=b2275630")</f>
        <v>https://www.catalog.slsa.sa.gov.au/record=b2275630</v>
      </c>
      <c r="C11566" s="1" t="str">
        <f>HYPERLINK("https://www.catalog.slsa.sa.gov.au/xrecord=b2275630")</f>
        <v>https://www.catalog.slsa.sa.gov.au/xrecord=b2275630</v>
      </c>
      <c r="D11566" t="s">
        <v>31902</v>
      </c>
      <c r="E11566" t="s">
        <v>35015</v>
      </c>
      <c r="F11566">
        <v>2003</v>
      </c>
      <c r="G11566" t="s">
        <v>33690</v>
      </c>
      <c r="H11566" t="s">
        <v>35231</v>
      </c>
      <c r="J11566" t="s">
        <v>14768</v>
      </c>
      <c r="K11566" s="2" t="str">
        <f>HYPERLINK("http://collections.slsa.sa.gov.au/mpcimg/69500/B69282_252.htm")</f>
        <v>http://collections.slsa.sa.gov.au/mpcimg/69500/B69282_252.htm</v>
      </c>
    </row>
    <row r="11567" spans="1:11" x14ac:dyDescent="0.25">
      <c r="A11567" t="s">
        <v>35232</v>
      </c>
      <c r="B11567" s="1" t="str">
        <f>HYPERLINK("https://www.catalog.slsa.sa.gov.au/record=b2275644")</f>
        <v>https://www.catalog.slsa.sa.gov.au/record=b2275644</v>
      </c>
      <c r="C11567" s="1" t="str">
        <f>HYPERLINK("https://www.catalog.slsa.sa.gov.au/xrecord=b2275644")</f>
        <v>https://www.catalog.slsa.sa.gov.au/xrecord=b2275644</v>
      </c>
      <c r="D11567" t="s">
        <v>31902</v>
      </c>
      <c r="E11567" t="s">
        <v>35233</v>
      </c>
      <c r="F11567">
        <v>2003</v>
      </c>
      <c r="G11567" t="s">
        <v>33690</v>
      </c>
      <c r="H11567" t="s">
        <v>35234</v>
      </c>
      <c r="J11567" t="s">
        <v>14768</v>
      </c>
      <c r="K11567" s="2" t="str">
        <f>HYPERLINK("http://collections.slsa.sa.gov.au/mpcimg/69500/B69282_256.htm")</f>
        <v>http://collections.slsa.sa.gov.au/mpcimg/69500/B69282_256.htm</v>
      </c>
    </row>
    <row r="11568" spans="1:11" x14ac:dyDescent="0.25">
      <c r="A11568" t="s">
        <v>35235</v>
      </c>
      <c r="B11568" s="1" t="str">
        <f>HYPERLINK("https://www.catalog.slsa.sa.gov.au/record=b2286940")</f>
        <v>https://www.catalog.slsa.sa.gov.au/record=b2286940</v>
      </c>
      <c r="C11568" s="1" t="str">
        <f>HYPERLINK("https://www.catalog.slsa.sa.gov.au/xrecord=b2286940")</f>
        <v>https://www.catalog.slsa.sa.gov.au/xrecord=b2286940</v>
      </c>
      <c r="D11568" t="s">
        <v>31902</v>
      </c>
      <c r="E11568" t="s">
        <v>35236</v>
      </c>
      <c r="F11568">
        <v>2003</v>
      </c>
      <c r="G11568" t="s">
        <v>33690</v>
      </c>
      <c r="H11568" t="s">
        <v>35237</v>
      </c>
      <c r="J11568" t="s">
        <v>14768</v>
      </c>
      <c r="K11568" s="2" t="str">
        <f>HYPERLINK("http://collections.slsa.sa.gov.au/mpcimg/69500/B69282_257.htm")</f>
        <v>http://collections.slsa.sa.gov.au/mpcimg/69500/B69282_257.htm</v>
      </c>
    </row>
    <row r="11569" spans="1:11" x14ac:dyDescent="0.25">
      <c r="A11569" t="s">
        <v>35238</v>
      </c>
      <c r="B11569" s="1" t="str">
        <f>HYPERLINK("https://www.catalog.slsa.sa.gov.au/record=b2290626")</f>
        <v>https://www.catalog.slsa.sa.gov.au/record=b2290626</v>
      </c>
      <c r="C11569" s="1" t="str">
        <f>HYPERLINK("https://www.catalog.slsa.sa.gov.au/xrecord=b2290626")</f>
        <v>https://www.catalog.slsa.sa.gov.au/xrecord=b2290626</v>
      </c>
      <c r="D11569" t="s">
        <v>31902</v>
      </c>
      <c r="E11569" t="s">
        <v>35239</v>
      </c>
      <c r="F11569">
        <v>2003</v>
      </c>
      <c r="G11569" t="s">
        <v>33690</v>
      </c>
      <c r="H11569" t="s">
        <v>35240</v>
      </c>
      <c r="J11569" t="s">
        <v>14768</v>
      </c>
      <c r="K11569" s="2" t="str">
        <f>HYPERLINK("http://collections.slsa.sa.gov.au/mpcimg/69500/B69282_258.htm")</f>
        <v>http://collections.slsa.sa.gov.au/mpcimg/69500/B69282_258.htm</v>
      </c>
    </row>
    <row r="11570" spans="1:11" x14ac:dyDescent="0.25">
      <c r="A11570" t="s">
        <v>35241</v>
      </c>
      <c r="B11570" s="1" t="str">
        <f>HYPERLINK("https://www.catalog.slsa.sa.gov.au/record=b2128208")</f>
        <v>https://www.catalog.slsa.sa.gov.au/record=b2128208</v>
      </c>
      <c r="C11570" s="1" t="str">
        <f>HYPERLINK("https://www.catalog.slsa.sa.gov.au/xrecord=b2128208")</f>
        <v>https://www.catalog.slsa.sa.gov.au/xrecord=b2128208</v>
      </c>
      <c r="D11570" t="s">
        <v>31902</v>
      </c>
      <c r="E11570" t="s">
        <v>35242</v>
      </c>
      <c r="F11570">
        <v>2004</v>
      </c>
      <c r="G11570" t="s">
        <v>33690</v>
      </c>
      <c r="H11570" t="s">
        <v>35243</v>
      </c>
      <c r="J11570" t="s">
        <v>14768</v>
      </c>
      <c r="K11570" s="2" t="str">
        <f>HYPERLINK("http://collections.slsa.sa.gov.au/mpcimg/69500/B69282_320.htm")</f>
        <v>http://collections.slsa.sa.gov.au/mpcimg/69500/B69282_320.htm</v>
      </c>
    </row>
    <row r="11571" spans="1:11" x14ac:dyDescent="0.25">
      <c r="A11571" t="s">
        <v>35244</v>
      </c>
      <c r="B11571" s="1" t="str">
        <f>HYPERLINK("https://www.catalog.slsa.sa.gov.au/record=b2128210")</f>
        <v>https://www.catalog.slsa.sa.gov.au/record=b2128210</v>
      </c>
      <c r="C11571" s="1" t="str">
        <f>HYPERLINK("https://www.catalog.slsa.sa.gov.au/xrecord=b2128210")</f>
        <v>https://www.catalog.slsa.sa.gov.au/xrecord=b2128210</v>
      </c>
      <c r="D11571" t="s">
        <v>31902</v>
      </c>
      <c r="E11571" t="s">
        <v>35242</v>
      </c>
      <c r="F11571">
        <v>2004</v>
      </c>
      <c r="G11571" t="s">
        <v>33690</v>
      </c>
      <c r="H11571" t="s">
        <v>35245</v>
      </c>
      <c r="J11571" t="s">
        <v>14768</v>
      </c>
      <c r="K11571" s="2" t="str">
        <f>HYPERLINK("http://collections.slsa.sa.gov.au/mpcimg/69500/B69282_321.htm")</f>
        <v>http://collections.slsa.sa.gov.au/mpcimg/69500/B69282_321.htm</v>
      </c>
    </row>
    <row r="11572" spans="1:11" x14ac:dyDescent="0.25">
      <c r="A11572" t="s">
        <v>35246</v>
      </c>
      <c r="B11572" s="1" t="str">
        <f>HYPERLINK("https://www.catalog.slsa.sa.gov.au/record=b2128213")</f>
        <v>https://www.catalog.slsa.sa.gov.au/record=b2128213</v>
      </c>
      <c r="C11572" s="1" t="str">
        <f>HYPERLINK("https://www.catalog.slsa.sa.gov.au/xrecord=b2128213")</f>
        <v>https://www.catalog.slsa.sa.gov.au/xrecord=b2128213</v>
      </c>
      <c r="D11572" t="s">
        <v>31902</v>
      </c>
      <c r="E11572" t="s">
        <v>35242</v>
      </c>
      <c r="F11572">
        <v>2004</v>
      </c>
      <c r="G11572" t="s">
        <v>33690</v>
      </c>
      <c r="H11572" t="s">
        <v>35247</v>
      </c>
      <c r="J11572" t="s">
        <v>14768</v>
      </c>
      <c r="K11572" s="2" t="str">
        <f>HYPERLINK("http://collections.slsa.sa.gov.au/mpcimg/69500/B69282_322.htm")</f>
        <v>http://collections.slsa.sa.gov.au/mpcimg/69500/B69282_322.htm</v>
      </c>
    </row>
    <row r="11573" spans="1:11" x14ac:dyDescent="0.25">
      <c r="A11573" t="s">
        <v>35248</v>
      </c>
      <c r="B11573" s="1" t="str">
        <f>HYPERLINK("https://www.catalog.slsa.sa.gov.au/record=b2128230")</f>
        <v>https://www.catalog.slsa.sa.gov.au/record=b2128230</v>
      </c>
      <c r="C11573" s="1" t="str">
        <f>HYPERLINK("https://www.catalog.slsa.sa.gov.au/xrecord=b2128230")</f>
        <v>https://www.catalog.slsa.sa.gov.au/xrecord=b2128230</v>
      </c>
      <c r="D11573" t="s">
        <v>31902</v>
      </c>
      <c r="E11573" t="s">
        <v>35242</v>
      </c>
      <c r="F11573">
        <v>2004</v>
      </c>
      <c r="G11573" t="s">
        <v>33690</v>
      </c>
      <c r="H11573" t="s">
        <v>35249</v>
      </c>
      <c r="J11573" t="s">
        <v>14768</v>
      </c>
      <c r="K11573" s="2" t="str">
        <f>HYPERLINK("http://collections.slsa.sa.gov.au/mpcimg/69500/B69282_323.htm")</f>
        <v>http://collections.slsa.sa.gov.au/mpcimg/69500/B69282_323.htm</v>
      </c>
    </row>
    <row r="11574" spans="1:11" x14ac:dyDescent="0.25">
      <c r="A11574" t="s">
        <v>35250</v>
      </c>
      <c r="B11574" s="1" t="str">
        <f>HYPERLINK("https://www.catalog.slsa.sa.gov.au/record=b2128233")</f>
        <v>https://www.catalog.slsa.sa.gov.au/record=b2128233</v>
      </c>
      <c r="C11574" s="1" t="str">
        <f>HYPERLINK("https://www.catalog.slsa.sa.gov.au/xrecord=b2128233")</f>
        <v>https://www.catalog.slsa.sa.gov.au/xrecord=b2128233</v>
      </c>
      <c r="D11574" t="s">
        <v>31902</v>
      </c>
      <c r="E11574" t="s">
        <v>35242</v>
      </c>
      <c r="F11574">
        <v>2004</v>
      </c>
      <c r="G11574" t="s">
        <v>33690</v>
      </c>
      <c r="H11574" t="s">
        <v>35251</v>
      </c>
      <c r="J11574" t="s">
        <v>14768</v>
      </c>
      <c r="K11574" s="2" t="str">
        <f>HYPERLINK("http://collections.slsa.sa.gov.au/mpcimg/69500/B69282_324.htm")</f>
        <v>http://collections.slsa.sa.gov.au/mpcimg/69500/B69282_324.htm</v>
      </c>
    </row>
    <row r="11575" spans="1:11" x14ac:dyDescent="0.25">
      <c r="A11575" t="s">
        <v>35252</v>
      </c>
      <c r="B11575" s="1" t="str">
        <f>HYPERLINK("https://www.catalog.slsa.sa.gov.au/record=b2128240")</f>
        <v>https://www.catalog.slsa.sa.gov.au/record=b2128240</v>
      </c>
      <c r="C11575" s="1" t="str">
        <f>HYPERLINK("https://www.catalog.slsa.sa.gov.au/xrecord=b2128240")</f>
        <v>https://www.catalog.slsa.sa.gov.au/xrecord=b2128240</v>
      </c>
      <c r="D11575" t="s">
        <v>31902</v>
      </c>
      <c r="E11575" t="s">
        <v>35253</v>
      </c>
      <c r="F11575">
        <v>2004</v>
      </c>
      <c r="G11575" t="s">
        <v>33690</v>
      </c>
      <c r="H11575" t="s">
        <v>35254</v>
      </c>
      <c r="J11575" t="s">
        <v>14768</v>
      </c>
      <c r="K11575" s="2" t="str">
        <f>HYPERLINK("http://collections.slsa.sa.gov.au/mpcimg/69500/B69282_325.htm")</f>
        <v>http://collections.slsa.sa.gov.au/mpcimg/69500/B69282_325.htm</v>
      </c>
    </row>
    <row r="11576" spans="1:11" x14ac:dyDescent="0.25">
      <c r="A11576" t="s">
        <v>35255</v>
      </c>
      <c r="B11576" s="1" t="str">
        <f>HYPERLINK("https://www.catalog.slsa.sa.gov.au/record=b2128310")</f>
        <v>https://www.catalog.slsa.sa.gov.au/record=b2128310</v>
      </c>
      <c r="C11576" s="1" t="str">
        <f>HYPERLINK("https://www.catalog.slsa.sa.gov.au/xrecord=b2128310")</f>
        <v>https://www.catalog.slsa.sa.gov.au/xrecord=b2128310</v>
      </c>
      <c r="D11576" t="s">
        <v>31902</v>
      </c>
      <c r="E11576" t="s">
        <v>35256</v>
      </c>
      <c r="F11576">
        <v>2004</v>
      </c>
      <c r="G11576" t="s">
        <v>33690</v>
      </c>
      <c r="H11576" t="s">
        <v>35257</v>
      </c>
      <c r="J11576" t="s">
        <v>14768</v>
      </c>
      <c r="K11576" s="2" t="str">
        <f>HYPERLINK("http://collections.slsa.sa.gov.au/mpcimg/69500/B69282_326.htm")</f>
        <v>http://collections.slsa.sa.gov.au/mpcimg/69500/B69282_326.htm</v>
      </c>
    </row>
    <row r="11577" spans="1:11" x14ac:dyDescent="0.25">
      <c r="A11577" t="s">
        <v>35258</v>
      </c>
      <c r="B11577" s="1" t="str">
        <f>HYPERLINK("https://www.catalog.slsa.sa.gov.au/record=b2128311")</f>
        <v>https://www.catalog.slsa.sa.gov.au/record=b2128311</v>
      </c>
      <c r="C11577" s="1" t="str">
        <f>HYPERLINK("https://www.catalog.slsa.sa.gov.au/xrecord=b2128311")</f>
        <v>https://www.catalog.slsa.sa.gov.au/xrecord=b2128311</v>
      </c>
      <c r="D11577" t="s">
        <v>31902</v>
      </c>
      <c r="E11577" t="s">
        <v>35259</v>
      </c>
      <c r="F11577">
        <v>2004</v>
      </c>
      <c r="G11577" t="s">
        <v>33690</v>
      </c>
      <c r="H11577" t="s">
        <v>35260</v>
      </c>
      <c r="J11577" t="s">
        <v>14768</v>
      </c>
      <c r="K11577" s="2" t="str">
        <f>HYPERLINK("http://collections.slsa.sa.gov.au/mpcimg/69500/B69282_327.htm")</f>
        <v>http://collections.slsa.sa.gov.au/mpcimg/69500/B69282_327.htm</v>
      </c>
    </row>
    <row r="11578" spans="1:11" x14ac:dyDescent="0.25">
      <c r="A11578" t="s">
        <v>35261</v>
      </c>
      <c r="B11578" s="1" t="str">
        <f>HYPERLINK("https://www.catalog.slsa.sa.gov.au/record=b2128361")</f>
        <v>https://www.catalog.slsa.sa.gov.au/record=b2128361</v>
      </c>
      <c r="C11578" s="1" t="str">
        <f>HYPERLINK("https://www.catalog.slsa.sa.gov.au/xrecord=b2128361")</f>
        <v>https://www.catalog.slsa.sa.gov.au/xrecord=b2128361</v>
      </c>
      <c r="D11578" t="s">
        <v>31902</v>
      </c>
      <c r="E11578" t="s">
        <v>35262</v>
      </c>
      <c r="F11578">
        <v>2004</v>
      </c>
      <c r="G11578" t="s">
        <v>33690</v>
      </c>
      <c r="H11578" t="s">
        <v>35263</v>
      </c>
      <c r="J11578" t="s">
        <v>14768</v>
      </c>
      <c r="K11578" s="2" t="str">
        <f>HYPERLINK("http://collections.slsa.sa.gov.au/mpcimg/69500/B69282_328.htm")</f>
        <v>http://collections.slsa.sa.gov.au/mpcimg/69500/B69282_328.htm</v>
      </c>
    </row>
    <row r="11579" spans="1:11" x14ac:dyDescent="0.25">
      <c r="A11579" t="s">
        <v>35264</v>
      </c>
      <c r="B11579" s="1" t="str">
        <f>HYPERLINK("https://www.catalog.slsa.sa.gov.au/record=b2128366")</f>
        <v>https://www.catalog.slsa.sa.gov.au/record=b2128366</v>
      </c>
      <c r="C11579" s="1" t="str">
        <f>HYPERLINK("https://www.catalog.slsa.sa.gov.au/xrecord=b2128366")</f>
        <v>https://www.catalog.slsa.sa.gov.au/xrecord=b2128366</v>
      </c>
      <c r="D11579" t="s">
        <v>31902</v>
      </c>
      <c r="E11579" t="s">
        <v>35265</v>
      </c>
      <c r="F11579">
        <v>2004</v>
      </c>
      <c r="G11579" t="s">
        <v>33690</v>
      </c>
      <c r="H11579" t="s">
        <v>35266</v>
      </c>
      <c r="J11579" t="s">
        <v>14768</v>
      </c>
      <c r="K11579" s="2" t="str">
        <f>HYPERLINK("http://collections.slsa.sa.gov.au/mpcimg/69500/B69282_329.htm")</f>
        <v>http://collections.slsa.sa.gov.au/mpcimg/69500/B69282_329.htm</v>
      </c>
    </row>
    <row r="11580" spans="1:11" x14ac:dyDescent="0.25">
      <c r="A11580" t="s">
        <v>35267</v>
      </c>
      <c r="B11580" s="1" t="str">
        <f>HYPERLINK("https://www.catalog.slsa.sa.gov.au/record=b2128611")</f>
        <v>https://www.catalog.slsa.sa.gov.au/record=b2128611</v>
      </c>
      <c r="C11580" s="1" t="str">
        <f>HYPERLINK("https://www.catalog.slsa.sa.gov.au/xrecord=b2128611")</f>
        <v>https://www.catalog.slsa.sa.gov.au/xrecord=b2128611</v>
      </c>
      <c r="D11580" t="s">
        <v>31902</v>
      </c>
      <c r="E11580" t="s">
        <v>35268</v>
      </c>
      <c r="F11580">
        <v>2004</v>
      </c>
      <c r="G11580" t="s">
        <v>33690</v>
      </c>
      <c r="H11580" t="s">
        <v>35269</v>
      </c>
      <c r="J11580" t="s">
        <v>14768</v>
      </c>
      <c r="K11580" s="2" t="str">
        <f>HYPERLINK("http://collections.slsa.sa.gov.au/mpcimg/69500/B69282_330.htm")</f>
        <v>http://collections.slsa.sa.gov.au/mpcimg/69500/B69282_330.htm</v>
      </c>
    </row>
    <row r="11581" spans="1:11" x14ac:dyDescent="0.25">
      <c r="A11581" t="s">
        <v>35270</v>
      </c>
      <c r="B11581" s="1" t="str">
        <f>HYPERLINK("https://www.catalog.slsa.sa.gov.au/record=b2128747")</f>
        <v>https://www.catalog.slsa.sa.gov.au/record=b2128747</v>
      </c>
      <c r="C11581" s="1" t="str">
        <f>HYPERLINK("https://www.catalog.slsa.sa.gov.au/xrecord=b2128747")</f>
        <v>https://www.catalog.slsa.sa.gov.au/xrecord=b2128747</v>
      </c>
      <c r="D11581" t="s">
        <v>31902</v>
      </c>
      <c r="E11581" t="s">
        <v>35149</v>
      </c>
      <c r="F11581">
        <v>2004</v>
      </c>
      <c r="G11581" t="s">
        <v>33690</v>
      </c>
      <c r="H11581" t="s">
        <v>35271</v>
      </c>
      <c r="J11581" t="s">
        <v>14768</v>
      </c>
      <c r="K11581" s="2" t="str">
        <f>HYPERLINK("http://collections.slsa.sa.gov.au/mpcimg/69500/B69282_333.htm")</f>
        <v>http://collections.slsa.sa.gov.au/mpcimg/69500/B69282_333.htm</v>
      </c>
    </row>
    <row r="11582" spans="1:11" x14ac:dyDescent="0.25">
      <c r="A11582" t="s">
        <v>35272</v>
      </c>
      <c r="B11582" s="1" t="str">
        <f>HYPERLINK("https://www.catalog.slsa.sa.gov.au/record=b2128748")</f>
        <v>https://www.catalog.slsa.sa.gov.au/record=b2128748</v>
      </c>
      <c r="C11582" s="1" t="str">
        <f>HYPERLINK("https://www.catalog.slsa.sa.gov.au/xrecord=b2128748")</f>
        <v>https://www.catalog.slsa.sa.gov.au/xrecord=b2128748</v>
      </c>
      <c r="D11582" t="s">
        <v>31902</v>
      </c>
      <c r="E11582" t="s">
        <v>35273</v>
      </c>
      <c r="F11582">
        <v>2004</v>
      </c>
      <c r="G11582" t="s">
        <v>33690</v>
      </c>
      <c r="H11582" t="s">
        <v>35274</v>
      </c>
      <c r="J11582" t="s">
        <v>14768</v>
      </c>
      <c r="K11582" s="2" t="str">
        <f>HYPERLINK("http://collections.slsa.sa.gov.au/mpcimg/69500/B69282_334.htm")</f>
        <v>http://collections.slsa.sa.gov.au/mpcimg/69500/B69282_334.htm</v>
      </c>
    </row>
    <row r="11583" spans="1:11" x14ac:dyDescent="0.25">
      <c r="A11583" t="s">
        <v>35275</v>
      </c>
      <c r="B11583" s="1" t="str">
        <f>HYPERLINK("https://www.catalog.slsa.sa.gov.au/record=b2129348")</f>
        <v>https://www.catalog.slsa.sa.gov.au/record=b2129348</v>
      </c>
      <c r="C11583" s="1" t="str">
        <f>HYPERLINK("https://www.catalog.slsa.sa.gov.au/xrecord=b2129348")</f>
        <v>https://www.catalog.slsa.sa.gov.au/xrecord=b2129348</v>
      </c>
      <c r="D11583" t="s">
        <v>31902</v>
      </c>
      <c r="E11583" t="s">
        <v>35276</v>
      </c>
      <c r="F11583">
        <v>2004</v>
      </c>
      <c r="G11583" t="s">
        <v>33690</v>
      </c>
      <c r="H11583" t="s">
        <v>35277</v>
      </c>
      <c r="I11583" t="s">
        <v>35278</v>
      </c>
      <c r="J11583" t="s">
        <v>14768</v>
      </c>
      <c r="K11583" s="2" t="str">
        <f>HYPERLINK("http://collections.slsa.sa.gov.au/mpcimg/69500/B69282_350.htm")</f>
        <v>http://collections.slsa.sa.gov.au/mpcimg/69500/B69282_350.htm</v>
      </c>
    </row>
    <row r="11584" spans="1:11" x14ac:dyDescent="0.25">
      <c r="A11584" t="s">
        <v>35279</v>
      </c>
      <c r="B11584" s="1" t="str">
        <f>HYPERLINK("https://www.catalog.slsa.sa.gov.au/record=b2290664")</f>
        <v>https://www.catalog.slsa.sa.gov.au/record=b2290664</v>
      </c>
      <c r="C11584" s="1" t="str">
        <f>HYPERLINK("https://www.catalog.slsa.sa.gov.au/xrecord=b2290664")</f>
        <v>https://www.catalog.slsa.sa.gov.au/xrecord=b2290664</v>
      </c>
      <c r="D11584" t="s">
        <v>31902</v>
      </c>
      <c r="E11584" t="s">
        <v>35280</v>
      </c>
      <c r="F11584">
        <v>2004</v>
      </c>
      <c r="G11584" t="s">
        <v>33690</v>
      </c>
      <c r="H11584" t="s">
        <v>35281</v>
      </c>
      <c r="J11584" t="s">
        <v>14768</v>
      </c>
      <c r="K11584" s="2" t="str">
        <f>HYPERLINK("http://collections.slsa.sa.gov.au/mpcimg/69500/B69282_267.htm")</f>
        <v>http://collections.slsa.sa.gov.au/mpcimg/69500/B69282_267.htm</v>
      </c>
    </row>
    <row r="11585" spans="1:11" x14ac:dyDescent="0.25">
      <c r="A11585" t="s">
        <v>35282</v>
      </c>
      <c r="B11585" s="1" t="str">
        <f>HYPERLINK("https://www.catalog.slsa.sa.gov.au/record=b2290668")</f>
        <v>https://www.catalog.slsa.sa.gov.au/record=b2290668</v>
      </c>
      <c r="C11585" s="1" t="str">
        <f>HYPERLINK("https://www.catalog.slsa.sa.gov.au/xrecord=b2290668")</f>
        <v>https://www.catalog.slsa.sa.gov.au/xrecord=b2290668</v>
      </c>
      <c r="D11585" t="s">
        <v>31902</v>
      </c>
      <c r="E11585" t="s">
        <v>35015</v>
      </c>
      <c r="F11585">
        <v>2004</v>
      </c>
      <c r="G11585" t="s">
        <v>33690</v>
      </c>
      <c r="H11585" t="s">
        <v>35283</v>
      </c>
      <c r="J11585" t="s">
        <v>14768</v>
      </c>
      <c r="K11585" s="2" t="str">
        <f>HYPERLINK("http://collections.slsa.sa.gov.au/mpcimg/69500/B69282_268.htm")</f>
        <v>http://collections.slsa.sa.gov.au/mpcimg/69500/B69282_268.htm</v>
      </c>
    </row>
    <row r="11586" spans="1:11" x14ac:dyDescent="0.25">
      <c r="A11586" t="s">
        <v>35284</v>
      </c>
      <c r="B11586" s="1" t="str">
        <f>HYPERLINK("https://www.catalog.slsa.sa.gov.au/record=b2290672")</f>
        <v>https://www.catalog.slsa.sa.gov.au/record=b2290672</v>
      </c>
      <c r="C11586" s="1" t="str">
        <f>HYPERLINK("https://www.catalog.slsa.sa.gov.au/xrecord=b2290672")</f>
        <v>https://www.catalog.slsa.sa.gov.au/xrecord=b2290672</v>
      </c>
      <c r="D11586" t="s">
        <v>31902</v>
      </c>
      <c r="E11586" t="s">
        <v>33966</v>
      </c>
      <c r="F11586">
        <v>2004</v>
      </c>
      <c r="G11586" t="s">
        <v>33690</v>
      </c>
      <c r="H11586" t="s">
        <v>35285</v>
      </c>
      <c r="J11586" t="s">
        <v>14768</v>
      </c>
      <c r="K11586" s="2" t="str">
        <f>HYPERLINK("http://collections.slsa.sa.gov.au/mpcimg/69500/B69282_269.htm")</f>
        <v>http://collections.slsa.sa.gov.au/mpcimg/69500/B69282_269.htm</v>
      </c>
    </row>
    <row r="11587" spans="1:11" x14ac:dyDescent="0.25">
      <c r="A11587" t="s">
        <v>35286</v>
      </c>
      <c r="B11587" s="1" t="str">
        <f>HYPERLINK("https://www.catalog.slsa.sa.gov.au/record=b2290675")</f>
        <v>https://www.catalog.slsa.sa.gov.au/record=b2290675</v>
      </c>
      <c r="C11587" s="1" t="str">
        <f>HYPERLINK("https://www.catalog.slsa.sa.gov.au/xrecord=b2290675")</f>
        <v>https://www.catalog.slsa.sa.gov.au/xrecord=b2290675</v>
      </c>
      <c r="D11587" t="s">
        <v>31902</v>
      </c>
      <c r="E11587" t="s">
        <v>33966</v>
      </c>
      <c r="F11587">
        <v>2004</v>
      </c>
      <c r="G11587" t="s">
        <v>33690</v>
      </c>
      <c r="H11587" t="s">
        <v>35287</v>
      </c>
      <c r="J11587" t="s">
        <v>14768</v>
      </c>
      <c r="K11587" s="2" t="str">
        <f>HYPERLINK("http://collections.slsa.sa.gov.au/mpcimg/69500/B69282_270.htm")</f>
        <v>http://collections.slsa.sa.gov.au/mpcimg/69500/B69282_270.htm</v>
      </c>
    </row>
    <row r="11588" spans="1:11" x14ac:dyDescent="0.25">
      <c r="A11588" t="s">
        <v>35288</v>
      </c>
      <c r="B11588" s="1" t="str">
        <f>HYPERLINK("https://www.catalog.slsa.sa.gov.au/record=b2290676")</f>
        <v>https://www.catalog.slsa.sa.gov.au/record=b2290676</v>
      </c>
      <c r="C11588" s="1" t="str">
        <f>HYPERLINK("https://www.catalog.slsa.sa.gov.au/xrecord=b2290676")</f>
        <v>https://www.catalog.slsa.sa.gov.au/xrecord=b2290676</v>
      </c>
      <c r="D11588" t="s">
        <v>31902</v>
      </c>
      <c r="E11588" t="s">
        <v>33966</v>
      </c>
      <c r="F11588">
        <v>2004</v>
      </c>
      <c r="G11588" t="s">
        <v>33690</v>
      </c>
      <c r="H11588" t="s">
        <v>35289</v>
      </c>
      <c r="J11588" t="s">
        <v>14768</v>
      </c>
      <c r="K11588" s="2" t="str">
        <f>HYPERLINK("http://collections.slsa.sa.gov.au/mpcimg/69500/B69282_271.htm")</f>
        <v>http://collections.slsa.sa.gov.au/mpcimg/69500/B69282_271.htm</v>
      </c>
    </row>
    <row r="11589" spans="1:11" x14ac:dyDescent="0.25">
      <c r="A11589" t="s">
        <v>35290</v>
      </c>
      <c r="B11589" s="1" t="str">
        <f>HYPERLINK("https://www.catalog.slsa.sa.gov.au/record=b2290677")</f>
        <v>https://www.catalog.slsa.sa.gov.au/record=b2290677</v>
      </c>
      <c r="C11589" s="1" t="str">
        <f>HYPERLINK("https://www.catalog.slsa.sa.gov.au/xrecord=b2290677")</f>
        <v>https://www.catalog.slsa.sa.gov.au/xrecord=b2290677</v>
      </c>
      <c r="D11589" t="s">
        <v>31902</v>
      </c>
      <c r="E11589" t="s">
        <v>33966</v>
      </c>
      <c r="F11589">
        <v>2004</v>
      </c>
      <c r="G11589" t="s">
        <v>33690</v>
      </c>
      <c r="H11589" t="s">
        <v>35291</v>
      </c>
      <c r="J11589" t="s">
        <v>14768</v>
      </c>
      <c r="K11589" s="2" t="str">
        <f>HYPERLINK("http://collections.slsa.sa.gov.au/mpcimg/69500/B69282_272.htm")</f>
        <v>http://collections.slsa.sa.gov.au/mpcimg/69500/B69282_272.htm</v>
      </c>
    </row>
    <row r="11590" spans="1:11" x14ac:dyDescent="0.25">
      <c r="A11590" t="s">
        <v>35292</v>
      </c>
      <c r="B11590" s="1" t="str">
        <f>HYPERLINK("https://www.catalog.slsa.sa.gov.au/record=b2290689")</f>
        <v>https://www.catalog.slsa.sa.gov.au/record=b2290689</v>
      </c>
      <c r="C11590" s="1" t="str">
        <f>HYPERLINK("https://www.catalog.slsa.sa.gov.au/xrecord=b2290689")</f>
        <v>https://www.catalog.slsa.sa.gov.au/xrecord=b2290689</v>
      </c>
      <c r="D11590" t="s">
        <v>31902</v>
      </c>
      <c r="E11590" t="s">
        <v>35293</v>
      </c>
      <c r="F11590">
        <v>2004</v>
      </c>
      <c r="G11590" t="s">
        <v>33690</v>
      </c>
      <c r="H11590" t="s">
        <v>35294</v>
      </c>
      <c r="J11590" t="s">
        <v>14768</v>
      </c>
      <c r="K11590" s="2" t="str">
        <f>HYPERLINK("http://collections.slsa.sa.gov.au/mpcimg/69500/B69282_273.htm")</f>
        <v>http://collections.slsa.sa.gov.au/mpcimg/69500/B69282_273.htm</v>
      </c>
    </row>
    <row r="11591" spans="1:11" x14ac:dyDescent="0.25">
      <c r="A11591" t="s">
        <v>35295</v>
      </c>
      <c r="B11591" s="1" t="str">
        <f>HYPERLINK("https://www.catalog.slsa.sa.gov.au/record=b2290691")</f>
        <v>https://www.catalog.slsa.sa.gov.au/record=b2290691</v>
      </c>
      <c r="C11591" s="1" t="str">
        <f>HYPERLINK("https://www.catalog.slsa.sa.gov.au/xrecord=b2290691")</f>
        <v>https://www.catalog.slsa.sa.gov.au/xrecord=b2290691</v>
      </c>
      <c r="D11591" t="s">
        <v>31902</v>
      </c>
      <c r="E11591" t="s">
        <v>35293</v>
      </c>
      <c r="F11591">
        <v>2004</v>
      </c>
      <c r="G11591" t="s">
        <v>33690</v>
      </c>
      <c r="H11591" t="s">
        <v>35296</v>
      </c>
      <c r="J11591" t="s">
        <v>14768</v>
      </c>
      <c r="K11591" s="2" t="str">
        <f>HYPERLINK("http://collections.slsa.sa.gov.au/mpcimg/69500/B69282_274.htm")</f>
        <v>http://collections.slsa.sa.gov.au/mpcimg/69500/B69282_274.htm</v>
      </c>
    </row>
    <row r="11592" spans="1:11" x14ac:dyDescent="0.25">
      <c r="A11592" t="s">
        <v>35297</v>
      </c>
      <c r="B11592" s="1" t="str">
        <f>HYPERLINK("https://www.catalog.slsa.sa.gov.au/record=b2290694")</f>
        <v>https://www.catalog.slsa.sa.gov.au/record=b2290694</v>
      </c>
      <c r="C11592" s="1" t="str">
        <f>HYPERLINK("https://www.catalog.slsa.sa.gov.au/xrecord=b2290694")</f>
        <v>https://www.catalog.slsa.sa.gov.au/xrecord=b2290694</v>
      </c>
      <c r="D11592" t="s">
        <v>31902</v>
      </c>
      <c r="E11592" t="s">
        <v>35293</v>
      </c>
      <c r="F11592">
        <v>2004</v>
      </c>
      <c r="G11592" t="s">
        <v>33690</v>
      </c>
      <c r="H11592" t="s">
        <v>35298</v>
      </c>
      <c r="J11592" t="s">
        <v>14768</v>
      </c>
      <c r="K11592" s="2" t="str">
        <f>HYPERLINK("http://collections.slsa.sa.gov.au/mpcimg/69500/B69282_275.htm")</f>
        <v>http://collections.slsa.sa.gov.au/mpcimg/69500/B69282_275.htm</v>
      </c>
    </row>
    <row r="11593" spans="1:11" x14ac:dyDescent="0.25">
      <c r="A11593" t="s">
        <v>35299</v>
      </c>
      <c r="B11593" s="1" t="str">
        <f>HYPERLINK("https://www.catalog.slsa.sa.gov.au/record=b2290697")</f>
        <v>https://www.catalog.slsa.sa.gov.au/record=b2290697</v>
      </c>
      <c r="C11593" s="1" t="str">
        <f>HYPERLINK("https://www.catalog.slsa.sa.gov.au/xrecord=b2290697")</f>
        <v>https://www.catalog.slsa.sa.gov.au/xrecord=b2290697</v>
      </c>
      <c r="D11593" t="s">
        <v>31902</v>
      </c>
      <c r="E11593" t="s">
        <v>35293</v>
      </c>
      <c r="F11593">
        <v>2004</v>
      </c>
      <c r="G11593" t="s">
        <v>33690</v>
      </c>
      <c r="H11593" t="s">
        <v>35300</v>
      </c>
      <c r="J11593" t="s">
        <v>14768</v>
      </c>
      <c r="K11593" s="2" t="str">
        <f>HYPERLINK("http://collections.slsa.sa.gov.au/mpcimg/69500/B69282_276.htm")</f>
        <v>http://collections.slsa.sa.gov.au/mpcimg/69500/B69282_276.htm</v>
      </c>
    </row>
    <row r="11594" spans="1:11" x14ac:dyDescent="0.25">
      <c r="A11594" t="s">
        <v>35301</v>
      </c>
      <c r="B11594" s="1" t="str">
        <f>HYPERLINK("https://www.catalog.slsa.sa.gov.au/record=b2290699")</f>
        <v>https://www.catalog.slsa.sa.gov.au/record=b2290699</v>
      </c>
      <c r="C11594" s="1" t="str">
        <f>HYPERLINK("https://www.catalog.slsa.sa.gov.au/xrecord=b2290699")</f>
        <v>https://www.catalog.slsa.sa.gov.au/xrecord=b2290699</v>
      </c>
      <c r="D11594" t="s">
        <v>31902</v>
      </c>
      <c r="E11594" t="s">
        <v>35293</v>
      </c>
      <c r="F11594">
        <v>2004</v>
      </c>
      <c r="G11594" t="s">
        <v>33690</v>
      </c>
      <c r="H11594" t="s">
        <v>35302</v>
      </c>
      <c r="J11594" t="s">
        <v>14768</v>
      </c>
      <c r="K11594" s="2" t="str">
        <f>HYPERLINK("http://collections.slsa.sa.gov.au/mpcimg/69500/B69282_277.htm")</f>
        <v>http://collections.slsa.sa.gov.au/mpcimg/69500/B69282_277.htm</v>
      </c>
    </row>
    <row r="11595" spans="1:11" x14ac:dyDescent="0.25">
      <c r="A11595" t="s">
        <v>35303</v>
      </c>
      <c r="B11595" s="1" t="str">
        <f>HYPERLINK("https://www.catalog.slsa.sa.gov.au/record=b2290702")</f>
        <v>https://www.catalog.slsa.sa.gov.au/record=b2290702</v>
      </c>
      <c r="C11595" s="1" t="str">
        <f>HYPERLINK("https://www.catalog.slsa.sa.gov.au/xrecord=b2290702")</f>
        <v>https://www.catalog.slsa.sa.gov.au/xrecord=b2290702</v>
      </c>
      <c r="D11595" t="s">
        <v>31902</v>
      </c>
      <c r="E11595" t="s">
        <v>35293</v>
      </c>
      <c r="F11595">
        <v>2004</v>
      </c>
      <c r="G11595" t="s">
        <v>33690</v>
      </c>
      <c r="H11595" t="s">
        <v>35304</v>
      </c>
      <c r="J11595" t="s">
        <v>14768</v>
      </c>
      <c r="K11595" s="2" t="str">
        <f>HYPERLINK("http://collections.slsa.sa.gov.au/mpcimg/69500/B69282_278.htm")</f>
        <v>http://collections.slsa.sa.gov.au/mpcimg/69500/B69282_278.htm</v>
      </c>
    </row>
    <row r="11596" spans="1:11" x14ac:dyDescent="0.25">
      <c r="A11596" t="s">
        <v>35305</v>
      </c>
      <c r="B11596" s="1" t="str">
        <f>HYPERLINK("https://www.catalog.slsa.sa.gov.au/record=b2290706")</f>
        <v>https://www.catalog.slsa.sa.gov.au/record=b2290706</v>
      </c>
      <c r="C11596" s="1" t="str">
        <f>HYPERLINK("https://www.catalog.slsa.sa.gov.au/xrecord=b2290706")</f>
        <v>https://www.catalog.slsa.sa.gov.au/xrecord=b2290706</v>
      </c>
      <c r="D11596" t="s">
        <v>31902</v>
      </c>
      <c r="E11596" t="s">
        <v>35293</v>
      </c>
      <c r="F11596">
        <v>2004</v>
      </c>
      <c r="G11596" t="s">
        <v>33690</v>
      </c>
      <c r="H11596" t="s">
        <v>35306</v>
      </c>
      <c r="J11596" t="s">
        <v>14768</v>
      </c>
      <c r="K11596" s="2" t="str">
        <f>HYPERLINK("http://collections.slsa.sa.gov.au/mpcimg/69500/B69282_279.htm")</f>
        <v>http://collections.slsa.sa.gov.au/mpcimg/69500/B69282_279.htm</v>
      </c>
    </row>
    <row r="11597" spans="1:11" x14ac:dyDescent="0.25">
      <c r="A11597" t="s">
        <v>35307</v>
      </c>
      <c r="B11597" s="1" t="str">
        <f>HYPERLINK("https://www.catalog.slsa.sa.gov.au/record=b2290798")</f>
        <v>https://www.catalog.slsa.sa.gov.au/record=b2290798</v>
      </c>
      <c r="C11597" s="1" t="str">
        <f>HYPERLINK("https://www.catalog.slsa.sa.gov.au/xrecord=b2290798")</f>
        <v>https://www.catalog.slsa.sa.gov.au/xrecord=b2290798</v>
      </c>
      <c r="D11597" t="s">
        <v>31902</v>
      </c>
      <c r="E11597" t="s">
        <v>34638</v>
      </c>
      <c r="F11597">
        <v>2004</v>
      </c>
      <c r="G11597" t="s">
        <v>33690</v>
      </c>
      <c r="H11597" t="s">
        <v>35308</v>
      </c>
      <c r="J11597" t="s">
        <v>14768</v>
      </c>
      <c r="K11597" s="2" t="str">
        <f>HYPERLINK("http://collections.slsa.sa.gov.au/mpcimg/69500/B69282_280.htm")</f>
        <v>http://collections.slsa.sa.gov.au/mpcimg/69500/B69282_280.htm</v>
      </c>
    </row>
    <row r="11598" spans="1:11" x14ac:dyDescent="0.25">
      <c r="A11598" t="s">
        <v>35309</v>
      </c>
      <c r="B11598" s="1" t="str">
        <f>HYPERLINK("https://www.catalog.slsa.sa.gov.au/record=b2290802")</f>
        <v>https://www.catalog.slsa.sa.gov.au/record=b2290802</v>
      </c>
      <c r="C11598" s="1" t="str">
        <f>HYPERLINK("https://www.catalog.slsa.sa.gov.au/xrecord=b2290802")</f>
        <v>https://www.catalog.slsa.sa.gov.au/xrecord=b2290802</v>
      </c>
      <c r="D11598" t="s">
        <v>31902</v>
      </c>
      <c r="E11598" t="s">
        <v>34638</v>
      </c>
      <c r="F11598">
        <v>2004</v>
      </c>
      <c r="G11598" t="s">
        <v>33690</v>
      </c>
      <c r="H11598" t="s">
        <v>35310</v>
      </c>
      <c r="J11598" t="s">
        <v>14768</v>
      </c>
      <c r="K11598" s="2" t="str">
        <f>HYPERLINK("http://collections.slsa.sa.gov.au/mpcimg/69500/B69282_281.htm")</f>
        <v>http://collections.slsa.sa.gov.au/mpcimg/69500/B69282_281.htm</v>
      </c>
    </row>
    <row r="11599" spans="1:11" x14ac:dyDescent="0.25">
      <c r="A11599" t="s">
        <v>35311</v>
      </c>
      <c r="B11599" s="1" t="str">
        <f>HYPERLINK("https://www.catalog.slsa.sa.gov.au/record=b2290809")</f>
        <v>https://www.catalog.slsa.sa.gov.au/record=b2290809</v>
      </c>
      <c r="C11599" s="1" t="str">
        <f>HYPERLINK("https://www.catalog.slsa.sa.gov.au/xrecord=b2290809")</f>
        <v>https://www.catalog.slsa.sa.gov.au/xrecord=b2290809</v>
      </c>
      <c r="D11599" t="s">
        <v>31902</v>
      </c>
      <c r="E11599" t="s">
        <v>34638</v>
      </c>
      <c r="F11599">
        <v>2004</v>
      </c>
      <c r="G11599" t="s">
        <v>33690</v>
      </c>
      <c r="H11599" t="s">
        <v>35312</v>
      </c>
      <c r="J11599" t="s">
        <v>14768</v>
      </c>
      <c r="K11599" s="2" t="str">
        <f>HYPERLINK("http://collections.slsa.sa.gov.au/mpcimg/69500/B69282_282.htm")</f>
        <v>http://collections.slsa.sa.gov.au/mpcimg/69500/B69282_282.htm</v>
      </c>
    </row>
    <row r="11600" spans="1:11" x14ac:dyDescent="0.25">
      <c r="A11600" t="s">
        <v>35313</v>
      </c>
      <c r="B11600" s="1" t="str">
        <f>HYPERLINK("https://www.catalog.slsa.sa.gov.au/record=b2290813")</f>
        <v>https://www.catalog.slsa.sa.gov.au/record=b2290813</v>
      </c>
      <c r="C11600" s="1" t="str">
        <f>HYPERLINK("https://www.catalog.slsa.sa.gov.au/xrecord=b2290813")</f>
        <v>https://www.catalog.slsa.sa.gov.au/xrecord=b2290813</v>
      </c>
      <c r="D11600" t="s">
        <v>31902</v>
      </c>
      <c r="E11600" t="s">
        <v>34696</v>
      </c>
      <c r="F11600">
        <v>2004</v>
      </c>
      <c r="G11600" t="s">
        <v>33690</v>
      </c>
      <c r="H11600" t="s">
        <v>35314</v>
      </c>
      <c r="J11600" t="s">
        <v>14768</v>
      </c>
      <c r="K11600" s="2" t="str">
        <f>HYPERLINK("http://collections.slsa.sa.gov.au/mpcimg/69500/B69282_283.htm")</f>
        <v>http://collections.slsa.sa.gov.au/mpcimg/69500/B69282_283.htm</v>
      </c>
    </row>
    <row r="11601" spans="1:11" x14ac:dyDescent="0.25">
      <c r="A11601" t="s">
        <v>35315</v>
      </c>
      <c r="B11601" s="1" t="str">
        <f>HYPERLINK("https://www.catalog.slsa.sa.gov.au/record=b2290816")</f>
        <v>https://www.catalog.slsa.sa.gov.au/record=b2290816</v>
      </c>
      <c r="C11601" s="1" t="str">
        <f>HYPERLINK("https://www.catalog.slsa.sa.gov.au/xrecord=b2290816")</f>
        <v>https://www.catalog.slsa.sa.gov.au/xrecord=b2290816</v>
      </c>
      <c r="D11601" t="s">
        <v>31902</v>
      </c>
      <c r="E11601" t="s">
        <v>34696</v>
      </c>
      <c r="F11601">
        <v>2004</v>
      </c>
      <c r="G11601" t="s">
        <v>33690</v>
      </c>
      <c r="H11601" t="s">
        <v>35316</v>
      </c>
      <c r="J11601" t="s">
        <v>14768</v>
      </c>
      <c r="K11601" s="2" t="str">
        <f>HYPERLINK("http://collections.slsa.sa.gov.au/mpcimg/69500/B69282_284.htm")</f>
        <v>http://collections.slsa.sa.gov.au/mpcimg/69500/B69282_284.htm</v>
      </c>
    </row>
    <row r="11602" spans="1:11" x14ac:dyDescent="0.25">
      <c r="A11602" t="s">
        <v>35317</v>
      </c>
      <c r="B11602" s="1" t="str">
        <f>HYPERLINK("https://www.catalog.slsa.sa.gov.au/record=b2290828")</f>
        <v>https://www.catalog.slsa.sa.gov.au/record=b2290828</v>
      </c>
      <c r="C11602" s="1" t="str">
        <f>HYPERLINK("https://www.catalog.slsa.sa.gov.au/xrecord=b2290828")</f>
        <v>https://www.catalog.slsa.sa.gov.au/xrecord=b2290828</v>
      </c>
      <c r="D11602" t="s">
        <v>31902</v>
      </c>
      <c r="E11602" t="s">
        <v>34696</v>
      </c>
      <c r="F11602">
        <v>2004</v>
      </c>
      <c r="G11602" t="s">
        <v>33690</v>
      </c>
      <c r="H11602" t="s">
        <v>35318</v>
      </c>
      <c r="J11602" t="s">
        <v>14768</v>
      </c>
      <c r="K11602" s="2" t="str">
        <f>HYPERLINK("http://collections.slsa.sa.gov.au/mpcimg/69500/B69282_285.htm")</f>
        <v>http://collections.slsa.sa.gov.au/mpcimg/69500/B69282_285.htm</v>
      </c>
    </row>
    <row r="11603" spans="1:11" x14ac:dyDescent="0.25">
      <c r="A11603" t="s">
        <v>35319</v>
      </c>
      <c r="B11603" s="1" t="str">
        <f>HYPERLINK("https://www.catalog.slsa.sa.gov.au/record=b2290832")</f>
        <v>https://www.catalog.slsa.sa.gov.au/record=b2290832</v>
      </c>
      <c r="C11603" s="1" t="str">
        <f>HYPERLINK("https://www.catalog.slsa.sa.gov.au/xrecord=b2290832")</f>
        <v>https://www.catalog.slsa.sa.gov.au/xrecord=b2290832</v>
      </c>
      <c r="D11603" t="s">
        <v>31902</v>
      </c>
      <c r="E11603" t="s">
        <v>34696</v>
      </c>
      <c r="F11603">
        <v>2004</v>
      </c>
      <c r="G11603" t="s">
        <v>33690</v>
      </c>
      <c r="H11603" t="s">
        <v>35320</v>
      </c>
      <c r="J11603" t="s">
        <v>14768</v>
      </c>
      <c r="K11603" s="2" t="str">
        <f>HYPERLINK("http://collections.slsa.sa.gov.au/mpcimg/69500/B69282_287.htm")</f>
        <v>http://collections.slsa.sa.gov.au/mpcimg/69500/B69282_287.htm</v>
      </c>
    </row>
    <row r="11604" spans="1:11" x14ac:dyDescent="0.25">
      <c r="A11604" t="s">
        <v>35321</v>
      </c>
      <c r="B11604" s="1" t="str">
        <f>HYPERLINK("https://www.catalog.slsa.sa.gov.au/record=b2290837")</f>
        <v>https://www.catalog.slsa.sa.gov.au/record=b2290837</v>
      </c>
      <c r="C11604" s="1" t="str">
        <f>HYPERLINK("https://www.catalog.slsa.sa.gov.au/xrecord=b2290837")</f>
        <v>https://www.catalog.slsa.sa.gov.au/xrecord=b2290837</v>
      </c>
      <c r="D11604" t="s">
        <v>31902</v>
      </c>
      <c r="E11604" t="s">
        <v>34696</v>
      </c>
      <c r="F11604">
        <v>2004</v>
      </c>
      <c r="G11604" t="s">
        <v>33690</v>
      </c>
      <c r="H11604" t="s">
        <v>35322</v>
      </c>
      <c r="J11604" t="s">
        <v>14768</v>
      </c>
      <c r="K11604" s="2" t="str">
        <f>HYPERLINK("http://collections.slsa.sa.gov.au/mpcimg/69500/B69282_291.htm")</f>
        <v>http://collections.slsa.sa.gov.au/mpcimg/69500/B69282_291.htm</v>
      </c>
    </row>
    <row r="11605" spans="1:11" x14ac:dyDescent="0.25">
      <c r="A11605" t="s">
        <v>35323</v>
      </c>
      <c r="B11605" s="1" t="str">
        <f>HYPERLINK("https://www.catalog.slsa.sa.gov.au/record=b2290845")</f>
        <v>https://www.catalog.slsa.sa.gov.au/record=b2290845</v>
      </c>
      <c r="C11605" s="1" t="str">
        <f>HYPERLINK("https://www.catalog.slsa.sa.gov.au/xrecord=b2290845")</f>
        <v>https://www.catalog.slsa.sa.gov.au/xrecord=b2290845</v>
      </c>
      <c r="D11605" t="s">
        <v>31902</v>
      </c>
      <c r="E11605" t="s">
        <v>34696</v>
      </c>
      <c r="F11605">
        <v>2004</v>
      </c>
      <c r="G11605" t="s">
        <v>33690</v>
      </c>
      <c r="H11605" t="s">
        <v>35324</v>
      </c>
      <c r="J11605" t="s">
        <v>14768</v>
      </c>
      <c r="K11605" s="2" t="str">
        <f>HYPERLINK("http://collections.slsa.sa.gov.au/mpcimg/69500/B69282_286.htm")</f>
        <v>http://collections.slsa.sa.gov.au/mpcimg/69500/B69282_286.htm</v>
      </c>
    </row>
    <row r="11606" spans="1:11" x14ac:dyDescent="0.25">
      <c r="A11606" t="s">
        <v>35325</v>
      </c>
      <c r="B11606" s="1" t="str">
        <f>HYPERLINK("https://www.catalog.slsa.sa.gov.au/record=b2290859")</f>
        <v>https://www.catalog.slsa.sa.gov.au/record=b2290859</v>
      </c>
      <c r="C11606" s="1" t="str">
        <f>HYPERLINK("https://www.catalog.slsa.sa.gov.au/xrecord=b2290859")</f>
        <v>https://www.catalog.slsa.sa.gov.au/xrecord=b2290859</v>
      </c>
      <c r="D11606" t="s">
        <v>31902</v>
      </c>
      <c r="E11606" t="s">
        <v>34696</v>
      </c>
      <c r="F11606">
        <v>2004</v>
      </c>
      <c r="G11606" t="s">
        <v>33690</v>
      </c>
      <c r="H11606" t="s">
        <v>35326</v>
      </c>
      <c r="J11606" t="s">
        <v>14768</v>
      </c>
      <c r="K11606" s="2" t="str">
        <f>HYPERLINK("http://collections.slsa.sa.gov.au/mpcimg/69500/B69282_289.htm")</f>
        <v>http://collections.slsa.sa.gov.au/mpcimg/69500/B69282_289.htm</v>
      </c>
    </row>
    <row r="11607" spans="1:11" x14ac:dyDescent="0.25">
      <c r="A11607" t="s">
        <v>35327</v>
      </c>
      <c r="B11607" s="1" t="str">
        <f>HYPERLINK("https://www.catalog.slsa.sa.gov.au/record=b2290918")</f>
        <v>https://www.catalog.slsa.sa.gov.au/record=b2290918</v>
      </c>
      <c r="C11607" s="1" t="str">
        <f>HYPERLINK("https://www.catalog.slsa.sa.gov.au/xrecord=b2290918")</f>
        <v>https://www.catalog.slsa.sa.gov.au/xrecord=b2290918</v>
      </c>
      <c r="D11607" t="s">
        <v>31902</v>
      </c>
      <c r="E11607" t="s">
        <v>34696</v>
      </c>
      <c r="F11607">
        <v>2004</v>
      </c>
      <c r="G11607" t="s">
        <v>33690</v>
      </c>
      <c r="H11607" t="s">
        <v>35328</v>
      </c>
      <c r="J11607" t="s">
        <v>14768</v>
      </c>
      <c r="K11607" s="2" t="str">
        <f>HYPERLINK("http://collections.slsa.sa.gov.au/mpcimg/69500/B69282_288.htm")</f>
        <v>http://collections.slsa.sa.gov.au/mpcimg/69500/B69282_288.htm</v>
      </c>
    </row>
    <row r="11608" spans="1:11" x14ac:dyDescent="0.25">
      <c r="A11608" t="s">
        <v>35329</v>
      </c>
      <c r="B11608" s="1" t="str">
        <f>HYPERLINK("https://www.catalog.slsa.sa.gov.au/record=b2290919")</f>
        <v>https://www.catalog.slsa.sa.gov.au/record=b2290919</v>
      </c>
      <c r="C11608" s="1" t="str">
        <f>HYPERLINK("https://www.catalog.slsa.sa.gov.au/xrecord=b2290919")</f>
        <v>https://www.catalog.slsa.sa.gov.au/xrecord=b2290919</v>
      </c>
      <c r="D11608" t="s">
        <v>31902</v>
      </c>
      <c r="E11608" t="s">
        <v>34696</v>
      </c>
      <c r="F11608">
        <v>2004</v>
      </c>
      <c r="G11608" t="s">
        <v>33690</v>
      </c>
      <c r="H11608" t="s">
        <v>35330</v>
      </c>
      <c r="J11608" t="s">
        <v>14768</v>
      </c>
      <c r="K11608" s="2" t="str">
        <f>HYPERLINK("http://collections.slsa.sa.gov.au/mpcimg/69500/B69282_290.htm")</f>
        <v>http://collections.slsa.sa.gov.au/mpcimg/69500/B69282_290.htm</v>
      </c>
    </row>
    <row r="11609" spans="1:11" x14ac:dyDescent="0.25">
      <c r="A11609" t="s">
        <v>35331</v>
      </c>
      <c r="B11609" s="1" t="str">
        <f>HYPERLINK("https://www.catalog.slsa.sa.gov.au/record=b2298537")</f>
        <v>https://www.catalog.slsa.sa.gov.au/record=b2298537</v>
      </c>
      <c r="C11609" s="1" t="str">
        <f>HYPERLINK("https://www.catalog.slsa.sa.gov.au/xrecord=b2298537")</f>
        <v>https://www.catalog.slsa.sa.gov.au/xrecord=b2298537</v>
      </c>
      <c r="D11609" t="s">
        <v>31902</v>
      </c>
      <c r="E11609" t="s">
        <v>34696</v>
      </c>
      <c r="F11609">
        <v>2004</v>
      </c>
      <c r="G11609" t="s">
        <v>33690</v>
      </c>
      <c r="H11609" t="s">
        <v>35332</v>
      </c>
      <c r="J11609" t="s">
        <v>14768</v>
      </c>
      <c r="K11609" s="2" t="str">
        <f>HYPERLINK("http://collections.slsa.sa.gov.au/mpcimg/69500/B69282_292.htm")</f>
        <v>http://collections.slsa.sa.gov.au/mpcimg/69500/B69282_292.htm</v>
      </c>
    </row>
    <row r="11610" spans="1:11" x14ac:dyDescent="0.25">
      <c r="A11610" t="s">
        <v>35333</v>
      </c>
      <c r="B11610" s="1" t="str">
        <f>HYPERLINK("https://www.catalog.slsa.sa.gov.au/record=b2298538")</f>
        <v>https://www.catalog.slsa.sa.gov.au/record=b2298538</v>
      </c>
      <c r="C11610" s="1" t="str">
        <f>HYPERLINK("https://www.catalog.slsa.sa.gov.au/xrecord=b2298538")</f>
        <v>https://www.catalog.slsa.sa.gov.au/xrecord=b2298538</v>
      </c>
      <c r="D11610" t="s">
        <v>31902</v>
      </c>
      <c r="E11610" t="s">
        <v>35334</v>
      </c>
      <c r="F11610">
        <v>2004</v>
      </c>
      <c r="G11610" t="s">
        <v>33690</v>
      </c>
      <c r="H11610" t="s">
        <v>35335</v>
      </c>
      <c r="J11610" t="s">
        <v>14768</v>
      </c>
      <c r="K11610" s="2" t="str">
        <f>HYPERLINK("http://collections.slsa.sa.gov.au/mpcimg/69500/B69282_293.htm")</f>
        <v>http://collections.slsa.sa.gov.au/mpcimg/69500/B69282_293.htm</v>
      </c>
    </row>
    <row r="11611" spans="1:11" x14ac:dyDescent="0.25">
      <c r="A11611" t="s">
        <v>35336</v>
      </c>
      <c r="B11611" s="1" t="str">
        <f>HYPERLINK("https://www.catalog.slsa.sa.gov.au/record=b2298540")</f>
        <v>https://www.catalog.slsa.sa.gov.au/record=b2298540</v>
      </c>
      <c r="C11611" s="1" t="str">
        <f>HYPERLINK("https://www.catalog.slsa.sa.gov.au/xrecord=b2298540")</f>
        <v>https://www.catalog.slsa.sa.gov.au/xrecord=b2298540</v>
      </c>
      <c r="D11611" t="s">
        <v>31902</v>
      </c>
      <c r="E11611" t="s">
        <v>35334</v>
      </c>
      <c r="F11611">
        <v>2004</v>
      </c>
      <c r="G11611" t="s">
        <v>33690</v>
      </c>
      <c r="H11611" t="s">
        <v>35337</v>
      </c>
      <c r="J11611" t="s">
        <v>14768</v>
      </c>
      <c r="K11611" s="2" t="str">
        <f>HYPERLINK("http://collections.slsa.sa.gov.au/mpcimg/69500/B69282_294.htm")</f>
        <v>http://collections.slsa.sa.gov.au/mpcimg/69500/B69282_294.htm</v>
      </c>
    </row>
    <row r="11612" spans="1:11" x14ac:dyDescent="0.25">
      <c r="A11612" t="s">
        <v>35338</v>
      </c>
      <c r="B11612" s="1" t="str">
        <f>HYPERLINK("https://www.catalog.slsa.sa.gov.au/record=b2298542")</f>
        <v>https://www.catalog.slsa.sa.gov.au/record=b2298542</v>
      </c>
      <c r="C11612" s="1" t="str">
        <f>HYPERLINK("https://www.catalog.slsa.sa.gov.au/xrecord=b2298542")</f>
        <v>https://www.catalog.slsa.sa.gov.au/xrecord=b2298542</v>
      </c>
      <c r="D11612" t="s">
        <v>31902</v>
      </c>
      <c r="E11612" t="s">
        <v>34696</v>
      </c>
      <c r="F11612">
        <v>2004</v>
      </c>
      <c r="G11612" t="s">
        <v>33690</v>
      </c>
      <c r="H11612" t="s">
        <v>35339</v>
      </c>
      <c r="J11612" t="s">
        <v>14768</v>
      </c>
      <c r="K11612" s="2" t="str">
        <f>HYPERLINK("http://collections.slsa.sa.gov.au/mpcimg/69500/B69282_295.htm")</f>
        <v>http://collections.slsa.sa.gov.au/mpcimg/69500/B69282_295.htm</v>
      </c>
    </row>
    <row r="11613" spans="1:11" x14ac:dyDescent="0.25">
      <c r="A11613" t="s">
        <v>35340</v>
      </c>
      <c r="B11613" s="1" t="str">
        <f>HYPERLINK("https://www.catalog.slsa.sa.gov.au/record=b2298551")</f>
        <v>https://www.catalog.slsa.sa.gov.au/record=b2298551</v>
      </c>
      <c r="C11613" s="1" t="str">
        <f>HYPERLINK("https://www.catalog.slsa.sa.gov.au/xrecord=b2298551")</f>
        <v>https://www.catalog.slsa.sa.gov.au/xrecord=b2298551</v>
      </c>
      <c r="D11613" t="s">
        <v>31902</v>
      </c>
      <c r="E11613" t="s">
        <v>34696</v>
      </c>
      <c r="F11613">
        <v>2004</v>
      </c>
      <c r="G11613" t="s">
        <v>33690</v>
      </c>
      <c r="H11613" t="s">
        <v>35341</v>
      </c>
      <c r="J11613" t="s">
        <v>14768</v>
      </c>
      <c r="K11613" s="2" t="str">
        <f>HYPERLINK("http://collections.slsa.sa.gov.au/mpcimg/69500/B69282_296.htm")</f>
        <v>http://collections.slsa.sa.gov.au/mpcimg/69500/B69282_296.htm</v>
      </c>
    </row>
    <row r="11614" spans="1:11" x14ac:dyDescent="0.25">
      <c r="A11614" t="s">
        <v>35342</v>
      </c>
      <c r="B11614" s="1" t="str">
        <f>HYPERLINK("https://www.catalog.slsa.sa.gov.au/record=b2298557")</f>
        <v>https://www.catalog.slsa.sa.gov.au/record=b2298557</v>
      </c>
      <c r="C11614" s="1" t="str">
        <f>HYPERLINK("https://www.catalog.slsa.sa.gov.au/xrecord=b2298557")</f>
        <v>https://www.catalog.slsa.sa.gov.au/xrecord=b2298557</v>
      </c>
      <c r="D11614" t="s">
        <v>31902</v>
      </c>
      <c r="E11614" t="s">
        <v>35343</v>
      </c>
      <c r="F11614">
        <v>2004</v>
      </c>
      <c r="G11614" t="s">
        <v>33690</v>
      </c>
      <c r="H11614" t="s">
        <v>35344</v>
      </c>
      <c r="J11614" t="s">
        <v>14768</v>
      </c>
      <c r="K11614" s="2" t="str">
        <f>HYPERLINK("http://collections.slsa.sa.gov.au/mpcimg/69500/B69282_297.htm")</f>
        <v>http://collections.slsa.sa.gov.au/mpcimg/69500/B69282_297.htm</v>
      </c>
    </row>
    <row r="11615" spans="1:11" x14ac:dyDescent="0.25">
      <c r="A11615" t="s">
        <v>35345</v>
      </c>
      <c r="B11615" s="1" t="str">
        <f>HYPERLINK("https://www.catalog.slsa.sa.gov.au/record=b2298566")</f>
        <v>https://www.catalog.slsa.sa.gov.au/record=b2298566</v>
      </c>
      <c r="C11615" s="1" t="str">
        <f>HYPERLINK("https://www.catalog.slsa.sa.gov.au/xrecord=b2298566")</f>
        <v>https://www.catalog.slsa.sa.gov.au/xrecord=b2298566</v>
      </c>
      <c r="D11615" t="s">
        <v>31902</v>
      </c>
      <c r="E11615" t="s">
        <v>35015</v>
      </c>
      <c r="F11615">
        <v>2004</v>
      </c>
      <c r="G11615" t="s">
        <v>33690</v>
      </c>
      <c r="H11615" t="s">
        <v>35346</v>
      </c>
      <c r="J11615" t="s">
        <v>14768</v>
      </c>
      <c r="K11615" s="2" t="str">
        <f>HYPERLINK("http://collections.slsa.sa.gov.au/mpcimg/69500/B69282_298.htm")</f>
        <v>http://collections.slsa.sa.gov.au/mpcimg/69500/B69282_298.htm</v>
      </c>
    </row>
    <row r="11616" spans="1:11" x14ac:dyDescent="0.25">
      <c r="A11616" t="s">
        <v>35347</v>
      </c>
      <c r="B11616" s="1" t="str">
        <f>HYPERLINK("https://www.catalog.slsa.sa.gov.au/record=b2298612")</f>
        <v>https://www.catalog.slsa.sa.gov.au/record=b2298612</v>
      </c>
      <c r="C11616" s="1" t="str">
        <f>HYPERLINK("https://www.catalog.slsa.sa.gov.au/xrecord=b2298612")</f>
        <v>https://www.catalog.slsa.sa.gov.au/xrecord=b2298612</v>
      </c>
      <c r="D11616" t="s">
        <v>31902</v>
      </c>
      <c r="E11616" t="s">
        <v>35015</v>
      </c>
      <c r="F11616">
        <v>2004</v>
      </c>
      <c r="G11616" t="s">
        <v>33690</v>
      </c>
      <c r="H11616" t="s">
        <v>35348</v>
      </c>
      <c r="J11616" t="s">
        <v>14768</v>
      </c>
      <c r="K11616" s="2" t="str">
        <f>HYPERLINK("http://collections.slsa.sa.gov.au/mpcimg/69500/B69282_299.htm")</f>
        <v>http://collections.slsa.sa.gov.au/mpcimg/69500/B69282_299.htm</v>
      </c>
    </row>
    <row r="11617" spans="1:11" x14ac:dyDescent="0.25">
      <c r="A11617" t="s">
        <v>35349</v>
      </c>
      <c r="B11617" s="1" t="str">
        <f>HYPERLINK("https://www.catalog.slsa.sa.gov.au/record=b2298616")</f>
        <v>https://www.catalog.slsa.sa.gov.au/record=b2298616</v>
      </c>
      <c r="C11617" s="1" t="str">
        <f>HYPERLINK("https://www.catalog.slsa.sa.gov.au/xrecord=b2298616")</f>
        <v>https://www.catalog.slsa.sa.gov.au/xrecord=b2298616</v>
      </c>
      <c r="D11617" t="s">
        <v>31902</v>
      </c>
      <c r="E11617" t="s">
        <v>35350</v>
      </c>
      <c r="F11617">
        <v>2004</v>
      </c>
      <c r="G11617" t="s">
        <v>33690</v>
      </c>
      <c r="H11617" t="s">
        <v>35351</v>
      </c>
      <c r="J11617" t="s">
        <v>14768</v>
      </c>
      <c r="K11617" s="2" t="str">
        <f>HYPERLINK("http://collections.slsa.sa.gov.au/mpcimg/69500/B69282_300.htm")</f>
        <v>http://collections.slsa.sa.gov.au/mpcimg/69500/B69282_300.htm</v>
      </c>
    </row>
    <row r="11618" spans="1:11" x14ac:dyDescent="0.25">
      <c r="A11618" t="s">
        <v>35352</v>
      </c>
      <c r="B11618" s="1" t="str">
        <f>HYPERLINK("https://www.catalog.slsa.sa.gov.au/record=b2298620")</f>
        <v>https://www.catalog.slsa.sa.gov.au/record=b2298620</v>
      </c>
      <c r="C11618" s="1" t="str">
        <f>HYPERLINK("https://www.catalog.slsa.sa.gov.au/xrecord=b2298620")</f>
        <v>https://www.catalog.slsa.sa.gov.au/xrecord=b2298620</v>
      </c>
      <c r="D11618" t="s">
        <v>31902</v>
      </c>
      <c r="E11618" t="s">
        <v>35353</v>
      </c>
      <c r="F11618">
        <v>2004</v>
      </c>
      <c r="G11618" t="s">
        <v>33690</v>
      </c>
      <c r="H11618" t="s">
        <v>35354</v>
      </c>
      <c r="J11618" t="s">
        <v>14768</v>
      </c>
      <c r="K11618" s="2" t="str">
        <f>HYPERLINK("http://collections.slsa.sa.gov.au/mpcimg/69500/B69282_301.htm")</f>
        <v>http://collections.slsa.sa.gov.au/mpcimg/69500/B69282_301.htm</v>
      </c>
    </row>
    <row r="11619" spans="1:11" x14ac:dyDescent="0.25">
      <c r="A11619" t="s">
        <v>35355</v>
      </c>
      <c r="B11619" s="1" t="str">
        <f>HYPERLINK("https://www.catalog.slsa.sa.gov.au/record=b2298621")</f>
        <v>https://www.catalog.slsa.sa.gov.au/record=b2298621</v>
      </c>
      <c r="C11619" s="1" t="str">
        <f>HYPERLINK("https://www.catalog.slsa.sa.gov.au/xrecord=b2298621")</f>
        <v>https://www.catalog.slsa.sa.gov.au/xrecord=b2298621</v>
      </c>
      <c r="D11619" t="s">
        <v>31902</v>
      </c>
      <c r="E11619" t="s">
        <v>35350</v>
      </c>
      <c r="F11619">
        <v>2004</v>
      </c>
      <c r="G11619" t="s">
        <v>33690</v>
      </c>
      <c r="H11619" t="s">
        <v>35356</v>
      </c>
      <c r="J11619" t="s">
        <v>14768</v>
      </c>
      <c r="K11619" s="2" t="str">
        <f>HYPERLINK("http://collections.slsa.sa.gov.au/mpcimg/69500/B69282_302.htm")</f>
        <v>http://collections.slsa.sa.gov.au/mpcimg/69500/B69282_302.htm</v>
      </c>
    </row>
    <row r="11620" spans="1:11" x14ac:dyDescent="0.25">
      <c r="A11620" t="s">
        <v>35357</v>
      </c>
      <c r="B11620" s="1" t="str">
        <f>HYPERLINK("https://www.catalog.slsa.sa.gov.au/record=b2298625")</f>
        <v>https://www.catalog.slsa.sa.gov.au/record=b2298625</v>
      </c>
      <c r="C11620" s="1" t="str">
        <f>HYPERLINK("https://www.catalog.slsa.sa.gov.au/xrecord=b2298625")</f>
        <v>https://www.catalog.slsa.sa.gov.au/xrecord=b2298625</v>
      </c>
      <c r="D11620" t="s">
        <v>31902</v>
      </c>
      <c r="E11620" t="s">
        <v>35350</v>
      </c>
      <c r="F11620">
        <v>2004</v>
      </c>
      <c r="G11620" t="s">
        <v>33690</v>
      </c>
      <c r="H11620" t="s">
        <v>35358</v>
      </c>
      <c r="J11620" t="s">
        <v>14768</v>
      </c>
      <c r="K11620" s="2" t="str">
        <f>HYPERLINK("http://collections.slsa.sa.gov.au/mpcimg/69500/B69282_303.htm")</f>
        <v>http://collections.slsa.sa.gov.au/mpcimg/69500/B69282_303.htm</v>
      </c>
    </row>
    <row r="11621" spans="1:11" x14ac:dyDescent="0.25">
      <c r="A11621" t="s">
        <v>35359</v>
      </c>
      <c r="B11621" s="1" t="str">
        <f>HYPERLINK("https://www.catalog.slsa.sa.gov.au/record=b2298626")</f>
        <v>https://www.catalog.slsa.sa.gov.au/record=b2298626</v>
      </c>
      <c r="C11621" s="1" t="str">
        <f>HYPERLINK("https://www.catalog.slsa.sa.gov.au/xrecord=b2298626")</f>
        <v>https://www.catalog.slsa.sa.gov.au/xrecord=b2298626</v>
      </c>
      <c r="D11621" t="s">
        <v>31902</v>
      </c>
      <c r="E11621" t="s">
        <v>35360</v>
      </c>
      <c r="F11621">
        <v>2004</v>
      </c>
      <c r="G11621" t="s">
        <v>33690</v>
      </c>
      <c r="H11621" t="s">
        <v>35361</v>
      </c>
      <c r="J11621" t="s">
        <v>14768</v>
      </c>
      <c r="K11621" s="2" t="str">
        <f>HYPERLINK("http://collections.slsa.sa.gov.au/mpcimg/69500/B69282_304.htm")</f>
        <v>http://collections.slsa.sa.gov.au/mpcimg/69500/B69282_304.htm</v>
      </c>
    </row>
    <row r="11622" spans="1:11" x14ac:dyDescent="0.25">
      <c r="A11622" t="s">
        <v>35362</v>
      </c>
      <c r="B11622" s="1" t="str">
        <f>HYPERLINK("https://www.catalog.slsa.sa.gov.au/record=b2298627")</f>
        <v>https://www.catalog.slsa.sa.gov.au/record=b2298627</v>
      </c>
      <c r="C11622" s="1" t="str">
        <f>HYPERLINK("https://www.catalog.slsa.sa.gov.au/xrecord=b2298627")</f>
        <v>https://www.catalog.slsa.sa.gov.au/xrecord=b2298627</v>
      </c>
      <c r="D11622" t="s">
        <v>31902</v>
      </c>
      <c r="E11622" t="s">
        <v>35363</v>
      </c>
      <c r="F11622">
        <v>2004</v>
      </c>
      <c r="G11622" t="s">
        <v>33690</v>
      </c>
      <c r="H11622" t="s">
        <v>35364</v>
      </c>
      <c r="J11622" t="s">
        <v>14768</v>
      </c>
      <c r="K11622" s="2" t="str">
        <f>HYPERLINK("http://collections.slsa.sa.gov.au/mpcimg/69500/B69282_305.htm")</f>
        <v>http://collections.slsa.sa.gov.au/mpcimg/69500/B69282_305.htm</v>
      </c>
    </row>
    <row r="11623" spans="1:11" x14ac:dyDescent="0.25">
      <c r="A11623" t="s">
        <v>35365</v>
      </c>
      <c r="B11623" s="1" t="str">
        <f>HYPERLINK("https://www.catalog.slsa.sa.gov.au/record=b2298915")</f>
        <v>https://www.catalog.slsa.sa.gov.au/record=b2298915</v>
      </c>
      <c r="C11623" s="1" t="str">
        <f>HYPERLINK("https://www.catalog.slsa.sa.gov.au/xrecord=b2298915")</f>
        <v>https://www.catalog.slsa.sa.gov.au/xrecord=b2298915</v>
      </c>
      <c r="D11623" t="s">
        <v>31902</v>
      </c>
      <c r="E11623" t="s">
        <v>35366</v>
      </c>
      <c r="F11623">
        <v>2004</v>
      </c>
      <c r="G11623" t="s">
        <v>33690</v>
      </c>
      <c r="H11623" t="s">
        <v>35367</v>
      </c>
      <c r="J11623" t="s">
        <v>14768</v>
      </c>
      <c r="K11623" s="2" t="str">
        <f>HYPERLINK("http://collections.slsa.sa.gov.au/mpcimg/69500/B69282_306.htm")</f>
        <v>http://collections.slsa.sa.gov.au/mpcimg/69500/B69282_306.htm</v>
      </c>
    </row>
    <row r="11624" spans="1:11" x14ac:dyDescent="0.25">
      <c r="A11624" t="s">
        <v>35368</v>
      </c>
      <c r="B11624" s="1" t="str">
        <f>HYPERLINK("https://www.catalog.slsa.sa.gov.au/record=b2298921")</f>
        <v>https://www.catalog.slsa.sa.gov.au/record=b2298921</v>
      </c>
      <c r="C11624" s="1" t="str">
        <f>HYPERLINK("https://www.catalog.slsa.sa.gov.au/xrecord=b2298921")</f>
        <v>https://www.catalog.slsa.sa.gov.au/xrecord=b2298921</v>
      </c>
      <c r="D11624" t="s">
        <v>31902</v>
      </c>
      <c r="E11624" t="s">
        <v>35369</v>
      </c>
      <c r="F11624">
        <v>2004</v>
      </c>
      <c r="G11624" t="s">
        <v>33690</v>
      </c>
      <c r="H11624" t="s">
        <v>35370</v>
      </c>
      <c r="J11624" t="s">
        <v>14768</v>
      </c>
      <c r="K11624" s="2" t="str">
        <f>HYPERLINK("http://collections.slsa.sa.gov.au/mpcimg/69500/B69282_307.htm")</f>
        <v>http://collections.slsa.sa.gov.au/mpcimg/69500/B69282_307.htm</v>
      </c>
    </row>
    <row r="11625" spans="1:11" x14ac:dyDescent="0.25">
      <c r="A11625" t="s">
        <v>35371</v>
      </c>
      <c r="B11625" s="1" t="str">
        <f>HYPERLINK("https://www.catalog.slsa.sa.gov.au/record=b2298930")</f>
        <v>https://www.catalog.slsa.sa.gov.au/record=b2298930</v>
      </c>
      <c r="C11625" s="1" t="str">
        <f>HYPERLINK("https://www.catalog.slsa.sa.gov.au/xrecord=b2298930")</f>
        <v>https://www.catalog.slsa.sa.gov.au/xrecord=b2298930</v>
      </c>
      <c r="D11625" t="s">
        <v>31902</v>
      </c>
      <c r="E11625" t="s">
        <v>35372</v>
      </c>
      <c r="F11625">
        <v>2004</v>
      </c>
      <c r="G11625" t="s">
        <v>33690</v>
      </c>
      <c r="H11625" t="s">
        <v>35373</v>
      </c>
      <c r="J11625" t="s">
        <v>14768</v>
      </c>
      <c r="K11625" s="2" t="str">
        <f>HYPERLINK("http://collections.slsa.sa.gov.au/mpcimg/69500/B69282_308.htm")</f>
        <v>http://collections.slsa.sa.gov.au/mpcimg/69500/B69282_308.htm</v>
      </c>
    </row>
    <row r="11626" spans="1:11" x14ac:dyDescent="0.25">
      <c r="A11626" t="s">
        <v>35374</v>
      </c>
      <c r="B11626" s="1" t="str">
        <f>HYPERLINK("https://www.catalog.slsa.sa.gov.au/record=b2298934")</f>
        <v>https://www.catalog.slsa.sa.gov.au/record=b2298934</v>
      </c>
      <c r="C11626" s="1" t="str">
        <f>HYPERLINK("https://www.catalog.slsa.sa.gov.au/xrecord=b2298934")</f>
        <v>https://www.catalog.slsa.sa.gov.au/xrecord=b2298934</v>
      </c>
      <c r="D11626" t="s">
        <v>31902</v>
      </c>
      <c r="E11626" t="s">
        <v>35375</v>
      </c>
      <c r="F11626">
        <v>2004</v>
      </c>
      <c r="G11626" t="s">
        <v>33690</v>
      </c>
      <c r="H11626" t="s">
        <v>35376</v>
      </c>
      <c r="J11626" t="s">
        <v>14768</v>
      </c>
      <c r="K11626" s="2" t="str">
        <f>HYPERLINK("http://collections.slsa.sa.gov.au/mpcimg/69500/B69282_309.htm")</f>
        <v>http://collections.slsa.sa.gov.au/mpcimg/69500/B69282_309.htm</v>
      </c>
    </row>
    <row r="11627" spans="1:11" x14ac:dyDescent="0.25">
      <c r="A11627" t="s">
        <v>35377</v>
      </c>
      <c r="B11627" s="1" t="str">
        <f>HYPERLINK("https://www.catalog.slsa.sa.gov.au/record=b2299044")</f>
        <v>https://www.catalog.slsa.sa.gov.au/record=b2299044</v>
      </c>
      <c r="C11627" s="1" t="str">
        <f>HYPERLINK("https://www.catalog.slsa.sa.gov.au/xrecord=b2299044")</f>
        <v>https://www.catalog.slsa.sa.gov.au/xrecord=b2299044</v>
      </c>
      <c r="D11627" t="s">
        <v>31902</v>
      </c>
      <c r="E11627" t="s">
        <v>35375</v>
      </c>
      <c r="F11627">
        <v>2004</v>
      </c>
      <c r="G11627" t="s">
        <v>33690</v>
      </c>
      <c r="H11627" t="s">
        <v>35378</v>
      </c>
      <c r="J11627" t="s">
        <v>14768</v>
      </c>
      <c r="K11627" s="2" t="str">
        <f>HYPERLINK("http://collections.slsa.sa.gov.au/mpcimg/69500/B69282_310.htm")</f>
        <v>http://collections.slsa.sa.gov.au/mpcimg/69500/B69282_310.htm</v>
      </c>
    </row>
    <row r="11628" spans="1:11" x14ac:dyDescent="0.25">
      <c r="A11628" t="s">
        <v>35379</v>
      </c>
      <c r="B11628" s="1" t="str">
        <f>HYPERLINK("https://www.catalog.slsa.sa.gov.au/record=b2299046")</f>
        <v>https://www.catalog.slsa.sa.gov.au/record=b2299046</v>
      </c>
      <c r="C11628" s="1" t="str">
        <f>HYPERLINK("https://www.catalog.slsa.sa.gov.au/xrecord=b2299046")</f>
        <v>https://www.catalog.slsa.sa.gov.au/xrecord=b2299046</v>
      </c>
      <c r="D11628" t="s">
        <v>31902</v>
      </c>
      <c r="E11628" t="s">
        <v>35375</v>
      </c>
      <c r="F11628">
        <v>2004</v>
      </c>
      <c r="G11628" t="s">
        <v>33690</v>
      </c>
      <c r="H11628" t="s">
        <v>35380</v>
      </c>
      <c r="J11628" t="s">
        <v>14768</v>
      </c>
      <c r="K11628" s="2" t="str">
        <f>HYPERLINK("http://collections.slsa.sa.gov.au/mpcimg/69500/B69282_311.htm")</f>
        <v>http://collections.slsa.sa.gov.au/mpcimg/69500/B69282_311.htm</v>
      </c>
    </row>
    <row r="11629" spans="1:11" x14ac:dyDescent="0.25">
      <c r="A11629" t="s">
        <v>35381</v>
      </c>
      <c r="B11629" s="1" t="str">
        <f>HYPERLINK("https://www.catalog.slsa.sa.gov.au/record=b2299049")</f>
        <v>https://www.catalog.slsa.sa.gov.au/record=b2299049</v>
      </c>
      <c r="C11629" s="1" t="str">
        <f>HYPERLINK("https://www.catalog.slsa.sa.gov.au/xrecord=b2299049")</f>
        <v>https://www.catalog.slsa.sa.gov.au/xrecord=b2299049</v>
      </c>
      <c r="D11629" t="s">
        <v>31902</v>
      </c>
      <c r="E11629" t="s">
        <v>35375</v>
      </c>
      <c r="F11629">
        <v>2004</v>
      </c>
      <c r="G11629" t="s">
        <v>33690</v>
      </c>
      <c r="H11629" t="s">
        <v>35382</v>
      </c>
      <c r="J11629" t="s">
        <v>14768</v>
      </c>
      <c r="K11629" s="2" t="str">
        <f>HYPERLINK("http://collections.slsa.sa.gov.au/mpcimg/69500/B69282_312.htm")</f>
        <v>http://collections.slsa.sa.gov.au/mpcimg/69500/B69282_312.htm</v>
      </c>
    </row>
    <row r="11630" spans="1:11" x14ac:dyDescent="0.25">
      <c r="A11630" t="s">
        <v>35383</v>
      </c>
      <c r="B11630" s="1" t="str">
        <f>HYPERLINK("https://www.catalog.slsa.sa.gov.au/record=b2299056")</f>
        <v>https://www.catalog.slsa.sa.gov.au/record=b2299056</v>
      </c>
      <c r="C11630" s="1" t="str">
        <f>HYPERLINK("https://www.catalog.slsa.sa.gov.au/xrecord=b2299056")</f>
        <v>https://www.catalog.slsa.sa.gov.au/xrecord=b2299056</v>
      </c>
      <c r="D11630" t="s">
        <v>31902</v>
      </c>
      <c r="E11630" t="s">
        <v>35242</v>
      </c>
      <c r="F11630">
        <v>2004</v>
      </c>
      <c r="G11630" t="s">
        <v>33690</v>
      </c>
      <c r="H11630" t="s">
        <v>35384</v>
      </c>
      <c r="J11630" t="s">
        <v>14768</v>
      </c>
      <c r="K11630" s="2" t="str">
        <f>HYPERLINK("http://collections.slsa.sa.gov.au/mpcimg/69500/B69282_313.htm")</f>
        <v>http://collections.slsa.sa.gov.au/mpcimg/69500/B69282_313.htm</v>
      </c>
    </row>
    <row r="11631" spans="1:11" x14ac:dyDescent="0.25">
      <c r="A11631" t="s">
        <v>35385</v>
      </c>
      <c r="B11631" s="1" t="str">
        <f>HYPERLINK("https://www.catalog.slsa.sa.gov.au/record=b2299064")</f>
        <v>https://www.catalog.slsa.sa.gov.au/record=b2299064</v>
      </c>
      <c r="C11631" s="1" t="str">
        <f>HYPERLINK("https://www.catalog.slsa.sa.gov.au/xrecord=b2299064")</f>
        <v>https://www.catalog.slsa.sa.gov.au/xrecord=b2299064</v>
      </c>
      <c r="D11631" t="s">
        <v>31902</v>
      </c>
      <c r="E11631" t="s">
        <v>35242</v>
      </c>
      <c r="F11631">
        <v>2004</v>
      </c>
      <c r="G11631" t="s">
        <v>33690</v>
      </c>
      <c r="H11631" t="s">
        <v>35386</v>
      </c>
      <c r="J11631" t="s">
        <v>14768</v>
      </c>
      <c r="K11631" s="2" t="str">
        <f>HYPERLINK("http://collections.slsa.sa.gov.au/mpcimg/69500/B69282_314.htm")</f>
        <v>http://collections.slsa.sa.gov.au/mpcimg/69500/B69282_314.htm</v>
      </c>
    </row>
    <row r="11632" spans="1:11" x14ac:dyDescent="0.25">
      <c r="A11632" t="s">
        <v>35387</v>
      </c>
      <c r="B11632" s="1" t="str">
        <f>HYPERLINK("https://www.catalog.slsa.sa.gov.au/record=b2299078")</f>
        <v>https://www.catalog.slsa.sa.gov.au/record=b2299078</v>
      </c>
      <c r="C11632" s="1" t="str">
        <f>HYPERLINK("https://www.catalog.slsa.sa.gov.au/xrecord=b2299078")</f>
        <v>https://www.catalog.slsa.sa.gov.au/xrecord=b2299078</v>
      </c>
      <c r="D11632" t="s">
        <v>31902</v>
      </c>
      <c r="E11632" t="s">
        <v>35375</v>
      </c>
      <c r="F11632">
        <v>2004</v>
      </c>
      <c r="G11632" t="s">
        <v>33690</v>
      </c>
      <c r="H11632" t="s">
        <v>35388</v>
      </c>
      <c r="J11632" t="s">
        <v>14768</v>
      </c>
      <c r="K11632" s="2" t="str">
        <f>HYPERLINK("http://collections.slsa.sa.gov.au/mpcimg/69500/B69282_315.htm")</f>
        <v>http://collections.slsa.sa.gov.au/mpcimg/69500/B69282_315.htm</v>
      </c>
    </row>
    <row r="11633" spans="1:11" x14ac:dyDescent="0.25">
      <c r="A11633" t="s">
        <v>35389</v>
      </c>
      <c r="B11633" s="1" t="str">
        <f>HYPERLINK("https://www.catalog.slsa.sa.gov.au/record=b2299084")</f>
        <v>https://www.catalog.slsa.sa.gov.au/record=b2299084</v>
      </c>
      <c r="C11633" s="1" t="str">
        <f>HYPERLINK("https://www.catalog.slsa.sa.gov.au/xrecord=b2299084")</f>
        <v>https://www.catalog.slsa.sa.gov.au/xrecord=b2299084</v>
      </c>
      <c r="D11633" t="s">
        <v>31902</v>
      </c>
      <c r="E11633" t="s">
        <v>35242</v>
      </c>
      <c r="F11633">
        <v>2004</v>
      </c>
      <c r="G11633" t="s">
        <v>33690</v>
      </c>
      <c r="H11633" t="s">
        <v>35390</v>
      </c>
      <c r="J11633" t="s">
        <v>14768</v>
      </c>
      <c r="K11633" s="2" t="str">
        <f>HYPERLINK("http://collections.slsa.sa.gov.au/mpcimg/69500/B69282_316.htm")</f>
        <v>http://collections.slsa.sa.gov.au/mpcimg/69500/B69282_316.htm</v>
      </c>
    </row>
    <row r="11634" spans="1:11" x14ac:dyDescent="0.25">
      <c r="A11634" t="s">
        <v>35391</v>
      </c>
      <c r="B11634" s="1" t="str">
        <f>HYPERLINK("https://www.catalog.slsa.sa.gov.au/record=b2299105")</f>
        <v>https://www.catalog.slsa.sa.gov.au/record=b2299105</v>
      </c>
      <c r="C11634" s="1" t="str">
        <f>HYPERLINK("https://www.catalog.slsa.sa.gov.au/xrecord=b2299105")</f>
        <v>https://www.catalog.slsa.sa.gov.au/xrecord=b2299105</v>
      </c>
      <c r="D11634" t="s">
        <v>31902</v>
      </c>
      <c r="E11634" t="s">
        <v>35242</v>
      </c>
      <c r="F11634">
        <v>2004</v>
      </c>
      <c r="G11634" t="s">
        <v>33690</v>
      </c>
      <c r="H11634" t="s">
        <v>35392</v>
      </c>
      <c r="J11634" t="s">
        <v>14768</v>
      </c>
      <c r="K11634" s="2" t="str">
        <f>HYPERLINK("http://collections.slsa.sa.gov.au/mpcimg/69500/B69282_317.htm")</f>
        <v>http://collections.slsa.sa.gov.au/mpcimg/69500/B69282_317.htm</v>
      </c>
    </row>
    <row r="11635" spans="1:11" x14ac:dyDescent="0.25">
      <c r="A11635" t="s">
        <v>35393</v>
      </c>
      <c r="B11635" s="1" t="str">
        <f>HYPERLINK("https://www.catalog.slsa.sa.gov.au/record=b2299111")</f>
        <v>https://www.catalog.slsa.sa.gov.au/record=b2299111</v>
      </c>
      <c r="C11635" s="1" t="str">
        <f>HYPERLINK("https://www.catalog.slsa.sa.gov.au/xrecord=b2299111")</f>
        <v>https://www.catalog.slsa.sa.gov.au/xrecord=b2299111</v>
      </c>
      <c r="D11635" t="s">
        <v>31902</v>
      </c>
      <c r="E11635" t="s">
        <v>35242</v>
      </c>
      <c r="F11635">
        <v>2004</v>
      </c>
      <c r="G11635" t="s">
        <v>33690</v>
      </c>
      <c r="H11635" t="s">
        <v>35394</v>
      </c>
      <c r="J11635" t="s">
        <v>14768</v>
      </c>
      <c r="K11635" s="2" t="str">
        <f>HYPERLINK("http://collections.slsa.sa.gov.au/mpcimg/69500/B69282_318.htm")</f>
        <v>http://collections.slsa.sa.gov.au/mpcimg/69500/B69282_318.htm</v>
      </c>
    </row>
    <row r="11636" spans="1:11" x14ac:dyDescent="0.25">
      <c r="A11636" t="s">
        <v>35395</v>
      </c>
      <c r="B11636" s="1" t="str">
        <f>HYPERLINK("https://www.catalog.slsa.sa.gov.au/record=b2299119")</f>
        <v>https://www.catalog.slsa.sa.gov.au/record=b2299119</v>
      </c>
      <c r="C11636" s="1" t="str">
        <f>HYPERLINK("https://www.catalog.slsa.sa.gov.au/xrecord=b2299119")</f>
        <v>https://www.catalog.slsa.sa.gov.au/xrecord=b2299119</v>
      </c>
      <c r="D11636" t="s">
        <v>31902</v>
      </c>
      <c r="E11636" t="s">
        <v>35242</v>
      </c>
      <c r="F11636">
        <v>2004</v>
      </c>
      <c r="G11636" t="s">
        <v>33690</v>
      </c>
      <c r="H11636" t="s">
        <v>35243</v>
      </c>
      <c r="J11636" t="s">
        <v>14768</v>
      </c>
      <c r="K11636" s="2" t="str">
        <f>HYPERLINK("http://collections.slsa.sa.gov.au/mpcimg/69500/B69282_319.htm")</f>
        <v>http://collections.slsa.sa.gov.au/mpcimg/69500/B69282_319.htm</v>
      </c>
    </row>
    <row r="11637" spans="1:11" x14ac:dyDescent="0.25">
      <c r="A11637" t="s">
        <v>35396</v>
      </c>
      <c r="B11637" s="1" t="str">
        <f>HYPERLINK("https://www.catalog.slsa.sa.gov.au/record=b2105945")</f>
        <v>https://www.catalog.slsa.sa.gov.au/record=b2105945</v>
      </c>
      <c r="C11637" s="1" t="str">
        <f>HYPERLINK("https://www.catalog.slsa.sa.gov.au/xrecord=b2105945")</f>
        <v>https://www.catalog.slsa.sa.gov.au/xrecord=b2105945</v>
      </c>
      <c r="D11637" t="s">
        <v>16831</v>
      </c>
      <c r="E11637" t="s">
        <v>35397</v>
      </c>
      <c r="F11637">
        <v>2005</v>
      </c>
      <c r="G11637" t="s">
        <v>35398</v>
      </c>
      <c r="H11637" t="s">
        <v>35399</v>
      </c>
      <c r="I11637" t="s">
        <v>35400</v>
      </c>
      <c r="J11637" t="s">
        <v>35401</v>
      </c>
      <c r="K11637" s="2" t="str">
        <f>HYPERLINK("http://collections.slsa.sa.gov.au/mpcimg/69250/B69109.htm")</f>
        <v>http://collections.slsa.sa.gov.au/mpcimg/69250/B69109.htm</v>
      </c>
    </row>
    <row r="11638" spans="1:11" x14ac:dyDescent="0.25">
      <c r="A11638" t="s">
        <v>35402</v>
      </c>
      <c r="B11638" s="1" t="str">
        <f>HYPERLINK("https://www.catalog.slsa.sa.gov.au/record=b2105946")</f>
        <v>https://www.catalog.slsa.sa.gov.au/record=b2105946</v>
      </c>
      <c r="C11638" s="1" t="str">
        <f>HYPERLINK("https://www.catalog.slsa.sa.gov.au/xrecord=b2105946")</f>
        <v>https://www.catalog.slsa.sa.gov.au/xrecord=b2105946</v>
      </c>
      <c r="D11638" t="s">
        <v>16831</v>
      </c>
      <c r="E11638" t="s">
        <v>35397</v>
      </c>
      <c r="F11638">
        <v>2005</v>
      </c>
      <c r="G11638" t="s">
        <v>35398</v>
      </c>
      <c r="H11638" t="s">
        <v>35403</v>
      </c>
      <c r="I11638" t="s">
        <v>35400</v>
      </c>
      <c r="J11638" t="s">
        <v>35401</v>
      </c>
      <c r="K11638" s="2" t="str">
        <f>HYPERLINK("http://collections.slsa.sa.gov.au/mpcimg/69250/B69110.htm")</f>
        <v>http://collections.slsa.sa.gov.au/mpcimg/69250/B69110.htm</v>
      </c>
    </row>
    <row r="11639" spans="1:11" x14ac:dyDescent="0.25">
      <c r="A11639" t="s">
        <v>35404</v>
      </c>
      <c r="B11639" s="1" t="str">
        <f>HYPERLINK("https://www.catalog.slsa.sa.gov.au/record=b2105947")</f>
        <v>https://www.catalog.slsa.sa.gov.au/record=b2105947</v>
      </c>
      <c r="C11639" s="1" t="str">
        <f>HYPERLINK("https://www.catalog.slsa.sa.gov.au/xrecord=b2105947")</f>
        <v>https://www.catalog.slsa.sa.gov.au/xrecord=b2105947</v>
      </c>
      <c r="D11639" t="s">
        <v>16831</v>
      </c>
      <c r="E11639" t="s">
        <v>35405</v>
      </c>
      <c r="F11639">
        <v>2005</v>
      </c>
      <c r="G11639" t="s">
        <v>35398</v>
      </c>
      <c r="H11639" t="s">
        <v>35406</v>
      </c>
      <c r="I11639" t="s">
        <v>35407</v>
      </c>
      <c r="J11639" t="s">
        <v>35401</v>
      </c>
      <c r="K11639" s="2" t="str">
        <f>HYPERLINK("http://collections.slsa.sa.gov.au/mpcimg/69250/B69111.htm")</f>
        <v>http://collections.slsa.sa.gov.au/mpcimg/69250/B69111.htm</v>
      </c>
    </row>
    <row r="11640" spans="1:11" x14ac:dyDescent="0.25">
      <c r="A11640" t="s">
        <v>35408</v>
      </c>
      <c r="B11640" s="1" t="str">
        <f>HYPERLINK("https://www.catalog.slsa.sa.gov.au/record=b2105948")</f>
        <v>https://www.catalog.slsa.sa.gov.au/record=b2105948</v>
      </c>
      <c r="C11640" s="1" t="str">
        <f>HYPERLINK("https://www.catalog.slsa.sa.gov.au/xrecord=b2105948")</f>
        <v>https://www.catalog.slsa.sa.gov.au/xrecord=b2105948</v>
      </c>
      <c r="D11640" t="s">
        <v>16831</v>
      </c>
      <c r="E11640" t="s">
        <v>35405</v>
      </c>
      <c r="F11640">
        <v>2005</v>
      </c>
      <c r="G11640" t="s">
        <v>35398</v>
      </c>
      <c r="H11640" t="s">
        <v>35409</v>
      </c>
      <c r="I11640" t="s">
        <v>35407</v>
      </c>
      <c r="J11640" t="s">
        <v>35401</v>
      </c>
      <c r="K11640" s="2" t="str">
        <f>HYPERLINK("http://collections.slsa.sa.gov.au/mpcimg/69250/B69112.htm")</f>
        <v>http://collections.slsa.sa.gov.au/mpcimg/69250/B69112.htm</v>
      </c>
    </row>
    <row r="11641" spans="1:11" x14ac:dyDescent="0.25">
      <c r="A11641" t="s">
        <v>35410</v>
      </c>
      <c r="B11641" s="1" t="str">
        <f>HYPERLINK("https://www.catalog.slsa.sa.gov.au/record=b2105949")</f>
        <v>https://www.catalog.slsa.sa.gov.au/record=b2105949</v>
      </c>
      <c r="C11641" s="1" t="str">
        <f>HYPERLINK("https://www.catalog.slsa.sa.gov.au/xrecord=b2105949")</f>
        <v>https://www.catalog.slsa.sa.gov.au/xrecord=b2105949</v>
      </c>
      <c r="D11641" t="s">
        <v>16831</v>
      </c>
      <c r="E11641" t="s">
        <v>35411</v>
      </c>
      <c r="F11641">
        <v>2005</v>
      </c>
      <c r="G11641" t="s">
        <v>35398</v>
      </c>
      <c r="H11641" t="s">
        <v>35412</v>
      </c>
      <c r="I11641" t="s">
        <v>35413</v>
      </c>
      <c r="J11641" t="s">
        <v>26872</v>
      </c>
      <c r="K11641" s="2" t="str">
        <f>HYPERLINK("http://collections.slsa.sa.gov.au/mpcimg/69250/B69113.htm")</f>
        <v>http://collections.slsa.sa.gov.au/mpcimg/69250/B69113.htm</v>
      </c>
    </row>
    <row r="11642" spans="1:11" x14ac:dyDescent="0.25">
      <c r="A11642" t="s">
        <v>35414</v>
      </c>
      <c r="B11642" s="1" t="str">
        <f>HYPERLINK("https://www.catalog.slsa.sa.gov.au/record=b2105950")</f>
        <v>https://www.catalog.slsa.sa.gov.au/record=b2105950</v>
      </c>
      <c r="C11642" s="1" t="str">
        <f>HYPERLINK("https://www.catalog.slsa.sa.gov.au/xrecord=b2105950")</f>
        <v>https://www.catalog.slsa.sa.gov.au/xrecord=b2105950</v>
      </c>
      <c r="D11642" t="s">
        <v>16831</v>
      </c>
      <c r="E11642" t="s">
        <v>35411</v>
      </c>
      <c r="F11642">
        <v>2005</v>
      </c>
      <c r="G11642" t="s">
        <v>35398</v>
      </c>
      <c r="H11642" t="s">
        <v>35415</v>
      </c>
      <c r="I11642" t="s">
        <v>35413</v>
      </c>
      <c r="J11642" t="s">
        <v>26872</v>
      </c>
      <c r="K11642" s="2" t="str">
        <f>HYPERLINK("http://collections.slsa.sa.gov.au/mpcimg/69250/B69114.htm")</f>
        <v>http://collections.slsa.sa.gov.au/mpcimg/69250/B69114.htm</v>
      </c>
    </row>
    <row r="11643" spans="1:11" x14ac:dyDescent="0.25">
      <c r="A11643" t="s">
        <v>35416</v>
      </c>
      <c r="B11643" s="1" t="str">
        <f>HYPERLINK("https://www.catalog.slsa.sa.gov.au/record=b2105952")</f>
        <v>https://www.catalog.slsa.sa.gov.au/record=b2105952</v>
      </c>
      <c r="C11643" s="1" t="str">
        <f>HYPERLINK("https://www.catalog.slsa.sa.gov.au/xrecord=b2105952")</f>
        <v>https://www.catalog.slsa.sa.gov.au/xrecord=b2105952</v>
      </c>
      <c r="D11643" t="s">
        <v>16831</v>
      </c>
      <c r="E11643" t="s">
        <v>35417</v>
      </c>
      <c r="F11643">
        <v>2005</v>
      </c>
      <c r="G11643" t="s">
        <v>35398</v>
      </c>
      <c r="H11643" t="s">
        <v>35418</v>
      </c>
      <c r="I11643" t="s">
        <v>35419</v>
      </c>
      <c r="J11643" t="s">
        <v>15803</v>
      </c>
      <c r="K11643" s="2" t="str">
        <f>HYPERLINK("http://collections.slsa.sa.gov.au/mpcimg/69250/B69115.htm")</f>
        <v>http://collections.slsa.sa.gov.au/mpcimg/69250/B69115.htm</v>
      </c>
    </row>
    <row r="11644" spans="1:11" x14ac:dyDescent="0.25">
      <c r="A11644" t="s">
        <v>35420</v>
      </c>
      <c r="B11644" s="1" t="str">
        <f>HYPERLINK("https://www.catalog.slsa.sa.gov.au/record=b2105953")</f>
        <v>https://www.catalog.slsa.sa.gov.au/record=b2105953</v>
      </c>
      <c r="C11644" s="1" t="str">
        <f>HYPERLINK("https://www.catalog.slsa.sa.gov.au/xrecord=b2105953")</f>
        <v>https://www.catalog.slsa.sa.gov.au/xrecord=b2105953</v>
      </c>
      <c r="D11644" t="s">
        <v>16831</v>
      </c>
      <c r="E11644" t="s">
        <v>35417</v>
      </c>
      <c r="F11644">
        <v>2005</v>
      </c>
      <c r="G11644" t="s">
        <v>35398</v>
      </c>
      <c r="H11644" t="s">
        <v>35421</v>
      </c>
      <c r="I11644" t="s">
        <v>35422</v>
      </c>
      <c r="J11644" t="s">
        <v>15803</v>
      </c>
      <c r="K11644" s="2" t="str">
        <f>HYPERLINK("http://collections.slsa.sa.gov.au/mpcimg/69250/B69116.htm")</f>
        <v>http://collections.slsa.sa.gov.au/mpcimg/69250/B69116.htm</v>
      </c>
    </row>
    <row r="11645" spans="1:11" x14ac:dyDescent="0.25">
      <c r="A11645" t="s">
        <v>35423</v>
      </c>
      <c r="B11645" s="1" t="str">
        <f>HYPERLINK("https://www.catalog.slsa.sa.gov.au/record=b2105954")</f>
        <v>https://www.catalog.slsa.sa.gov.au/record=b2105954</v>
      </c>
      <c r="C11645" s="1" t="str">
        <f>HYPERLINK("https://www.catalog.slsa.sa.gov.au/xrecord=b2105954")</f>
        <v>https://www.catalog.slsa.sa.gov.au/xrecord=b2105954</v>
      </c>
      <c r="D11645" t="s">
        <v>16831</v>
      </c>
      <c r="E11645" t="s">
        <v>35424</v>
      </c>
      <c r="F11645">
        <v>2005</v>
      </c>
      <c r="G11645" t="s">
        <v>35398</v>
      </c>
      <c r="H11645" t="s">
        <v>35425</v>
      </c>
      <c r="I11645" t="s">
        <v>35426</v>
      </c>
      <c r="J11645" t="s">
        <v>14963</v>
      </c>
      <c r="K11645" s="2" t="str">
        <f>HYPERLINK("http://collections.slsa.sa.gov.au/mpcimg/69250/B69117.htm")</f>
        <v>http://collections.slsa.sa.gov.au/mpcimg/69250/B69117.htm</v>
      </c>
    </row>
    <row r="11646" spans="1:11" x14ac:dyDescent="0.25">
      <c r="A11646" t="s">
        <v>35427</v>
      </c>
      <c r="B11646" s="1" t="str">
        <f>HYPERLINK("https://www.catalog.slsa.sa.gov.au/record=b2105955")</f>
        <v>https://www.catalog.slsa.sa.gov.au/record=b2105955</v>
      </c>
      <c r="C11646" s="1" t="str">
        <f>HYPERLINK("https://www.catalog.slsa.sa.gov.au/xrecord=b2105955")</f>
        <v>https://www.catalog.slsa.sa.gov.au/xrecord=b2105955</v>
      </c>
      <c r="D11646" t="s">
        <v>16831</v>
      </c>
      <c r="E11646" t="s">
        <v>35428</v>
      </c>
      <c r="F11646">
        <v>2005</v>
      </c>
      <c r="G11646" t="s">
        <v>35398</v>
      </c>
      <c r="H11646" t="s">
        <v>35429</v>
      </c>
      <c r="I11646" t="s">
        <v>35430</v>
      </c>
      <c r="J11646" t="s">
        <v>14963</v>
      </c>
      <c r="K11646" s="2" t="str">
        <f>HYPERLINK("http://collections.slsa.sa.gov.au/mpcimg/69250/B69118.htm")</f>
        <v>http://collections.slsa.sa.gov.au/mpcimg/69250/B69118.htm</v>
      </c>
    </row>
    <row r="11647" spans="1:11" x14ac:dyDescent="0.25">
      <c r="A11647" t="s">
        <v>35431</v>
      </c>
      <c r="B11647" s="1" t="str">
        <f>HYPERLINK("https://www.catalog.slsa.sa.gov.au/record=b2105956")</f>
        <v>https://www.catalog.slsa.sa.gov.au/record=b2105956</v>
      </c>
      <c r="C11647" s="1" t="str">
        <f>HYPERLINK("https://www.catalog.slsa.sa.gov.au/xrecord=b2105956")</f>
        <v>https://www.catalog.slsa.sa.gov.au/xrecord=b2105956</v>
      </c>
      <c r="D11647" t="s">
        <v>16831</v>
      </c>
      <c r="E11647" t="s">
        <v>35432</v>
      </c>
      <c r="F11647">
        <v>2005</v>
      </c>
      <c r="G11647" t="s">
        <v>35398</v>
      </c>
      <c r="H11647" t="s">
        <v>35433</v>
      </c>
      <c r="I11647" t="s">
        <v>35434</v>
      </c>
      <c r="J11647" t="s">
        <v>14963</v>
      </c>
      <c r="K11647" s="2" t="str">
        <f>HYPERLINK("http://collections.slsa.sa.gov.au/mpcimg/69250/B69119.htm")</f>
        <v>http://collections.slsa.sa.gov.au/mpcimg/69250/B69119.htm</v>
      </c>
    </row>
    <row r="11648" spans="1:11" x14ac:dyDescent="0.25">
      <c r="A11648" t="s">
        <v>35435</v>
      </c>
      <c r="B11648" s="1" t="str">
        <f>HYPERLINK("https://www.catalog.slsa.sa.gov.au/record=b2105957")</f>
        <v>https://www.catalog.slsa.sa.gov.au/record=b2105957</v>
      </c>
      <c r="C11648" s="1" t="str">
        <f>HYPERLINK("https://www.catalog.slsa.sa.gov.au/xrecord=b2105957")</f>
        <v>https://www.catalog.slsa.sa.gov.au/xrecord=b2105957</v>
      </c>
      <c r="D11648" t="s">
        <v>16831</v>
      </c>
      <c r="E11648" t="s">
        <v>35436</v>
      </c>
      <c r="F11648">
        <v>2005</v>
      </c>
      <c r="G11648" t="s">
        <v>35398</v>
      </c>
      <c r="H11648" t="s">
        <v>35437</v>
      </c>
      <c r="I11648" t="s">
        <v>35438</v>
      </c>
      <c r="J11648" t="s">
        <v>15664</v>
      </c>
      <c r="K11648" s="2" t="str">
        <f>HYPERLINK("http://collections.slsa.sa.gov.au/mpcimg/69250/B69120.htm")</f>
        <v>http://collections.slsa.sa.gov.au/mpcimg/69250/B69120.htm</v>
      </c>
    </row>
    <row r="11649" spans="1:11" x14ac:dyDescent="0.25">
      <c r="A11649" t="s">
        <v>35439</v>
      </c>
      <c r="B11649" s="1" t="str">
        <f>HYPERLINK("https://www.catalog.slsa.sa.gov.au/record=b2105958")</f>
        <v>https://www.catalog.slsa.sa.gov.au/record=b2105958</v>
      </c>
      <c r="C11649" s="1" t="str">
        <f>HYPERLINK("https://www.catalog.slsa.sa.gov.au/xrecord=b2105958")</f>
        <v>https://www.catalog.slsa.sa.gov.au/xrecord=b2105958</v>
      </c>
      <c r="D11649" t="s">
        <v>16831</v>
      </c>
      <c r="E11649" t="s">
        <v>35440</v>
      </c>
      <c r="F11649">
        <v>2005</v>
      </c>
      <c r="G11649" t="s">
        <v>35398</v>
      </c>
      <c r="H11649" t="s">
        <v>35441</v>
      </c>
      <c r="I11649" t="s">
        <v>35442</v>
      </c>
      <c r="J11649" t="s">
        <v>35443</v>
      </c>
      <c r="K11649" s="2" t="str">
        <f>HYPERLINK("http://collections.slsa.sa.gov.au/mpcimg/69250/B69121.htm")</f>
        <v>http://collections.slsa.sa.gov.au/mpcimg/69250/B69121.htm</v>
      </c>
    </row>
    <row r="11650" spans="1:11" x14ac:dyDescent="0.25">
      <c r="A11650" t="s">
        <v>35444</v>
      </c>
      <c r="B11650" s="1" t="str">
        <f>HYPERLINK("https://www.catalog.slsa.sa.gov.au/record=b2105959")</f>
        <v>https://www.catalog.slsa.sa.gov.au/record=b2105959</v>
      </c>
      <c r="C11650" s="1" t="str">
        <f>HYPERLINK("https://www.catalog.slsa.sa.gov.au/xrecord=b2105959")</f>
        <v>https://www.catalog.slsa.sa.gov.au/xrecord=b2105959</v>
      </c>
      <c r="D11650" t="s">
        <v>16831</v>
      </c>
      <c r="E11650" t="s">
        <v>35445</v>
      </c>
      <c r="F11650">
        <v>2005</v>
      </c>
      <c r="G11650" t="s">
        <v>35398</v>
      </c>
      <c r="H11650" t="s">
        <v>35446</v>
      </c>
      <c r="I11650" t="s">
        <v>35442</v>
      </c>
      <c r="J11650" t="s">
        <v>35443</v>
      </c>
      <c r="K11650" s="2" t="str">
        <f>HYPERLINK("http://collections.slsa.sa.gov.au/mpcimg/69250/B69122.htm")</f>
        <v>http://collections.slsa.sa.gov.au/mpcimg/69250/B69122.htm</v>
      </c>
    </row>
    <row r="11651" spans="1:11" x14ac:dyDescent="0.25">
      <c r="A11651" t="s">
        <v>35447</v>
      </c>
      <c r="B11651" s="1" t="str">
        <f>HYPERLINK("https://www.catalog.slsa.sa.gov.au/record=b2105960")</f>
        <v>https://www.catalog.slsa.sa.gov.au/record=b2105960</v>
      </c>
      <c r="C11651" s="1" t="str">
        <f>HYPERLINK("https://www.catalog.slsa.sa.gov.au/xrecord=b2105960")</f>
        <v>https://www.catalog.slsa.sa.gov.au/xrecord=b2105960</v>
      </c>
      <c r="D11651" t="s">
        <v>16831</v>
      </c>
      <c r="E11651" t="s">
        <v>35445</v>
      </c>
      <c r="F11651">
        <v>2005</v>
      </c>
      <c r="G11651" t="s">
        <v>35398</v>
      </c>
      <c r="H11651" t="s">
        <v>35448</v>
      </c>
      <c r="I11651" t="s">
        <v>35442</v>
      </c>
      <c r="J11651" t="s">
        <v>35443</v>
      </c>
      <c r="K11651" s="2" t="str">
        <f>HYPERLINK("http://collections.slsa.sa.gov.au/mpcimg/69250/B69123.htm")</f>
        <v>http://collections.slsa.sa.gov.au/mpcimg/69250/B69123.htm</v>
      </c>
    </row>
    <row r="11652" spans="1:11" x14ac:dyDescent="0.25">
      <c r="A11652" t="s">
        <v>35449</v>
      </c>
      <c r="B11652" s="1" t="str">
        <f>HYPERLINK("https://www.catalog.slsa.sa.gov.au/record=b2105962")</f>
        <v>https://www.catalog.slsa.sa.gov.au/record=b2105962</v>
      </c>
      <c r="C11652" s="1" t="str">
        <f>HYPERLINK("https://www.catalog.slsa.sa.gov.au/xrecord=b2105962")</f>
        <v>https://www.catalog.slsa.sa.gov.au/xrecord=b2105962</v>
      </c>
      <c r="D11652" t="s">
        <v>16831</v>
      </c>
      <c r="E11652" t="s">
        <v>35450</v>
      </c>
      <c r="F11652">
        <v>2005</v>
      </c>
      <c r="G11652" t="s">
        <v>35398</v>
      </c>
      <c r="H11652" t="s">
        <v>35451</v>
      </c>
      <c r="I11652" t="s">
        <v>35452</v>
      </c>
      <c r="J11652" t="s">
        <v>2654</v>
      </c>
      <c r="K11652" s="2" t="str">
        <f>HYPERLINK("http://collections.slsa.sa.gov.au/mpcimg/69250/B69125.htm")</f>
        <v>http://collections.slsa.sa.gov.au/mpcimg/69250/B69125.htm</v>
      </c>
    </row>
    <row r="11653" spans="1:11" x14ac:dyDescent="0.25">
      <c r="A11653" t="s">
        <v>35453</v>
      </c>
      <c r="B11653" s="1" t="str">
        <f>HYPERLINK("https://www.catalog.slsa.sa.gov.au/record=b2105963")</f>
        <v>https://www.catalog.slsa.sa.gov.au/record=b2105963</v>
      </c>
      <c r="C11653" s="1" t="str">
        <f>HYPERLINK("https://www.catalog.slsa.sa.gov.au/xrecord=b2105963")</f>
        <v>https://www.catalog.slsa.sa.gov.au/xrecord=b2105963</v>
      </c>
      <c r="D11653" t="s">
        <v>16831</v>
      </c>
      <c r="E11653" t="s">
        <v>35450</v>
      </c>
      <c r="F11653">
        <v>2005</v>
      </c>
      <c r="G11653" t="s">
        <v>35398</v>
      </c>
      <c r="H11653" t="s">
        <v>35454</v>
      </c>
      <c r="I11653" t="s">
        <v>35452</v>
      </c>
      <c r="J11653" t="s">
        <v>2654</v>
      </c>
      <c r="K11653" s="2" t="str">
        <f>HYPERLINK("http://collections.slsa.sa.gov.au/mpcimg/69250/B69126.htm")</f>
        <v>http://collections.slsa.sa.gov.au/mpcimg/69250/B69126.htm</v>
      </c>
    </row>
    <row r="11654" spans="1:11" x14ac:dyDescent="0.25">
      <c r="A11654" t="s">
        <v>35455</v>
      </c>
      <c r="B11654" s="1" t="str">
        <f>HYPERLINK("https://www.catalog.slsa.sa.gov.au/record=b2105964")</f>
        <v>https://www.catalog.slsa.sa.gov.au/record=b2105964</v>
      </c>
      <c r="C11654" s="1" t="str">
        <f>HYPERLINK("https://www.catalog.slsa.sa.gov.au/xrecord=b2105964")</f>
        <v>https://www.catalog.slsa.sa.gov.au/xrecord=b2105964</v>
      </c>
      <c r="D11654" t="s">
        <v>16831</v>
      </c>
      <c r="E11654" t="s">
        <v>35456</v>
      </c>
      <c r="F11654">
        <v>2005</v>
      </c>
      <c r="G11654" t="s">
        <v>35398</v>
      </c>
      <c r="H11654" t="s">
        <v>35457</v>
      </c>
      <c r="I11654" t="s">
        <v>35458</v>
      </c>
      <c r="J11654" t="s">
        <v>14873</v>
      </c>
      <c r="K11654" s="2" t="str">
        <f>HYPERLINK("http://collections.slsa.sa.gov.au/mpcimg/69250/B69127.htm")</f>
        <v>http://collections.slsa.sa.gov.au/mpcimg/69250/B69127.htm</v>
      </c>
    </row>
    <row r="11655" spans="1:11" x14ac:dyDescent="0.25">
      <c r="A11655" t="s">
        <v>35459</v>
      </c>
      <c r="B11655" s="1" t="str">
        <f>HYPERLINK("https://www.catalog.slsa.sa.gov.au/record=b2105965")</f>
        <v>https://www.catalog.slsa.sa.gov.au/record=b2105965</v>
      </c>
      <c r="C11655" s="1" t="str">
        <f>HYPERLINK("https://www.catalog.slsa.sa.gov.au/xrecord=b2105965")</f>
        <v>https://www.catalog.slsa.sa.gov.au/xrecord=b2105965</v>
      </c>
      <c r="D11655" t="s">
        <v>16831</v>
      </c>
      <c r="E11655" t="s">
        <v>35456</v>
      </c>
      <c r="F11655">
        <v>2005</v>
      </c>
      <c r="G11655" t="s">
        <v>32659</v>
      </c>
      <c r="H11655" t="s">
        <v>35460</v>
      </c>
      <c r="I11655" t="s">
        <v>35458</v>
      </c>
      <c r="J11655" t="s">
        <v>14873</v>
      </c>
      <c r="K11655" s="2" t="str">
        <f>HYPERLINK("http://collections.slsa.sa.gov.au/mpcimg/69250/B69128.htm")</f>
        <v>http://collections.slsa.sa.gov.au/mpcimg/69250/B69128.htm</v>
      </c>
    </row>
    <row r="11656" spans="1:11" x14ac:dyDescent="0.25">
      <c r="A11656" t="s">
        <v>35461</v>
      </c>
      <c r="B11656" s="1" t="str">
        <f>HYPERLINK("https://www.catalog.slsa.sa.gov.au/record=b2105967")</f>
        <v>https://www.catalog.slsa.sa.gov.au/record=b2105967</v>
      </c>
      <c r="C11656" s="1" t="str">
        <f>HYPERLINK("https://www.catalog.slsa.sa.gov.au/xrecord=b2105967")</f>
        <v>https://www.catalog.slsa.sa.gov.au/xrecord=b2105967</v>
      </c>
      <c r="D11656" t="s">
        <v>16831</v>
      </c>
      <c r="E11656" t="s">
        <v>35462</v>
      </c>
      <c r="F11656">
        <v>2005</v>
      </c>
      <c r="G11656" t="s">
        <v>32659</v>
      </c>
      <c r="H11656" t="s">
        <v>35463</v>
      </c>
      <c r="I11656" t="s">
        <v>35458</v>
      </c>
      <c r="J11656" t="s">
        <v>14873</v>
      </c>
      <c r="K11656" s="2" t="str">
        <f>HYPERLINK("http://collections.slsa.sa.gov.au/mpcimg/69250/B69129.htm")</f>
        <v>http://collections.slsa.sa.gov.au/mpcimg/69250/B69129.htm</v>
      </c>
    </row>
    <row r="11657" spans="1:11" x14ac:dyDescent="0.25">
      <c r="A11657" t="s">
        <v>35464</v>
      </c>
      <c r="B11657" s="1" t="str">
        <f>HYPERLINK("https://www.catalog.slsa.sa.gov.au/record=b2105968")</f>
        <v>https://www.catalog.slsa.sa.gov.au/record=b2105968</v>
      </c>
      <c r="C11657" s="1" t="str">
        <f>HYPERLINK("https://www.catalog.slsa.sa.gov.au/xrecord=b2105968")</f>
        <v>https://www.catalog.slsa.sa.gov.au/xrecord=b2105968</v>
      </c>
      <c r="D11657" t="s">
        <v>16831</v>
      </c>
      <c r="E11657" t="s">
        <v>35465</v>
      </c>
      <c r="F11657">
        <v>2005</v>
      </c>
      <c r="G11657" t="s">
        <v>32659</v>
      </c>
      <c r="H11657" t="s">
        <v>35466</v>
      </c>
      <c r="I11657" t="s">
        <v>35467</v>
      </c>
      <c r="J11657" t="s">
        <v>15121</v>
      </c>
      <c r="K11657" s="2" t="str">
        <f>HYPERLINK("http://collections.slsa.sa.gov.au/mpcimg/69250/B69130.htm")</f>
        <v>http://collections.slsa.sa.gov.au/mpcimg/69250/B69130.htm</v>
      </c>
    </row>
    <row r="11658" spans="1:11" x14ac:dyDescent="0.25">
      <c r="A11658" t="s">
        <v>35468</v>
      </c>
      <c r="B11658" s="1" t="str">
        <f>HYPERLINK("https://www.catalog.slsa.sa.gov.au/record=b2105969")</f>
        <v>https://www.catalog.slsa.sa.gov.au/record=b2105969</v>
      </c>
      <c r="C11658" s="1" t="str">
        <f>HYPERLINK("https://www.catalog.slsa.sa.gov.au/xrecord=b2105969")</f>
        <v>https://www.catalog.slsa.sa.gov.au/xrecord=b2105969</v>
      </c>
      <c r="D11658" t="s">
        <v>16831</v>
      </c>
      <c r="E11658" t="s">
        <v>35469</v>
      </c>
      <c r="F11658">
        <v>2005</v>
      </c>
      <c r="G11658" t="s">
        <v>32659</v>
      </c>
      <c r="H11658" t="s">
        <v>35470</v>
      </c>
      <c r="I11658" t="s">
        <v>35467</v>
      </c>
      <c r="J11658" t="s">
        <v>15121</v>
      </c>
      <c r="K11658" s="2" t="str">
        <f>HYPERLINK("http://collections.slsa.sa.gov.au/mpcimg/69250/B69131.htm")</f>
        <v>http://collections.slsa.sa.gov.au/mpcimg/69250/B69131.htm</v>
      </c>
    </row>
    <row r="11659" spans="1:11" x14ac:dyDescent="0.25">
      <c r="A11659" t="s">
        <v>35471</v>
      </c>
      <c r="B11659" s="1" t="str">
        <f>HYPERLINK("https://www.catalog.slsa.sa.gov.au/record=b2105970")</f>
        <v>https://www.catalog.slsa.sa.gov.au/record=b2105970</v>
      </c>
      <c r="C11659" s="1" t="str">
        <f>HYPERLINK("https://www.catalog.slsa.sa.gov.au/xrecord=b2105970")</f>
        <v>https://www.catalog.slsa.sa.gov.au/xrecord=b2105970</v>
      </c>
      <c r="D11659" t="s">
        <v>16831</v>
      </c>
      <c r="E11659" t="s">
        <v>35472</v>
      </c>
      <c r="F11659">
        <v>2005</v>
      </c>
      <c r="G11659" t="s">
        <v>32659</v>
      </c>
      <c r="H11659" t="s">
        <v>35473</v>
      </c>
      <c r="I11659" t="s">
        <v>35474</v>
      </c>
      <c r="J11659" t="s">
        <v>21154</v>
      </c>
      <c r="K11659" s="2" t="str">
        <f>HYPERLINK("http://collections.slsa.sa.gov.au/mpcimg/69250/B69132.htm")</f>
        <v>http://collections.slsa.sa.gov.au/mpcimg/69250/B69132.htm</v>
      </c>
    </row>
    <row r="11660" spans="1:11" x14ac:dyDescent="0.25">
      <c r="A11660" t="s">
        <v>35475</v>
      </c>
      <c r="B11660" s="1" t="str">
        <f>HYPERLINK("https://www.catalog.slsa.sa.gov.au/record=b2105971")</f>
        <v>https://www.catalog.slsa.sa.gov.au/record=b2105971</v>
      </c>
      <c r="C11660" s="1" t="str">
        <f>HYPERLINK("https://www.catalog.slsa.sa.gov.au/xrecord=b2105971")</f>
        <v>https://www.catalog.slsa.sa.gov.au/xrecord=b2105971</v>
      </c>
      <c r="D11660" t="s">
        <v>16831</v>
      </c>
      <c r="E11660" t="s">
        <v>35476</v>
      </c>
      <c r="F11660">
        <v>2005</v>
      </c>
      <c r="G11660" t="s">
        <v>32659</v>
      </c>
      <c r="H11660" t="s">
        <v>35477</v>
      </c>
      <c r="I11660" t="s">
        <v>35478</v>
      </c>
      <c r="J11660" t="s">
        <v>12588</v>
      </c>
      <c r="K11660" s="2" t="str">
        <f>HYPERLINK("http://collections.slsa.sa.gov.au/mpcimg/69250/B69133.htm")</f>
        <v>http://collections.slsa.sa.gov.au/mpcimg/69250/B69133.htm</v>
      </c>
    </row>
    <row r="11661" spans="1:11" x14ac:dyDescent="0.25">
      <c r="A11661" t="s">
        <v>35479</v>
      </c>
      <c r="B11661" s="1" t="str">
        <f>HYPERLINK("https://www.catalog.slsa.sa.gov.au/record=b2106102")</f>
        <v>https://www.catalog.slsa.sa.gov.au/record=b2106102</v>
      </c>
      <c r="C11661" s="1" t="str">
        <f>HYPERLINK("https://www.catalog.slsa.sa.gov.au/xrecord=b2106102")</f>
        <v>https://www.catalog.slsa.sa.gov.au/xrecord=b2106102</v>
      </c>
      <c r="D11661" t="s">
        <v>16831</v>
      </c>
      <c r="E11661" t="s">
        <v>35480</v>
      </c>
      <c r="F11661">
        <v>2005</v>
      </c>
      <c r="G11661" t="s">
        <v>32659</v>
      </c>
      <c r="H11661" t="s">
        <v>35481</v>
      </c>
      <c r="I11661" t="s">
        <v>35482</v>
      </c>
      <c r="J11661" t="s">
        <v>12588</v>
      </c>
      <c r="K11661" s="2" t="str">
        <f>HYPERLINK("http://collections.slsa.sa.gov.au/mpcimg/69250/B69134.htm")</f>
        <v>http://collections.slsa.sa.gov.au/mpcimg/69250/B69134.htm</v>
      </c>
    </row>
    <row r="11662" spans="1:11" x14ac:dyDescent="0.25">
      <c r="A11662" t="s">
        <v>35483</v>
      </c>
      <c r="B11662" s="1" t="str">
        <f>HYPERLINK("https://www.catalog.slsa.sa.gov.au/record=b2106104")</f>
        <v>https://www.catalog.slsa.sa.gov.au/record=b2106104</v>
      </c>
      <c r="C11662" s="1" t="str">
        <f>HYPERLINK("https://www.catalog.slsa.sa.gov.au/xrecord=b2106104")</f>
        <v>https://www.catalog.slsa.sa.gov.au/xrecord=b2106104</v>
      </c>
      <c r="D11662" t="s">
        <v>16831</v>
      </c>
      <c r="E11662" t="s">
        <v>35480</v>
      </c>
      <c r="F11662">
        <v>2005</v>
      </c>
      <c r="G11662" t="s">
        <v>32659</v>
      </c>
      <c r="H11662" t="s">
        <v>35484</v>
      </c>
      <c r="I11662" t="s">
        <v>35482</v>
      </c>
      <c r="J11662" t="s">
        <v>12588</v>
      </c>
      <c r="K11662" s="2" t="str">
        <f>HYPERLINK("http://collections.slsa.sa.gov.au/mpcimg/69250/B69135.htm")</f>
        <v>http://collections.slsa.sa.gov.au/mpcimg/69250/B69135.htm</v>
      </c>
    </row>
    <row r="11663" spans="1:11" x14ac:dyDescent="0.25">
      <c r="A11663" t="s">
        <v>35485</v>
      </c>
      <c r="B11663" s="1" t="str">
        <f>HYPERLINK("https://www.catalog.slsa.sa.gov.au/record=b2106105")</f>
        <v>https://www.catalog.slsa.sa.gov.au/record=b2106105</v>
      </c>
      <c r="C11663" s="1" t="str">
        <f>HYPERLINK("https://www.catalog.slsa.sa.gov.au/xrecord=b2106105")</f>
        <v>https://www.catalog.slsa.sa.gov.au/xrecord=b2106105</v>
      </c>
      <c r="D11663" t="s">
        <v>16831</v>
      </c>
      <c r="E11663" t="s">
        <v>35486</v>
      </c>
      <c r="F11663">
        <v>2005</v>
      </c>
      <c r="G11663" t="s">
        <v>32659</v>
      </c>
      <c r="H11663" t="s">
        <v>35487</v>
      </c>
      <c r="I11663" t="s">
        <v>35482</v>
      </c>
      <c r="J11663" t="s">
        <v>12588</v>
      </c>
      <c r="K11663" s="2" t="str">
        <f>HYPERLINK("http://collections.slsa.sa.gov.au/mpcimg/69250/B69136.htm")</f>
        <v>http://collections.slsa.sa.gov.au/mpcimg/69250/B69136.htm</v>
      </c>
    </row>
    <row r="11664" spans="1:11" x14ac:dyDescent="0.25">
      <c r="A11664" t="s">
        <v>35488</v>
      </c>
      <c r="B11664" s="1" t="str">
        <f>HYPERLINK("https://www.catalog.slsa.sa.gov.au/record=b2106106")</f>
        <v>https://www.catalog.slsa.sa.gov.au/record=b2106106</v>
      </c>
      <c r="C11664" s="1" t="str">
        <f>HYPERLINK("https://www.catalog.slsa.sa.gov.au/xrecord=b2106106")</f>
        <v>https://www.catalog.slsa.sa.gov.au/xrecord=b2106106</v>
      </c>
      <c r="D11664" t="s">
        <v>16831</v>
      </c>
      <c r="E11664" t="s">
        <v>35489</v>
      </c>
      <c r="F11664">
        <v>2005</v>
      </c>
      <c r="G11664" t="s">
        <v>35490</v>
      </c>
      <c r="H11664" t="s">
        <v>35491</v>
      </c>
      <c r="I11664" t="s">
        <v>35492</v>
      </c>
      <c r="J11664" t="s">
        <v>1809</v>
      </c>
      <c r="K11664" s="2" t="str">
        <f>HYPERLINK("http://collections.slsa.sa.gov.au/mpcimg/69250/B69137.htm")</f>
        <v>http://collections.slsa.sa.gov.au/mpcimg/69250/B69137.htm</v>
      </c>
    </row>
    <row r="11665" spans="1:11" x14ac:dyDescent="0.25">
      <c r="A11665" t="s">
        <v>35493</v>
      </c>
      <c r="B11665" s="1" t="str">
        <f>HYPERLINK("https://www.catalog.slsa.sa.gov.au/record=b2106107")</f>
        <v>https://www.catalog.slsa.sa.gov.au/record=b2106107</v>
      </c>
      <c r="C11665" s="1" t="str">
        <f>HYPERLINK("https://www.catalog.slsa.sa.gov.au/xrecord=b2106107")</f>
        <v>https://www.catalog.slsa.sa.gov.au/xrecord=b2106107</v>
      </c>
      <c r="D11665" t="s">
        <v>35494</v>
      </c>
      <c r="E11665" t="s">
        <v>35495</v>
      </c>
      <c r="F11665">
        <v>2005</v>
      </c>
      <c r="G11665" t="s">
        <v>32659</v>
      </c>
      <c r="H11665" t="s">
        <v>35496</v>
      </c>
      <c r="I11665" t="s">
        <v>35497</v>
      </c>
      <c r="J11665" t="s">
        <v>21078</v>
      </c>
      <c r="K11665" s="2" t="str">
        <f>HYPERLINK("http://collections.slsa.sa.gov.au/mpcimg/69250/B69138.htm")</f>
        <v>http://collections.slsa.sa.gov.au/mpcimg/69250/B69138.htm</v>
      </c>
    </row>
    <row r="11666" spans="1:11" x14ac:dyDescent="0.25">
      <c r="A11666" t="s">
        <v>35498</v>
      </c>
      <c r="B11666" s="1" t="str">
        <f>HYPERLINK("https://www.catalog.slsa.sa.gov.au/record=b2106109")</f>
        <v>https://www.catalog.slsa.sa.gov.au/record=b2106109</v>
      </c>
      <c r="C11666" s="1" t="str">
        <f>HYPERLINK("https://www.catalog.slsa.sa.gov.au/xrecord=b2106109")</f>
        <v>https://www.catalog.slsa.sa.gov.au/xrecord=b2106109</v>
      </c>
      <c r="D11666" t="s">
        <v>35494</v>
      </c>
      <c r="E11666" t="s">
        <v>35495</v>
      </c>
      <c r="F11666">
        <v>2005</v>
      </c>
      <c r="G11666" t="s">
        <v>32659</v>
      </c>
      <c r="H11666" t="s">
        <v>35499</v>
      </c>
      <c r="I11666" t="s">
        <v>35497</v>
      </c>
      <c r="J11666" t="s">
        <v>21078</v>
      </c>
      <c r="K11666" s="2" t="str">
        <f>HYPERLINK("http://collections.slsa.sa.gov.au/mpcimg/69250/B69139.htm")</f>
        <v>http://collections.slsa.sa.gov.au/mpcimg/69250/B69139.htm</v>
      </c>
    </row>
    <row r="11667" spans="1:11" x14ac:dyDescent="0.25">
      <c r="A11667" t="s">
        <v>35500</v>
      </c>
      <c r="B11667" s="1" t="str">
        <f>HYPERLINK("https://www.catalog.slsa.sa.gov.au/record=b2106110")</f>
        <v>https://www.catalog.slsa.sa.gov.au/record=b2106110</v>
      </c>
      <c r="C11667" s="1" t="str">
        <f>HYPERLINK("https://www.catalog.slsa.sa.gov.au/xrecord=b2106110")</f>
        <v>https://www.catalog.slsa.sa.gov.au/xrecord=b2106110</v>
      </c>
      <c r="D11667" t="s">
        <v>35494</v>
      </c>
      <c r="E11667" t="s">
        <v>35495</v>
      </c>
      <c r="F11667">
        <v>2005</v>
      </c>
      <c r="G11667" t="s">
        <v>32659</v>
      </c>
      <c r="H11667" t="s">
        <v>35499</v>
      </c>
      <c r="I11667" t="s">
        <v>35497</v>
      </c>
      <c r="J11667" t="s">
        <v>21078</v>
      </c>
      <c r="K11667" s="2" t="str">
        <f>HYPERLINK("http://collections.slsa.sa.gov.au/mpcimg/69250/B69140.htm")</f>
        <v>http://collections.slsa.sa.gov.au/mpcimg/69250/B69140.htm</v>
      </c>
    </row>
    <row r="11668" spans="1:11" x14ac:dyDescent="0.25">
      <c r="A11668" t="s">
        <v>35501</v>
      </c>
      <c r="B11668" s="1" t="str">
        <f>HYPERLINK("https://www.catalog.slsa.sa.gov.au/record=b2128625")</f>
        <v>https://www.catalog.slsa.sa.gov.au/record=b2128625</v>
      </c>
      <c r="C11668" s="1" t="str">
        <f>HYPERLINK("https://www.catalog.slsa.sa.gov.au/xrecord=b2128625")</f>
        <v>https://www.catalog.slsa.sa.gov.au/xrecord=b2128625</v>
      </c>
      <c r="D11668" t="s">
        <v>31902</v>
      </c>
      <c r="E11668" t="s">
        <v>35502</v>
      </c>
      <c r="F11668">
        <v>2005</v>
      </c>
      <c r="G11668" t="s">
        <v>33690</v>
      </c>
      <c r="H11668" t="s">
        <v>35503</v>
      </c>
      <c r="J11668" t="s">
        <v>14768</v>
      </c>
      <c r="K11668" s="2" t="str">
        <f>HYPERLINK("http://collections.slsa.sa.gov.au/mpcimg/69500/B69282_331.htm")</f>
        <v>http://collections.slsa.sa.gov.au/mpcimg/69500/B69282_331.htm</v>
      </c>
    </row>
    <row r="11669" spans="1:11" x14ac:dyDescent="0.25">
      <c r="A11669" t="s">
        <v>35504</v>
      </c>
      <c r="B11669" s="1" t="str">
        <f>HYPERLINK("https://www.catalog.slsa.sa.gov.au/record=b2128746")</f>
        <v>https://www.catalog.slsa.sa.gov.au/record=b2128746</v>
      </c>
      <c r="C11669" s="1" t="str">
        <f>HYPERLINK("https://www.catalog.slsa.sa.gov.au/xrecord=b2128746")</f>
        <v>https://www.catalog.slsa.sa.gov.au/xrecord=b2128746</v>
      </c>
      <c r="D11669" t="s">
        <v>31902</v>
      </c>
      <c r="E11669" t="s">
        <v>35149</v>
      </c>
      <c r="F11669">
        <v>2005</v>
      </c>
      <c r="G11669" t="s">
        <v>33690</v>
      </c>
      <c r="H11669" t="s">
        <v>35505</v>
      </c>
      <c r="J11669" t="s">
        <v>14768</v>
      </c>
      <c r="K11669" s="2" t="str">
        <f>HYPERLINK("http://collections.slsa.sa.gov.au/mpcimg/69500/B69282_332.htm")</f>
        <v>http://collections.slsa.sa.gov.au/mpcimg/69500/B69282_332.htm</v>
      </c>
    </row>
    <row r="11670" spans="1:11" x14ac:dyDescent="0.25">
      <c r="A11670" t="s">
        <v>35506</v>
      </c>
      <c r="B11670" s="1" t="str">
        <f>HYPERLINK("https://www.catalog.slsa.sa.gov.au/record=b2128749")</f>
        <v>https://www.catalog.slsa.sa.gov.au/record=b2128749</v>
      </c>
      <c r="C11670" s="1" t="str">
        <f>HYPERLINK("https://www.catalog.slsa.sa.gov.au/xrecord=b2128749")</f>
        <v>https://www.catalog.slsa.sa.gov.au/xrecord=b2128749</v>
      </c>
      <c r="D11670" t="s">
        <v>31902</v>
      </c>
      <c r="E11670" t="s">
        <v>35507</v>
      </c>
      <c r="F11670">
        <v>2005</v>
      </c>
      <c r="G11670" t="s">
        <v>33690</v>
      </c>
      <c r="H11670" t="s">
        <v>35508</v>
      </c>
      <c r="J11670" t="s">
        <v>14768</v>
      </c>
      <c r="K11670" s="2" t="str">
        <f>HYPERLINK("http://collections.slsa.sa.gov.au/mpcimg/69500/B69282_335.htm")</f>
        <v>http://collections.slsa.sa.gov.au/mpcimg/69500/B69282_335.htm</v>
      </c>
    </row>
    <row r="11671" spans="1:11" x14ac:dyDescent="0.25">
      <c r="A11671" t="s">
        <v>35509</v>
      </c>
      <c r="B11671" s="1" t="str">
        <f>HYPERLINK("https://www.catalog.slsa.sa.gov.au/record=b2128755")</f>
        <v>https://www.catalog.slsa.sa.gov.au/record=b2128755</v>
      </c>
      <c r="C11671" s="1" t="str">
        <f>HYPERLINK("https://www.catalog.slsa.sa.gov.au/xrecord=b2128755")</f>
        <v>https://www.catalog.slsa.sa.gov.au/xrecord=b2128755</v>
      </c>
      <c r="D11671" t="s">
        <v>31902</v>
      </c>
      <c r="E11671" t="s">
        <v>35510</v>
      </c>
      <c r="F11671">
        <v>2005</v>
      </c>
      <c r="G11671" t="s">
        <v>33690</v>
      </c>
      <c r="H11671" t="s">
        <v>35511</v>
      </c>
      <c r="J11671" t="s">
        <v>14768</v>
      </c>
      <c r="K11671" s="2" t="str">
        <f>HYPERLINK("http://collections.slsa.sa.gov.au/mpcimg/69500/B69282_336.htm")</f>
        <v>http://collections.slsa.sa.gov.au/mpcimg/69500/B69282_336.htm</v>
      </c>
    </row>
    <row r="11672" spans="1:11" x14ac:dyDescent="0.25">
      <c r="A11672" t="s">
        <v>35512</v>
      </c>
      <c r="B11672" s="1" t="str">
        <f>HYPERLINK("https://www.catalog.slsa.sa.gov.au/record=b2128758")</f>
        <v>https://www.catalog.slsa.sa.gov.au/record=b2128758</v>
      </c>
      <c r="C11672" s="1" t="str">
        <f>HYPERLINK("https://www.catalog.slsa.sa.gov.au/xrecord=b2128758")</f>
        <v>https://www.catalog.slsa.sa.gov.au/xrecord=b2128758</v>
      </c>
      <c r="D11672" t="s">
        <v>31902</v>
      </c>
      <c r="E11672" t="s">
        <v>35513</v>
      </c>
      <c r="F11672">
        <v>2005</v>
      </c>
      <c r="G11672" t="s">
        <v>33690</v>
      </c>
      <c r="H11672" t="s">
        <v>35514</v>
      </c>
      <c r="J11672" t="s">
        <v>14768</v>
      </c>
      <c r="K11672" s="2" t="str">
        <f>HYPERLINK("http://collections.slsa.sa.gov.au/mpcimg/69500/B69282_337.htm")</f>
        <v>http://collections.slsa.sa.gov.au/mpcimg/69500/B69282_337.htm</v>
      </c>
    </row>
    <row r="11673" spans="1:11" x14ac:dyDescent="0.25">
      <c r="A11673" t="s">
        <v>35515</v>
      </c>
      <c r="B11673" s="1" t="str">
        <f>HYPERLINK("https://www.catalog.slsa.sa.gov.au/record=b2128762")</f>
        <v>https://www.catalog.slsa.sa.gov.au/record=b2128762</v>
      </c>
      <c r="C11673" s="1" t="str">
        <f>HYPERLINK("https://www.catalog.slsa.sa.gov.au/xrecord=b2128762")</f>
        <v>https://www.catalog.slsa.sa.gov.au/xrecord=b2128762</v>
      </c>
      <c r="D11673" t="s">
        <v>31902</v>
      </c>
      <c r="E11673" t="s">
        <v>35516</v>
      </c>
      <c r="F11673">
        <v>2005</v>
      </c>
      <c r="G11673" t="s">
        <v>33690</v>
      </c>
      <c r="H11673" t="s">
        <v>35517</v>
      </c>
      <c r="J11673" t="s">
        <v>14768</v>
      </c>
      <c r="K11673" s="2" t="str">
        <f>HYPERLINK("http://collections.slsa.sa.gov.au/mpcimg/69500/B69282_338.htm")</f>
        <v>http://collections.slsa.sa.gov.au/mpcimg/69500/B69282_338.htm</v>
      </c>
    </row>
    <row r="11674" spans="1:11" x14ac:dyDescent="0.25">
      <c r="A11674" t="s">
        <v>35518</v>
      </c>
      <c r="B11674" s="1" t="str">
        <f>HYPERLINK("https://www.catalog.slsa.sa.gov.au/record=b2128766")</f>
        <v>https://www.catalog.slsa.sa.gov.au/record=b2128766</v>
      </c>
      <c r="C11674" s="1" t="str">
        <f>HYPERLINK("https://www.catalog.slsa.sa.gov.au/xrecord=b2128766")</f>
        <v>https://www.catalog.slsa.sa.gov.au/xrecord=b2128766</v>
      </c>
      <c r="D11674" t="s">
        <v>31902</v>
      </c>
      <c r="E11674" t="s">
        <v>35516</v>
      </c>
      <c r="F11674">
        <v>2005</v>
      </c>
      <c r="G11674" t="s">
        <v>33690</v>
      </c>
      <c r="H11674" t="s">
        <v>35519</v>
      </c>
      <c r="J11674" t="s">
        <v>14768</v>
      </c>
      <c r="K11674" s="2" t="str">
        <f>HYPERLINK("http://collections.slsa.sa.gov.au/mpcimg/69500/B69282_339.htm")</f>
        <v>http://collections.slsa.sa.gov.au/mpcimg/69500/B69282_339.htm</v>
      </c>
    </row>
    <row r="11675" spans="1:11" x14ac:dyDescent="0.25">
      <c r="A11675" t="s">
        <v>35520</v>
      </c>
      <c r="B11675" s="1" t="str">
        <f>HYPERLINK("https://www.catalog.slsa.sa.gov.au/record=b2128830")</f>
        <v>https://www.catalog.slsa.sa.gov.au/record=b2128830</v>
      </c>
      <c r="C11675" s="1" t="str">
        <f>HYPERLINK("https://www.catalog.slsa.sa.gov.au/xrecord=b2128830")</f>
        <v>https://www.catalog.slsa.sa.gov.au/xrecord=b2128830</v>
      </c>
      <c r="D11675" t="s">
        <v>31902</v>
      </c>
      <c r="E11675" t="s">
        <v>35521</v>
      </c>
      <c r="F11675">
        <v>2005</v>
      </c>
      <c r="G11675" t="s">
        <v>33690</v>
      </c>
      <c r="H11675" t="s">
        <v>35522</v>
      </c>
      <c r="J11675" t="s">
        <v>14768</v>
      </c>
      <c r="K11675" s="2" t="str">
        <f>HYPERLINK("http://collections.slsa.sa.gov.au/mpcimg/69500/B69282_341.htm")</f>
        <v>http://collections.slsa.sa.gov.au/mpcimg/69500/B69282_341.htm</v>
      </c>
    </row>
    <row r="11676" spans="1:11" x14ac:dyDescent="0.25">
      <c r="A11676" t="s">
        <v>35523</v>
      </c>
      <c r="B11676" s="1" t="str">
        <f>HYPERLINK("https://www.catalog.slsa.sa.gov.au/record=b2128831")</f>
        <v>https://www.catalog.slsa.sa.gov.au/record=b2128831</v>
      </c>
      <c r="C11676" s="1" t="str">
        <f>HYPERLINK("https://www.catalog.slsa.sa.gov.au/xrecord=b2128831")</f>
        <v>https://www.catalog.slsa.sa.gov.au/xrecord=b2128831</v>
      </c>
      <c r="D11676" t="s">
        <v>31902</v>
      </c>
      <c r="E11676" t="s">
        <v>34638</v>
      </c>
      <c r="F11676">
        <v>2005</v>
      </c>
      <c r="G11676" t="s">
        <v>33690</v>
      </c>
      <c r="H11676" t="s">
        <v>35524</v>
      </c>
      <c r="J11676" t="s">
        <v>14768</v>
      </c>
      <c r="K11676" s="2" t="str">
        <f>HYPERLINK("http://collections.slsa.sa.gov.au/mpcimg/69500/B69282_340.htm")</f>
        <v>http://collections.slsa.sa.gov.au/mpcimg/69500/B69282_340.htm</v>
      </c>
    </row>
    <row r="11677" spans="1:11" x14ac:dyDescent="0.25">
      <c r="A11677" t="s">
        <v>35525</v>
      </c>
      <c r="B11677" s="1" t="str">
        <f>HYPERLINK("https://www.catalog.slsa.sa.gov.au/record=b2129055")</f>
        <v>https://www.catalog.slsa.sa.gov.au/record=b2129055</v>
      </c>
      <c r="C11677" s="1" t="str">
        <f>HYPERLINK("https://www.catalog.slsa.sa.gov.au/xrecord=b2129055")</f>
        <v>https://www.catalog.slsa.sa.gov.au/xrecord=b2129055</v>
      </c>
      <c r="D11677" t="s">
        <v>31902</v>
      </c>
      <c r="E11677" t="s">
        <v>35526</v>
      </c>
      <c r="F11677">
        <v>2005</v>
      </c>
      <c r="G11677" t="s">
        <v>33690</v>
      </c>
      <c r="H11677" t="s">
        <v>35527</v>
      </c>
      <c r="J11677" t="s">
        <v>14768</v>
      </c>
      <c r="K11677" s="2" t="str">
        <f>HYPERLINK("http://collections.slsa.sa.gov.au/mpcimg/69500/B69282_342.htm")</f>
        <v>http://collections.slsa.sa.gov.au/mpcimg/69500/B69282_342.htm</v>
      </c>
    </row>
    <row r="11678" spans="1:11" x14ac:dyDescent="0.25">
      <c r="A11678" t="s">
        <v>35528</v>
      </c>
      <c r="B11678" s="1" t="str">
        <f>HYPERLINK("https://www.catalog.slsa.sa.gov.au/record=b2129077")</f>
        <v>https://www.catalog.slsa.sa.gov.au/record=b2129077</v>
      </c>
      <c r="C11678" s="1" t="str">
        <f>HYPERLINK("https://www.catalog.slsa.sa.gov.au/xrecord=b2129077")</f>
        <v>https://www.catalog.slsa.sa.gov.au/xrecord=b2129077</v>
      </c>
      <c r="D11678" t="s">
        <v>31902</v>
      </c>
      <c r="E11678" t="s">
        <v>35529</v>
      </c>
      <c r="F11678">
        <v>2005</v>
      </c>
      <c r="G11678" t="s">
        <v>33690</v>
      </c>
      <c r="H11678" t="s">
        <v>35530</v>
      </c>
      <c r="J11678" t="s">
        <v>14768</v>
      </c>
      <c r="K11678" s="2" t="str">
        <f>HYPERLINK("http://collections.slsa.sa.gov.au/mpcimg/69500/B69282_343.htm")</f>
        <v>http://collections.slsa.sa.gov.au/mpcimg/69500/B69282_343.htm</v>
      </c>
    </row>
    <row r="11679" spans="1:11" x14ac:dyDescent="0.25">
      <c r="A11679" t="s">
        <v>35531</v>
      </c>
      <c r="B11679" s="1" t="str">
        <f>HYPERLINK("https://www.catalog.slsa.sa.gov.au/record=b2129078")</f>
        <v>https://www.catalog.slsa.sa.gov.au/record=b2129078</v>
      </c>
      <c r="C11679" s="1" t="str">
        <f>HYPERLINK("https://www.catalog.slsa.sa.gov.au/xrecord=b2129078")</f>
        <v>https://www.catalog.slsa.sa.gov.au/xrecord=b2129078</v>
      </c>
      <c r="D11679" t="s">
        <v>31902</v>
      </c>
      <c r="E11679" t="s">
        <v>35532</v>
      </c>
      <c r="F11679">
        <v>2005</v>
      </c>
      <c r="G11679" t="s">
        <v>33690</v>
      </c>
      <c r="H11679" t="s">
        <v>35533</v>
      </c>
      <c r="I11679" t="s">
        <v>35534</v>
      </c>
      <c r="J11679" t="s">
        <v>14768</v>
      </c>
      <c r="K11679" s="2" t="str">
        <f>HYPERLINK("http://collections.slsa.sa.gov.au/mpcimg/69500/B69282_344.htm")</f>
        <v>http://collections.slsa.sa.gov.au/mpcimg/69500/B69282_344.htm</v>
      </c>
    </row>
    <row r="11680" spans="1:11" x14ac:dyDescent="0.25">
      <c r="A11680" t="s">
        <v>35535</v>
      </c>
      <c r="B11680" s="1" t="str">
        <f>HYPERLINK("https://www.catalog.slsa.sa.gov.au/record=b2129112")</f>
        <v>https://www.catalog.slsa.sa.gov.au/record=b2129112</v>
      </c>
      <c r="C11680" s="1" t="str">
        <f>HYPERLINK("https://www.catalog.slsa.sa.gov.au/xrecord=b2129112")</f>
        <v>https://www.catalog.slsa.sa.gov.au/xrecord=b2129112</v>
      </c>
      <c r="D11680" t="s">
        <v>31902</v>
      </c>
      <c r="E11680" t="s">
        <v>21789</v>
      </c>
      <c r="F11680">
        <v>2005</v>
      </c>
      <c r="G11680" t="s">
        <v>33690</v>
      </c>
      <c r="H11680" t="s">
        <v>35536</v>
      </c>
      <c r="J11680" t="s">
        <v>14768</v>
      </c>
      <c r="K11680" s="2" t="str">
        <f>HYPERLINK("http://collections.slsa.sa.gov.au/mpcimg/69500/B69282_345.htm")</f>
        <v>http://collections.slsa.sa.gov.au/mpcimg/69500/B69282_345.htm</v>
      </c>
    </row>
    <row r="11681" spans="1:11" x14ac:dyDescent="0.25">
      <c r="A11681" t="s">
        <v>35537</v>
      </c>
      <c r="B11681" s="1" t="str">
        <f>HYPERLINK("https://www.catalog.slsa.sa.gov.au/record=b2129229")</f>
        <v>https://www.catalog.slsa.sa.gov.au/record=b2129229</v>
      </c>
      <c r="C11681" s="1" t="str">
        <f>HYPERLINK("https://www.catalog.slsa.sa.gov.au/xrecord=b2129229")</f>
        <v>https://www.catalog.slsa.sa.gov.au/xrecord=b2129229</v>
      </c>
      <c r="D11681" t="s">
        <v>31902</v>
      </c>
      <c r="E11681" t="s">
        <v>21789</v>
      </c>
      <c r="F11681">
        <v>2005</v>
      </c>
      <c r="G11681" t="s">
        <v>33690</v>
      </c>
      <c r="H11681" t="s">
        <v>35538</v>
      </c>
      <c r="J11681" t="s">
        <v>14768</v>
      </c>
      <c r="K11681" s="2" t="str">
        <f>HYPERLINK("http://collections.slsa.sa.gov.au/mpcimg/69500/B69282_346.htm")</f>
        <v>http://collections.slsa.sa.gov.au/mpcimg/69500/B69282_346.htm</v>
      </c>
    </row>
    <row r="11682" spans="1:11" x14ac:dyDescent="0.25">
      <c r="A11682" t="s">
        <v>35539</v>
      </c>
      <c r="B11682" s="1" t="str">
        <f>HYPERLINK("https://www.catalog.slsa.sa.gov.au/record=b2129230")</f>
        <v>https://www.catalog.slsa.sa.gov.au/record=b2129230</v>
      </c>
      <c r="C11682" s="1" t="str">
        <f>HYPERLINK("https://www.catalog.slsa.sa.gov.au/xrecord=b2129230")</f>
        <v>https://www.catalog.slsa.sa.gov.au/xrecord=b2129230</v>
      </c>
      <c r="D11682" t="s">
        <v>31902</v>
      </c>
      <c r="E11682" t="s">
        <v>21789</v>
      </c>
      <c r="F11682">
        <v>2005</v>
      </c>
      <c r="G11682" t="s">
        <v>33690</v>
      </c>
      <c r="H11682" t="s">
        <v>35540</v>
      </c>
      <c r="J11682" t="s">
        <v>14768</v>
      </c>
      <c r="K11682" s="2" t="str">
        <f>HYPERLINK("http://collections.slsa.sa.gov.au/mpcimg/69500/B69282_347.htm")</f>
        <v>http://collections.slsa.sa.gov.au/mpcimg/69500/B69282_347.htm</v>
      </c>
    </row>
    <row r="11683" spans="1:11" x14ac:dyDescent="0.25">
      <c r="A11683" t="s">
        <v>35541</v>
      </c>
      <c r="B11683" s="1" t="str">
        <f>HYPERLINK("https://www.catalog.slsa.sa.gov.au/record=b2129346")</f>
        <v>https://www.catalog.slsa.sa.gov.au/record=b2129346</v>
      </c>
      <c r="C11683" s="1" t="str">
        <f>HYPERLINK("https://www.catalog.slsa.sa.gov.au/xrecord=b2129346")</f>
        <v>https://www.catalog.slsa.sa.gov.au/xrecord=b2129346</v>
      </c>
      <c r="D11683" t="s">
        <v>31902</v>
      </c>
      <c r="E11683" t="s">
        <v>21789</v>
      </c>
      <c r="F11683">
        <v>2005</v>
      </c>
      <c r="G11683" t="s">
        <v>33690</v>
      </c>
      <c r="H11683" t="s">
        <v>35542</v>
      </c>
      <c r="I11683" t="s">
        <v>35543</v>
      </c>
      <c r="J11683" t="s">
        <v>14768</v>
      </c>
      <c r="K11683" s="2" t="str">
        <f>HYPERLINK("http://collections.slsa.sa.gov.au/mpcimg/69500/B69282_348.htm")</f>
        <v>http://collections.slsa.sa.gov.au/mpcimg/69500/B69282_348.htm</v>
      </c>
    </row>
    <row r="11684" spans="1:11" x14ac:dyDescent="0.25">
      <c r="A11684" t="s">
        <v>35544</v>
      </c>
      <c r="B11684" s="1" t="str">
        <f>HYPERLINK("https://www.catalog.slsa.sa.gov.au/record=b2129347")</f>
        <v>https://www.catalog.slsa.sa.gov.au/record=b2129347</v>
      </c>
      <c r="C11684" s="1" t="str">
        <f>HYPERLINK("https://www.catalog.slsa.sa.gov.au/xrecord=b2129347")</f>
        <v>https://www.catalog.slsa.sa.gov.au/xrecord=b2129347</v>
      </c>
      <c r="D11684" t="s">
        <v>31902</v>
      </c>
      <c r="E11684" t="s">
        <v>21789</v>
      </c>
      <c r="F11684">
        <v>2005</v>
      </c>
      <c r="G11684" t="s">
        <v>33690</v>
      </c>
      <c r="H11684" t="s">
        <v>35545</v>
      </c>
      <c r="J11684" t="s">
        <v>14768</v>
      </c>
      <c r="K11684" s="2" t="str">
        <f>HYPERLINK("http://collections.slsa.sa.gov.au/mpcimg/69500/B69282_349.htm")</f>
        <v>http://collections.slsa.sa.gov.au/mpcimg/69500/B69282_349.htm</v>
      </c>
    </row>
    <row r="11685" spans="1:11" x14ac:dyDescent="0.25">
      <c r="A11685" t="s">
        <v>35546</v>
      </c>
      <c r="B11685" s="1" t="str">
        <f>HYPERLINK("https://www.catalog.slsa.sa.gov.au/record=b2202707")</f>
        <v>https://www.catalog.slsa.sa.gov.au/record=b2202707</v>
      </c>
      <c r="C11685" s="1" t="str">
        <f>HYPERLINK("https://www.catalog.slsa.sa.gov.au/xrecord=b2202707")</f>
        <v>https://www.catalog.slsa.sa.gov.au/xrecord=b2202707</v>
      </c>
      <c r="D11685" t="s">
        <v>31902</v>
      </c>
      <c r="E11685" t="s">
        <v>35547</v>
      </c>
      <c r="F11685">
        <v>2005</v>
      </c>
      <c r="G11685" t="s">
        <v>33690</v>
      </c>
      <c r="H11685" t="s">
        <v>35548</v>
      </c>
      <c r="J11685" t="s">
        <v>14768</v>
      </c>
      <c r="K11685" s="2" t="str">
        <f>HYPERLINK("http://collections.slsa.sa.gov.au/mpcimg/69500/B69282_351.htm")</f>
        <v>http://collections.slsa.sa.gov.au/mpcimg/69500/B69282_351.htm</v>
      </c>
    </row>
    <row r="11686" spans="1:11" x14ac:dyDescent="0.25">
      <c r="A11686" t="s">
        <v>35549</v>
      </c>
      <c r="B11686" s="1" t="str">
        <f>HYPERLINK("https://www.catalog.slsa.sa.gov.au/record=b2202709")</f>
        <v>https://www.catalog.slsa.sa.gov.au/record=b2202709</v>
      </c>
      <c r="C11686" s="1" t="str">
        <f>HYPERLINK("https://www.catalog.slsa.sa.gov.au/xrecord=b2202709")</f>
        <v>https://www.catalog.slsa.sa.gov.au/xrecord=b2202709</v>
      </c>
      <c r="D11686" t="s">
        <v>31902</v>
      </c>
      <c r="E11686" t="s">
        <v>35547</v>
      </c>
      <c r="F11686">
        <v>2005</v>
      </c>
      <c r="G11686" t="s">
        <v>33690</v>
      </c>
      <c r="H11686" t="s">
        <v>35548</v>
      </c>
      <c r="J11686" t="s">
        <v>14768</v>
      </c>
      <c r="K11686" s="2" t="str">
        <f>HYPERLINK("http://collections.slsa.sa.gov.au/mpcimg/69500/B69282_352.htm")</f>
        <v>http://collections.slsa.sa.gov.au/mpcimg/69500/B69282_352.htm</v>
      </c>
    </row>
    <row r="11687" spans="1:11" x14ac:dyDescent="0.25">
      <c r="A11687" t="s">
        <v>35550</v>
      </c>
      <c r="B11687" s="1" t="str">
        <f>HYPERLINK("https://www.catalog.slsa.sa.gov.au/record=b2202713")</f>
        <v>https://www.catalog.slsa.sa.gov.au/record=b2202713</v>
      </c>
      <c r="C11687" s="1" t="str">
        <f>HYPERLINK("https://www.catalog.slsa.sa.gov.au/xrecord=b2202713")</f>
        <v>https://www.catalog.slsa.sa.gov.au/xrecord=b2202713</v>
      </c>
      <c r="D11687" t="s">
        <v>31902</v>
      </c>
      <c r="E11687" t="s">
        <v>35547</v>
      </c>
      <c r="F11687">
        <v>2005</v>
      </c>
      <c r="G11687" t="s">
        <v>33690</v>
      </c>
      <c r="H11687" t="s">
        <v>35551</v>
      </c>
      <c r="J11687" t="s">
        <v>14768</v>
      </c>
      <c r="K11687" s="2" t="str">
        <f>HYPERLINK("http://collections.slsa.sa.gov.au/mpcimg/69500/B69282_353.htm")</f>
        <v>http://collections.slsa.sa.gov.au/mpcimg/69500/B69282_353.htm</v>
      </c>
    </row>
    <row r="11688" spans="1:11" x14ac:dyDescent="0.25">
      <c r="A11688" t="s">
        <v>35552</v>
      </c>
      <c r="B11688" s="1" t="str">
        <f>HYPERLINK("https://www.catalog.slsa.sa.gov.au/record=b2202715")</f>
        <v>https://www.catalog.slsa.sa.gov.au/record=b2202715</v>
      </c>
      <c r="C11688" s="1" t="str">
        <f>HYPERLINK("https://www.catalog.slsa.sa.gov.au/xrecord=b2202715")</f>
        <v>https://www.catalog.slsa.sa.gov.au/xrecord=b2202715</v>
      </c>
      <c r="D11688" t="s">
        <v>31902</v>
      </c>
      <c r="E11688" t="s">
        <v>35553</v>
      </c>
      <c r="F11688">
        <v>2005</v>
      </c>
      <c r="G11688" t="s">
        <v>33690</v>
      </c>
      <c r="H11688" t="s">
        <v>35554</v>
      </c>
      <c r="J11688" t="s">
        <v>14768</v>
      </c>
      <c r="K11688" s="2" t="str">
        <f>HYPERLINK("http://collections.slsa.sa.gov.au/mpcimg/69500/B69282_354.htm")</f>
        <v>http://collections.slsa.sa.gov.au/mpcimg/69500/B69282_354.htm</v>
      </c>
    </row>
    <row r="11689" spans="1:11" x14ac:dyDescent="0.25">
      <c r="A11689" t="s">
        <v>35555</v>
      </c>
      <c r="B11689" s="1" t="str">
        <f>HYPERLINK("https://www.catalog.slsa.sa.gov.au/record=b2202783")</f>
        <v>https://www.catalog.slsa.sa.gov.au/record=b2202783</v>
      </c>
      <c r="C11689" s="1" t="str">
        <f>HYPERLINK("https://www.catalog.slsa.sa.gov.au/xrecord=b2202783")</f>
        <v>https://www.catalog.slsa.sa.gov.au/xrecord=b2202783</v>
      </c>
      <c r="D11689" t="s">
        <v>31902</v>
      </c>
      <c r="E11689" t="s">
        <v>35553</v>
      </c>
      <c r="F11689">
        <v>2005</v>
      </c>
      <c r="G11689" t="s">
        <v>33690</v>
      </c>
      <c r="H11689" t="s">
        <v>35556</v>
      </c>
      <c r="J11689" t="s">
        <v>14768</v>
      </c>
      <c r="K11689" s="2" t="str">
        <f>HYPERLINK("http://collections.slsa.sa.gov.au/mpcimg/69500/B69282_355.htm")</f>
        <v>http://collections.slsa.sa.gov.au/mpcimg/69500/B69282_355.htm</v>
      </c>
    </row>
    <row r="11690" spans="1:11" x14ac:dyDescent="0.25">
      <c r="A11690" t="s">
        <v>35557</v>
      </c>
      <c r="B11690" s="1" t="str">
        <f>HYPERLINK("https://www.catalog.slsa.sa.gov.au/record=b2202786")</f>
        <v>https://www.catalog.slsa.sa.gov.au/record=b2202786</v>
      </c>
      <c r="C11690" s="1" t="str">
        <f>HYPERLINK("https://www.catalog.slsa.sa.gov.au/xrecord=b2202786")</f>
        <v>https://www.catalog.slsa.sa.gov.au/xrecord=b2202786</v>
      </c>
      <c r="D11690" t="s">
        <v>31902</v>
      </c>
      <c r="E11690" t="s">
        <v>35553</v>
      </c>
      <c r="F11690">
        <v>2005</v>
      </c>
      <c r="G11690" t="s">
        <v>33690</v>
      </c>
      <c r="H11690" t="s">
        <v>35558</v>
      </c>
      <c r="J11690" t="s">
        <v>14768</v>
      </c>
      <c r="K11690" s="2" t="str">
        <f>HYPERLINK("http://collections.slsa.sa.gov.au/mpcimg/69500/B69282_356.htm")</f>
        <v>http://collections.slsa.sa.gov.au/mpcimg/69500/B69282_356.htm</v>
      </c>
    </row>
    <row r="11691" spans="1:11" x14ac:dyDescent="0.25">
      <c r="A11691" t="s">
        <v>35559</v>
      </c>
      <c r="B11691" s="1" t="str">
        <f>HYPERLINK("https://www.catalog.slsa.sa.gov.au/record=b2202792")</f>
        <v>https://www.catalog.slsa.sa.gov.au/record=b2202792</v>
      </c>
      <c r="C11691" s="1" t="str">
        <f>HYPERLINK("https://www.catalog.slsa.sa.gov.au/xrecord=b2202792")</f>
        <v>https://www.catalog.slsa.sa.gov.au/xrecord=b2202792</v>
      </c>
      <c r="D11691" t="s">
        <v>31902</v>
      </c>
      <c r="E11691" t="s">
        <v>35037</v>
      </c>
      <c r="F11691">
        <v>2005</v>
      </c>
      <c r="G11691" t="s">
        <v>33690</v>
      </c>
      <c r="H11691" t="s">
        <v>35560</v>
      </c>
      <c r="J11691" t="s">
        <v>14768</v>
      </c>
      <c r="K11691" s="2" t="str">
        <f>HYPERLINK("http://collections.slsa.sa.gov.au/mpcimg/69500/B69282_357.htm")</f>
        <v>http://collections.slsa.sa.gov.au/mpcimg/69500/B69282_357.htm</v>
      </c>
    </row>
    <row r="11692" spans="1:11" x14ac:dyDescent="0.25">
      <c r="A11692" t="s">
        <v>35561</v>
      </c>
      <c r="B11692" s="1" t="str">
        <f>HYPERLINK("https://www.catalog.slsa.sa.gov.au/record=b2202797")</f>
        <v>https://www.catalog.slsa.sa.gov.au/record=b2202797</v>
      </c>
      <c r="C11692" s="1" t="str">
        <f>HYPERLINK("https://www.catalog.slsa.sa.gov.au/xrecord=b2202797")</f>
        <v>https://www.catalog.slsa.sa.gov.au/xrecord=b2202797</v>
      </c>
      <c r="D11692" t="s">
        <v>31902</v>
      </c>
      <c r="E11692" t="s">
        <v>35037</v>
      </c>
      <c r="F11692">
        <v>2005</v>
      </c>
      <c r="G11692" t="s">
        <v>33690</v>
      </c>
      <c r="H11692" t="s">
        <v>35562</v>
      </c>
      <c r="J11692" t="s">
        <v>14768</v>
      </c>
      <c r="K11692" s="2" t="str">
        <f>HYPERLINK("http://collections.slsa.sa.gov.au/mpcimg/69500/B69282_358.htm")</f>
        <v>http://collections.slsa.sa.gov.au/mpcimg/69500/B69282_358.htm</v>
      </c>
    </row>
    <row r="11693" spans="1:11" x14ac:dyDescent="0.25">
      <c r="A11693" t="s">
        <v>35563</v>
      </c>
      <c r="B11693" s="1" t="str">
        <f>HYPERLINK("https://www.catalog.slsa.sa.gov.au/record=b2202804")</f>
        <v>https://www.catalog.slsa.sa.gov.au/record=b2202804</v>
      </c>
      <c r="C11693" s="1" t="str">
        <f>HYPERLINK("https://www.catalog.slsa.sa.gov.au/xrecord=b2202804")</f>
        <v>https://www.catalog.slsa.sa.gov.au/xrecord=b2202804</v>
      </c>
      <c r="D11693" t="s">
        <v>31902</v>
      </c>
      <c r="E11693" t="s">
        <v>35564</v>
      </c>
      <c r="F11693">
        <v>2005</v>
      </c>
      <c r="G11693" t="s">
        <v>33690</v>
      </c>
      <c r="H11693" t="s">
        <v>35565</v>
      </c>
      <c r="J11693" t="s">
        <v>14768</v>
      </c>
      <c r="K11693" s="2" t="str">
        <f>HYPERLINK("http://collections.slsa.sa.gov.au/mpcimg/69500/B69282_359.htm")</f>
        <v>http://collections.slsa.sa.gov.au/mpcimg/69500/B69282_359.htm</v>
      </c>
    </row>
    <row r="11694" spans="1:11" x14ac:dyDescent="0.25">
      <c r="A11694" t="s">
        <v>35566</v>
      </c>
      <c r="B11694" s="1" t="str">
        <f>HYPERLINK("https://www.catalog.slsa.sa.gov.au/record=b2116932")</f>
        <v>https://www.catalog.slsa.sa.gov.au/record=b2116932</v>
      </c>
      <c r="C11694" s="1" t="str">
        <f>HYPERLINK("https://www.catalog.slsa.sa.gov.au/xrecord=b2116932")</f>
        <v>https://www.catalog.slsa.sa.gov.au/xrecord=b2116932</v>
      </c>
      <c r="D11694" t="s">
        <v>31902</v>
      </c>
      <c r="E11694" t="s">
        <v>35567</v>
      </c>
      <c r="F11694">
        <v>2006</v>
      </c>
      <c r="G11694" t="s">
        <v>33690</v>
      </c>
      <c r="H11694" t="s">
        <v>35568</v>
      </c>
      <c r="I11694" t="s">
        <v>35569</v>
      </c>
      <c r="J11694" t="s">
        <v>14768</v>
      </c>
      <c r="K11694" s="2" t="str">
        <f>HYPERLINK("http://collections.slsa.sa.gov.au/mpcimg/69500/B69282_382.htm")</f>
        <v>http://collections.slsa.sa.gov.au/mpcimg/69500/B69282_382.htm</v>
      </c>
    </row>
    <row r="11695" spans="1:11" x14ac:dyDescent="0.25">
      <c r="A11695" t="s">
        <v>35570</v>
      </c>
      <c r="B11695" s="1" t="str">
        <f>HYPERLINK("https://www.catalog.slsa.sa.gov.au/record=b2116933")</f>
        <v>https://www.catalog.slsa.sa.gov.au/record=b2116933</v>
      </c>
      <c r="C11695" s="1" t="str">
        <f>HYPERLINK("https://www.catalog.slsa.sa.gov.au/xrecord=b2116933")</f>
        <v>https://www.catalog.slsa.sa.gov.au/xrecord=b2116933</v>
      </c>
      <c r="D11695" t="s">
        <v>31902</v>
      </c>
      <c r="E11695" t="s">
        <v>35571</v>
      </c>
      <c r="F11695">
        <v>2006</v>
      </c>
      <c r="G11695" t="s">
        <v>33690</v>
      </c>
      <c r="H11695" t="s">
        <v>35572</v>
      </c>
      <c r="I11695" t="s">
        <v>35571</v>
      </c>
      <c r="J11695" t="s">
        <v>14768</v>
      </c>
      <c r="K11695" s="2" t="str">
        <f>HYPERLINK("http://collections.slsa.sa.gov.au/mpcimg/69500/B69282_383.htm")</f>
        <v>http://collections.slsa.sa.gov.au/mpcimg/69500/B69282_383.htm</v>
      </c>
    </row>
    <row r="11696" spans="1:11" x14ac:dyDescent="0.25">
      <c r="A11696" t="s">
        <v>35573</v>
      </c>
      <c r="B11696" s="1" t="str">
        <f>HYPERLINK("https://www.catalog.slsa.sa.gov.au/record=b2116934")</f>
        <v>https://www.catalog.slsa.sa.gov.au/record=b2116934</v>
      </c>
      <c r="C11696" s="1" t="str">
        <f>HYPERLINK("https://www.catalog.slsa.sa.gov.au/xrecord=b2116934")</f>
        <v>https://www.catalog.slsa.sa.gov.au/xrecord=b2116934</v>
      </c>
      <c r="D11696" t="s">
        <v>31902</v>
      </c>
      <c r="E11696" t="s">
        <v>35571</v>
      </c>
      <c r="F11696">
        <v>2006</v>
      </c>
      <c r="G11696" t="s">
        <v>33690</v>
      </c>
      <c r="H11696" t="s">
        <v>35574</v>
      </c>
      <c r="I11696" t="s">
        <v>35571</v>
      </c>
      <c r="J11696" t="s">
        <v>14768</v>
      </c>
      <c r="K11696" s="2" t="str">
        <f>HYPERLINK("http://collections.slsa.sa.gov.au/mpcimg/69500/B69282_384.htm")</f>
        <v>http://collections.slsa.sa.gov.au/mpcimg/69500/B69282_384.htm</v>
      </c>
    </row>
    <row r="11697" spans="1:11" x14ac:dyDescent="0.25">
      <c r="A11697" t="s">
        <v>35575</v>
      </c>
      <c r="B11697" s="1" t="str">
        <f>HYPERLINK("https://www.catalog.slsa.sa.gov.au/record=b2116935")</f>
        <v>https://www.catalog.slsa.sa.gov.au/record=b2116935</v>
      </c>
      <c r="C11697" s="1" t="str">
        <f>HYPERLINK("https://www.catalog.slsa.sa.gov.au/xrecord=b2116935")</f>
        <v>https://www.catalog.slsa.sa.gov.au/xrecord=b2116935</v>
      </c>
      <c r="D11697" t="s">
        <v>31902</v>
      </c>
      <c r="E11697" t="s">
        <v>35571</v>
      </c>
      <c r="F11697">
        <v>2006</v>
      </c>
      <c r="G11697" t="s">
        <v>33690</v>
      </c>
      <c r="H11697" t="s">
        <v>35576</v>
      </c>
      <c r="I11697" t="s">
        <v>35571</v>
      </c>
      <c r="J11697" t="s">
        <v>14768</v>
      </c>
      <c r="K11697" s="2" t="str">
        <f>HYPERLINK("http://collections.slsa.sa.gov.au/mpcimg/69500/B69282_386.htm")</f>
        <v>http://collections.slsa.sa.gov.au/mpcimg/69500/B69282_386.htm</v>
      </c>
    </row>
    <row r="11698" spans="1:11" x14ac:dyDescent="0.25">
      <c r="A11698" t="s">
        <v>35577</v>
      </c>
      <c r="B11698" s="1" t="str">
        <f>HYPERLINK("https://www.catalog.slsa.sa.gov.au/record=b2116936")</f>
        <v>https://www.catalog.slsa.sa.gov.au/record=b2116936</v>
      </c>
      <c r="C11698" s="1" t="str">
        <f>HYPERLINK("https://www.catalog.slsa.sa.gov.au/xrecord=b2116936")</f>
        <v>https://www.catalog.slsa.sa.gov.au/xrecord=b2116936</v>
      </c>
      <c r="D11698" t="s">
        <v>31902</v>
      </c>
      <c r="E11698" t="s">
        <v>35571</v>
      </c>
      <c r="F11698">
        <v>2006</v>
      </c>
      <c r="G11698" t="s">
        <v>33690</v>
      </c>
      <c r="H11698" t="s">
        <v>35578</v>
      </c>
      <c r="I11698" t="s">
        <v>35571</v>
      </c>
      <c r="J11698" t="s">
        <v>14768</v>
      </c>
      <c r="K11698" s="2" t="str">
        <f>HYPERLINK("http://collections.slsa.sa.gov.au/mpcimg/69500/B69282_385.htm")</f>
        <v>http://collections.slsa.sa.gov.au/mpcimg/69500/B69282_385.htm</v>
      </c>
    </row>
    <row r="11699" spans="1:11" x14ac:dyDescent="0.25">
      <c r="A11699" t="s">
        <v>35579</v>
      </c>
      <c r="B11699" s="1" t="str">
        <f>HYPERLINK("https://www.catalog.slsa.sa.gov.au/record=b2116937")</f>
        <v>https://www.catalog.slsa.sa.gov.au/record=b2116937</v>
      </c>
      <c r="C11699" s="1" t="str">
        <f>HYPERLINK("https://www.catalog.slsa.sa.gov.au/xrecord=b2116937")</f>
        <v>https://www.catalog.slsa.sa.gov.au/xrecord=b2116937</v>
      </c>
      <c r="D11699" t="s">
        <v>31902</v>
      </c>
      <c r="E11699" t="s">
        <v>35571</v>
      </c>
      <c r="F11699">
        <v>2006</v>
      </c>
      <c r="G11699" t="s">
        <v>33690</v>
      </c>
      <c r="H11699" t="s">
        <v>35580</v>
      </c>
      <c r="I11699" t="s">
        <v>35581</v>
      </c>
      <c r="J11699" t="s">
        <v>14768</v>
      </c>
      <c r="K11699" s="2" t="str">
        <f>HYPERLINK("http://collections.slsa.sa.gov.au/mpcimg/69500/B69282_387.htm")</f>
        <v>http://collections.slsa.sa.gov.au/mpcimg/69500/B69282_387.htm</v>
      </c>
    </row>
    <row r="11700" spans="1:11" x14ac:dyDescent="0.25">
      <c r="A11700" t="s">
        <v>35582</v>
      </c>
      <c r="B11700" s="1" t="str">
        <f>HYPERLINK("https://www.catalog.slsa.sa.gov.au/record=b2116938")</f>
        <v>https://www.catalog.slsa.sa.gov.au/record=b2116938</v>
      </c>
      <c r="C11700" s="1" t="str">
        <f>HYPERLINK("https://www.catalog.slsa.sa.gov.au/xrecord=b2116938")</f>
        <v>https://www.catalog.slsa.sa.gov.au/xrecord=b2116938</v>
      </c>
      <c r="D11700" t="s">
        <v>31902</v>
      </c>
      <c r="E11700" t="s">
        <v>35571</v>
      </c>
      <c r="F11700">
        <v>2006</v>
      </c>
      <c r="G11700" t="s">
        <v>33690</v>
      </c>
      <c r="H11700" t="s">
        <v>35583</v>
      </c>
      <c r="I11700" t="s">
        <v>35584</v>
      </c>
      <c r="J11700" t="s">
        <v>14768</v>
      </c>
      <c r="K11700" s="2" t="str">
        <f>HYPERLINK("http://collections.slsa.sa.gov.au/mpcimg/69500/B69282_388.htm")</f>
        <v>http://collections.slsa.sa.gov.au/mpcimg/69500/B69282_388.htm</v>
      </c>
    </row>
    <row r="11701" spans="1:11" x14ac:dyDescent="0.25">
      <c r="A11701" t="s">
        <v>35585</v>
      </c>
      <c r="B11701" s="1" t="str">
        <f>HYPERLINK("https://www.catalog.slsa.sa.gov.au/record=b2202806")</f>
        <v>https://www.catalog.slsa.sa.gov.au/record=b2202806</v>
      </c>
      <c r="C11701" s="1" t="str">
        <f>HYPERLINK("https://www.catalog.slsa.sa.gov.au/xrecord=b2202806")</f>
        <v>https://www.catalog.slsa.sa.gov.au/xrecord=b2202806</v>
      </c>
      <c r="D11701" t="s">
        <v>31902</v>
      </c>
      <c r="E11701" t="s">
        <v>35586</v>
      </c>
      <c r="F11701">
        <v>2006</v>
      </c>
      <c r="G11701" t="s">
        <v>33690</v>
      </c>
      <c r="H11701" t="s">
        <v>35587</v>
      </c>
      <c r="J11701" t="s">
        <v>14768</v>
      </c>
      <c r="K11701" s="2" t="str">
        <f>HYPERLINK("http://collections.slsa.sa.gov.au/mpcimg/69500/B69282_360.htm")</f>
        <v>http://collections.slsa.sa.gov.au/mpcimg/69500/B69282_360.htm</v>
      </c>
    </row>
    <row r="11702" spans="1:11" x14ac:dyDescent="0.25">
      <c r="A11702" t="s">
        <v>35588</v>
      </c>
      <c r="B11702" s="1" t="str">
        <f>HYPERLINK("https://www.catalog.slsa.sa.gov.au/record=b2203042")</f>
        <v>https://www.catalog.slsa.sa.gov.au/record=b2203042</v>
      </c>
      <c r="C11702" s="1" t="str">
        <f>HYPERLINK("https://www.catalog.slsa.sa.gov.au/xrecord=b2203042")</f>
        <v>https://www.catalog.slsa.sa.gov.au/xrecord=b2203042</v>
      </c>
      <c r="D11702" t="s">
        <v>31902</v>
      </c>
      <c r="E11702" t="s">
        <v>34638</v>
      </c>
      <c r="F11702">
        <v>2006</v>
      </c>
      <c r="G11702" t="s">
        <v>33690</v>
      </c>
      <c r="H11702" t="s">
        <v>35589</v>
      </c>
      <c r="J11702" t="s">
        <v>14768</v>
      </c>
      <c r="K11702" s="2" t="str">
        <f>HYPERLINK("http://collections.slsa.sa.gov.au/mpcimg/69500/B69282_361.htm")</f>
        <v>http://collections.slsa.sa.gov.au/mpcimg/69500/B69282_361.htm</v>
      </c>
    </row>
    <row r="11703" spans="1:11" x14ac:dyDescent="0.25">
      <c r="A11703" t="s">
        <v>35590</v>
      </c>
      <c r="B11703" s="1" t="str">
        <f>HYPERLINK("https://www.catalog.slsa.sa.gov.au/record=b2203044")</f>
        <v>https://www.catalog.slsa.sa.gov.au/record=b2203044</v>
      </c>
      <c r="C11703" s="1" t="str">
        <f>HYPERLINK("https://www.catalog.slsa.sa.gov.au/xrecord=b2203044")</f>
        <v>https://www.catalog.slsa.sa.gov.au/xrecord=b2203044</v>
      </c>
      <c r="D11703" t="s">
        <v>31902</v>
      </c>
      <c r="E11703" t="s">
        <v>34638</v>
      </c>
      <c r="F11703">
        <v>2006</v>
      </c>
      <c r="G11703" t="s">
        <v>33690</v>
      </c>
      <c r="H11703" t="s">
        <v>35591</v>
      </c>
      <c r="J11703" t="s">
        <v>14768</v>
      </c>
      <c r="K11703" s="2" t="str">
        <f>HYPERLINK("http://collections.slsa.sa.gov.au/mpcimg/69500/B69282_362.htm")</f>
        <v>http://collections.slsa.sa.gov.au/mpcimg/69500/B69282_362.htm</v>
      </c>
    </row>
    <row r="11704" spans="1:11" x14ac:dyDescent="0.25">
      <c r="A11704" t="s">
        <v>35592</v>
      </c>
      <c r="B11704" s="1" t="str">
        <f>HYPERLINK("https://www.catalog.slsa.sa.gov.au/record=b2203046")</f>
        <v>https://www.catalog.slsa.sa.gov.au/record=b2203046</v>
      </c>
      <c r="C11704" s="1" t="str">
        <f>HYPERLINK("https://www.catalog.slsa.sa.gov.au/xrecord=b2203046")</f>
        <v>https://www.catalog.slsa.sa.gov.au/xrecord=b2203046</v>
      </c>
      <c r="D11704" t="s">
        <v>31902</v>
      </c>
      <c r="E11704" t="s">
        <v>34638</v>
      </c>
      <c r="F11704">
        <v>2006</v>
      </c>
      <c r="G11704" t="s">
        <v>33690</v>
      </c>
      <c r="H11704" t="s">
        <v>35593</v>
      </c>
      <c r="J11704" t="s">
        <v>14768</v>
      </c>
      <c r="K11704" s="2" t="str">
        <f>HYPERLINK("http://collections.slsa.sa.gov.au/mpcimg/69500/B69282_363.htm")</f>
        <v>http://collections.slsa.sa.gov.au/mpcimg/69500/B69282_363.htm</v>
      </c>
    </row>
    <row r="11705" spans="1:11" x14ac:dyDescent="0.25">
      <c r="A11705" t="s">
        <v>35594</v>
      </c>
      <c r="B11705" s="1" t="str">
        <f>HYPERLINK("https://www.catalog.slsa.sa.gov.au/record=b2203048")</f>
        <v>https://www.catalog.slsa.sa.gov.au/record=b2203048</v>
      </c>
      <c r="C11705" s="1" t="str">
        <f>HYPERLINK("https://www.catalog.slsa.sa.gov.au/xrecord=b2203048")</f>
        <v>https://www.catalog.slsa.sa.gov.au/xrecord=b2203048</v>
      </c>
      <c r="D11705" t="s">
        <v>31902</v>
      </c>
      <c r="E11705" t="s">
        <v>34638</v>
      </c>
      <c r="F11705">
        <v>2006</v>
      </c>
      <c r="G11705" t="s">
        <v>33690</v>
      </c>
      <c r="H11705" t="s">
        <v>35595</v>
      </c>
      <c r="J11705" t="s">
        <v>14768</v>
      </c>
      <c r="K11705" s="2" t="str">
        <f>HYPERLINK("http://collections.slsa.sa.gov.au/mpcimg/69500/B69282_364.htm")</f>
        <v>http://collections.slsa.sa.gov.au/mpcimg/69500/B69282_364.htm</v>
      </c>
    </row>
    <row r="11706" spans="1:11" x14ac:dyDescent="0.25">
      <c r="A11706" t="s">
        <v>35596</v>
      </c>
      <c r="B11706" s="1" t="str">
        <f>HYPERLINK("https://www.catalog.slsa.sa.gov.au/record=b2203051")</f>
        <v>https://www.catalog.slsa.sa.gov.au/record=b2203051</v>
      </c>
      <c r="C11706" s="1" t="str">
        <f>HYPERLINK("https://www.catalog.slsa.sa.gov.au/xrecord=b2203051")</f>
        <v>https://www.catalog.slsa.sa.gov.au/xrecord=b2203051</v>
      </c>
      <c r="D11706" t="s">
        <v>31902</v>
      </c>
      <c r="E11706" t="s">
        <v>34638</v>
      </c>
      <c r="F11706">
        <v>2006</v>
      </c>
      <c r="G11706" t="s">
        <v>33690</v>
      </c>
      <c r="H11706" t="s">
        <v>35597</v>
      </c>
      <c r="J11706" t="s">
        <v>14768</v>
      </c>
      <c r="K11706" s="2" t="str">
        <f>HYPERLINK("http://collections.slsa.sa.gov.au/mpcimg/69500/B69282_365.htm")</f>
        <v>http://collections.slsa.sa.gov.au/mpcimg/69500/B69282_365.htm</v>
      </c>
    </row>
    <row r="11707" spans="1:11" x14ac:dyDescent="0.25">
      <c r="A11707" t="s">
        <v>35598</v>
      </c>
      <c r="B11707" s="1" t="str">
        <f>HYPERLINK("https://www.catalog.slsa.sa.gov.au/record=b2203053")</f>
        <v>https://www.catalog.slsa.sa.gov.au/record=b2203053</v>
      </c>
      <c r="C11707" s="1" t="str">
        <f>HYPERLINK("https://www.catalog.slsa.sa.gov.au/xrecord=b2203053")</f>
        <v>https://www.catalog.slsa.sa.gov.au/xrecord=b2203053</v>
      </c>
      <c r="D11707" t="s">
        <v>31902</v>
      </c>
      <c r="E11707" t="s">
        <v>34638</v>
      </c>
      <c r="F11707">
        <v>2006</v>
      </c>
      <c r="G11707" t="s">
        <v>33690</v>
      </c>
      <c r="H11707" t="s">
        <v>35599</v>
      </c>
      <c r="J11707" t="s">
        <v>14768</v>
      </c>
      <c r="K11707" s="2" t="str">
        <f>HYPERLINK("http://collections.slsa.sa.gov.au/mpcimg/69500/B69282_366.htm")</f>
        <v>http://collections.slsa.sa.gov.au/mpcimg/69500/B69282_366.htm</v>
      </c>
    </row>
    <row r="11708" spans="1:11" x14ac:dyDescent="0.25">
      <c r="A11708" t="s">
        <v>35600</v>
      </c>
      <c r="B11708" s="1" t="str">
        <f>HYPERLINK("https://www.catalog.slsa.sa.gov.au/record=b2203065")</f>
        <v>https://www.catalog.slsa.sa.gov.au/record=b2203065</v>
      </c>
      <c r="C11708" s="1" t="str">
        <f>HYPERLINK("https://www.catalog.slsa.sa.gov.au/xrecord=b2203065")</f>
        <v>https://www.catalog.slsa.sa.gov.au/xrecord=b2203065</v>
      </c>
      <c r="D11708" t="s">
        <v>31902</v>
      </c>
      <c r="E11708" t="s">
        <v>34696</v>
      </c>
      <c r="F11708">
        <v>2006</v>
      </c>
      <c r="G11708" t="s">
        <v>33690</v>
      </c>
      <c r="H11708" t="s">
        <v>35601</v>
      </c>
      <c r="J11708" t="s">
        <v>14768</v>
      </c>
      <c r="K11708" s="2" t="str">
        <f>HYPERLINK("http://collections.slsa.sa.gov.au/mpcimg/69500/B69282_367.htm")</f>
        <v>http://collections.slsa.sa.gov.au/mpcimg/69500/B69282_367.htm</v>
      </c>
    </row>
    <row r="11709" spans="1:11" x14ac:dyDescent="0.25">
      <c r="A11709" t="s">
        <v>35602</v>
      </c>
      <c r="B11709" s="1" t="str">
        <f>HYPERLINK("https://www.catalog.slsa.sa.gov.au/record=b2203067")</f>
        <v>https://www.catalog.slsa.sa.gov.au/record=b2203067</v>
      </c>
      <c r="C11709" s="1" t="str">
        <f>HYPERLINK("https://www.catalog.slsa.sa.gov.au/xrecord=b2203067")</f>
        <v>https://www.catalog.slsa.sa.gov.au/xrecord=b2203067</v>
      </c>
      <c r="D11709" t="s">
        <v>31902</v>
      </c>
      <c r="E11709" t="s">
        <v>34696</v>
      </c>
      <c r="F11709">
        <v>2006</v>
      </c>
      <c r="G11709" t="s">
        <v>33690</v>
      </c>
      <c r="H11709" t="s">
        <v>35603</v>
      </c>
      <c r="J11709" t="s">
        <v>14768</v>
      </c>
      <c r="K11709" s="2" t="str">
        <f>HYPERLINK("http://collections.slsa.sa.gov.au/mpcimg/69500/B69282_368.htm")</f>
        <v>http://collections.slsa.sa.gov.au/mpcimg/69500/B69282_368.htm</v>
      </c>
    </row>
    <row r="11710" spans="1:11" x14ac:dyDescent="0.25">
      <c r="A11710" t="s">
        <v>35604</v>
      </c>
      <c r="B11710" s="1" t="str">
        <f>HYPERLINK("https://www.catalog.slsa.sa.gov.au/record=b2203068")</f>
        <v>https://www.catalog.slsa.sa.gov.au/record=b2203068</v>
      </c>
      <c r="C11710" s="1" t="str">
        <f>HYPERLINK("https://www.catalog.slsa.sa.gov.au/xrecord=b2203068")</f>
        <v>https://www.catalog.slsa.sa.gov.au/xrecord=b2203068</v>
      </c>
      <c r="D11710" t="s">
        <v>31902</v>
      </c>
      <c r="E11710" t="s">
        <v>34696</v>
      </c>
      <c r="F11710">
        <v>2006</v>
      </c>
      <c r="G11710" t="s">
        <v>33690</v>
      </c>
      <c r="H11710" t="s">
        <v>35605</v>
      </c>
      <c r="J11710" t="s">
        <v>14768</v>
      </c>
      <c r="K11710" s="2" t="str">
        <f>HYPERLINK("http://collections.slsa.sa.gov.au/mpcimg/69500/B69282_369.htm")</f>
        <v>http://collections.slsa.sa.gov.au/mpcimg/69500/B69282_369.htm</v>
      </c>
    </row>
    <row r="11711" spans="1:11" x14ac:dyDescent="0.25">
      <c r="A11711" t="s">
        <v>35606</v>
      </c>
      <c r="B11711" s="1" t="str">
        <f>HYPERLINK("https://www.catalog.slsa.sa.gov.au/record=b2203073")</f>
        <v>https://www.catalog.slsa.sa.gov.au/record=b2203073</v>
      </c>
      <c r="C11711" s="1" t="str">
        <f>HYPERLINK("https://www.catalog.slsa.sa.gov.au/xrecord=b2203073")</f>
        <v>https://www.catalog.slsa.sa.gov.au/xrecord=b2203073</v>
      </c>
      <c r="D11711" t="s">
        <v>31902</v>
      </c>
      <c r="E11711" t="s">
        <v>34696</v>
      </c>
      <c r="F11711">
        <v>2006</v>
      </c>
      <c r="G11711" t="s">
        <v>33690</v>
      </c>
      <c r="H11711" t="s">
        <v>35607</v>
      </c>
      <c r="J11711" t="s">
        <v>14768</v>
      </c>
      <c r="K11711" s="2" t="str">
        <f>HYPERLINK("http://collections.slsa.sa.gov.au/mpcimg/69500/B69282_370.htm")</f>
        <v>http://collections.slsa.sa.gov.au/mpcimg/69500/B69282_370.htm</v>
      </c>
    </row>
    <row r="11712" spans="1:11" x14ac:dyDescent="0.25">
      <c r="A11712" t="s">
        <v>35608</v>
      </c>
      <c r="B11712" s="1" t="str">
        <f>HYPERLINK("https://www.catalog.slsa.sa.gov.au/record=b2203204")</f>
        <v>https://www.catalog.slsa.sa.gov.au/record=b2203204</v>
      </c>
      <c r="C11712" s="1" t="str">
        <f>HYPERLINK("https://www.catalog.slsa.sa.gov.au/xrecord=b2203204")</f>
        <v>https://www.catalog.slsa.sa.gov.au/xrecord=b2203204</v>
      </c>
      <c r="D11712" t="s">
        <v>31902</v>
      </c>
      <c r="E11712" t="s">
        <v>35609</v>
      </c>
      <c r="F11712">
        <v>2006</v>
      </c>
      <c r="G11712" t="s">
        <v>33690</v>
      </c>
      <c r="H11712" t="s">
        <v>35610</v>
      </c>
      <c r="J11712" t="s">
        <v>14768</v>
      </c>
      <c r="K11712" s="2" t="str">
        <f>HYPERLINK("http://collections.slsa.sa.gov.au/mpcimg/69500/B69282_371.htm")</f>
        <v>http://collections.slsa.sa.gov.au/mpcimg/69500/B69282_371.htm</v>
      </c>
    </row>
    <row r="11713" spans="1:11" x14ac:dyDescent="0.25">
      <c r="A11713" t="s">
        <v>35611</v>
      </c>
      <c r="B11713" s="1" t="str">
        <f>HYPERLINK("https://www.catalog.slsa.sa.gov.au/record=b2203205")</f>
        <v>https://www.catalog.slsa.sa.gov.au/record=b2203205</v>
      </c>
      <c r="C11713" s="1" t="str">
        <f>HYPERLINK("https://www.catalog.slsa.sa.gov.au/xrecord=b2203205")</f>
        <v>https://www.catalog.slsa.sa.gov.au/xrecord=b2203205</v>
      </c>
      <c r="D11713" t="s">
        <v>31902</v>
      </c>
      <c r="E11713" t="s">
        <v>35612</v>
      </c>
      <c r="F11713">
        <v>2006</v>
      </c>
      <c r="G11713" t="s">
        <v>33690</v>
      </c>
      <c r="H11713" t="s">
        <v>35613</v>
      </c>
      <c r="J11713" t="s">
        <v>14768</v>
      </c>
      <c r="K11713" s="2" t="str">
        <f>HYPERLINK("http://collections.slsa.sa.gov.au/mpcimg/69500/B69282_372.htm")</f>
        <v>http://collections.slsa.sa.gov.au/mpcimg/69500/B69282_372.htm</v>
      </c>
    </row>
    <row r="11714" spans="1:11" x14ac:dyDescent="0.25">
      <c r="A11714" t="s">
        <v>35614</v>
      </c>
      <c r="B11714" s="1" t="str">
        <f>HYPERLINK("https://www.catalog.slsa.sa.gov.au/record=b2203206")</f>
        <v>https://www.catalog.slsa.sa.gov.au/record=b2203206</v>
      </c>
      <c r="C11714" s="1" t="str">
        <f>HYPERLINK("https://www.catalog.slsa.sa.gov.au/xrecord=b2203206")</f>
        <v>https://www.catalog.slsa.sa.gov.au/xrecord=b2203206</v>
      </c>
      <c r="D11714" t="s">
        <v>31902</v>
      </c>
      <c r="E11714" t="s">
        <v>35615</v>
      </c>
      <c r="F11714">
        <v>2006</v>
      </c>
      <c r="G11714" t="s">
        <v>33690</v>
      </c>
      <c r="H11714" t="s">
        <v>35616</v>
      </c>
      <c r="J11714" t="s">
        <v>14768</v>
      </c>
      <c r="K11714" s="2" t="str">
        <f>HYPERLINK("http://collections.slsa.sa.gov.au/mpcimg/69500/B69282_373.htm")</f>
        <v>http://collections.slsa.sa.gov.au/mpcimg/69500/B69282_373.htm</v>
      </c>
    </row>
    <row r="11715" spans="1:11" x14ac:dyDescent="0.25">
      <c r="A11715" t="s">
        <v>35617</v>
      </c>
      <c r="B11715" s="1" t="str">
        <f>HYPERLINK("https://www.catalog.slsa.sa.gov.au/record=b2203208")</f>
        <v>https://www.catalog.slsa.sa.gov.au/record=b2203208</v>
      </c>
      <c r="C11715" s="1" t="str">
        <f>HYPERLINK("https://www.catalog.slsa.sa.gov.au/xrecord=b2203208")</f>
        <v>https://www.catalog.slsa.sa.gov.au/xrecord=b2203208</v>
      </c>
      <c r="D11715" t="s">
        <v>31902</v>
      </c>
      <c r="E11715" t="s">
        <v>35618</v>
      </c>
      <c r="F11715">
        <v>2006</v>
      </c>
      <c r="G11715" t="s">
        <v>33690</v>
      </c>
      <c r="H11715" t="s">
        <v>35619</v>
      </c>
      <c r="J11715" t="s">
        <v>14768</v>
      </c>
      <c r="K11715" s="2" t="str">
        <f>HYPERLINK("http://collections.slsa.sa.gov.au/mpcimg/69500/B69282_374.htm")</f>
        <v>http://collections.slsa.sa.gov.au/mpcimg/69500/B69282_374.htm</v>
      </c>
    </row>
    <row r="11716" spans="1:11" x14ac:dyDescent="0.25">
      <c r="A11716" t="s">
        <v>35620</v>
      </c>
      <c r="B11716" s="1" t="str">
        <f>HYPERLINK("https://www.catalog.slsa.sa.gov.au/record=b2203209")</f>
        <v>https://www.catalog.slsa.sa.gov.au/record=b2203209</v>
      </c>
      <c r="C11716" s="1" t="str">
        <f>HYPERLINK("https://www.catalog.slsa.sa.gov.au/xrecord=b2203209")</f>
        <v>https://www.catalog.slsa.sa.gov.au/xrecord=b2203209</v>
      </c>
      <c r="D11716" t="s">
        <v>31902</v>
      </c>
      <c r="E11716" t="s">
        <v>35621</v>
      </c>
      <c r="F11716">
        <v>2006</v>
      </c>
      <c r="G11716" t="s">
        <v>33690</v>
      </c>
      <c r="H11716" t="s">
        <v>35622</v>
      </c>
      <c r="J11716" t="s">
        <v>14768</v>
      </c>
      <c r="K11716" s="2" t="str">
        <f>HYPERLINK("http://collections.slsa.sa.gov.au/mpcimg/69500/B69282_375.htm")</f>
        <v>http://collections.slsa.sa.gov.au/mpcimg/69500/B69282_375.htm</v>
      </c>
    </row>
    <row r="11717" spans="1:11" x14ac:dyDescent="0.25">
      <c r="A11717" t="s">
        <v>35623</v>
      </c>
      <c r="B11717" s="1" t="str">
        <f>HYPERLINK("https://www.catalog.slsa.sa.gov.au/record=b2203210")</f>
        <v>https://www.catalog.slsa.sa.gov.au/record=b2203210</v>
      </c>
      <c r="C11717" s="1" t="str">
        <f>HYPERLINK("https://www.catalog.slsa.sa.gov.au/xrecord=b2203210")</f>
        <v>https://www.catalog.slsa.sa.gov.au/xrecord=b2203210</v>
      </c>
      <c r="D11717" t="s">
        <v>31902</v>
      </c>
      <c r="E11717" t="s">
        <v>35624</v>
      </c>
      <c r="F11717">
        <v>2006</v>
      </c>
      <c r="G11717" t="s">
        <v>33690</v>
      </c>
      <c r="H11717" t="s">
        <v>35625</v>
      </c>
      <c r="J11717" t="s">
        <v>14768</v>
      </c>
      <c r="K11717" s="2" t="str">
        <f>HYPERLINK("http://collections.slsa.sa.gov.au/mpcimg/69500/B69282_376.htm")</f>
        <v>http://collections.slsa.sa.gov.au/mpcimg/69500/B69282_376.htm</v>
      </c>
    </row>
    <row r="11718" spans="1:11" x14ac:dyDescent="0.25">
      <c r="A11718" t="s">
        <v>35626</v>
      </c>
      <c r="B11718" s="1" t="str">
        <f>HYPERLINK("https://www.catalog.slsa.sa.gov.au/record=b2203212")</f>
        <v>https://www.catalog.slsa.sa.gov.au/record=b2203212</v>
      </c>
      <c r="C11718" s="1" t="str">
        <f>HYPERLINK("https://www.catalog.slsa.sa.gov.au/xrecord=b2203212")</f>
        <v>https://www.catalog.slsa.sa.gov.au/xrecord=b2203212</v>
      </c>
      <c r="D11718" t="s">
        <v>31902</v>
      </c>
      <c r="E11718" t="s">
        <v>35627</v>
      </c>
      <c r="F11718">
        <v>2006</v>
      </c>
      <c r="G11718" t="s">
        <v>33690</v>
      </c>
      <c r="H11718" t="s">
        <v>35628</v>
      </c>
      <c r="J11718" t="s">
        <v>14768</v>
      </c>
      <c r="K11718" s="2" t="str">
        <f>HYPERLINK("http://collections.slsa.sa.gov.au/mpcimg/69500/B69282_377.htm")</f>
        <v>http://collections.slsa.sa.gov.au/mpcimg/69500/B69282_377.htm</v>
      </c>
    </row>
    <row r="11719" spans="1:11" x14ac:dyDescent="0.25">
      <c r="A11719" t="s">
        <v>35629</v>
      </c>
      <c r="B11719" s="1" t="str">
        <f>HYPERLINK("https://www.catalog.slsa.sa.gov.au/record=b2203213")</f>
        <v>https://www.catalog.slsa.sa.gov.au/record=b2203213</v>
      </c>
      <c r="C11719" s="1" t="str">
        <f>HYPERLINK("https://www.catalog.slsa.sa.gov.au/xrecord=b2203213")</f>
        <v>https://www.catalog.slsa.sa.gov.au/xrecord=b2203213</v>
      </c>
      <c r="D11719" t="s">
        <v>31902</v>
      </c>
      <c r="E11719" t="s">
        <v>35630</v>
      </c>
      <c r="F11719">
        <v>2006</v>
      </c>
      <c r="G11719" t="s">
        <v>33690</v>
      </c>
      <c r="H11719" t="s">
        <v>35631</v>
      </c>
      <c r="J11719" t="s">
        <v>14768</v>
      </c>
      <c r="K11719" s="2" t="str">
        <f>HYPERLINK("http://collections.slsa.sa.gov.au/mpcimg/69500/B69282_378.htm")</f>
        <v>http://collections.slsa.sa.gov.au/mpcimg/69500/B69282_378.htm</v>
      </c>
    </row>
    <row r="11720" spans="1:11" x14ac:dyDescent="0.25">
      <c r="A11720" t="s">
        <v>35632</v>
      </c>
      <c r="B11720" s="1" t="str">
        <f>HYPERLINK("https://www.catalog.slsa.sa.gov.au/record=b2203215")</f>
        <v>https://www.catalog.slsa.sa.gov.au/record=b2203215</v>
      </c>
      <c r="C11720" s="1" t="str">
        <f>HYPERLINK("https://www.catalog.slsa.sa.gov.au/xrecord=b2203215")</f>
        <v>https://www.catalog.slsa.sa.gov.au/xrecord=b2203215</v>
      </c>
      <c r="D11720" t="s">
        <v>31902</v>
      </c>
      <c r="E11720" t="s">
        <v>35633</v>
      </c>
      <c r="F11720">
        <v>2006</v>
      </c>
      <c r="G11720" t="s">
        <v>33690</v>
      </c>
      <c r="H11720" t="s">
        <v>35634</v>
      </c>
      <c r="J11720" t="s">
        <v>14768</v>
      </c>
      <c r="K11720" s="2" t="str">
        <f>HYPERLINK("http://collections.slsa.sa.gov.au/mpcimg/69500/B69282_379.htm")</f>
        <v>http://collections.slsa.sa.gov.au/mpcimg/69500/B69282_379.htm</v>
      </c>
    </row>
    <row r="11721" spans="1:11" x14ac:dyDescent="0.25">
      <c r="A11721" t="s">
        <v>35635</v>
      </c>
      <c r="B11721" s="1" t="str">
        <f>HYPERLINK("https://www.catalog.slsa.sa.gov.au/record=b2203216")</f>
        <v>https://www.catalog.slsa.sa.gov.au/record=b2203216</v>
      </c>
      <c r="C11721" s="1" t="str">
        <f>HYPERLINK("https://www.catalog.slsa.sa.gov.au/xrecord=b2203216")</f>
        <v>https://www.catalog.slsa.sa.gov.au/xrecord=b2203216</v>
      </c>
      <c r="D11721" t="s">
        <v>31902</v>
      </c>
      <c r="E11721" t="s">
        <v>35636</v>
      </c>
      <c r="F11721">
        <v>2006</v>
      </c>
      <c r="G11721" t="s">
        <v>33690</v>
      </c>
      <c r="H11721" t="s">
        <v>35637</v>
      </c>
      <c r="J11721" t="s">
        <v>14768</v>
      </c>
      <c r="K11721" s="2" t="str">
        <f>HYPERLINK("http://collections.slsa.sa.gov.au/mpcimg/69500/B69282_380.htm")</f>
        <v>http://collections.slsa.sa.gov.au/mpcimg/69500/B69282_380.htm</v>
      </c>
    </row>
    <row r="11722" spans="1:11" x14ac:dyDescent="0.25">
      <c r="A11722" t="s">
        <v>35638</v>
      </c>
      <c r="B11722" s="1" t="str">
        <f>HYPERLINK("https://www.catalog.slsa.sa.gov.au/record=b2203217")</f>
        <v>https://www.catalog.slsa.sa.gov.au/record=b2203217</v>
      </c>
      <c r="C11722" s="1" t="str">
        <f>HYPERLINK("https://www.catalog.slsa.sa.gov.au/xrecord=b2203217")</f>
        <v>https://www.catalog.slsa.sa.gov.au/xrecord=b2203217</v>
      </c>
      <c r="D11722" t="s">
        <v>31902</v>
      </c>
      <c r="E11722" t="s">
        <v>35639</v>
      </c>
      <c r="F11722">
        <v>2006</v>
      </c>
      <c r="G11722" t="s">
        <v>33690</v>
      </c>
      <c r="H11722" t="s">
        <v>35640</v>
      </c>
      <c r="J11722" t="s">
        <v>14768</v>
      </c>
      <c r="K11722" s="2" t="str">
        <f>HYPERLINK("http://collections.slsa.sa.gov.au/mpcimg/69500/B69282_381.htm")</f>
        <v>http://collections.slsa.sa.gov.au/mpcimg/69500/B69282_381.htm</v>
      </c>
    </row>
    <row r="11723" spans="1:11" x14ac:dyDescent="0.25">
      <c r="A11723" t="s">
        <v>35641</v>
      </c>
      <c r="B11723" s="1" t="str">
        <f>HYPERLINK("https://www.catalog.slsa.sa.gov.au/record=b3182385")</f>
        <v>https://www.catalog.slsa.sa.gov.au/record=b3182385</v>
      </c>
      <c r="C11723" s="1" t="str">
        <f>HYPERLINK("https://www.catalog.slsa.sa.gov.au/xrecord=b3182385")</f>
        <v>https://www.catalog.slsa.sa.gov.au/xrecord=b3182385</v>
      </c>
      <c r="D11723" t="s">
        <v>31636</v>
      </c>
      <c r="E11723" t="s">
        <v>35642</v>
      </c>
      <c r="F11723">
        <v>2006</v>
      </c>
      <c r="G11723" t="s">
        <v>35643</v>
      </c>
      <c r="H11723" t="s">
        <v>35644</v>
      </c>
      <c r="I11723" t="s">
        <v>35645</v>
      </c>
      <c r="J11723" t="s">
        <v>35646</v>
      </c>
      <c r="K11723" s="2" t="str">
        <f>HYPERLINK("http://collections.slsa.sa.gov.au/resource/B+76501")</f>
        <v>http://collections.slsa.sa.gov.au/resource/B+76501</v>
      </c>
    </row>
    <row r="11724" spans="1:11" x14ac:dyDescent="0.25">
      <c r="A11724" t="s">
        <v>35647</v>
      </c>
      <c r="B11724" s="1" t="str">
        <f>HYPERLINK("https://www.catalog.slsa.sa.gov.au/record=b3133891")</f>
        <v>https://www.catalog.slsa.sa.gov.au/record=b3133891</v>
      </c>
      <c r="C11724" s="1" t="str">
        <f>HYPERLINK("https://www.catalog.slsa.sa.gov.au/xrecord=b3133891")</f>
        <v>https://www.catalog.slsa.sa.gov.au/xrecord=b3133891</v>
      </c>
      <c r="D11724" t="s">
        <v>31636</v>
      </c>
      <c r="E11724" t="s">
        <v>35648</v>
      </c>
      <c r="F11724" t="s">
        <v>35649</v>
      </c>
      <c r="G11724" t="s">
        <v>35650</v>
      </c>
      <c r="H11724" t="s">
        <v>35651</v>
      </c>
      <c r="I11724" t="s">
        <v>35652</v>
      </c>
      <c r="J11724" t="s">
        <v>2510</v>
      </c>
      <c r="K11724" s="2" t="str">
        <f>HYPERLINK("http://collections.slsa.sa.gov.au/resource/B+75679")</f>
        <v>http://collections.slsa.sa.gov.au/resource/B+75679</v>
      </c>
    </row>
    <row r="11725" spans="1:11" x14ac:dyDescent="0.25">
      <c r="A11725" t="s">
        <v>35653</v>
      </c>
      <c r="B11725" s="1" t="str">
        <f>HYPERLINK("https://www.catalog.slsa.sa.gov.au/record=b2118023")</f>
        <v>https://www.catalog.slsa.sa.gov.au/record=b2118023</v>
      </c>
      <c r="C11725" s="1" t="str">
        <f>HYPERLINK("https://www.catalog.slsa.sa.gov.au/xrecord=b2118023")</f>
        <v>https://www.catalog.slsa.sa.gov.au/xrecord=b2118023</v>
      </c>
      <c r="D11725" t="s">
        <v>31902</v>
      </c>
      <c r="E11725" t="s">
        <v>35654</v>
      </c>
      <c r="F11725">
        <v>2007</v>
      </c>
      <c r="G11725" t="s">
        <v>33690</v>
      </c>
      <c r="H11725" t="s">
        <v>35655</v>
      </c>
      <c r="I11725" t="s">
        <v>35656</v>
      </c>
      <c r="J11725" t="s">
        <v>14768</v>
      </c>
      <c r="K11725" s="2" t="str">
        <f>HYPERLINK("http://collections.slsa.sa.gov.au/mpcimg/69500/B69282_389.htm")</f>
        <v>http://collections.slsa.sa.gov.au/mpcimg/69500/B69282_389.htm</v>
      </c>
    </row>
    <row r="11726" spans="1:11" x14ac:dyDescent="0.25">
      <c r="A11726" t="s">
        <v>35657</v>
      </c>
      <c r="B11726" s="1" t="str">
        <f>HYPERLINK("https://www.catalog.slsa.sa.gov.au/record=b2118024")</f>
        <v>https://www.catalog.slsa.sa.gov.au/record=b2118024</v>
      </c>
      <c r="C11726" s="1" t="str">
        <f>HYPERLINK("https://www.catalog.slsa.sa.gov.au/xrecord=b2118024")</f>
        <v>https://www.catalog.slsa.sa.gov.au/xrecord=b2118024</v>
      </c>
      <c r="D11726" t="s">
        <v>31902</v>
      </c>
      <c r="E11726" t="s">
        <v>35658</v>
      </c>
      <c r="F11726">
        <v>2007</v>
      </c>
      <c r="G11726" t="s">
        <v>18310</v>
      </c>
      <c r="H11726" t="s">
        <v>35659</v>
      </c>
      <c r="I11726" t="s">
        <v>35660</v>
      </c>
      <c r="J11726" t="s">
        <v>14768</v>
      </c>
      <c r="K11726" s="2" t="str">
        <f>HYPERLINK("http://collections.slsa.sa.gov.au/mpcimg/69500/B69282_390.htm")</f>
        <v>http://collections.slsa.sa.gov.au/mpcimg/69500/B69282_390.htm</v>
      </c>
    </row>
    <row r="11727" spans="1:11" x14ac:dyDescent="0.25">
      <c r="A11727" t="s">
        <v>35661</v>
      </c>
      <c r="B11727" s="1" t="str">
        <f>HYPERLINK("https://www.catalog.slsa.sa.gov.au/record=b2118025")</f>
        <v>https://www.catalog.slsa.sa.gov.au/record=b2118025</v>
      </c>
      <c r="C11727" s="1" t="str">
        <f>HYPERLINK("https://www.catalog.slsa.sa.gov.au/xrecord=b2118025")</f>
        <v>https://www.catalog.slsa.sa.gov.au/xrecord=b2118025</v>
      </c>
      <c r="D11727" t="s">
        <v>31902</v>
      </c>
      <c r="E11727" t="s">
        <v>35662</v>
      </c>
      <c r="F11727">
        <v>2007</v>
      </c>
      <c r="G11727" t="s">
        <v>33690</v>
      </c>
      <c r="H11727" t="s">
        <v>35663</v>
      </c>
      <c r="I11727" t="s">
        <v>35664</v>
      </c>
      <c r="J11727" t="s">
        <v>14768</v>
      </c>
      <c r="K11727" s="2" t="str">
        <f>HYPERLINK("http://collections.slsa.sa.gov.au/mpcimg/69500/B69282_391.htm")</f>
        <v>http://collections.slsa.sa.gov.au/mpcimg/69500/B69282_391.htm</v>
      </c>
    </row>
    <row r="11728" spans="1:11" x14ac:dyDescent="0.25">
      <c r="A11728" t="s">
        <v>35665</v>
      </c>
      <c r="B11728" s="1" t="str">
        <f>HYPERLINK("https://www.catalog.slsa.sa.gov.au/record=b2118567")</f>
        <v>https://www.catalog.slsa.sa.gov.au/record=b2118567</v>
      </c>
      <c r="C11728" s="1" t="str">
        <f>HYPERLINK("https://www.catalog.slsa.sa.gov.au/xrecord=b2118567")</f>
        <v>https://www.catalog.slsa.sa.gov.au/xrecord=b2118567</v>
      </c>
      <c r="D11728" t="s">
        <v>31902</v>
      </c>
      <c r="E11728" t="s">
        <v>35666</v>
      </c>
      <c r="F11728">
        <v>2007</v>
      </c>
      <c r="G11728" t="s">
        <v>33690</v>
      </c>
      <c r="H11728" t="s">
        <v>35667</v>
      </c>
      <c r="I11728" t="s">
        <v>35668</v>
      </c>
      <c r="J11728" t="s">
        <v>14768</v>
      </c>
      <c r="K11728" s="2" t="str">
        <f>HYPERLINK("http://collections.slsa.sa.gov.au/mpcimg/69500/B69282_392.htm")</f>
        <v>http://collections.slsa.sa.gov.au/mpcimg/69500/B69282_392.htm</v>
      </c>
    </row>
    <row r="11729" spans="1:11" x14ac:dyDescent="0.25">
      <c r="A11729" t="s">
        <v>35669</v>
      </c>
      <c r="B11729" s="1" t="str">
        <f>HYPERLINK("https://www.catalog.slsa.sa.gov.au/record=b2118568")</f>
        <v>https://www.catalog.slsa.sa.gov.au/record=b2118568</v>
      </c>
      <c r="C11729" s="1" t="str">
        <f>HYPERLINK("https://www.catalog.slsa.sa.gov.au/xrecord=b2118568")</f>
        <v>https://www.catalog.slsa.sa.gov.au/xrecord=b2118568</v>
      </c>
      <c r="D11729" t="s">
        <v>31902</v>
      </c>
      <c r="E11729" t="s">
        <v>35666</v>
      </c>
      <c r="F11729">
        <v>2007</v>
      </c>
      <c r="G11729" t="s">
        <v>33690</v>
      </c>
      <c r="H11729" t="s">
        <v>35670</v>
      </c>
      <c r="I11729" t="s">
        <v>35671</v>
      </c>
      <c r="J11729" t="s">
        <v>14768</v>
      </c>
      <c r="K11729" s="2" t="str">
        <f>HYPERLINK("http://collections.slsa.sa.gov.au/mpcimg/69500/B69282_393.htm")</f>
        <v>http://collections.slsa.sa.gov.au/mpcimg/69500/B69282_393.htm</v>
      </c>
    </row>
    <row r="11730" spans="1:11" x14ac:dyDescent="0.25">
      <c r="A11730" t="s">
        <v>35672</v>
      </c>
      <c r="B11730" s="1" t="str">
        <f>HYPERLINK("https://www.catalog.slsa.sa.gov.au/record=b2118569")</f>
        <v>https://www.catalog.slsa.sa.gov.au/record=b2118569</v>
      </c>
      <c r="C11730" s="1" t="str">
        <f>HYPERLINK("https://www.catalog.slsa.sa.gov.au/xrecord=b2118569")</f>
        <v>https://www.catalog.slsa.sa.gov.au/xrecord=b2118569</v>
      </c>
      <c r="D11730" t="s">
        <v>31902</v>
      </c>
      <c r="E11730" t="s">
        <v>35666</v>
      </c>
      <c r="F11730">
        <v>2007</v>
      </c>
      <c r="G11730" t="s">
        <v>33690</v>
      </c>
      <c r="H11730" t="s">
        <v>35673</v>
      </c>
      <c r="I11730" t="s">
        <v>35668</v>
      </c>
      <c r="J11730" t="s">
        <v>14768</v>
      </c>
      <c r="K11730" s="2" t="str">
        <f>HYPERLINK("http://collections.slsa.sa.gov.au/mpcimg/69500/B69282_394.htm")</f>
        <v>http://collections.slsa.sa.gov.au/mpcimg/69500/B69282_394.htm</v>
      </c>
    </row>
    <row r="11731" spans="1:11" x14ac:dyDescent="0.25">
      <c r="A11731" t="s">
        <v>35674</v>
      </c>
      <c r="B11731" s="1" t="str">
        <f>HYPERLINK("https://www.catalog.slsa.sa.gov.au/record=b2118570")</f>
        <v>https://www.catalog.slsa.sa.gov.au/record=b2118570</v>
      </c>
      <c r="C11731" s="1" t="str">
        <f>HYPERLINK("https://www.catalog.slsa.sa.gov.au/xrecord=b2118570")</f>
        <v>https://www.catalog.slsa.sa.gov.au/xrecord=b2118570</v>
      </c>
      <c r="D11731" t="s">
        <v>31902</v>
      </c>
      <c r="E11731" t="s">
        <v>35675</v>
      </c>
      <c r="F11731">
        <v>2007</v>
      </c>
      <c r="G11731" t="s">
        <v>33690</v>
      </c>
      <c r="H11731" t="s">
        <v>35676</v>
      </c>
      <c r="I11731" t="s">
        <v>35675</v>
      </c>
      <c r="J11731" t="s">
        <v>14768</v>
      </c>
      <c r="K11731" s="2" t="str">
        <f>HYPERLINK("http://collections.slsa.sa.gov.au/mpcimg/69500/B69282_395.htm")</f>
        <v>http://collections.slsa.sa.gov.au/mpcimg/69500/B69282_395.htm</v>
      </c>
    </row>
    <row r="11732" spans="1:11" x14ac:dyDescent="0.25">
      <c r="A11732" t="s">
        <v>35677</v>
      </c>
      <c r="B11732" s="1" t="str">
        <f>HYPERLINK("https://www.catalog.slsa.sa.gov.au/record=b2118571")</f>
        <v>https://www.catalog.slsa.sa.gov.au/record=b2118571</v>
      </c>
      <c r="C11732" s="1" t="str">
        <f>HYPERLINK("https://www.catalog.slsa.sa.gov.au/xrecord=b2118571")</f>
        <v>https://www.catalog.slsa.sa.gov.au/xrecord=b2118571</v>
      </c>
      <c r="D11732" t="s">
        <v>31902</v>
      </c>
      <c r="E11732" t="s">
        <v>35675</v>
      </c>
      <c r="F11732">
        <v>2007</v>
      </c>
      <c r="G11732" t="s">
        <v>33690</v>
      </c>
      <c r="H11732" t="s">
        <v>35678</v>
      </c>
      <c r="I11732" t="s">
        <v>35675</v>
      </c>
      <c r="J11732" t="s">
        <v>14768</v>
      </c>
      <c r="K11732" s="2" t="str">
        <f>HYPERLINK("http://collections.slsa.sa.gov.au/mpcimg/69500/B69282_396.htm")</f>
        <v>http://collections.slsa.sa.gov.au/mpcimg/69500/B69282_396.htm</v>
      </c>
    </row>
    <row r="11733" spans="1:11" x14ac:dyDescent="0.25">
      <c r="A11733" t="s">
        <v>35679</v>
      </c>
      <c r="B11733" s="1" t="str">
        <f>HYPERLINK("https://www.catalog.slsa.sa.gov.au/record=b2118638")</f>
        <v>https://www.catalog.slsa.sa.gov.au/record=b2118638</v>
      </c>
      <c r="C11733" s="1" t="str">
        <f>HYPERLINK("https://www.catalog.slsa.sa.gov.au/xrecord=b2118638")</f>
        <v>https://www.catalog.slsa.sa.gov.au/xrecord=b2118638</v>
      </c>
      <c r="D11733" t="s">
        <v>31902</v>
      </c>
      <c r="E11733" t="s">
        <v>35680</v>
      </c>
      <c r="F11733">
        <v>2007</v>
      </c>
      <c r="G11733" t="s">
        <v>33690</v>
      </c>
      <c r="H11733" t="s">
        <v>35681</v>
      </c>
      <c r="I11733" t="s">
        <v>35682</v>
      </c>
      <c r="J11733" t="s">
        <v>14768</v>
      </c>
      <c r="K11733" s="2" t="str">
        <f>HYPERLINK("http://collections.slsa.sa.gov.au/mpcimg/69500/B69282_397.htm")</f>
        <v>http://collections.slsa.sa.gov.au/mpcimg/69500/B69282_397.htm</v>
      </c>
    </row>
    <row r="11734" spans="1:11" x14ac:dyDescent="0.25">
      <c r="A11734" t="s">
        <v>35683</v>
      </c>
      <c r="B11734" s="1" t="str">
        <f>HYPERLINK("https://www.catalog.slsa.sa.gov.au/record=b2118639")</f>
        <v>https://www.catalog.slsa.sa.gov.au/record=b2118639</v>
      </c>
      <c r="C11734" s="1" t="str">
        <f>HYPERLINK("https://www.catalog.slsa.sa.gov.au/xrecord=b2118639")</f>
        <v>https://www.catalog.slsa.sa.gov.au/xrecord=b2118639</v>
      </c>
      <c r="D11734" t="s">
        <v>31902</v>
      </c>
      <c r="E11734" t="s">
        <v>35680</v>
      </c>
      <c r="F11734">
        <v>2007</v>
      </c>
      <c r="G11734" t="s">
        <v>33690</v>
      </c>
      <c r="H11734" t="s">
        <v>35684</v>
      </c>
      <c r="I11734" t="s">
        <v>35682</v>
      </c>
      <c r="J11734" t="s">
        <v>14768</v>
      </c>
      <c r="K11734" s="2" t="str">
        <f>HYPERLINK("http://collections.slsa.sa.gov.au/mpcimg/69500/B69282_398.htm")</f>
        <v>http://collections.slsa.sa.gov.au/mpcimg/69500/B69282_398.htm</v>
      </c>
    </row>
    <row r="11735" spans="1:11" x14ac:dyDescent="0.25">
      <c r="A11735" t="s">
        <v>35685</v>
      </c>
      <c r="B11735" s="1" t="str">
        <f>HYPERLINK("https://www.catalog.slsa.sa.gov.au/record=b2118641")</f>
        <v>https://www.catalog.slsa.sa.gov.au/record=b2118641</v>
      </c>
      <c r="C11735" s="1" t="str">
        <f>HYPERLINK("https://www.catalog.slsa.sa.gov.au/xrecord=b2118641")</f>
        <v>https://www.catalog.slsa.sa.gov.au/xrecord=b2118641</v>
      </c>
      <c r="D11735" t="s">
        <v>31902</v>
      </c>
      <c r="E11735" t="s">
        <v>35686</v>
      </c>
      <c r="F11735">
        <v>2007</v>
      </c>
      <c r="G11735" t="s">
        <v>33690</v>
      </c>
      <c r="H11735" t="s">
        <v>35687</v>
      </c>
      <c r="I11735" t="s">
        <v>35688</v>
      </c>
      <c r="J11735" t="s">
        <v>14768</v>
      </c>
      <c r="K11735" s="2" t="str">
        <f>HYPERLINK("http://collections.slsa.sa.gov.au/mpcimg/69500/B69282_399.htm")</f>
        <v>http://collections.slsa.sa.gov.au/mpcimg/69500/B69282_399.htm</v>
      </c>
    </row>
    <row r="11736" spans="1:11" x14ac:dyDescent="0.25">
      <c r="A11736" t="s">
        <v>35689</v>
      </c>
      <c r="B11736" s="1" t="str">
        <f>HYPERLINK("https://www.catalog.slsa.sa.gov.au/record=b2118643")</f>
        <v>https://www.catalog.slsa.sa.gov.au/record=b2118643</v>
      </c>
      <c r="C11736" s="1" t="str">
        <f>HYPERLINK("https://www.catalog.slsa.sa.gov.au/xrecord=b2118643")</f>
        <v>https://www.catalog.slsa.sa.gov.au/xrecord=b2118643</v>
      </c>
      <c r="D11736" t="s">
        <v>31902</v>
      </c>
      <c r="E11736" t="s">
        <v>35686</v>
      </c>
      <c r="F11736">
        <v>2007</v>
      </c>
      <c r="G11736" t="s">
        <v>33690</v>
      </c>
      <c r="H11736" t="s">
        <v>35687</v>
      </c>
      <c r="I11736" t="s">
        <v>35688</v>
      </c>
      <c r="J11736" t="s">
        <v>14768</v>
      </c>
      <c r="K11736" s="2" t="str">
        <f>HYPERLINK("http://collections.slsa.sa.gov.au/mpcimg/69500/B69282_400.htm")</f>
        <v>http://collections.slsa.sa.gov.au/mpcimg/69500/B69282_400.htm</v>
      </c>
    </row>
    <row r="11737" spans="1:11" x14ac:dyDescent="0.25">
      <c r="A11737" t="s">
        <v>35690</v>
      </c>
      <c r="B11737" s="1" t="str">
        <f>HYPERLINK("https://www.catalog.slsa.sa.gov.au/record=b2118645")</f>
        <v>https://www.catalog.slsa.sa.gov.au/record=b2118645</v>
      </c>
      <c r="C11737" s="1" t="str">
        <f>HYPERLINK("https://www.catalog.slsa.sa.gov.au/xrecord=b2118645")</f>
        <v>https://www.catalog.slsa.sa.gov.au/xrecord=b2118645</v>
      </c>
      <c r="D11737" t="s">
        <v>31902</v>
      </c>
      <c r="E11737" t="s">
        <v>35691</v>
      </c>
      <c r="F11737">
        <v>2007</v>
      </c>
      <c r="G11737" t="s">
        <v>33690</v>
      </c>
      <c r="H11737" t="s">
        <v>35692</v>
      </c>
      <c r="I11737" t="s">
        <v>35693</v>
      </c>
      <c r="J11737" t="s">
        <v>14768</v>
      </c>
      <c r="K11737" s="2" t="str">
        <f>HYPERLINK("http://collections.slsa.sa.gov.au/mpcimg/69500/B69282_401.htm")</f>
        <v>http://collections.slsa.sa.gov.au/mpcimg/69500/B69282_401.htm</v>
      </c>
    </row>
    <row r="11738" spans="1:11" x14ac:dyDescent="0.25">
      <c r="A11738" t="s">
        <v>35694</v>
      </c>
      <c r="B11738" s="1" t="str">
        <f>HYPERLINK("https://www.catalog.slsa.sa.gov.au/record=b2118646")</f>
        <v>https://www.catalog.slsa.sa.gov.au/record=b2118646</v>
      </c>
      <c r="C11738" s="1" t="str">
        <f>HYPERLINK("https://www.catalog.slsa.sa.gov.au/xrecord=b2118646")</f>
        <v>https://www.catalog.slsa.sa.gov.au/xrecord=b2118646</v>
      </c>
      <c r="D11738" t="s">
        <v>31902</v>
      </c>
      <c r="E11738" t="s">
        <v>35695</v>
      </c>
      <c r="F11738">
        <v>2007</v>
      </c>
      <c r="G11738" t="s">
        <v>33690</v>
      </c>
      <c r="H11738" t="s">
        <v>35696</v>
      </c>
      <c r="I11738" t="s">
        <v>35693</v>
      </c>
      <c r="J11738" t="s">
        <v>14768</v>
      </c>
      <c r="K11738" s="2" t="str">
        <f>HYPERLINK("http://collections.slsa.sa.gov.au/mpcimg/69500/B69282_402.htm")</f>
        <v>http://collections.slsa.sa.gov.au/mpcimg/69500/B69282_402.htm</v>
      </c>
    </row>
    <row r="11739" spans="1:11" x14ac:dyDescent="0.25">
      <c r="A11739" t="s">
        <v>35697</v>
      </c>
      <c r="B11739" s="1" t="str">
        <f>HYPERLINK("https://www.catalog.slsa.sa.gov.au/record=b2118648")</f>
        <v>https://www.catalog.slsa.sa.gov.au/record=b2118648</v>
      </c>
      <c r="C11739" s="1" t="str">
        <f>HYPERLINK("https://www.catalog.slsa.sa.gov.au/xrecord=b2118648")</f>
        <v>https://www.catalog.slsa.sa.gov.au/xrecord=b2118648</v>
      </c>
      <c r="D11739" t="s">
        <v>31902</v>
      </c>
      <c r="E11739" t="s">
        <v>35698</v>
      </c>
      <c r="F11739">
        <v>2007</v>
      </c>
      <c r="G11739" t="s">
        <v>33690</v>
      </c>
      <c r="H11739" t="s">
        <v>35699</v>
      </c>
      <c r="I11739" t="s">
        <v>35700</v>
      </c>
      <c r="J11739" t="s">
        <v>14768</v>
      </c>
      <c r="K11739" s="2" t="str">
        <f>HYPERLINK("http://collections.slsa.sa.gov.au/mpcimg/69500/B69282_403.htm")</f>
        <v>http://collections.slsa.sa.gov.au/mpcimg/69500/B69282_403.htm</v>
      </c>
    </row>
    <row r="11740" spans="1:11" x14ac:dyDescent="0.25">
      <c r="A11740" t="s">
        <v>35701</v>
      </c>
      <c r="B11740" s="1" t="str">
        <f>HYPERLINK("https://www.catalog.slsa.sa.gov.au/record=b2118649")</f>
        <v>https://www.catalog.slsa.sa.gov.au/record=b2118649</v>
      </c>
      <c r="C11740" s="1" t="str">
        <f>HYPERLINK("https://www.catalog.slsa.sa.gov.au/xrecord=b2118649")</f>
        <v>https://www.catalog.slsa.sa.gov.au/xrecord=b2118649</v>
      </c>
      <c r="D11740" t="s">
        <v>31902</v>
      </c>
      <c r="E11740" t="s">
        <v>35698</v>
      </c>
      <c r="F11740">
        <v>2007</v>
      </c>
      <c r="G11740" t="s">
        <v>33690</v>
      </c>
      <c r="H11740" t="s">
        <v>35702</v>
      </c>
      <c r="I11740" t="s">
        <v>35700</v>
      </c>
      <c r="J11740" t="s">
        <v>14768</v>
      </c>
      <c r="K11740" s="2" t="str">
        <f>HYPERLINK("http://collections.slsa.sa.gov.au/mpcimg/69500/B69282_404.htm")</f>
        <v>http://collections.slsa.sa.gov.au/mpcimg/69500/B69282_404.htm</v>
      </c>
    </row>
    <row r="11741" spans="1:11" x14ac:dyDescent="0.25">
      <c r="A11741" t="s">
        <v>35703</v>
      </c>
      <c r="B11741" s="1" t="str">
        <f>HYPERLINK("https://www.catalog.slsa.sa.gov.au/record=b2118651")</f>
        <v>https://www.catalog.slsa.sa.gov.au/record=b2118651</v>
      </c>
      <c r="C11741" s="1" t="str">
        <f>HYPERLINK("https://www.catalog.slsa.sa.gov.au/xrecord=b2118651")</f>
        <v>https://www.catalog.slsa.sa.gov.au/xrecord=b2118651</v>
      </c>
      <c r="D11741" t="s">
        <v>31902</v>
      </c>
      <c r="E11741" t="s">
        <v>35698</v>
      </c>
      <c r="F11741">
        <v>2007</v>
      </c>
      <c r="G11741" t="s">
        <v>33690</v>
      </c>
      <c r="H11741" t="s">
        <v>35702</v>
      </c>
      <c r="I11741" t="s">
        <v>35700</v>
      </c>
      <c r="J11741" t="s">
        <v>14768</v>
      </c>
      <c r="K11741" s="2" t="str">
        <f>HYPERLINK("http://collections.slsa.sa.gov.au/mpcimg/69500/B69282_405.htm")</f>
        <v>http://collections.slsa.sa.gov.au/mpcimg/69500/B69282_405.htm</v>
      </c>
    </row>
    <row r="11742" spans="1:11" x14ac:dyDescent="0.25">
      <c r="A11742" t="s">
        <v>35704</v>
      </c>
      <c r="B11742" s="1" t="str">
        <f>HYPERLINK("https://www.catalog.slsa.sa.gov.au/record=b2118653")</f>
        <v>https://www.catalog.slsa.sa.gov.au/record=b2118653</v>
      </c>
      <c r="C11742" s="1" t="str">
        <f>HYPERLINK("https://www.catalog.slsa.sa.gov.au/xrecord=b2118653")</f>
        <v>https://www.catalog.slsa.sa.gov.au/xrecord=b2118653</v>
      </c>
      <c r="D11742" t="s">
        <v>31902</v>
      </c>
      <c r="E11742" t="s">
        <v>35705</v>
      </c>
      <c r="F11742">
        <v>2007</v>
      </c>
      <c r="G11742" t="s">
        <v>33690</v>
      </c>
      <c r="H11742" t="s">
        <v>35706</v>
      </c>
      <c r="I11742" t="s">
        <v>35707</v>
      </c>
      <c r="J11742" t="s">
        <v>14768</v>
      </c>
      <c r="K11742" s="2" t="str">
        <f>HYPERLINK("http://collections.slsa.sa.gov.au/mpcimg/69500/B69282_406.htm")</f>
        <v>http://collections.slsa.sa.gov.au/mpcimg/69500/B69282_406.htm</v>
      </c>
    </row>
    <row r="11743" spans="1:11" x14ac:dyDescent="0.25">
      <c r="A11743" t="s">
        <v>35708</v>
      </c>
      <c r="B11743" s="1" t="str">
        <f>HYPERLINK("https://www.catalog.slsa.sa.gov.au/record=b2118655")</f>
        <v>https://www.catalog.slsa.sa.gov.au/record=b2118655</v>
      </c>
      <c r="C11743" s="1" t="str">
        <f>HYPERLINK("https://www.catalog.slsa.sa.gov.au/xrecord=b2118655")</f>
        <v>https://www.catalog.slsa.sa.gov.au/xrecord=b2118655</v>
      </c>
      <c r="D11743" t="s">
        <v>31902</v>
      </c>
      <c r="E11743" t="s">
        <v>35709</v>
      </c>
      <c r="F11743">
        <v>2007</v>
      </c>
      <c r="G11743" t="s">
        <v>33690</v>
      </c>
      <c r="H11743" t="s">
        <v>35710</v>
      </c>
      <c r="J11743" t="s">
        <v>14768</v>
      </c>
      <c r="K11743" s="2" t="str">
        <f>HYPERLINK("http://collections.slsa.sa.gov.au/mpcimg/69500/B69282_407.htm")</f>
        <v>http://collections.slsa.sa.gov.au/mpcimg/69500/B69282_407.htm</v>
      </c>
    </row>
    <row r="11744" spans="1:11" x14ac:dyDescent="0.25">
      <c r="A11744" t="s">
        <v>35711</v>
      </c>
      <c r="B11744" s="1" t="str">
        <f>HYPERLINK("https://www.catalog.slsa.sa.gov.au/record=b2121725")</f>
        <v>https://www.catalog.slsa.sa.gov.au/record=b2121725</v>
      </c>
      <c r="C11744" s="1" t="str">
        <f>HYPERLINK("https://www.catalog.slsa.sa.gov.au/xrecord=b2121725")</f>
        <v>https://www.catalog.slsa.sa.gov.au/xrecord=b2121725</v>
      </c>
      <c r="D11744" t="s">
        <v>31902</v>
      </c>
      <c r="E11744" t="s">
        <v>35712</v>
      </c>
      <c r="F11744">
        <v>2007</v>
      </c>
      <c r="G11744" t="s">
        <v>33690</v>
      </c>
      <c r="H11744" t="s">
        <v>35713</v>
      </c>
      <c r="I11744" t="s">
        <v>35714</v>
      </c>
      <c r="J11744" t="s">
        <v>14768</v>
      </c>
      <c r="K11744" s="2" t="str">
        <f>HYPERLINK("http://collections.slsa.sa.gov.au/mpcimg/69500/B69282_408.htm")</f>
        <v>http://collections.slsa.sa.gov.au/mpcimg/69500/B69282_408.htm</v>
      </c>
    </row>
    <row r="11745" spans="1:11" x14ac:dyDescent="0.25">
      <c r="A11745" t="s">
        <v>35715</v>
      </c>
      <c r="B11745" s="1" t="str">
        <f>HYPERLINK("https://www.catalog.slsa.sa.gov.au/record=b2121726")</f>
        <v>https://www.catalog.slsa.sa.gov.au/record=b2121726</v>
      </c>
      <c r="C11745" s="1" t="str">
        <f>HYPERLINK("https://www.catalog.slsa.sa.gov.au/xrecord=b2121726")</f>
        <v>https://www.catalog.slsa.sa.gov.au/xrecord=b2121726</v>
      </c>
      <c r="D11745" t="s">
        <v>31902</v>
      </c>
      <c r="E11745" t="s">
        <v>35716</v>
      </c>
      <c r="F11745">
        <v>2007</v>
      </c>
      <c r="G11745" t="s">
        <v>33690</v>
      </c>
      <c r="H11745" t="s">
        <v>35717</v>
      </c>
      <c r="I11745" t="s">
        <v>35718</v>
      </c>
      <c r="J11745" t="s">
        <v>14768</v>
      </c>
      <c r="K11745" s="2" t="str">
        <f>HYPERLINK("http://collections.slsa.sa.gov.au/mpcimg/69500/B69282_409.htm")</f>
        <v>http://collections.slsa.sa.gov.au/mpcimg/69500/B69282_409.htm</v>
      </c>
    </row>
    <row r="11746" spans="1:11" x14ac:dyDescent="0.25">
      <c r="A11746" t="s">
        <v>35719</v>
      </c>
      <c r="B11746" s="1" t="str">
        <f>HYPERLINK("https://www.catalog.slsa.sa.gov.au/record=b2123607")</f>
        <v>https://www.catalog.slsa.sa.gov.au/record=b2123607</v>
      </c>
      <c r="C11746" s="1" t="str">
        <f>HYPERLINK("https://www.catalog.slsa.sa.gov.au/xrecord=b2123607")</f>
        <v>https://www.catalog.slsa.sa.gov.au/xrecord=b2123607</v>
      </c>
      <c r="D11746" t="s">
        <v>31902</v>
      </c>
      <c r="E11746" t="s">
        <v>35720</v>
      </c>
      <c r="F11746">
        <v>2007</v>
      </c>
      <c r="G11746" t="s">
        <v>33690</v>
      </c>
      <c r="H11746" t="s">
        <v>35721</v>
      </c>
      <c r="I11746" t="s">
        <v>35722</v>
      </c>
      <c r="J11746" t="s">
        <v>14768</v>
      </c>
      <c r="K11746" s="2" t="str">
        <f>HYPERLINK("http://collections.slsa.sa.gov.au/mpcimg/69500/B69282_410.htm")</f>
        <v>http://collections.slsa.sa.gov.au/mpcimg/69500/B69282_410.htm</v>
      </c>
    </row>
    <row r="11747" spans="1:11" x14ac:dyDescent="0.25">
      <c r="A11747" t="s">
        <v>35723</v>
      </c>
      <c r="B11747" s="1" t="str">
        <f>HYPERLINK("https://www.catalog.slsa.sa.gov.au/record=b2123608")</f>
        <v>https://www.catalog.slsa.sa.gov.au/record=b2123608</v>
      </c>
      <c r="C11747" s="1" t="str">
        <f>HYPERLINK("https://www.catalog.slsa.sa.gov.au/xrecord=b2123608")</f>
        <v>https://www.catalog.slsa.sa.gov.au/xrecord=b2123608</v>
      </c>
      <c r="D11747" t="s">
        <v>31902</v>
      </c>
      <c r="E11747" t="s">
        <v>35724</v>
      </c>
      <c r="F11747">
        <v>2007</v>
      </c>
      <c r="G11747" t="s">
        <v>33690</v>
      </c>
      <c r="H11747" t="s">
        <v>35725</v>
      </c>
      <c r="I11747" t="s">
        <v>35726</v>
      </c>
      <c r="J11747" t="s">
        <v>14768</v>
      </c>
      <c r="K11747" s="2" t="str">
        <f>HYPERLINK("http://collections.slsa.sa.gov.au/mpcimg/69500/B69282_411.htm")</f>
        <v>http://collections.slsa.sa.gov.au/mpcimg/69500/B69282_411.htm</v>
      </c>
    </row>
    <row r="11748" spans="1:11" x14ac:dyDescent="0.25">
      <c r="A11748" t="s">
        <v>35727</v>
      </c>
      <c r="B11748" s="1" t="str">
        <f>HYPERLINK("https://www.catalog.slsa.sa.gov.au/record=b2123609")</f>
        <v>https://www.catalog.slsa.sa.gov.au/record=b2123609</v>
      </c>
      <c r="C11748" s="1" t="str">
        <f>HYPERLINK("https://www.catalog.slsa.sa.gov.au/xrecord=b2123609")</f>
        <v>https://www.catalog.slsa.sa.gov.au/xrecord=b2123609</v>
      </c>
      <c r="D11748" t="s">
        <v>31902</v>
      </c>
      <c r="E11748" t="s">
        <v>35728</v>
      </c>
      <c r="F11748">
        <v>2007</v>
      </c>
      <c r="G11748" t="s">
        <v>33690</v>
      </c>
      <c r="H11748" t="s">
        <v>35729</v>
      </c>
      <c r="I11748" t="s">
        <v>25085</v>
      </c>
      <c r="J11748" t="s">
        <v>14768</v>
      </c>
      <c r="K11748" s="2" t="str">
        <f>HYPERLINK("http://collections.slsa.sa.gov.au/mpcimg/69500/B69282_412.htm")</f>
        <v>http://collections.slsa.sa.gov.au/mpcimg/69500/B69282_412.htm</v>
      </c>
    </row>
    <row r="11749" spans="1:11" x14ac:dyDescent="0.25">
      <c r="A11749" t="s">
        <v>35730</v>
      </c>
      <c r="B11749" s="1" t="str">
        <f>HYPERLINK("https://www.catalog.slsa.sa.gov.au/record=b2123610")</f>
        <v>https://www.catalog.slsa.sa.gov.au/record=b2123610</v>
      </c>
      <c r="C11749" s="1" t="str">
        <f>HYPERLINK("https://www.catalog.slsa.sa.gov.au/xrecord=b2123610")</f>
        <v>https://www.catalog.slsa.sa.gov.au/xrecord=b2123610</v>
      </c>
      <c r="D11749" t="s">
        <v>31902</v>
      </c>
      <c r="E11749" t="s">
        <v>35731</v>
      </c>
      <c r="F11749">
        <v>2007</v>
      </c>
      <c r="G11749" t="s">
        <v>33690</v>
      </c>
      <c r="H11749" t="s">
        <v>35732</v>
      </c>
      <c r="I11749" t="s">
        <v>35733</v>
      </c>
      <c r="J11749" t="s">
        <v>35734</v>
      </c>
      <c r="K11749" s="2" t="str">
        <f>HYPERLINK("http://collections.slsa.sa.gov.au/mpcimg/69500/B69282_413.htm")</f>
        <v>http://collections.slsa.sa.gov.au/mpcimg/69500/B69282_413.htm</v>
      </c>
    </row>
    <row r="11750" spans="1:11" x14ac:dyDescent="0.25">
      <c r="A11750" t="s">
        <v>35735</v>
      </c>
      <c r="B11750" s="1" t="str">
        <f>HYPERLINK("https://www.catalog.slsa.sa.gov.au/record=b2123611")</f>
        <v>https://www.catalog.slsa.sa.gov.au/record=b2123611</v>
      </c>
      <c r="C11750" s="1" t="str">
        <f>HYPERLINK("https://www.catalog.slsa.sa.gov.au/xrecord=b2123611")</f>
        <v>https://www.catalog.slsa.sa.gov.au/xrecord=b2123611</v>
      </c>
      <c r="D11750" t="s">
        <v>31902</v>
      </c>
      <c r="E11750" t="s">
        <v>35736</v>
      </c>
      <c r="F11750">
        <v>2007</v>
      </c>
      <c r="G11750" t="s">
        <v>33690</v>
      </c>
      <c r="H11750" t="s">
        <v>35737</v>
      </c>
      <c r="I11750" t="s">
        <v>35738</v>
      </c>
      <c r="J11750" t="s">
        <v>14768</v>
      </c>
      <c r="K11750" s="2" t="str">
        <f>HYPERLINK("http://collections.slsa.sa.gov.au/mpcimg/69500/B69282_414.htm")</f>
        <v>http://collections.slsa.sa.gov.au/mpcimg/69500/B69282_414.htm</v>
      </c>
    </row>
    <row r="11751" spans="1:11" x14ac:dyDescent="0.25">
      <c r="A11751" t="s">
        <v>35739</v>
      </c>
      <c r="B11751" s="1" t="str">
        <f>HYPERLINK("https://www.catalog.slsa.sa.gov.au/record=b2123612")</f>
        <v>https://www.catalog.slsa.sa.gov.au/record=b2123612</v>
      </c>
      <c r="C11751" s="1" t="str">
        <f>HYPERLINK("https://www.catalog.slsa.sa.gov.au/xrecord=b2123612")</f>
        <v>https://www.catalog.slsa.sa.gov.au/xrecord=b2123612</v>
      </c>
      <c r="D11751" t="s">
        <v>31902</v>
      </c>
      <c r="E11751" t="s">
        <v>35736</v>
      </c>
      <c r="F11751">
        <v>2007</v>
      </c>
      <c r="G11751" t="s">
        <v>33690</v>
      </c>
      <c r="H11751" t="s">
        <v>35740</v>
      </c>
      <c r="I11751" t="s">
        <v>35738</v>
      </c>
      <c r="J11751" t="s">
        <v>14768</v>
      </c>
      <c r="K11751" s="2" t="str">
        <f>HYPERLINK("http://collections.slsa.sa.gov.au/mpcimg/69500/B69282_415.htm")</f>
        <v>http://collections.slsa.sa.gov.au/mpcimg/69500/B69282_415.htm</v>
      </c>
    </row>
    <row r="11752" spans="1:11" x14ac:dyDescent="0.25">
      <c r="A11752" t="s">
        <v>35741</v>
      </c>
      <c r="B11752" s="1" t="str">
        <f>HYPERLINK("https://www.catalog.slsa.sa.gov.au/record=b2123613")</f>
        <v>https://www.catalog.slsa.sa.gov.au/record=b2123613</v>
      </c>
      <c r="C11752" s="1" t="str">
        <f>HYPERLINK("https://www.catalog.slsa.sa.gov.au/xrecord=b2123613")</f>
        <v>https://www.catalog.slsa.sa.gov.au/xrecord=b2123613</v>
      </c>
      <c r="D11752" t="s">
        <v>31902</v>
      </c>
      <c r="E11752" t="s">
        <v>35742</v>
      </c>
      <c r="F11752">
        <v>2007</v>
      </c>
      <c r="G11752" t="s">
        <v>33690</v>
      </c>
      <c r="H11752" t="s">
        <v>35743</v>
      </c>
      <c r="I11752" t="s">
        <v>35744</v>
      </c>
      <c r="J11752" t="s">
        <v>14768</v>
      </c>
      <c r="K11752" s="2" t="str">
        <f>HYPERLINK("http://collections.slsa.sa.gov.au/mpcimg/69500/B69282_416.htm")</f>
        <v>http://collections.slsa.sa.gov.au/mpcimg/69500/B69282_416.htm</v>
      </c>
    </row>
    <row r="11753" spans="1:11" x14ac:dyDescent="0.25">
      <c r="A11753" t="s">
        <v>35745</v>
      </c>
      <c r="B11753" s="1" t="str">
        <f>HYPERLINK("https://www.catalog.slsa.sa.gov.au/record=b2123614")</f>
        <v>https://www.catalog.slsa.sa.gov.au/record=b2123614</v>
      </c>
      <c r="C11753" s="1" t="str">
        <f>HYPERLINK("https://www.catalog.slsa.sa.gov.au/xrecord=b2123614")</f>
        <v>https://www.catalog.slsa.sa.gov.au/xrecord=b2123614</v>
      </c>
      <c r="D11753" t="s">
        <v>31902</v>
      </c>
      <c r="E11753" t="s">
        <v>35746</v>
      </c>
      <c r="F11753">
        <v>2007</v>
      </c>
      <c r="G11753" t="s">
        <v>33690</v>
      </c>
      <c r="H11753" t="s">
        <v>35747</v>
      </c>
      <c r="I11753" t="s">
        <v>35748</v>
      </c>
      <c r="J11753" t="s">
        <v>14768</v>
      </c>
      <c r="K11753" s="2" t="str">
        <f>HYPERLINK("http://collections.slsa.sa.gov.au/mpcimg/69500/B69282_417.htm")</f>
        <v>http://collections.slsa.sa.gov.au/mpcimg/69500/B69282_417.htm</v>
      </c>
    </row>
    <row r="11754" spans="1:11" x14ac:dyDescent="0.25">
      <c r="A11754" t="s">
        <v>35749</v>
      </c>
      <c r="B11754" s="1" t="str">
        <f>HYPERLINK("https://www.catalog.slsa.sa.gov.au/record=b2123615")</f>
        <v>https://www.catalog.slsa.sa.gov.au/record=b2123615</v>
      </c>
      <c r="C11754" s="1" t="str">
        <f>HYPERLINK("https://www.catalog.slsa.sa.gov.au/xrecord=b2123615")</f>
        <v>https://www.catalog.slsa.sa.gov.au/xrecord=b2123615</v>
      </c>
      <c r="D11754" t="s">
        <v>31902</v>
      </c>
      <c r="E11754" t="s">
        <v>35750</v>
      </c>
      <c r="F11754">
        <v>2007</v>
      </c>
      <c r="G11754" t="s">
        <v>33690</v>
      </c>
      <c r="H11754" t="s">
        <v>35751</v>
      </c>
      <c r="I11754" t="s">
        <v>35752</v>
      </c>
      <c r="J11754" t="s">
        <v>14768</v>
      </c>
      <c r="K11754" s="2" t="str">
        <f>HYPERLINK("http://collections.slsa.sa.gov.au/mpcimg/69500/B69282_418.htm")</f>
        <v>http://collections.slsa.sa.gov.au/mpcimg/69500/B69282_418.htm</v>
      </c>
    </row>
    <row r="11755" spans="1:11" x14ac:dyDescent="0.25">
      <c r="A11755" t="s">
        <v>35753</v>
      </c>
      <c r="B11755" s="1" t="str">
        <f>HYPERLINK("https://www.catalog.slsa.sa.gov.au/record=b2125254")</f>
        <v>https://www.catalog.slsa.sa.gov.au/record=b2125254</v>
      </c>
      <c r="C11755" s="1" t="str">
        <f>HYPERLINK("https://www.catalog.slsa.sa.gov.au/xrecord=b2125254")</f>
        <v>https://www.catalog.slsa.sa.gov.au/xrecord=b2125254</v>
      </c>
      <c r="D11755" t="s">
        <v>31902</v>
      </c>
      <c r="E11755" t="s">
        <v>35754</v>
      </c>
      <c r="F11755">
        <v>2007</v>
      </c>
      <c r="G11755" t="s">
        <v>33690</v>
      </c>
      <c r="H11755" t="s">
        <v>35755</v>
      </c>
      <c r="I11755" t="s">
        <v>35756</v>
      </c>
      <c r="J11755" t="s">
        <v>14768</v>
      </c>
      <c r="K11755" s="2" t="str">
        <f>HYPERLINK("http://collections.slsa.sa.gov.au/mpcimg/69500/B69282_419.htm")</f>
        <v>http://collections.slsa.sa.gov.au/mpcimg/69500/B69282_419.htm</v>
      </c>
    </row>
    <row r="11756" spans="1:11" x14ac:dyDescent="0.25">
      <c r="A11756" t="s">
        <v>35757</v>
      </c>
      <c r="B11756" s="1" t="str">
        <f>HYPERLINK("https://www.catalog.slsa.sa.gov.au/record=b2125255")</f>
        <v>https://www.catalog.slsa.sa.gov.au/record=b2125255</v>
      </c>
      <c r="C11756" s="1" t="str">
        <f>HYPERLINK("https://www.catalog.slsa.sa.gov.au/xrecord=b2125255")</f>
        <v>https://www.catalog.slsa.sa.gov.au/xrecord=b2125255</v>
      </c>
      <c r="D11756" t="s">
        <v>31902</v>
      </c>
      <c r="E11756" t="s">
        <v>35758</v>
      </c>
      <c r="F11756">
        <v>2007</v>
      </c>
      <c r="G11756" t="s">
        <v>33690</v>
      </c>
      <c r="H11756" t="s">
        <v>35759</v>
      </c>
      <c r="I11756" t="s">
        <v>35760</v>
      </c>
      <c r="J11756" t="s">
        <v>14768</v>
      </c>
      <c r="K11756" s="2" t="str">
        <f>HYPERLINK("http://collections.slsa.sa.gov.au/mpcimg/69500/B69282_420.htm")</f>
        <v>http://collections.slsa.sa.gov.au/mpcimg/69500/B69282_420.htm</v>
      </c>
    </row>
    <row r="11757" spans="1:11" x14ac:dyDescent="0.25">
      <c r="A11757" t="s">
        <v>35761</v>
      </c>
      <c r="B11757" s="1" t="str">
        <f>HYPERLINK("https://www.catalog.slsa.sa.gov.au/record=b2125256")</f>
        <v>https://www.catalog.slsa.sa.gov.au/record=b2125256</v>
      </c>
      <c r="C11757" s="1" t="str">
        <f>HYPERLINK("https://www.catalog.slsa.sa.gov.au/xrecord=b2125256")</f>
        <v>https://www.catalog.slsa.sa.gov.au/xrecord=b2125256</v>
      </c>
      <c r="D11757" t="s">
        <v>31902</v>
      </c>
      <c r="E11757" t="s">
        <v>35762</v>
      </c>
      <c r="F11757">
        <v>2007</v>
      </c>
      <c r="G11757" t="s">
        <v>33690</v>
      </c>
      <c r="H11757" t="s">
        <v>35763</v>
      </c>
      <c r="I11757" t="s">
        <v>35764</v>
      </c>
      <c r="J11757" t="s">
        <v>14768</v>
      </c>
      <c r="K11757" s="2" t="str">
        <f>HYPERLINK("http://collections.slsa.sa.gov.au/mpcimg/69500/B69282_421.htm")</f>
        <v>http://collections.slsa.sa.gov.au/mpcimg/69500/B69282_421.htm</v>
      </c>
    </row>
    <row r="11758" spans="1:11" x14ac:dyDescent="0.25">
      <c r="A11758" t="s">
        <v>35765</v>
      </c>
      <c r="B11758" s="1" t="str">
        <f>HYPERLINK("https://www.catalog.slsa.sa.gov.au/record=b2125257")</f>
        <v>https://www.catalog.slsa.sa.gov.au/record=b2125257</v>
      </c>
      <c r="C11758" s="1" t="str">
        <f>HYPERLINK("https://www.catalog.slsa.sa.gov.au/xrecord=b2125257")</f>
        <v>https://www.catalog.slsa.sa.gov.au/xrecord=b2125257</v>
      </c>
      <c r="D11758" t="s">
        <v>31902</v>
      </c>
      <c r="E11758" t="s">
        <v>35766</v>
      </c>
      <c r="F11758">
        <v>2007</v>
      </c>
      <c r="G11758" t="s">
        <v>33690</v>
      </c>
      <c r="H11758" t="s">
        <v>35767</v>
      </c>
      <c r="I11758" t="s">
        <v>35768</v>
      </c>
      <c r="J11758" t="s">
        <v>14768</v>
      </c>
      <c r="K11758" s="2" t="str">
        <f>HYPERLINK("http://collections.slsa.sa.gov.au/mpcimg/69500/B69282_422.htm")</f>
        <v>http://collections.slsa.sa.gov.au/mpcimg/69500/B69282_422.htm</v>
      </c>
    </row>
    <row r="11759" spans="1:11" x14ac:dyDescent="0.25">
      <c r="A11759" t="s">
        <v>35769</v>
      </c>
      <c r="B11759" s="1" t="str">
        <f>HYPERLINK("https://www.catalog.slsa.sa.gov.au/record=b2125258")</f>
        <v>https://www.catalog.slsa.sa.gov.au/record=b2125258</v>
      </c>
      <c r="C11759" s="1" t="str">
        <f>HYPERLINK("https://www.catalog.slsa.sa.gov.au/xrecord=b2125258")</f>
        <v>https://www.catalog.slsa.sa.gov.au/xrecord=b2125258</v>
      </c>
      <c r="D11759" t="s">
        <v>31902</v>
      </c>
      <c r="E11759" t="s">
        <v>35770</v>
      </c>
      <c r="F11759">
        <v>2007</v>
      </c>
      <c r="G11759" t="s">
        <v>33690</v>
      </c>
      <c r="H11759" t="s">
        <v>35771</v>
      </c>
      <c r="I11759" t="s">
        <v>35772</v>
      </c>
      <c r="J11759" t="s">
        <v>14768</v>
      </c>
      <c r="K11759" s="2" t="str">
        <f>HYPERLINK("http://collections.slsa.sa.gov.au/mpcimg/69500/B69282_424.htm")</f>
        <v>http://collections.slsa.sa.gov.au/mpcimg/69500/B69282_424.htm</v>
      </c>
    </row>
    <row r="11760" spans="1:11" x14ac:dyDescent="0.25">
      <c r="A11760" t="s">
        <v>35773</v>
      </c>
      <c r="B11760" s="1" t="str">
        <f>HYPERLINK("https://www.catalog.slsa.sa.gov.au/record=b2125259")</f>
        <v>https://www.catalog.slsa.sa.gov.au/record=b2125259</v>
      </c>
      <c r="C11760" s="1" t="str">
        <f>HYPERLINK("https://www.catalog.slsa.sa.gov.au/xrecord=b2125259")</f>
        <v>https://www.catalog.slsa.sa.gov.au/xrecord=b2125259</v>
      </c>
      <c r="D11760" t="s">
        <v>31902</v>
      </c>
      <c r="E11760" t="s">
        <v>35774</v>
      </c>
      <c r="F11760">
        <v>2007</v>
      </c>
      <c r="G11760" t="s">
        <v>33690</v>
      </c>
      <c r="H11760" t="s">
        <v>35775</v>
      </c>
      <c r="I11760" t="s">
        <v>35776</v>
      </c>
      <c r="J11760" t="s">
        <v>14768</v>
      </c>
      <c r="K11760" s="2" t="str">
        <f>HYPERLINK("http://collections.slsa.sa.gov.au/mpcimg/69500/B69282_423.htm")</f>
        <v>http://collections.slsa.sa.gov.au/mpcimg/69500/B69282_423.htm</v>
      </c>
    </row>
    <row r="11761" spans="1:11" x14ac:dyDescent="0.25">
      <c r="A11761" t="s">
        <v>35777</v>
      </c>
      <c r="B11761" s="1" t="str">
        <f>HYPERLINK("https://www.catalog.slsa.sa.gov.au/record=b2125260")</f>
        <v>https://www.catalog.slsa.sa.gov.au/record=b2125260</v>
      </c>
      <c r="C11761" s="1" t="str">
        <f>HYPERLINK("https://www.catalog.slsa.sa.gov.au/xrecord=b2125260")</f>
        <v>https://www.catalog.slsa.sa.gov.au/xrecord=b2125260</v>
      </c>
      <c r="D11761" t="s">
        <v>31902</v>
      </c>
      <c r="E11761" t="s">
        <v>35778</v>
      </c>
      <c r="F11761">
        <v>2007</v>
      </c>
      <c r="G11761" t="s">
        <v>33690</v>
      </c>
      <c r="H11761" t="s">
        <v>35779</v>
      </c>
      <c r="I11761" t="s">
        <v>35780</v>
      </c>
      <c r="J11761" t="s">
        <v>14768</v>
      </c>
      <c r="K11761" s="2" t="str">
        <f>HYPERLINK("http://collections.slsa.sa.gov.au/mpcimg/69500/B69282_425.htm")</f>
        <v>http://collections.slsa.sa.gov.au/mpcimg/69500/B69282_425.htm</v>
      </c>
    </row>
    <row r="11762" spans="1:11" x14ac:dyDescent="0.25">
      <c r="A11762" t="s">
        <v>35781</v>
      </c>
      <c r="B11762" s="1" t="str">
        <f>HYPERLINK("https://www.catalog.slsa.sa.gov.au/record=b2125261")</f>
        <v>https://www.catalog.slsa.sa.gov.au/record=b2125261</v>
      </c>
      <c r="C11762" s="1" t="str">
        <f>HYPERLINK("https://www.catalog.slsa.sa.gov.au/xrecord=b2125261")</f>
        <v>https://www.catalog.slsa.sa.gov.au/xrecord=b2125261</v>
      </c>
      <c r="D11762" t="s">
        <v>31902</v>
      </c>
      <c r="E11762" t="s">
        <v>35778</v>
      </c>
      <c r="F11762">
        <v>2007</v>
      </c>
      <c r="G11762" t="s">
        <v>33690</v>
      </c>
      <c r="H11762" t="s">
        <v>35782</v>
      </c>
      <c r="I11762" t="s">
        <v>35780</v>
      </c>
      <c r="J11762" t="s">
        <v>14768</v>
      </c>
      <c r="K11762" s="2" t="str">
        <f>HYPERLINK("http://collections.slsa.sa.gov.au/mpcimg/69500/B69282_426.htm")</f>
        <v>http://collections.slsa.sa.gov.au/mpcimg/69500/B69282_426.htm</v>
      </c>
    </row>
    <row r="11763" spans="1:11" x14ac:dyDescent="0.25">
      <c r="A11763" t="s">
        <v>35783</v>
      </c>
      <c r="B11763" s="1" t="str">
        <f>HYPERLINK("https://www.catalog.slsa.sa.gov.au/record=b2125262")</f>
        <v>https://www.catalog.slsa.sa.gov.au/record=b2125262</v>
      </c>
      <c r="C11763" s="1" t="str">
        <f>HYPERLINK("https://www.catalog.slsa.sa.gov.au/xrecord=b2125262")</f>
        <v>https://www.catalog.slsa.sa.gov.au/xrecord=b2125262</v>
      </c>
      <c r="D11763" t="s">
        <v>31902</v>
      </c>
      <c r="E11763" t="s">
        <v>35778</v>
      </c>
      <c r="F11763">
        <v>2007</v>
      </c>
      <c r="G11763" t="s">
        <v>33690</v>
      </c>
      <c r="H11763" t="s">
        <v>35784</v>
      </c>
      <c r="I11763" t="s">
        <v>35780</v>
      </c>
      <c r="J11763" t="s">
        <v>14768</v>
      </c>
      <c r="K11763" s="2" t="str">
        <f>HYPERLINK("http://collections.slsa.sa.gov.au/mpcimg/69500/B69282_428.htm")</f>
        <v>http://collections.slsa.sa.gov.au/mpcimg/69500/B69282_428.htm</v>
      </c>
    </row>
    <row r="11764" spans="1:11" x14ac:dyDescent="0.25">
      <c r="A11764" t="s">
        <v>35785</v>
      </c>
      <c r="B11764" s="1" t="str">
        <f>HYPERLINK("https://www.catalog.slsa.sa.gov.au/record=b2125263")</f>
        <v>https://www.catalog.slsa.sa.gov.au/record=b2125263</v>
      </c>
      <c r="C11764" s="1" t="str">
        <f>HYPERLINK("https://www.catalog.slsa.sa.gov.au/xrecord=b2125263")</f>
        <v>https://www.catalog.slsa.sa.gov.au/xrecord=b2125263</v>
      </c>
      <c r="D11764" t="s">
        <v>31902</v>
      </c>
      <c r="E11764" t="s">
        <v>35778</v>
      </c>
      <c r="F11764">
        <v>2007</v>
      </c>
      <c r="G11764" t="s">
        <v>33690</v>
      </c>
      <c r="H11764" t="s">
        <v>35786</v>
      </c>
      <c r="I11764" t="s">
        <v>35780</v>
      </c>
      <c r="J11764" t="s">
        <v>14768</v>
      </c>
      <c r="K11764" s="2" t="str">
        <f>HYPERLINK("http://collections.slsa.sa.gov.au/mpcimg/69500/B69282_427.htm")</f>
        <v>http://collections.slsa.sa.gov.au/mpcimg/69500/B69282_427.htm</v>
      </c>
    </row>
    <row r="11765" spans="1:11" x14ac:dyDescent="0.25">
      <c r="A11765" t="s">
        <v>35787</v>
      </c>
      <c r="B11765" s="1" t="str">
        <f>HYPERLINK("https://www.catalog.slsa.sa.gov.au/record=b2125353")</f>
        <v>https://www.catalog.slsa.sa.gov.au/record=b2125353</v>
      </c>
      <c r="C11765" s="1" t="str">
        <f>HYPERLINK("https://www.catalog.slsa.sa.gov.au/xrecord=b2125353")</f>
        <v>https://www.catalog.slsa.sa.gov.au/xrecord=b2125353</v>
      </c>
      <c r="D11765" t="s">
        <v>31902</v>
      </c>
      <c r="E11765" t="s">
        <v>35778</v>
      </c>
      <c r="F11765">
        <v>2007</v>
      </c>
      <c r="G11765" t="s">
        <v>33690</v>
      </c>
      <c r="H11765" t="s">
        <v>35788</v>
      </c>
      <c r="I11765" t="s">
        <v>35780</v>
      </c>
      <c r="J11765" t="s">
        <v>14768</v>
      </c>
      <c r="K11765" s="2" t="str">
        <f>HYPERLINK("http://collections.slsa.sa.gov.au/mpcimg/69500/B69282_429.htm")</f>
        <v>http://collections.slsa.sa.gov.au/mpcimg/69500/B69282_429.htm</v>
      </c>
    </row>
    <row r="11766" spans="1:11" x14ac:dyDescent="0.25">
      <c r="A11766" t="s">
        <v>35789</v>
      </c>
      <c r="B11766" s="1" t="str">
        <f>HYPERLINK("https://www.catalog.slsa.sa.gov.au/record=b2125355")</f>
        <v>https://www.catalog.slsa.sa.gov.au/record=b2125355</v>
      </c>
      <c r="C11766" s="1" t="str">
        <f>HYPERLINK("https://www.catalog.slsa.sa.gov.au/xrecord=b2125355")</f>
        <v>https://www.catalog.slsa.sa.gov.au/xrecord=b2125355</v>
      </c>
      <c r="D11766" t="s">
        <v>31902</v>
      </c>
      <c r="E11766" t="s">
        <v>35778</v>
      </c>
      <c r="F11766">
        <v>2007</v>
      </c>
      <c r="G11766" t="s">
        <v>33690</v>
      </c>
      <c r="H11766" t="s">
        <v>35790</v>
      </c>
      <c r="I11766" t="s">
        <v>35780</v>
      </c>
      <c r="J11766" t="s">
        <v>14768</v>
      </c>
      <c r="K11766" s="2" t="str">
        <f>HYPERLINK("http://collections.slsa.sa.gov.au/mpcimg/69500/B69282_430.htm")</f>
        <v>http://collections.slsa.sa.gov.au/mpcimg/69500/B69282_430.htm</v>
      </c>
    </row>
    <row r="11767" spans="1:11" x14ac:dyDescent="0.25">
      <c r="A11767" t="s">
        <v>35791</v>
      </c>
      <c r="B11767" s="1" t="str">
        <f>HYPERLINK("https://www.catalog.slsa.sa.gov.au/record=b2125356")</f>
        <v>https://www.catalog.slsa.sa.gov.au/record=b2125356</v>
      </c>
      <c r="C11767" s="1" t="str">
        <f>HYPERLINK("https://www.catalog.slsa.sa.gov.au/xrecord=b2125356")</f>
        <v>https://www.catalog.slsa.sa.gov.au/xrecord=b2125356</v>
      </c>
      <c r="D11767" t="s">
        <v>31902</v>
      </c>
      <c r="E11767" t="s">
        <v>35778</v>
      </c>
      <c r="F11767">
        <v>2007</v>
      </c>
      <c r="G11767" t="s">
        <v>33690</v>
      </c>
      <c r="H11767" t="s">
        <v>35792</v>
      </c>
      <c r="I11767" t="s">
        <v>35780</v>
      </c>
      <c r="J11767" t="s">
        <v>14768</v>
      </c>
      <c r="K11767" s="2" t="str">
        <f>HYPERLINK("http://collections.slsa.sa.gov.au/mpcimg/69500/B69282_431.htm")</f>
        <v>http://collections.slsa.sa.gov.au/mpcimg/69500/B69282_431.htm</v>
      </c>
    </row>
    <row r="11768" spans="1:11" x14ac:dyDescent="0.25">
      <c r="A11768" t="s">
        <v>35793</v>
      </c>
      <c r="B11768" s="1" t="str">
        <f>HYPERLINK("https://www.catalog.slsa.sa.gov.au/record=b2125359")</f>
        <v>https://www.catalog.slsa.sa.gov.au/record=b2125359</v>
      </c>
      <c r="C11768" s="1" t="str">
        <f>HYPERLINK("https://www.catalog.slsa.sa.gov.au/xrecord=b2125359")</f>
        <v>https://www.catalog.slsa.sa.gov.au/xrecord=b2125359</v>
      </c>
      <c r="D11768" t="s">
        <v>31902</v>
      </c>
      <c r="E11768" t="s">
        <v>35794</v>
      </c>
      <c r="F11768">
        <v>2007</v>
      </c>
      <c r="G11768" t="s">
        <v>33690</v>
      </c>
      <c r="H11768" t="s">
        <v>35795</v>
      </c>
      <c r="I11768" t="s">
        <v>35796</v>
      </c>
      <c r="J11768" t="s">
        <v>14768</v>
      </c>
      <c r="K11768" s="2" t="str">
        <f>HYPERLINK("http://collections.slsa.sa.gov.au/mpcimg/69500/B69282_432.htm")</f>
        <v>http://collections.slsa.sa.gov.au/mpcimg/69500/B69282_432.htm</v>
      </c>
    </row>
    <row r="11769" spans="1:11" x14ac:dyDescent="0.25">
      <c r="A11769" t="s">
        <v>35797</v>
      </c>
      <c r="B11769" s="1" t="str">
        <f>HYPERLINK("https://www.catalog.slsa.sa.gov.au/record=b2125362")</f>
        <v>https://www.catalog.slsa.sa.gov.au/record=b2125362</v>
      </c>
      <c r="C11769" s="1" t="str">
        <f>HYPERLINK("https://www.catalog.slsa.sa.gov.au/xrecord=b2125362")</f>
        <v>https://www.catalog.slsa.sa.gov.au/xrecord=b2125362</v>
      </c>
      <c r="D11769" t="s">
        <v>31902</v>
      </c>
      <c r="E11769" t="s">
        <v>35798</v>
      </c>
      <c r="F11769">
        <v>2007</v>
      </c>
      <c r="G11769" t="s">
        <v>33690</v>
      </c>
      <c r="H11769" t="s">
        <v>35799</v>
      </c>
      <c r="I11769" t="s">
        <v>35800</v>
      </c>
      <c r="J11769" t="s">
        <v>14768</v>
      </c>
      <c r="K11769" s="2" t="str">
        <f>HYPERLINK("http://collections.slsa.sa.gov.au/mpcimg/69500/B69282_433.htm")</f>
        <v>http://collections.slsa.sa.gov.au/mpcimg/69500/B69282_433.htm</v>
      </c>
    </row>
    <row r="11770" spans="1:11" x14ac:dyDescent="0.25">
      <c r="A11770" t="s">
        <v>35801</v>
      </c>
      <c r="B11770" s="1" t="str">
        <f>HYPERLINK("https://www.catalog.slsa.sa.gov.au/record=b2125422")</f>
        <v>https://www.catalog.slsa.sa.gov.au/record=b2125422</v>
      </c>
      <c r="C11770" s="1" t="str">
        <f>HYPERLINK("https://www.catalog.slsa.sa.gov.au/xrecord=b2125422")</f>
        <v>https://www.catalog.slsa.sa.gov.au/xrecord=b2125422</v>
      </c>
      <c r="D11770" t="s">
        <v>31902</v>
      </c>
      <c r="E11770" t="s">
        <v>35802</v>
      </c>
      <c r="F11770">
        <v>2007</v>
      </c>
      <c r="G11770" t="s">
        <v>33690</v>
      </c>
      <c r="H11770" t="s">
        <v>35803</v>
      </c>
      <c r="I11770" t="s">
        <v>35804</v>
      </c>
      <c r="J11770" t="s">
        <v>14768</v>
      </c>
      <c r="K11770" s="2" t="str">
        <f>HYPERLINK("http://collections.slsa.sa.gov.au/mpcimg/69500/B69282_434.htm")</f>
        <v>http://collections.slsa.sa.gov.au/mpcimg/69500/B69282_434.htm</v>
      </c>
    </row>
    <row r="11771" spans="1:11" x14ac:dyDescent="0.25">
      <c r="A11771" t="s">
        <v>35805</v>
      </c>
      <c r="B11771" s="1" t="str">
        <f>HYPERLINK("https://www.catalog.slsa.sa.gov.au/record=b2125423")</f>
        <v>https://www.catalog.slsa.sa.gov.au/record=b2125423</v>
      </c>
      <c r="C11771" s="1" t="str">
        <f>HYPERLINK("https://www.catalog.slsa.sa.gov.au/xrecord=b2125423")</f>
        <v>https://www.catalog.slsa.sa.gov.au/xrecord=b2125423</v>
      </c>
      <c r="D11771" t="s">
        <v>31902</v>
      </c>
      <c r="E11771" t="s">
        <v>35806</v>
      </c>
      <c r="F11771">
        <v>2007</v>
      </c>
      <c r="G11771" t="s">
        <v>33690</v>
      </c>
      <c r="H11771" t="s">
        <v>35807</v>
      </c>
      <c r="I11771" t="s">
        <v>35808</v>
      </c>
      <c r="J11771" t="s">
        <v>14768</v>
      </c>
      <c r="K11771" s="2" t="str">
        <f>HYPERLINK("http://collections.slsa.sa.gov.au/mpcimg/69500/B69282_435.htm")</f>
        <v>http://collections.slsa.sa.gov.au/mpcimg/69500/B69282_435.htm</v>
      </c>
    </row>
    <row r="11772" spans="1:11" x14ac:dyDescent="0.25">
      <c r="A11772" t="s">
        <v>35809</v>
      </c>
      <c r="B11772" s="1" t="str">
        <f>HYPERLINK("https://www.catalog.slsa.sa.gov.au/record=b2125424")</f>
        <v>https://www.catalog.slsa.sa.gov.au/record=b2125424</v>
      </c>
      <c r="C11772" s="1" t="str">
        <f>HYPERLINK("https://www.catalog.slsa.sa.gov.au/xrecord=b2125424")</f>
        <v>https://www.catalog.slsa.sa.gov.au/xrecord=b2125424</v>
      </c>
      <c r="D11772" t="s">
        <v>31902</v>
      </c>
      <c r="E11772" t="s">
        <v>35810</v>
      </c>
      <c r="F11772">
        <v>2007</v>
      </c>
      <c r="G11772" t="s">
        <v>33690</v>
      </c>
      <c r="H11772" t="s">
        <v>35811</v>
      </c>
      <c r="J11772" t="s">
        <v>14768</v>
      </c>
      <c r="K11772" s="2" t="str">
        <f>HYPERLINK("http://collections.slsa.sa.gov.au/mpcimg/69500/B69282_436.htm")</f>
        <v>http://collections.slsa.sa.gov.au/mpcimg/69500/B69282_436.htm</v>
      </c>
    </row>
    <row r="11773" spans="1:11" x14ac:dyDescent="0.25">
      <c r="A11773" t="s">
        <v>35812</v>
      </c>
      <c r="B11773" s="1" t="str">
        <f>HYPERLINK("https://www.catalog.slsa.sa.gov.au/record=b2125425")</f>
        <v>https://www.catalog.slsa.sa.gov.au/record=b2125425</v>
      </c>
      <c r="C11773" s="1" t="str">
        <f>HYPERLINK("https://www.catalog.slsa.sa.gov.au/xrecord=b2125425")</f>
        <v>https://www.catalog.slsa.sa.gov.au/xrecord=b2125425</v>
      </c>
      <c r="D11773" t="s">
        <v>31902</v>
      </c>
      <c r="E11773" t="s">
        <v>35813</v>
      </c>
      <c r="F11773">
        <v>2007</v>
      </c>
      <c r="G11773" t="s">
        <v>33690</v>
      </c>
      <c r="H11773" t="s">
        <v>35814</v>
      </c>
      <c r="I11773" t="s">
        <v>35815</v>
      </c>
      <c r="J11773" t="s">
        <v>14768</v>
      </c>
      <c r="K11773" s="2" t="str">
        <f>HYPERLINK("http://collections.slsa.sa.gov.au/mpcimg/69500/B69282_437.htm")</f>
        <v>http://collections.slsa.sa.gov.au/mpcimg/69500/B69282_437.htm</v>
      </c>
    </row>
    <row r="11774" spans="1:11" x14ac:dyDescent="0.25">
      <c r="A11774" t="s">
        <v>35816</v>
      </c>
      <c r="B11774" s="1" t="str">
        <f>HYPERLINK("https://www.catalog.slsa.sa.gov.au/record=b2125426")</f>
        <v>https://www.catalog.slsa.sa.gov.au/record=b2125426</v>
      </c>
      <c r="C11774" s="1" t="str">
        <f>HYPERLINK("https://www.catalog.slsa.sa.gov.au/xrecord=b2125426")</f>
        <v>https://www.catalog.slsa.sa.gov.au/xrecord=b2125426</v>
      </c>
      <c r="D11774" t="s">
        <v>31902</v>
      </c>
      <c r="E11774" t="s">
        <v>35813</v>
      </c>
      <c r="F11774">
        <v>2007</v>
      </c>
      <c r="G11774" t="s">
        <v>33690</v>
      </c>
      <c r="H11774" t="s">
        <v>35814</v>
      </c>
      <c r="I11774" t="s">
        <v>35815</v>
      </c>
      <c r="J11774" t="s">
        <v>14768</v>
      </c>
      <c r="K11774" s="2" t="str">
        <f>HYPERLINK("http://collections.slsa.sa.gov.au/mpcimg/69500/B69282_438.htm")</f>
        <v>http://collections.slsa.sa.gov.au/mpcimg/69500/B69282_438.htm</v>
      </c>
    </row>
    <row r="11775" spans="1:11" x14ac:dyDescent="0.25">
      <c r="A11775" t="s">
        <v>35817</v>
      </c>
      <c r="B11775" s="1" t="str">
        <f>HYPERLINK("https://www.catalog.slsa.sa.gov.au/record=b2125858")</f>
        <v>https://www.catalog.slsa.sa.gov.au/record=b2125858</v>
      </c>
      <c r="C11775" s="1" t="str">
        <f>HYPERLINK("https://www.catalog.slsa.sa.gov.au/xrecord=b2125858")</f>
        <v>https://www.catalog.slsa.sa.gov.au/xrecord=b2125858</v>
      </c>
      <c r="D11775" t="s">
        <v>31902</v>
      </c>
      <c r="E11775" t="s">
        <v>35818</v>
      </c>
      <c r="F11775">
        <v>2007</v>
      </c>
      <c r="G11775" t="s">
        <v>33690</v>
      </c>
      <c r="H11775" t="s">
        <v>35819</v>
      </c>
      <c r="I11775" t="s">
        <v>35820</v>
      </c>
      <c r="J11775" t="s">
        <v>14768</v>
      </c>
      <c r="K11775" s="2" t="str">
        <f>HYPERLINK("http://collections.slsa.sa.gov.au/mpcimg/69500/B69282_439.htm")</f>
        <v>http://collections.slsa.sa.gov.au/mpcimg/69500/B69282_439.htm</v>
      </c>
    </row>
    <row r="11776" spans="1:11" x14ac:dyDescent="0.25">
      <c r="A11776" t="s">
        <v>35821</v>
      </c>
      <c r="B11776" s="1" t="str">
        <f>HYPERLINK("https://www.catalog.slsa.sa.gov.au/record=b2125859")</f>
        <v>https://www.catalog.slsa.sa.gov.au/record=b2125859</v>
      </c>
      <c r="C11776" s="1" t="str">
        <f>HYPERLINK("https://www.catalog.slsa.sa.gov.au/xrecord=b2125859")</f>
        <v>https://www.catalog.slsa.sa.gov.au/xrecord=b2125859</v>
      </c>
      <c r="D11776" t="s">
        <v>31902</v>
      </c>
      <c r="E11776" t="s">
        <v>35818</v>
      </c>
      <c r="F11776">
        <v>2007</v>
      </c>
      <c r="G11776" t="s">
        <v>33690</v>
      </c>
      <c r="H11776" t="s">
        <v>35819</v>
      </c>
      <c r="I11776" t="s">
        <v>35820</v>
      </c>
      <c r="J11776" t="s">
        <v>14768</v>
      </c>
      <c r="K11776" s="2" t="str">
        <f>HYPERLINK("http://collections.slsa.sa.gov.au/mpcimg/69500/B69282_440.htm")</f>
        <v>http://collections.slsa.sa.gov.au/mpcimg/69500/B69282_440.htm</v>
      </c>
    </row>
    <row r="11777" spans="1:11" x14ac:dyDescent="0.25">
      <c r="A11777" t="s">
        <v>35822</v>
      </c>
      <c r="B11777" s="1" t="str">
        <f>HYPERLINK("https://www.catalog.slsa.sa.gov.au/record=b2125860")</f>
        <v>https://www.catalog.slsa.sa.gov.au/record=b2125860</v>
      </c>
      <c r="C11777" s="1" t="str">
        <f>HYPERLINK("https://www.catalog.slsa.sa.gov.au/xrecord=b2125860")</f>
        <v>https://www.catalog.slsa.sa.gov.au/xrecord=b2125860</v>
      </c>
      <c r="D11777" t="s">
        <v>31902</v>
      </c>
      <c r="E11777" t="s">
        <v>35823</v>
      </c>
      <c r="F11777">
        <v>2007</v>
      </c>
      <c r="G11777" t="s">
        <v>33690</v>
      </c>
      <c r="H11777" t="s">
        <v>35824</v>
      </c>
      <c r="I11777" t="s">
        <v>35825</v>
      </c>
      <c r="J11777" t="s">
        <v>14768</v>
      </c>
      <c r="K11777" s="2" t="str">
        <f>HYPERLINK("http://collections.slsa.sa.gov.au/mpcimg/69500/B69282_441.htm")</f>
        <v>http://collections.slsa.sa.gov.au/mpcimg/69500/B69282_441.htm</v>
      </c>
    </row>
    <row r="11778" spans="1:11" x14ac:dyDescent="0.25">
      <c r="A11778" t="s">
        <v>35826</v>
      </c>
      <c r="B11778" s="1" t="str">
        <f>HYPERLINK("https://www.catalog.slsa.sa.gov.au/record=b2125861")</f>
        <v>https://www.catalog.slsa.sa.gov.au/record=b2125861</v>
      </c>
      <c r="C11778" s="1" t="str">
        <f>HYPERLINK("https://www.catalog.slsa.sa.gov.au/xrecord=b2125861")</f>
        <v>https://www.catalog.slsa.sa.gov.au/xrecord=b2125861</v>
      </c>
      <c r="D11778" t="s">
        <v>31902</v>
      </c>
      <c r="E11778" t="s">
        <v>35823</v>
      </c>
      <c r="F11778">
        <v>2007</v>
      </c>
      <c r="G11778" t="s">
        <v>33690</v>
      </c>
      <c r="H11778" t="s">
        <v>35827</v>
      </c>
      <c r="I11778" t="s">
        <v>35828</v>
      </c>
      <c r="J11778" t="s">
        <v>14768</v>
      </c>
      <c r="K11778" s="2" t="str">
        <f>HYPERLINK("http://collections.slsa.sa.gov.au/mpcimg/69500/B69282_442.htm")</f>
        <v>http://collections.slsa.sa.gov.au/mpcimg/69500/B69282_442.htm</v>
      </c>
    </row>
    <row r="11779" spans="1:11" x14ac:dyDescent="0.25">
      <c r="A11779" t="s">
        <v>35829</v>
      </c>
      <c r="B11779" s="1" t="str">
        <f>HYPERLINK("https://www.catalog.slsa.sa.gov.au/record=b2129232")</f>
        <v>https://www.catalog.slsa.sa.gov.au/record=b2129232</v>
      </c>
      <c r="C11779" s="1" t="str">
        <f>HYPERLINK("https://www.catalog.slsa.sa.gov.au/xrecord=b2129232")</f>
        <v>https://www.catalog.slsa.sa.gov.au/xrecord=b2129232</v>
      </c>
      <c r="D11779" t="s">
        <v>31902</v>
      </c>
      <c r="E11779" t="s">
        <v>35830</v>
      </c>
      <c r="F11779">
        <v>2007</v>
      </c>
      <c r="G11779" t="s">
        <v>33690</v>
      </c>
      <c r="H11779" t="s">
        <v>35831</v>
      </c>
      <c r="I11779" t="s">
        <v>35832</v>
      </c>
      <c r="J11779" t="s">
        <v>14768</v>
      </c>
      <c r="K11779" s="2" t="str">
        <f>HYPERLINK("http://collections.slsa.sa.gov.au/mpcimg/69500/B69282_459.htm")</f>
        <v>http://collections.slsa.sa.gov.au/mpcimg/69500/B69282_459.htm</v>
      </c>
    </row>
    <row r="11780" spans="1:11" x14ac:dyDescent="0.25">
      <c r="A11780" t="s">
        <v>35833</v>
      </c>
      <c r="B11780" s="1" t="str">
        <f>HYPERLINK("https://www.catalog.slsa.sa.gov.au/record=b2129233")</f>
        <v>https://www.catalog.slsa.sa.gov.au/record=b2129233</v>
      </c>
      <c r="C11780" s="1" t="str">
        <f>HYPERLINK("https://www.catalog.slsa.sa.gov.au/xrecord=b2129233")</f>
        <v>https://www.catalog.slsa.sa.gov.au/xrecord=b2129233</v>
      </c>
      <c r="D11780" t="s">
        <v>31902</v>
      </c>
      <c r="E11780" t="s">
        <v>35834</v>
      </c>
      <c r="F11780">
        <v>2007</v>
      </c>
      <c r="G11780" t="s">
        <v>33690</v>
      </c>
      <c r="H11780" t="s">
        <v>35835</v>
      </c>
      <c r="J11780" t="s">
        <v>14768</v>
      </c>
      <c r="K11780" s="2" t="str">
        <f>HYPERLINK("http://collections.slsa.sa.gov.au/mpcimg/69500/B69282_460.htm")</f>
        <v>http://collections.slsa.sa.gov.au/mpcimg/69500/B69282_460.htm</v>
      </c>
    </row>
    <row r="11781" spans="1:11" x14ac:dyDescent="0.25">
      <c r="A11781" t="s">
        <v>35836</v>
      </c>
      <c r="B11781" s="1" t="str">
        <f>HYPERLINK("https://www.catalog.slsa.sa.gov.au/record=b2129234")</f>
        <v>https://www.catalog.slsa.sa.gov.au/record=b2129234</v>
      </c>
      <c r="C11781" s="1" t="str">
        <f>HYPERLINK("https://www.catalog.slsa.sa.gov.au/xrecord=b2129234")</f>
        <v>https://www.catalog.slsa.sa.gov.au/xrecord=b2129234</v>
      </c>
      <c r="D11781" t="s">
        <v>31902</v>
      </c>
      <c r="E11781" t="s">
        <v>35837</v>
      </c>
      <c r="F11781">
        <v>2007</v>
      </c>
      <c r="G11781" t="s">
        <v>33690</v>
      </c>
      <c r="H11781" t="s">
        <v>35838</v>
      </c>
      <c r="J11781" t="s">
        <v>14768</v>
      </c>
      <c r="K11781" s="2" t="str">
        <f>HYPERLINK("http://collections.slsa.sa.gov.au/mpcimg/69500/B69282_461.htm")</f>
        <v>http://collections.slsa.sa.gov.au/mpcimg/69500/B69282_461.htm</v>
      </c>
    </row>
    <row r="11782" spans="1:11" x14ac:dyDescent="0.25">
      <c r="A11782" t="s">
        <v>35839</v>
      </c>
      <c r="B11782" s="1" t="str">
        <f>HYPERLINK("https://www.catalog.slsa.sa.gov.au/record=b2129235")</f>
        <v>https://www.catalog.slsa.sa.gov.au/record=b2129235</v>
      </c>
      <c r="C11782" s="1" t="str">
        <f>HYPERLINK("https://www.catalog.slsa.sa.gov.au/xrecord=b2129235")</f>
        <v>https://www.catalog.slsa.sa.gov.au/xrecord=b2129235</v>
      </c>
      <c r="D11782" t="s">
        <v>31902</v>
      </c>
      <c r="E11782" t="s">
        <v>35840</v>
      </c>
      <c r="F11782">
        <v>2007</v>
      </c>
      <c r="G11782" t="s">
        <v>33690</v>
      </c>
      <c r="H11782" t="s">
        <v>35841</v>
      </c>
      <c r="J11782" t="s">
        <v>14768</v>
      </c>
      <c r="K11782" s="2" t="str">
        <f>HYPERLINK("http://collections.slsa.sa.gov.au/mpcimg/69500/B69282_462.htm")</f>
        <v>http://collections.slsa.sa.gov.au/mpcimg/69500/B69282_462.htm</v>
      </c>
    </row>
    <row r="11783" spans="1:11" x14ac:dyDescent="0.25">
      <c r="A11783" t="s">
        <v>35842</v>
      </c>
      <c r="B11783" s="1" t="str">
        <f>HYPERLINK("https://www.catalog.slsa.sa.gov.au/record=b2126024")</f>
        <v>https://www.catalog.slsa.sa.gov.au/record=b2126024</v>
      </c>
      <c r="C11783" s="1" t="str">
        <f>HYPERLINK("https://www.catalog.slsa.sa.gov.au/xrecord=b2126024")</f>
        <v>https://www.catalog.slsa.sa.gov.au/xrecord=b2126024</v>
      </c>
      <c r="D11783" t="s">
        <v>31902</v>
      </c>
      <c r="E11783" t="s">
        <v>35843</v>
      </c>
      <c r="F11783">
        <v>2008</v>
      </c>
      <c r="G11783" t="s">
        <v>33690</v>
      </c>
      <c r="H11783" t="s">
        <v>35844</v>
      </c>
      <c r="I11783" t="s">
        <v>35845</v>
      </c>
      <c r="J11783" t="s">
        <v>14768</v>
      </c>
      <c r="K11783" s="2" t="str">
        <f>HYPERLINK("http://collections.slsa.sa.gov.au/mpcimg/69500/B69282_443.htm")</f>
        <v>http://collections.slsa.sa.gov.au/mpcimg/69500/B69282_443.htm</v>
      </c>
    </row>
    <row r="11784" spans="1:11" x14ac:dyDescent="0.25">
      <c r="A11784" t="s">
        <v>35846</v>
      </c>
      <c r="B11784" s="1" t="str">
        <f>HYPERLINK("https://www.catalog.slsa.sa.gov.au/record=b2126025")</f>
        <v>https://www.catalog.slsa.sa.gov.au/record=b2126025</v>
      </c>
      <c r="C11784" s="1" t="str">
        <f>HYPERLINK("https://www.catalog.slsa.sa.gov.au/xrecord=b2126025")</f>
        <v>https://www.catalog.slsa.sa.gov.au/xrecord=b2126025</v>
      </c>
      <c r="D11784" t="s">
        <v>31902</v>
      </c>
      <c r="E11784" t="s">
        <v>35847</v>
      </c>
      <c r="F11784">
        <v>2008</v>
      </c>
      <c r="G11784" t="s">
        <v>33690</v>
      </c>
      <c r="H11784" t="s">
        <v>35848</v>
      </c>
      <c r="I11784" t="s">
        <v>35849</v>
      </c>
      <c r="J11784" t="s">
        <v>14768</v>
      </c>
      <c r="K11784" s="2" t="str">
        <f>HYPERLINK("http://collections.slsa.sa.gov.au/mpcimg/69500/B69282_444.htm")</f>
        <v>http://collections.slsa.sa.gov.au/mpcimg/69500/B69282_444.htm</v>
      </c>
    </row>
    <row r="11785" spans="1:11" x14ac:dyDescent="0.25">
      <c r="A11785" t="s">
        <v>35850</v>
      </c>
      <c r="B11785" s="1" t="str">
        <f>HYPERLINK("https://www.catalog.slsa.sa.gov.au/record=b2126026")</f>
        <v>https://www.catalog.slsa.sa.gov.au/record=b2126026</v>
      </c>
      <c r="C11785" s="1" t="str">
        <f>HYPERLINK("https://www.catalog.slsa.sa.gov.au/xrecord=b2126026")</f>
        <v>https://www.catalog.slsa.sa.gov.au/xrecord=b2126026</v>
      </c>
      <c r="D11785" t="s">
        <v>31902</v>
      </c>
      <c r="E11785" t="s">
        <v>35851</v>
      </c>
      <c r="F11785">
        <v>2008</v>
      </c>
      <c r="G11785" t="s">
        <v>33690</v>
      </c>
      <c r="H11785" t="s">
        <v>35852</v>
      </c>
      <c r="I11785" t="s">
        <v>35853</v>
      </c>
      <c r="J11785" t="s">
        <v>14768</v>
      </c>
      <c r="K11785" s="2" t="str">
        <f>HYPERLINK("http://collections.slsa.sa.gov.au/mpcimg/69500/B69282_445.htm")</f>
        <v>http://collections.slsa.sa.gov.au/mpcimg/69500/B69282_445.htm</v>
      </c>
    </row>
    <row r="11786" spans="1:11" x14ac:dyDescent="0.25">
      <c r="A11786" t="s">
        <v>35854</v>
      </c>
      <c r="B11786" s="1" t="str">
        <f>HYPERLINK("https://www.catalog.slsa.sa.gov.au/record=b2126027")</f>
        <v>https://www.catalog.slsa.sa.gov.au/record=b2126027</v>
      </c>
      <c r="C11786" s="1" t="str">
        <f>HYPERLINK("https://www.catalog.slsa.sa.gov.au/xrecord=b2126027")</f>
        <v>https://www.catalog.slsa.sa.gov.au/xrecord=b2126027</v>
      </c>
      <c r="D11786" t="s">
        <v>31902</v>
      </c>
      <c r="E11786" t="s">
        <v>35855</v>
      </c>
      <c r="F11786">
        <v>2008</v>
      </c>
      <c r="G11786" t="s">
        <v>33690</v>
      </c>
      <c r="H11786" t="s">
        <v>35856</v>
      </c>
      <c r="I11786" t="s">
        <v>2680</v>
      </c>
      <c r="J11786" t="s">
        <v>14768</v>
      </c>
      <c r="K11786" s="2" t="str">
        <f>HYPERLINK("http://collections.slsa.sa.gov.au/mpcimg/69500/B69282_446.htm")</f>
        <v>http://collections.slsa.sa.gov.au/mpcimg/69500/B69282_446.htm</v>
      </c>
    </row>
    <row r="11787" spans="1:11" x14ac:dyDescent="0.25">
      <c r="A11787" t="s">
        <v>35857</v>
      </c>
      <c r="B11787" s="1" t="str">
        <f>HYPERLINK("https://www.catalog.slsa.sa.gov.au/record=b2127443")</f>
        <v>https://www.catalog.slsa.sa.gov.au/record=b2127443</v>
      </c>
      <c r="C11787" s="1" t="str">
        <f>HYPERLINK("https://www.catalog.slsa.sa.gov.au/xrecord=b2127443")</f>
        <v>https://www.catalog.slsa.sa.gov.au/xrecord=b2127443</v>
      </c>
      <c r="D11787" t="s">
        <v>31902</v>
      </c>
      <c r="E11787" t="s">
        <v>35858</v>
      </c>
      <c r="F11787">
        <v>2008</v>
      </c>
      <c r="G11787" t="s">
        <v>33690</v>
      </c>
      <c r="H11787" t="s">
        <v>35859</v>
      </c>
      <c r="I11787" t="s">
        <v>35860</v>
      </c>
      <c r="J11787" t="s">
        <v>14768</v>
      </c>
      <c r="K11787" s="2" t="str">
        <f>HYPERLINK("http://collections.slsa.sa.gov.au/mpcimg/69500/B69282_447.htm")</f>
        <v>http://collections.slsa.sa.gov.au/mpcimg/69500/B69282_447.htm</v>
      </c>
    </row>
    <row r="11788" spans="1:11" x14ac:dyDescent="0.25">
      <c r="A11788" t="s">
        <v>35861</v>
      </c>
      <c r="B11788" s="1" t="str">
        <f>HYPERLINK("https://www.catalog.slsa.sa.gov.au/record=b2127444")</f>
        <v>https://www.catalog.slsa.sa.gov.au/record=b2127444</v>
      </c>
      <c r="C11788" s="1" t="str">
        <f>HYPERLINK("https://www.catalog.slsa.sa.gov.au/xrecord=b2127444")</f>
        <v>https://www.catalog.slsa.sa.gov.au/xrecord=b2127444</v>
      </c>
      <c r="D11788" t="s">
        <v>31902</v>
      </c>
      <c r="E11788" t="s">
        <v>35862</v>
      </c>
      <c r="F11788">
        <v>2008</v>
      </c>
      <c r="G11788" t="s">
        <v>33690</v>
      </c>
      <c r="H11788" t="s">
        <v>35863</v>
      </c>
      <c r="I11788" t="s">
        <v>35864</v>
      </c>
      <c r="J11788" t="s">
        <v>14768</v>
      </c>
      <c r="K11788" s="2" t="str">
        <f>HYPERLINK("http://collections.slsa.sa.gov.au/mpcimg/69500/B69282_448.htm")</f>
        <v>http://collections.slsa.sa.gov.au/mpcimg/69500/B69282_448.htm</v>
      </c>
    </row>
    <row r="11789" spans="1:11" x14ac:dyDescent="0.25">
      <c r="A11789" t="s">
        <v>35865</v>
      </c>
      <c r="B11789" s="1" t="str">
        <f>HYPERLINK("https://www.catalog.slsa.sa.gov.au/record=b2127445")</f>
        <v>https://www.catalog.slsa.sa.gov.au/record=b2127445</v>
      </c>
      <c r="C11789" s="1" t="str">
        <f>HYPERLINK("https://www.catalog.slsa.sa.gov.au/xrecord=b2127445")</f>
        <v>https://www.catalog.slsa.sa.gov.au/xrecord=b2127445</v>
      </c>
      <c r="D11789" t="s">
        <v>31902</v>
      </c>
      <c r="E11789" t="s">
        <v>35866</v>
      </c>
      <c r="F11789">
        <v>2008</v>
      </c>
      <c r="G11789" t="s">
        <v>33690</v>
      </c>
      <c r="H11789" t="s">
        <v>35867</v>
      </c>
      <c r="I11789" t="s">
        <v>35868</v>
      </c>
      <c r="J11789" t="s">
        <v>14768</v>
      </c>
      <c r="K11789" s="2" t="str">
        <f>HYPERLINK("http://collections.slsa.sa.gov.au/mpcimg/69500/B69282_449.htm")</f>
        <v>http://collections.slsa.sa.gov.au/mpcimg/69500/B69282_449.htm</v>
      </c>
    </row>
    <row r="11790" spans="1:11" x14ac:dyDescent="0.25">
      <c r="A11790" t="s">
        <v>35869</v>
      </c>
      <c r="B11790" s="1" t="str">
        <f>HYPERLINK("https://www.catalog.slsa.sa.gov.au/record=b2127446")</f>
        <v>https://www.catalog.slsa.sa.gov.au/record=b2127446</v>
      </c>
      <c r="C11790" s="1" t="str">
        <f>HYPERLINK("https://www.catalog.slsa.sa.gov.au/xrecord=b2127446")</f>
        <v>https://www.catalog.slsa.sa.gov.au/xrecord=b2127446</v>
      </c>
      <c r="D11790" t="s">
        <v>31902</v>
      </c>
      <c r="E11790" t="s">
        <v>35870</v>
      </c>
      <c r="F11790">
        <v>2008</v>
      </c>
      <c r="G11790" t="s">
        <v>33690</v>
      </c>
      <c r="H11790" t="s">
        <v>35871</v>
      </c>
      <c r="I11790" t="s">
        <v>35872</v>
      </c>
      <c r="J11790" t="s">
        <v>14768</v>
      </c>
      <c r="K11790" s="2" t="str">
        <f>HYPERLINK("http://collections.slsa.sa.gov.au/mpcimg/69500/B69282_450.htm")</f>
        <v>http://collections.slsa.sa.gov.au/mpcimg/69500/B69282_450.htm</v>
      </c>
    </row>
    <row r="11791" spans="1:11" x14ac:dyDescent="0.25">
      <c r="A11791" t="s">
        <v>35873</v>
      </c>
      <c r="B11791" s="1" t="str">
        <f>HYPERLINK("https://www.catalog.slsa.sa.gov.au/record=b2127447")</f>
        <v>https://www.catalog.slsa.sa.gov.au/record=b2127447</v>
      </c>
      <c r="C11791" s="1" t="str">
        <f>HYPERLINK("https://www.catalog.slsa.sa.gov.au/xrecord=b2127447")</f>
        <v>https://www.catalog.slsa.sa.gov.au/xrecord=b2127447</v>
      </c>
      <c r="D11791" t="s">
        <v>31902</v>
      </c>
      <c r="E11791" t="s">
        <v>35874</v>
      </c>
      <c r="F11791">
        <v>2008</v>
      </c>
      <c r="G11791" t="s">
        <v>33690</v>
      </c>
      <c r="H11791" t="s">
        <v>35875</v>
      </c>
      <c r="I11791" t="s">
        <v>35876</v>
      </c>
      <c r="J11791" t="s">
        <v>14768</v>
      </c>
      <c r="K11791" s="2" t="str">
        <f>HYPERLINK("http://collections.slsa.sa.gov.au/mpcimg/69500/B69282_451.htm")</f>
        <v>http://collections.slsa.sa.gov.au/mpcimg/69500/B69282_451.htm</v>
      </c>
    </row>
    <row r="11792" spans="1:11" x14ac:dyDescent="0.25">
      <c r="A11792" t="s">
        <v>35877</v>
      </c>
      <c r="B11792" s="1" t="str">
        <f>HYPERLINK("https://www.catalog.slsa.sa.gov.au/record=b2127448")</f>
        <v>https://www.catalog.slsa.sa.gov.au/record=b2127448</v>
      </c>
      <c r="C11792" s="1" t="str">
        <f>HYPERLINK("https://www.catalog.slsa.sa.gov.au/xrecord=b2127448")</f>
        <v>https://www.catalog.slsa.sa.gov.au/xrecord=b2127448</v>
      </c>
      <c r="D11792" t="s">
        <v>31902</v>
      </c>
      <c r="E11792" t="s">
        <v>35878</v>
      </c>
      <c r="F11792">
        <v>2008</v>
      </c>
      <c r="G11792" t="s">
        <v>33690</v>
      </c>
      <c r="H11792" t="s">
        <v>35879</v>
      </c>
      <c r="I11792" t="s">
        <v>35880</v>
      </c>
      <c r="J11792" t="s">
        <v>14768</v>
      </c>
      <c r="K11792" s="2" t="str">
        <f>HYPERLINK("http://collections.slsa.sa.gov.au/mpcimg/69500/B69282_452.htm")</f>
        <v>http://collections.slsa.sa.gov.au/mpcimg/69500/B69282_452.htm</v>
      </c>
    </row>
    <row r="11793" spans="1:11" x14ac:dyDescent="0.25">
      <c r="A11793" t="s">
        <v>35881</v>
      </c>
      <c r="B11793" s="1" t="str">
        <f>HYPERLINK("https://www.catalog.slsa.sa.gov.au/record=b2127449")</f>
        <v>https://www.catalog.slsa.sa.gov.au/record=b2127449</v>
      </c>
      <c r="C11793" s="1" t="str">
        <f>HYPERLINK("https://www.catalog.slsa.sa.gov.au/xrecord=b2127449")</f>
        <v>https://www.catalog.slsa.sa.gov.au/xrecord=b2127449</v>
      </c>
      <c r="D11793" t="s">
        <v>31902</v>
      </c>
      <c r="E11793" t="s">
        <v>35882</v>
      </c>
      <c r="F11793">
        <v>2008</v>
      </c>
      <c r="G11793" t="s">
        <v>33690</v>
      </c>
      <c r="H11793" t="s">
        <v>35883</v>
      </c>
      <c r="I11793" t="s">
        <v>25085</v>
      </c>
      <c r="J11793" t="s">
        <v>14768</v>
      </c>
      <c r="K11793" s="2" t="str">
        <f>HYPERLINK("http://collections.slsa.sa.gov.au/mpcimg/69500/B69282_453.htm")</f>
        <v>http://collections.slsa.sa.gov.au/mpcimg/69500/B69282_453.htm</v>
      </c>
    </row>
    <row r="11794" spans="1:11" x14ac:dyDescent="0.25">
      <c r="A11794" t="s">
        <v>35884</v>
      </c>
      <c r="B11794" s="1" t="str">
        <f>HYPERLINK("https://www.catalog.slsa.sa.gov.au/record=b2127451")</f>
        <v>https://www.catalog.slsa.sa.gov.au/record=b2127451</v>
      </c>
      <c r="C11794" s="1" t="str">
        <f>HYPERLINK("https://www.catalog.slsa.sa.gov.au/xrecord=b2127451")</f>
        <v>https://www.catalog.slsa.sa.gov.au/xrecord=b2127451</v>
      </c>
      <c r="D11794" t="s">
        <v>31902</v>
      </c>
      <c r="E11794" t="s">
        <v>35885</v>
      </c>
      <c r="F11794">
        <v>2008</v>
      </c>
      <c r="G11794" t="s">
        <v>33690</v>
      </c>
      <c r="H11794" t="s">
        <v>35886</v>
      </c>
      <c r="J11794" t="s">
        <v>14768</v>
      </c>
      <c r="K11794" s="2" t="str">
        <f>HYPERLINK("http://collections.slsa.sa.gov.au/mpcimg/69500/B69282_454.htm")</f>
        <v>http://collections.slsa.sa.gov.au/mpcimg/69500/B69282_454.htm</v>
      </c>
    </row>
    <row r="11795" spans="1:11" x14ac:dyDescent="0.25">
      <c r="A11795" t="s">
        <v>35887</v>
      </c>
      <c r="B11795" s="1" t="str">
        <f>HYPERLINK("https://www.catalog.slsa.sa.gov.au/record=b2127452")</f>
        <v>https://www.catalog.slsa.sa.gov.au/record=b2127452</v>
      </c>
      <c r="C11795" s="1" t="str">
        <f>HYPERLINK("https://www.catalog.slsa.sa.gov.au/xrecord=b2127452")</f>
        <v>https://www.catalog.slsa.sa.gov.au/xrecord=b2127452</v>
      </c>
      <c r="D11795" t="s">
        <v>31902</v>
      </c>
      <c r="E11795" t="s">
        <v>35888</v>
      </c>
      <c r="F11795">
        <v>2008</v>
      </c>
      <c r="G11795" t="s">
        <v>33690</v>
      </c>
      <c r="H11795" t="s">
        <v>35889</v>
      </c>
      <c r="I11795" t="s">
        <v>35890</v>
      </c>
      <c r="J11795" t="s">
        <v>14768</v>
      </c>
      <c r="K11795" s="2" t="str">
        <f>HYPERLINK("http://collections.slsa.sa.gov.au/mpcimg/69500/B69282_455.htm")</f>
        <v>http://collections.slsa.sa.gov.au/mpcimg/69500/B69282_455.htm</v>
      </c>
    </row>
    <row r="11796" spans="1:11" x14ac:dyDescent="0.25">
      <c r="A11796" t="s">
        <v>35891</v>
      </c>
      <c r="B11796" s="1" t="str">
        <f>HYPERLINK("https://www.catalog.slsa.sa.gov.au/record=b2127453")</f>
        <v>https://www.catalog.slsa.sa.gov.au/record=b2127453</v>
      </c>
      <c r="C11796" s="1" t="str">
        <f>HYPERLINK("https://www.catalog.slsa.sa.gov.au/xrecord=b2127453")</f>
        <v>https://www.catalog.slsa.sa.gov.au/xrecord=b2127453</v>
      </c>
      <c r="D11796" t="s">
        <v>31902</v>
      </c>
      <c r="E11796" t="s">
        <v>35892</v>
      </c>
      <c r="F11796">
        <v>2008</v>
      </c>
      <c r="G11796" t="s">
        <v>33690</v>
      </c>
      <c r="H11796" t="s">
        <v>35893</v>
      </c>
      <c r="I11796" t="s">
        <v>35890</v>
      </c>
      <c r="J11796" t="s">
        <v>14768</v>
      </c>
      <c r="K11796" s="2" t="str">
        <f>HYPERLINK("http://collections.slsa.sa.gov.au/mpcimg/69500/B69282_456.htm")</f>
        <v>http://collections.slsa.sa.gov.au/mpcimg/69500/B69282_456.htm</v>
      </c>
    </row>
    <row r="11797" spans="1:11" x14ac:dyDescent="0.25">
      <c r="A11797" t="s">
        <v>35894</v>
      </c>
      <c r="B11797" s="1" t="str">
        <f>HYPERLINK("https://www.catalog.slsa.sa.gov.au/record=b2128832")</f>
        <v>https://www.catalog.slsa.sa.gov.au/record=b2128832</v>
      </c>
      <c r="C11797" s="1" t="str">
        <f>HYPERLINK("https://www.catalog.slsa.sa.gov.au/xrecord=b2128832")</f>
        <v>https://www.catalog.slsa.sa.gov.au/xrecord=b2128832</v>
      </c>
      <c r="D11797" t="s">
        <v>31902</v>
      </c>
      <c r="E11797" t="s">
        <v>35895</v>
      </c>
      <c r="F11797">
        <v>2008</v>
      </c>
      <c r="G11797" t="s">
        <v>33690</v>
      </c>
      <c r="H11797" t="s">
        <v>35896</v>
      </c>
      <c r="I11797" t="s">
        <v>35897</v>
      </c>
      <c r="J11797" t="s">
        <v>14768</v>
      </c>
      <c r="K11797" s="2" t="str">
        <f>HYPERLINK("http://collections.slsa.sa.gov.au/mpcimg/69500/B69282_458.htm")</f>
        <v>http://collections.slsa.sa.gov.au/mpcimg/69500/B69282_458.htm</v>
      </c>
    </row>
    <row r="11798" spans="1:11" x14ac:dyDescent="0.25">
      <c r="A11798" t="s">
        <v>35898</v>
      </c>
      <c r="B11798" s="1" t="str">
        <f>HYPERLINK("https://www.catalog.slsa.sa.gov.au/record=b2128833")</f>
        <v>https://www.catalog.slsa.sa.gov.au/record=b2128833</v>
      </c>
      <c r="C11798" s="1" t="str">
        <f>HYPERLINK("https://www.catalog.slsa.sa.gov.au/xrecord=b2128833")</f>
        <v>https://www.catalog.slsa.sa.gov.au/xrecord=b2128833</v>
      </c>
      <c r="D11798" t="s">
        <v>31902</v>
      </c>
      <c r="E11798" t="s">
        <v>35899</v>
      </c>
      <c r="F11798">
        <v>2008</v>
      </c>
      <c r="G11798" t="s">
        <v>33690</v>
      </c>
      <c r="H11798" t="s">
        <v>35900</v>
      </c>
      <c r="J11798" t="s">
        <v>14768</v>
      </c>
      <c r="K11798" s="2" t="str">
        <f>HYPERLINK("http://collections.slsa.sa.gov.au/mpcimg/69500/B69282_457.htm")</f>
        <v>http://collections.slsa.sa.gov.au/mpcimg/69500/B69282_457.htm</v>
      </c>
    </row>
    <row r="11799" spans="1:11" x14ac:dyDescent="0.25">
      <c r="A11799" t="s">
        <v>35901</v>
      </c>
      <c r="B11799" s="1" t="str">
        <f>HYPERLINK("https://www.catalog.slsa.sa.gov.au/record=b2200242")</f>
        <v>https://www.catalog.slsa.sa.gov.au/record=b2200242</v>
      </c>
      <c r="C11799" s="1" t="str">
        <f>HYPERLINK("https://www.catalog.slsa.sa.gov.au/xrecord=b2200242")</f>
        <v>https://www.catalog.slsa.sa.gov.au/xrecord=b2200242</v>
      </c>
      <c r="D11799" t="s">
        <v>31902</v>
      </c>
      <c r="E11799" t="s">
        <v>35902</v>
      </c>
      <c r="F11799">
        <v>2008</v>
      </c>
      <c r="G11799" t="s">
        <v>33690</v>
      </c>
      <c r="H11799" t="s">
        <v>35903</v>
      </c>
      <c r="J11799" t="s">
        <v>14768</v>
      </c>
      <c r="K11799" s="2" t="str">
        <f>HYPERLINK("http://collections.slsa.sa.gov.au/mpcimg/69500/B69282_463.htm")</f>
        <v>http://collections.slsa.sa.gov.au/mpcimg/69500/B69282_463.htm</v>
      </c>
    </row>
    <row r="11800" spans="1:11" x14ac:dyDescent="0.25">
      <c r="A11800" t="s">
        <v>35904</v>
      </c>
      <c r="B11800" s="1" t="str">
        <f>HYPERLINK("https://www.catalog.slsa.sa.gov.au/record=b2200243")</f>
        <v>https://www.catalog.slsa.sa.gov.au/record=b2200243</v>
      </c>
      <c r="C11800" s="1" t="str">
        <f>HYPERLINK("https://www.catalog.slsa.sa.gov.au/xrecord=b2200243")</f>
        <v>https://www.catalog.slsa.sa.gov.au/xrecord=b2200243</v>
      </c>
      <c r="D11800" t="s">
        <v>31902</v>
      </c>
      <c r="E11800" t="s">
        <v>35905</v>
      </c>
      <c r="F11800">
        <v>2008</v>
      </c>
      <c r="G11800" t="s">
        <v>33690</v>
      </c>
      <c r="H11800" t="s">
        <v>35906</v>
      </c>
      <c r="I11800" t="s">
        <v>35907</v>
      </c>
      <c r="J11800" t="s">
        <v>14768</v>
      </c>
      <c r="K11800" s="2" t="str">
        <f>HYPERLINK("http://collections.slsa.sa.gov.au/mpcimg/69500/B69282_464.htm")</f>
        <v>http://collections.slsa.sa.gov.au/mpcimg/69500/B69282_464.htm</v>
      </c>
    </row>
    <row r="11801" spans="1:11" x14ac:dyDescent="0.25">
      <c r="A11801" t="s">
        <v>35908</v>
      </c>
      <c r="B11801" s="1" t="str">
        <f>HYPERLINK("https://www.catalog.slsa.sa.gov.au/record=b2200244")</f>
        <v>https://www.catalog.slsa.sa.gov.au/record=b2200244</v>
      </c>
      <c r="C11801" s="1" t="str">
        <f>HYPERLINK("https://www.catalog.slsa.sa.gov.au/xrecord=b2200244")</f>
        <v>https://www.catalog.slsa.sa.gov.au/xrecord=b2200244</v>
      </c>
      <c r="D11801" t="s">
        <v>31902</v>
      </c>
      <c r="E11801" t="s">
        <v>35909</v>
      </c>
      <c r="F11801">
        <v>2008</v>
      </c>
      <c r="G11801" t="s">
        <v>33690</v>
      </c>
      <c r="H11801" t="s">
        <v>35910</v>
      </c>
      <c r="I11801" t="s">
        <v>35911</v>
      </c>
      <c r="J11801" t="s">
        <v>14768</v>
      </c>
      <c r="K11801" s="2" t="str">
        <f>HYPERLINK("http://collections.slsa.sa.gov.au/mpcimg/69500/B69282_465.htm")</f>
        <v>http://collections.slsa.sa.gov.au/mpcimg/69500/B69282_465.htm</v>
      </c>
    </row>
    <row r="11802" spans="1:11" x14ac:dyDescent="0.25">
      <c r="A11802" t="s">
        <v>35912</v>
      </c>
      <c r="B11802" s="1" t="str">
        <f>HYPERLINK("https://www.catalog.slsa.sa.gov.au/record=b2200245")</f>
        <v>https://www.catalog.slsa.sa.gov.au/record=b2200245</v>
      </c>
      <c r="C11802" s="1" t="str">
        <f>HYPERLINK("https://www.catalog.slsa.sa.gov.au/xrecord=b2200245")</f>
        <v>https://www.catalog.slsa.sa.gov.au/xrecord=b2200245</v>
      </c>
      <c r="D11802" t="s">
        <v>31902</v>
      </c>
      <c r="E11802" t="s">
        <v>35913</v>
      </c>
      <c r="F11802">
        <v>2008</v>
      </c>
      <c r="G11802" t="s">
        <v>33690</v>
      </c>
      <c r="H11802" t="s">
        <v>35914</v>
      </c>
      <c r="I11802" t="s">
        <v>35911</v>
      </c>
      <c r="J11802" t="s">
        <v>14768</v>
      </c>
      <c r="K11802" s="2" t="str">
        <f>HYPERLINK("http://collections.slsa.sa.gov.au/mpcimg/69500/B69282_466.htm")</f>
        <v>http://collections.slsa.sa.gov.au/mpcimg/69500/B69282_466.htm</v>
      </c>
    </row>
    <row r="11803" spans="1:11" x14ac:dyDescent="0.25">
      <c r="A11803" t="s">
        <v>35915</v>
      </c>
      <c r="B11803" s="1" t="str">
        <f>HYPERLINK("https://www.catalog.slsa.sa.gov.au/record=b2200246")</f>
        <v>https://www.catalog.slsa.sa.gov.au/record=b2200246</v>
      </c>
      <c r="C11803" s="1" t="str">
        <f>HYPERLINK("https://www.catalog.slsa.sa.gov.au/xrecord=b2200246")</f>
        <v>https://www.catalog.slsa.sa.gov.au/xrecord=b2200246</v>
      </c>
      <c r="D11803" t="s">
        <v>31902</v>
      </c>
      <c r="E11803" t="s">
        <v>35916</v>
      </c>
      <c r="F11803">
        <v>2008</v>
      </c>
      <c r="G11803" t="s">
        <v>33690</v>
      </c>
      <c r="H11803" t="s">
        <v>35917</v>
      </c>
      <c r="I11803" t="s">
        <v>35911</v>
      </c>
      <c r="J11803" t="s">
        <v>14768</v>
      </c>
      <c r="K11803" s="2" t="str">
        <f>HYPERLINK("http://collections.slsa.sa.gov.au/mpcimg/69500/B69282_467.htm")</f>
        <v>http://collections.slsa.sa.gov.au/mpcimg/69500/B69282_467.htm</v>
      </c>
    </row>
    <row r="11804" spans="1:11" x14ac:dyDescent="0.25">
      <c r="A11804" t="s">
        <v>35918</v>
      </c>
      <c r="B11804" s="1" t="str">
        <f>HYPERLINK("https://www.catalog.slsa.sa.gov.au/record=b2200247")</f>
        <v>https://www.catalog.slsa.sa.gov.au/record=b2200247</v>
      </c>
      <c r="C11804" s="1" t="str">
        <f>HYPERLINK("https://www.catalog.slsa.sa.gov.au/xrecord=b2200247")</f>
        <v>https://www.catalog.slsa.sa.gov.au/xrecord=b2200247</v>
      </c>
      <c r="D11804" t="s">
        <v>31902</v>
      </c>
      <c r="E11804" t="s">
        <v>35919</v>
      </c>
      <c r="F11804">
        <v>2008</v>
      </c>
      <c r="G11804" t="s">
        <v>33690</v>
      </c>
      <c r="H11804" t="s">
        <v>35920</v>
      </c>
      <c r="I11804" t="s">
        <v>35911</v>
      </c>
      <c r="J11804" t="s">
        <v>14768</v>
      </c>
      <c r="K11804" s="2" t="str">
        <f>HYPERLINK("http://collections.slsa.sa.gov.au/mpcimg/69500/B69282_468.htm")</f>
        <v>http://collections.slsa.sa.gov.au/mpcimg/69500/B69282_468.htm</v>
      </c>
    </row>
    <row r="11805" spans="1:11" x14ac:dyDescent="0.25">
      <c r="A11805" t="s">
        <v>35921</v>
      </c>
      <c r="B11805" s="1" t="str">
        <f>HYPERLINK("https://www.catalog.slsa.sa.gov.au/record=b2203900")</f>
        <v>https://www.catalog.slsa.sa.gov.au/record=b2203900</v>
      </c>
      <c r="C11805" s="1" t="str">
        <f>HYPERLINK("https://www.catalog.slsa.sa.gov.au/xrecord=b2203900")</f>
        <v>https://www.catalog.slsa.sa.gov.au/xrecord=b2203900</v>
      </c>
      <c r="D11805" t="s">
        <v>31902</v>
      </c>
      <c r="E11805" t="s">
        <v>35922</v>
      </c>
      <c r="F11805">
        <v>2008</v>
      </c>
      <c r="G11805" t="s">
        <v>33690</v>
      </c>
      <c r="H11805" t="s">
        <v>35923</v>
      </c>
      <c r="J11805" t="s">
        <v>14768</v>
      </c>
      <c r="K11805" s="2" t="str">
        <f>HYPERLINK("http://collections.slsa.sa.gov.au/mpcimg/69500/B69282_469.htm")</f>
        <v>http://collections.slsa.sa.gov.au/mpcimg/69500/B69282_469.htm</v>
      </c>
    </row>
    <row r="11806" spans="1:11" x14ac:dyDescent="0.25">
      <c r="A11806" t="s">
        <v>35924</v>
      </c>
      <c r="B11806" s="1" t="str">
        <f>HYPERLINK("https://www.catalog.slsa.sa.gov.au/record=b2203902")</f>
        <v>https://www.catalog.slsa.sa.gov.au/record=b2203902</v>
      </c>
      <c r="C11806" s="1" t="str">
        <f>HYPERLINK("https://www.catalog.slsa.sa.gov.au/xrecord=b2203902")</f>
        <v>https://www.catalog.slsa.sa.gov.au/xrecord=b2203902</v>
      </c>
      <c r="D11806" t="s">
        <v>31902</v>
      </c>
      <c r="E11806" t="s">
        <v>35925</v>
      </c>
      <c r="F11806">
        <v>2008</v>
      </c>
      <c r="G11806" t="s">
        <v>33690</v>
      </c>
      <c r="H11806" t="s">
        <v>35923</v>
      </c>
      <c r="J11806" t="s">
        <v>14768</v>
      </c>
      <c r="K11806" s="2" t="str">
        <f>HYPERLINK("http://collections.slsa.sa.gov.au/mpcimg/69500/B69282_470.htm")</f>
        <v>http://collections.slsa.sa.gov.au/mpcimg/69500/B69282_470.htm</v>
      </c>
    </row>
    <row r="11807" spans="1:11" x14ac:dyDescent="0.25">
      <c r="A11807" t="s">
        <v>35926</v>
      </c>
      <c r="B11807" s="1" t="str">
        <f>HYPERLINK("https://www.catalog.slsa.sa.gov.au/record=b2203903")</f>
        <v>https://www.catalog.slsa.sa.gov.au/record=b2203903</v>
      </c>
      <c r="C11807" s="1" t="str">
        <f>HYPERLINK("https://www.catalog.slsa.sa.gov.au/xrecord=b2203903")</f>
        <v>https://www.catalog.slsa.sa.gov.au/xrecord=b2203903</v>
      </c>
      <c r="D11807" t="s">
        <v>31902</v>
      </c>
      <c r="E11807" t="s">
        <v>35927</v>
      </c>
      <c r="F11807">
        <v>2008</v>
      </c>
      <c r="G11807" t="s">
        <v>33690</v>
      </c>
      <c r="H11807" t="s">
        <v>35928</v>
      </c>
      <c r="J11807" t="s">
        <v>14768</v>
      </c>
      <c r="K11807" s="2" t="str">
        <f>HYPERLINK("http://collections.slsa.sa.gov.au/mpcimg/69500/B69282_471.htm")</f>
        <v>http://collections.slsa.sa.gov.au/mpcimg/69500/B69282_471.htm</v>
      </c>
    </row>
    <row r="11808" spans="1:11" x14ac:dyDescent="0.25">
      <c r="A11808" t="s">
        <v>35929</v>
      </c>
      <c r="B11808" s="1" t="str">
        <f>HYPERLINK("https://www.catalog.slsa.sa.gov.au/record=b2203904")</f>
        <v>https://www.catalog.slsa.sa.gov.au/record=b2203904</v>
      </c>
      <c r="C11808" s="1" t="str">
        <f>HYPERLINK("https://www.catalog.slsa.sa.gov.au/xrecord=b2203904")</f>
        <v>https://www.catalog.slsa.sa.gov.au/xrecord=b2203904</v>
      </c>
      <c r="D11808" t="s">
        <v>31902</v>
      </c>
      <c r="E11808" t="s">
        <v>35930</v>
      </c>
      <c r="F11808">
        <v>2008</v>
      </c>
      <c r="G11808" t="s">
        <v>33690</v>
      </c>
      <c r="H11808" t="s">
        <v>35931</v>
      </c>
      <c r="J11808" t="s">
        <v>14768</v>
      </c>
      <c r="K11808" s="2" t="str">
        <f>HYPERLINK("http://collections.slsa.sa.gov.au/mpcimg/69500/B69282_472.htm")</f>
        <v>http://collections.slsa.sa.gov.au/mpcimg/69500/B69282_472.htm</v>
      </c>
    </row>
    <row r="11809" spans="1:11" x14ac:dyDescent="0.25">
      <c r="A11809" t="s">
        <v>35932</v>
      </c>
      <c r="B11809" s="1" t="str">
        <f>HYPERLINK("https://www.catalog.slsa.sa.gov.au/record=b2203905")</f>
        <v>https://www.catalog.slsa.sa.gov.au/record=b2203905</v>
      </c>
      <c r="C11809" s="1" t="str">
        <f>HYPERLINK("https://www.catalog.slsa.sa.gov.au/xrecord=b2203905")</f>
        <v>https://www.catalog.slsa.sa.gov.au/xrecord=b2203905</v>
      </c>
      <c r="D11809" t="s">
        <v>31902</v>
      </c>
      <c r="E11809" t="s">
        <v>35933</v>
      </c>
      <c r="F11809">
        <v>2008</v>
      </c>
      <c r="G11809" t="s">
        <v>33690</v>
      </c>
      <c r="H11809" t="s">
        <v>35934</v>
      </c>
      <c r="J11809" t="s">
        <v>14768</v>
      </c>
      <c r="K11809" s="2" t="str">
        <f>HYPERLINK("http://collections.slsa.sa.gov.au/mpcimg/69500/B69282_473.htm")</f>
        <v>http://collections.slsa.sa.gov.au/mpcimg/69500/B69282_473.htm</v>
      </c>
    </row>
    <row r="11810" spans="1:11" x14ac:dyDescent="0.25">
      <c r="A11810" t="s">
        <v>35935</v>
      </c>
      <c r="B11810" s="1" t="str">
        <f>HYPERLINK("https://www.catalog.slsa.sa.gov.au/record=b2203906")</f>
        <v>https://www.catalog.slsa.sa.gov.au/record=b2203906</v>
      </c>
      <c r="C11810" s="1" t="str">
        <f>HYPERLINK("https://www.catalog.slsa.sa.gov.au/xrecord=b2203906")</f>
        <v>https://www.catalog.slsa.sa.gov.au/xrecord=b2203906</v>
      </c>
      <c r="D11810" t="s">
        <v>31902</v>
      </c>
      <c r="E11810" t="s">
        <v>35936</v>
      </c>
      <c r="F11810">
        <v>2008</v>
      </c>
      <c r="G11810" t="s">
        <v>33690</v>
      </c>
      <c r="H11810" t="s">
        <v>35934</v>
      </c>
      <c r="J11810" t="s">
        <v>14768</v>
      </c>
      <c r="K11810" s="2" t="str">
        <f>HYPERLINK("http://collections.slsa.sa.gov.au/mpcimg/69500/B69282_474.htm")</f>
        <v>http://collections.slsa.sa.gov.au/mpcimg/69500/B69282_474.htm</v>
      </c>
    </row>
    <row r="11811" spans="1:11" x14ac:dyDescent="0.25">
      <c r="A11811" t="s">
        <v>35937</v>
      </c>
      <c r="B11811" s="1" t="str">
        <f>HYPERLINK("https://www.catalog.slsa.sa.gov.au/record=b2203907")</f>
        <v>https://www.catalog.slsa.sa.gov.au/record=b2203907</v>
      </c>
      <c r="C11811" s="1" t="str">
        <f>HYPERLINK("https://www.catalog.slsa.sa.gov.au/xrecord=b2203907")</f>
        <v>https://www.catalog.slsa.sa.gov.au/xrecord=b2203907</v>
      </c>
      <c r="D11811" t="s">
        <v>31902</v>
      </c>
      <c r="E11811" t="s">
        <v>35938</v>
      </c>
      <c r="F11811">
        <v>2008</v>
      </c>
      <c r="G11811" t="s">
        <v>33690</v>
      </c>
      <c r="H11811" t="s">
        <v>35934</v>
      </c>
      <c r="J11811" t="s">
        <v>14768</v>
      </c>
      <c r="K11811" s="2" t="str">
        <f>HYPERLINK("http://collections.slsa.sa.gov.au/mpcimg/69500/B69282_475.htm")</f>
        <v>http://collections.slsa.sa.gov.au/mpcimg/69500/B69282_475.htm</v>
      </c>
    </row>
    <row r="11812" spans="1:11" x14ac:dyDescent="0.25">
      <c r="A11812" t="s">
        <v>35939</v>
      </c>
      <c r="B11812" s="1" t="str">
        <f>HYPERLINK("https://www.catalog.slsa.sa.gov.au/record=b2203908")</f>
        <v>https://www.catalog.slsa.sa.gov.au/record=b2203908</v>
      </c>
      <c r="C11812" s="1" t="str">
        <f>HYPERLINK("https://www.catalog.slsa.sa.gov.au/xrecord=b2203908")</f>
        <v>https://www.catalog.slsa.sa.gov.au/xrecord=b2203908</v>
      </c>
      <c r="D11812" t="s">
        <v>31902</v>
      </c>
      <c r="E11812" t="s">
        <v>35940</v>
      </c>
      <c r="F11812">
        <v>2008</v>
      </c>
      <c r="G11812" t="s">
        <v>33690</v>
      </c>
      <c r="H11812" t="s">
        <v>35934</v>
      </c>
      <c r="J11812" t="s">
        <v>14768</v>
      </c>
      <c r="K11812" s="2" t="str">
        <f>HYPERLINK("http://collections.slsa.sa.gov.au/mpcimg/69500/B69282_476.htm")</f>
        <v>http://collections.slsa.sa.gov.au/mpcimg/69500/B69282_476.htm</v>
      </c>
    </row>
    <row r="11813" spans="1:11" x14ac:dyDescent="0.25">
      <c r="A11813" t="s">
        <v>35941</v>
      </c>
      <c r="B11813" s="1" t="str">
        <f>HYPERLINK("https://www.catalog.slsa.sa.gov.au/record=b2203909")</f>
        <v>https://www.catalog.slsa.sa.gov.au/record=b2203909</v>
      </c>
      <c r="C11813" s="1" t="str">
        <f>HYPERLINK("https://www.catalog.slsa.sa.gov.au/xrecord=b2203909")</f>
        <v>https://www.catalog.slsa.sa.gov.au/xrecord=b2203909</v>
      </c>
      <c r="D11813" t="s">
        <v>31902</v>
      </c>
      <c r="E11813" t="s">
        <v>35942</v>
      </c>
      <c r="F11813">
        <v>2008</v>
      </c>
      <c r="G11813" t="s">
        <v>33690</v>
      </c>
      <c r="H11813" t="s">
        <v>35934</v>
      </c>
      <c r="J11813" t="s">
        <v>14768</v>
      </c>
      <c r="K11813" s="2" t="str">
        <f>HYPERLINK("http://collections.slsa.sa.gov.au/mpcimg/69500/B69282_477.htm")</f>
        <v>http://collections.slsa.sa.gov.au/mpcimg/69500/B69282_477.htm</v>
      </c>
    </row>
    <row r="11814" spans="1:11" x14ac:dyDescent="0.25">
      <c r="A11814" t="s">
        <v>35943</v>
      </c>
      <c r="B11814" s="1" t="str">
        <f>HYPERLINK("https://www.catalog.slsa.sa.gov.au/record=b2203910")</f>
        <v>https://www.catalog.slsa.sa.gov.au/record=b2203910</v>
      </c>
      <c r="C11814" s="1" t="str">
        <f>HYPERLINK("https://www.catalog.slsa.sa.gov.au/xrecord=b2203910")</f>
        <v>https://www.catalog.slsa.sa.gov.au/xrecord=b2203910</v>
      </c>
      <c r="D11814" t="s">
        <v>31902</v>
      </c>
      <c r="E11814" t="s">
        <v>35944</v>
      </c>
      <c r="F11814">
        <v>2008</v>
      </c>
      <c r="G11814" t="s">
        <v>33690</v>
      </c>
      <c r="H11814" t="s">
        <v>35934</v>
      </c>
      <c r="J11814" t="s">
        <v>14768</v>
      </c>
      <c r="K11814" s="2" t="str">
        <f>HYPERLINK("http://collections.slsa.sa.gov.au/mpcimg/69500/B69282_478.htm")</f>
        <v>http://collections.slsa.sa.gov.au/mpcimg/69500/B69282_478.htm</v>
      </c>
    </row>
    <row r="11815" spans="1:11" x14ac:dyDescent="0.25">
      <c r="A11815" t="s">
        <v>35945</v>
      </c>
      <c r="B11815" s="1" t="str">
        <f>HYPERLINK("https://www.catalog.slsa.sa.gov.au/record=b2203912")</f>
        <v>https://www.catalog.slsa.sa.gov.au/record=b2203912</v>
      </c>
      <c r="C11815" s="1" t="str">
        <f>HYPERLINK("https://www.catalog.slsa.sa.gov.au/xrecord=b2203912")</f>
        <v>https://www.catalog.slsa.sa.gov.au/xrecord=b2203912</v>
      </c>
      <c r="D11815" t="s">
        <v>31902</v>
      </c>
      <c r="E11815" t="s">
        <v>35946</v>
      </c>
      <c r="F11815">
        <v>2008</v>
      </c>
      <c r="G11815" t="s">
        <v>33690</v>
      </c>
      <c r="H11815" t="s">
        <v>35934</v>
      </c>
      <c r="J11815" t="s">
        <v>14768</v>
      </c>
      <c r="K11815" s="2" t="str">
        <f>HYPERLINK("http://collections.slsa.sa.gov.au/mpcimg/69500/B69282_479.htm")</f>
        <v>http://collections.slsa.sa.gov.au/mpcimg/69500/B69282_479.htm</v>
      </c>
    </row>
    <row r="11816" spans="1:11" x14ac:dyDescent="0.25">
      <c r="A11816" t="s">
        <v>35947</v>
      </c>
      <c r="B11816" s="1" t="str">
        <f>HYPERLINK("https://www.catalog.slsa.sa.gov.au/record=b2203913")</f>
        <v>https://www.catalog.slsa.sa.gov.au/record=b2203913</v>
      </c>
      <c r="C11816" s="1" t="str">
        <f>HYPERLINK("https://www.catalog.slsa.sa.gov.au/xrecord=b2203913")</f>
        <v>https://www.catalog.slsa.sa.gov.au/xrecord=b2203913</v>
      </c>
      <c r="D11816" t="s">
        <v>31902</v>
      </c>
      <c r="E11816" t="s">
        <v>35948</v>
      </c>
      <c r="F11816">
        <v>2008</v>
      </c>
      <c r="G11816" t="s">
        <v>33690</v>
      </c>
      <c r="H11816" t="s">
        <v>35934</v>
      </c>
      <c r="J11816" t="s">
        <v>14768</v>
      </c>
      <c r="K11816" s="2" t="str">
        <f>HYPERLINK("http://collections.slsa.sa.gov.au/mpcimg/69500/B69282_480.htm")</f>
        <v>http://collections.slsa.sa.gov.au/mpcimg/69500/B69282_480.htm</v>
      </c>
    </row>
    <row r="11817" spans="1:11" x14ac:dyDescent="0.25">
      <c r="A11817" t="s">
        <v>35949</v>
      </c>
      <c r="B11817" s="1" t="str">
        <f>HYPERLINK("https://www.catalog.slsa.sa.gov.au/record=b2203914")</f>
        <v>https://www.catalog.slsa.sa.gov.au/record=b2203914</v>
      </c>
      <c r="C11817" s="1" t="str">
        <f>HYPERLINK("https://www.catalog.slsa.sa.gov.au/xrecord=b2203914")</f>
        <v>https://www.catalog.slsa.sa.gov.au/xrecord=b2203914</v>
      </c>
      <c r="D11817" t="s">
        <v>31902</v>
      </c>
      <c r="E11817" t="s">
        <v>35950</v>
      </c>
      <c r="F11817">
        <v>2008</v>
      </c>
      <c r="G11817" t="s">
        <v>33690</v>
      </c>
      <c r="H11817" t="s">
        <v>35951</v>
      </c>
      <c r="J11817" t="s">
        <v>14768</v>
      </c>
      <c r="K11817" s="2" t="str">
        <f>HYPERLINK("http://collections.slsa.sa.gov.au/mpcimg/69500/B69282_481.htm")</f>
        <v>http://collections.slsa.sa.gov.au/mpcimg/69500/B69282_481.htm</v>
      </c>
    </row>
    <row r="11818" spans="1:11" x14ac:dyDescent="0.25">
      <c r="A11818" t="s">
        <v>35952</v>
      </c>
      <c r="B11818" s="1" t="str">
        <f>HYPERLINK("https://www.catalog.slsa.sa.gov.au/record=b2203915")</f>
        <v>https://www.catalog.slsa.sa.gov.au/record=b2203915</v>
      </c>
      <c r="C11818" s="1" t="str">
        <f>HYPERLINK("https://www.catalog.slsa.sa.gov.au/xrecord=b2203915")</f>
        <v>https://www.catalog.slsa.sa.gov.au/xrecord=b2203915</v>
      </c>
      <c r="D11818" t="s">
        <v>31902</v>
      </c>
      <c r="E11818" t="s">
        <v>35953</v>
      </c>
      <c r="F11818">
        <v>2008</v>
      </c>
      <c r="G11818" t="s">
        <v>33690</v>
      </c>
      <c r="H11818" t="s">
        <v>35951</v>
      </c>
      <c r="J11818" t="s">
        <v>14768</v>
      </c>
      <c r="K11818" s="2" t="str">
        <f>HYPERLINK("http://collections.slsa.sa.gov.au/mpcimg/69500/B69282_482.htm")</f>
        <v>http://collections.slsa.sa.gov.au/mpcimg/69500/B69282_482.htm</v>
      </c>
    </row>
    <row r="11819" spans="1:11" x14ac:dyDescent="0.25">
      <c r="A11819" t="s">
        <v>35954</v>
      </c>
      <c r="B11819" s="1" t="str">
        <f>HYPERLINK("https://www.catalog.slsa.sa.gov.au/record=b2203918")</f>
        <v>https://www.catalog.slsa.sa.gov.au/record=b2203918</v>
      </c>
      <c r="C11819" s="1" t="str">
        <f>HYPERLINK("https://www.catalog.slsa.sa.gov.au/xrecord=b2203918")</f>
        <v>https://www.catalog.slsa.sa.gov.au/xrecord=b2203918</v>
      </c>
      <c r="D11819" t="s">
        <v>31902</v>
      </c>
      <c r="E11819" t="s">
        <v>35955</v>
      </c>
      <c r="F11819">
        <v>2008</v>
      </c>
      <c r="G11819" t="s">
        <v>33690</v>
      </c>
      <c r="H11819" t="s">
        <v>35951</v>
      </c>
      <c r="J11819" t="s">
        <v>14768</v>
      </c>
      <c r="K11819" s="2" t="str">
        <f>HYPERLINK("http://collections.slsa.sa.gov.au/mpcimg/69500/B69282_483.htm")</f>
        <v>http://collections.slsa.sa.gov.au/mpcimg/69500/B69282_483.htm</v>
      </c>
    </row>
    <row r="11820" spans="1:11" x14ac:dyDescent="0.25">
      <c r="A11820" t="s">
        <v>35956</v>
      </c>
      <c r="B11820" s="1" t="str">
        <f>HYPERLINK("https://www.catalog.slsa.sa.gov.au/record=b2203919")</f>
        <v>https://www.catalog.slsa.sa.gov.au/record=b2203919</v>
      </c>
      <c r="C11820" s="1" t="str">
        <f>HYPERLINK("https://www.catalog.slsa.sa.gov.au/xrecord=b2203919")</f>
        <v>https://www.catalog.slsa.sa.gov.au/xrecord=b2203919</v>
      </c>
      <c r="D11820" t="s">
        <v>31902</v>
      </c>
      <c r="E11820" t="s">
        <v>35957</v>
      </c>
      <c r="F11820">
        <v>2008</v>
      </c>
      <c r="G11820" t="s">
        <v>33690</v>
      </c>
      <c r="H11820" t="s">
        <v>35951</v>
      </c>
      <c r="J11820" t="s">
        <v>14768</v>
      </c>
      <c r="K11820" s="2" t="str">
        <f>HYPERLINK("http://collections.slsa.sa.gov.au/mpcimg/69500/B69282_484.htm")</f>
        <v>http://collections.slsa.sa.gov.au/mpcimg/69500/B69282_484.htm</v>
      </c>
    </row>
    <row r="11821" spans="1:11" x14ac:dyDescent="0.25">
      <c r="A11821" t="s">
        <v>35958</v>
      </c>
      <c r="B11821" s="1" t="str">
        <f>HYPERLINK("https://www.catalog.slsa.sa.gov.au/record=b2203920")</f>
        <v>https://www.catalog.slsa.sa.gov.au/record=b2203920</v>
      </c>
      <c r="C11821" s="1" t="str">
        <f>HYPERLINK("https://www.catalog.slsa.sa.gov.au/xrecord=b2203920")</f>
        <v>https://www.catalog.slsa.sa.gov.au/xrecord=b2203920</v>
      </c>
      <c r="D11821" t="s">
        <v>31902</v>
      </c>
      <c r="E11821" t="s">
        <v>35959</v>
      </c>
      <c r="F11821">
        <v>2008</v>
      </c>
      <c r="G11821" t="s">
        <v>33690</v>
      </c>
      <c r="H11821" t="s">
        <v>35951</v>
      </c>
      <c r="J11821" t="s">
        <v>14768</v>
      </c>
      <c r="K11821" s="2" t="str">
        <f>HYPERLINK("http://collections.slsa.sa.gov.au/mpcimg/69500/B69282_485.htm")</f>
        <v>http://collections.slsa.sa.gov.au/mpcimg/69500/B69282_485.htm</v>
      </c>
    </row>
    <row r="11822" spans="1:11" x14ac:dyDescent="0.25">
      <c r="A11822" t="s">
        <v>35960</v>
      </c>
      <c r="B11822" s="1" t="str">
        <f>HYPERLINK("https://www.catalog.slsa.sa.gov.au/record=b2203922")</f>
        <v>https://www.catalog.slsa.sa.gov.au/record=b2203922</v>
      </c>
      <c r="C11822" s="1" t="str">
        <f>HYPERLINK("https://www.catalog.slsa.sa.gov.au/xrecord=b2203922")</f>
        <v>https://www.catalog.slsa.sa.gov.au/xrecord=b2203922</v>
      </c>
      <c r="D11822" t="s">
        <v>31902</v>
      </c>
      <c r="E11822" t="s">
        <v>35961</v>
      </c>
      <c r="F11822">
        <v>2008</v>
      </c>
      <c r="G11822" t="s">
        <v>33690</v>
      </c>
      <c r="H11822" t="s">
        <v>35951</v>
      </c>
      <c r="J11822" t="s">
        <v>14768</v>
      </c>
      <c r="K11822" s="2" t="str">
        <f>HYPERLINK("http://collections.slsa.sa.gov.au/mpcimg/69500/B69282_486.htm")</f>
        <v>http://collections.slsa.sa.gov.au/mpcimg/69500/B69282_486.htm</v>
      </c>
    </row>
    <row r="11823" spans="1:11" x14ac:dyDescent="0.25">
      <c r="A11823" t="s">
        <v>35962</v>
      </c>
      <c r="B11823" s="1" t="str">
        <f>HYPERLINK("https://www.catalog.slsa.sa.gov.au/record=b2203923")</f>
        <v>https://www.catalog.slsa.sa.gov.au/record=b2203923</v>
      </c>
      <c r="C11823" s="1" t="str">
        <f>HYPERLINK("https://www.catalog.slsa.sa.gov.au/xrecord=b2203923")</f>
        <v>https://www.catalog.slsa.sa.gov.au/xrecord=b2203923</v>
      </c>
      <c r="D11823" t="s">
        <v>31902</v>
      </c>
      <c r="E11823" t="s">
        <v>35963</v>
      </c>
      <c r="F11823">
        <v>2008</v>
      </c>
      <c r="G11823" t="s">
        <v>33690</v>
      </c>
      <c r="H11823" t="s">
        <v>35964</v>
      </c>
      <c r="J11823" t="s">
        <v>14768</v>
      </c>
      <c r="K11823" s="2" t="str">
        <f>HYPERLINK("http://collections.slsa.sa.gov.au/mpcimg/69500/B69282_487.htm")</f>
        <v>http://collections.slsa.sa.gov.au/mpcimg/69500/B69282_487.htm</v>
      </c>
    </row>
    <row r="11824" spans="1:11" x14ac:dyDescent="0.25">
      <c r="A11824" t="s">
        <v>35965</v>
      </c>
      <c r="B11824" s="1" t="str">
        <f>HYPERLINK("https://www.catalog.slsa.sa.gov.au/record=b2203924")</f>
        <v>https://www.catalog.slsa.sa.gov.au/record=b2203924</v>
      </c>
      <c r="C11824" s="1" t="str">
        <f>HYPERLINK("https://www.catalog.slsa.sa.gov.au/xrecord=b2203924")</f>
        <v>https://www.catalog.slsa.sa.gov.au/xrecord=b2203924</v>
      </c>
      <c r="D11824" t="s">
        <v>31902</v>
      </c>
      <c r="E11824" t="s">
        <v>35966</v>
      </c>
      <c r="F11824">
        <v>2008</v>
      </c>
      <c r="G11824" t="s">
        <v>33690</v>
      </c>
      <c r="H11824" t="s">
        <v>35964</v>
      </c>
      <c r="J11824" t="s">
        <v>14768</v>
      </c>
      <c r="K11824" s="2" t="str">
        <f>HYPERLINK("http://collections.slsa.sa.gov.au/mpcimg/69500/B69282_488.htm")</f>
        <v>http://collections.slsa.sa.gov.au/mpcimg/69500/B69282_488.htm</v>
      </c>
    </row>
    <row r="11825" spans="1:11" x14ac:dyDescent="0.25">
      <c r="A11825" t="s">
        <v>35967</v>
      </c>
      <c r="B11825" s="1" t="str">
        <f>HYPERLINK("https://www.catalog.slsa.sa.gov.au/record=b2204764")</f>
        <v>https://www.catalog.slsa.sa.gov.au/record=b2204764</v>
      </c>
      <c r="C11825" s="1" t="str">
        <f>HYPERLINK("https://www.catalog.slsa.sa.gov.au/xrecord=b2204764")</f>
        <v>https://www.catalog.slsa.sa.gov.au/xrecord=b2204764</v>
      </c>
      <c r="D11825" t="s">
        <v>31902</v>
      </c>
      <c r="E11825" t="s">
        <v>35968</v>
      </c>
      <c r="F11825">
        <v>2008</v>
      </c>
      <c r="G11825" t="s">
        <v>33690</v>
      </c>
      <c r="H11825" t="s">
        <v>35969</v>
      </c>
      <c r="J11825" t="s">
        <v>14768</v>
      </c>
      <c r="K11825" s="2" t="str">
        <f>HYPERLINK("http://collections.slsa.sa.gov.au/mpcimg/69500/B69282_489.htm")</f>
        <v>http://collections.slsa.sa.gov.au/mpcimg/69500/B69282_489.htm</v>
      </c>
    </row>
    <row r="11826" spans="1:11" x14ac:dyDescent="0.25">
      <c r="A11826" t="s">
        <v>35970</v>
      </c>
      <c r="B11826" s="1" t="str">
        <f>HYPERLINK("https://www.catalog.slsa.sa.gov.au/record=b2204765")</f>
        <v>https://www.catalog.slsa.sa.gov.au/record=b2204765</v>
      </c>
      <c r="C11826" s="1" t="str">
        <f>HYPERLINK("https://www.catalog.slsa.sa.gov.au/xrecord=b2204765")</f>
        <v>https://www.catalog.slsa.sa.gov.au/xrecord=b2204765</v>
      </c>
      <c r="D11826" t="s">
        <v>31902</v>
      </c>
      <c r="E11826" t="s">
        <v>35968</v>
      </c>
      <c r="F11826">
        <v>2008</v>
      </c>
      <c r="G11826" t="s">
        <v>33690</v>
      </c>
      <c r="H11826" t="s">
        <v>35971</v>
      </c>
      <c r="J11826" t="s">
        <v>14768</v>
      </c>
      <c r="K11826" s="2" t="str">
        <f>HYPERLINK("http://collections.slsa.sa.gov.au/mpcimg/69500/B69282_490.htm")</f>
        <v>http://collections.slsa.sa.gov.au/mpcimg/69500/B69282_490.htm</v>
      </c>
    </row>
    <row r="11827" spans="1:11" x14ac:dyDescent="0.25">
      <c r="A11827" t="s">
        <v>35972</v>
      </c>
      <c r="B11827" s="1" t="str">
        <f>HYPERLINK("https://www.catalog.slsa.sa.gov.au/record=b2204766")</f>
        <v>https://www.catalog.slsa.sa.gov.au/record=b2204766</v>
      </c>
      <c r="C11827" s="1" t="str">
        <f>HYPERLINK("https://www.catalog.slsa.sa.gov.au/xrecord=b2204766")</f>
        <v>https://www.catalog.slsa.sa.gov.au/xrecord=b2204766</v>
      </c>
      <c r="D11827" t="s">
        <v>31902</v>
      </c>
      <c r="E11827" t="s">
        <v>35968</v>
      </c>
      <c r="F11827">
        <v>2008</v>
      </c>
      <c r="G11827" t="s">
        <v>33690</v>
      </c>
      <c r="H11827" t="s">
        <v>35973</v>
      </c>
      <c r="J11827" t="s">
        <v>14768</v>
      </c>
      <c r="K11827" s="2" t="str">
        <f>HYPERLINK("http://collections.slsa.sa.gov.au/mpcimg/69500/B69282_491.htm")</f>
        <v>http://collections.slsa.sa.gov.au/mpcimg/69500/B69282_491.htm</v>
      </c>
    </row>
    <row r="11828" spans="1:11" x14ac:dyDescent="0.25">
      <c r="A11828" t="s">
        <v>35974</v>
      </c>
      <c r="B11828" s="1" t="str">
        <f>HYPERLINK("https://www.catalog.slsa.sa.gov.au/record=b2204767")</f>
        <v>https://www.catalog.slsa.sa.gov.au/record=b2204767</v>
      </c>
      <c r="C11828" s="1" t="str">
        <f>HYPERLINK("https://www.catalog.slsa.sa.gov.au/xrecord=b2204767")</f>
        <v>https://www.catalog.slsa.sa.gov.au/xrecord=b2204767</v>
      </c>
      <c r="D11828" t="s">
        <v>31902</v>
      </c>
      <c r="E11828" t="s">
        <v>35968</v>
      </c>
      <c r="F11828">
        <v>2008</v>
      </c>
      <c r="G11828" t="s">
        <v>33690</v>
      </c>
      <c r="H11828" t="s">
        <v>35975</v>
      </c>
      <c r="J11828" t="s">
        <v>14768</v>
      </c>
      <c r="K11828" s="2" t="str">
        <f>HYPERLINK("http://collections.slsa.sa.gov.au/mpcimg/69500/B69282_492.htm")</f>
        <v>http://collections.slsa.sa.gov.au/mpcimg/69500/B69282_492.htm</v>
      </c>
    </row>
    <row r="11829" spans="1:11" x14ac:dyDescent="0.25">
      <c r="A11829" t="s">
        <v>35976</v>
      </c>
      <c r="B11829" s="1" t="str">
        <f>HYPERLINK("https://www.catalog.slsa.sa.gov.au/record=b2222613")</f>
        <v>https://www.catalog.slsa.sa.gov.au/record=b2222613</v>
      </c>
      <c r="C11829" s="1" t="str">
        <f>HYPERLINK("https://www.catalog.slsa.sa.gov.au/xrecord=b2222613")</f>
        <v>https://www.catalog.slsa.sa.gov.au/xrecord=b2222613</v>
      </c>
      <c r="D11829" t="s">
        <v>31902</v>
      </c>
      <c r="E11829" t="s">
        <v>35977</v>
      </c>
      <c r="F11829">
        <v>2008</v>
      </c>
      <c r="G11829" t="s">
        <v>33690</v>
      </c>
      <c r="H11829" t="s">
        <v>35978</v>
      </c>
      <c r="J11829" t="s">
        <v>14768</v>
      </c>
      <c r="K11829" s="2" t="str">
        <f>HYPERLINK("http://collections.slsa.sa.gov.au/mpcimg/69500/B69282_493.htm")</f>
        <v>http://collections.slsa.sa.gov.au/mpcimg/69500/B69282_493.htm</v>
      </c>
    </row>
    <row r="11830" spans="1:11" x14ac:dyDescent="0.25">
      <c r="A11830" t="s">
        <v>35979</v>
      </c>
      <c r="B11830" s="1" t="str">
        <f>HYPERLINK("https://www.catalog.slsa.sa.gov.au/record=b2222615")</f>
        <v>https://www.catalog.slsa.sa.gov.au/record=b2222615</v>
      </c>
      <c r="C11830" s="1" t="str">
        <f>HYPERLINK("https://www.catalog.slsa.sa.gov.au/xrecord=b2222615")</f>
        <v>https://www.catalog.slsa.sa.gov.au/xrecord=b2222615</v>
      </c>
      <c r="D11830" t="s">
        <v>31902</v>
      </c>
      <c r="E11830" t="s">
        <v>35977</v>
      </c>
      <c r="F11830">
        <v>2008</v>
      </c>
      <c r="G11830" t="s">
        <v>33690</v>
      </c>
      <c r="H11830" t="s">
        <v>35980</v>
      </c>
      <c r="J11830" t="s">
        <v>14768</v>
      </c>
      <c r="K11830" s="2" t="str">
        <f>HYPERLINK("http://collections.slsa.sa.gov.au/mpcimg/69500/B69282_494.htm")</f>
        <v>http://collections.slsa.sa.gov.au/mpcimg/69500/B69282_494.htm</v>
      </c>
    </row>
    <row r="11831" spans="1:11" x14ac:dyDescent="0.25">
      <c r="A11831" t="s">
        <v>35981</v>
      </c>
      <c r="B11831" s="1" t="str">
        <f>HYPERLINK("https://www.catalog.slsa.sa.gov.au/record=b2222618")</f>
        <v>https://www.catalog.slsa.sa.gov.au/record=b2222618</v>
      </c>
      <c r="C11831" s="1" t="str">
        <f>HYPERLINK("https://www.catalog.slsa.sa.gov.au/xrecord=b2222618")</f>
        <v>https://www.catalog.slsa.sa.gov.au/xrecord=b2222618</v>
      </c>
      <c r="D11831" t="s">
        <v>31902</v>
      </c>
      <c r="E11831" t="s">
        <v>35977</v>
      </c>
      <c r="F11831">
        <v>2008</v>
      </c>
      <c r="G11831" t="s">
        <v>33690</v>
      </c>
      <c r="H11831" t="s">
        <v>35980</v>
      </c>
      <c r="J11831" t="s">
        <v>14768</v>
      </c>
      <c r="K11831" s="2" t="str">
        <f>HYPERLINK("http://collections.slsa.sa.gov.au/mpcimg/69500/B69282_495.htm")</f>
        <v>http://collections.slsa.sa.gov.au/mpcimg/69500/B69282_495.htm</v>
      </c>
    </row>
    <row r="11832" spans="1:11" x14ac:dyDescent="0.25">
      <c r="A11832" t="s">
        <v>35982</v>
      </c>
      <c r="B11832" s="1" t="str">
        <f>HYPERLINK("https://www.catalog.slsa.sa.gov.au/record=b2222619")</f>
        <v>https://www.catalog.slsa.sa.gov.au/record=b2222619</v>
      </c>
      <c r="C11832" s="1" t="str">
        <f>HYPERLINK("https://www.catalog.slsa.sa.gov.au/xrecord=b2222619")</f>
        <v>https://www.catalog.slsa.sa.gov.au/xrecord=b2222619</v>
      </c>
      <c r="D11832" t="s">
        <v>31902</v>
      </c>
      <c r="E11832" t="s">
        <v>35977</v>
      </c>
      <c r="F11832">
        <v>2008</v>
      </c>
      <c r="G11832" t="s">
        <v>33690</v>
      </c>
      <c r="H11832" t="s">
        <v>35983</v>
      </c>
      <c r="J11832" t="s">
        <v>14768</v>
      </c>
      <c r="K11832" s="2" t="str">
        <f>HYPERLINK("http://collections.slsa.sa.gov.au/mpcimg/69500/B69282_496.htm")</f>
        <v>http://collections.slsa.sa.gov.au/mpcimg/69500/B69282_496.htm</v>
      </c>
    </row>
    <row r="11833" spans="1:11" x14ac:dyDescent="0.25">
      <c r="A11833" t="s">
        <v>35984</v>
      </c>
      <c r="B11833" s="1" t="str">
        <f>HYPERLINK("https://www.catalog.slsa.sa.gov.au/record=b2222620")</f>
        <v>https://www.catalog.slsa.sa.gov.au/record=b2222620</v>
      </c>
      <c r="C11833" s="1" t="str">
        <f>HYPERLINK("https://www.catalog.slsa.sa.gov.au/xrecord=b2222620")</f>
        <v>https://www.catalog.slsa.sa.gov.au/xrecord=b2222620</v>
      </c>
      <c r="D11833" t="s">
        <v>31902</v>
      </c>
      <c r="E11833" t="s">
        <v>35977</v>
      </c>
      <c r="F11833">
        <v>2008</v>
      </c>
      <c r="G11833" t="s">
        <v>33690</v>
      </c>
      <c r="H11833" t="s">
        <v>35985</v>
      </c>
      <c r="J11833" t="s">
        <v>14768</v>
      </c>
      <c r="K11833" s="2" t="str">
        <f>HYPERLINK("http://collections.slsa.sa.gov.au/mpcimg/69500/B69282_497.htm")</f>
        <v>http://collections.slsa.sa.gov.au/mpcimg/69500/B69282_497.htm</v>
      </c>
    </row>
    <row r="11834" spans="1:11" x14ac:dyDescent="0.25">
      <c r="A11834" t="s">
        <v>35986</v>
      </c>
      <c r="B11834" s="1" t="str">
        <f>HYPERLINK("https://www.catalog.slsa.sa.gov.au/record=b2222621")</f>
        <v>https://www.catalog.slsa.sa.gov.au/record=b2222621</v>
      </c>
      <c r="C11834" s="1" t="str">
        <f>HYPERLINK("https://www.catalog.slsa.sa.gov.au/xrecord=b2222621")</f>
        <v>https://www.catalog.slsa.sa.gov.au/xrecord=b2222621</v>
      </c>
      <c r="D11834" t="s">
        <v>31902</v>
      </c>
      <c r="E11834" t="s">
        <v>35977</v>
      </c>
      <c r="F11834">
        <v>2008</v>
      </c>
      <c r="G11834" t="s">
        <v>33690</v>
      </c>
      <c r="H11834" t="s">
        <v>35987</v>
      </c>
      <c r="J11834" t="s">
        <v>14768</v>
      </c>
      <c r="K11834" s="2" t="str">
        <f>HYPERLINK("http://collections.slsa.sa.gov.au/mpcimg/69500/B69282_498.htm")</f>
        <v>http://collections.slsa.sa.gov.au/mpcimg/69500/B69282_498.htm</v>
      </c>
    </row>
    <row r="11835" spans="1:11" x14ac:dyDescent="0.25">
      <c r="A11835" t="s">
        <v>35988</v>
      </c>
      <c r="B11835" s="1" t="str">
        <f>HYPERLINK("https://www.catalog.slsa.sa.gov.au/record=b2222623")</f>
        <v>https://www.catalog.slsa.sa.gov.au/record=b2222623</v>
      </c>
      <c r="C11835" s="1" t="str">
        <f>HYPERLINK("https://www.catalog.slsa.sa.gov.au/xrecord=b2222623")</f>
        <v>https://www.catalog.slsa.sa.gov.au/xrecord=b2222623</v>
      </c>
      <c r="D11835" t="s">
        <v>31902</v>
      </c>
      <c r="E11835" t="s">
        <v>35989</v>
      </c>
      <c r="F11835">
        <v>2008</v>
      </c>
      <c r="G11835" t="s">
        <v>33690</v>
      </c>
      <c r="H11835" t="s">
        <v>35990</v>
      </c>
      <c r="J11835" t="s">
        <v>14768</v>
      </c>
      <c r="K11835" s="2" t="str">
        <f>HYPERLINK("http://collections.slsa.sa.gov.au/mpcimg/69500/B69282_499.htm")</f>
        <v>http://collections.slsa.sa.gov.au/mpcimg/69500/B69282_499.htm</v>
      </c>
    </row>
    <row r="11836" spans="1:11" x14ac:dyDescent="0.25">
      <c r="A11836" t="s">
        <v>35991</v>
      </c>
      <c r="B11836" s="1" t="str">
        <f>HYPERLINK("https://www.catalog.slsa.sa.gov.au/record=b2222624")</f>
        <v>https://www.catalog.slsa.sa.gov.au/record=b2222624</v>
      </c>
      <c r="C11836" s="1" t="str">
        <f>HYPERLINK("https://www.catalog.slsa.sa.gov.au/xrecord=b2222624")</f>
        <v>https://www.catalog.slsa.sa.gov.au/xrecord=b2222624</v>
      </c>
      <c r="D11836" t="s">
        <v>31902</v>
      </c>
      <c r="E11836" t="s">
        <v>35992</v>
      </c>
      <c r="F11836">
        <v>2008</v>
      </c>
      <c r="G11836" t="s">
        <v>33690</v>
      </c>
      <c r="H11836" t="s">
        <v>35993</v>
      </c>
      <c r="I11836" t="s">
        <v>35994</v>
      </c>
      <c r="J11836" t="s">
        <v>14768</v>
      </c>
      <c r="K11836" s="2" t="str">
        <f>HYPERLINK("http://collections.slsa.sa.gov.au/mpcimg/69500/B69282_500.htm")</f>
        <v>http://collections.slsa.sa.gov.au/mpcimg/69500/B69282_500.htm</v>
      </c>
    </row>
    <row r="11837" spans="1:11" x14ac:dyDescent="0.25">
      <c r="A11837" t="s">
        <v>35995</v>
      </c>
      <c r="B11837" s="1" t="str">
        <f>HYPERLINK("https://www.catalog.slsa.sa.gov.au/record=b2222625")</f>
        <v>https://www.catalog.slsa.sa.gov.au/record=b2222625</v>
      </c>
      <c r="C11837" s="1" t="str">
        <f>HYPERLINK("https://www.catalog.slsa.sa.gov.au/xrecord=b2222625")</f>
        <v>https://www.catalog.slsa.sa.gov.au/xrecord=b2222625</v>
      </c>
      <c r="D11837" t="s">
        <v>31902</v>
      </c>
      <c r="E11837" t="s">
        <v>35992</v>
      </c>
      <c r="F11837">
        <v>2008</v>
      </c>
      <c r="G11837" t="s">
        <v>33690</v>
      </c>
      <c r="H11837" t="s">
        <v>35993</v>
      </c>
      <c r="I11837" t="s">
        <v>35994</v>
      </c>
      <c r="J11837" t="s">
        <v>14768</v>
      </c>
      <c r="K11837" s="2" t="str">
        <f>HYPERLINK("http://collections.slsa.sa.gov.au/mpcimg/69500/B69282_501.htm")</f>
        <v>http://collections.slsa.sa.gov.au/mpcimg/69500/B69282_501.htm</v>
      </c>
    </row>
    <row r="11838" spans="1:11" x14ac:dyDescent="0.25">
      <c r="A11838" t="s">
        <v>35996</v>
      </c>
      <c r="B11838" s="1" t="str">
        <f>HYPERLINK("https://www.catalog.slsa.sa.gov.au/record=b2222626")</f>
        <v>https://www.catalog.slsa.sa.gov.au/record=b2222626</v>
      </c>
      <c r="C11838" s="1" t="str">
        <f>HYPERLINK("https://www.catalog.slsa.sa.gov.au/xrecord=b2222626")</f>
        <v>https://www.catalog.slsa.sa.gov.au/xrecord=b2222626</v>
      </c>
      <c r="D11838" t="s">
        <v>31902</v>
      </c>
      <c r="E11838" t="s">
        <v>35997</v>
      </c>
      <c r="F11838">
        <v>2008</v>
      </c>
      <c r="G11838" t="s">
        <v>33690</v>
      </c>
      <c r="H11838" t="s">
        <v>35993</v>
      </c>
      <c r="I11838" t="s">
        <v>35994</v>
      </c>
      <c r="J11838" t="s">
        <v>14768</v>
      </c>
      <c r="K11838" s="2" t="str">
        <f>HYPERLINK("http://collections.slsa.sa.gov.au/mpcimg/69500/B69282_502.htm")</f>
        <v>http://collections.slsa.sa.gov.au/mpcimg/69500/B69282_502.htm</v>
      </c>
    </row>
    <row r="11839" spans="1:11" x14ac:dyDescent="0.25">
      <c r="A11839" t="s">
        <v>35998</v>
      </c>
      <c r="B11839" s="1" t="str">
        <f>HYPERLINK("https://www.catalog.slsa.sa.gov.au/record=b3127333")</f>
        <v>https://www.catalog.slsa.sa.gov.au/record=b3127333</v>
      </c>
      <c r="C11839" s="1" t="str">
        <f>HYPERLINK("https://www.catalog.slsa.sa.gov.au/xrecord=b3127333")</f>
        <v>https://www.catalog.slsa.sa.gov.au/xrecord=b3127333</v>
      </c>
      <c r="D11839" t="s">
        <v>31636</v>
      </c>
      <c r="E11839" t="s">
        <v>35999</v>
      </c>
      <c r="F11839" t="s">
        <v>36000</v>
      </c>
      <c r="G11839" t="s">
        <v>36001</v>
      </c>
      <c r="H11839" t="s">
        <v>36002</v>
      </c>
      <c r="I11839" t="s">
        <v>36003</v>
      </c>
      <c r="J11839" t="s">
        <v>1809</v>
      </c>
      <c r="K11839" s="2" t="str">
        <f>HYPERLINK("http://collections.slsa.sa.gov.au/resource/B+75267")</f>
        <v>http://collections.slsa.sa.gov.au/resource/B+75267</v>
      </c>
    </row>
    <row r="11840" spans="1:11" x14ac:dyDescent="0.25">
      <c r="A11840" t="s">
        <v>36004</v>
      </c>
      <c r="B11840" s="1" t="str">
        <f>HYPERLINK("https://www.catalog.slsa.sa.gov.au/record=b2231092")</f>
        <v>https://www.catalog.slsa.sa.gov.au/record=b2231092</v>
      </c>
      <c r="C11840" s="1" t="str">
        <f>HYPERLINK("https://www.catalog.slsa.sa.gov.au/xrecord=b2231092")</f>
        <v>https://www.catalog.slsa.sa.gov.au/xrecord=b2231092</v>
      </c>
      <c r="D11840" t="s">
        <v>31902</v>
      </c>
      <c r="E11840" t="s">
        <v>36005</v>
      </c>
      <c r="F11840">
        <v>2009</v>
      </c>
      <c r="G11840" t="s">
        <v>33690</v>
      </c>
      <c r="H11840" t="s">
        <v>36006</v>
      </c>
      <c r="I11840" t="s">
        <v>36007</v>
      </c>
      <c r="J11840" t="s">
        <v>14768</v>
      </c>
      <c r="K11840" s="2" t="str">
        <f>HYPERLINK("http://collections.slsa.sa.gov.au/mpcimg/69500/B69282_503.htm")</f>
        <v>http://collections.slsa.sa.gov.au/mpcimg/69500/B69282_503.htm</v>
      </c>
    </row>
    <row r="11841" spans="1:11" x14ac:dyDescent="0.25">
      <c r="A11841" t="s">
        <v>36008</v>
      </c>
      <c r="B11841" s="1" t="str">
        <f>HYPERLINK("https://www.catalog.slsa.sa.gov.au/record=b2231139")</f>
        <v>https://www.catalog.slsa.sa.gov.au/record=b2231139</v>
      </c>
      <c r="C11841" s="1" t="str">
        <f>HYPERLINK("https://www.catalog.slsa.sa.gov.au/xrecord=b2231139")</f>
        <v>https://www.catalog.slsa.sa.gov.au/xrecord=b2231139</v>
      </c>
      <c r="D11841" t="s">
        <v>31902</v>
      </c>
      <c r="E11841" t="s">
        <v>36009</v>
      </c>
      <c r="F11841">
        <v>2009</v>
      </c>
      <c r="G11841" t="s">
        <v>33690</v>
      </c>
      <c r="H11841" t="s">
        <v>36010</v>
      </c>
      <c r="J11841" t="s">
        <v>14768</v>
      </c>
      <c r="K11841" s="2" t="str">
        <f>HYPERLINK("http://collections.slsa.sa.gov.au/mpcimg/69500/B69282_504.htm")</f>
        <v>http://collections.slsa.sa.gov.au/mpcimg/69500/B69282_504.htm</v>
      </c>
    </row>
    <row r="11842" spans="1:11" x14ac:dyDescent="0.25">
      <c r="A11842" t="s">
        <v>36011</v>
      </c>
      <c r="B11842" s="1" t="str">
        <f>HYPERLINK("https://www.catalog.slsa.sa.gov.au/record=b2231140")</f>
        <v>https://www.catalog.slsa.sa.gov.au/record=b2231140</v>
      </c>
      <c r="C11842" s="1" t="str">
        <f>HYPERLINK("https://www.catalog.slsa.sa.gov.au/xrecord=b2231140")</f>
        <v>https://www.catalog.slsa.sa.gov.au/xrecord=b2231140</v>
      </c>
      <c r="D11842" t="s">
        <v>31902</v>
      </c>
      <c r="E11842" t="s">
        <v>36012</v>
      </c>
      <c r="F11842">
        <v>2009</v>
      </c>
      <c r="G11842" t="s">
        <v>33690</v>
      </c>
      <c r="H11842" t="s">
        <v>36013</v>
      </c>
      <c r="J11842" t="s">
        <v>14768</v>
      </c>
      <c r="K11842" s="2" t="str">
        <f>HYPERLINK("http://collections.slsa.sa.gov.au/mpcimg/69500/B69282_505.htm")</f>
        <v>http://collections.slsa.sa.gov.au/mpcimg/69500/B69282_505.htm</v>
      </c>
    </row>
    <row r="11843" spans="1:11" x14ac:dyDescent="0.25">
      <c r="A11843" t="s">
        <v>36014</v>
      </c>
      <c r="B11843" s="1" t="str">
        <f>HYPERLINK("https://www.catalog.slsa.sa.gov.au/record=b2231143")</f>
        <v>https://www.catalog.slsa.sa.gov.au/record=b2231143</v>
      </c>
      <c r="C11843" s="1" t="str">
        <f>HYPERLINK("https://www.catalog.slsa.sa.gov.au/xrecord=b2231143")</f>
        <v>https://www.catalog.slsa.sa.gov.au/xrecord=b2231143</v>
      </c>
      <c r="D11843" t="s">
        <v>31902</v>
      </c>
      <c r="E11843" t="s">
        <v>36015</v>
      </c>
      <c r="F11843">
        <v>2009</v>
      </c>
      <c r="G11843" t="s">
        <v>33690</v>
      </c>
      <c r="H11843" t="s">
        <v>36016</v>
      </c>
      <c r="I11843" t="s">
        <v>36017</v>
      </c>
      <c r="J11843" t="s">
        <v>14768</v>
      </c>
      <c r="K11843" s="2" t="str">
        <f>HYPERLINK("http://collections.slsa.sa.gov.au/mpcimg/69500/B69282_506.htm")</f>
        <v>http://collections.slsa.sa.gov.au/mpcimg/69500/B69282_506.htm</v>
      </c>
    </row>
    <row r="11844" spans="1:11" x14ac:dyDescent="0.25">
      <c r="A11844" t="s">
        <v>36018</v>
      </c>
      <c r="B11844" s="1" t="str">
        <f>HYPERLINK("https://www.catalog.slsa.sa.gov.au/record=b2233067")</f>
        <v>https://www.catalog.slsa.sa.gov.au/record=b2233067</v>
      </c>
      <c r="C11844" s="1" t="str">
        <f>HYPERLINK("https://www.catalog.slsa.sa.gov.au/xrecord=b2233067")</f>
        <v>https://www.catalog.slsa.sa.gov.au/xrecord=b2233067</v>
      </c>
      <c r="D11844" t="s">
        <v>31902</v>
      </c>
      <c r="E11844" t="s">
        <v>35662</v>
      </c>
      <c r="F11844">
        <v>2009</v>
      </c>
      <c r="G11844" t="s">
        <v>33690</v>
      </c>
      <c r="H11844" t="s">
        <v>36019</v>
      </c>
      <c r="I11844" t="s">
        <v>36020</v>
      </c>
      <c r="J11844" t="s">
        <v>14768</v>
      </c>
      <c r="K11844" s="2" t="str">
        <f>HYPERLINK("http://collections.slsa.sa.gov.au/mpcimg/69500/B69282_507.htm")</f>
        <v>http://collections.slsa.sa.gov.au/mpcimg/69500/B69282_507.htm</v>
      </c>
    </row>
    <row r="11845" spans="1:11" x14ac:dyDescent="0.25">
      <c r="A11845" t="s">
        <v>36021</v>
      </c>
      <c r="B11845" s="1" t="str">
        <f>HYPERLINK("https://www.catalog.slsa.sa.gov.au/record=b2233068")</f>
        <v>https://www.catalog.slsa.sa.gov.au/record=b2233068</v>
      </c>
      <c r="C11845" s="1" t="str">
        <f>HYPERLINK("https://www.catalog.slsa.sa.gov.au/xrecord=b2233068")</f>
        <v>https://www.catalog.slsa.sa.gov.au/xrecord=b2233068</v>
      </c>
      <c r="D11845" t="s">
        <v>31902</v>
      </c>
      <c r="E11845" t="s">
        <v>35662</v>
      </c>
      <c r="F11845">
        <v>2009</v>
      </c>
      <c r="G11845" t="s">
        <v>33690</v>
      </c>
      <c r="H11845" t="s">
        <v>36022</v>
      </c>
      <c r="I11845" t="s">
        <v>36020</v>
      </c>
      <c r="J11845" t="s">
        <v>14768</v>
      </c>
      <c r="K11845" s="2" t="str">
        <f>HYPERLINK("http://collections.slsa.sa.gov.au/mpcimg/69500/B69282_508.htm")</f>
        <v>http://collections.slsa.sa.gov.au/mpcimg/69500/B69282_508.htm</v>
      </c>
    </row>
    <row r="11846" spans="1:11" x14ac:dyDescent="0.25">
      <c r="A11846" t="s">
        <v>36023</v>
      </c>
      <c r="B11846" s="1" t="str">
        <f>HYPERLINK("https://www.catalog.slsa.sa.gov.au/record=b2233069")</f>
        <v>https://www.catalog.slsa.sa.gov.au/record=b2233069</v>
      </c>
      <c r="C11846" s="1" t="str">
        <f>HYPERLINK("https://www.catalog.slsa.sa.gov.au/xrecord=b2233069")</f>
        <v>https://www.catalog.slsa.sa.gov.au/xrecord=b2233069</v>
      </c>
      <c r="D11846" t="s">
        <v>31902</v>
      </c>
      <c r="E11846" t="s">
        <v>35662</v>
      </c>
      <c r="F11846">
        <v>2009</v>
      </c>
      <c r="G11846" t="s">
        <v>33690</v>
      </c>
      <c r="H11846" t="s">
        <v>36024</v>
      </c>
      <c r="I11846" t="s">
        <v>36020</v>
      </c>
      <c r="J11846" t="s">
        <v>14768</v>
      </c>
      <c r="K11846" s="2" t="str">
        <f>HYPERLINK("http://collections.slsa.sa.gov.au/mpcimg/69500/B69282_509.htm")</f>
        <v>http://collections.slsa.sa.gov.au/mpcimg/69500/B69282_509.htm</v>
      </c>
    </row>
    <row r="11847" spans="1:11" x14ac:dyDescent="0.25">
      <c r="A11847" t="s">
        <v>36025</v>
      </c>
      <c r="B11847" s="1" t="str">
        <f>HYPERLINK("https://www.catalog.slsa.sa.gov.au/record=b2233070")</f>
        <v>https://www.catalog.slsa.sa.gov.au/record=b2233070</v>
      </c>
      <c r="C11847" s="1" t="str">
        <f>HYPERLINK("https://www.catalog.slsa.sa.gov.au/xrecord=b2233070")</f>
        <v>https://www.catalog.slsa.sa.gov.au/xrecord=b2233070</v>
      </c>
      <c r="D11847" t="s">
        <v>31902</v>
      </c>
      <c r="E11847" t="s">
        <v>35662</v>
      </c>
      <c r="F11847">
        <v>2009</v>
      </c>
      <c r="G11847" t="s">
        <v>33690</v>
      </c>
      <c r="H11847" t="s">
        <v>36022</v>
      </c>
      <c r="I11847" t="s">
        <v>36020</v>
      </c>
      <c r="J11847" t="s">
        <v>14768</v>
      </c>
      <c r="K11847" s="2" t="str">
        <f>HYPERLINK("http://collections.slsa.sa.gov.au/mpcimg/69500/B69282_510.htm")</f>
        <v>http://collections.slsa.sa.gov.au/mpcimg/69500/B69282_510.htm</v>
      </c>
    </row>
    <row r="11848" spans="1:11" x14ac:dyDescent="0.25">
      <c r="A11848" t="s">
        <v>36026</v>
      </c>
      <c r="B11848" s="1" t="str">
        <f>HYPERLINK("https://www.catalog.slsa.sa.gov.au/record=b2233071")</f>
        <v>https://www.catalog.slsa.sa.gov.au/record=b2233071</v>
      </c>
      <c r="C11848" s="1" t="str">
        <f>HYPERLINK("https://www.catalog.slsa.sa.gov.au/xrecord=b2233071")</f>
        <v>https://www.catalog.slsa.sa.gov.au/xrecord=b2233071</v>
      </c>
      <c r="D11848" t="s">
        <v>31902</v>
      </c>
      <c r="E11848" t="s">
        <v>35662</v>
      </c>
      <c r="F11848">
        <v>2009</v>
      </c>
      <c r="G11848" t="s">
        <v>33690</v>
      </c>
      <c r="H11848" t="s">
        <v>36027</v>
      </c>
      <c r="I11848" t="s">
        <v>36020</v>
      </c>
      <c r="J11848" t="s">
        <v>14768</v>
      </c>
      <c r="K11848" s="2" t="str">
        <f>HYPERLINK("http://collections.slsa.sa.gov.au/mpcimg/69500/B69282_511.htm")</f>
        <v>http://collections.slsa.sa.gov.au/mpcimg/69500/B69282_511.htm</v>
      </c>
    </row>
    <row r="11849" spans="1:11" x14ac:dyDescent="0.25">
      <c r="A11849" t="s">
        <v>36028</v>
      </c>
      <c r="B11849" s="1" t="str">
        <f>HYPERLINK("https://www.catalog.slsa.sa.gov.au/record=b2233072")</f>
        <v>https://www.catalog.slsa.sa.gov.au/record=b2233072</v>
      </c>
      <c r="C11849" s="1" t="str">
        <f>HYPERLINK("https://www.catalog.slsa.sa.gov.au/xrecord=b2233072")</f>
        <v>https://www.catalog.slsa.sa.gov.au/xrecord=b2233072</v>
      </c>
      <c r="D11849" t="s">
        <v>31902</v>
      </c>
      <c r="E11849" t="s">
        <v>35662</v>
      </c>
      <c r="F11849">
        <v>2009</v>
      </c>
      <c r="G11849" t="s">
        <v>33690</v>
      </c>
      <c r="H11849" t="s">
        <v>36029</v>
      </c>
      <c r="I11849" t="s">
        <v>36020</v>
      </c>
      <c r="J11849" t="s">
        <v>14768</v>
      </c>
      <c r="K11849" s="2" t="str">
        <f>HYPERLINK("http://collections.slsa.sa.gov.au/mpcimg/69500/B69282_512.htm")</f>
        <v>http://collections.slsa.sa.gov.au/mpcimg/69500/B69282_512.htm</v>
      </c>
    </row>
    <row r="11850" spans="1:11" x14ac:dyDescent="0.25">
      <c r="A11850" t="s">
        <v>36030</v>
      </c>
      <c r="B11850" s="1" t="str">
        <f>HYPERLINK("https://www.catalog.slsa.sa.gov.au/record=b2233073")</f>
        <v>https://www.catalog.slsa.sa.gov.au/record=b2233073</v>
      </c>
      <c r="C11850" s="1" t="str">
        <f>HYPERLINK("https://www.catalog.slsa.sa.gov.au/xrecord=b2233073")</f>
        <v>https://www.catalog.slsa.sa.gov.au/xrecord=b2233073</v>
      </c>
      <c r="D11850" t="s">
        <v>31902</v>
      </c>
      <c r="E11850" t="s">
        <v>35662</v>
      </c>
      <c r="F11850">
        <v>2009</v>
      </c>
      <c r="G11850" t="s">
        <v>33690</v>
      </c>
      <c r="H11850" t="s">
        <v>36031</v>
      </c>
      <c r="I11850" t="s">
        <v>36020</v>
      </c>
      <c r="J11850" t="s">
        <v>14768</v>
      </c>
      <c r="K11850" s="2" t="str">
        <f>HYPERLINK("http://collections.slsa.sa.gov.au/mpcimg/69500/B69282_513.htm")</f>
        <v>http://collections.slsa.sa.gov.au/mpcimg/69500/B69282_513.htm</v>
      </c>
    </row>
    <row r="11851" spans="1:11" x14ac:dyDescent="0.25">
      <c r="A11851" t="s">
        <v>36032</v>
      </c>
      <c r="B11851" s="1" t="str">
        <f>HYPERLINK("https://www.catalog.slsa.sa.gov.au/record=b2299619")</f>
        <v>https://www.catalog.slsa.sa.gov.au/record=b2299619</v>
      </c>
      <c r="C11851" s="1" t="str">
        <f>HYPERLINK("https://www.catalog.slsa.sa.gov.au/xrecord=b2299619")</f>
        <v>https://www.catalog.slsa.sa.gov.au/xrecord=b2299619</v>
      </c>
      <c r="D11851" t="s">
        <v>31902</v>
      </c>
      <c r="E11851" t="s">
        <v>36033</v>
      </c>
      <c r="F11851">
        <v>2009</v>
      </c>
      <c r="G11851" t="s">
        <v>33690</v>
      </c>
      <c r="H11851" t="s">
        <v>36034</v>
      </c>
      <c r="J11851" t="s">
        <v>14768</v>
      </c>
      <c r="K11851" s="2" t="str">
        <f>HYPERLINK("http://collections.slsa.sa.gov.au/mpcimg/69500/B69282_514.htm")</f>
        <v>http://collections.slsa.sa.gov.au/mpcimg/69500/B69282_514.htm</v>
      </c>
    </row>
    <row r="11852" spans="1:11" x14ac:dyDescent="0.25">
      <c r="A11852" t="s">
        <v>36035</v>
      </c>
      <c r="B11852" s="1" t="str">
        <f>HYPERLINK("https://www.catalog.slsa.sa.gov.au/record=b2299621")</f>
        <v>https://www.catalog.slsa.sa.gov.au/record=b2299621</v>
      </c>
      <c r="C11852" s="1" t="str">
        <f>HYPERLINK("https://www.catalog.slsa.sa.gov.au/xrecord=b2299621")</f>
        <v>https://www.catalog.slsa.sa.gov.au/xrecord=b2299621</v>
      </c>
      <c r="D11852" t="s">
        <v>31902</v>
      </c>
      <c r="E11852" t="s">
        <v>36036</v>
      </c>
      <c r="F11852">
        <v>2009</v>
      </c>
      <c r="G11852" t="s">
        <v>33690</v>
      </c>
      <c r="H11852" t="s">
        <v>36037</v>
      </c>
      <c r="J11852" t="s">
        <v>14768</v>
      </c>
      <c r="K11852" s="2" t="str">
        <f>HYPERLINK("http://collections.slsa.sa.gov.au/mpcimg/69500/B69282_515.htm")</f>
        <v>http://collections.slsa.sa.gov.au/mpcimg/69500/B69282_515.htm</v>
      </c>
    </row>
    <row r="11853" spans="1:11" x14ac:dyDescent="0.25">
      <c r="A11853" t="s">
        <v>36038</v>
      </c>
      <c r="B11853" s="1" t="str">
        <f>HYPERLINK("https://www.catalog.slsa.sa.gov.au/record=b2299623")</f>
        <v>https://www.catalog.slsa.sa.gov.au/record=b2299623</v>
      </c>
      <c r="C11853" s="1" t="str">
        <f>HYPERLINK("https://www.catalog.slsa.sa.gov.au/xrecord=b2299623")</f>
        <v>https://www.catalog.slsa.sa.gov.au/xrecord=b2299623</v>
      </c>
      <c r="D11853" t="s">
        <v>31902</v>
      </c>
      <c r="E11853" t="s">
        <v>36039</v>
      </c>
      <c r="F11853">
        <v>2009</v>
      </c>
      <c r="G11853" t="s">
        <v>33690</v>
      </c>
      <c r="H11853" t="s">
        <v>36040</v>
      </c>
      <c r="J11853" t="s">
        <v>14768</v>
      </c>
      <c r="K11853" s="2" t="str">
        <f>HYPERLINK("http://collections.slsa.sa.gov.au/mpcimg/69500/B69282_516.htm")</f>
        <v>http://collections.slsa.sa.gov.au/mpcimg/69500/B69282_516.htm</v>
      </c>
    </row>
    <row r="11854" spans="1:11" x14ac:dyDescent="0.25">
      <c r="A11854" t="s">
        <v>36041</v>
      </c>
      <c r="B11854" s="1" t="str">
        <f>HYPERLINK("https://www.catalog.slsa.sa.gov.au/record=b2299624")</f>
        <v>https://www.catalog.slsa.sa.gov.au/record=b2299624</v>
      </c>
      <c r="C11854" s="1" t="str">
        <f>HYPERLINK("https://www.catalog.slsa.sa.gov.au/xrecord=b2299624")</f>
        <v>https://www.catalog.slsa.sa.gov.au/xrecord=b2299624</v>
      </c>
      <c r="D11854" t="s">
        <v>31902</v>
      </c>
      <c r="E11854" t="s">
        <v>36042</v>
      </c>
      <c r="F11854">
        <v>2009</v>
      </c>
      <c r="G11854" t="s">
        <v>33690</v>
      </c>
      <c r="H11854" t="s">
        <v>36043</v>
      </c>
      <c r="J11854" t="s">
        <v>14768</v>
      </c>
      <c r="K11854" s="2" t="str">
        <f>HYPERLINK("http://collections.slsa.sa.gov.au/mpcimg/69500/B69282_519.htm")</f>
        <v>http://collections.slsa.sa.gov.au/mpcimg/69500/B69282_519.htm</v>
      </c>
    </row>
    <row r="11855" spans="1:11" x14ac:dyDescent="0.25">
      <c r="A11855" t="s">
        <v>36044</v>
      </c>
      <c r="B11855" s="1" t="str">
        <f>HYPERLINK("https://www.catalog.slsa.sa.gov.au/record=b2299626")</f>
        <v>https://www.catalog.slsa.sa.gov.au/record=b2299626</v>
      </c>
      <c r="C11855" s="1" t="str">
        <f>HYPERLINK("https://www.catalog.slsa.sa.gov.au/xrecord=b2299626")</f>
        <v>https://www.catalog.slsa.sa.gov.au/xrecord=b2299626</v>
      </c>
      <c r="D11855" t="s">
        <v>31902</v>
      </c>
      <c r="E11855" t="s">
        <v>36045</v>
      </c>
      <c r="F11855">
        <v>2009</v>
      </c>
      <c r="G11855" t="s">
        <v>33690</v>
      </c>
      <c r="H11855" t="s">
        <v>36046</v>
      </c>
      <c r="J11855" t="s">
        <v>14768</v>
      </c>
      <c r="K11855" s="2" t="str">
        <f>HYPERLINK("http://collections.slsa.sa.gov.au/mpcimg/69500/B69282_517.htm")</f>
        <v>http://collections.slsa.sa.gov.au/mpcimg/69500/B69282_517.htm</v>
      </c>
    </row>
    <row r="11856" spans="1:11" x14ac:dyDescent="0.25">
      <c r="A11856" t="s">
        <v>36047</v>
      </c>
      <c r="B11856" s="1" t="str">
        <f>HYPERLINK("https://www.catalog.slsa.sa.gov.au/record=b2299628")</f>
        <v>https://www.catalog.slsa.sa.gov.au/record=b2299628</v>
      </c>
      <c r="C11856" s="1" t="str">
        <f>HYPERLINK("https://www.catalog.slsa.sa.gov.au/xrecord=b2299628")</f>
        <v>https://www.catalog.slsa.sa.gov.au/xrecord=b2299628</v>
      </c>
      <c r="D11856" t="s">
        <v>31902</v>
      </c>
      <c r="E11856" t="s">
        <v>36048</v>
      </c>
      <c r="F11856">
        <v>2009</v>
      </c>
      <c r="G11856" t="s">
        <v>33690</v>
      </c>
      <c r="H11856" t="s">
        <v>36049</v>
      </c>
      <c r="J11856" t="s">
        <v>14768</v>
      </c>
      <c r="K11856" s="2" t="str">
        <f>HYPERLINK("http://collections.slsa.sa.gov.au/mpcimg/69500/B69282_518.htm")</f>
        <v>http://collections.slsa.sa.gov.au/mpcimg/69500/B69282_518.htm</v>
      </c>
    </row>
    <row r="11857" spans="1:11" x14ac:dyDescent="0.25">
      <c r="A11857" t="s">
        <v>36050</v>
      </c>
      <c r="B11857" s="1" t="str">
        <f>HYPERLINK("https://www.catalog.slsa.sa.gov.au/record=b2300628")</f>
        <v>https://www.catalog.slsa.sa.gov.au/record=b2300628</v>
      </c>
      <c r="C11857" s="1" t="str">
        <f>HYPERLINK("https://www.catalog.slsa.sa.gov.au/xrecord=b2300628")</f>
        <v>https://www.catalog.slsa.sa.gov.au/xrecord=b2300628</v>
      </c>
      <c r="D11857" t="s">
        <v>31902</v>
      </c>
      <c r="E11857" t="s">
        <v>36051</v>
      </c>
      <c r="F11857">
        <v>2009</v>
      </c>
      <c r="G11857" t="s">
        <v>33690</v>
      </c>
      <c r="H11857" t="s">
        <v>36052</v>
      </c>
      <c r="J11857" t="s">
        <v>14768</v>
      </c>
      <c r="K11857" s="2" t="str">
        <f>HYPERLINK("http://collections.slsa.sa.gov.au/mpcimg/69500/B69282_520.htm")</f>
        <v>http://collections.slsa.sa.gov.au/mpcimg/69500/B69282_520.htm</v>
      </c>
    </row>
    <row r="11858" spans="1:11" x14ac:dyDescent="0.25">
      <c r="A11858" t="s">
        <v>36053</v>
      </c>
      <c r="B11858" s="1" t="str">
        <f>HYPERLINK("https://www.catalog.slsa.sa.gov.au/record=b2313195")</f>
        <v>https://www.catalog.slsa.sa.gov.au/record=b2313195</v>
      </c>
      <c r="C11858" s="1" t="str">
        <f>HYPERLINK("https://www.catalog.slsa.sa.gov.au/xrecord=b2313195")</f>
        <v>https://www.catalog.slsa.sa.gov.au/xrecord=b2313195</v>
      </c>
      <c r="D11858" t="s">
        <v>31902</v>
      </c>
      <c r="E11858" t="s">
        <v>36054</v>
      </c>
      <c r="F11858">
        <v>2009</v>
      </c>
      <c r="G11858" t="s">
        <v>33690</v>
      </c>
      <c r="H11858" t="s">
        <v>36055</v>
      </c>
      <c r="I11858" t="s">
        <v>36056</v>
      </c>
      <c r="J11858" t="s">
        <v>14768</v>
      </c>
      <c r="K11858" s="2" t="str">
        <f>HYPERLINK("http://collections.slsa.sa.gov.au/mpcimg/69500/B69282_521.htm")</f>
        <v>http://collections.slsa.sa.gov.au/mpcimg/69500/B69282_521.htm</v>
      </c>
    </row>
    <row r="11859" spans="1:11" x14ac:dyDescent="0.25">
      <c r="A11859" t="s">
        <v>36057</v>
      </c>
      <c r="B11859" s="1" t="str">
        <f>HYPERLINK("https://www.catalog.slsa.sa.gov.au/record=b2316140")</f>
        <v>https://www.catalog.slsa.sa.gov.au/record=b2316140</v>
      </c>
      <c r="C11859" s="1" t="str">
        <f>HYPERLINK("https://www.catalog.slsa.sa.gov.au/xrecord=b2316140")</f>
        <v>https://www.catalog.slsa.sa.gov.au/xrecord=b2316140</v>
      </c>
      <c r="D11859" t="s">
        <v>31902</v>
      </c>
      <c r="E11859" t="s">
        <v>36058</v>
      </c>
      <c r="F11859">
        <v>2009</v>
      </c>
      <c r="G11859" t="s">
        <v>33690</v>
      </c>
      <c r="H11859" t="s">
        <v>36059</v>
      </c>
      <c r="I11859" t="s">
        <v>36060</v>
      </c>
      <c r="J11859" t="s">
        <v>14768</v>
      </c>
      <c r="K11859" s="2" t="str">
        <f>HYPERLINK("http://collections.slsa.sa.gov.au/mpcimg/69500/B69282_522.htm")</f>
        <v>http://collections.slsa.sa.gov.au/mpcimg/69500/B69282_522.htm</v>
      </c>
    </row>
    <row r="11860" spans="1:11" x14ac:dyDescent="0.25">
      <c r="A11860" t="s">
        <v>36061</v>
      </c>
      <c r="B11860" s="1" t="str">
        <f>HYPERLINK("https://www.catalog.slsa.sa.gov.au/record=b2316142")</f>
        <v>https://www.catalog.slsa.sa.gov.au/record=b2316142</v>
      </c>
      <c r="C11860" s="1" t="str">
        <f>HYPERLINK("https://www.catalog.slsa.sa.gov.au/xrecord=b2316142")</f>
        <v>https://www.catalog.slsa.sa.gov.au/xrecord=b2316142</v>
      </c>
      <c r="D11860" t="s">
        <v>31902</v>
      </c>
      <c r="E11860" t="s">
        <v>36062</v>
      </c>
      <c r="F11860">
        <v>2009</v>
      </c>
      <c r="G11860" t="s">
        <v>33690</v>
      </c>
      <c r="H11860" t="s">
        <v>36063</v>
      </c>
      <c r="I11860" t="s">
        <v>36060</v>
      </c>
      <c r="J11860" t="s">
        <v>14768</v>
      </c>
      <c r="K11860" s="2" t="str">
        <f>HYPERLINK("http://collections.slsa.sa.gov.au/mpcimg/69500/B69282_523.htm")</f>
        <v>http://collections.slsa.sa.gov.au/mpcimg/69500/B69282_523.htm</v>
      </c>
    </row>
    <row r="11861" spans="1:11" x14ac:dyDescent="0.25">
      <c r="A11861" t="s">
        <v>36064</v>
      </c>
      <c r="B11861" s="1" t="str">
        <f>HYPERLINK("https://www.catalog.slsa.sa.gov.au/record=b2316143")</f>
        <v>https://www.catalog.slsa.sa.gov.au/record=b2316143</v>
      </c>
      <c r="C11861" s="1" t="str">
        <f>HYPERLINK("https://www.catalog.slsa.sa.gov.au/xrecord=b2316143")</f>
        <v>https://www.catalog.slsa.sa.gov.au/xrecord=b2316143</v>
      </c>
      <c r="D11861" t="s">
        <v>31902</v>
      </c>
      <c r="E11861" t="s">
        <v>36065</v>
      </c>
      <c r="F11861">
        <v>2009</v>
      </c>
      <c r="G11861" t="s">
        <v>33690</v>
      </c>
      <c r="H11861" t="s">
        <v>36066</v>
      </c>
      <c r="I11861" t="s">
        <v>36060</v>
      </c>
      <c r="J11861" t="s">
        <v>14768</v>
      </c>
      <c r="K11861" s="2" t="str">
        <f>HYPERLINK("http://collections.slsa.sa.gov.au/mpcimg/69500/B69282_524.htm")</f>
        <v>http://collections.slsa.sa.gov.au/mpcimg/69500/B69282_524.htm</v>
      </c>
    </row>
    <row r="11862" spans="1:11" x14ac:dyDescent="0.25">
      <c r="A11862" t="s">
        <v>36067</v>
      </c>
      <c r="B11862" s="1" t="str">
        <f>HYPERLINK("https://www.catalog.slsa.sa.gov.au/record=b2316144")</f>
        <v>https://www.catalog.slsa.sa.gov.au/record=b2316144</v>
      </c>
      <c r="C11862" s="1" t="str">
        <f>HYPERLINK("https://www.catalog.slsa.sa.gov.au/xrecord=b2316144")</f>
        <v>https://www.catalog.slsa.sa.gov.au/xrecord=b2316144</v>
      </c>
      <c r="D11862" t="s">
        <v>31902</v>
      </c>
      <c r="E11862" t="s">
        <v>36068</v>
      </c>
      <c r="F11862">
        <v>2009</v>
      </c>
      <c r="G11862" t="s">
        <v>33690</v>
      </c>
      <c r="H11862" t="s">
        <v>36069</v>
      </c>
      <c r="I11862" t="s">
        <v>36060</v>
      </c>
      <c r="J11862" t="s">
        <v>14768</v>
      </c>
      <c r="K11862" s="2" t="str">
        <f>HYPERLINK("http://collections.slsa.sa.gov.au/mpcimg/69500/B69282_525.htm")</f>
        <v>http://collections.slsa.sa.gov.au/mpcimg/69500/B69282_525.htm</v>
      </c>
    </row>
    <row r="11863" spans="1:11" x14ac:dyDescent="0.25">
      <c r="A11863" t="s">
        <v>36070</v>
      </c>
      <c r="B11863" s="1" t="str">
        <f>HYPERLINK("https://www.catalog.slsa.sa.gov.au/record=b2316146")</f>
        <v>https://www.catalog.slsa.sa.gov.au/record=b2316146</v>
      </c>
      <c r="C11863" s="1" t="str">
        <f>HYPERLINK("https://www.catalog.slsa.sa.gov.au/xrecord=b2316146")</f>
        <v>https://www.catalog.slsa.sa.gov.au/xrecord=b2316146</v>
      </c>
      <c r="D11863" t="s">
        <v>31902</v>
      </c>
      <c r="E11863" t="s">
        <v>36071</v>
      </c>
      <c r="F11863">
        <v>2009</v>
      </c>
      <c r="G11863" t="s">
        <v>33690</v>
      </c>
      <c r="H11863" t="s">
        <v>36072</v>
      </c>
      <c r="I11863" t="s">
        <v>36060</v>
      </c>
      <c r="J11863" t="s">
        <v>14768</v>
      </c>
      <c r="K11863" s="2" t="str">
        <f>HYPERLINK("http://collections.slsa.sa.gov.au/mpcimg/69500/B69282_526.htm")</f>
        <v>http://collections.slsa.sa.gov.au/mpcimg/69500/B69282_526.htm</v>
      </c>
    </row>
    <row r="11864" spans="1:11" x14ac:dyDescent="0.25">
      <c r="A11864" t="s">
        <v>36073</v>
      </c>
      <c r="B11864" s="1" t="str">
        <f>HYPERLINK("https://www.catalog.slsa.sa.gov.au/record=b2316148")</f>
        <v>https://www.catalog.slsa.sa.gov.au/record=b2316148</v>
      </c>
      <c r="C11864" s="1" t="str">
        <f>HYPERLINK("https://www.catalog.slsa.sa.gov.au/xrecord=b2316148")</f>
        <v>https://www.catalog.slsa.sa.gov.au/xrecord=b2316148</v>
      </c>
      <c r="D11864" t="s">
        <v>31902</v>
      </c>
      <c r="E11864" t="s">
        <v>36074</v>
      </c>
      <c r="F11864">
        <v>2009</v>
      </c>
      <c r="G11864" t="s">
        <v>33690</v>
      </c>
      <c r="H11864" t="s">
        <v>36075</v>
      </c>
      <c r="I11864" t="s">
        <v>36060</v>
      </c>
      <c r="J11864" t="s">
        <v>14768</v>
      </c>
      <c r="K11864" s="2" t="str">
        <f>HYPERLINK("http://collections.slsa.sa.gov.au/mpcimg/69500/B69282_527.htm")</f>
        <v>http://collections.slsa.sa.gov.au/mpcimg/69500/B69282_527.htm</v>
      </c>
    </row>
    <row r="11865" spans="1:11" x14ac:dyDescent="0.25">
      <c r="A11865" t="s">
        <v>36076</v>
      </c>
      <c r="B11865" s="1" t="str">
        <f>HYPERLINK("https://www.catalog.slsa.sa.gov.au/record=b2316149")</f>
        <v>https://www.catalog.slsa.sa.gov.au/record=b2316149</v>
      </c>
      <c r="C11865" s="1" t="str">
        <f>HYPERLINK("https://www.catalog.slsa.sa.gov.au/xrecord=b2316149")</f>
        <v>https://www.catalog.slsa.sa.gov.au/xrecord=b2316149</v>
      </c>
      <c r="D11865" t="s">
        <v>31902</v>
      </c>
      <c r="E11865" t="s">
        <v>36077</v>
      </c>
      <c r="F11865">
        <v>2009</v>
      </c>
      <c r="G11865" t="s">
        <v>33690</v>
      </c>
      <c r="H11865" t="s">
        <v>36078</v>
      </c>
      <c r="I11865" t="s">
        <v>36060</v>
      </c>
      <c r="J11865" t="s">
        <v>14768</v>
      </c>
      <c r="K11865" s="2" t="str">
        <f>HYPERLINK("http://collections.slsa.sa.gov.au/mpcimg/69500/B69282_528.htm")</f>
        <v>http://collections.slsa.sa.gov.au/mpcimg/69500/B69282_528.htm</v>
      </c>
    </row>
    <row r="11866" spans="1:11" x14ac:dyDescent="0.25">
      <c r="A11866" t="s">
        <v>36079</v>
      </c>
      <c r="B11866" s="1" t="str">
        <f>HYPERLINK("https://www.catalog.slsa.sa.gov.au/record=b2316150")</f>
        <v>https://www.catalog.slsa.sa.gov.au/record=b2316150</v>
      </c>
      <c r="C11866" s="1" t="str">
        <f>HYPERLINK("https://www.catalog.slsa.sa.gov.au/xrecord=b2316150")</f>
        <v>https://www.catalog.slsa.sa.gov.au/xrecord=b2316150</v>
      </c>
      <c r="D11866" t="s">
        <v>31902</v>
      </c>
      <c r="E11866" t="s">
        <v>36074</v>
      </c>
      <c r="F11866">
        <v>2009</v>
      </c>
      <c r="G11866" t="s">
        <v>33690</v>
      </c>
      <c r="H11866" t="s">
        <v>36075</v>
      </c>
      <c r="I11866" t="s">
        <v>36060</v>
      </c>
      <c r="J11866" t="s">
        <v>14768</v>
      </c>
      <c r="K11866" s="2" t="str">
        <f>HYPERLINK("http://collections.slsa.sa.gov.au/mpcimg/69500/B69282_529.htm")</f>
        <v>http://collections.slsa.sa.gov.au/mpcimg/69500/B69282_529.htm</v>
      </c>
    </row>
    <row r="11867" spans="1:11" x14ac:dyDescent="0.25">
      <c r="A11867" t="s">
        <v>36080</v>
      </c>
      <c r="B11867" s="1" t="str">
        <f>HYPERLINK("https://www.catalog.slsa.sa.gov.au/record=b2363911")</f>
        <v>https://www.catalog.slsa.sa.gov.au/record=b2363911</v>
      </c>
      <c r="C11867" s="1" t="str">
        <f>HYPERLINK("https://www.catalog.slsa.sa.gov.au/xrecord=b2363911")</f>
        <v>https://www.catalog.slsa.sa.gov.au/xrecord=b2363911</v>
      </c>
      <c r="D11867" t="s">
        <v>31902</v>
      </c>
      <c r="E11867" t="s">
        <v>36081</v>
      </c>
      <c r="F11867">
        <v>2009</v>
      </c>
      <c r="G11867" t="s">
        <v>33690</v>
      </c>
      <c r="H11867" t="s">
        <v>36082</v>
      </c>
      <c r="I11867" t="s">
        <v>36083</v>
      </c>
      <c r="J11867" t="s">
        <v>14768</v>
      </c>
      <c r="K11867" s="2" t="str">
        <f>HYPERLINK("http://collections.slsa.sa.gov.au/mpcimg/69500/B69282_530.htm")</f>
        <v>http://collections.slsa.sa.gov.au/mpcimg/69500/B69282_530.htm</v>
      </c>
    </row>
    <row r="11868" spans="1:11" x14ac:dyDescent="0.25">
      <c r="A11868" t="s">
        <v>36084</v>
      </c>
      <c r="B11868" s="1" t="str">
        <f>HYPERLINK("https://www.catalog.slsa.sa.gov.au/record=b2363916")</f>
        <v>https://www.catalog.slsa.sa.gov.au/record=b2363916</v>
      </c>
      <c r="C11868" s="1" t="str">
        <f>HYPERLINK("https://www.catalog.slsa.sa.gov.au/xrecord=b2363916")</f>
        <v>https://www.catalog.slsa.sa.gov.au/xrecord=b2363916</v>
      </c>
      <c r="D11868" t="s">
        <v>31902</v>
      </c>
      <c r="E11868" t="s">
        <v>36085</v>
      </c>
      <c r="F11868">
        <v>2009</v>
      </c>
      <c r="G11868" t="s">
        <v>33690</v>
      </c>
      <c r="H11868" t="s">
        <v>36086</v>
      </c>
      <c r="I11868" t="s">
        <v>36085</v>
      </c>
      <c r="J11868" t="s">
        <v>14768</v>
      </c>
      <c r="K11868" s="2" t="str">
        <f>HYPERLINK("http://collections.slsa.sa.gov.au/mpcimg/69500/B69282_533.htm")</f>
        <v>http://collections.slsa.sa.gov.au/mpcimg/69500/B69282_533.htm</v>
      </c>
    </row>
    <row r="11869" spans="1:11" x14ac:dyDescent="0.25">
      <c r="A11869" t="s">
        <v>36087</v>
      </c>
      <c r="B11869" s="1" t="str">
        <f>HYPERLINK("https://www.catalog.slsa.sa.gov.au/record=b2363949")</f>
        <v>https://www.catalog.slsa.sa.gov.au/record=b2363949</v>
      </c>
      <c r="C11869" s="1" t="str">
        <f>HYPERLINK("https://www.catalog.slsa.sa.gov.au/xrecord=b2363949")</f>
        <v>https://www.catalog.slsa.sa.gov.au/xrecord=b2363949</v>
      </c>
      <c r="D11869" t="s">
        <v>31902</v>
      </c>
      <c r="E11869" t="s">
        <v>36088</v>
      </c>
      <c r="F11869">
        <v>2009</v>
      </c>
      <c r="G11869" t="s">
        <v>33690</v>
      </c>
      <c r="H11869" t="s">
        <v>36089</v>
      </c>
      <c r="I11869" t="s">
        <v>36088</v>
      </c>
      <c r="J11869" t="s">
        <v>14768</v>
      </c>
      <c r="K11869" s="2" t="str">
        <f>HYPERLINK("http://collections.slsa.sa.gov.au/mpcimg/69500/B69282_532.htm")</f>
        <v>http://collections.slsa.sa.gov.au/mpcimg/69500/B69282_532.htm</v>
      </c>
    </row>
    <row r="11870" spans="1:11" x14ac:dyDescent="0.25">
      <c r="A11870" t="s">
        <v>36090</v>
      </c>
      <c r="B11870" s="1" t="str">
        <f>HYPERLINK("https://www.catalog.slsa.sa.gov.au/record=b2363950")</f>
        <v>https://www.catalog.slsa.sa.gov.au/record=b2363950</v>
      </c>
      <c r="C11870" s="1" t="str">
        <f>HYPERLINK("https://www.catalog.slsa.sa.gov.au/xrecord=b2363950")</f>
        <v>https://www.catalog.slsa.sa.gov.au/xrecord=b2363950</v>
      </c>
      <c r="D11870" t="s">
        <v>31902</v>
      </c>
      <c r="E11870" t="s">
        <v>36091</v>
      </c>
      <c r="F11870">
        <v>2009</v>
      </c>
      <c r="G11870" t="s">
        <v>33690</v>
      </c>
      <c r="H11870" t="s">
        <v>36092</v>
      </c>
      <c r="I11870" t="s">
        <v>36091</v>
      </c>
      <c r="J11870" t="s">
        <v>14768</v>
      </c>
      <c r="K11870" s="2" t="str">
        <f>HYPERLINK("http://collections.slsa.sa.gov.au/mpcimg/69500/B69282_534.htm")</f>
        <v>http://collections.slsa.sa.gov.au/mpcimg/69500/B69282_534.htm</v>
      </c>
    </row>
    <row r="11871" spans="1:11" x14ac:dyDescent="0.25">
      <c r="A11871" t="s">
        <v>36093</v>
      </c>
      <c r="B11871" s="1" t="str">
        <f>HYPERLINK("https://www.catalog.slsa.sa.gov.au/record=b2363951")</f>
        <v>https://www.catalog.slsa.sa.gov.au/record=b2363951</v>
      </c>
      <c r="C11871" s="1" t="str">
        <f>HYPERLINK("https://www.catalog.slsa.sa.gov.au/xrecord=b2363951")</f>
        <v>https://www.catalog.slsa.sa.gov.au/xrecord=b2363951</v>
      </c>
      <c r="D11871" t="s">
        <v>31902</v>
      </c>
      <c r="E11871" t="s">
        <v>36094</v>
      </c>
      <c r="F11871">
        <v>2009</v>
      </c>
      <c r="G11871" t="s">
        <v>33690</v>
      </c>
      <c r="H11871" t="s">
        <v>36095</v>
      </c>
      <c r="J11871" t="s">
        <v>14768</v>
      </c>
      <c r="K11871" s="2" t="str">
        <f>HYPERLINK("http://collections.slsa.sa.gov.au/mpcimg/69500/B69282_535.htm")</f>
        <v>http://collections.slsa.sa.gov.au/mpcimg/69500/B69282_535.htm</v>
      </c>
    </row>
    <row r="11872" spans="1:11" x14ac:dyDescent="0.25">
      <c r="A11872" t="s">
        <v>36096</v>
      </c>
      <c r="B11872" s="1" t="str">
        <f>HYPERLINK("https://www.catalog.slsa.sa.gov.au/record=b2913422")</f>
        <v>https://www.catalog.slsa.sa.gov.au/record=b2913422</v>
      </c>
      <c r="C11872" s="1" t="str">
        <f>HYPERLINK("https://www.catalog.slsa.sa.gov.au/xrecord=b2913422")</f>
        <v>https://www.catalog.slsa.sa.gov.au/xrecord=b2913422</v>
      </c>
      <c r="D11872" t="s">
        <v>31636</v>
      </c>
      <c r="E11872" t="s">
        <v>36097</v>
      </c>
      <c r="F11872">
        <v>2009</v>
      </c>
      <c r="G11872" t="s">
        <v>36098</v>
      </c>
      <c r="H11872" t="s">
        <v>36099</v>
      </c>
      <c r="I11872" t="s">
        <v>36100</v>
      </c>
      <c r="J11872" t="s">
        <v>5381</v>
      </c>
      <c r="K11872" s="2" t="str">
        <f>HYPERLINK("http://collections.slsa.sa.gov.au/mpcimg/73000/B72983.htm")</f>
        <v>http://collections.slsa.sa.gov.au/mpcimg/73000/B72983.htm</v>
      </c>
    </row>
    <row r="11873" spans="1:11" x14ac:dyDescent="0.25">
      <c r="A11873" t="s">
        <v>36101</v>
      </c>
      <c r="B11873" s="1" t="str">
        <f>HYPERLINK("https://www.catalog.slsa.sa.gov.au/record=b2664021")</f>
        <v>https://www.catalog.slsa.sa.gov.au/record=b2664021</v>
      </c>
      <c r="C11873" s="1" t="str">
        <f>HYPERLINK("https://www.catalog.slsa.sa.gov.au/xrecord=b2664021")</f>
        <v>https://www.catalog.slsa.sa.gov.au/xrecord=b2664021</v>
      </c>
      <c r="D11873" t="s">
        <v>31902</v>
      </c>
      <c r="E11873" t="s">
        <v>36102</v>
      </c>
      <c r="F11873">
        <v>2011</v>
      </c>
      <c r="G11873" t="s">
        <v>36103</v>
      </c>
      <c r="H11873" t="s">
        <v>36104</v>
      </c>
      <c r="J11873" t="s">
        <v>14768</v>
      </c>
      <c r="K11873" s="2" t="str">
        <f>HYPERLINK("http://collections.slsa.sa.gov.au/mpcimg/69500/B69282_660.htm")</f>
        <v>http://collections.slsa.sa.gov.au/mpcimg/69500/B69282_660.htm</v>
      </c>
    </row>
    <row r="11874" spans="1:11" x14ac:dyDescent="0.25">
      <c r="A11874" t="s">
        <v>36105</v>
      </c>
      <c r="B11874" s="1" t="str">
        <f>HYPERLINK("https://www.catalog.slsa.sa.gov.au/record=b2913696")</f>
        <v>https://www.catalog.slsa.sa.gov.au/record=b2913696</v>
      </c>
      <c r="C11874" s="1" t="str">
        <f>HYPERLINK("https://www.catalog.slsa.sa.gov.au/xrecord=b2913696")</f>
        <v>https://www.catalog.slsa.sa.gov.au/xrecord=b2913696</v>
      </c>
      <c r="D11874" t="s">
        <v>31902</v>
      </c>
      <c r="E11874" t="s">
        <v>36106</v>
      </c>
      <c r="F11874">
        <v>2011</v>
      </c>
      <c r="G11874" t="s">
        <v>36103</v>
      </c>
      <c r="H11874" t="s">
        <v>36107</v>
      </c>
      <c r="I11874" t="s">
        <v>36108</v>
      </c>
      <c r="J11874" t="s">
        <v>14768</v>
      </c>
      <c r="K11874" s="2" t="str">
        <f>HYPERLINK("http://collections.slsa.sa.gov.au/mpcimg/69500/B69282_707.htm")</f>
        <v>http://collections.slsa.sa.gov.au/mpcimg/69500/B69282_707.htm</v>
      </c>
    </row>
    <row r="11875" spans="1:11" x14ac:dyDescent="0.25">
      <c r="A11875" t="s">
        <v>36109</v>
      </c>
      <c r="B11875" s="1" t="str">
        <f>HYPERLINK("https://www.catalog.slsa.sa.gov.au/record=b2913697")</f>
        <v>https://www.catalog.slsa.sa.gov.au/record=b2913697</v>
      </c>
      <c r="C11875" s="1" t="str">
        <f>HYPERLINK("https://www.catalog.slsa.sa.gov.au/xrecord=b2913697")</f>
        <v>https://www.catalog.slsa.sa.gov.au/xrecord=b2913697</v>
      </c>
      <c r="D11875" t="s">
        <v>31902</v>
      </c>
      <c r="E11875" t="s">
        <v>36110</v>
      </c>
      <c r="F11875">
        <v>2011</v>
      </c>
      <c r="G11875" t="s">
        <v>36103</v>
      </c>
      <c r="H11875" t="s">
        <v>36111</v>
      </c>
      <c r="I11875" t="s">
        <v>36112</v>
      </c>
      <c r="J11875" t="s">
        <v>14768</v>
      </c>
      <c r="K11875" s="2" t="str">
        <f>HYPERLINK("http://collections.slsa.sa.gov.au/mpcimg/69500/B69282_708.htm")</f>
        <v>http://collections.slsa.sa.gov.au/mpcimg/69500/B69282_708.htm</v>
      </c>
    </row>
    <row r="11876" spans="1:11" x14ac:dyDescent="0.25">
      <c r="A11876" t="s">
        <v>36113</v>
      </c>
      <c r="B11876" s="1" t="str">
        <f>HYPERLINK("https://www.catalog.slsa.sa.gov.au/record=b2913698")</f>
        <v>https://www.catalog.slsa.sa.gov.au/record=b2913698</v>
      </c>
      <c r="C11876" s="1" t="str">
        <f>HYPERLINK("https://www.catalog.slsa.sa.gov.au/xrecord=b2913698")</f>
        <v>https://www.catalog.slsa.sa.gov.au/xrecord=b2913698</v>
      </c>
      <c r="D11876" t="s">
        <v>31902</v>
      </c>
      <c r="E11876" t="s">
        <v>36114</v>
      </c>
      <c r="F11876">
        <v>2011</v>
      </c>
      <c r="G11876" t="s">
        <v>36103</v>
      </c>
      <c r="H11876" t="s">
        <v>36115</v>
      </c>
      <c r="I11876" t="s">
        <v>36112</v>
      </c>
      <c r="J11876" t="s">
        <v>14768</v>
      </c>
      <c r="K11876" s="2" t="str">
        <f>HYPERLINK("http://collections.slsa.sa.gov.au/mpcimg/69500/B69282_709.htm")</f>
        <v>http://collections.slsa.sa.gov.au/mpcimg/69500/B69282_709.htm</v>
      </c>
    </row>
    <row r="11877" spans="1:11" x14ac:dyDescent="0.25">
      <c r="A11877" t="s">
        <v>36116</v>
      </c>
      <c r="B11877" s="1" t="str">
        <f>HYPERLINK("https://www.catalog.slsa.sa.gov.au/record=b2913699")</f>
        <v>https://www.catalog.slsa.sa.gov.au/record=b2913699</v>
      </c>
      <c r="C11877" s="1" t="str">
        <f>HYPERLINK("https://www.catalog.slsa.sa.gov.au/xrecord=b2913699")</f>
        <v>https://www.catalog.slsa.sa.gov.au/xrecord=b2913699</v>
      </c>
      <c r="D11877" t="s">
        <v>31902</v>
      </c>
      <c r="E11877" t="s">
        <v>36117</v>
      </c>
      <c r="F11877">
        <v>2011</v>
      </c>
      <c r="G11877" t="s">
        <v>36103</v>
      </c>
      <c r="H11877" t="s">
        <v>36118</v>
      </c>
      <c r="I11877" t="s">
        <v>36112</v>
      </c>
      <c r="J11877" t="s">
        <v>14768</v>
      </c>
      <c r="K11877" s="2" t="str">
        <f>HYPERLINK("http://collections.slsa.sa.gov.au/mpcimg/69500/B69282_710.htm")</f>
        <v>http://collections.slsa.sa.gov.au/mpcimg/69500/B69282_710.htm</v>
      </c>
    </row>
    <row r="11878" spans="1:11" x14ac:dyDescent="0.25">
      <c r="A11878" t="s">
        <v>36119</v>
      </c>
      <c r="B11878" s="1" t="str">
        <f>HYPERLINK("https://www.catalog.slsa.sa.gov.au/record=b2913702")</f>
        <v>https://www.catalog.slsa.sa.gov.au/record=b2913702</v>
      </c>
      <c r="C11878" s="1" t="str">
        <f>HYPERLINK("https://www.catalog.slsa.sa.gov.au/xrecord=b2913702")</f>
        <v>https://www.catalog.slsa.sa.gov.au/xrecord=b2913702</v>
      </c>
      <c r="D11878" t="s">
        <v>31902</v>
      </c>
      <c r="E11878" t="s">
        <v>36120</v>
      </c>
      <c r="F11878">
        <v>2011</v>
      </c>
      <c r="G11878" t="s">
        <v>36103</v>
      </c>
      <c r="H11878" t="s">
        <v>36121</v>
      </c>
      <c r="I11878" t="s">
        <v>36122</v>
      </c>
      <c r="J11878" t="s">
        <v>14768</v>
      </c>
      <c r="K11878" s="2" t="str">
        <f>HYPERLINK("http://collections.slsa.sa.gov.au/mpcimg/69500/B69282_711.htm")</f>
        <v>http://collections.slsa.sa.gov.au/mpcimg/69500/B69282_711.htm</v>
      </c>
    </row>
    <row r="11879" spans="1:11" x14ac:dyDescent="0.25">
      <c r="A11879" t="s">
        <v>36123</v>
      </c>
      <c r="B11879" s="1" t="str">
        <f>HYPERLINK("https://www.catalog.slsa.sa.gov.au/record=b3194834")</f>
        <v>https://www.catalog.slsa.sa.gov.au/record=b3194834</v>
      </c>
      <c r="C11879" s="1" t="str">
        <f>HYPERLINK("https://www.catalog.slsa.sa.gov.au/xrecord=b3194834")</f>
        <v>https://www.catalog.slsa.sa.gov.au/xrecord=b3194834</v>
      </c>
      <c r="D11879" t="s">
        <v>31636</v>
      </c>
      <c r="E11879" t="s">
        <v>36124</v>
      </c>
      <c r="F11879" t="s">
        <v>36125</v>
      </c>
      <c r="G11879" t="s">
        <v>36126</v>
      </c>
      <c r="H11879" t="s">
        <v>36127</v>
      </c>
      <c r="I11879" t="s">
        <v>36128</v>
      </c>
      <c r="J11879" t="s">
        <v>36129</v>
      </c>
      <c r="K11879" s="2" t="str">
        <f>HYPERLINK("http://collections.slsa.sa.gov.au/resource/B+76931")</f>
        <v>http://collections.slsa.sa.gov.au/resource/B+76931</v>
      </c>
    </row>
    <row r="11880" spans="1:11" x14ac:dyDescent="0.25">
      <c r="A11880" t="s">
        <v>36130</v>
      </c>
      <c r="B11880" s="1" t="str">
        <f>HYPERLINK("https://www.catalog.slsa.sa.gov.au/record=b3194835")</f>
        <v>https://www.catalog.slsa.sa.gov.au/record=b3194835</v>
      </c>
      <c r="C11880" s="1" t="str">
        <f>HYPERLINK("https://www.catalog.slsa.sa.gov.au/xrecord=b3194835")</f>
        <v>https://www.catalog.slsa.sa.gov.au/xrecord=b3194835</v>
      </c>
      <c r="D11880" t="s">
        <v>31636</v>
      </c>
      <c r="E11880" t="s">
        <v>36124</v>
      </c>
      <c r="F11880" t="s">
        <v>36125</v>
      </c>
      <c r="G11880" t="s">
        <v>36126</v>
      </c>
      <c r="H11880" t="s">
        <v>36131</v>
      </c>
      <c r="I11880" t="s">
        <v>36132</v>
      </c>
      <c r="J11880" t="s">
        <v>36129</v>
      </c>
      <c r="K11880" s="2" t="str">
        <f>HYPERLINK("http://collections.slsa.sa.gov.au/resource/B+76932")</f>
        <v>http://collections.slsa.sa.gov.au/resource/B+76932</v>
      </c>
    </row>
    <row r="11881" spans="1:11" x14ac:dyDescent="0.25">
      <c r="A11881" t="s">
        <v>36133</v>
      </c>
      <c r="B11881" s="1" t="str">
        <f>HYPERLINK("https://www.catalog.slsa.sa.gov.au/record=b3194836")</f>
        <v>https://www.catalog.slsa.sa.gov.au/record=b3194836</v>
      </c>
      <c r="C11881" s="1" t="str">
        <f>HYPERLINK("https://www.catalog.slsa.sa.gov.au/xrecord=b3194836")</f>
        <v>https://www.catalog.slsa.sa.gov.au/xrecord=b3194836</v>
      </c>
      <c r="D11881" t="s">
        <v>31636</v>
      </c>
      <c r="E11881" t="s">
        <v>36124</v>
      </c>
      <c r="F11881" t="s">
        <v>36125</v>
      </c>
      <c r="G11881" t="s">
        <v>36126</v>
      </c>
      <c r="H11881" t="s">
        <v>36134</v>
      </c>
      <c r="I11881" t="s">
        <v>36132</v>
      </c>
      <c r="J11881" t="s">
        <v>36129</v>
      </c>
      <c r="K11881" s="2" t="str">
        <f>HYPERLINK("http://collections.slsa.sa.gov.au/resource/B+76933")</f>
        <v>http://collections.slsa.sa.gov.au/resource/B+76933</v>
      </c>
    </row>
    <row r="11882" spans="1:11" x14ac:dyDescent="0.25">
      <c r="A11882" t="s">
        <v>36135</v>
      </c>
      <c r="B11882" s="1" t="str">
        <f>HYPERLINK("https://www.catalog.slsa.sa.gov.au/record=b3194838")</f>
        <v>https://www.catalog.slsa.sa.gov.au/record=b3194838</v>
      </c>
      <c r="C11882" s="1" t="str">
        <f>HYPERLINK("https://www.catalog.slsa.sa.gov.au/xrecord=b3194838")</f>
        <v>https://www.catalog.slsa.sa.gov.au/xrecord=b3194838</v>
      </c>
      <c r="D11882" t="s">
        <v>31636</v>
      </c>
      <c r="E11882" t="s">
        <v>36124</v>
      </c>
      <c r="F11882" t="s">
        <v>36125</v>
      </c>
      <c r="G11882" t="s">
        <v>36126</v>
      </c>
      <c r="H11882" t="s">
        <v>36136</v>
      </c>
      <c r="I11882" t="s">
        <v>36137</v>
      </c>
      <c r="J11882" t="s">
        <v>36129</v>
      </c>
      <c r="K11882" s="2" t="str">
        <f>HYPERLINK("http://collections.slsa.sa.gov.au/resource/B+76934")</f>
        <v>http://collections.slsa.sa.gov.au/resource/B+76934</v>
      </c>
    </row>
    <row r="11883" spans="1:11" x14ac:dyDescent="0.25">
      <c r="A11883" t="s">
        <v>36138</v>
      </c>
      <c r="B11883" s="1" t="str">
        <f>HYPERLINK("https://www.catalog.slsa.sa.gov.au/record=b3194839")</f>
        <v>https://www.catalog.slsa.sa.gov.au/record=b3194839</v>
      </c>
      <c r="C11883" s="1" t="str">
        <f>HYPERLINK("https://www.catalog.slsa.sa.gov.au/xrecord=b3194839")</f>
        <v>https://www.catalog.slsa.sa.gov.au/xrecord=b3194839</v>
      </c>
      <c r="D11883" t="s">
        <v>31636</v>
      </c>
      <c r="E11883" t="s">
        <v>36139</v>
      </c>
      <c r="F11883" t="s">
        <v>36125</v>
      </c>
      <c r="G11883" t="s">
        <v>36126</v>
      </c>
      <c r="H11883" t="s">
        <v>36140</v>
      </c>
      <c r="I11883" t="s">
        <v>36141</v>
      </c>
      <c r="J11883" t="s">
        <v>36129</v>
      </c>
      <c r="K11883" s="2" t="str">
        <f>HYPERLINK("http://collections.slsa.sa.gov.au/resource/B+76935")</f>
        <v>http://collections.slsa.sa.gov.au/resource/B+76935</v>
      </c>
    </row>
    <row r="11884" spans="1:11" x14ac:dyDescent="0.25">
      <c r="A11884" t="s">
        <v>36142</v>
      </c>
      <c r="B11884" s="1" t="str">
        <f>HYPERLINK("https://www.catalog.slsa.sa.gov.au/record=b3194840")</f>
        <v>https://www.catalog.slsa.sa.gov.au/record=b3194840</v>
      </c>
      <c r="C11884" s="1" t="str">
        <f>HYPERLINK("https://www.catalog.slsa.sa.gov.au/xrecord=b3194840")</f>
        <v>https://www.catalog.slsa.sa.gov.au/xrecord=b3194840</v>
      </c>
      <c r="D11884" t="s">
        <v>31636</v>
      </c>
      <c r="E11884" t="s">
        <v>36143</v>
      </c>
      <c r="F11884" t="s">
        <v>36125</v>
      </c>
      <c r="G11884" t="s">
        <v>36126</v>
      </c>
      <c r="H11884" t="s">
        <v>36144</v>
      </c>
      <c r="I11884" t="s">
        <v>36145</v>
      </c>
      <c r="J11884" t="s">
        <v>36129</v>
      </c>
      <c r="K11884" s="2" t="str">
        <f>HYPERLINK("http://collections.slsa.sa.gov.au/resource/B+76936")</f>
        <v>http://collections.slsa.sa.gov.au/resource/B+76936</v>
      </c>
    </row>
    <row r="11885" spans="1:11" x14ac:dyDescent="0.25">
      <c r="A11885" t="s">
        <v>36146</v>
      </c>
      <c r="B11885" s="1" t="str">
        <f>HYPERLINK("https://www.catalog.slsa.sa.gov.au/record=b3194841")</f>
        <v>https://www.catalog.slsa.sa.gov.au/record=b3194841</v>
      </c>
      <c r="C11885" s="1" t="str">
        <f>HYPERLINK("https://www.catalog.slsa.sa.gov.au/xrecord=b3194841")</f>
        <v>https://www.catalog.slsa.sa.gov.au/xrecord=b3194841</v>
      </c>
      <c r="D11885" t="s">
        <v>31636</v>
      </c>
      <c r="E11885" t="s">
        <v>36147</v>
      </c>
      <c r="F11885" t="s">
        <v>36125</v>
      </c>
      <c r="G11885" t="s">
        <v>36126</v>
      </c>
      <c r="H11885" t="s">
        <v>36148</v>
      </c>
      <c r="I11885" t="s">
        <v>36149</v>
      </c>
      <c r="J11885" t="s">
        <v>36129</v>
      </c>
      <c r="K11885" s="2" t="str">
        <f>HYPERLINK("http://collections.slsa.sa.gov.au/resource/B+76937")</f>
        <v>http://collections.slsa.sa.gov.au/resource/B+76937</v>
      </c>
    </row>
    <row r="11886" spans="1:11" x14ac:dyDescent="0.25">
      <c r="A11886" t="s">
        <v>36150</v>
      </c>
      <c r="B11886" s="1" t="str">
        <f>HYPERLINK("https://www.catalog.slsa.sa.gov.au/record=b3194842")</f>
        <v>https://www.catalog.slsa.sa.gov.au/record=b3194842</v>
      </c>
      <c r="C11886" s="1" t="str">
        <f>HYPERLINK("https://www.catalog.slsa.sa.gov.au/xrecord=b3194842")</f>
        <v>https://www.catalog.slsa.sa.gov.au/xrecord=b3194842</v>
      </c>
      <c r="D11886" t="s">
        <v>31636</v>
      </c>
      <c r="E11886" t="s">
        <v>36151</v>
      </c>
      <c r="F11886" t="s">
        <v>36125</v>
      </c>
      <c r="G11886" t="s">
        <v>36126</v>
      </c>
      <c r="H11886" t="s">
        <v>36152</v>
      </c>
      <c r="I11886" t="s">
        <v>36137</v>
      </c>
      <c r="J11886" t="s">
        <v>36129</v>
      </c>
      <c r="K11886" s="2" t="str">
        <f>HYPERLINK("http://collections.slsa.sa.gov.au/resource/B+76938")</f>
        <v>http://collections.slsa.sa.gov.au/resource/B+76938</v>
      </c>
    </row>
    <row r="11887" spans="1:11" x14ac:dyDescent="0.25">
      <c r="A11887" t="s">
        <v>36153</v>
      </c>
      <c r="B11887" s="1" t="str">
        <f>HYPERLINK("https://www.catalog.slsa.sa.gov.au/record=b3194843")</f>
        <v>https://www.catalog.slsa.sa.gov.au/record=b3194843</v>
      </c>
      <c r="C11887" s="1" t="str">
        <f>HYPERLINK("https://www.catalog.slsa.sa.gov.au/xrecord=b3194843")</f>
        <v>https://www.catalog.slsa.sa.gov.au/xrecord=b3194843</v>
      </c>
      <c r="D11887" t="s">
        <v>31636</v>
      </c>
      <c r="E11887" t="s">
        <v>36154</v>
      </c>
      <c r="F11887" t="s">
        <v>36125</v>
      </c>
      <c r="G11887" t="s">
        <v>36126</v>
      </c>
      <c r="H11887" t="s">
        <v>36155</v>
      </c>
      <c r="I11887" t="s">
        <v>36128</v>
      </c>
      <c r="J11887" t="s">
        <v>36129</v>
      </c>
      <c r="K11887" s="2" t="str">
        <f>HYPERLINK("http://collections.slsa.sa.gov.au/resource/B+76939")</f>
        <v>http://collections.slsa.sa.gov.au/resource/B+76939</v>
      </c>
    </row>
    <row r="11888" spans="1:11" x14ac:dyDescent="0.25">
      <c r="A11888" t="s">
        <v>36156</v>
      </c>
      <c r="B11888" s="1" t="str">
        <f>HYPERLINK("https://www.catalog.slsa.sa.gov.au/record=b3194844")</f>
        <v>https://www.catalog.slsa.sa.gov.au/record=b3194844</v>
      </c>
      <c r="C11888" s="1" t="str">
        <f>HYPERLINK("https://www.catalog.slsa.sa.gov.au/xrecord=b3194844")</f>
        <v>https://www.catalog.slsa.sa.gov.au/xrecord=b3194844</v>
      </c>
      <c r="D11888" t="s">
        <v>31636</v>
      </c>
      <c r="E11888" t="s">
        <v>36157</v>
      </c>
      <c r="F11888" t="s">
        <v>36125</v>
      </c>
      <c r="G11888" t="s">
        <v>36126</v>
      </c>
      <c r="H11888" t="s">
        <v>36158</v>
      </c>
      <c r="I11888" t="s">
        <v>36159</v>
      </c>
      <c r="J11888" t="s">
        <v>36129</v>
      </c>
      <c r="K11888" s="2" t="str">
        <f>HYPERLINK("http://collections.slsa.sa.gov.au/resource/B+76940")</f>
        <v>http://collections.slsa.sa.gov.au/resource/B+76940</v>
      </c>
    </row>
    <row r="11889" spans="1:11" x14ac:dyDescent="0.25">
      <c r="A11889" t="s">
        <v>36160</v>
      </c>
      <c r="B11889" s="1" t="str">
        <f>HYPERLINK("https://www.catalog.slsa.sa.gov.au/record=b3194846")</f>
        <v>https://www.catalog.slsa.sa.gov.au/record=b3194846</v>
      </c>
      <c r="C11889" s="1" t="str">
        <f>HYPERLINK("https://www.catalog.slsa.sa.gov.au/xrecord=b3194846")</f>
        <v>https://www.catalog.slsa.sa.gov.au/xrecord=b3194846</v>
      </c>
      <c r="D11889" t="s">
        <v>31636</v>
      </c>
      <c r="E11889" t="s">
        <v>36124</v>
      </c>
      <c r="F11889" t="s">
        <v>36125</v>
      </c>
      <c r="G11889" t="s">
        <v>36126</v>
      </c>
      <c r="H11889" t="s">
        <v>36161</v>
      </c>
      <c r="I11889" t="s">
        <v>36137</v>
      </c>
      <c r="J11889" t="s">
        <v>36129</v>
      </c>
      <c r="K11889" s="2" t="str">
        <f>HYPERLINK("http://collections.slsa.sa.gov.au/resource/B+76941")</f>
        <v>http://collections.slsa.sa.gov.au/resource/B+76941</v>
      </c>
    </row>
    <row r="11890" spans="1:11" x14ac:dyDescent="0.25">
      <c r="A11890" t="s">
        <v>36162</v>
      </c>
      <c r="B11890" s="1" t="str">
        <f>HYPERLINK("https://www.catalog.slsa.sa.gov.au/record=b3194847")</f>
        <v>https://www.catalog.slsa.sa.gov.au/record=b3194847</v>
      </c>
      <c r="C11890" s="1" t="str">
        <f>HYPERLINK("https://www.catalog.slsa.sa.gov.au/xrecord=b3194847")</f>
        <v>https://www.catalog.slsa.sa.gov.au/xrecord=b3194847</v>
      </c>
      <c r="D11890" t="s">
        <v>31636</v>
      </c>
      <c r="E11890" t="s">
        <v>36124</v>
      </c>
      <c r="F11890" t="s">
        <v>36125</v>
      </c>
      <c r="G11890" t="s">
        <v>36126</v>
      </c>
      <c r="H11890" t="s">
        <v>36163</v>
      </c>
      <c r="I11890" t="s">
        <v>36164</v>
      </c>
      <c r="J11890" t="s">
        <v>36129</v>
      </c>
      <c r="K11890" s="2" t="str">
        <f>HYPERLINK("http://collections.slsa.sa.gov.au/resource/B+76942")</f>
        <v>http://collections.slsa.sa.gov.au/resource/B+76942</v>
      </c>
    </row>
    <row r="11891" spans="1:11" x14ac:dyDescent="0.25">
      <c r="A11891" t="s">
        <v>36165</v>
      </c>
      <c r="B11891" s="1" t="str">
        <f>HYPERLINK("https://www.catalog.slsa.sa.gov.au/record=b3194848")</f>
        <v>https://www.catalog.slsa.sa.gov.au/record=b3194848</v>
      </c>
      <c r="C11891" s="1" t="str">
        <f>HYPERLINK("https://www.catalog.slsa.sa.gov.au/xrecord=b3194848")</f>
        <v>https://www.catalog.slsa.sa.gov.au/xrecord=b3194848</v>
      </c>
      <c r="D11891" t="s">
        <v>31636</v>
      </c>
      <c r="E11891" t="s">
        <v>36166</v>
      </c>
      <c r="F11891" t="s">
        <v>36125</v>
      </c>
      <c r="G11891" t="s">
        <v>36126</v>
      </c>
      <c r="H11891" t="s">
        <v>36167</v>
      </c>
      <c r="I11891" t="s">
        <v>36137</v>
      </c>
      <c r="J11891" t="s">
        <v>2510</v>
      </c>
      <c r="K11891" s="2" t="str">
        <f>HYPERLINK("http://collections.slsa.sa.gov.au/resource/B+76943")</f>
        <v>http://collections.slsa.sa.gov.au/resource/B+76943</v>
      </c>
    </row>
    <row r="11892" spans="1:11" x14ac:dyDescent="0.25">
      <c r="A11892" t="s">
        <v>36168</v>
      </c>
      <c r="B11892" s="1" t="str">
        <f>HYPERLINK("https://www.catalog.slsa.sa.gov.au/record=b3194849")</f>
        <v>https://www.catalog.slsa.sa.gov.au/record=b3194849</v>
      </c>
      <c r="C11892" s="1" t="str">
        <f>HYPERLINK("https://www.catalog.slsa.sa.gov.au/xrecord=b3194849")</f>
        <v>https://www.catalog.slsa.sa.gov.au/xrecord=b3194849</v>
      </c>
      <c r="D11892" t="s">
        <v>31636</v>
      </c>
      <c r="E11892" t="s">
        <v>36166</v>
      </c>
      <c r="F11892" t="s">
        <v>36125</v>
      </c>
      <c r="G11892" t="s">
        <v>36126</v>
      </c>
      <c r="H11892" t="s">
        <v>36169</v>
      </c>
      <c r="I11892" t="s">
        <v>36137</v>
      </c>
      <c r="J11892" t="s">
        <v>2510</v>
      </c>
      <c r="K11892" s="2" t="str">
        <f>HYPERLINK("http://collections.slsa.sa.gov.au/resource/B+76944")</f>
        <v>http://collections.slsa.sa.gov.au/resource/B+76944</v>
      </c>
    </row>
    <row r="11893" spans="1:11" x14ac:dyDescent="0.25">
      <c r="A11893" t="s">
        <v>36170</v>
      </c>
      <c r="B11893" s="1" t="str">
        <f>HYPERLINK("https://www.catalog.slsa.sa.gov.au/record=b3194850")</f>
        <v>https://www.catalog.slsa.sa.gov.au/record=b3194850</v>
      </c>
      <c r="C11893" s="1" t="str">
        <f>HYPERLINK("https://www.catalog.slsa.sa.gov.au/xrecord=b3194850")</f>
        <v>https://www.catalog.slsa.sa.gov.au/xrecord=b3194850</v>
      </c>
      <c r="D11893" t="s">
        <v>31636</v>
      </c>
      <c r="E11893" t="s">
        <v>36166</v>
      </c>
      <c r="F11893" t="s">
        <v>36125</v>
      </c>
      <c r="G11893" t="s">
        <v>36126</v>
      </c>
      <c r="H11893" t="s">
        <v>36169</v>
      </c>
      <c r="I11893" t="s">
        <v>36137</v>
      </c>
      <c r="J11893" t="s">
        <v>2510</v>
      </c>
      <c r="K11893" s="2" t="str">
        <f>HYPERLINK("http://collections.slsa.sa.gov.au/resource/B+76945")</f>
        <v>http://collections.slsa.sa.gov.au/resource/B+76945</v>
      </c>
    </row>
    <row r="11894" spans="1:11" x14ac:dyDescent="0.25">
      <c r="A11894" t="s">
        <v>36171</v>
      </c>
      <c r="B11894" s="1" t="str">
        <f>HYPERLINK("https://www.catalog.slsa.sa.gov.au/record=b3194851")</f>
        <v>https://www.catalog.slsa.sa.gov.au/record=b3194851</v>
      </c>
      <c r="C11894" s="1" t="str">
        <f>HYPERLINK("https://www.catalog.slsa.sa.gov.au/xrecord=b3194851")</f>
        <v>https://www.catalog.slsa.sa.gov.au/xrecord=b3194851</v>
      </c>
      <c r="D11894" t="s">
        <v>31636</v>
      </c>
      <c r="E11894" t="s">
        <v>36172</v>
      </c>
      <c r="F11894" t="s">
        <v>36125</v>
      </c>
      <c r="G11894" t="s">
        <v>36126</v>
      </c>
      <c r="H11894" t="s">
        <v>36173</v>
      </c>
      <c r="I11894" t="s">
        <v>36174</v>
      </c>
      <c r="J11894" t="s">
        <v>2510</v>
      </c>
      <c r="K11894" s="2" t="str">
        <f>HYPERLINK("http://collections.slsa.sa.gov.au/resource/B+76946")</f>
        <v>http://collections.slsa.sa.gov.au/resource/B+76946</v>
      </c>
    </row>
    <row r="11895" spans="1:11" x14ac:dyDescent="0.25">
      <c r="A11895" t="s">
        <v>36175</v>
      </c>
      <c r="B11895" s="1" t="str">
        <f>HYPERLINK("https://www.catalog.slsa.sa.gov.au/record=b3194852")</f>
        <v>https://www.catalog.slsa.sa.gov.au/record=b3194852</v>
      </c>
      <c r="C11895" s="1" t="str">
        <f>HYPERLINK("https://www.catalog.slsa.sa.gov.au/xrecord=b3194852")</f>
        <v>https://www.catalog.slsa.sa.gov.au/xrecord=b3194852</v>
      </c>
      <c r="D11895" t="s">
        <v>31636</v>
      </c>
      <c r="E11895" t="s">
        <v>36172</v>
      </c>
      <c r="F11895" t="s">
        <v>36125</v>
      </c>
      <c r="G11895" t="s">
        <v>36126</v>
      </c>
      <c r="H11895" t="s">
        <v>36173</v>
      </c>
      <c r="I11895" t="s">
        <v>36176</v>
      </c>
      <c r="J11895" t="s">
        <v>36177</v>
      </c>
      <c r="K11895" s="2" t="str">
        <f>HYPERLINK("http://collections.slsa.sa.gov.au/resource/B+76947")</f>
        <v>http://collections.slsa.sa.gov.au/resource/B+76947</v>
      </c>
    </row>
    <row r="11896" spans="1:11" x14ac:dyDescent="0.25">
      <c r="A11896" t="s">
        <v>36178</v>
      </c>
      <c r="B11896" s="1" t="str">
        <f>HYPERLINK("https://www.catalog.slsa.sa.gov.au/record=b3194853")</f>
        <v>https://www.catalog.slsa.sa.gov.au/record=b3194853</v>
      </c>
      <c r="C11896" s="1" t="str">
        <f>HYPERLINK("https://www.catalog.slsa.sa.gov.au/xrecord=b3194853")</f>
        <v>https://www.catalog.slsa.sa.gov.au/xrecord=b3194853</v>
      </c>
      <c r="D11896" t="s">
        <v>31636</v>
      </c>
      <c r="E11896" t="s">
        <v>36172</v>
      </c>
      <c r="F11896" t="s">
        <v>36125</v>
      </c>
      <c r="G11896" t="s">
        <v>36126</v>
      </c>
      <c r="H11896" t="s">
        <v>36173</v>
      </c>
      <c r="I11896" t="s">
        <v>36179</v>
      </c>
      <c r="J11896" t="s">
        <v>36177</v>
      </c>
      <c r="K11896" s="2" t="str">
        <f>HYPERLINK("http://collections.slsa.sa.gov.au/resource/B+76948")</f>
        <v>http://collections.slsa.sa.gov.au/resource/B+76948</v>
      </c>
    </row>
    <row r="11897" spans="1:11" x14ac:dyDescent="0.25">
      <c r="A11897" t="s">
        <v>36180</v>
      </c>
      <c r="B11897" s="1" t="str">
        <f>HYPERLINK("https://www.catalog.slsa.sa.gov.au/record=b3194854")</f>
        <v>https://www.catalog.slsa.sa.gov.au/record=b3194854</v>
      </c>
      <c r="C11897" s="1" t="str">
        <f>HYPERLINK("https://www.catalog.slsa.sa.gov.au/xrecord=b3194854")</f>
        <v>https://www.catalog.slsa.sa.gov.au/xrecord=b3194854</v>
      </c>
      <c r="D11897" t="s">
        <v>31636</v>
      </c>
      <c r="E11897" t="s">
        <v>36181</v>
      </c>
      <c r="F11897" t="s">
        <v>36125</v>
      </c>
      <c r="G11897" t="s">
        <v>36126</v>
      </c>
      <c r="H11897" t="s">
        <v>36182</v>
      </c>
      <c r="I11897" t="s">
        <v>36183</v>
      </c>
      <c r="J11897" t="s">
        <v>2510</v>
      </c>
      <c r="K11897" s="2" t="str">
        <f>HYPERLINK("http://collections.slsa.sa.gov.au/resource/B+76949")</f>
        <v>http://collections.slsa.sa.gov.au/resource/B+76949</v>
      </c>
    </row>
    <row r="11898" spans="1:11" x14ac:dyDescent="0.25">
      <c r="A11898" t="s">
        <v>36184</v>
      </c>
      <c r="B11898" s="1" t="str">
        <f>HYPERLINK("https://www.catalog.slsa.sa.gov.au/record=b3194855")</f>
        <v>https://www.catalog.slsa.sa.gov.au/record=b3194855</v>
      </c>
      <c r="C11898" s="1" t="str">
        <f>HYPERLINK("https://www.catalog.slsa.sa.gov.au/xrecord=b3194855")</f>
        <v>https://www.catalog.slsa.sa.gov.au/xrecord=b3194855</v>
      </c>
      <c r="D11898" t="s">
        <v>31636</v>
      </c>
      <c r="E11898" t="s">
        <v>36124</v>
      </c>
      <c r="F11898" t="s">
        <v>36125</v>
      </c>
      <c r="G11898" t="s">
        <v>36126</v>
      </c>
      <c r="H11898" t="s">
        <v>36185</v>
      </c>
      <c r="I11898" t="s">
        <v>36186</v>
      </c>
      <c r="J11898" t="s">
        <v>2510</v>
      </c>
      <c r="K11898" s="2" t="str">
        <f>HYPERLINK("http://collections.slsa.sa.gov.au/resource/B+76950")</f>
        <v>http://collections.slsa.sa.gov.au/resource/B+76950</v>
      </c>
    </row>
    <row r="11899" spans="1:11" x14ac:dyDescent="0.25">
      <c r="A11899" t="s">
        <v>36187</v>
      </c>
      <c r="B11899" s="1" t="str">
        <f>HYPERLINK("https://www.catalog.slsa.sa.gov.au/record=b3194856")</f>
        <v>https://www.catalog.slsa.sa.gov.au/record=b3194856</v>
      </c>
      <c r="C11899" s="1" t="str">
        <f>HYPERLINK("https://www.catalog.slsa.sa.gov.au/xrecord=b3194856")</f>
        <v>https://www.catalog.slsa.sa.gov.au/xrecord=b3194856</v>
      </c>
      <c r="D11899" t="s">
        <v>31636</v>
      </c>
      <c r="E11899" t="s">
        <v>36124</v>
      </c>
      <c r="F11899" t="s">
        <v>36125</v>
      </c>
      <c r="G11899" t="s">
        <v>36126</v>
      </c>
      <c r="H11899" t="s">
        <v>36188</v>
      </c>
      <c r="I11899" t="s">
        <v>36189</v>
      </c>
      <c r="J11899" t="s">
        <v>2510</v>
      </c>
      <c r="K11899" s="2" t="str">
        <f>HYPERLINK("http://collections.slsa.sa.gov.au/resource/B+76951")</f>
        <v>http://collections.slsa.sa.gov.au/resource/B+76951</v>
      </c>
    </row>
    <row r="11900" spans="1:11" x14ac:dyDescent="0.25">
      <c r="A11900" t="s">
        <v>36190</v>
      </c>
      <c r="B11900" s="1" t="str">
        <f>HYPERLINK("https://www.catalog.slsa.sa.gov.au/record=b3194857")</f>
        <v>https://www.catalog.slsa.sa.gov.au/record=b3194857</v>
      </c>
      <c r="C11900" s="1" t="str">
        <f>HYPERLINK("https://www.catalog.slsa.sa.gov.au/xrecord=b3194857")</f>
        <v>https://www.catalog.slsa.sa.gov.au/xrecord=b3194857</v>
      </c>
      <c r="D11900" t="s">
        <v>31636</v>
      </c>
      <c r="E11900" t="s">
        <v>36124</v>
      </c>
      <c r="F11900" t="s">
        <v>36125</v>
      </c>
      <c r="G11900" t="s">
        <v>36126</v>
      </c>
      <c r="H11900" t="s">
        <v>36191</v>
      </c>
      <c r="I11900" t="s">
        <v>36137</v>
      </c>
      <c r="J11900" t="s">
        <v>36177</v>
      </c>
      <c r="K11900" s="2" t="str">
        <f>HYPERLINK("http://collections.slsa.sa.gov.au/resource/B+76952")</f>
        <v>http://collections.slsa.sa.gov.au/resource/B+76952</v>
      </c>
    </row>
    <row r="11901" spans="1:11" x14ac:dyDescent="0.25">
      <c r="A11901" t="s">
        <v>36192</v>
      </c>
      <c r="B11901" s="1" t="str">
        <f>HYPERLINK("https://www.catalog.slsa.sa.gov.au/record=b2939103")</f>
        <v>https://www.catalog.slsa.sa.gov.au/record=b2939103</v>
      </c>
      <c r="C11901" s="1" t="str">
        <f>HYPERLINK("https://www.catalog.slsa.sa.gov.au/xrecord=b2939103")</f>
        <v>https://www.catalog.slsa.sa.gov.au/xrecord=b2939103</v>
      </c>
      <c r="D11901" t="s">
        <v>36193</v>
      </c>
      <c r="E11901" t="s">
        <v>36194</v>
      </c>
      <c r="F11901" t="s">
        <v>36195</v>
      </c>
      <c r="G11901" t="s">
        <v>36196</v>
      </c>
      <c r="H11901" t="s">
        <v>36197</v>
      </c>
      <c r="I11901" t="s">
        <v>36198</v>
      </c>
      <c r="J11901" t="s">
        <v>36199</v>
      </c>
      <c r="K11901" s="2" t="str">
        <f>HYPERLINK("http://collections.slsa.sa.gov.au/mpcimg/73500/B73412.htm")</f>
        <v>http://collections.slsa.sa.gov.au/mpcimg/73500/B73412.htm</v>
      </c>
    </row>
    <row r="11902" spans="1:11" x14ac:dyDescent="0.25">
      <c r="A11902" t="s">
        <v>36200</v>
      </c>
      <c r="B11902" s="1" t="str">
        <f>HYPERLINK("https://www.catalog.slsa.sa.gov.au/record=b2929299")</f>
        <v>https://www.catalog.slsa.sa.gov.au/record=b2929299</v>
      </c>
      <c r="C11902" s="1" t="str">
        <f>HYPERLINK("https://www.catalog.slsa.sa.gov.au/xrecord=b2929299")</f>
        <v>https://www.catalog.slsa.sa.gov.au/xrecord=b2929299</v>
      </c>
      <c r="D11902" t="s">
        <v>36201</v>
      </c>
      <c r="E11902" t="s">
        <v>36202</v>
      </c>
      <c r="F11902" t="s">
        <v>36203</v>
      </c>
      <c r="G11902" t="s">
        <v>36204</v>
      </c>
      <c r="H11902" t="s">
        <v>36205</v>
      </c>
      <c r="I11902" t="s">
        <v>36206</v>
      </c>
      <c r="J11902" t="s">
        <v>36207</v>
      </c>
      <c r="K11902" s="2" t="str">
        <f>HYPERLINK("http://collections.slsa.sa.gov.au/mpcimg/73500/B73381.htm")</f>
        <v>http://collections.slsa.sa.gov.au/mpcimg/73500/B73381.htm</v>
      </c>
    </row>
    <row r="11903" spans="1:11" x14ac:dyDescent="0.25">
      <c r="A11903" t="s">
        <v>36208</v>
      </c>
      <c r="B11903" s="1" t="str">
        <f>HYPERLINK("https://www.catalog.slsa.sa.gov.au/record=b2892766")</f>
        <v>https://www.catalog.slsa.sa.gov.au/record=b2892766</v>
      </c>
      <c r="C11903" s="1" t="str">
        <f>HYPERLINK("https://www.catalog.slsa.sa.gov.au/xrecord=b2892766")</f>
        <v>https://www.catalog.slsa.sa.gov.au/xrecord=b2892766</v>
      </c>
      <c r="D11903" t="s">
        <v>31902</v>
      </c>
      <c r="E11903" t="s">
        <v>36209</v>
      </c>
      <c r="F11903">
        <v>2012</v>
      </c>
      <c r="G11903" t="s">
        <v>36103</v>
      </c>
      <c r="H11903" t="s">
        <v>36210</v>
      </c>
      <c r="I11903" t="s">
        <v>36211</v>
      </c>
      <c r="J11903" t="s">
        <v>14768</v>
      </c>
      <c r="K11903" s="2" t="str">
        <f>HYPERLINK("http://collections.slsa.sa.gov.au/mpcimg/69500/B69282_705.htm")</f>
        <v>http://collections.slsa.sa.gov.au/mpcimg/69500/B69282_705.htm</v>
      </c>
    </row>
    <row r="11904" spans="1:11" x14ac:dyDescent="0.25">
      <c r="A11904" t="s">
        <v>36212</v>
      </c>
      <c r="B11904" s="1" t="str">
        <f>HYPERLINK("https://www.catalog.slsa.sa.gov.au/record=b2892767")</f>
        <v>https://www.catalog.slsa.sa.gov.au/record=b2892767</v>
      </c>
      <c r="C11904" s="1" t="str">
        <f>HYPERLINK("https://www.catalog.slsa.sa.gov.au/xrecord=b2892767")</f>
        <v>https://www.catalog.slsa.sa.gov.au/xrecord=b2892767</v>
      </c>
      <c r="D11904" t="s">
        <v>31902</v>
      </c>
      <c r="E11904" t="s">
        <v>36213</v>
      </c>
      <c r="F11904">
        <v>2012</v>
      </c>
      <c r="G11904" t="s">
        <v>36214</v>
      </c>
      <c r="H11904" t="s">
        <v>36215</v>
      </c>
      <c r="J11904" t="s">
        <v>14768</v>
      </c>
      <c r="K11904" s="2" t="str">
        <f>HYPERLINK("http://collections.slsa.sa.gov.au/mpcimg/69500/B69282_706.htm")</f>
        <v>http://collections.slsa.sa.gov.au/mpcimg/69500/B69282_706.htm</v>
      </c>
    </row>
    <row r="11905" spans="1:11" x14ac:dyDescent="0.25">
      <c r="A11905" t="s">
        <v>36216</v>
      </c>
      <c r="B11905" s="1" t="str">
        <f>HYPERLINK("https://www.catalog.slsa.sa.gov.au/record=b2912530")</f>
        <v>https://www.catalog.slsa.sa.gov.au/record=b2912530</v>
      </c>
      <c r="C11905" s="1" t="str">
        <f>HYPERLINK("https://www.catalog.slsa.sa.gov.au/xrecord=b2912530")</f>
        <v>https://www.catalog.slsa.sa.gov.au/xrecord=b2912530</v>
      </c>
      <c r="D11905" t="s">
        <v>31636</v>
      </c>
      <c r="E11905" t="s">
        <v>36217</v>
      </c>
      <c r="F11905">
        <v>2012</v>
      </c>
      <c r="G11905" t="s">
        <v>36218</v>
      </c>
      <c r="H11905" t="s">
        <v>36219</v>
      </c>
      <c r="I11905" t="s">
        <v>36220</v>
      </c>
      <c r="J11905" t="s">
        <v>5381</v>
      </c>
      <c r="K11905" s="2" t="str">
        <f>HYPERLINK("http://collections.slsa.sa.gov.au/mpcimg/73000/B72913.htm")</f>
        <v>http://collections.slsa.sa.gov.au/mpcimg/73000/B72913.htm</v>
      </c>
    </row>
    <row r="11906" spans="1:11" x14ac:dyDescent="0.25">
      <c r="A11906" t="s">
        <v>36221</v>
      </c>
      <c r="B11906" s="1" t="str">
        <f>HYPERLINK("https://www.catalog.slsa.sa.gov.au/record=b2912531")</f>
        <v>https://www.catalog.slsa.sa.gov.au/record=b2912531</v>
      </c>
      <c r="C11906" s="1" t="str">
        <f>HYPERLINK("https://www.catalog.slsa.sa.gov.au/xrecord=b2912531")</f>
        <v>https://www.catalog.slsa.sa.gov.au/xrecord=b2912531</v>
      </c>
      <c r="D11906" t="s">
        <v>31636</v>
      </c>
      <c r="E11906" t="s">
        <v>36222</v>
      </c>
      <c r="F11906">
        <v>2012</v>
      </c>
      <c r="G11906" t="s">
        <v>36223</v>
      </c>
      <c r="H11906" t="s">
        <v>36224</v>
      </c>
      <c r="I11906" t="s">
        <v>36220</v>
      </c>
      <c r="J11906" t="s">
        <v>5381</v>
      </c>
      <c r="K11906" s="2" t="str">
        <f>HYPERLINK("http://collections.slsa.sa.gov.au/mpcimg/73000/B72915.htm")</f>
        <v>http://collections.slsa.sa.gov.au/mpcimg/73000/B72915.htm</v>
      </c>
    </row>
    <row r="11907" spans="1:11" x14ac:dyDescent="0.25">
      <c r="A11907" t="s">
        <v>36225</v>
      </c>
      <c r="B11907" s="1" t="str">
        <f>HYPERLINK("https://www.catalog.slsa.sa.gov.au/record=b2912532")</f>
        <v>https://www.catalog.slsa.sa.gov.au/record=b2912532</v>
      </c>
      <c r="C11907" s="1" t="str">
        <f>HYPERLINK("https://www.catalog.slsa.sa.gov.au/xrecord=b2912532")</f>
        <v>https://www.catalog.slsa.sa.gov.au/xrecord=b2912532</v>
      </c>
      <c r="D11907" t="s">
        <v>31636</v>
      </c>
      <c r="E11907" t="s">
        <v>36217</v>
      </c>
      <c r="F11907">
        <v>2012</v>
      </c>
      <c r="G11907" t="s">
        <v>36218</v>
      </c>
      <c r="H11907" t="s">
        <v>36226</v>
      </c>
      <c r="I11907" t="s">
        <v>36220</v>
      </c>
      <c r="J11907" t="s">
        <v>5381</v>
      </c>
      <c r="K11907" s="2" t="str">
        <f>HYPERLINK("http://collections.slsa.sa.gov.au/mpcimg/73000/B72914.htm")</f>
        <v>http://collections.slsa.sa.gov.au/mpcimg/73000/B72914.htm</v>
      </c>
    </row>
    <row r="11908" spans="1:11" x14ac:dyDescent="0.25">
      <c r="A11908" t="s">
        <v>36227</v>
      </c>
      <c r="B11908" s="1" t="str">
        <f>HYPERLINK("https://www.catalog.slsa.sa.gov.au/record=b2912534")</f>
        <v>https://www.catalog.slsa.sa.gov.au/record=b2912534</v>
      </c>
      <c r="C11908" s="1" t="str">
        <f>HYPERLINK("https://www.catalog.slsa.sa.gov.au/xrecord=b2912534")</f>
        <v>https://www.catalog.slsa.sa.gov.au/xrecord=b2912534</v>
      </c>
      <c r="D11908" t="s">
        <v>31636</v>
      </c>
      <c r="E11908" t="s">
        <v>36222</v>
      </c>
      <c r="F11908">
        <v>2012</v>
      </c>
      <c r="G11908" t="s">
        <v>36223</v>
      </c>
      <c r="H11908" t="s">
        <v>36224</v>
      </c>
      <c r="I11908" t="s">
        <v>36220</v>
      </c>
      <c r="J11908" t="s">
        <v>5381</v>
      </c>
      <c r="K11908" s="2" t="str">
        <f>HYPERLINK("http://collections.slsa.sa.gov.au/mpcimg/73000/B72916.htm")</f>
        <v>http://collections.slsa.sa.gov.au/mpcimg/73000/B72916.htm</v>
      </c>
    </row>
    <row r="11909" spans="1:11" x14ac:dyDescent="0.25">
      <c r="A11909" t="s">
        <v>36228</v>
      </c>
      <c r="B11909" s="1" t="str">
        <f>HYPERLINK("https://www.catalog.slsa.sa.gov.au/record=b2912535")</f>
        <v>https://www.catalog.slsa.sa.gov.au/record=b2912535</v>
      </c>
      <c r="C11909" s="1" t="str">
        <f>HYPERLINK("https://www.catalog.slsa.sa.gov.au/xrecord=b2912535")</f>
        <v>https://www.catalog.slsa.sa.gov.au/xrecord=b2912535</v>
      </c>
      <c r="D11909" t="s">
        <v>31636</v>
      </c>
      <c r="E11909" t="s">
        <v>36222</v>
      </c>
      <c r="F11909">
        <v>2012</v>
      </c>
      <c r="G11909" t="s">
        <v>36223</v>
      </c>
      <c r="H11909" t="s">
        <v>36229</v>
      </c>
      <c r="I11909" t="s">
        <v>36220</v>
      </c>
      <c r="J11909" t="s">
        <v>5381</v>
      </c>
      <c r="K11909" s="2" t="str">
        <f>HYPERLINK("http://collections.slsa.sa.gov.au/mpcimg/73000/B72917.htm")</f>
        <v>http://collections.slsa.sa.gov.au/mpcimg/73000/B72917.htm</v>
      </c>
    </row>
    <row r="11910" spans="1:11" x14ac:dyDescent="0.25">
      <c r="A11910" t="s">
        <v>36230</v>
      </c>
      <c r="B11910" s="1" t="str">
        <f>HYPERLINK("https://www.catalog.slsa.sa.gov.au/record=b2912537")</f>
        <v>https://www.catalog.slsa.sa.gov.au/record=b2912537</v>
      </c>
      <c r="C11910" s="1" t="str">
        <f>HYPERLINK("https://www.catalog.slsa.sa.gov.au/xrecord=b2912537")</f>
        <v>https://www.catalog.slsa.sa.gov.au/xrecord=b2912537</v>
      </c>
      <c r="D11910" t="s">
        <v>31636</v>
      </c>
      <c r="E11910" t="s">
        <v>36231</v>
      </c>
      <c r="F11910">
        <v>2012</v>
      </c>
      <c r="G11910" t="s">
        <v>36223</v>
      </c>
      <c r="H11910" t="s">
        <v>36232</v>
      </c>
      <c r="I11910" t="s">
        <v>36233</v>
      </c>
      <c r="J11910" t="s">
        <v>5381</v>
      </c>
      <c r="K11910" s="2" t="str">
        <f>HYPERLINK("http://collections.slsa.sa.gov.au/mpcimg/73000/B72918.htm")</f>
        <v>http://collections.slsa.sa.gov.au/mpcimg/73000/B72918.htm</v>
      </c>
    </row>
    <row r="11911" spans="1:11" x14ac:dyDescent="0.25">
      <c r="A11911" t="s">
        <v>36234</v>
      </c>
      <c r="B11911" s="1" t="str">
        <f>HYPERLINK("https://www.catalog.slsa.sa.gov.au/record=b2912568")</f>
        <v>https://www.catalog.slsa.sa.gov.au/record=b2912568</v>
      </c>
      <c r="C11911" s="1" t="str">
        <f>HYPERLINK("https://www.catalog.slsa.sa.gov.au/xrecord=b2912568")</f>
        <v>https://www.catalog.slsa.sa.gov.au/xrecord=b2912568</v>
      </c>
      <c r="D11911" t="s">
        <v>31636</v>
      </c>
      <c r="E11911" t="s">
        <v>36235</v>
      </c>
      <c r="F11911">
        <v>2012</v>
      </c>
      <c r="G11911" t="s">
        <v>36223</v>
      </c>
      <c r="H11911" t="s">
        <v>36236</v>
      </c>
      <c r="I11911" t="s">
        <v>36220</v>
      </c>
      <c r="J11911" t="s">
        <v>5381</v>
      </c>
      <c r="K11911" s="2" t="str">
        <f>HYPERLINK("http://collections.slsa.sa.gov.au/mpcimg/73000/B72919.htm")</f>
        <v>http://collections.slsa.sa.gov.au/mpcimg/73000/B72919.htm</v>
      </c>
    </row>
    <row r="11912" spans="1:11" x14ac:dyDescent="0.25">
      <c r="A11912" t="s">
        <v>36237</v>
      </c>
      <c r="B11912" s="1" t="str">
        <f>HYPERLINK("https://www.catalog.slsa.sa.gov.au/record=b2912575")</f>
        <v>https://www.catalog.slsa.sa.gov.au/record=b2912575</v>
      </c>
      <c r="C11912" s="1" t="str">
        <f>HYPERLINK("https://www.catalog.slsa.sa.gov.au/xrecord=b2912575")</f>
        <v>https://www.catalog.slsa.sa.gov.au/xrecord=b2912575</v>
      </c>
      <c r="D11912" t="s">
        <v>31636</v>
      </c>
      <c r="E11912" t="s">
        <v>36238</v>
      </c>
      <c r="F11912">
        <v>2012</v>
      </c>
      <c r="G11912" t="s">
        <v>36218</v>
      </c>
      <c r="H11912" t="s">
        <v>36239</v>
      </c>
      <c r="I11912" t="s">
        <v>36240</v>
      </c>
      <c r="J11912" t="s">
        <v>5381</v>
      </c>
      <c r="K11912" s="2" t="str">
        <f>HYPERLINK("http://collections.slsa.sa.gov.au/mpcimg/73000/B72920.htm")</f>
        <v>http://collections.slsa.sa.gov.au/mpcimg/73000/B72920.htm</v>
      </c>
    </row>
    <row r="11913" spans="1:11" x14ac:dyDescent="0.25">
      <c r="A11913" t="s">
        <v>36241</v>
      </c>
      <c r="B11913" s="1" t="str">
        <f>HYPERLINK("https://www.catalog.slsa.sa.gov.au/record=b2912576")</f>
        <v>https://www.catalog.slsa.sa.gov.au/record=b2912576</v>
      </c>
      <c r="C11913" s="1" t="str">
        <f>HYPERLINK("https://www.catalog.slsa.sa.gov.au/xrecord=b2912576")</f>
        <v>https://www.catalog.slsa.sa.gov.au/xrecord=b2912576</v>
      </c>
      <c r="D11913" t="s">
        <v>31636</v>
      </c>
      <c r="E11913" t="s">
        <v>36242</v>
      </c>
      <c r="F11913">
        <v>2012</v>
      </c>
      <c r="G11913" t="s">
        <v>36223</v>
      </c>
      <c r="H11913" t="s">
        <v>36243</v>
      </c>
      <c r="I11913" t="s">
        <v>36220</v>
      </c>
      <c r="J11913" t="s">
        <v>5381</v>
      </c>
      <c r="K11913" s="2" t="str">
        <f>HYPERLINK("http://collections.slsa.sa.gov.au/mpcimg/73000/B72921.htm")</f>
        <v>http://collections.slsa.sa.gov.au/mpcimg/73000/B72921.htm</v>
      </c>
    </row>
    <row r="11914" spans="1:11" x14ac:dyDescent="0.25">
      <c r="A11914" t="s">
        <v>36244</v>
      </c>
      <c r="B11914" s="1" t="str">
        <f>HYPERLINK("https://www.catalog.slsa.sa.gov.au/record=b2912577")</f>
        <v>https://www.catalog.slsa.sa.gov.au/record=b2912577</v>
      </c>
      <c r="C11914" s="1" t="str">
        <f>HYPERLINK("https://www.catalog.slsa.sa.gov.au/xrecord=b2912577")</f>
        <v>https://www.catalog.slsa.sa.gov.au/xrecord=b2912577</v>
      </c>
      <c r="D11914" t="s">
        <v>31636</v>
      </c>
      <c r="E11914" t="s">
        <v>36245</v>
      </c>
      <c r="F11914">
        <v>2012</v>
      </c>
      <c r="G11914" t="s">
        <v>36223</v>
      </c>
      <c r="H11914" t="s">
        <v>36246</v>
      </c>
      <c r="I11914" t="s">
        <v>36247</v>
      </c>
      <c r="J11914" t="s">
        <v>5381</v>
      </c>
      <c r="K11914" s="2" t="str">
        <f>HYPERLINK("http://collections.slsa.sa.gov.au/mpcimg/73000/B72922.htm")</f>
        <v>http://collections.slsa.sa.gov.au/mpcimg/73000/B72922.htm</v>
      </c>
    </row>
    <row r="11915" spans="1:11" x14ac:dyDescent="0.25">
      <c r="A11915" t="s">
        <v>36248</v>
      </c>
      <c r="B11915" s="1" t="str">
        <f>HYPERLINK("https://www.catalog.slsa.sa.gov.au/record=b2912580")</f>
        <v>https://www.catalog.slsa.sa.gov.au/record=b2912580</v>
      </c>
      <c r="C11915" s="1" t="str">
        <f>HYPERLINK("https://www.catalog.slsa.sa.gov.au/xrecord=b2912580")</f>
        <v>https://www.catalog.slsa.sa.gov.au/xrecord=b2912580</v>
      </c>
      <c r="D11915" t="s">
        <v>31636</v>
      </c>
      <c r="E11915" t="s">
        <v>36249</v>
      </c>
      <c r="F11915">
        <v>2012</v>
      </c>
      <c r="G11915" t="s">
        <v>36223</v>
      </c>
      <c r="H11915" t="s">
        <v>36250</v>
      </c>
      <c r="I11915" t="s">
        <v>36220</v>
      </c>
      <c r="J11915" t="s">
        <v>5381</v>
      </c>
      <c r="K11915" s="2" t="str">
        <f>HYPERLINK("http://collections.slsa.sa.gov.au/mpcimg/73000/B72923.htm")</f>
        <v>http://collections.slsa.sa.gov.au/mpcimg/73000/B72923.htm</v>
      </c>
    </row>
    <row r="11916" spans="1:11" x14ac:dyDescent="0.25">
      <c r="A11916" t="s">
        <v>36251</v>
      </c>
      <c r="B11916" s="1" t="str">
        <f>HYPERLINK("https://www.catalog.slsa.sa.gov.au/record=b2912582")</f>
        <v>https://www.catalog.slsa.sa.gov.au/record=b2912582</v>
      </c>
      <c r="C11916" s="1" t="str">
        <f>HYPERLINK("https://www.catalog.slsa.sa.gov.au/xrecord=b2912582")</f>
        <v>https://www.catalog.slsa.sa.gov.au/xrecord=b2912582</v>
      </c>
      <c r="D11916" t="s">
        <v>31636</v>
      </c>
      <c r="E11916" t="s">
        <v>36252</v>
      </c>
      <c r="F11916">
        <v>2012</v>
      </c>
      <c r="G11916" t="s">
        <v>36223</v>
      </c>
      <c r="H11916" t="s">
        <v>36253</v>
      </c>
      <c r="I11916" t="s">
        <v>36254</v>
      </c>
      <c r="J11916" t="s">
        <v>5381</v>
      </c>
      <c r="K11916" s="2" t="str">
        <f>HYPERLINK("http://collections.slsa.sa.gov.au/mpcimg/73000/B72924.htm")</f>
        <v>http://collections.slsa.sa.gov.au/mpcimg/73000/B72924.htm</v>
      </c>
    </row>
    <row r="11917" spans="1:11" x14ac:dyDescent="0.25">
      <c r="A11917" t="s">
        <v>36255</v>
      </c>
      <c r="B11917" s="1" t="str">
        <f>HYPERLINK("https://www.catalog.slsa.sa.gov.au/record=b2912585")</f>
        <v>https://www.catalog.slsa.sa.gov.au/record=b2912585</v>
      </c>
      <c r="C11917" s="1" t="str">
        <f>HYPERLINK("https://www.catalog.slsa.sa.gov.au/xrecord=b2912585")</f>
        <v>https://www.catalog.slsa.sa.gov.au/xrecord=b2912585</v>
      </c>
      <c r="D11917" t="s">
        <v>31636</v>
      </c>
      <c r="E11917" t="s">
        <v>36256</v>
      </c>
      <c r="F11917">
        <v>2012</v>
      </c>
      <c r="G11917" t="s">
        <v>36223</v>
      </c>
      <c r="H11917" t="s">
        <v>36257</v>
      </c>
      <c r="I11917" t="s">
        <v>36220</v>
      </c>
      <c r="J11917" t="s">
        <v>5381</v>
      </c>
      <c r="K11917" s="2" t="str">
        <f>HYPERLINK("http://collections.slsa.sa.gov.au/mpcimg/73000/B72925.htm")</f>
        <v>http://collections.slsa.sa.gov.au/mpcimg/73000/B72925.htm</v>
      </c>
    </row>
    <row r="11918" spans="1:11" x14ac:dyDescent="0.25">
      <c r="A11918" t="s">
        <v>36258</v>
      </c>
      <c r="B11918" s="1" t="str">
        <f>HYPERLINK("https://www.catalog.slsa.sa.gov.au/record=b2912588")</f>
        <v>https://www.catalog.slsa.sa.gov.au/record=b2912588</v>
      </c>
      <c r="C11918" s="1" t="str">
        <f>HYPERLINK("https://www.catalog.slsa.sa.gov.au/xrecord=b2912588")</f>
        <v>https://www.catalog.slsa.sa.gov.au/xrecord=b2912588</v>
      </c>
      <c r="D11918" t="s">
        <v>31636</v>
      </c>
      <c r="E11918" t="s">
        <v>36259</v>
      </c>
      <c r="F11918">
        <v>2012</v>
      </c>
      <c r="G11918" t="s">
        <v>36223</v>
      </c>
      <c r="H11918" t="s">
        <v>36260</v>
      </c>
      <c r="I11918" t="s">
        <v>36261</v>
      </c>
      <c r="J11918" t="s">
        <v>5381</v>
      </c>
      <c r="K11918" s="2" t="str">
        <f>HYPERLINK("http://collections.slsa.sa.gov.au/mpcimg/73000/B72926.htm")</f>
        <v>http://collections.slsa.sa.gov.au/mpcimg/73000/B72926.htm</v>
      </c>
    </row>
    <row r="11919" spans="1:11" x14ac:dyDescent="0.25">
      <c r="A11919" t="s">
        <v>36262</v>
      </c>
      <c r="B11919" s="1" t="str">
        <f>HYPERLINK("https://www.catalog.slsa.sa.gov.au/record=b2912591")</f>
        <v>https://www.catalog.slsa.sa.gov.au/record=b2912591</v>
      </c>
      <c r="C11919" s="1" t="str">
        <f>HYPERLINK("https://www.catalog.slsa.sa.gov.au/xrecord=b2912591")</f>
        <v>https://www.catalog.slsa.sa.gov.au/xrecord=b2912591</v>
      </c>
      <c r="D11919" t="s">
        <v>31636</v>
      </c>
      <c r="E11919" t="s">
        <v>36263</v>
      </c>
      <c r="F11919">
        <v>2012</v>
      </c>
      <c r="G11919" t="s">
        <v>36223</v>
      </c>
      <c r="H11919" t="s">
        <v>36264</v>
      </c>
      <c r="I11919" t="s">
        <v>36265</v>
      </c>
      <c r="J11919" t="s">
        <v>5381</v>
      </c>
      <c r="K11919" s="2" t="str">
        <f>HYPERLINK("http://collections.slsa.sa.gov.au/mpcimg/73000/B72927.htm")</f>
        <v>http://collections.slsa.sa.gov.au/mpcimg/73000/B72927.htm</v>
      </c>
    </row>
    <row r="11920" spans="1:11" x14ac:dyDescent="0.25">
      <c r="A11920" t="s">
        <v>36266</v>
      </c>
      <c r="B11920" s="1" t="str">
        <f>HYPERLINK("https://www.catalog.slsa.sa.gov.au/record=b2912592")</f>
        <v>https://www.catalog.slsa.sa.gov.au/record=b2912592</v>
      </c>
      <c r="C11920" s="1" t="str">
        <f>HYPERLINK("https://www.catalog.slsa.sa.gov.au/xrecord=b2912592")</f>
        <v>https://www.catalog.slsa.sa.gov.au/xrecord=b2912592</v>
      </c>
      <c r="D11920" t="s">
        <v>31636</v>
      </c>
      <c r="E11920" t="s">
        <v>36267</v>
      </c>
      <c r="F11920">
        <v>2012</v>
      </c>
      <c r="G11920" t="s">
        <v>36223</v>
      </c>
      <c r="H11920" t="s">
        <v>36268</v>
      </c>
      <c r="I11920" t="s">
        <v>36269</v>
      </c>
      <c r="J11920" t="s">
        <v>5381</v>
      </c>
      <c r="K11920" s="2" t="str">
        <f>HYPERLINK("http://collections.slsa.sa.gov.au/mpcimg/73000/B72928.htm")</f>
        <v>http://collections.slsa.sa.gov.au/mpcimg/73000/B72928.htm</v>
      </c>
    </row>
    <row r="11921" spans="1:11" x14ac:dyDescent="0.25">
      <c r="A11921" t="s">
        <v>36270</v>
      </c>
      <c r="B11921" s="1" t="str">
        <f>HYPERLINK("https://www.catalog.slsa.sa.gov.au/record=b2912593")</f>
        <v>https://www.catalog.slsa.sa.gov.au/record=b2912593</v>
      </c>
      <c r="C11921" s="1" t="str">
        <f>HYPERLINK("https://www.catalog.slsa.sa.gov.au/xrecord=b2912593")</f>
        <v>https://www.catalog.slsa.sa.gov.au/xrecord=b2912593</v>
      </c>
      <c r="D11921" t="s">
        <v>31636</v>
      </c>
      <c r="E11921" t="s">
        <v>36245</v>
      </c>
      <c r="F11921">
        <v>2012</v>
      </c>
      <c r="G11921" t="s">
        <v>36223</v>
      </c>
      <c r="H11921" t="s">
        <v>36246</v>
      </c>
      <c r="I11921" t="s">
        <v>36247</v>
      </c>
      <c r="J11921" t="s">
        <v>5381</v>
      </c>
      <c r="K11921" s="2" t="str">
        <f>HYPERLINK("http://collections.slsa.sa.gov.au/mpcimg/73000/B72929.htm")</f>
        <v>http://collections.slsa.sa.gov.au/mpcimg/73000/B72929.htm</v>
      </c>
    </row>
    <row r="11922" spans="1:11" x14ac:dyDescent="0.25">
      <c r="A11922" t="s">
        <v>36271</v>
      </c>
      <c r="B11922" s="1" t="str">
        <f>HYPERLINK("https://www.catalog.slsa.sa.gov.au/record=b2912594")</f>
        <v>https://www.catalog.slsa.sa.gov.au/record=b2912594</v>
      </c>
      <c r="C11922" s="1" t="str">
        <f>HYPERLINK("https://www.catalog.slsa.sa.gov.au/xrecord=b2912594")</f>
        <v>https://www.catalog.slsa.sa.gov.au/xrecord=b2912594</v>
      </c>
      <c r="D11922" t="s">
        <v>31636</v>
      </c>
      <c r="E11922" t="s">
        <v>36272</v>
      </c>
      <c r="F11922">
        <v>2012</v>
      </c>
      <c r="G11922" t="s">
        <v>36223</v>
      </c>
      <c r="H11922" t="s">
        <v>36273</v>
      </c>
      <c r="I11922" t="s">
        <v>36274</v>
      </c>
      <c r="J11922" t="s">
        <v>5381</v>
      </c>
      <c r="K11922" s="2" t="str">
        <f>HYPERLINK("http://collections.slsa.sa.gov.au/mpcimg/73000/B72930.htm")</f>
        <v>http://collections.slsa.sa.gov.au/mpcimg/73000/B72930.htm</v>
      </c>
    </row>
    <row r="11923" spans="1:11" x14ac:dyDescent="0.25">
      <c r="A11923" t="s">
        <v>36275</v>
      </c>
      <c r="B11923" s="1" t="str">
        <f>HYPERLINK("https://www.catalog.slsa.sa.gov.au/record=b2912597")</f>
        <v>https://www.catalog.slsa.sa.gov.au/record=b2912597</v>
      </c>
      <c r="C11923" s="1" t="str">
        <f>HYPERLINK("https://www.catalog.slsa.sa.gov.au/xrecord=b2912597")</f>
        <v>https://www.catalog.slsa.sa.gov.au/xrecord=b2912597</v>
      </c>
      <c r="D11923" t="s">
        <v>31636</v>
      </c>
      <c r="E11923" t="s">
        <v>36276</v>
      </c>
      <c r="F11923">
        <v>2012</v>
      </c>
      <c r="G11923" t="s">
        <v>36223</v>
      </c>
      <c r="H11923" t="s">
        <v>36277</v>
      </c>
      <c r="I11923" t="s">
        <v>36278</v>
      </c>
      <c r="J11923" t="s">
        <v>5381</v>
      </c>
      <c r="K11923" s="2" t="str">
        <f>HYPERLINK("http://collections.slsa.sa.gov.au/mpcimg/73000/B72931.htm")</f>
        <v>http://collections.slsa.sa.gov.au/mpcimg/73000/B72931.htm</v>
      </c>
    </row>
    <row r="11924" spans="1:11" x14ac:dyDescent="0.25">
      <c r="A11924" t="s">
        <v>36279</v>
      </c>
      <c r="B11924" s="1" t="str">
        <f>HYPERLINK("https://www.catalog.slsa.sa.gov.au/record=b2912598")</f>
        <v>https://www.catalog.slsa.sa.gov.au/record=b2912598</v>
      </c>
      <c r="C11924" s="1" t="str">
        <f>HYPERLINK("https://www.catalog.slsa.sa.gov.au/xrecord=b2912598")</f>
        <v>https://www.catalog.slsa.sa.gov.au/xrecord=b2912598</v>
      </c>
      <c r="D11924" t="s">
        <v>31636</v>
      </c>
      <c r="E11924" t="s">
        <v>36280</v>
      </c>
      <c r="F11924">
        <v>2012</v>
      </c>
      <c r="G11924" t="s">
        <v>36223</v>
      </c>
      <c r="H11924" t="s">
        <v>36281</v>
      </c>
      <c r="I11924" t="s">
        <v>36282</v>
      </c>
      <c r="J11924" t="s">
        <v>5381</v>
      </c>
      <c r="K11924" s="2" t="str">
        <f>HYPERLINK("http://collections.slsa.sa.gov.au/mpcimg/73000/B72932.htm")</f>
        <v>http://collections.slsa.sa.gov.au/mpcimg/73000/B72932.htm</v>
      </c>
    </row>
    <row r="11925" spans="1:11" x14ac:dyDescent="0.25">
      <c r="A11925" t="s">
        <v>36283</v>
      </c>
      <c r="B11925" s="1" t="str">
        <f>HYPERLINK("https://www.catalog.slsa.sa.gov.au/record=b2912599")</f>
        <v>https://www.catalog.slsa.sa.gov.au/record=b2912599</v>
      </c>
      <c r="C11925" s="1" t="str">
        <f>HYPERLINK("https://www.catalog.slsa.sa.gov.au/xrecord=b2912599")</f>
        <v>https://www.catalog.slsa.sa.gov.au/xrecord=b2912599</v>
      </c>
      <c r="D11925" t="s">
        <v>31636</v>
      </c>
      <c r="E11925" t="s">
        <v>36284</v>
      </c>
      <c r="F11925">
        <v>2012</v>
      </c>
      <c r="G11925" t="s">
        <v>36223</v>
      </c>
      <c r="H11925" t="s">
        <v>36285</v>
      </c>
      <c r="I11925" t="s">
        <v>36220</v>
      </c>
      <c r="J11925" t="s">
        <v>5381</v>
      </c>
      <c r="K11925" s="2" t="str">
        <f>HYPERLINK("http://collections.slsa.sa.gov.au/mpcimg/73000/B72933.htm")</f>
        <v>http://collections.slsa.sa.gov.au/mpcimg/73000/B72933.htm</v>
      </c>
    </row>
    <row r="11926" spans="1:11" x14ac:dyDescent="0.25">
      <c r="A11926" t="s">
        <v>36286</v>
      </c>
      <c r="B11926" s="1" t="str">
        <f>HYPERLINK("https://www.catalog.slsa.sa.gov.au/record=b2912652")</f>
        <v>https://www.catalog.slsa.sa.gov.au/record=b2912652</v>
      </c>
      <c r="C11926" s="1" t="str">
        <f>HYPERLINK("https://www.catalog.slsa.sa.gov.au/xrecord=b2912652")</f>
        <v>https://www.catalog.slsa.sa.gov.au/xrecord=b2912652</v>
      </c>
      <c r="D11926" t="s">
        <v>31636</v>
      </c>
      <c r="E11926" t="s">
        <v>36287</v>
      </c>
      <c r="F11926">
        <v>2012</v>
      </c>
      <c r="G11926" t="s">
        <v>36223</v>
      </c>
      <c r="H11926" t="s">
        <v>36288</v>
      </c>
      <c r="I11926" t="s">
        <v>36220</v>
      </c>
      <c r="J11926" t="s">
        <v>5381</v>
      </c>
      <c r="K11926" s="2" t="str">
        <f>HYPERLINK("http://collections.slsa.sa.gov.au/mpcimg/73000/B72934.htm")</f>
        <v>http://collections.slsa.sa.gov.au/mpcimg/73000/B72934.htm</v>
      </c>
    </row>
    <row r="11927" spans="1:11" x14ac:dyDescent="0.25">
      <c r="A11927" t="s">
        <v>36289</v>
      </c>
      <c r="B11927" s="1" t="str">
        <f>HYPERLINK("https://www.catalog.slsa.sa.gov.au/record=b2912654")</f>
        <v>https://www.catalog.slsa.sa.gov.au/record=b2912654</v>
      </c>
      <c r="C11927" s="1" t="str">
        <f>HYPERLINK("https://www.catalog.slsa.sa.gov.au/xrecord=b2912654")</f>
        <v>https://www.catalog.slsa.sa.gov.au/xrecord=b2912654</v>
      </c>
      <c r="D11927" t="s">
        <v>31636</v>
      </c>
      <c r="E11927" t="s">
        <v>36290</v>
      </c>
      <c r="F11927">
        <v>2012</v>
      </c>
      <c r="G11927" t="s">
        <v>36223</v>
      </c>
      <c r="H11927" t="s">
        <v>36291</v>
      </c>
      <c r="I11927" t="s">
        <v>36292</v>
      </c>
      <c r="J11927" t="s">
        <v>5381</v>
      </c>
      <c r="K11927" s="2" t="str">
        <f>HYPERLINK("http://collections.slsa.sa.gov.au/mpcimg/73000/B72935.htm")</f>
        <v>http://collections.slsa.sa.gov.au/mpcimg/73000/B72935.htm</v>
      </c>
    </row>
    <row r="11928" spans="1:11" x14ac:dyDescent="0.25">
      <c r="A11928" t="s">
        <v>36293</v>
      </c>
      <c r="B11928" s="1" t="str">
        <f>HYPERLINK("https://www.catalog.slsa.sa.gov.au/record=b2913196")</f>
        <v>https://www.catalog.slsa.sa.gov.au/record=b2913196</v>
      </c>
      <c r="C11928" s="1" t="str">
        <f>HYPERLINK("https://www.catalog.slsa.sa.gov.au/xrecord=b2913196")</f>
        <v>https://www.catalog.slsa.sa.gov.au/xrecord=b2913196</v>
      </c>
      <c r="D11928" t="s">
        <v>31636</v>
      </c>
      <c r="E11928" t="s">
        <v>36294</v>
      </c>
      <c r="F11928">
        <v>2012</v>
      </c>
      <c r="G11928" t="s">
        <v>36223</v>
      </c>
      <c r="H11928" t="s">
        <v>36295</v>
      </c>
      <c r="I11928" t="s">
        <v>36296</v>
      </c>
      <c r="J11928" t="s">
        <v>5381</v>
      </c>
      <c r="K11928" s="2" t="str">
        <f>HYPERLINK("http://collections.slsa.sa.gov.au/mpcimg/73000/B72936.htm")</f>
        <v>http://collections.slsa.sa.gov.au/mpcimg/73000/B72936.htm</v>
      </c>
    </row>
    <row r="11929" spans="1:11" x14ac:dyDescent="0.25">
      <c r="A11929" t="s">
        <v>36297</v>
      </c>
      <c r="B11929" s="1" t="str">
        <f>HYPERLINK("https://www.catalog.slsa.sa.gov.au/record=b2913201")</f>
        <v>https://www.catalog.slsa.sa.gov.au/record=b2913201</v>
      </c>
      <c r="C11929" s="1" t="str">
        <f>HYPERLINK("https://www.catalog.slsa.sa.gov.au/xrecord=b2913201")</f>
        <v>https://www.catalog.slsa.sa.gov.au/xrecord=b2913201</v>
      </c>
      <c r="D11929" t="s">
        <v>31636</v>
      </c>
      <c r="E11929" t="s">
        <v>36298</v>
      </c>
      <c r="F11929">
        <v>2012</v>
      </c>
      <c r="G11929" t="s">
        <v>36223</v>
      </c>
      <c r="H11929" t="s">
        <v>36299</v>
      </c>
      <c r="I11929" t="s">
        <v>36300</v>
      </c>
      <c r="J11929" t="s">
        <v>5381</v>
      </c>
      <c r="K11929" s="2" t="str">
        <f>HYPERLINK("http://collections.slsa.sa.gov.au/mpcimg/73000/B72937.htm")</f>
        <v>http://collections.slsa.sa.gov.au/mpcimg/73000/B72937.htm</v>
      </c>
    </row>
    <row r="11930" spans="1:11" x14ac:dyDescent="0.25">
      <c r="A11930" t="s">
        <v>36301</v>
      </c>
      <c r="B11930" s="1" t="str">
        <f>HYPERLINK("https://www.catalog.slsa.sa.gov.au/record=b2913203")</f>
        <v>https://www.catalog.slsa.sa.gov.au/record=b2913203</v>
      </c>
      <c r="C11930" s="1" t="str">
        <f>HYPERLINK("https://www.catalog.slsa.sa.gov.au/xrecord=b2913203")</f>
        <v>https://www.catalog.slsa.sa.gov.au/xrecord=b2913203</v>
      </c>
      <c r="D11930" t="s">
        <v>31636</v>
      </c>
      <c r="E11930" t="s">
        <v>36302</v>
      </c>
      <c r="F11930">
        <v>2012</v>
      </c>
      <c r="G11930" t="s">
        <v>36223</v>
      </c>
      <c r="H11930" t="s">
        <v>36303</v>
      </c>
      <c r="I11930" t="s">
        <v>36304</v>
      </c>
      <c r="J11930" t="s">
        <v>5381</v>
      </c>
      <c r="K11930" s="2" t="str">
        <f>HYPERLINK("http://collections.slsa.sa.gov.au/mpcimg/73000/B72938.htm")</f>
        <v>http://collections.slsa.sa.gov.au/mpcimg/73000/B72938.htm</v>
      </c>
    </row>
    <row r="11931" spans="1:11" x14ac:dyDescent="0.25">
      <c r="A11931" t="s">
        <v>36305</v>
      </c>
      <c r="B11931" s="1" t="str">
        <f>HYPERLINK("https://www.catalog.slsa.sa.gov.au/record=b2913204")</f>
        <v>https://www.catalog.slsa.sa.gov.au/record=b2913204</v>
      </c>
      <c r="C11931" s="1" t="str">
        <f>HYPERLINK("https://www.catalog.slsa.sa.gov.au/xrecord=b2913204")</f>
        <v>https://www.catalog.slsa.sa.gov.au/xrecord=b2913204</v>
      </c>
      <c r="D11931" t="s">
        <v>31636</v>
      </c>
      <c r="E11931" t="s">
        <v>36306</v>
      </c>
      <c r="F11931">
        <v>2012</v>
      </c>
      <c r="G11931" t="s">
        <v>36223</v>
      </c>
      <c r="H11931" t="s">
        <v>36307</v>
      </c>
      <c r="I11931" t="s">
        <v>36308</v>
      </c>
      <c r="J11931" t="s">
        <v>5381</v>
      </c>
      <c r="K11931" s="2" t="str">
        <f>HYPERLINK("http://collections.slsa.sa.gov.au/mpcimg/73000/B72939.htm")</f>
        <v>http://collections.slsa.sa.gov.au/mpcimg/73000/B72939.htm</v>
      </c>
    </row>
    <row r="11932" spans="1:11" x14ac:dyDescent="0.25">
      <c r="A11932" t="s">
        <v>36309</v>
      </c>
      <c r="B11932" s="1" t="str">
        <f>HYPERLINK("https://www.catalog.slsa.sa.gov.au/record=b2913215")</f>
        <v>https://www.catalog.slsa.sa.gov.au/record=b2913215</v>
      </c>
      <c r="C11932" s="1" t="str">
        <f>HYPERLINK("https://www.catalog.slsa.sa.gov.au/xrecord=b2913215")</f>
        <v>https://www.catalog.slsa.sa.gov.au/xrecord=b2913215</v>
      </c>
      <c r="D11932" t="s">
        <v>31636</v>
      </c>
      <c r="E11932" t="s">
        <v>36310</v>
      </c>
      <c r="F11932">
        <v>2012</v>
      </c>
      <c r="G11932" t="s">
        <v>36218</v>
      </c>
      <c r="H11932" t="s">
        <v>36311</v>
      </c>
      <c r="I11932" t="s">
        <v>36312</v>
      </c>
      <c r="J11932" t="s">
        <v>5381</v>
      </c>
      <c r="K11932" s="2" t="str">
        <f>HYPERLINK("http://collections.slsa.sa.gov.au/mpcimg/73000/B72940.htm")</f>
        <v>http://collections.slsa.sa.gov.au/mpcimg/73000/B72940.htm</v>
      </c>
    </row>
    <row r="11933" spans="1:11" x14ac:dyDescent="0.25">
      <c r="A11933" t="s">
        <v>36313</v>
      </c>
      <c r="B11933" s="1" t="str">
        <f>HYPERLINK("https://www.catalog.slsa.sa.gov.au/record=b2913217")</f>
        <v>https://www.catalog.slsa.sa.gov.au/record=b2913217</v>
      </c>
      <c r="C11933" s="1" t="str">
        <f>HYPERLINK("https://www.catalog.slsa.sa.gov.au/xrecord=b2913217")</f>
        <v>https://www.catalog.slsa.sa.gov.au/xrecord=b2913217</v>
      </c>
      <c r="D11933" t="s">
        <v>31636</v>
      </c>
      <c r="E11933" t="s">
        <v>36314</v>
      </c>
      <c r="F11933">
        <v>2012</v>
      </c>
      <c r="G11933" t="s">
        <v>36223</v>
      </c>
      <c r="H11933" t="s">
        <v>36315</v>
      </c>
      <c r="I11933" t="s">
        <v>36316</v>
      </c>
      <c r="J11933" t="s">
        <v>5381</v>
      </c>
      <c r="K11933" s="2" t="str">
        <f>HYPERLINK("http://collections.slsa.sa.gov.au/mpcimg/73000/B72941.htm")</f>
        <v>http://collections.slsa.sa.gov.au/mpcimg/73000/B72941.htm</v>
      </c>
    </row>
    <row r="11934" spans="1:11" x14ac:dyDescent="0.25">
      <c r="A11934" t="s">
        <v>36317</v>
      </c>
      <c r="B11934" s="1" t="str">
        <f>HYPERLINK("https://www.catalog.slsa.sa.gov.au/record=b2913222")</f>
        <v>https://www.catalog.slsa.sa.gov.au/record=b2913222</v>
      </c>
      <c r="C11934" s="1" t="str">
        <f>HYPERLINK("https://www.catalog.slsa.sa.gov.au/xrecord=b2913222")</f>
        <v>https://www.catalog.slsa.sa.gov.au/xrecord=b2913222</v>
      </c>
      <c r="D11934" t="s">
        <v>31636</v>
      </c>
      <c r="E11934" t="s">
        <v>36318</v>
      </c>
      <c r="F11934">
        <v>2012</v>
      </c>
      <c r="G11934" t="s">
        <v>36223</v>
      </c>
      <c r="H11934" t="s">
        <v>36319</v>
      </c>
      <c r="I11934" t="s">
        <v>36320</v>
      </c>
      <c r="J11934" t="s">
        <v>5381</v>
      </c>
      <c r="K11934" s="2" t="str">
        <f>HYPERLINK("http://collections.slsa.sa.gov.au/mpcimg/73000/B72942.htm")</f>
        <v>http://collections.slsa.sa.gov.au/mpcimg/73000/B72942.htm</v>
      </c>
    </row>
    <row r="11935" spans="1:11" x14ac:dyDescent="0.25">
      <c r="A11935" t="s">
        <v>36321</v>
      </c>
      <c r="B11935" s="1" t="str">
        <f>HYPERLINK("https://www.catalog.slsa.sa.gov.au/record=b2913225")</f>
        <v>https://www.catalog.slsa.sa.gov.au/record=b2913225</v>
      </c>
      <c r="C11935" s="1" t="str">
        <f>HYPERLINK("https://www.catalog.slsa.sa.gov.au/xrecord=b2913225")</f>
        <v>https://www.catalog.slsa.sa.gov.au/xrecord=b2913225</v>
      </c>
      <c r="D11935" t="s">
        <v>31636</v>
      </c>
      <c r="E11935" t="s">
        <v>36322</v>
      </c>
      <c r="F11935">
        <v>2012</v>
      </c>
      <c r="G11935" t="s">
        <v>36223</v>
      </c>
      <c r="H11935" t="s">
        <v>36323</v>
      </c>
      <c r="I11935" t="s">
        <v>36324</v>
      </c>
      <c r="J11935" t="s">
        <v>5381</v>
      </c>
      <c r="K11935" s="2" t="str">
        <f>HYPERLINK("http://collections.slsa.sa.gov.au/mpcimg/73000/B72943.htm")</f>
        <v>http://collections.slsa.sa.gov.au/mpcimg/73000/B72943.htm</v>
      </c>
    </row>
    <row r="11936" spans="1:11" x14ac:dyDescent="0.25">
      <c r="A11936" t="s">
        <v>36325</v>
      </c>
      <c r="B11936" s="1" t="str">
        <f>HYPERLINK("https://www.catalog.slsa.sa.gov.au/record=b2913227")</f>
        <v>https://www.catalog.slsa.sa.gov.au/record=b2913227</v>
      </c>
      <c r="C11936" s="1" t="str">
        <f>HYPERLINK("https://www.catalog.slsa.sa.gov.au/xrecord=b2913227")</f>
        <v>https://www.catalog.slsa.sa.gov.au/xrecord=b2913227</v>
      </c>
      <c r="D11936" t="s">
        <v>31636</v>
      </c>
      <c r="E11936" t="s">
        <v>36326</v>
      </c>
      <c r="F11936">
        <v>2012</v>
      </c>
      <c r="G11936" t="s">
        <v>36223</v>
      </c>
      <c r="H11936" t="s">
        <v>36327</v>
      </c>
      <c r="I11936" t="s">
        <v>36328</v>
      </c>
      <c r="J11936" t="s">
        <v>5381</v>
      </c>
      <c r="K11936" s="2" t="str">
        <f>HYPERLINK("http://collections.slsa.sa.gov.au/mpcimg/73000/B72944.htm")</f>
        <v>http://collections.slsa.sa.gov.au/mpcimg/73000/B72944.htm</v>
      </c>
    </row>
    <row r="11937" spans="1:11" x14ac:dyDescent="0.25">
      <c r="A11937" t="s">
        <v>36329</v>
      </c>
      <c r="B11937" s="1" t="str">
        <f>HYPERLINK("https://www.catalog.slsa.sa.gov.au/record=b2913228")</f>
        <v>https://www.catalog.slsa.sa.gov.au/record=b2913228</v>
      </c>
      <c r="C11937" s="1" t="str">
        <f>HYPERLINK("https://www.catalog.slsa.sa.gov.au/xrecord=b2913228")</f>
        <v>https://www.catalog.slsa.sa.gov.au/xrecord=b2913228</v>
      </c>
      <c r="D11937" t="s">
        <v>31636</v>
      </c>
      <c r="E11937" t="s">
        <v>36330</v>
      </c>
      <c r="F11937">
        <v>2012</v>
      </c>
      <c r="G11937" t="s">
        <v>36223</v>
      </c>
      <c r="H11937" t="s">
        <v>36331</v>
      </c>
      <c r="I11937" t="s">
        <v>36332</v>
      </c>
      <c r="J11937" t="s">
        <v>5381</v>
      </c>
      <c r="K11937" s="2" t="str">
        <f>HYPERLINK("http://collections.slsa.sa.gov.au/mpcimg/73000/B72945.htm")</f>
        <v>http://collections.slsa.sa.gov.au/mpcimg/73000/B72945.htm</v>
      </c>
    </row>
    <row r="11938" spans="1:11" x14ac:dyDescent="0.25">
      <c r="A11938" t="s">
        <v>36333</v>
      </c>
      <c r="B11938" s="1" t="str">
        <f>HYPERLINK("https://www.catalog.slsa.sa.gov.au/record=b2913229")</f>
        <v>https://www.catalog.slsa.sa.gov.au/record=b2913229</v>
      </c>
      <c r="C11938" s="1" t="str">
        <f>HYPERLINK("https://www.catalog.slsa.sa.gov.au/xrecord=b2913229")</f>
        <v>https://www.catalog.slsa.sa.gov.au/xrecord=b2913229</v>
      </c>
      <c r="D11938" t="s">
        <v>31636</v>
      </c>
      <c r="E11938" t="s">
        <v>36334</v>
      </c>
      <c r="F11938">
        <v>2012</v>
      </c>
      <c r="G11938" t="s">
        <v>36223</v>
      </c>
      <c r="H11938" t="s">
        <v>36335</v>
      </c>
      <c r="I11938" t="s">
        <v>36336</v>
      </c>
      <c r="J11938" t="s">
        <v>5381</v>
      </c>
      <c r="K11938" s="2" t="str">
        <f>HYPERLINK("http://collections.slsa.sa.gov.au/mpcimg/73000/B72946.htm")</f>
        <v>http://collections.slsa.sa.gov.au/mpcimg/73000/B72946.htm</v>
      </c>
    </row>
    <row r="11939" spans="1:11" x14ac:dyDescent="0.25">
      <c r="A11939" t="s">
        <v>36337</v>
      </c>
      <c r="B11939" s="1" t="str">
        <f>HYPERLINK("https://www.catalog.slsa.sa.gov.au/record=b2913231")</f>
        <v>https://www.catalog.slsa.sa.gov.au/record=b2913231</v>
      </c>
      <c r="C11939" s="1" t="str">
        <f>HYPERLINK("https://www.catalog.slsa.sa.gov.au/xrecord=b2913231")</f>
        <v>https://www.catalog.slsa.sa.gov.au/xrecord=b2913231</v>
      </c>
      <c r="D11939" t="s">
        <v>31636</v>
      </c>
      <c r="E11939" t="s">
        <v>36338</v>
      </c>
      <c r="F11939">
        <v>2012</v>
      </c>
      <c r="G11939" t="s">
        <v>36223</v>
      </c>
      <c r="H11939" t="s">
        <v>36339</v>
      </c>
      <c r="I11939" t="s">
        <v>36340</v>
      </c>
      <c r="J11939" t="s">
        <v>5381</v>
      </c>
      <c r="K11939" s="2" t="str">
        <f>HYPERLINK("http://collections.slsa.sa.gov.au/mpcimg/73000/B72947.htm")</f>
        <v>http://collections.slsa.sa.gov.au/mpcimg/73000/B72947.htm</v>
      </c>
    </row>
    <row r="11940" spans="1:11" x14ac:dyDescent="0.25">
      <c r="A11940" t="s">
        <v>36341</v>
      </c>
      <c r="B11940" s="1" t="str">
        <f>HYPERLINK("https://www.catalog.slsa.sa.gov.au/record=b2913232")</f>
        <v>https://www.catalog.slsa.sa.gov.au/record=b2913232</v>
      </c>
      <c r="C11940" s="1" t="str">
        <f>HYPERLINK("https://www.catalog.slsa.sa.gov.au/xrecord=b2913232")</f>
        <v>https://www.catalog.slsa.sa.gov.au/xrecord=b2913232</v>
      </c>
      <c r="D11940" t="s">
        <v>31636</v>
      </c>
      <c r="E11940" t="s">
        <v>36342</v>
      </c>
      <c r="F11940">
        <v>2012</v>
      </c>
      <c r="G11940" t="s">
        <v>36223</v>
      </c>
      <c r="H11940" t="s">
        <v>36343</v>
      </c>
      <c r="I11940" t="s">
        <v>36344</v>
      </c>
      <c r="J11940" t="s">
        <v>5381</v>
      </c>
      <c r="K11940" s="2" t="str">
        <f>HYPERLINK("http://collections.slsa.sa.gov.au/mpcimg/73000/B72948.htm")</f>
        <v>http://collections.slsa.sa.gov.au/mpcimg/73000/B72948.htm</v>
      </c>
    </row>
    <row r="11941" spans="1:11" x14ac:dyDescent="0.25">
      <c r="A11941" t="s">
        <v>36345</v>
      </c>
      <c r="B11941" s="1" t="str">
        <f>HYPERLINK("https://www.catalog.slsa.sa.gov.au/record=b2913233")</f>
        <v>https://www.catalog.slsa.sa.gov.au/record=b2913233</v>
      </c>
      <c r="C11941" s="1" t="str">
        <f>HYPERLINK("https://www.catalog.slsa.sa.gov.au/xrecord=b2913233")</f>
        <v>https://www.catalog.slsa.sa.gov.au/xrecord=b2913233</v>
      </c>
      <c r="D11941" t="s">
        <v>31636</v>
      </c>
      <c r="E11941" t="s">
        <v>36346</v>
      </c>
      <c r="F11941">
        <v>2012</v>
      </c>
      <c r="G11941" t="s">
        <v>36223</v>
      </c>
      <c r="H11941" t="s">
        <v>36347</v>
      </c>
      <c r="I11941" t="s">
        <v>36348</v>
      </c>
      <c r="J11941" t="s">
        <v>5381</v>
      </c>
      <c r="K11941" s="2" t="str">
        <f>HYPERLINK("http://collections.slsa.sa.gov.au/mpcimg/73000/B72949.htm")</f>
        <v>http://collections.slsa.sa.gov.au/mpcimg/73000/B72949.htm</v>
      </c>
    </row>
    <row r="11942" spans="1:11" x14ac:dyDescent="0.25">
      <c r="A11942" t="s">
        <v>36349</v>
      </c>
      <c r="B11942" s="1" t="str">
        <f>HYPERLINK("https://www.catalog.slsa.sa.gov.au/record=b2913234")</f>
        <v>https://www.catalog.slsa.sa.gov.au/record=b2913234</v>
      </c>
      <c r="C11942" s="1" t="str">
        <f>HYPERLINK("https://www.catalog.slsa.sa.gov.au/xrecord=b2913234")</f>
        <v>https://www.catalog.slsa.sa.gov.au/xrecord=b2913234</v>
      </c>
      <c r="D11942" t="s">
        <v>31636</v>
      </c>
      <c r="E11942" t="s">
        <v>36350</v>
      </c>
      <c r="F11942">
        <v>2012</v>
      </c>
      <c r="G11942" t="s">
        <v>36223</v>
      </c>
      <c r="H11942" t="s">
        <v>36351</v>
      </c>
      <c r="I11942" t="s">
        <v>36348</v>
      </c>
      <c r="J11942" t="s">
        <v>5381</v>
      </c>
      <c r="K11942" s="2" t="str">
        <f>HYPERLINK("http://collections.slsa.sa.gov.au/mpcimg/73000/B72950.htm")</f>
        <v>http://collections.slsa.sa.gov.au/mpcimg/73000/B72950.htm</v>
      </c>
    </row>
    <row r="11943" spans="1:11" x14ac:dyDescent="0.25">
      <c r="A11943" t="s">
        <v>36352</v>
      </c>
      <c r="B11943" s="1" t="str">
        <f>HYPERLINK("https://www.catalog.slsa.sa.gov.au/record=b2913319")</f>
        <v>https://www.catalog.slsa.sa.gov.au/record=b2913319</v>
      </c>
      <c r="C11943" s="1" t="str">
        <f>HYPERLINK("https://www.catalog.slsa.sa.gov.au/xrecord=b2913319")</f>
        <v>https://www.catalog.slsa.sa.gov.au/xrecord=b2913319</v>
      </c>
      <c r="D11943" t="s">
        <v>31636</v>
      </c>
      <c r="E11943" t="s">
        <v>36353</v>
      </c>
      <c r="F11943">
        <v>2012</v>
      </c>
      <c r="G11943" t="s">
        <v>36223</v>
      </c>
      <c r="H11943" t="s">
        <v>36354</v>
      </c>
      <c r="I11943" t="s">
        <v>36355</v>
      </c>
      <c r="J11943" t="s">
        <v>5381</v>
      </c>
      <c r="K11943" s="2" t="str">
        <f>HYPERLINK("http://collections.slsa.sa.gov.au/mpcimg/73000/B72951.htm")</f>
        <v>http://collections.slsa.sa.gov.au/mpcimg/73000/B72951.htm</v>
      </c>
    </row>
    <row r="11944" spans="1:11" x14ac:dyDescent="0.25">
      <c r="A11944" t="s">
        <v>36356</v>
      </c>
      <c r="B11944" s="1" t="str">
        <f>HYPERLINK("https://www.catalog.slsa.sa.gov.au/record=b2913320")</f>
        <v>https://www.catalog.slsa.sa.gov.au/record=b2913320</v>
      </c>
      <c r="C11944" s="1" t="str">
        <f>HYPERLINK("https://www.catalog.slsa.sa.gov.au/xrecord=b2913320")</f>
        <v>https://www.catalog.slsa.sa.gov.au/xrecord=b2913320</v>
      </c>
      <c r="D11944" t="s">
        <v>31636</v>
      </c>
      <c r="E11944" t="s">
        <v>36357</v>
      </c>
      <c r="F11944">
        <v>2012</v>
      </c>
      <c r="G11944" t="s">
        <v>36223</v>
      </c>
      <c r="H11944" t="s">
        <v>36358</v>
      </c>
      <c r="I11944" t="s">
        <v>36359</v>
      </c>
      <c r="J11944" t="s">
        <v>5381</v>
      </c>
      <c r="K11944" s="2" t="str">
        <f>HYPERLINK("http://collections.slsa.sa.gov.au/mpcimg/73000/B72952.htm")</f>
        <v>http://collections.slsa.sa.gov.au/mpcimg/73000/B72952.htm</v>
      </c>
    </row>
    <row r="11945" spans="1:11" x14ac:dyDescent="0.25">
      <c r="A11945" t="s">
        <v>36360</v>
      </c>
      <c r="B11945" s="1" t="str">
        <f>HYPERLINK("https://www.catalog.slsa.sa.gov.au/record=b2913703")</f>
        <v>https://www.catalog.slsa.sa.gov.au/record=b2913703</v>
      </c>
      <c r="C11945" s="1" t="str">
        <f>HYPERLINK("https://www.catalog.slsa.sa.gov.au/xrecord=b2913703")</f>
        <v>https://www.catalog.slsa.sa.gov.au/xrecord=b2913703</v>
      </c>
      <c r="D11945" t="s">
        <v>31902</v>
      </c>
      <c r="E11945" t="s">
        <v>36361</v>
      </c>
      <c r="F11945">
        <v>2012</v>
      </c>
      <c r="G11945" t="s">
        <v>36103</v>
      </c>
      <c r="H11945" t="s">
        <v>36362</v>
      </c>
      <c r="I11945" t="s">
        <v>36363</v>
      </c>
      <c r="J11945" t="s">
        <v>14768</v>
      </c>
      <c r="K11945" s="2" t="str">
        <f>HYPERLINK("http://collections.slsa.sa.gov.au/mpcimg/69500/B69282_712.htm")</f>
        <v>http://collections.slsa.sa.gov.au/mpcimg/69500/B69282_712.htm</v>
      </c>
    </row>
    <row r="11946" spans="1:11" x14ac:dyDescent="0.25">
      <c r="A11946" t="s">
        <v>36364</v>
      </c>
      <c r="B11946" s="1" t="str">
        <f>HYPERLINK("https://www.catalog.slsa.sa.gov.au/record=b2913704")</f>
        <v>https://www.catalog.slsa.sa.gov.au/record=b2913704</v>
      </c>
      <c r="C11946" s="1" t="str">
        <f>HYPERLINK("https://www.catalog.slsa.sa.gov.au/xrecord=b2913704")</f>
        <v>https://www.catalog.slsa.sa.gov.au/xrecord=b2913704</v>
      </c>
      <c r="D11946" t="s">
        <v>31902</v>
      </c>
      <c r="E11946" t="s">
        <v>36361</v>
      </c>
      <c r="F11946">
        <v>2012</v>
      </c>
      <c r="G11946" t="s">
        <v>36103</v>
      </c>
      <c r="H11946" t="s">
        <v>36365</v>
      </c>
      <c r="I11946" t="s">
        <v>36363</v>
      </c>
      <c r="J11946" t="s">
        <v>14768</v>
      </c>
      <c r="K11946" s="2" t="str">
        <f>HYPERLINK("http://collections.slsa.sa.gov.au/mpcimg/69500/B69282_713.htm")</f>
        <v>http://collections.slsa.sa.gov.au/mpcimg/69500/B69282_713.htm</v>
      </c>
    </row>
    <row r="11947" spans="1:11" x14ac:dyDescent="0.25">
      <c r="A11947" t="s">
        <v>36366</v>
      </c>
      <c r="B11947" s="1" t="str">
        <f>HYPERLINK("https://www.catalog.slsa.sa.gov.au/record=b2913705")</f>
        <v>https://www.catalog.slsa.sa.gov.au/record=b2913705</v>
      </c>
      <c r="C11947" s="1" t="str">
        <f>HYPERLINK("https://www.catalog.slsa.sa.gov.au/xrecord=b2913705")</f>
        <v>https://www.catalog.slsa.sa.gov.au/xrecord=b2913705</v>
      </c>
      <c r="D11947" t="s">
        <v>31902</v>
      </c>
      <c r="E11947" t="s">
        <v>36361</v>
      </c>
      <c r="F11947">
        <v>2012</v>
      </c>
      <c r="G11947" t="s">
        <v>36103</v>
      </c>
      <c r="H11947" t="s">
        <v>36365</v>
      </c>
      <c r="I11947" t="s">
        <v>36363</v>
      </c>
      <c r="J11947" t="s">
        <v>14768</v>
      </c>
      <c r="K11947" s="2" t="str">
        <f>HYPERLINK("http://collections.slsa.sa.gov.au/mpcimg/69500/B69282_714.htm")</f>
        <v>http://collections.slsa.sa.gov.au/mpcimg/69500/B69282_714.htm</v>
      </c>
    </row>
    <row r="11948" spans="1:11" x14ac:dyDescent="0.25">
      <c r="A11948" t="s">
        <v>36367</v>
      </c>
      <c r="B11948" s="1" t="str">
        <f>HYPERLINK("https://www.catalog.slsa.sa.gov.au/record=b3189790")</f>
        <v>https://www.catalog.slsa.sa.gov.au/record=b3189790</v>
      </c>
      <c r="C11948" s="1" t="str">
        <f>HYPERLINK("https://www.catalog.slsa.sa.gov.au/xrecord=b3189790")</f>
        <v>https://www.catalog.slsa.sa.gov.au/xrecord=b3189790</v>
      </c>
      <c r="D11948" t="s">
        <v>31636</v>
      </c>
      <c r="E11948" t="s">
        <v>36368</v>
      </c>
      <c r="F11948" t="s">
        <v>36369</v>
      </c>
      <c r="G11948" t="s">
        <v>36370</v>
      </c>
      <c r="H11948" t="s">
        <v>36371</v>
      </c>
      <c r="I11948" t="s">
        <v>36372</v>
      </c>
      <c r="J11948" t="s">
        <v>36373</v>
      </c>
      <c r="K11948" s="2" t="str">
        <f>HYPERLINK("http://collections.slsa.sa.gov.au/resource/B+76681")</f>
        <v>http://collections.slsa.sa.gov.au/resource/B+76681</v>
      </c>
    </row>
    <row r="11949" spans="1:11" x14ac:dyDescent="0.25">
      <c r="A11949" t="s">
        <v>36374</v>
      </c>
      <c r="B11949" s="1" t="str">
        <f>HYPERLINK("https://www.catalog.slsa.sa.gov.au/record=b3189802")</f>
        <v>https://www.catalog.slsa.sa.gov.au/record=b3189802</v>
      </c>
      <c r="C11949" s="1" t="str">
        <f>HYPERLINK("https://www.catalog.slsa.sa.gov.au/xrecord=b3189802")</f>
        <v>https://www.catalog.slsa.sa.gov.au/xrecord=b3189802</v>
      </c>
      <c r="D11949" t="s">
        <v>31636</v>
      </c>
      <c r="E11949" t="s">
        <v>36368</v>
      </c>
      <c r="F11949" t="s">
        <v>36369</v>
      </c>
      <c r="G11949" t="s">
        <v>36370</v>
      </c>
      <c r="H11949" t="s">
        <v>36375</v>
      </c>
      <c r="I11949" t="s">
        <v>36376</v>
      </c>
      <c r="J11949" t="s">
        <v>36373</v>
      </c>
      <c r="K11949" s="2" t="str">
        <f>HYPERLINK("http://collections.slsa.sa.gov.au/resource/B+76682")</f>
        <v>http://collections.slsa.sa.gov.au/resource/B+76682</v>
      </c>
    </row>
    <row r="11950" spans="1:11" x14ac:dyDescent="0.25">
      <c r="A11950" t="s">
        <v>36377</v>
      </c>
      <c r="B11950" s="1" t="str">
        <f>HYPERLINK("https://www.catalog.slsa.sa.gov.au/record=b3189803")</f>
        <v>https://www.catalog.slsa.sa.gov.au/record=b3189803</v>
      </c>
      <c r="C11950" s="1" t="str">
        <f>HYPERLINK("https://www.catalog.slsa.sa.gov.au/xrecord=b3189803")</f>
        <v>https://www.catalog.slsa.sa.gov.au/xrecord=b3189803</v>
      </c>
      <c r="D11950" t="s">
        <v>31636</v>
      </c>
      <c r="E11950" t="s">
        <v>36368</v>
      </c>
      <c r="F11950" t="s">
        <v>36369</v>
      </c>
      <c r="G11950" t="s">
        <v>36370</v>
      </c>
      <c r="H11950" t="s">
        <v>36375</v>
      </c>
      <c r="I11950" t="s">
        <v>36376</v>
      </c>
      <c r="J11950" t="s">
        <v>36373</v>
      </c>
      <c r="K11950" s="2" t="str">
        <f>HYPERLINK("http://collections.slsa.sa.gov.au/resource/B+76683")</f>
        <v>http://collections.slsa.sa.gov.au/resource/B+76683</v>
      </c>
    </row>
    <row r="11951" spans="1:11" x14ac:dyDescent="0.25">
      <c r="A11951" t="s">
        <v>36378</v>
      </c>
      <c r="B11951" s="1" t="str">
        <f>HYPERLINK("https://www.catalog.slsa.sa.gov.au/record=b3189804")</f>
        <v>https://www.catalog.slsa.sa.gov.au/record=b3189804</v>
      </c>
      <c r="C11951" s="1" t="str">
        <f>HYPERLINK("https://www.catalog.slsa.sa.gov.au/xrecord=b3189804")</f>
        <v>https://www.catalog.slsa.sa.gov.au/xrecord=b3189804</v>
      </c>
      <c r="D11951" t="s">
        <v>31636</v>
      </c>
      <c r="E11951" t="s">
        <v>36368</v>
      </c>
      <c r="F11951" t="s">
        <v>36369</v>
      </c>
      <c r="G11951" t="s">
        <v>36370</v>
      </c>
      <c r="H11951" t="s">
        <v>36379</v>
      </c>
      <c r="I11951" t="s">
        <v>36380</v>
      </c>
      <c r="J11951" t="s">
        <v>36373</v>
      </c>
      <c r="K11951" s="2" t="str">
        <f>HYPERLINK("http://collections.slsa.sa.gov.au/resource/B+76684")</f>
        <v>http://collections.slsa.sa.gov.au/resource/B+76684</v>
      </c>
    </row>
    <row r="11952" spans="1:11" x14ac:dyDescent="0.25">
      <c r="A11952" t="s">
        <v>36381</v>
      </c>
      <c r="B11952" s="1" t="str">
        <f>HYPERLINK("https://www.catalog.slsa.sa.gov.au/record=b3189805")</f>
        <v>https://www.catalog.slsa.sa.gov.au/record=b3189805</v>
      </c>
      <c r="C11952" s="1" t="str">
        <f>HYPERLINK("https://www.catalog.slsa.sa.gov.au/xrecord=b3189805")</f>
        <v>https://www.catalog.slsa.sa.gov.au/xrecord=b3189805</v>
      </c>
      <c r="D11952" t="s">
        <v>31636</v>
      </c>
      <c r="E11952" t="s">
        <v>36368</v>
      </c>
      <c r="F11952" t="s">
        <v>36369</v>
      </c>
      <c r="G11952" t="s">
        <v>36370</v>
      </c>
      <c r="H11952" t="s">
        <v>36382</v>
      </c>
      <c r="I11952" t="s">
        <v>36383</v>
      </c>
      <c r="J11952" t="s">
        <v>36373</v>
      </c>
      <c r="K11952" s="2" t="str">
        <f>HYPERLINK("http://collections.slsa.sa.gov.au/resource/B+76685")</f>
        <v>http://collections.slsa.sa.gov.au/resource/B+76685</v>
      </c>
    </row>
    <row r="11953" spans="1:11" x14ac:dyDescent="0.25">
      <c r="A11953" t="s">
        <v>36384</v>
      </c>
      <c r="B11953" s="1" t="str">
        <f>HYPERLINK("https://www.catalog.slsa.sa.gov.au/record=b3189806")</f>
        <v>https://www.catalog.slsa.sa.gov.au/record=b3189806</v>
      </c>
      <c r="C11953" s="1" t="str">
        <f>HYPERLINK("https://www.catalog.slsa.sa.gov.au/xrecord=b3189806")</f>
        <v>https://www.catalog.slsa.sa.gov.au/xrecord=b3189806</v>
      </c>
      <c r="D11953" t="s">
        <v>31636</v>
      </c>
      <c r="E11953" t="s">
        <v>36368</v>
      </c>
      <c r="F11953" t="s">
        <v>36369</v>
      </c>
      <c r="G11953" t="s">
        <v>36370</v>
      </c>
      <c r="H11953" t="s">
        <v>36379</v>
      </c>
      <c r="I11953" t="s">
        <v>36380</v>
      </c>
      <c r="J11953" t="s">
        <v>36373</v>
      </c>
      <c r="K11953" s="2" t="str">
        <f>HYPERLINK("http://collections.slsa.sa.gov.au/resource/B+76686")</f>
        <v>http://collections.slsa.sa.gov.au/resource/B+76686</v>
      </c>
    </row>
    <row r="11954" spans="1:11" x14ac:dyDescent="0.25">
      <c r="A11954" t="s">
        <v>36385</v>
      </c>
      <c r="B11954" s="1" t="str">
        <f>HYPERLINK("https://www.catalog.slsa.sa.gov.au/record=b3189807")</f>
        <v>https://www.catalog.slsa.sa.gov.au/record=b3189807</v>
      </c>
      <c r="C11954" s="1" t="str">
        <f>HYPERLINK("https://www.catalog.slsa.sa.gov.au/xrecord=b3189807")</f>
        <v>https://www.catalog.slsa.sa.gov.au/xrecord=b3189807</v>
      </c>
      <c r="D11954" t="s">
        <v>31636</v>
      </c>
      <c r="E11954" t="s">
        <v>36368</v>
      </c>
      <c r="F11954" t="s">
        <v>36369</v>
      </c>
      <c r="G11954" t="s">
        <v>36370</v>
      </c>
      <c r="H11954" t="s">
        <v>36379</v>
      </c>
      <c r="I11954" t="s">
        <v>36380</v>
      </c>
      <c r="J11954" t="s">
        <v>36373</v>
      </c>
      <c r="K11954" s="2" t="str">
        <f>HYPERLINK("http://collections.slsa.sa.gov.au/resource/B+76687")</f>
        <v>http://collections.slsa.sa.gov.au/resource/B+76687</v>
      </c>
    </row>
    <row r="11955" spans="1:11" x14ac:dyDescent="0.25">
      <c r="A11955" t="s">
        <v>36386</v>
      </c>
      <c r="B11955" s="1" t="str">
        <f>HYPERLINK("https://www.catalog.slsa.sa.gov.au/record=b3189808")</f>
        <v>https://www.catalog.slsa.sa.gov.au/record=b3189808</v>
      </c>
      <c r="C11955" s="1" t="str">
        <f>HYPERLINK("https://www.catalog.slsa.sa.gov.au/xrecord=b3189808")</f>
        <v>https://www.catalog.slsa.sa.gov.au/xrecord=b3189808</v>
      </c>
      <c r="D11955" t="s">
        <v>31636</v>
      </c>
      <c r="E11955" t="s">
        <v>36387</v>
      </c>
      <c r="F11955" t="s">
        <v>36369</v>
      </c>
      <c r="G11955" t="s">
        <v>36370</v>
      </c>
      <c r="H11955" t="s">
        <v>36388</v>
      </c>
      <c r="I11955" t="s">
        <v>36389</v>
      </c>
      <c r="J11955" t="s">
        <v>36373</v>
      </c>
      <c r="K11955" s="2" t="str">
        <f>HYPERLINK("http://collections.slsa.sa.gov.au/resource/B+76688")</f>
        <v>http://collections.slsa.sa.gov.au/resource/B+76688</v>
      </c>
    </row>
    <row r="11956" spans="1:11" x14ac:dyDescent="0.25">
      <c r="A11956" t="s">
        <v>36390</v>
      </c>
      <c r="B11956" s="1" t="str">
        <f>HYPERLINK("https://www.catalog.slsa.sa.gov.au/record=b3189811")</f>
        <v>https://www.catalog.slsa.sa.gov.au/record=b3189811</v>
      </c>
      <c r="C11956" s="1" t="str">
        <f>HYPERLINK("https://www.catalog.slsa.sa.gov.au/xrecord=b3189811")</f>
        <v>https://www.catalog.slsa.sa.gov.au/xrecord=b3189811</v>
      </c>
      <c r="D11956" t="s">
        <v>31636</v>
      </c>
      <c r="E11956" t="s">
        <v>36391</v>
      </c>
      <c r="F11956" t="s">
        <v>36369</v>
      </c>
      <c r="G11956" t="s">
        <v>36370</v>
      </c>
      <c r="H11956" t="s">
        <v>36392</v>
      </c>
      <c r="I11956" t="s">
        <v>36393</v>
      </c>
      <c r="J11956" t="s">
        <v>36373</v>
      </c>
      <c r="K11956" s="2" t="str">
        <f>HYPERLINK("http://collections.slsa.sa.gov.au/resource/B+76691")</f>
        <v>http://collections.slsa.sa.gov.au/resource/B+76691</v>
      </c>
    </row>
    <row r="11957" spans="1:11" x14ac:dyDescent="0.25">
      <c r="A11957" t="s">
        <v>36394</v>
      </c>
      <c r="B11957" s="1" t="str">
        <f>HYPERLINK("https://www.catalog.slsa.sa.gov.au/record=b3189812")</f>
        <v>https://www.catalog.slsa.sa.gov.au/record=b3189812</v>
      </c>
      <c r="C11957" s="1" t="str">
        <f>HYPERLINK("https://www.catalog.slsa.sa.gov.au/xrecord=b3189812")</f>
        <v>https://www.catalog.slsa.sa.gov.au/xrecord=b3189812</v>
      </c>
      <c r="D11957" t="s">
        <v>31636</v>
      </c>
      <c r="E11957" t="s">
        <v>36395</v>
      </c>
      <c r="F11957" t="s">
        <v>36369</v>
      </c>
      <c r="G11957" t="s">
        <v>36396</v>
      </c>
      <c r="H11957" t="s">
        <v>36397</v>
      </c>
      <c r="I11957" t="s">
        <v>36393</v>
      </c>
      <c r="J11957" t="s">
        <v>36373</v>
      </c>
      <c r="K11957" s="2" t="str">
        <f>HYPERLINK("http://collections.slsa.sa.gov.au/resource/B+76692")</f>
        <v>http://collections.slsa.sa.gov.au/resource/B+76692</v>
      </c>
    </row>
    <row r="11958" spans="1:11" x14ac:dyDescent="0.25">
      <c r="A11958" t="s">
        <v>36398</v>
      </c>
      <c r="B11958" s="1" t="str">
        <f>HYPERLINK("https://www.catalog.slsa.sa.gov.au/record=b3189813")</f>
        <v>https://www.catalog.slsa.sa.gov.au/record=b3189813</v>
      </c>
      <c r="C11958" s="1" t="str">
        <f>HYPERLINK("https://www.catalog.slsa.sa.gov.au/xrecord=b3189813")</f>
        <v>https://www.catalog.slsa.sa.gov.au/xrecord=b3189813</v>
      </c>
      <c r="D11958" t="s">
        <v>31636</v>
      </c>
      <c r="E11958" t="s">
        <v>36395</v>
      </c>
      <c r="F11958" t="s">
        <v>36369</v>
      </c>
      <c r="G11958" t="s">
        <v>36399</v>
      </c>
      <c r="H11958" t="s">
        <v>36397</v>
      </c>
      <c r="I11958" t="s">
        <v>36393</v>
      </c>
      <c r="J11958" t="s">
        <v>36373</v>
      </c>
      <c r="K11958" s="2" t="str">
        <f>HYPERLINK("http://collections.slsa.sa.gov.au/resource/B+76693")</f>
        <v>http://collections.slsa.sa.gov.au/resource/B+76693</v>
      </c>
    </row>
    <row r="11959" spans="1:11" x14ac:dyDescent="0.25">
      <c r="A11959" t="s">
        <v>36400</v>
      </c>
      <c r="B11959" s="1" t="str">
        <f>HYPERLINK("https://www.catalog.slsa.sa.gov.au/record=b3189814")</f>
        <v>https://www.catalog.slsa.sa.gov.au/record=b3189814</v>
      </c>
      <c r="C11959" s="1" t="str">
        <f>HYPERLINK("https://www.catalog.slsa.sa.gov.au/xrecord=b3189814")</f>
        <v>https://www.catalog.slsa.sa.gov.au/xrecord=b3189814</v>
      </c>
      <c r="D11959" t="s">
        <v>31636</v>
      </c>
      <c r="E11959" t="s">
        <v>36401</v>
      </c>
      <c r="F11959" t="s">
        <v>36369</v>
      </c>
      <c r="G11959" t="s">
        <v>36399</v>
      </c>
      <c r="H11959" t="s">
        <v>36402</v>
      </c>
      <c r="I11959" t="s">
        <v>36403</v>
      </c>
      <c r="J11959" t="s">
        <v>36373</v>
      </c>
      <c r="K11959" s="2" t="str">
        <f>HYPERLINK("http://collections.slsa.sa.gov.au/resource/B+76694")</f>
        <v>http://collections.slsa.sa.gov.au/resource/B+76694</v>
      </c>
    </row>
    <row r="11960" spans="1:11" x14ac:dyDescent="0.25">
      <c r="A11960" t="s">
        <v>36404</v>
      </c>
      <c r="B11960" s="1" t="str">
        <f>HYPERLINK("https://www.catalog.slsa.sa.gov.au/record=b3189816")</f>
        <v>https://www.catalog.slsa.sa.gov.au/record=b3189816</v>
      </c>
      <c r="C11960" s="1" t="str">
        <f>HYPERLINK("https://www.catalog.slsa.sa.gov.au/xrecord=b3189816")</f>
        <v>https://www.catalog.slsa.sa.gov.au/xrecord=b3189816</v>
      </c>
      <c r="D11960" t="s">
        <v>31636</v>
      </c>
      <c r="E11960" t="s">
        <v>36405</v>
      </c>
      <c r="F11960" t="s">
        <v>36369</v>
      </c>
      <c r="G11960" t="s">
        <v>36399</v>
      </c>
      <c r="H11960" t="s">
        <v>36406</v>
      </c>
      <c r="I11960" t="s">
        <v>36407</v>
      </c>
      <c r="J11960" t="s">
        <v>22720</v>
      </c>
      <c r="K11960" s="2" t="str">
        <f>HYPERLINK("http://collections.slsa.sa.gov.au/resource/B+76695")</f>
        <v>http://collections.slsa.sa.gov.au/resource/B+76695</v>
      </c>
    </row>
    <row r="11961" spans="1:11" x14ac:dyDescent="0.25">
      <c r="A11961" t="s">
        <v>36408</v>
      </c>
      <c r="B11961" s="1" t="str">
        <f>HYPERLINK("https://www.catalog.slsa.sa.gov.au/record=b2929269")</f>
        <v>https://www.catalog.slsa.sa.gov.au/record=b2929269</v>
      </c>
      <c r="C11961" s="1" t="str">
        <f>HYPERLINK("https://www.catalog.slsa.sa.gov.au/xrecord=b2929269")</f>
        <v>https://www.catalog.slsa.sa.gov.au/xrecord=b2929269</v>
      </c>
      <c r="D11961" t="s">
        <v>36409</v>
      </c>
      <c r="E11961" t="s">
        <v>36410</v>
      </c>
      <c r="F11961" t="s">
        <v>36411</v>
      </c>
      <c r="G11961" t="s">
        <v>36412</v>
      </c>
      <c r="H11961" t="s">
        <v>36413</v>
      </c>
      <c r="I11961" t="s">
        <v>36414</v>
      </c>
      <c r="J11961" t="s">
        <v>36415</v>
      </c>
      <c r="K11961" s="2" t="str">
        <f>HYPERLINK("http://collections.slsa.sa.gov.au/mpcimg/73500/B73373.htm")</f>
        <v>http://collections.slsa.sa.gov.au/mpcimg/73500/B73373.htm</v>
      </c>
    </row>
    <row r="11962" spans="1:11" x14ac:dyDescent="0.25">
      <c r="A11962" t="s">
        <v>36416</v>
      </c>
      <c r="B11962" s="1" t="str">
        <f>HYPERLINK("https://www.catalog.slsa.sa.gov.au/record=b2929278")</f>
        <v>https://www.catalog.slsa.sa.gov.au/record=b2929278</v>
      </c>
      <c r="C11962" s="1" t="str">
        <f>HYPERLINK("https://www.catalog.slsa.sa.gov.au/xrecord=b2929278")</f>
        <v>https://www.catalog.slsa.sa.gov.au/xrecord=b2929278</v>
      </c>
      <c r="D11962" t="s">
        <v>36409</v>
      </c>
      <c r="E11962" t="s">
        <v>36410</v>
      </c>
      <c r="F11962" t="s">
        <v>36411</v>
      </c>
      <c r="G11962" t="s">
        <v>36417</v>
      </c>
      <c r="H11962" t="s">
        <v>36418</v>
      </c>
      <c r="I11962" t="s">
        <v>36414</v>
      </c>
      <c r="J11962" t="s">
        <v>36415</v>
      </c>
      <c r="K11962" s="2" t="str">
        <f>HYPERLINK("http://collections.slsa.sa.gov.au/mpcimg/73500/B73374.htm")</f>
        <v>http://collections.slsa.sa.gov.au/mpcimg/73500/B73374.htm</v>
      </c>
    </row>
    <row r="11963" spans="1:11" x14ac:dyDescent="0.25">
      <c r="A11963" t="s">
        <v>36419</v>
      </c>
      <c r="B11963" s="1" t="str">
        <f>HYPERLINK("https://www.catalog.slsa.sa.gov.au/record=b2929279")</f>
        <v>https://www.catalog.slsa.sa.gov.au/record=b2929279</v>
      </c>
      <c r="C11963" s="1" t="str">
        <f>HYPERLINK("https://www.catalog.slsa.sa.gov.au/xrecord=b2929279")</f>
        <v>https://www.catalog.slsa.sa.gov.au/xrecord=b2929279</v>
      </c>
      <c r="D11963" t="s">
        <v>36409</v>
      </c>
      <c r="E11963" t="s">
        <v>36410</v>
      </c>
      <c r="F11963" t="s">
        <v>36411</v>
      </c>
      <c r="G11963" t="s">
        <v>36420</v>
      </c>
      <c r="H11963" t="s">
        <v>36421</v>
      </c>
      <c r="I11963" t="s">
        <v>36414</v>
      </c>
      <c r="J11963" t="s">
        <v>36415</v>
      </c>
      <c r="K11963" s="2" t="str">
        <f>HYPERLINK("http://collections.slsa.sa.gov.au/mpcimg/73500/B73375.htm")</f>
        <v>http://collections.slsa.sa.gov.au/mpcimg/73500/B73375.htm</v>
      </c>
    </row>
    <row r="11964" spans="1:11" x14ac:dyDescent="0.25">
      <c r="A11964" t="s">
        <v>36422</v>
      </c>
      <c r="B11964" s="1" t="str">
        <f>HYPERLINK("https://www.catalog.slsa.sa.gov.au/record=b2929282")</f>
        <v>https://www.catalog.slsa.sa.gov.au/record=b2929282</v>
      </c>
      <c r="C11964" s="1" t="str">
        <f>HYPERLINK("https://www.catalog.slsa.sa.gov.au/xrecord=b2929282")</f>
        <v>https://www.catalog.slsa.sa.gov.au/xrecord=b2929282</v>
      </c>
      <c r="D11964" t="s">
        <v>36409</v>
      </c>
      <c r="E11964" t="s">
        <v>36410</v>
      </c>
      <c r="F11964" t="s">
        <v>36411</v>
      </c>
      <c r="G11964" t="s">
        <v>36423</v>
      </c>
      <c r="H11964" t="s">
        <v>36424</v>
      </c>
      <c r="I11964" t="s">
        <v>36414</v>
      </c>
      <c r="J11964" t="s">
        <v>36415</v>
      </c>
      <c r="K11964" s="2" t="str">
        <f>HYPERLINK("http://collections.slsa.sa.gov.au/mpcimg/73500/B73376.htm")</f>
        <v>http://collections.slsa.sa.gov.au/mpcimg/73500/B73376.htm</v>
      </c>
    </row>
    <row r="11965" spans="1:11" x14ac:dyDescent="0.25">
      <c r="A11965" t="s">
        <v>36425</v>
      </c>
      <c r="B11965" s="1" t="str">
        <f>HYPERLINK("https://www.catalog.slsa.sa.gov.au/record=b2929285")</f>
        <v>https://www.catalog.slsa.sa.gov.au/record=b2929285</v>
      </c>
      <c r="C11965" s="1" t="str">
        <f>HYPERLINK("https://www.catalog.slsa.sa.gov.au/xrecord=b2929285")</f>
        <v>https://www.catalog.slsa.sa.gov.au/xrecord=b2929285</v>
      </c>
      <c r="D11965" t="s">
        <v>36409</v>
      </c>
      <c r="E11965" t="s">
        <v>36410</v>
      </c>
      <c r="F11965" t="s">
        <v>36411</v>
      </c>
      <c r="G11965" t="s">
        <v>36426</v>
      </c>
      <c r="H11965" t="s">
        <v>36427</v>
      </c>
      <c r="I11965" t="s">
        <v>36414</v>
      </c>
      <c r="J11965" t="s">
        <v>36415</v>
      </c>
      <c r="K11965" s="2" t="str">
        <f>HYPERLINK("http://collections.slsa.sa.gov.au/mpcimg/73500/B73377.htm")</f>
        <v>http://collections.slsa.sa.gov.au/mpcimg/73500/B73377.htm</v>
      </c>
    </row>
    <row r="11966" spans="1:11" x14ac:dyDescent="0.25">
      <c r="A11966" t="s">
        <v>36428</v>
      </c>
      <c r="B11966" s="1" t="str">
        <f>HYPERLINK("https://www.catalog.slsa.sa.gov.au/record=b2929286")</f>
        <v>https://www.catalog.slsa.sa.gov.au/record=b2929286</v>
      </c>
      <c r="C11966" s="1" t="str">
        <f>HYPERLINK("https://www.catalog.slsa.sa.gov.au/xrecord=b2929286")</f>
        <v>https://www.catalog.slsa.sa.gov.au/xrecord=b2929286</v>
      </c>
      <c r="D11966" t="s">
        <v>36409</v>
      </c>
      <c r="E11966" t="s">
        <v>36410</v>
      </c>
      <c r="F11966" t="s">
        <v>36411</v>
      </c>
      <c r="G11966" t="s">
        <v>36429</v>
      </c>
      <c r="H11966" t="s">
        <v>36427</v>
      </c>
      <c r="I11966" t="s">
        <v>36414</v>
      </c>
      <c r="J11966" t="s">
        <v>36415</v>
      </c>
      <c r="K11966" s="2" t="str">
        <f>HYPERLINK("http://collections.slsa.sa.gov.au/mpcimg/73500/B73378.htm")</f>
        <v>http://collections.slsa.sa.gov.au/mpcimg/73500/B73378.htm</v>
      </c>
    </row>
    <row r="11967" spans="1:11" x14ac:dyDescent="0.25">
      <c r="A11967" t="s">
        <v>36430</v>
      </c>
      <c r="B11967" s="1" t="str">
        <f>HYPERLINK("https://www.catalog.slsa.sa.gov.au/record=b2933174")</f>
        <v>https://www.catalog.slsa.sa.gov.au/record=b2933174</v>
      </c>
      <c r="C11967" s="1" t="str">
        <f>HYPERLINK("https://www.catalog.slsa.sa.gov.au/xrecord=b2933174")</f>
        <v>https://www.catalog.slsa.sa.gov.au/xrecord=b2933174</v>
      </c>
      <c r="D11967" t="s">
        <v>36431</v>
      </c>
      <c r="E11967" t="s">
        <v>36432</v>
      </c>
      <c r="F11967" t="s">
        <v>36433</v>
      </c>
      <c r="G11967" t="s">
        <v>36434</v>
      </c>
      <c r="H11967" t="s">
        <v>36435</v>
      </c>
      <c r="I11967" t="s">
        <v>36436</v>
      </c>
      <c r="J11967" t="s">
        <v>36437</v>
      </c>
      <c r="K11967" s="2" t="str">
        <f>HYPERLINK("http://collections.slsa.sa.gov.au/mpcimg/73500/B73391.htm")</f>
        <v>http://collections.slsa.sa.gov.au/mpcimg/73500/B73391.htm</v>
      </c>
    </row>
    <row r="11968" spans="1:11" x14ac:dyDescent="0.25">
      <c r="A11968" t="s">
        <v>36438</v>
      </c>
      <c r="B11968" s="1" t="str">
        <f>HYPERLINK("https://www.catalog.slsa.sa.gov.au/record=b2932915")</f>
        <v>https://www.catalog.slsa.sa.gov.au/record=b2932915</v>
      </c>
      <c r="C11968" s="1" t="str">
        <f>HYPERLINK("https://www.catalog.slsa.sa.gov.au/xrecord=b2932915")</f>
        <v>https://www.catalog.slsa.sa.gov.au/xrecord=b2932915</v>
      </c>
      <c r="D11968" t="s">
        <v>36439</v>
      </c>
      <c r="E11968" t="s">
        <v>36440</v>
      </c>
      <c r="F11968" t="s">
        <v>36441</v>
      </c>
      <c r="G11968" t="s">
        <v>36442</v>
      </c>
      <c r="H11968" t="s">
        <v>36443</v>
      </c>
      <c r="I11968" t="s">
        <v>36444</v>
      </c>
      <c r="J11968" t="s">
        <v>36445</v>
      </c>
      <c r="K11968" s="2" t="str">
        <f>HYPERLINK("http://collections.slsa.sa.gov.au/mpcimg/73500/B73384.htm")</f>
        <v>http://collections.slsa.sa.gov.au/mpcimg/73500/B73384.htm</v>
      </c>
    </row>
    <row r="11969" spans="1:11" x14ac:dyDescent="0.25">
      <c r="A11969" t="s">
        <v>36446</v>
      </c>
      <c r="B11969" s="1" t="str">
        <f>HYPERLINK("https://www.catalog.slsa.sa.gov.au/record=b2909091")</f>
        <v>https://www.catalog.slsa.sa.gov.au/record=b2909091</v>
      </c>
      <c r="C11969" s="1" t="str">
        <f>HYPERLINK("https://www.catalog.slsa.sa.gov.au/xrecord=b2909091")</f>
        <v>https://www.catalog.slsa.sa.gov.au/xrecord=b2909091</v>
      </c>
      <c r="D11969" t="s">
        <v>31636</v>
      </c>
      <c r="E11969" t="s">
        <v>36447</v>
      </c>
      <c r="F11969">
        <v>2013</v>
      </c>
      <c r="G11969" t="s">
        <v>36218</v>
      </c>
      <c r="H11969" t="s">
        <v>36448</v>
      </c>
      <c r="I11969" t="s">
        <v>36449</v>
      </c>
      <c r="J11969" t="s">
        <v>36450</v>
      </c>
      <c r="K11969" s="2" t="str">
        <f>HYPERLINK("http://collections.slsa.sa.gov.au/mpcimg/73000/B72837.htm")</f>
        <v>http://collections.slsa.sa.gov.au/mpcimg/73000/B72837.htm</v>
      </c>
    </row>
    <row r="11970" spans="1:11" x14ac:dyDescent="0.25">
      <c r="A11970" t="s">
        <v>36451</v>
      </c>
      <c r="B11970" s="1" t="str">
        <f>HYPERLINK("https://www.catalog.slsa.sa.gov.au/record=b2911019")</f>
        <v>https://www.catalog.slsa.sa.gov.au/record=b2911019</v>
      </c>
      <c r="C11970" s="1" t="str">
        <f>HYPERLINK("https://www.catalog.slsa.sa.gov.au/xrecord=b2911019")</f>
        <v>https://www.catalog.slsa.sa.gov.au/xrecord=b2911019</v>
      </c>
      <c r="D11970" t="s">
        <v>31636</v>
      </c>
      <c r="E11970" t="s">
        <v>36447</v>
      </c>
      <c r="F11970">
        <v>2013</v>
      </c>
      <c r="G11970" t="s">
        <v>36223</v>
      </c>
      <c r="H11970" t="s">
        <v>36448</v>
      </c>
      <c r="I11970" t="s">
        <v>36452</v>
      </c>
      <c r="J11970" t="s">
        <v>36450</v>
      </c>
      <c r="K11970" s="2" t="str">
        <f>HYPERLINK("http://collections.slsa.sa.gov.au/mpcimg/73000/B72838.htm")</f>
        <v>http://collections.slsa.sa.gov.au/mpcimg/73000/B72838.htm</v>
      </c>
    </row>
    <row r="11971" spans="1:11" x14ac:dyDescent="0.25">
      <c r="A11971" t="s">
        <v>36453</v>
      </c>
      <c r="B11971" s="1" t="str">
        <f>HYPERLINK("https://www.catalog.slsa.sa.gov.au/record=b2911020")</f>
        <v>https://www.catalog.slsa.sa.gov.au/record=b2911020</v>
      </c>
      <c r="C11971" s="1" t="str">
        <f>HYPERLINK("https://www.catalog.slsa.sa.gov.au/xrecord=b2911020")</f>
        <v>https://www.catalog.slsa.sa.gov.au/xrecord=b2911020</v>
      </c>
      <c r="D11971" t="s">
        <v>31636</v>
      </c>
      <c r="E11971" t="s">
        <v>36447</v>
      </c>
      <c r="F11971">
        <v>2013</v>
      </c>
      <c r="G11971" t="s">
        <v>36218</v>
      </c>
      <c r="H11971" t="s">
        <v>36454</v>
      </c>
      <c r="I11971" t="s">
        <v>36452</v>
      </c>
      <c r="J11971" t="s">
        <v>36450</v>
      </c>
      <c r="K11971" s="2" t="str">
        <f>HYPERLINK("http://collections.slsa.sa.gov.au/mpcimg/73000/B72839.htm")</f>
        <v>http://collections.slsa.sa.gov.au/mpcimg/73000/B72839.htm</v>
      </c>
    </row>
    <row r="11972" spans="1:11" x14ac:dyDescent="0.25">
      <c r="A11972" t="s">
        <v>36455</v>
      </c>
      <c r="B11972" s="1" t="str">
        <f>HYPERLINK("https://www.catalog.slsa.sa.gov.au/record=b2911023")</f>
        <v>https://www.catalog.slsa.sa.gov.au/record=b2911023</v>
      </c>
      <c r="C11972" s="1" t="str">
        <f>HYPERLINK("https://www.catalog.slsa.sa.gov.au/xrecord=b2911023")</f>
        <v>https://www.catalog.slsa.sa.gov.au/xrecord=b2911023</v>
      </c>
      <c r="D11972" t="s">
        <v>31636</v>
      </c>
      <c r="E11972" t="s">
        <v>36456</v>
      </c>
      <c r="F11972">
        <v>2013</v>
      </c>
      <c r="G11972" t="s">
        <v>36218</v>
      </c>
      <c r="H11972" t="s">
        <v>36457</v>
      </c>
      <c r="I11972" t="s">
        <v>36458</v>
      </c>
      <c r="J11972" t="s">
        <v>36450</v>
      </c>
      <c r="K11972" s="2" t="str">
        <f>HYPERLINK("http://collections.slsa.sa.gov.au/mpcimg/73000/B72840.htm")</f>
        <v>http://collections.slsa.sa.gov.au/mpcimg/73000/B72840.htm</v>
      </c>
    </row>
    <row r="11973" spans="1:11" x14ac:dyDescent="0.25">
      <c r="A11973" t="s">
        <v>36459</v>
      </c>
      <c r="B11973" s="1" t="str">
        <f>HYPERLINK("https://www.catalog.slsa.sa.gov.au/record=b2911025")</f>
        <v>https://www.catalog.slsa.sa.gov.au/record=b2911025</v>
      </c>
      <c r="C11973" s="1" t="str">
        <f>HYPERLINK("https://www.catalog.slsa.sa.gov.au/xrecord=b2911025")</f>
        <v>https://www.catalog.slsa.sa.gov.au/xrecord=b2911025</v>
      </c>
      <c r="D11973" t="s">
        <v>31636</v>
      </c>
      <c r="E11973" t="s">
        <v>36456</v>
      </c>
      <c r="F11973">
        <v>2013</v>
      </c>
      <c r="G11973" t="s">
        <v>36218</v>
      </c>
      <c r="H11973" t="s">
        <v>36457</v>
      </c>
      <c r="I11973" t="s">
        <v>36458</v>
      </c>
      <c r="J11973" t="s">
        <v>36450</v>
      </c>
      <c r="K11973" s="2" t="str">
        <f>HYPERLINK("http://collections.slsa.sa.gov.au/mpcimg/73000/B72841.htm")</f>
        <v>http://collections.slsa.sa.gov.au/mpcimg/73000/B72841.htm</v>
      </c>
    </row>
    <row r="11974" spans="1:11" x14ac:dyDescent="0.25">
      <c r="A11974" t="s">
        <v>36460</v>
      </c>
      <c r="B11974" s="1" t="str">
        <f>HYPERLINK("https://www.catalog.slsa.sa.gov.au/record=b2911028")</f>
        <v>https://www.catalog.slsa.sa.gov.au/record=b2911028</v>
      </c>
      <c r="C11974" s="1" t="str">
        <f>HYPERLINK("https://www.catalog.slsa.sa.gov.au/xrecord=b2911028")</f>
        <v>https://www.catalog.slsa.sa.gov.au/xrecord=b2911028</v>
      </c>
      <c r="D11974" t="s">
        <v>31636</v>
      </c>
      <c r="E11974" t="s">
        <v>36461</v>
      </c>
      <c r="F11974">
        <v>2013</v>
      </c>
      <c r="G11974" t="s">
        <v>36218</v>
      </c>
      <c r="H11974" t="s">
        <v>36462</v>
      </c>
      <c r="I11974" t="s">
        <v>36463</v>
      </c>
      <c r="J11974" t="s">
        <v>36450</v>
      </c>
      <c r="K11974" s="2" t="str">
        <f>HYPERLINK("http://collections.slsa.sa.gov.au/mpcimg/73000/B72842.htm")</f>
        <v>http://collections.slsa.sa.gov.au/mpcimg/73000/B72842.htm</v>
      </c>
    </row>
    <row r="11975" spans="1:11" x14ac:dyDescent="0.25">
      <c r="A11975" t="s">
        <v>36464</v>
      </c>
      <c r="B11975" s="1" t="str">
        <f>HYPERLINK("https://www.catalog.slsa.sa.gov.au/record=b2911029")</f>
        <v>https://www.catalog.slsa.sa.gov.au/record=b2911029</v>
      </c>
      <c r="C11975" s="1" t="str">
        <f>HYPERLINK("https://www.catalog.slsa.sa.gov.au/xrecord=b2911029")</f>
        <v>https://www.catalog.slsa.sa.gov.au/xrecord=b2911029</v>
      </c>
      <c r="D11975" t="s">
        <v>31636</v>
      </c>
      <c r="E11975" t="s">
        <v>36461</v>
      </c>
      <c r="F11975">
        <v>2013</v>
      </c>
      <c r="G11975" t="s">
        <v>36218</v>
      </c>
      <c r="H11975" t="s">
        <v>36462</v>
      </c>
      <c r="I11975" t="s">
        <v>36463</v>
      </c>
      <c r="J11975" t="s">
        <v>36450</v>
      </c>
      <c r="K11975" s="2" t="str">
        <f>HYPERLINK("http://collections.slsa.sa.gov.au/mpcimg/73000/B72843.htm")</f>
        <v>http://collections.slsa.sa.gov.au/mpcimg/73000/B72843.htm</v>
      </c>
    </row>
    <row r="11976" spans="1:11" x14ac:dyDescent="0.25">
      <c r="A11976" t="s">
        <v>36465</v>
      </c>
      <c r="B11976" s="1" t="str">
        <f>HYPERLINK("https://www.catalog.slsa.sa.gov.au/record=b2911031")</f>
        <v>https://www.catalog.slsa.sa.gov.au/record=b2911031</v>
      </c>
      <c r="C11976" s="1" t="str">
        <f>HYPERLINK("https://www.catalog.slsa.sa.gov.au/xrecord=b2911031")</f>
        <v>https://www.catalog.slsa.sa.gov.au/xrecord=b2911031</v>
      </c>
      <c r="D11976" t="s">
        <v>31636</v>
      </c>
      <c r="E11976" t="s">
        <v>36461</v>
      </c>
      <c r="F11976">
        <v>2013</v>
      </c>
      <c r="G11976" t="s">
        <v>36466</v>
      </c>
      <c r="H11976" t="s">
        <v>36462</v>
      </c>
      <c r="I11976" t="s">
        <v>36463</v>
      </c>
      <c r="J11976" t="s">
        <v>36450</v>
      </c>
      <c r="K11976" s="2" t="str">
        <f>HYPERLINK("http://collections.slsa.sa.gov.au/mpcimg/73000/B72844.htm")</f>
        <v>http://collections.slsa.sa.gov.au/mpcimg/73000/B72844.htm</v>
      </c>
    </row>
    <row r="11977" spans="1:11" x14ac:dyDescent="0.25">
      <c r="A11977" t="s">
        <v>36467</v>
      </c>
      <c r="B11977" s="1" t="str">
        <f>HYPERLINK("https://www.catalog.slsa.sa.gov.au/record=b2911035")</f>
        <v>https://www.catalog.slsa.sa.gov.au/record=b2911035</v>
      </c>
      <c r="C11977" s="1" t="str">
        <f>HYPERLINK("https://www.catalog.slsa.sa.gov.au/xrecord=b2911035")</f>
        <v>https://www.catalog.slsa.sa.gov.au/xrecord=b2911035</v>
      </c>
      <c r="D11977" t="s">
        <v>31636</v>
      </c>
      <c r="E11977" t="s">
        <v>36461</v>
      </c>
      <c r="F11977">
        <v>2013</v>
      </c>
      <c r="G11977" t="s">
        <v>36218</v>
      </c>
      <c r="H11977" t="s">
        <v>36462</v>
      </c>
      <c r="I11977" t="s">
        <v>36463</v>
      </c>
      <c r="J11977" t="s">
        <v>36450</v>
      </c>
      <c r="K11977" s="2" t="str">
        <f>HYPERLINK("http://collections.slsa.sa.gov.au/mpcimg/73000/B72845.htm")</f>
        <v>http://collections.slsa.sa.gov.au/mpcimg/73000/B72845.htm</v>
      </c>
    </row>
    <row r="11978" spans="1:11" x14ac:dyDescent="0.25">
      <c r="A11978" t="s">
        <v>36468</v>
      </c>
      <c r="B11978" s="1" t="str">
        <f>HYPERLINK("https://www.catalog.slsa.sa.gov.au/record=b2911036")</f>
        <v>https://www.catalog.slsa.sa.gov.au/record=b2911036</v>
      </c>
      <c r="C11978" s="1" t="str">
        <f>HYPERLINK("https://www.catalog.slsa.sa.gov.au/xrecord=b2911036")</f>
        <v>https://www.catalog.slsa.sa.gov.au/xrecord=b2911036</v>
      </c>
      <c r="D11978" t="s">
        <v>31636</v>
      </c>
      <c r="E11978" t="s">
        <v>36461</v>
      </c>
      <c r="F11978">
        <v>2013</v>
      </c>
      <c r="G11978" t="s">
        <v>36218</v>
      </c>
      <c r="H11978" t="s">
        <v>36462</v>
      </c>
      <c r="I11978" t="s">
        <v>36463</v>
      </c>
      <c r="J11978" t="s">
        <v>36450</v>
      </c>
      <c r="K11978" s="2" t="str">
        <f>HYPERLINK("http://collections.slsa.sa.gov.au/mpcimg/73000/B72846.htm")</f>
        <v>http://collections.slsa.sa.gov.au/mpcimg/73000/B72846.htm</v>
      </c>
    </row>
    <row r="11979" spans="1:11" x14ac:dyDescent="0.25">
      <c r="A11979" t="s">
        <v>36469</v>
      </c>
      <c r="B11979" s="1" t="str">
        <f>HYPERLINK("https://www.catalog.slsa.sa.gov.au/record=b2911046")</f>
        <v>https://www.catalog.slsa.sa.gov.au/record=b2911046</v>
      </c>
      <c r="C11979" s="1" t="str">
        <f>HYPERLINK("https://www.catalog.slsa.sa.gov.au/xrecord=b2911046")</f>
        <v>https://www.catalog.slsa.sa.gov.au/xrecord=b2911046</v>
      </c>
      <c r="D11979" t="s">
        <v>31636</v>
      </c>
      <c r="E11979" t="s">
        <v>36470</v>
      </c>
      <c r="F11979">
        <v>2013</v>
      </c>
      <c r="G11979" t="s">
        <v>36471</v>
      </c>
      <c r="H11979" t="s">
        <v>36472</v>
      </c>
      <c r="I11979" t="s">
        <v>16870</v>
      </c>
      <c r="J11979" t="s">
        <v>36473</v>
      </c>
      <c r="K11979" s="2" t="str">
        <f>HYPERLINK("http://collections.slsa.sa.gov.au/mpcimg/73000/B72847.htm")</f>
        <v>http://collections.slsa.sa.gov.au/mpcimg/73000/B72847.htm</v>
      </c>
    </row>
    <row r="11980" spans="1:11" x14ac:dyDescent="0.25">
      <c r="A11980" t="s">
        <v>36474</v>
      </c>
      <c r="B11980" s="1" t="str">
        <f>HYPERLINK("https://www.catalog.slsa.sa.gov.au/record=b2911050")</f>
        <v>https://www.catalog.slsa.sa.gov.au/record=b2911050</v>
      </c>
      <c r="C11980" s="1" t="str">
        <f>HYPERLINK("https://www.catalog.slsa.sa.gov.au/xrecord=b2911050")</f>
        <v>https://www.catalog.slsa.sa.gov.au/xrecord=b2911050</v>
      </c>
      <c r="D11980" t="s">
        <v>31636</v>
      </c>
      <c r="E11980" t="s">
        <v>36470</v>
      </c>
      <c r="F11980">
        <v>2013</v>
      </c>
      <c r="G11980" t="s">
        <v>36218</v>
      </c>
      <c r="H11980" t="s">
        <v>36475</v>
      </c>
      <c r="I11980" t="s">
        <v>36476</v>
      </c>
      <c r="J11980" t="s">
        <v>36473</v>
      </c>
      <c r="K11980" s="2" t="str">
        <f>HYPERLINK("http://collections.slsa.sa.gov.au/mpcimg/73000/B72848.htm")</f>
        <v>http://collections.slsa.sa.gov.au/mpcimg/73000/B72848.htm</v>
      </c>
    </row>
    <row r="11981" spans="1:11" x14ac:dyDescent="0.25">
      <c r="A11981" t="s">
        <v>36477</v>
      </c>
      <c r="B11981" s="1" t="str">
        <f>HYPERLINK("https://www.catalog.slsa.sa.gov.au/record=b2911051")</f>
        <v>https://www.catalog.slsa.sa.gov.au/record=b2911051</v>
      </c>
      <c r="C11981" s="1" t="str">
        <f>HYPERLINK("https://www.catalog.slsa.sa.gov.au/xrecord=b2911051")</f>
        <v>https://www.catalog.slsa.sa.gov.au/xrecord=b2911051</v>
      </c>
      <c r="D11981" t="s">
        <v>31636</v>
      </c>
      <c r="E11981" t="s">
        <v>36470</v>
      </c>
      <c r="F11981">
        <v>2013</v>
      </c>
      <c r="G11981" t="s">
        <v>36218</v>
      </c>
      <c r="H11981" t="s">
        <v>36475</v>
      </c>
      <c r="I11981" t="s">
        <v>36476</v>
      </c>
      <c r="J11981" t="s">
        <v>36473</v>
      </c>
      <c r="K11981" s="2" t="str">
        <f>HYPERLINK("http://collections.slsa.sa.gov.au/mpcimg/73000/B72849.htm")</f>
        <v>http://collections.slsa.sa.gov.au/mpcimg/73000/B72849.htm</v>
      </c>
    </row>
    <row r="11982" spans="1:11" x14ac:dyDescent="0.25">
      <c r="A11982" t="s">
        <v>36478</v>
      </c>
      <c r="B11982" s="1" t="str">
        <f>HYPERLINK("https://www.catalog.slsa.sa.gov.au/record=b2911224")</f>
        <v>https://www.catalog.slsa.sa.gov.au/record=b2911224</v>
      </c>
      <c r="C11982" s="1" t="str">
        <f>HYPERLINK("https://www.catalog.slsa.sa.gov.au/xrecord=b2911224")</f>
        <v>https://www.catalog.slsa.sa.gov.au/xrecord=b2911224</v>
      </c>
      <c r="D11982" t="s">
        <v>31636</v>
      </c>
      <c r="E11982" t="s">
        <v>30703</v>
      </c>
      <c r="F11982">
        <v>2013</v>
      </c>
      <c r="G11982" t="s">
        <v>36218</v>
      </c>
      <c r="H11982" t="s">
        <v>36479</v>
      </c>
      <c r="I11982" t="s">
        <v>36480</v>
      </c>
      <c r="J11982" t="s">
        <v>20914</v>
      </c>
      <c r="K11982" s="2" t="str">
        <f>HYPERLINK("http://collections.slsa.sa.gov.au/mpcimg/73000/B72850.htm")</f>
        <v>http://collections.slsa.sa.gov.au/mpcimg/73000/B72850.htm</v>
      </c>
    </row>
    <row r="11983" spans="1:11" x14ac:dyDescent="0.25">
      <c r="A11983" t="s">
        <v>36481</v>
      </c>
      <c r="B11983" s="1" t="str">
        <f>HYPERLINK("https://www.catalog.slsa.sa.gov.au/record=b2911226")</f>
        <v>https://www.catalog.slsa.sa.gov.au/record=b2911226</v>
      </c>
      <c r="C11983" s="1" t="str">
        <f>HYPERLINK("https://www.catalog.slsa.sa.gov.au/xrecord=b2911226")</f>
        <v>https://www.catalog.slsa.sa.gov.au/xrecord=b2911226</v>
      </c>
      <c r="D11983" t="s">
        <v>31636</v>
      </c>
      <c r="E11983" t="s">
        <v>36482</v>
      </c>
      <c r="F11983">
        <v>2013</v>
      </c>
      <c r="G11983" t="s">
        <v>36218</v>
      </c>
      <c r="H11983" t="s">
        <v>36483</v>
      </c>
      <c r="I11983" t="s">
        <v>36484</v>
      </c>
      <c r="J11983" t="s">
        <v>17610</v>
      </c>
      <c r="K11983" s="2" t="str">
        <f>HYPERLINK("http://collections.slsa.sa.gov.au/mpcimg/73000/B72851.htm")</f>
        <v>http://collections.slsa.sa.gov.au/mpcimg/73000/B72851.htm</v>
      </c>
    </row>
    <row r="11984" spans="1:11" x14ac:dyDescent="0.25">
      <c r="A11984" t="s">
        <v>36485</v>
      </c>
      <c r="B11984" s="1" t="str">
        <f>HYPERLINK("https://www.catalog.slsa.sa.gov.au/record=b2911227")</f>
        <v>https://www.catalog.slsa.sa.gov.au/record=b2911227</v>
      </c>
      <c r="C11984" s="1" t="str">
        <f>HYPERLINK("https://www.catalog.slsa.sa.gov.au/xrecord=b2911227")</f>
        <v>https://www.catalog.slsa.sa.gov.au/xrecord=b2911227</v>
      </c>
      <c r="D11984" t="s">
        <v>31636</v>
      </c>
      <c r="E11984" t="s">
        <v>30703</v>
      </c>
      <c r="F11984">
        <v>2013</v>
      </c>
      <c r="G11984" t="s">
        <v>36218</v>
      </c>
      <c r="H11984" t="s">
        <v>36486</v>
      </c>
      <c r="I11984" t="s">
        <v>36484</v>
      </c>
      <c r="J11984" t="s">
        <v>27272</v>
      </c>
      <c r="K11984" s="2" t="str">
        <f>HYPERLINK("http://collections.slsa.sa.gov.au/mpcimg/73000/B72852.htm")</f>
        <v>http://collections.slsa.sa.gov.au/mpcimg/73000/B72852.htm</v>
      </c>
    </row>
    <row r="11985" spans="1:11" x14ac:dyDescent="0.25">
      <c r="A11985" t="s">
        <v>36487</v>
      </c>
      <c r="B11985" s="1" t="str">
        <f>HYPERLINK("https://www.catalog.slsa.sa.gov.au/record=b2911228")</f>
        <v>https://www.catalog.slsa.sa.gov.au/record=b2911228</v>
      </c>
      <c r="C11985" s="1" t="str">
        <f>HYPERLINK("https://www.catalog.slsa.sa.gov.au/xrecord=b2911228")</f>
        <v>https://www.catalog.slsa.sa.gov.au/xrecord=b2911228</v>
      </c>
      <c r="D11985" t="s">
        <v>31636</v>
      </c>
      <c r="E11985" t="s">
        <v>36488</v>
      </c>
      <c r="F11985">
        <v>2013</v>
      </c>
      <c r="G11985" t="s">
        <v>36218</v>
      </c>
      <c r="H11985" t="s">
        <v>36489</v>
      </c>
      <c r="I11985" t="s">
        <v>36490</v>
      </c>
      <c r="J11985" t="s">
        <v>16780</v>
      </c>
      <c r="K11985" s="2" t="str">
        <f>HYPERLINK("http://collections.slsa.sa.gov.au/mpcimg/73000/B72853.htm")</f>
        <v>http://collections.slsa.sa.gov.au/mpcimg/73000/B72853.htm</v>
      </c>
    </row>
    <row r="11986" spans="1:11" x14ac:dyDescent="0.25">
      <c r="A11986" t="s">
        <v>36491</v>
      </c>
      <c r="B11986" s="1" t="str">
        <f>HYPERLINK("https://www.catalog.slsa.sa.gov.au/record=b2911229")</f>
        <v>https://www.catalog.slsa.sa.gov.au/record=b2911229</v>
      </c>
      <c r="C11986" s="1" t="str">
        <f>HYPERLINK("https://www.catalog.slsa.sa.gov.au/xrecord=b2911229")</f>
        <v>https://www.catalog.slsa.sa.gov.au/xrecord=b2911229</v>
      </c>
      <c r="D11986" t="s">
        <v>31636</v>
      </c>
      <c r="E11986" t="s">
        <v>36488</v>
      </c>
      <c r="F11986">
        <v>2013</v>
      </c>
      <c r="G11986" t="s">
        <v>36218</v>
      </c>
      <c r="H11986" t="s">
        <v>36492</v>
      </c>
      <c r="I11986" t="s">
        <v>36490</v>
      </c>
      <c r="J11986" t="s">
        <v>20900</v>
      </c>
      <c r="K11986" s="2" t="str">
        <f>HYPERLINK("http://collections.slsa.sa.gov.au/mpcimg/73000/B72854.htm")</f>
        <v>http://collections.slsa.sa.gov.au/mpcimg/73000/B72854.htm</v>
      </c>
    </row>
    <row r="11987" spans="1:11" x14ac:dyDescent="0.25">
      <c r="A11987" t="s">
        <v>36493</v>
      </c>
      <c r="B11987" s="1" t="str">
        <f>HYPERLINK("https://www.catalog.slsa.sa.gov.au/record=b2911230")</f>
        <v>https://www.catalog.slsa.sa.gov.au/record=b2911230</v>
      </c>
      <c r="C11987" s="1" t="str">
        <f>HYPERLINK("https://www.catalog.slsa.sa.gov.au/xrecord=b2911230")</f>
        <v>https://www.catalog.slsa.sa.gov.au/xrecord=b2911230</v>
      </c>
      <c r="D11987" t="s">
        <v>31636</v>
      </c>
      <c r="E11987" t="s">
        <v>36488</v>
      </c>
      <c r="F11987">
        <v>2013</v>
      </c>
      <c r="G11987" t="s">
        <v>36223</v>
      </c>
      <c r="H11987" t="s">
        <v>36489</v>
      </c>
      <c r="I11987" t="s">
        <v>36490</v>
      </c>
      <c r="J11987" t="s">
        <v>16780</v>
      </c>
      <c r="K11987" s="2" t="str">
        <f>HYPERLINK("http://collections.slsa.sa.gov.au/mpcimg/73000/B72855.htm")</f>
        <v>http://collections.slsa.sa.gov.au/mpcimg/73000/B72855.htm</v>
      </c>
    </row>
    <row r="11988" spans="1:11" x14ac:dyDescent="0.25">
      <c r="A11988" t="s">
        <v>36494</v>
      </c>
      <c r="B11988" s="1" t="str">
        <f>HYPERLINK("https://www.catalog.slsa.sa.gov.au/record=b2911479")</f>
        <v>https://www.catalog.slsa.sa.gov.au/record=b2911479</v>
      </c>
      <c r="C11988" s="1" t="str">
        <f>HYPERLINK("https://www.catalog.slsa.sa.gov.au/xrecord=b2911479")</f>
        <v>https://www.catalog.slsa.sa.gov.au/xrecord=b2911479</v>
      </c>
      <c r="D11988" t="s">
        <v>31636</v>
      </c>
      <c r="E11988" t="s">
        <v>36495</v>
      </c>
      <c r="F11988">
        <v>2013</v>
      </c>
      <c r="G11988" t="s">
        <v>36218</v>
      </c>
      <c r="H11988" t="s">
        <v>36496</v>
      </c>
      <c r="I11988" t="s">
        <v>16870</v>
      </c>
      <c r="J11988" t="s">
        <v>36497</v>
      </c>
      <c r="K11988" s="2" t="str">
        <f>HYPERLINK("http://collections.slsa.sa.gov.au/mpcimg/73000/B72860.htm")</f>
        <v>http://collections.slsa.sa.gov.au/mpcimg/73000/B72860.htm</v>
      </c>
    </row>
    <row r="11989" spans="1:11" x14ac:dyDescent="0.25">
      <c r="A11989" t="s">
        <v>36498</v>
      </c>
      <c r="B11989" s="1" t="str">
        <f>HYPERLINK("https://www.catalog.slsa.sa.gov.au/record=b2911624")</f>
        <v>https://www.catalog.slsa.sa.gov.au/record=b2911624</v>
      </c>
      <c r="C11989" s="1" t="str">
        <f>HYPERLINK("https://www.catalog.slsa.sa.gov.au/xrecord=b2911624")</f>
        <v>https://www.catalog.slsa.sa.gov.au/xrecord=b2911624</v>
      </c>
      <c r="D11989" t="s">
        <v>31636</v>
      </c>
      <c r="E11989" t="s">
        <v>36499</v>
      </c>
      <c r="F11989">
        <v>2013</v>
      </c>
      <c r="G11989" t="s">
        <v>36218</v>
      </c>
      <c r="H11989" t="s">
        <v>36500</v>
      </c>
      <c r="J11989" t="s">
        <v>22773</v>
      </c>
      <c r="K11989" s="2" t="str">
        <f>HYPERLINK("http://collections.slsa.sa.gov.au/mpcimg/73000/B72861.htm")</f>
        <v>http://collections.slsa.sa.gov.au/mpcimg/73000/B72861.htm</v>
      </c>
    </row>
    <row r="11990" spans="1:11" x14ac:dyDescent="0.25">
      <c r="A11990" t="s">
        <v>36501</v>
      </c>
      <c r="B11990" s="1" t="str">
        <f>HYPERLINK("https://www.catalog.slsa.sa.gov.au/record=b2911626")</f>
        <v>https://www.catalog.slsa.sa.gov.au/record=b2911626</v>
      </c>
      <c r="C11990" s="1" t="str">
        <f>HYPERLINK("https://www.catalog.slsa.sa.gov.au/xrecord=b2911626")</f>
        <v>https://www.catalog.slsa.sa.gov.au/xrecord=b2911626</v>
      </c>
      <c r="D11990" t="s">
        <v>31636</v>
      </c>
      <c r="E11990" t="s">
        <v>36502</v>
      </c>
      <c r="F11990">
        <v>2013</v>
      </c>
      <c r="G11990" t="s">
        <v>36218</v>
      </c>
      <c r="H11990" t="s">
        <v>36503</v>
      </c>
      <c r="J11990" t="s">
        <v>27725</v>
      </c>
      <c r="K11990" s="2" t="str">
        <f>HYPERLINK("http://collections.slsa.sa.gov.au/mpcimg/73000/B72862.htm")</f>
        <v>http://collections.slsa.sa.gov.au/mpcimg/73000/B72862.htm</v>
      </c>
    </row>
    <row r="11991" spans="1:11" x14ac:dyDescent="0.25">
      <c r="A11991" t="s">
        <v>36504</v>
      </c>
      <c r="B11991" s="1" t="str">
        <f>HYPERLINK("https://www.catalog.slsa.sa.gov.au/record=b2911627")</f>
        <v>https://www.catalog.slsa.sa.gov.au/record=b2911627</v>
      </c>
      <c r="C11991" s="1" t="str">
        <f>HYPERLINK("https://www.catalog.slsa.sa.gov.au/xrecord=b2911627")</f>
        <v>https://www.catalog.slsa.sa.gov.au/xrecord=b2911627</v>
      </c>
      <c r="D11991" t="s">
        <v>31636</v>
      </c>
      <c r="E11991" t="s">
        <v>36505</v>
      </c>
      <c r="F11991">
        <v>2013</v>
      </c>
      <c r="G11991" t="s">
        <v>36218</v>
      </c>
      <c r="H11991" t="s">
        <v>36506</v>
      </c>
      <c r="J11991" t="s">
        <v>22785</v>
      </c>
      <c r="K11991" s="2" t="str">
        <f>HYPERLINK("http://collections.slsa.sa.gov.au/mpcimg/73000/B72863.htm")</f>
        <v>http://collections.slsa.sa.gov.au/mpcimg/73000/B72863.htm</v>
      </c>
    </row>
    <row r="11992" spans="1:11" x14ac:dyDescent="0.25">
      <c r="A11992" t="s">
        <v>36507</v>
      </c>
      <c r="B11992" s="1" t="str">
        <f>HYPERLINK("https://www.catalog.slsa.sa.gov.au/record=b2911628")</f>
        <v>https://www.catalog.slsa.sa.gov.au/record=b2911628</v>
      </c>
      <c r="C11992" s="1" t="str">
        <f>HYPERLINK("https://www.catalog.slsa.sa.gov.au/xrecord=b2911628")</f>
        <v>https://www.catalog.slsa.sa.gov.au/xrecord=b2911628</v>
      </c>
      <c r="D11992" t="s">
        <v>31636</v>
      </c>
      <c r="E11992" t="s">
        <v>36508</v>
      </c>
      <c r="F11992">
        <v>2013</v>
      </c>
      <c r="G11992" t="s">
        <v>36218</v>
      </c>
      <c r="H11992" t="s">
        <v>36509</v>
      </c>
      <c r="J11992" t="s">
        <v>22785</v>
      </c>
      <c r="K11992" s="2" t="str">
        <f>HYPERLINK("http://collections.slsa.sa.gov.au/mpcimg/73000/B72864.htm")</f>
        <v>http://collections.slsa.sa.gov.au/mpcimg/73000/B72864.htm</v>
      </c>
    </row>
    <row r="11993" spans="1:11" x14ac:dyDescent="0.25">
      <c r="A11993" t="s">
        <v>36510</v>
      </c>
      <c r="B11993" s="1" t="str">
        <f>HYPERLINK("https://www.catalog.slsa.sa.gov.au/record=b2911630")</f>
        <v>https://www.catalog.slsa.sa.gov.au/record=b2911630</v>
      </c>
      <c r="C11993" s="1" t="str">
        <f>HYPERLINK("https://www.catalog.slsa.sa.gov.au/xrecord=b2911630")</f>
        <v>https://www.catalog.slsa.sa.gov.au/xrecord=b2911630</v>
      </c>
      <c r="D11993" t="s">
        <v>31636</v>
      </c>
      <c r="E11993" t="s">
        <v>36511</v>
      </c>
      <c r="F11993">
        <v>2013</v>
      </c>
      <c r="G11993" t="s">
        <v>36223</v>
      </c>
      <c r="H11993" t="s">
        <v>36512</v>
      </c>
      <c r="I11993" t="s">
        <v>36513</v>
      </c>
      <c r="J11993" t="s">
        <v>36514</v>
      </c>
      <c r="K11993" s="2" t="str">
        <f>HYPERLINK("http://collections.slsa.sa.gov.au/mpcimg/73000/B72865.htm")</f>
        <v>http://collections.slsa.sa.gov.au/mpcimg/73000/B72865.htm</v>
      </c>
    </row>
    <row r="11994" spans="1:11" x14ac:dyDescent="0.25">
      <c r="A11994" t="s">
        <v>36515</v>
      </c>
      <c r="B11994" s="1" t="str">
        <f>HYPERLINK("https://www.catalog.slsa.sa.gov.au/record=b2911631")</f>
        <v>https://www.catalog.slsa.sa.gov.au/record=b2911631</v>
      </c>
      <c r="C11994" s="1" t="str">
        <f>HYPERLINK("https://www.catalog.slsa.sa.gov.au/xrecord=b2911631")</f>
        <v>https://www.catalog.slsa.sa.gov.au/xrecord=b2911631</v>
      </c>
      <c r="D11994" t="s">
        <v>31636</v>
      </c>
      <c r="E11994" t="s">
        <v>36511</v>
      </c>
      <c r="F11994">
        <v>2013</v>
      </c>
      <c r="G11994" t="s">
        <v>36218</v>
      </c>
      <c r="H11994" t="s">
        <v>36512</v>
      </c>
      <c r="I11994" t="s">
        <v>36513</v>
      </c>
      <c r="J11994" t="s">
        <v>36514</v>
      </c>
      <c r="K11994" s="2" t="str">
        <f>HYPERLINK("http://collections.slsa.sa.gov.au/mpcimg/73000/B72866.htm")</f>
        <v>http://collections.slsa.sa.gov.au/mpcimg/73000/B72866.htm</v>
      </c>
    </row>
    <row r="11995" spans="1:11" x14ac:dyDescent="0.25">
      <c r="A11995" t="s">
        <v>36516</v>
      </c>
      <c r="B11995" s="1" t="str">
        <f>HYPERLINK("https://www.catalog.slsa.sa.gov.au/record=b2911632")</f>
        <v>https://www.catalog.slsa.sa.gov.au/record=b2911632</v>
      </c>
      <c r="C11995" s="1" t="str">
        <f>HYPERLINK("https://www.catalog.slsa.sa.gov.au/xrecord=b2911632")</f>
        <v>https://www.catalog.slsa.sa.gov.au/xrecord=b2911632</v>
      </c>
      <c r="D11995" t="s">
        <v>31636</v>
      </c>
      <c r="E11995" t="s">
        <v>36517</v>
      </c>
      <c r="F11995">
        <v>2013</v>
      </c>
      <c r="G11995" t="s">
        <v>36218</v>
      </c>
      <c r="H11995" t="s">
        <v>36518</v>
      </c>
      <c r="I11995" t="s">
        <v>36519</v>
      </c>
      <c r="J11995" t="s">
        <v>36514</v>
      </c>
      <c r="K11995" s="2" t="str">
        <f>HYPERLINK("http://collections.slsa.sa.gov.au/mpcimg/73000/B72867.htm")</f>
        <v>http://collections.slsa.sa.gov.au/mpcimg/73000/B72867.htm</v>
      </c>
    </row>
    <row r="11996" spans="1:11" x14ac:dyDescent="0.25">
      <c r="A11996" t="s">
        <v>36520</v>
      </c>
      <c r="B11996" s="1" t="str">
        <f>HYPERLINK("https://www.catalog.slsa.sa.gov.au/record=b2911633")</f>
        <v>https://www.catalog.slsa.sa.gov.au/record=b2911633</v>
      </c>
      <c r="C11996" s="1" t="str">
        <f>HYPERLINK("https://www.catalog.slsa.sa.gov.au/xrecord=b2911633")</f>
        <v>https://www.catalog.slsa.sa.gov.au/xrecord=b2911633</v>
      </c>
      <c r="D11996" t="s">
        <v>31636</v>
      </c>
      <c r="E11996" t="s">
        <v>36521</v>
      </c>
      <c r="F11996">
        <v>2013</v>
      </c>
      <c r="G11996" t="s">
        <v>36223</v>
      </c>
      <c r="H11996" t="s">
        <v>36522</v>
      </c>
      <c r="I11996" t="s">
        <v>36523</v>
      </c>
      <c r="J11996" t="s">
        <v>36514</v>
      </c>
      <c r="K11996" s="2" t="str">
        <f>HYPERLINK("http://collections.slsa.sa.gov.au/mpcimg/73000/B72868.htm")</f>
        <v>http://collections.slsa.sa.gov.au/mpcimg/73000/B72868.htm</v>
      </c>
    </row>
    <row r="11997" spans="1:11" x14ac:dyDescent="0.25">
      <c r="A11997" t="s">
        <v>36524</v>
      </c>
      <c r="B11997" s="1" t="str">
        <f>HYPERLINK("https://www.catalog.slsa.sa.gov.au/record=b2911634")</f>
        <v>https://www.catalog.slsa.sa.gov.au/record=b2911634</v>
      </c>
      <c r="C11997" s="1" t="str">
        <f>HYPERLINK("https://www.catalog.slsa.sa.gov.au/xrecord=b2911634")</f>
        <v>https://www.catalog.slsa.sa.gov.au/xrecord=b2911634</v>
      </c>
      <c r="D11997" t="s">
        <v>31636</v>
      </c>
      <c r="E11997" t="s">
        <v>36525</v>
      </c>
      <c r="F11997">
        <v>2013</v>
      </c>
      <c r="G11997" t="s">
        <v>36526</v>
      </c>
      <c r="H11997" t="s">
        <v>36527</v>
      </c>
      <c r="I11997" t="s">
        <v>36528</v>
      </c>
      <c r="J11997" t="s">
        <v>36529</v>
      </c>
      <c r="K11997" s="2" t="str">
        <f>HYPERLINK("http://collections.slsa.sa.gov.au/mpcimg/73000/B72869.htm")</f>
        <v>http://collections.slsa.sa.gov.au/mpcimg/73000/B72869.htm</v>
      </c>
    </row>
    <row r="11998" spans="1:11" x14ac:dyDescent="0.25">
      <c r="A11998" t="s">
        <v>36530</v>
      </c>
      <c r="B11998" s="1" t="str">
        <f>HYPERLINK("https://www.catalog.slsa.sa.gov.au/record=b2911642")</f>
        <v>https://www.catalog.slsa.sa.gov.au/record=b2911642</v>
      </c>
      <c r="C11998" s="1" t="str">
        <f>HYPERLINK("https://www.catalog.slsa.sa.gov.au/xrecord=b2911642")</f>
        <v>https://www.catalog.slsa.sa.gov.au/xrecord=b2911642</v>
      </c>
      <c r="D11998" t="s">
        <v>31636</v>
      </c>
      <c r="E11998" t="s">
        <v>36525</v>
      </c>
      <c r="F11998">
        <v>2013</v>
      </c>
      <c r="G11998" t="s">
        <v>36218</v>
      </c>
      <c r="H11998" t="s">
        <v>36527</v>
      </c>
      <c r="I11998" t="s">
        <v>36528</v>
      </c>
      <c r="J11998" t="s">
        <v>36529</v>
      </c>
      <c r="K11998" s="2" t="str">
        <f>HYPERLINK("http://collections.slsa.sa.gov.au/mpcimg/73000/B72870.htm")</f>
        <v>http://collections.slsa.sa.gov.au/mpcimg/73000/B72870.htm</v>
      </c>
    </row>
    <row r="11999" spans="1:11" x14ac:dyDescent="0.25">
      <c r="A11999" t="s">
        <v>36531</v>
      </c>
      <c r="B11999" s="1" t="str">
        <f>HYPERLINK("https://www.catalog.slsa.sa.gov.au/record=b2911643")</f>
        <v>https://www.catalog.slsa.sa.gov.au/record=b2911643</v>
      </c>
      <c r="C11999" s="1" t="str">
        <f>HYPERLINK("https://www.catalog.slsa.sa.gov.au/xrecord=b2911643")</f>
        <v>https://www.catalog.slsa.sa.gov.au/xrecord=b2911643</v>
      </c>
      <c r="D11999" t="s">
        <v>31636</v>
      </c>
      <c r="E11999" t="s">
        <v>36532</v>
      </c>
      <c r="F11999">
        <v>2013</v>
      </c>
      <c r="G11999" t="s">
        <v>36218</v>
      </c>
      <c r="H11999" t="s">
        <v>36533</v>
      </c>
      <c r="I11999" t="s">
        <v>36534</v>
      </c>
      <c r="J11999" t="s">
        <v>36535</v>
      </c>
      <c r="K11999" s="2" t="str">
        <f>HYPERLINK("http://collections.slsa.sa.gov.au/mpcimg/73000/B72871.htm")</f>
        <v>http://collections.slsa.sa.gov.au/mpcimg/73000/B72871.htm</v>
      </c>
    </row>
    <row r="12000" spans="1:11" x14ac:dyDescent="0.25">
      <c r="A12000" t="s">
        <v>36536</v>
      </c>
      <c r="B12000" s="1" t="str">
        <f>HYPERLINK("https://www.catalog.slsa.sa.gov.au/record=b2911644")</f>
        <v>https://www.catalog.slsa.sa.gov.au/record=b2911644</v>
      </c>
      <c r="C12000" s="1" t="str">
        <f>HYPERLINK("https://www.catalog.slsa.sa.gov.au/xrecord=b2911644")</f>
        <v>https://www.catalog.slsa.sa.gov.au/xrecord=b2911644</v>
      </c>
      <c r="D12000" t="s">
        <v>31636</v>
      </c>
      <c r="E12000" t="s">
        <v>36532</v>
      </c>
      <c r="F12000">
        <v>2013</v>
      </c>
      <c r="G12000" t="s">
        <v>36537</v>
      </c>
      <c r="H12000" t="s">
        <v>36533</v>
      </c>
      <c r="I12000" t="s">
        <v>36534</v>
      </c>
      <c r="J12000" t="s">
        <v>36535</v>
      </c>
      <c r="K12000" s="2" t="str">
        <f>HYPERLINK("http://collections.slsa.sa.gov.au/mpcimg/73000/B72872.htm")</f>
        <v>http://collections.slsa.sa.gov.au/mpcimg/73000/B72872.htm</v>
      </c>
    </row>
    <row r="12001" spans="1:11" x14ac:dyDescent="0.25">
      <c r="A12001" t="s">
        <v>36538</v>
      </c>
      <c r="B12001" s="1" t="str">
        <f>HYPERLINK("https://www.catalog.slsa.sa.gov.au/record=b2911646")</f>
        <v>https://www.catalog.slsa.sa.gov.au/record=b2911646</v>
      </c>
      <c r="C12001" s="1" t="str">
        <f>HYPERLINK("https://www.catalog.slsa.sa.gov.au/xrecord=b2911646")</f>
        <v>https://www.catalog.slsa.sa.gov.au/xrecord=b2911646</v>
      </c>
      <c r="D12001" t="s">
        <v>31636</v>
      </c>
      <c r="E12001" t="s">
        <v>16880</v>
      </c>
      <c r="F12001">
        <v>2013</v>
      </c>
      <c r="G12001" t="s">
        <v>36218</v>
      </c>
      <c r="H12001" t="s">
        <v>36539</v>
      </c>
      <c r="I12001" t="s">
        <v>36540</v>
      </c>
      <c r="J12001" t="s">
        <v>36541</v>
      </c>
      <c r="K12001" s="2" t="str">
        <f>HYPERLINK("http://collections.slsa.sa.gov.au/mpcimg/73000/B72873.htm")</f>
        <v>http://collections.slsa.sa.gov.au/mpcimg/73000/B72873.htm</v>
      </c>
    </row>
    <row r="12002" spans="1:11" x14ac:dyDescent="0.25">
      <c r="A12002" t="s">
        <v>36542</v>
      </c>
      <c r="B12002" s="1" t="str">
        <f>HYPERLINK("https://www.catalog.slsa.sa.gov.au/record=b2911647")</f>
        <v>https://www.catalog.slsa.sa.gov.au/record=b2911647</v>
      </c>
      <c r="C12002" s="1" t="str">
        <f>HYPERLINK("https://www.catalog.slsa.sa.gov.au/xrecord=b2911647")</f>
        <v>https://www.catalog.slsa.sa.gov.au/xrecord=b2911647</v>
      </c>
      <c r="D12002" t="s">
        <v>31636</v>
      </c>
      <c r="E12002" t="s">
        <v>36543</v>
      </c>
      <c r="F12002">
        <v>2013</v>
      </c>
      <c r="G12002" t="s">
        <v>36544</v>
      </c>
      <c r="H12002" t="s">
        <v>36545</v>
      </c>
      <c r="I12002" t="s">
        <v>36546</v>
      </c>
      <c r="J12002" t="s">
        <v>36547</v>
      </c>
      <c r="K12002" s="2" t="str">
        <f>HYPERLINK("http://collections.slsa.sa.gov.au/mpcimg/73000/B72875.htm")</f>
        <v>http://collections.slsa.sa.gov.au/mpcimg/73000/B72875.htm</v>
      </c>
    </row>
    <row r="12003" spans="1:11" x14ac:dyDescent="0.25">
      <c r="A12003" t="s">
        <v>36548</v>
      </c>
      <c r="B12003" s="1" t="str">
        <f>HYPERLINK("https://www.catalog.slsa.sa.gov.au/record=b2911648")</f>
        <v>https://www.catalog.slsa.sa.gov.au/record=b2911648</v>
      </c>
      <c r="C12003" s="1" t="str">
        <f>HYPERLINK("https://www.catalog.slsa.sa.gov.au/xrecord=b2911648")</f>
        <v>https://www.catalog.slsa.sa.gov.au/xrecord=b2911648</v>
      </c>
      <c r="D12003" t="s">
        <v>31636</v>
      </c>
      <c r="E12003" t="s">
        <v>36543</v>
      </c>
      <c r="F12003">
        <v>2013</v>
      </c>
      <c r="G12003" t="s">
        <v>36549</v>
      </c>
      <c r="H12003" t="s">
        <v>36545</v>
      </c>
      <c r="I12003" t="s">
        <v>36546</v>
      </c>
      <c r="J12003" t="s">
        <v>36547</v>
      </c>
      <c r="K12003" s="2" t="str">
        <f>HYPERLINK("http://collections.slsa.sa.gov.au/mpcimg/73000/B72876.htm")</f>
        <v>http://collections.slsa.sa.gov.au/mpcimg/73000/B72876.htm</v>
      </c>
    </row>
    <row r="12004" spans="1:11" x14ac:dyDescent="0.25">
      <c r="A12004" t="s">
        <v>36550</v>
      </c>
      <c r="B12004" s="1" t="str">
        <f>HYPERLINK("https://www.catalog.slsa.sa.gov.au/record=b2911649")</f>
        <v>https://www.catalog.slsa.sa.gov.au/record=b2911649</v>
      </c>
      <c r="C12004" s="1" t="str">
        <f>HYPERLINK("https://www.catalog.slsa.sa.gov.au/xrecord=b2911649")</f>
        <v>https://www.catalog.slsa.sa.gov.au/xrecord=b2911649</v>
      </c>
      <c r="D12004" t="s">
        <v>31636</v>
      </c>
      <c r="E12004" t="s">
        <v>36551</v>
      </c>
      <c r="F12004">
        <v>2013</v>
      </c>
      <c r="G12004" t="s">
        <v>36223</v>
      </c>
      <c r="H12004" t="s">
        <v>36552</v>
      </c>
      <c r="I12004" t="s">
        <v>36553</v>
      </c>
      <c r="J12004" t="s">
        <v>36554</v>
      </c>
      <c r="K12004" s="2" t="str">
        <f>HYPERLINK("http://collections.slsa.sa.gov.au/mpcimg/73000/B72874.htm")</f>
        <v>http://collections.slsa.sa.gov.au/mpcimg/73000/B72874.htm</v>
      </c>
    </row>
    <row r="12005" spans="1:11" x14ac:dyDescent="0.25">
      <c r="A12005" t="s">
        <v>36555</v>
      </c>
      <c r="B12005" s="1" t="str">
        <f>HYPERLINK("https://www.catalog.slsa.sa.gov.au/record=b2911884")</f>
        <v>https://www.catalog.slsa.sa.gov.au/record=b2911884</v>
      </c>
      <c r="C12005" s="1" t="str">
        <f>HYPERLINK("https://www.catalog.slsa.sa.gov.au/xrecord=b2911884")</f>
        <v>https://www.catalog.slsa.sa.gov.au/xrecord=b2911884</v>
      </c>
      <c r="D12005" t="s">
        <v>31636</v>
      </c>
      <c r="E12005" t="s">
        <v>36556</v>
      </c>
      <c r="F12005">
        <v>2013</v>
      </c>
      <c r="G12005" t="s">
        <v>36557</v>
      </c>
      <c r="H12005" t="s">
        <v>36558</v>
      </c>
      <c r="I12005" t="s">
        <v>36559</v>
      </c>
      <c r="J12005" t="s">
        <v>27982</v>
      </c>
      <c r="K12005" s="2" t="str">
        <f>HYPERLINK("http://collections.slsa.sa.gov.au/mpcimg/73000/B72891.htm")</f>
        <v>http://collections.slsa.sa.gov.au/mpcimg/73000/B72891.htm</v>
      </c>
    </row>
    <row r="12006" spans="1:11" x14ac:dyDescent="0.25">
      <c r="A12006" t="s">
        <v>36560</v>
      </c>
      <c r="B12006" s="1" t="str">
        <f>HYPERLINK("https://www.catalog.slsa.sa.gov.au/record=b2911885")</f>
        <v>https://www.catalog.slsa.sa.gov.au/record=b2911885</v>
      </c>
      <c r="C12006" s="1" t="str">
        <f>HYPERLINK("https://www.catalog.slsa.sa.gov.au/xrecord=b2911885")</f>
        <v>https://www.catalog.slsa.sa.gov.au/xrecord=b2911885</v>
      </c>
      <c r="D12006" t="s">
        <v>31636</v>
      </c>
      <c r="E12006" t="s">
        <v>36561</v>
      </c>
      <c r="F12006">
        <v>2013</v>
      </c>
      <c r="G12006" t="s">
        <v>36562</v>
      </c>
      <c r="H12006" t="s">
        <v>36563</v>
      </c>
      <c r="I12006" t="s">
        <v>36564</v>
      </c>
      <c r="J12006" t="s">
        <v>27272</v>
      </c>
      <c r="K12006" s="2" t="str">
        <f>HYPERLINK("http://collections.slsa.sa.gov.au/mpcimg/73000/B72910.htm")</f>
        <v>http://collections.slsa.sa.gov.au/mpcimg/73000/B72910.htm</v>
      </c>
    </row>
    <row r="12007" spans="1:11" x14ac:dyDescent="0.25">
      <c r="A12007" t="s">
        <v>36565</v>
      </c>
      <c r="B12007" s="1" t="str">
        <f>HYPERLINK("https://www.catalog.slsa.sa.gov.au/record=b2911892")</f>
        <v>https://www.catalog.slsa.sa.gov.au/record=b2911892</v>
      </c>
      <c r="C12007" s="1" t="str">
        <f>HYPERLINK("https://www.catalog.slsa.sa.gov.au/xrecord=b2911892")</f>
        <v>https://www.catalog.slsa.sa.gov.au/xrecord=b2911892</v>
      </c>
      <c r="D12007" t="s">
        <v>31636</v>
      </c>
      <c r="E12007" t="s">
        <v>36566</v>
      </c>
      <c r="F12007">
        <v>2013</v>
      </c>
      <c r="G12007" t="s">
        <v>36218</v>
      </c>
      <c r="H12007" t="s">
        <v>36567</v>
      </c>
      <c r="I12007" t="s">
        <v>36568</v>
      </c>
      <c r="J12007" t="s">
        <v>18474</v>
      </c>
      <c r="K12007" s="2" t="str">
        <f>HYPERLINK("http://collections.slsa.sa.gov.au/mpcimg/73000/B72878.htm")</f>
        <v>http://collections.slsa.sa.gov.au/mpcimg/73000/B72878.htm</v>
      </c>
    </row>
    <row r="12008" spans="1:11" x14ac:dyDescent="0.25">
      <c r="A12008" t="s">
        <v>36569</v>
      </c>
      <c r="B12008" s="1" t="str">
        <f>HYPERLINK("https://www.catalog.slsa.sa.gov.au/record=b2911899")</f>
        <v>https://www.catalog.slsa.sa.gov.au/record=b2911899</v>
      </c>
      <c r="C12008" s="1" t="str">
        <f>HYPERLINK("https://www.catalog.slsa.sa.gov.au/xrecord=b2911899")</f>
        <v>https://www.catalog.slsa.sa.gov.au/xrecord=b2911899</v>
      </c>
      <c r="D12008" t="s">
        <v>31636</v>
      </c>
      <c r="E12008" t="s">
        <v>36566</v>
      </c>
      <c r="F12008">
        <v>2013</v>
      </c>
      <c r="G12008" t="s">
        <v>36218</v>
      </c>
      <c r="H12008" t="s">
        <v>36567</v>
      </c>
      <c r="I12008" t="s">
        <v>36568</v>
      </c>
      <c r="J12008" t="s">
        <v>18474</v>
      </c>
      <c r="K12008" s="2" t="str">
        <f>HYPERLINK("http://collections.slsa.sa.gov.au/mpcimg/73000/B72879.htm")</f>
        <v>http://collections.slsa.sa.gov.au/mpcimg/73000/B72879.htm</v>
      </c>
    </row>
    <row r="12009" spans="1:11" x14ac:dyDescent="0.25">
      <c r="A12009" t="s">
        <v>36570</v>
      </c>
      <c r="B12009" s="1" t="str">
        <f>HYPERLINK("https://www.catalog.slsa.sa.gov.au/record=b2911900")</f>
        <v>https://www.catalog.slsa.sa.gov.au/record=b2911900</v>
      </c>
      <c r="C12009" s="1" t="str">
        <f>HYPERLINK("https://www.catalog.slsa.sa.gov.au/xrecord=b2911900")</f>
        <v>https://www.catalog.slsa.sa.gov.au/xrecord=b2911900</v>
      </c>
      <c r="D12009" t="s">
        <v>31636</v>
      </c>
      <c r="E12009" t="s">
        <v>36566</v>
      </c>
      <c r="F12009">
        <v>2013</v>
      </c>
      <c r="G12009" t="s">
        <v>36218</v>
      </c>
      <c r="H12009" t="s">
        <v>36571</v>
      </c>
      <c r="I12009" t="s">
        <v>36572</v>
      </c>
      <c r="J12009" t="s">
        <v>18474</v>
      </c>
      <c r="K12009" s="2" t="str">
        <f>HYPERLINK("http://collections.slsa.sa.gov.au/mpcimg/73000/B72880.htm")</f>
        <v>http://collections.slsa.sa.gov.au/mpcimg/73000/B72880.htm</v>
      </c>
    </row>
    <row r="12010" spans="1:11" x14ac:dyDescent="0.25">
      <c r="A12010" t="s">
        <v>36573</v>
      </c>
      <c r="B12010" s="1" t="str">
        <f>HYPERLINK("https://www.catalog.slsa.sa.gov.au/record=b2911901")</f>
        <v>https://www.catalog.slsa.sa.gov.au/record=b2911901</v>
      </c>
      <c r="C12010" s="1" t="str">
        <f>HYPERLINK("https://www.catalog.slsa.sa.gov.au/xrecord=b2911901")</f>
        <v>https://www.catalog.slsa.sa.gov.au/xrecord=b2911901</v>
      </c>
      <c r="D12010" t="s">
        <v>31636</v>
      </c>
      <c r="E12010" t="s">
        <v>36566</v>
      </c>
      <c r="F12010">
        <v>2013</v>
      </c>
      <c r="G12010" t="s">
        <v>36574</v>
      </c>
      <c r="H12010" t="s">
        <v>36567</v>
      </c>
      <c r="I12010" t="s">
        <v>36568</v>
      </c>
      <c r="J12010" t="s">
        <v>18474</v>
      </c>
      <c r="K12010" s="2" t="str">
        <f>HYPERLINK("http://collections.slsa.sa.gov.au/mpcimg/73000/B72881.htm")</f>
        <v>http://collections.slsa.sa.gov.au/mpcimg/73000/B72881.htm</v>
      </c>
    </row>
    <row r="12011" spans="1:11" x14ac:dyDescent="0.25">
      <c r="A12011" t="s">
        <v>36575</v>
      </c>
      <c r="B12011" s="1" t="str">
        <f>HYPERLINK("https://www.catalog.slsa.sa.gov.au/record=b2911902")</f>
        <v>https://www.catalog.slsa.sa.gov.au/record=b2911902</v>
      </c>
      <c r="C12011" s="1" t="str">
        <f>HYPERLINK("https://www.catalog.slsa.sa.gov.au/xrecord=b2911902")</f>
        <v>https://www.catalog.slsa.sa.gov.au/xrecord=b2911902</v>
      </c>
      <c r="D12011" t="s">
        <v>31636</v>
      </c>
      <c r="E12011" t="s">
        <v>36566</v>
      </c>
      <c r="F12011">
        <v>2013</v>
      </c>
      <c r="G12011" t="s">
        <v>36218</v>
      </c>
      <c r="H12011" t="s">
        <v>36576</v>
      </c>
      <c r="I12011" t="s">
        <v>36577</v>
      </c>
      <c r="J12011" t="s">
        <v>18474</v>
      </c>
      <c r="K12011" s="2" t="str">
        <f>HYPERLINK("http://collections.slsa.sa.gov.au/mpcimg/73000/B72882.htm")</f>
        <v>http://collections.slsa.sa.gov.au/mpcimg/73000/B72882.htm</v>
      </c>
    </row>
    <row r="12012" spans="1:11" x14ac:dyDescent="0.25">
      <c r="A12012" t="s">
        <v>36578</v>
      </c>
      <c r="B12012" s="1" t="str">
        <f>HYPERLINK("https://www.catalog.slsa.sa.gov.au/record=b2911903")</f>
        <v>https://www.catalog.slsa.sa.gov.au/record=b2911903</v>
      </c>
      <c r="C12012" s="1" t="str">
        <f>HYPERLINK("https://www.catalog.slsa.sa.gov.au/xrecord=b2911903")</f>
        <v>https://www.catalog.slsa.sa.gov.au/xrecord=b2911903</v>
      </c>
      <c r="D12012" t="s">
        <v>31636</v>
      </c>
      <c r="E12012" t="s">
        <v>36566</v>
      </c>
      <c r="F12012">
        <v>2013</v>
      </c>
      <c r="G12012" t="s">
        <v>36218</v>
      </c>
      <c r="H12012" t="s">
        <v>36579</v>
      </c>
      <c r="I12012" t="s">
        <v>36577</v>
      </c>
      <c r="J12012" t="s">
        <v>18474</v>
      </c>
      <c r="K12012" s="2" t="str">
        <f>HYPERLINK("http://collections.slsa.sa.gov.au/mpcimg/73000/B72883.htm")</f>
        <v>http://collections.slsa.sa.gov.au/mpcimg/73000/B72883.htm</v>
      </c>
    </row>
    <row r="12013" spans="1:11" x14ac:dyDescent="0.25">
      <c r="A12013" t="s">
        <v>36580</v>
      </c>
      <c r="B12013" s="1" t="str">
        <f>HYPERLINK("https://www.catalog.slsa.sa.gov.au/record=b2911904")</f>
        <v>https://www.catalog.slsa.sa.gov.au/record=b2911904</v>
      </c>
      <c r="C12013" s="1" t="str">
        <f>HYPERLINK("https://www.catalog.slsa.sa.gov.au/xrecord=b2911904")</f>
        <v>https://www.catalog.slsa.sa.gov.au/xrecord=b2911904</v>
      </c>
      <c r="D12013" t="s">
        <v>31636</v>
      </c>
      <c r="E12013" t="s">
        <v>36581</v>
      </c>
      <c r="F12013">
        <v>2013</v>
      </c>
      <c r="G12013" t="s">
        <v>36582</v>
      </c>
      <c r="H12013" t="s">
        <v>36583</v>
      </c>
      <c r="I12013" t="s">
        <v>36584</v>
      </c>
      <c r="J12013" t="s">
        <v>18474</v>
      </c>
      <c r="K12013" s="2" t="str">
        <f>HYPERLINK("http://collections.slsa.sa.gov.au/mpcimg/73000/B72884.htm")</f>
        <v>http://collections.slsa.sa.gov.au/mpcimg/73000/B72884.htm</v>
      </c>
    </row>
    <row r="12014" spans="1:11" x14ac:dyDescent="0.25">
      <c r="A12014" t="s">
        <v>36585</v>
      </c>
      <c r="B12014" s="1" t="str">
        <f>HYPERLINK("https://www.catalog.slsa.sa.gov.au/record=b2911906")</f>
        <v>https://www.catalog.slsa.sa.gov.au/record=b2911906</v>
      </c>
      <c r="C12014" s="1" t="str">
        <f>HYPERLINK("https://www.catalog.slsa.sa.gov.au/xrecord=b2911906")</f>
        <v>https://www.catalog.slsa.sa.gov.au/xrecord=b2911906</v>
      </c>
      <c r="D12014" t="s">
        <v>31636</v>
      </c>
      <c r="E12014" t="s">
        <v>36581</v>
      </c>
      <c r="F12014">
        <v>2013</v>
      </c>
      <c r="G12014" t="s">
        <v>36218</v>
      </c>
      <c r="H12014" t="s">
        <v>36583</v>
      </c>
      <c r="I12014" t="s">
        <v>36584</v>
      </c>
      <c r="J12014" t="s">
        <v>18474</v>
      </c>
      <c r="K12014" s="2" t="str">
        <f>HYPERLINK("http://collections.slsa.sa.gov.au/mpcimg/73000/B72885.htm")</f>
        <v>http://collections.slsa.sa.gov.au/mpcimg/73000/B72885.htm</v>
      </c>
    </row>
    <row r="12015" spans="1:11" x14ac:dyDescent="0.25">
      <c r="A12015" t="s">
        <v>36586</v>
      </c>
      <c r="B12015" s="1" t="str">
        <f>HYPERLINK("https://www.catalog.slsa.sa.gov.au/record=b2911907")</f>
        <v>https://www.catalog.slsa.sa.gov.au/record=b2911907</v>
      </c>
      <c r="C12015" s="1" t="str">
        <f>HYPERLINK("https://www.catalog.slsa.sa.gov.au/xrecord=b2911907")</f>
        <v>https://www.catalog.slsa.sa.gov.au/xrecord=b2911907</v>
      </c>
      <c r="D12015" t="s">
        <v>31636</v>
      </c>
      <c r="E12015" t="s">
        <v>36587</v>
      </c>
      <c r="F12015">
        <v>2013</v>
      </c>
      <c r="G12015" t="s">
        <v>36218</v>
      </c>
      <c r="H12015" t="s">
        <v>36588</v>
      </c>
      <c r="I12015" t="s">
        <v>36589</v>
      </c>
      <c r="J12015" t="s">
        <v>18474</v>
      </c>
      <c r="K12015" s="2" t="str">
        <f>HYPERLINK("http://collections.slsa.sa.gov.au/mpcimg/73000/B72886.htm")</f>
        <v>http://collections.slsa.sa.gov.au/mpcimg/73000/B72886.htm</v>
      </c>
    </row>
    <row r="12016" spans="1:11" x14ac:dyDescent="0.25">
      <c r="A12016" t="s">
        <v>36590</v>
      </c>
      <c r="B12016" s="1" t="str">
        <f>HYPERLINK("https://www.catalog.slsa.sa.gov.au/record=b2912152")</f>
        <v>https://www.catalog.slsa.sa.gov.au/record=b2912152</v>
      </c>
      <c r="C12016" s="1" t="str">
        <f>HYPERLINK("https://www.catalog.slsa.sa.gov.au/xrecord=b2912152")</f>
        <v>https://www.catalog.slsa.sa.gov.au/xrecord=b2912152</v>
      </c>
      <c r="D12016" t="s">
        <v>31636</v>
      </c>
      <c r="E12016" t="s">
        <v>36591</v>
      </c>
      <c r="F12016">
        <v>2013</v>
      </c>
      <c r="G12016" t="s">
        <v>36218</v>
      </c>
      <c r="H12016" t="s">
        <v>36592</v>
      </c>
      <c r="I12016" t="s">
        <v>16870</v>
      </c>
      <c r="J12016" t="s">
        <v>36497</v>
      </c>
      <c r="K12016" s="2" t="str">
        <f>HYPERLINK("http://collections.slsa.sa.gov.au/mpcimg/73000/B72887.htm")</f>
        <v>http://collections.slsa.sa.gov.au/mpcimg/73000/B72887.htm</v>
      </c>
    </row>
    <row r="12017" spans="1:11" x14ac:dyDescent="0.25">
      <c r="A12017" t="s">
        <v>36593</v>
      </c>
      <c r="B12017" s="1" t="str">
        <f>HYPERLINK("https://www.catalog.slsa.sa.gov.au/record=b2912153")</f>
        <v>https://www.catalog.slsa.sa.gov.au/record=b2912153</v>
      </c>
      <c r="C12017" s="1" t="str">
        <f>HYPERLINK("https://www.catalog.slsa.sa.gov.au/xrecord=b2912153")</f>
        <v>https://www.catalog.slsa.sa.gov.au/xrecord=b2912153</v>
      </c>
      <c r="D12017" t="s">
        <v>31636</v>
      </c>
      <c r="E12017" t="s">
        <v>36591</v>
      </c>
      <c r="F12017">
        <v>2013</v>
      </c>
      <c r="G12017" t="s">
        <v>36594</v>
      </c>
      <c r="H12017" t="s">
        <v>36595</v>
      </c>
      <c r="I12017" t="s">
        <v>36596</v>
      </c>
      <c r="J12017" t="s">
        <v>36497</v>
      </c>
      <c r="K12017" s="2" t="str">
        <f>HYPERLINK("http://collections.slsa.sa.gov.au/mpcimg/73000/B72888.htm")</f>
        <v>http://collections.slsa.sa.gov.au/mpcimg/73000/B72888.htm</v>
      </c>
    </row>
    <row r="12018" spans="1:11" x14ac:dyDescent="0.25">
      <c r="A12018" t="s">
        <v>36597</v>
      </c>
      <c r="B12018" s="1" t="str">
        <f>HYPERLINK("https://www.catalog.slsa.sa.gov.au/record=b2912154")</f>
        <v>https://www.catalog.slsa.sa.gov.au/record=b2912154</v>
      </c>
      <c r="C12018" s="1" t="str">
        <f>HYPERLINK("https://www.catalog.slsa.sa.gov.au/xrecord=b2912154")</f>
        <v>https://www.catalog.slsa.sa.gov.au/xrecord=b2912154</v>
      </c>
      <c r="D12018" t="s">
        <v>31636</v>
      </c>
      <c r="E12018" t="s">
        <v>36598</v>
      </c>
      <c r="F12018">
        <v>2013</v>
      </c>
      <c r="G12018" t="s">
        <v>36218</v>
      </c>
      <c r="H12018" t="s">
        <v>36599</v>
      </c>
      <c r="I12018" t="s">
        <v>36600</v>
      </c>
      <c r="J12018" t="s">
        <v>5381</v>
      </c>
      <c r="K12018" s="2" t="str">
        <f>HYPERLINK("http://collections.slsa.sa.gov.au/mpcimg/73000/B72889.htm")</f>
        <v>http://collections.slsa.sa.gov.au/mpcimg/73000/B72889.htm</v>
      </c>
    </row>
    <row r="12019" spans="1:11" x14ac:dyDescent="0.25">
      <c r="A12019" t="s">
        <v>36601</v>
      </c>
      <c r="B12019" s="1" t="str">
        <f>HYPERLINK("https://www.catalog.slsa.sa.gov.au/record=b2912156")</f>
        <v>https://www.catalog.slsa.sa.gov.au/record=b2912156</v>
      </c>
      <c r="C12019" s="1" t="str">
        <f>HYPERLINK("https://www.catalog.slsa.sa.gov.au/xrecord=b2912156")</f>
        <v>https://www.catalog.slsa.sa.gov.au/xrecord=b2912156</v>
      </c>
      <c r="D12019" t="s">
        <v>31636</v>
      </c>
      <c r="E12019" t="s">
        <v>36602</v>
      </c>
      <c r="F12019">
        <v>2013</v>
      </c>
      <c r="G12019" t="s">
        <v>36223</v>
      </c>
      <c r="H12019" t="s">
        <v>36603</v>
      </c>
      <c r="I12019" t="s">
        <v>36604</v>
      </c>
      <c r="J12019" t="s">
        <v>17577</v>
      </c>
      <c r="K12019" s="2" t="str">
        <f>HYPERLINK("http://collections.slsa.sa.gov.au/mpcimg/73000/B72890.htm")</f>
        <v>http://collections.slsa.sa.gov.au/mpcimg/73000/B72890.htm</v>
      </c>
    </row>
    <row r="12020" spans="1:11" x14ac:dyDescent="0.25">
      <c r="A12020" t="s">
        <v>36605</v>
      </c>
      <c r="B12020" s="1" t="str">
        <f>HYPERLINK("https://www.catalog.slsa.sa.gov.au/record=b2912159")</f>
        <v>https://www.catalog.slsa.sa.gov.au/record=b2912159</v>
      </c>
      <c r="C12020" s="1" t="str">
        <f>HYPERLINK("https://www.catalog.slsa.sa.gov.au/xrecord=b2912159")</f>
        <v>https://www.catalog.slsa.sa.gov.au/xrecord=b2912159</v>
      </c>
      <c r="D12020" t="s">
        <v>31636</v>
      </c>
      <c r="E12020" t="s">
        <v>36606</v>
      </c>
      <c r="F12020">
        <v>2013</v>
      </c>
      <c r="G12020" t="s">
        <v>36607</v>
      </c>
      <c r="H12020" t="s">
        <v>36608</v>
      </c>
      <c r="I12020" t="s">
        <v>36609</v>
      </c>
      <c r="J12020" t="s">
        <v>27079</v>
      </c>
      <c r="K12020" s="2" t="str">
        <f>HYPERLINK("http://collections.slsa.sa.gov.au/mpcimg/73000/B72892.htm")</f>
        <v>http://collections.slsa.sa.gov.au/mpcimg/73000/B72892.htm</v>
      </c>
    </row>
    <row r="12021" spans="1:11" x14ac:dyDescent="0.25">
      <c r="A12021" t="s">
        <v>36610</v>
      </c>
      <c r="B12021" s="1" t="str">
        <f>HYPERLINK("https://www.catalog.slsa.sa.gov.au/record=b2912161")</f>
        <v>https://www.catalog.slsa.sa.gov.au/record=b2912161</v>
      </c>
      <c r="C12021" s="1" t="str">
        <f>HYPERLINK("https://www.catalog.slsa.sa.gov.au/xrecord=b2912161")</f>
        <v>https://www.catalog.slsa.sa.gov.au/xrecord=b2912161</v>
      </c>
      <c r="D12021" t="s">
        <v>31636</v>
      </c>
      <c r="E12021" t="s">
        <v>36606</v>
      </c>
      <c r="F12021">
        <v>2013</v>
      </c>
      <c r="G12021" t="s">
        <v>36223</v>
      </c>
      <c r="H12021" t="s">
        <v>36608</v>
      </c>
      <c r="I12021" t="s">
        <v>36609</v>
      </c>
      <c r="J12021" t="s">
        <v>27079</v>
      </c>
      <c r="K12021" s="2" t="str">
        <f>HYPERLINK("http://collections.slsa.sa.gov.au/mpcimg/73000/B72893.htm")</f>
        <v>http://collections.slsa.sa.gov.au/mpcimg/73000/B72893.htm</v>
      </c>
    </row>
    <row r="12022" spans="1:11" x14ac:dyDescent="0.25">
      <c r="A12022" t="s">
        <v>36611</v>
      </c>
      <c r="B12022" s="1" t="str">
        <f>HYPERLINK("https://www.catalog.slsa.sa.gov.au/record=b2912163")</f>
        <v>https://www.catalog.slsa.sa.gov.au/record=b2912163</v>
      </c>
      <c r="C12022" s="1" t="str">
        <f>HYPERLINK("https://www.catalog.slsa.sa.gov.au/xrecord=b2912163")</f>
        <v>https://www.catalog.slsa.sa.gov.au/xrecord=b2912163</v>
      </c>
      <c r="D12022" t="s">
        <v>31636</v>
      </c>
      <c r="E12022" t="s">
        <v>36606</v>
      </c>
      <c r="F12022">
        <v>2013</v>
      </c>
      <c r="G12022" t="s">
        <v>36218</v>
      </c>
      <c r="H12022" t="s">
        <v>36608</v>
      </c>
      <c r="I12022" t="s">
        <v>36612</v>
      </c>
      <c r="J12022" t="s">
        <v>27079</v>
      </c>
      <c r="K12022" s="2" t="str">
        <f>HYPERLINK("http://collections.slsa.sa.gov.au/mpcimg/73000/B72894.htm")</f>
        <v>http://collections.slsa.sa.gov.au/mpcimg/73000/B72894.htm</v>
      </c>
    </row>
    <row r="12023" spans="1:11" x14ac:dyDescent="0.25">
      <c r="A12023" t="s">
        <v>36613</v>
      </c>
      <c r="B12023" s="1" t="str">
        <f>HYPERLINK("https://www.catalog.slsa.sa.gov.au/record=b2912164")</f>
        <v>https://www.catalog.slsa.sa.gov.au/record=b2912164</v>
      </c>
      <c r="C12023" s="1" t="str">
        <f>HYPERLINK("https://www.catalog.slsa.sa.gov.au/xrecord=b2912164")</f>
        <v>https://www.catalog.slsa.sa.gov.au/xrecord=b2912164</v>
      </c>
      <c r="D12023" t="s">
        <v>31636</v>
      </c>
      <c r="E12023" t="s">
        <v>36606</v>
      </c>
      <c r="F12023">
        <v>2013</v>
      </c>
      <c r="G12023" t="s">
        <v>36218</v>
      </c>
      <c r="H12023" t="s">
        <v>36614</v>
      </c>
      <c r="I12023" t="s">
        <v>36609</v>
      </c>
      <c r="J12023" t="s">
        <v>27079</v>
      </c>
      <c r="K12023" s="2" t="str">
        <f>HYPERLINK("http://collections.slsa.sa.gov.au/mpcimg/73000/B72895.htm")</f>
        <v>http://collections.slsa.sa.gov.au/mpcimg/73000/B72895.htm</v>
      </c>
    </row>
    <row r="12024" spans="1:11" x14ac:dyDescent="0.25">
      <c r="A12024" t="s">
        <v>36615</v>
      </c>
      <c r="B12024" s="1" t="str">
        <f>HYPERLINK("https://www.catalog.slsa.sa.gov.au/record=b2912166")</f>
        <v>https://www.catalog.slsa.sa.gov.au/record=b2912166</v>
      </c>
      <c r="C12024" s="1" t="str">
        <f>HYPERLINK("https://www.catalog.slsa.sa.gov.au/xrecord=b2912166")</f>
        <v>https://www.catalog.slsa.sa.gov.au/xrecord=b2912166</v>
      </c>
      <c r="D12024" t="s">
        <v>31636</v>
      </c>
      <c r="E12024" t="s">
        <v>36616</v>
      </c>
      <c r="F12024">
        <v>2013</v>
      </c>
      <c r="G12024" t="s">
        <v>36218</v>
      </c>
      <c r="H12024" t="s">
        <v>36617</v>
      </c>
      <c r="I12024" t="s">
        <v>36618</v>
      </c>
      <c r="J12024" t="s">
        <v>22167</v>
      </c>
      <c r="K12024" s="2" t="str">
        <f>HYPERLINK("http://collections.slsa.sa.gov.au/mpcimg/73000/B72896.htm")</f>
        <v>http://collections.slsa.sa.gov.au/mpcimg/73000/B72896.htm</v>
      </c>
    </row>
    <row r="12025" spans="1:11" x14ac:dyDescent="0.25">
      <c r="A12025" t="s">
        <v>36619</v>
      </c>
      <c r="B12025" s="1" t="str">
        <f>HYPERLINK("https://www.catalog.slsa.sa.gov.au/record=b2912167")</f>
        <v>https://www.catalog.slsa.sa.gov.au/record=b2912167</v>
      </c>
      <c r="C12025" s="1" t="str">
        <f>HYPERLINK("https://www.catalog.slsa.sa.gov.au/xrecord=b2912167")</f>
        <v>https://www.catalog.slsa.sa.gov.au/xrecord=b2912167</v>
      </c>
      <c r="D12025" t="s">
        <v>31636</v>
      </c>
      <c r="E12025" t="s">
        <v>24042</v>
      </c>
      <c r="F12025">
        <v>2013</v>
      </c>
      <c r="G12025" t="s">
        <v>36223</v>
      </c>
      <c r="H12025" t="s">
        <v>36620</v>
      </c>
      <c r="I12025" t="s">
        <v>11017</v>
      </c>
      <c r="J12025" t="s">
        <v>25806</v>
      </c>
      <c r="K12025" s="2" t="str">
        <f>HYPERLINK("http://collections.slsa.sa.gov.au/mpcimg/73000/B72897.htm")</f>
        <v>http://collections.slsa.sa.gov.au/mpcimg/73000/B72897.htm</v>
      </c>
    </row>
    <row r="12026" spans="1:11" x14ac:dyDescent="0.25">
      <c r="A12026" t="s">
        <v>36621</v>
      </c>
      <c r="B12026" s="1" t="str">
        <f>HYPERLINK("https://www.catalog.slsa.sa.gov.au/record=b2912168")</f>
        <v>https://www.catalog.slsa.sa.gov.au/record=b2912168</v>
      </c>
      <c r="C12026" s="1" t="str">
        <f>HYPERLINK("https://www.catalog.slsa.sa.gov.au/xrecord=b2912168")</f>
        <v>https://www.catalog.slsa.sa.gov.au/xrecord=b2912168</v>
      </c>
      <c r="D12026" t="s">
        <v>31636</v>
      </c>
      <c r="E12026" t="s">
        <v>36622</v>
      </c>
      <c r="F12026">
        <v>2013</v>
      </c>
      <c r="G12026" t="s">
        <v>36223</v>
      </c>
      <c r="H12026" t="s">
        <v>36623</v>
      </c>
      <c r="I12026" t="s">
        <v>36624</v>
      </c>
      <c r="J12026" t="s">
        <v>22770</v>
      </c>
      <c r="K12026" s="2" t="str">
        <f>HYPERLINK("http://collections.slsa.sa.gov.au/mpcimg/73000/B72898.htm")</f>
        <v>http://collections.slsa.sa.gov.au/mpcimg/73000/B72898.htm</v>
      </c>
    </row>
    <row r="12027" spans="1:11" x14ac:dyDescent="0.25">
      <c r="A12027" t="s">
        <v>36625</v>
      </c>
      <c r="B12027" s="1" t="str">
        <f>HYPERLINK("https://www.catalog.slsa.sa.gov.au/record=b2912169")</f>
        <v>https://www.catalog.slsa.sa.gov.au/record=b2912169</v>
      </c>
      <c r="C12027" s="1" t="str">
        <f>HYPERLINK("https://www.catalog.slsa.sa.gov.au/xrecord=b2912169")</f>
        <v>https://www.catalog.slsa.sa.gov.au/xrecord=b2912169</v>
      </c>
      <c r="D12027" t="s">
        <v>31636</v>
      </c>
      <c r="E12027" t="s">
        <v>36622</v>
      </c>
      <c r="F12027">
        <v>2013</v>
      </c>
      <c r="G12027" t="s">
        <v>36626</v>
      </c>
      <c r="H12027" t="s">
        <v>36627</v>
      </c>
      <c r="I12027" t="s">
        <v>36624</v>
      </c>
      <c r="J12027" t="s">
        <v>22770</v>
      </c>
      <c r="K12027" s="2" t="str">
        <f>HYPERLINK("http://collections.slsa.sa.gov.au/mpcimg/73000/B72899.htm")</f>
        <v>http://collections.slsa.sa.gov.au/mpcimg/73000/B72899.htm</v>
      </c>
    </row>
    <row r="12028" spans="1:11" x14ac:dyDescent="0.25">
      <c r="A12028" t="s">
        <v>36628</v>
      </c>
      <c r="B12028" s="1" t="str">
        <f>HYPERLINK("https://www.catalog.slsa.sa.gov.au/record=b2912171")</f>
        <v>https://www.catalog.slsa.sa.gov.au/record=b2912171</v>
      </c>
      <c r="C12028" s="1" t="str">
        <f>HYPERLINK("https://www.catalog.slsa.sa.gov.au/xrecord=b2912171")</f>
        <v>https://www.catalog.slsa.sa.gov.au/xrecord=b2912171</v>
      </c>
      <c r="D12028" t="s">
        <v>31636</v>
      </c>
      <c r="E12028" t="s">
        <v>36622</v>
      </c>
      <c r="F12028">
        <v>2013</v>
      </c>
      <c r="G12028" t="s">
        <v>36223</v>
      </c>
      <c r="H12028" t="s">
        <v>36629</v>
      </c>
      <c r="I12028" t="s">
        <v>36624</v>
      </c>
      <c r="J12028" t="s">
        <v>22770</v>
      </c>
      <c r="K12028" s="2" t="str">
        <f>HYPERLINK("http://collections.slsa.sa.gov.au/mpcimg/73000/B72900.htm")</f>
        <v>http://collections.slsa.sa.gov.au/mpcimg/73000/B72900.htm</v>
      </c>
    </row>
    <row r="12029" spans="1:11" x14ac:dyDescent="0.25">
      <c r="A12029" t="s">
        <v>36630</v>
      </c>
      <c r="B12029" s="1" t="str">
        <f>HYPERLINK("https://www.catalog.slsa.sa.gov.au/record=b2912172")</f>
        <v>https://www.catalog.slsa.sa.gov.au/record=b2912172</v>
      </c>
      <c r="C12029" s="1" t="str">
        <f>HYPERLINK("https://www.catalog.slsa.sa.gov.au/xrecord=b2912172")</f>
        <v>https://www.catalog.slsa.sa.gov.au/xrecord=b2912172</v>
      </c>
      <c r="D12029" t="s">
        <v>31636</v>
      </c>
      <c r="E12029" t="s">
        <v>36622</v>
      </c>
      <c r="F12029">
        <v>2013</v>
      </c>
      <c r="G12029" t="s">
        <v>36218</v>
      </c>
      <c r="H12029" t="s">
        <v>36629</v>
      </c>
      <c r="I12029" t="s">
        <v>36624</v>
      </c>
      <c r="J12029" t="s">
        <v>22770</v>
      </c>
      <c r="K12029" s="2" t="str">
        <f>HYPERLINK("http://collections.slsa.sa.gov.au/mpcimg/73000/B72901.htm")</f>
        <v>http://collections.slsa.sa.gov.au/mpcimg/73000/B72901.htm</v>
      </c>
    </row>
    <row r="12030" spans="1:11" x14ac:dyDescent="0.25">
      <c r="A12030" t="s">
        <v>36631</v>
      </c>
      <c r="B12030" s="1" t="str">
        <f>HYPERLINK("https://www.catalog.slsa.sa.gov.au/record=b2912174")</f>
        <v>https://www.catalog.slsa.sa.gov.au/record=b2912174</v>
      </c>
      <c r="C12030" s="1" t="str">
        <f>HYPERLINK("https://www.catalog.slsa.sa.gov.au/xrecord=b2912174")</f>
        <v>https://www.catalog.slsa.sa.gov.au/xrecord=b2912174</v>
      </c>
      <c r="D12030" t="s">
        <v>31636</v>
      </c>
      <c r="E12030" t="s">
        <v>36622</v>
      </c>
      <c r="F12030">
        <v>2013</v>
      </c>
      <c r="G12030" t="s">
        <v>36218</v>
      </c>
      <c r="H12030" t="s">
        <v>36629</v>
      </c>
      <c r="I12030" t="s">
        <v>36624</v>
      </c>
      <c r="J12030" t="s">
        <v>22770</v>
      </c>
      <c r="K12030" s="2" t="str">
        <f>HYPERLINK("http://collections.slsa.sa.gov.au/mpcimg/73000/B72902.htm")</f>
        <v>http://collections.slsa.sa.gov.au/mpcimg/73000/B72902.htm</v>
      </c>
    </row>
    <row r="12031" spans="1:11" x14ac:dyDescent="0.25">
      <c r="A12031" t="s">
        <v>36632</v>
      </c>
      <c r="B12031" s="1" t="str">
        <f>HYPERLINK("https://www.catalog.slsa.sa.gov.au/record=b2912176")</f>
        <v>https://www.catalog.slsa.sa.gov.au/record=b2912176</v>
      </c>
      <c r="C12031" s="1" t="str">
        <f>HYPERLINK("https://www.catalog.slsa.sa.gov.au/xrecord=b2912176")</f>
        <v>https://www.catalog.slsa.sa.gov.au/xrecord=b2912176</v>
      </c>
      <c r="D12031" t="s">
        <v>31636</v>
      </c>
      <c r="E12031" t="s">
        <v>36633</v>
      </c>
      <c r="F12031">
        <v>2013</v>
      </c>
      <c r="G12031" t="s">
        <v>36634</v>
      </c>
      <c r="H12031" t="s">
        <v>36635</v>
      </c>
      <c r="I12031" t="s">
        <v>36636</v>
      </c>
      <c r="J12031" t="s">
        <v>22770</v>
      </c>
      <c r="K12031" s="2" t="str">
        <f>HYPERLINK("http://collections.slsa.sa.gov.au/mpcimg/73000/B72903.htm")</f>
        <v>http://collections.slsa.sa.gov.au/mpcimg/73000/B72903.htm</v>
      </c>
    </row>
    <row r="12032" spans="1:11" x14ac:dyDescent="0.25">
      <c r="A12032" t="s">
        <v>36637</v>
      </c>
      <c r="B12032" s="1" t="str">
        <f>HYPERLINK("https://www.catalog.slsa.sa.gov.au/record=b2913322")</f>
        <v>https://www.catalog.slsa.sa.gov.au/record=b2913322</v>
      </c>
      <c r="C12032" s="1" t="str">
        <f>HYPERLINK("https://www.catalog.slsa.sa.gov.au/xrecord=b2913322")</f>
        <v>https://www.catalog.slsa.sa.gov.au/xrecord=b2913322</v>
      </c>
      <c r="D12032" t="s">
        <v>31636</v>
      </c>
      <c r="E12032" t="s">
        <v>36638</v>
      </c>
      <c r="F12032">
        <v>2013</v>
      </c>
      <c r="G12032" t="s">
        <v>36218</v>
      </c>
      <c r="H12032" t="s">
        <v>36639</v>
      </c>
      <c r="I12032" t="s">
        <v>36100</v>
      </c>
      <c r="J12032" t="s">
        <v>26166</v>
      </c>
      <c r="K12032" s="2" t="str">
        <f>HYPERLINK("http://collections.slsa.sa.gov.au/mpcimg/73000/B72953.htm")</f>
        <v>http://collections.slsa.sa.gov.au/mpcimg/73000/B72953.htm</v>
      </c>
    </row>
    <row r="12033" spans="1:11" x14ac:dyDescent="0.25">
      <c r="A12033" t="s">
        <v>36640</v>
      </c>
      <c r="B12033" s="1" t="str">
        <f>HYPERLINK("https://www.catalog.slsa.sa.gov.au/record=b2913323")</f>
        <v>https://www.catalog.slsa.sa.gov.au/record=b2913323</v>
      </c>
      <c r="C12033" s="1" t="str">
        <f>HYPERLINK("https://www.catalog.slsa.sa.gov.au/xrecord=b2913323")</f>
        <v>https://www.catalog.slsa.sa.gov.au/xrecord=b2913323</v>
      </c>
      <c r="D12033" t="s">
        <v>31636</v>
      </c>
      <c r="E12033" t="s">
        <v>36638</v>
      </c>
      <c r="F12033">
        <v>2013</v>
      </c>
      <c r="G12033" t="s">
        <v>36218</v>
      </c>
      <c r="H12033" t="s">
        <v>36639</v>
      </c>
      <c r="I12033" t="s">
        <v>36100</v>
      </c>
      <c r="J12033" t="s">
        <v>26166</v>
      </c>
      <c r="K12033" s="2" t="str">
        <f>HYPERLINK("http://collections.slsa.sa.gov.au/mpcimg/73000/B72954.htm")</f>
        <v>http://collections.slsa.sa.gov.au/mpcimg/73000/B72954.htm</v>
      </c>
    </row>
    <row r="12034" spans="1:11" x14ac:dyDescent="0.25">
      <c r="A12034" t="s">
        <v>36641</v>
      </c>
      <c r="B12034" s="1" t="str">
        <f>HYPERLINK("https://www.catalog.slsa.sa.gov.au/record=b2913326")</f>
        <v>https://www.catalog.slsa.sa.gov.au/record=b2913326</v>
      </c>
      <c r="C12034" s="1" t="str">
        <f>HYPERLINK("https://www.catalog.slsa.sa.gov.au/xrecord=b2913326")</f>
        <v>https://www.catalog.slsa.sa.gov.au/xrecord=b2913326</v>
      </c>
      <c r="D12034" t="s">
        <v>31636</v>
      </c>
      <c r="E12034" t="s">
        <v>36638</v>
      </c>
      <c r="F12034">
        <v>2013</v>
      </c>
      <c r="G12034" t="s">
        <v>36642</v>
      </c>
      <c r="H12034" t="s">
        <v>36643</v>
      </c>
      <c r="I12034" t="s">
        <v>36100</v>
      </c>
      <c r="J12034" t="s">
        <v>26166</v>
      </c>
      <c r="K12034" s="2" t="str">
        <f>HYPERLINK("http://collections.slsa.sa.gov.au/mpcimg/73000/B72955.htm")</f>
        <v>http://collections.slsa.sa.gov.au/mpcimg/73000/B72955.htm</v>
      </c>
    </row>
    <row r="12035" spans="1:11" x14ac:dyDescent="0.25">
      <c r="A12035" t="s">
        <v>36644</v>
      </c>
      <c r="B12035" s="1" t="str">
        <f>HYPERLINK("https://www.catalog.slsa.sa.gov.au/record=b2913330")</f>
        <v>https://www.catalog.slsa.sa.gov.au/record=b2913330</v>
      </c>
      <c r="C12035" s="1" t="str">
        <f>HYPERLINK("https://www.catalog.slsa.sa.gov.au/xrecord=b2913330")</f>
        <v>https://www.catalog.slsa.sa.gov.au/xrecord=b2913330</v>
      </c>
      <c r="D12035" t="s">
        <v>31636</v>
      </c>
      <c r="E12035" t="s">
        <v>36638</v>
      </c>
      <c r="F12035">
        <v>2013</v>
      </c>
      <c r="G12035" t="s">
        <v>36642</v>
      </c>
      <c r="H12035" t="s">
        <v>36645</v>
      </c>
      <c r="I12035" t="s">
        <v>36100</v>
      </c>
      <c r="J12035" t="s">
        <v>26166</v>
      </c>
      <c r="K12035" s="2" t="str">
        <f>HYPERLINK("http://collections.slsa.sa.gov.au/mpcimg/73000/B72956.htm")</f>
        <v>http://collections.slsa.sa.gov.au/mpcimg/73000/B72956.htm</v>
      </c>
    </row>
    <row r="12036" spans="1:11" x14ac:dyDescent="0.25">
      <c r="A12036" t="s">
        <v>36646</v>
      </c>
      <c r="B12036" s="1" t="str">
        <f>HYPERLINK("https://www.catalog.slsa.sa.gov.au/record=b2913339")</f>
        <v>https://www.catalog.slsa.sa.gov.au/record=b2913339</v>
      </c>
      <c r="C12036" s="1" t="str">
        <f>HYPERLINK("https://www.catalog.slsa.sa.gov.au/xrecord=b2913339")</f>
        <v>https://www.catalog.slsa.sa.gov.au/xrecord=b2913339</v>
      </c>
      <c r="D12036" t="s">
        <v>31636</v>
      </c>
      <c r="E12036" t="s">
        <v>36638</v>
      </c>
      <c r="F12036">
        <v>2013</v>
      </c>
      <c r="G12036" t="s">
        <v>36223</v>
      </c>
      <c r="H12036" t="s">
        <v>36647</v>
      </c>
      <c r="I12036" t="s">
        <v>36100</v>
      </c>
      <c r="J12036" t="s">
        <v>26166</v>
      </c>
      <c r="K12036" s="2" t="str">
        <f>HYPERLINK("http://collections.slsa.sa.gov.au/mpcimg/73000/B72957.htm")</f>
        <v>http://collections.slsa.sa.gov.au/mpcimg/73000/B72957.htm</v>
      </c>
    </row>
    <row r="12037" spans="1:11" x14ac:dyDescent="0.25">
      <c r="A12037" t="s">
        <v>36648</v>
      </c>
      <c r="B12037" s="1" t="str">
        <f>HYPERLINK("https://www.catalog.slsa.sa.gov.au/record=b2913341")</f>
        <v>https://www.catalog.slsa.sa.gov.au/record=b2913341</v>
      </c>
      <c r="C12037" s="1" t="str">
        <f>HYPERLINK("https://www.catalog.slsa.sa.gov.au/xrecord=b2913341")</f>
        <v>https://www.catalog.slsa.sa.gov.au/xrecord=b2913341</v>
      </c>
      <c r="D12037" t="s">
        <v>31636</v>
      </c>
      <c r="E12037" t="s">
        <v>36649</v>
      </c>
      <c r="F12037">
        <v>2013</v>
      </c>
      <c r="G12037" t="s">
        <v>36223</v>
      </c>
      <c r="H12037" t="s">
        <v>36650</v>
      </c>
      <c r="I12037" t="s">
        <v>36100</v>
      </c>
      <c r="J12037" t="s">
        <v>26166</v>
      </c>
      <c r="K12037" s="2" t="str">
        <f>HYPERLINK("http://collections.slsa.sa.gov.au/mpcimg/73000/B72958.htm")</f>
        <v>http://collections.slsa.sa.gov.au/mpcimg/73000/B72958.htm</v>
      </c>
    </row>
    <row r="12038" spans="1:11" x14ac:dyDescent="0.25">
      <c r="A12038" t="s">
        <v>36651</v>
      </c>
      <c r="B12038" s="1" t="str">
        <f>HYPERLINK("https://www.catalog.slsa.sa.gov.au/record=b2913343")</f>
        <v>https://www.catalog.slsa.sa.gov.au/record=b2913343</v>
      </c>
      <c r="C12038" s="1" t="str">
        <f>HYPERLINK("https://www.catalog.slsa.sa.gov.au/xrecord=b2913343")</f>
        <v>https://www.catalog.slsa.sa.gov.au/xrecord=b2913343</v>
      </c>
      <c r="D12038" t="s">
        <v>31636</v>
      </c>
      <c r="E12038" t="s">
        <v>36649</v>
      </c>
      <c r="F12038">
        <v>2013</v>
      </c>
      <c r="G12038" t="s">
        <v>36218</v>
      </c>
      <c r="H12038" t="s">
        <v>36652</v>
      </c>
      <c r="I12038" t="s">
        <v>36100</v>
      </c>
      <c r="J12038" t="s">
        <v>26166</v>
      </c>
      <c r="K12038" s="2" t="str">
        <f>HYPERLINK("http://collections.slsa.sa.gov.au/mpcimg/73000/B72960.htm")</f>
        <v>http://collections.slsa.sa.gov.au/mpcimg/73000/B72960.htm</v>
      </c>
    </row>
    <row r="12039" spans="1:11" x14ac:dyDescent="0.25">
      <c r="A12039" t="s">
        <v>36653</v>
      </c>
      <c r="B12039" s="1" t="str">
        <f>HYPERLINK("https://www.catalog.slsa.sa.gov.au/record=b2913345")</f>
        <v>https://www.catalog.slsa.sa.gov.au/record=b2913345</v>
      </c>
      <c r="C12039" s="1" t="str">
        <f>HYPERLINK("https://www.catalog.slsa.sa.gov.au/xrecord=b2913345")</f>
        <v>https://www.catalog.slsa.sa.gov.au/xrecord=b2913345</v>
      </c>
      <c r="D12039" t="s">
        <v>31636</v>
      </c>
      <c r="E12039" t="s">
        <v>36649</v>
      </c>
      <c r="F12039">
        <v>2013</v>
      </c>
      <c r="G12039" t="s">
        <v>36218</v>
      </c>
      <c r="H12039" t="s">
        <v>36652</v>
      </c>
      <c r="I12039" t="s">
        <v>36100</v>
      </c>
      <c r="J12039" t="s">
        <v>26166</v>
      </c>
      <c r="K12039" s="2" t="str">
        <f>HYPERLINK("http://collections.slsa.sa.gov.au/mpcimg/73000/B72959.htm")</f>
        <v>http://collections.slsa.sa.gov.au/mpcimg/73000/B72959.htm</v>
      </c>
    </row>
    <row r="12040" spans="1:11" x14ac:dyDescent="0.25">
      <c r="A12040" t="s">
        <v>36654</v>
      </c>
      <c r="B12040" s="1" t="str">
        <f>HYPERLINK("https://www.catalog.slsa.sa.gov.au/record=b2913346")</f>
        <v>https://www.catalog.slsa.sa.gov.au/record=b2913346</v>
      </c>
      <c r="C12040" s="1" t="str">
        <f>HYPERLINK("https://www.catalog.slsa.sa.gov.au/xrecord=b2913346")</f>
        <v>https://www.catalog.slsa.sa.gov.au/xrecord=b2913346</v>
      </c>
      <c r="D12040" t="s">
        <v>31636</v>
      </c>
      <c r="E12040" t="s">
        <v>36649</v>
      </c>
      <c r="F12040">
        <v>2013</v>
      </c>
      <c r="G12040" t="s">
        <v>36218</v>
      </c>
      <c r="H12040" t="s">
        <v>36652</v>
      </c>
      <c r="I12040" t="s">
        <v>36100</v>
      </c>
      <c r="J12040" t="s">
        <v>26166</v>
      </c>
      <c r="K12040" s="2" t="str">
        <f>HYPERLINK("http://collections.slsa.sa.gov.au/mpcimg/73000/B72961.htm")</f>
        <v>http://collections.slsa.sa.gov.au/mpcimg/73000/B72961.htm</v>
      </c>
    </row>
    <row r="12041" spans="1:11" x14ac:dyDescent="0.25">
      <c r="A12041" t="s">
        <v>36655</v>
      </c>
      <c r="B12041" s="1" t="str">
        <f>HYPERLINK("https://www.catalog.slsa.sa.gov.au/record=b2913348")</f>
        <v>https://www.catalog.slsa.sa.gov.au/record=b2913348</v>
      </c>
      <c r="C12041" s="1" t="str">
        <f>HYPERLINK("https://www.catalog.slsa.sa.gov.au/xrecord=b2913348")</f>
        <v>https://www.catalog.slsa.sa.gov.au/xrecord=b2913348</v>
      </c>
      <c r="D12041" t="s">
        <v>31636</v>
      </c>
      <c r="E12041" t="s">
        <v>36656</v>
      </c>
      <c r="F12041">
        <v>2013</v>
      </c>
      <c r="G12041" t="s">
        <v>36218</v>
      </c>
      <c r="H12041" t="s">
        <v>36657</v>
      </c>
      <c r="I12041" t="s">
        <v>36100</v>
      </c>
      <c r="J12041" t="s">
        <v>16871</v>
      </c>
      <c r="K12041" s="2" t="str">
        <f>HYPERLINK("http://collections.slsa.sa.gov.au/mpcimg/73000/B72962.htm")</f>
        <v>http://collections.slsa.sa.gov.au/mpcimg/73000/B72962.htm</v>
      </c>
    </row>
    <row r="12042" spans="1:11" x14ac:dyDescent="0.25">
      <c r="A12042" t="s">
        <v>36658</v>
      </c>
      <c r="B12042" s="1" t="str">
        <f>HYPERLINK("https://www.catalog.slsa.sa.gov.au/record=b2913350")</f>
        <v>https://www.catalog.slsa.sa.gov.au/record=b2913350</v>
      </c>
      <c r="C12042" s="1" t="str">
        <f>HYPERLINK("https://www.catalog.slsa.sa.gov.au/xrecord=b2913350")</f>
        <v>https://www.catalog.slsa.sa.gov.au/xrecord=b2913350</v>
      </c>
      <c r="D12042" t="s">
        <v>31636</v>
      </c>
      <c r="E12042" t="s">
        <v>36656</v>
      </c>
      <c r="F12042">
        <v>2013</v>
      </c>
      <c r="G12042" t="s">
        <v>36218</v>
      </c>
      <c r="H12042" t="s">
        <v>36659</v>
      </c>
      <c r="I12042" t="s">
        <v>36100</v>
      </c>
      <c r="J12042" t="s">
        <v>16871</v>
      </c>
      <c r="K12042" s="2" t="str">
        <f>HYPERLINK("http://collections.slsa.sa.gov.au/mpcimg/73000/B72963.htm")</f>
        <v>http://collections.slsa.sa.gov.au/mpcimg/73000/B72963.htm</v>
      </c>
    </row>
    <row r="12043" spans="1:11" x14ac:dyDescent="0.25">
      <c r="A12043" t="s">
        <v>36660</v>
      </c>
      <c r="B12043" s="1" t="str">
        <f>HYPERLINK("https://www.catalog.slsa.sa.gov.au/record=b2913369")</f>
        <v>https://www.catalog.slsa.sa.gov.au/record=b2913369</v>
      </c>
      <c r="C12043" s="1" t="str">
        <f>HYPERLINK("https://www.catalog.slsa.sa.gov.au/xrecord=b2913369")</f>
        <v>https://www.catalog.slsa.sa.gov.au/xrecord=b2913369</v>
      </c>
      <c r="D12043" t="s">
        <v>31636</v>
      </c>
      <c r="E12043" t="s">
        <v>36661</v>
      </c>
      <c r="F12043">
        <v>2013</v>
      </c>
      <c r="G12043" t="s">
        <v>36223</v>
      </c>
      <c r="H12043" t="s">
        <v>36662</v>
      </c>
      <c r="I12043" t="s">
        <v>36100</v>
      </c>
      <c r="J12043" t="s">
        <v>26166</v>
      </c>
      <c r="K12043" s="2" t="str">
        <f>HYPERLINK("http://collections.slsa.sa.gov.au/mpcimg/73000/B72964.htm")</f>
        <v>http://collections.slsa.sa.gov.au/mpcimg/73000/B72964.htm</v>
      </c>
    </row>
    <row r="12044" spans="1:11" x14ac:dyDescent="0.25">
      <c r="A12044" t="s">
        <v>36663</v>
      </c>
      <c r="B12044" s="1" t="str">
        <f>HYPERLINK("https://www.catalog.slsa.sa.gov.au/record=b2913371")</f>
        <v>https://www.catalog.slsa.sa.gov.au/record=b2913371</v>
      </c>
      <c r="C12044" s="1" t="str">
        <f>HYPERLINK("https://www.catalog.slsa.sa.gov.au/xrecord=b2913371")</f>
        <v>https://www.catalog.slsa.sa.gov.au/xrecord=b2913371</v>
      </c>
      <c r="D12044" t="s">
        <v>31636</v>
      </c>
      <c r="E12044" t="s">
        <v>36664</v>
      </c>
      <c r="F12044">
        <v>2013</v>
      </c>
      <c r="G12044" t="s">
        <v>36223</v>
      </c>
      <c r="H12044" t="s">
        <v>36665</v>
      </c>
      <c r="I12044" t="s">
        <v>36666</v>
      </c>
      <c r="J12044" t="s">
        <v>26166</v>
      </c>
      <c r="K12044" s="2" t="str">
        <f>HYPERLINK("http://collections.slsa.sa.gov.au/mpcimg/73000/B72965.htm")</f>
        <v>http://collections.slsa.sa.gov.au/mpcimg/73000/B72965.htm</v>
      </c>
    </row>
    <row r="12045" spans="1:11" x14ac:dyDescent="0.25">
      <c r="A12045" t="s">
        <v>36667</v>
      </c>
      <c r="B12045" s="1" t="str">
        <f>HYPERLINK("https://www.catalog.slsa.sa.gov.au/record=b2913372")</f>
        <v>https://www.catalog.slsa.sa.gov.au/record=b2913372</v>
      </c>
      <c r="C12045" s="1" t="str">
        <f>HYPERLINK("https://www.catalog.slsa.sa.gov.au/xrecord=b2913372")</f>
        <v>https://www.catalog.slsa.sa.gov.au/xrecord=b2913372</v>
      </c>
      <c r="D12045" t="s">
        <v>31636</v>
      </c>
      <c r="E12045" t="s">
        <v>36668</v>
      </c>
      <c r="F12045">
        <v>2013</v>
      </c>
      <c r="G12045" t="s">
        <v>36223</v>
      </c>
      <c r="H12045" t="s">
        <v>36669</v>
      </c>
      <c r="I12045" t="s">
        <v>36670</v>
      </c>
      <c r="J12045" t="s">
        <v>26166</v>
      </c>
      <c r="K12045" s="2" t="str">
        <f>HYPERLINK("http://collections.slsa.sa.gov.au/mpcimg/73000/B72966.htm")</f>
        <v>http://collections.slsa.sa.gov.au/mpcimg/73000/B72966.htm</v>
      </c>
    </row>
    <row r="12046" spans="1:11" x14ac:dyDescent="0.25">
      <c r="A12046" t="s">
        <v>36671</v>
      </c>
      <c r="B12046" s="1" t="str">
        <f>HYPERLINK("https://www.catalog.slsa.sa.gov.au/record=b2913373")</f>
        <v>https://www.catalog.slsa.sa.gov.au/record=b2913373</v>
      </c>
      <c r="C12046" s="1" t="str">
        <f>HYPERLINK("https://www.catalog.slsa.sa.gov.au/xrecord=b2913373")</f>
        <v>https://www.catalog.slsa.sa.gov.au/xrecord=b2913373</v>
      </c>
      <c r="D12046" t="s">
        <v>31636</v>
      </c>
      <c r="E12046" t="s">
        <v>36672</v>
      </c>
      <c r="F12046">
        <v>2013</v>
      </c>
      <c r="G12046" t="s">
        <v>36223</v>
      </c>
      <c r="H12046" t="s">
        <v>36673</v>
      </c>
      <c r="I12046" t="s">
        <v>36674</v>
      </c>
      <c r="J12046" t="s">
        <v>26166</v>
      </c>
      <c r="K12046" s="2" t="str">
        <f>HYPERLINK("http://collections.slsa.sa.gov.au/mpcimg/73000/B72967.htm")</f>
        <v>http://collections.slsa.sa.gov.au/mpcimg/73000/B72967.htm</v>
      </c>
    </row>
    <row r="12047" spans="1:11" x14ac:dyDescent="0.25">
      <c r="A12047" t="s">
        <v>36675</v>
      </c>
      <c r="B12047" s="1" t="str">
        <f>HYPERLINK("https://www.catalog.slsa.sa.gov.au/record=b2913374")</f>
        <v>https://www.catalog.slsa.sa.gov.au/record=b2913374</v>
      </c>
      <c r="C12047" s="1" t="str">
        <f>HYPERLINK("https://www.catalog.slsa.sa.gov.au/xrecord=b2913374")</f>
        <v>https://www.catalog.slsa.sa.gov.au/xrecord=b2913374</v>
      </c>
      <c r="D12047" t="s">
        <v>31636</v>
      </c>
      <c r="E12047" t="s">
        <v>36676</v>
      </c>
      <c r="F12047">
        <v>2013</v>
      </c>
      <c r="G12047" t="s">
        <v>36223</v>
      </c>
      <c r="H12047" t="s">
        <v>36677</v>
      </c>
      <c r="I12047" t="s">
        <v>36678</v>
      </c>
      <c r="J12047" t="s">
        <v>26166</v>
      </c>
      <c r="K12047" s="2" t="str">
        <f>HYPERLINK("http://collections.slsa.sa.gov.au/mpcimg/73000/B72968.htm")</f>
        <v>http://collections.slsa.sa.gov.au/mpcimg/73000/B72968.htm</v>
      </c>
    </row>
    <row r="12048" spans="1:11" x14ac:dyDescent="0.25">
      <c r="A12048" t="s">
        <v>36679</v>
      </c>
      <c r="B12048" s="1" t="str">
        <f>HYPERLINK("https://www.catalog.slsa.sa.gov.au/record=b2913375")</f>
        <v>https://www.catalog.slsa.sa.gov.au/record=b2913375</v>
      </c>
      <c r="C12048" s="1" t="str">
        <f>HYPERLINK("https://www.catalog.slsa.sa.gov.au/xrecord=b2913375")</f>
        <v>https://www.catalog.slsa.sa.gov.au/xrecord=b2913375</v>
      </c>
      <c r="D12048" t="s">
        <v>31636</v>
      </c>
      <c r="E12048" t="s">
        <v>36680</v>
      </c>
      <c r="F12048">
        <v>2013</v>
      </c>
      <c r="G12048" t="s">
        <v>36223</v>
      </c>
      <c r="H12048" t="s">
        <v>36681</v>
      </c>
      <c r="I12048" t="s">
        <v>36682</v>
      </c>
      <c r="J12048" t="s">
        <v>26166</v>
      </c>
      <c r="K12048" s="2" t="str">
        <f>HYPERLINK("http://collections.slsa.sa.gov.au/mpcimg/73000/B72969.htm")</f>
        <v>http://collections.slsa.sa.gov.au/mpcimg/73000/B72969.htm</v>
      </c>
    </row>
    <row r="12049" spans="1:11" x14ac:dyDescent="0.25">
      <c r="A12049" t="s">
        <v>36683</v>
      </c>
      <c r="B12049" s="1" t="str">
        <f>HYPERLINK("https://www.catalog.slsa.sa.gov.au/record=b2913377")</f>
        <v>https://www.catalog.slsa.sa.gov.au/record=b2913377</v>
      </c>
      <c r="C12049" s="1" t="str">
        <f>HYPERLINK("https://www.catalog.slsa.sa.gov.au/xrecord=b2913377")</f>
        <v>https://www.catalog.slsa.sa.gov.au/xrecord=b2913377</v>
      </c>
      <c r="D12049" t="s">
        <v>31636</v>
      </c>
      <c r="E12049" t="s">
        <v>36684</v>
      </c>
      <c r="F12049">
        <v>2013</v>
      </c>
      <c r="G12049" t="s">
        <v>36685</v>
      </c>
      <c r="H12049" t="s">
        <v>36686</v>
      </c>
      <c r="I12049" t="s">
        <v>36687</v>
      </c>
      <c r="J12049" t="s">
        <v>26166</v>
      </c>
      <c r="K12049" s="2" t="str">
        <f>HYPERLINK("http://collections.slsa.sa.gov.au/mpcimg/73000/B72970.htm")</f>
        <v>http://collections.slsa.sa.gov.au/mpcimg/73000/B72970.htm</v>
      </c>
    </row>
    <row r="12050" spans="1:11" x14ac:dyDescent="0.25">
      <c r="A12050" t="s">
        <v>36688</v>
      </c>
      <c r="B12050" s="1" t="str">
        <f>HYPERLINK("https://www.catalog.slsa.sa.gov.au/record=b2913378")</f>
        <v>https://www.catalog.slsa.sa.gov.au/record=b2913378</v>
      </c>
      <c r="C12050" s="1" t="str">
        <f>HYPERLINK("https://www.catalog.slsa.sa.gov.au/xrecord=b2913378")</f>
        <v>https://www.catalog.slsa.sa.gov.au/xrecord=b2913378</v>
      </c>
      <c r="D12050" t="s">
        <v>31636</v>
      </c>
      <c r="E12050" t="s">
        <v>36689</v>
      </c>
      <c r="F12050">
        <v>2013</v>
      </c>
      <c r="G12050" t="s">
        <v>36218</v>
      </c>
      <c r="H12050" t="s">
        <v>36690</v>
      </c>
      <c r="I12050" t="s">
        <v>36691</v>
      </c>
      <c r="J12050" t="s">
        <v>26166</v>
      </c>
      <c r="K12050" s="2" t="str">
        <f>HYPERLINK("http://collections.slsa.sa.gov.au/mpcimg/73000/B72971.htm")</f>
        <v>http://collections.slsa.sa.gov.au/mpcimg/73000/B72971.htm</v>
      </c>
    </row>
    <row r="12051" spans="1:11" x14ac:dyDescent="0.25">
      <c r="A12051" t="s">
        <v>36692</v>
      </c>
      <c r="B12051" s="1" t="str">
        <f>HYPERLINK("https://www.catalog.slsa.sa.gov.au/record=b2913379")</f>
        <v>https://www.catalog.slsa.sa.gov.au/record=b2913379</v>
      </c>
      <c r="C12051" s="1" t="str">
        <f>HYPERLINK("https://www.catalog.slsa.sa.gov.au/xrecord=b2913379")</f>
        <v>https://www.catalog.slsa.sa.gov.au/xrecord=b2913379</v>
      </c>
      <c r="D12051" t="s">
        <v>31636</v>
      </c>
      <c r="E12051" t="s">
        <v>36693</v>
      </c>
      <c r="F12051">
        <v>2013</v>
      </c>
      <c r="G12051" t="s">
        <v>36218</v>
      </c>
      <c r="H12051" t="s">
        <v>36694</v>
      </c>
      <c r="I12051" t="s">
        <v>36695</v>
      </c>
      <c r="J12051" t="s">
        <v>26166</v>
      </c>
      <c r="K12051" s="2" t="str">
        <f>HYPERLINK("http://collections.slsa.sa.gov.au/mpcimg/73000/B72972.htm")</f>
        <v>http://collections.slsa.sa.gov.au/mpcimg/73000/B72972.htm</v>
      </c>
    </row>
    <row r="12052" spans="1:11" x14ac:dyDescent="0.25">
      <c r="A12052" t="s">
        <v>36696</v>
      </c>
      <c r="B12052" s="1" t="str">
        <f>HYPERLINK("https://www.catalog.slsa.sa.gov.au/record=b2913384")</f>
        <v>https://www.catalog.slsa.sa.gov.au/record=b2913384</v>
      </c>
      <c r="C12052" s="1" t="str">
        <f>HYPERLINK("https://www.catalog.slsa.sa.gov.au/xrecord=b2913384")</f>
        <v>https://www.catalog.slsa.sa.gov.au/xrecord=b2913384</v>
      </c>
      <c r="D12052" t="s">
        <v>31636</v>
      </c>
      <c r="E12052" t="s">
        <v>36697</v>
      </c>
      <c r="F12052">
        <v>2013</v>
      </c>
      <c r="G12052" t="s">
        <v>36218</v>
      </c>
      <c r="H12052" t="s">
        <v>36698</v>
      </c>
      <c r="I12052" t="s">
        <v>36100</v>
      </c>
      <c r="J12052" t="s">
        <v>26166</v>
      </c>
      <c r="K12052" s="2" t="str">
        <f>HYPERLINK("http://collections.slsa.sa.gov.au/mpcimg/73000/B72973.htm")</f>
        <v>http://collections.slsa.sa.gov.au/mpcimg/73000/B72973.htm</v>
      </c>
    </row>
    <row r="12053" spans="1:11" x14ac:dyDescent="0.25">
      <c r="A12053" t="s">
        <v>36699</v>
      </c>
      <c r="B12053" s="1" t="str">
        <f>HYPERLINK("https://www.catalog.slsa.sa.gov.au/record=b2913389")</f>
        <v>https://www.catalog.slsa.sa.gov.au/record=b2913389</v>
      </c>
      <c r="C12053" s="1" t="str">
        <f>HYPERLINK("https://www.catalog.slsa.sa.gov.au/xrecord=b2913389")</f>
        <v>https://www.catalog.slsa.sa.gov.au/xrecord=b2913389</v>
      </c>
      <c r="D12053" t="s">
        <v>31636</v>
      </c>
      <c r="E12053" t="s">
        <v>36700</v>
      </c>
      <c r="F12053">
        <v>2013</v>
      </c>
      <c r="G12053" t="s">
        <v>36701</v>
      </c>
      <c r="H12053" t="s">
        <v>36702</v>
      </c>
      <c r="I12053" t="s">
        <v>36703</v>
      </c>
      <c r="J12053" t="s">
        <v>36704</v>
      </c>
      <c r="K12053" s="2" t="str">
        <f>HYPERLINK("http://collections.slsa.sa.gov.au/mpcimg/73000/B72977.htm")</f>
        <v>http://collections.slsa.sa.gov.au/mpcimg/73000/B72977.htm</v>
      </c>
    </row>
    <row r="12054" spans="1:11" x14ac:dyDescent="0.25">
      <c r="A12054" t="s">
        <v>36705</v>
      </c>
      <c r="B12054" s="1" t="str">
        <f>HYPERLINK("https://www.catalog.slsa.sa.gov.au/record=b2913393")</f>
        <v>https://www.catalog.slsa.sa.gov.au/record=b2913393</v>
      </c>
      <c r="C12054" s="1" t="str">
        <f>HYPERLINK("https://www.catalog.slsa.sa.gov.au/xrecord=b2913393")</f>
        <v>https://www.catalog.slsa.sa.gov.au/xrecord=b2913393</v>
      </c>
      <c r="D12054" t="s">
        <v>31636</v>
      </c>
      <c r="E12054" t="s">
        <v>36700</v>
      </c>
      <c r="F12054">
        <v>2013</v>
      </c>
      <c r="G12054" t="s">
        <v>36706</v>
      </c>
      <c r="H12054" t="s">
        <v>36707</v>
      </c>
      <c r="I12054" t="s">
        <v>36703</v>
      </c>
      <c r="J12054" t="s">
        <v>36704</v>
      </c>
      <c r="K12054" s="2" t="str">
        <f>HYPERLINK("http://collections.slsa.sa.gov.au/mpcimg/73000/B72978.htm")</f>
        <v>http://collections.slsa.sa.gov.au/mpcimg/73000/B72978.htm</v>
      </c>
    </row>
    <row r="12055" spans="1:11" x14ac:dyDescent="0.25">
      <c r="A12055" t="s">
        <v>36708</v>
      </c>
      <c r="B12055" s="1" t="str">
        <f>HYPERLINK("https://www.catalog.slsa.sa.gov.au/record=b2913405")</f>
        <v>https://www.catalog.slsa.sa.gov.au/record=b2913405</v>
      </c>
      <c r="C12055" s="1" t="str">
        <f>HYPERLINK("https://www.catalog.slsa.sa.gov.au/xrecord=b2913405")</f>
        <v>https://www.catalog.slsa.sa.gov.au/xrecord=b2913405</v>
      </c>
      <c r="D12055" t="s">
        <v>31636</v>
      </c>
      <c r="E12055" t="s">
        <v>36700</v>
      </c>
      <c r="F12055">
        <v>2013</v>
      </c>
      <c r="G12055" t="s">
        <v>36218</v>
      </c>
      <c r="H12055" t="s">
        <v>36709</v>
      </c>
      <c r="I12055" t="s">
        <v>36710</v>
      </c>
      <c r="J12055" t="s">
        <v>36704</v>
      </c>
      <c r="K12055" s="2" t="str">
        <f>HYPERLINK("http://collections.slsa.sa.gov.au/mpcimg/73000/B72979.htm")</f>
        <v>http://collections.slsa.sa.gov.au/mpcimg/73000/B72979.htm</v>
      </c>
    </row>
    <row r="12056" spans="1:11" x14ac:dyDescent="0.25">
      <c r="A12056" t="s">
        <v>36711</v>
      </c>
      <c r="B12056" s="1" t="str">
        <f>HYPERLINK("https://www.catalog.slsa.sa.gov.au/record=b2913414")</f>
        <v>https://www.catalog.slsa.sa.gov.au/record=b2913414</v>
      </c>
      <c r="C12056" s="1" t="str">
        <f>HYPERLINK("https://www.catalog.slsa.sa.gov.au/xrecord=b2913414")</f>
        <v>https://www.catalog.slsa.sa.gov.au/xrecord=b2913414</v>
      </c>
      <c r="D12056" t="s">
        <v>31636</v>
      </c>
      <c r="E12056" t="s">
        <v>36700</v>
      </c>
      <c r="F12056">
        <v>2013</v>
      </c>
      <c r="G12056" t="s">
        <v>36218</v>
      </c>
      <c r="H12056" t="s">
        <v>36712</v>
      </c>
      <c r="I12056" t="s">
        <v>36713</v>
      </c>
      <c r="J12056" t="s">
        <v>36704</v>
      </c>
      <c r="K12056" s="2" t="str">
        <f>HYPERLINK("http://collections.slsa.sa.gov.au/mpcimg/73000/B72980.htm")</f>
        <v>http://collections.slsa.sa.gov.au/mpcimg/73000/B72980.htm</v>
      </c>
    </row>
    <row r="12057" spans="1:11" x14ac:dyDescent="0.25">
      <c r="A12057" t="s">
        <v>36714</v>
      </c>
      <c r="B12057" s="1" t="str">
        <f>HYPERLINK("https://www.catalog.slsa.sa.gov.au/record=b2913416")</f>
        <v>https://www.catalog.slsa.sa.gov.au/record=b2913416</v>
      </c>
      <c r="C12057" s="1" t="str">
        <f>HYPERLINK("https://www.catalog.slsa.sa.gov.au/xrecord=b2913416")</f>
        <v>https://www.catalog.slsa.sa.gov.au/xrecord=b2913416</v>
      </c>
      <c r="D12057" t="s">
        <v>31636</v>
      </c>
      <c r="E12057" t="s">
        <v>36715</v>
      </c>
      <c r="F12057">
        <v>2013</v>
      </c>
      <c r="G12057" t="s">
        <v>36218</v>
      </c>
      <c r="H12057" t="s">
        <v>36716</v>
      </c>
      <c r="I12057" t="s">
        <v>36717</v>
      </c>
      <c r="J12057" t="s">
        <v>36718</v>
      </c>
      <c r="K12057" s="2" t="str">
        <f>HYPERLINK("http://collections.slsa.sa.gov.au/mpcimg/73000/B72981.htm")</f>
        <v>http://collections.slsa.sa.gov.au/mpcimg/73000/B72981.htm</v>
      </c>
    </row>
    <row r="12058" spans="1:11" x14ac:dyDescent="0.25">
      <c r="A12058" t="s">
        <v>36719</v>
      </c>
      <c r="B12058" s="1" t="str">
        <f>HYPERLINK("https://www.catalog.slsa.sa.gov.au/record=b2913418")</f>
        <v>https://www.catalog.slsa.sa.gov.au/record=b2913418</v>
      </c>
      <c r="C12058" s="1" t="str">
        <f>HYPERLINK("https://www.catalog.slsa.sa.gov.au/xrecord=b2913418")</f>
        <v>https://www.catalog.slsa.sa.gov.au/xrecord=b2913418</v>
      </c>
      <c r="D12058" t="s">
        <v>31636</v>
      </c>
      <c r="E12058" t="s">
        <v>36720</v>
      </c>
      <c r="F12058">
        <v>2013</v>
      </c>
      <c r="G12058" t="s">
        <v>36218</v>
      </c>
      <c r="H12058" t="s">
        <v>36721</v>
      </c>
      <c r="I12058" t="s">
        <v>36100</v>
      </c>
      <c r="J12058" t="s">
        <v>5381</v>
      </c>
      <c r="K12058" s="2" t="str">
        <f>HYPERLINK("http://collections.slsa.sa.gov.au/mpcimg/73000/B72982.htm")</f>
        <v>http://collections.slsa.sa.gov.au/mpcimg/73000/B72982.htm</v>
      </c>
    </row>
    <row r="12059" spans="1:11" x14ac:dyDescent="0.25">
      <c r="A12059" t="s">
        <v>36722</v>
      </c>
      <c r="B12059" s="1" t="str">
        <f>HYPERLINK("https://www.catalog.slsa.sa.gov.au/record=b2913470")</f>
        <v>https://www.catalog.slsa.sa.gov.au/record=b2913470</v>
      </c>
      <c r="C12059" s="1" t="str">
        <f>HYPERLINK("https://www.catalog.slsa.sa.gov.au/xrecord=b2913470")</f>
        <v>https://www.catalog.slsa.sa.gov.au/xrecord=b2913470</v>
      </c>
      <c r="D12059" t="s">
        <v>31636</v>
      </c>
      <c r="E12059" t="s">
        <v>36723</v>
      </c>
      <c r="F12059">
        <v>2013</v>
      </c>
      <c r="G12059" t="s">
        <v>36218</v>
      </c>
      <c r="H12059" t="s">
        <v>36724</v>
      </c>
      <c r="I12059" t="s">
        <v>36100</v>
      </c>
      <c r="J12059" t="s">
        <v>26166</v>
      </c>
      <c r="K12059" s="2" t="str">
        <f>HYPERLINK("http://collections.slsa.sa.gov.au/mpcimg/73000/B72974.htm")</f>
        <v>http://collections.slsa.sa.gov.au/mpcimg/73000/B72974.htm</v>
      </c>
    </row>
    <row r="12060" spans="1:11" x14ac:dyDescent="0.25">
      <c r="A12060" t="s">
        <v>36725</v>
      </c>
      <c r="B12060" s="1" t="str">
        <f>HYPERLINK("https://www.catalog.slsa.sa.gov.au/record=b2916310")</f>
        <v>https://www.catalog.slsa.sa.gov.au/record=b2916310</v>
      </c>
      <c r="C12060" s="1" t="str">
        <f>HYPERLINK("https://www.catalog.slsa.sa.gov.au/xrecord=b2916310")</f>
        <v>https://www.catalog.slsa.sa.gov.au/xrecord=b2916310</v>
      </c>
      <c r="D12060" t="s">
        <v>36726</v>
      </c>
      <c r="E12060" t="s">
        <v>36727</v>
      </c>
      <c r="F12060">
        <v>2013</v>
      </c>
      <c r="G12060" t="s">
        <v>36728</v>
      </c>
      <c r="H12060" t="s">
        <v>36729</v>
      </c>
      <c r="I12060" t="s">
        <v>36730</v>
      </c>
      <c r="J12060" t="s">
        <v>36731</v>
      </c>
      <c r="K12060" s="2" t="str">
        <f>HYPERLINK("http://collections.slsa.sa.gov.au/mpcimg/73250/B73020.htm")</f>
        <v>http://collections.slsa.sa.gov.au/mpcimg/73250/B73020.htm</v>
      </c>
    </row>
    <row r="12061" spans="1:11" x14ac:dyDescent="0.25">
      <c r="A12061" t="s">
        <v>36732</v>
      </c>
      <c r="B12061" s="1" t="str">
        <f>HYPERLINK("https://www.catalog.slsa.sa.gov.au/record=b2916311")</f>
        <v>https://www.catalog.slsa.sa.gov.au/record=b2916311</v>
      </c>
      <c r="C12061" s="1" t="str">
        <f>HYPERLINK("https://www.catalog.slsa.sa.gov.au/xrecord=b2916311")</f>
        <v>https://www.catalog.slsa.sa.gov.au/xrecord=b2916311</v>
      </c>
      <c r="D12061" t="s">
        <v>36726</v>
      </c>
      <c r="E12061" t="s">
        <v>36733</v>
      </c>
      <c r="F12061">
        <v>2013</v>
      </c>
      <c r="G12061" t="s">
        <v>36734</v>
      </c>
      <c r="H12061" t="s">
        <v>36735</v>
      </c>
      <c r="I12061" t="s">
        <v>36730</v>
      </c>
      <c r="J12061" t="s">
        <v>25292</v>
      </c>
      <c r="K12061" s="2" t="str">
        <f>HYPERLINK("http://collections.slsa.sa.gov.au/mpcimg/73250/B73021.htm")</f>
        <v>http://collections.slsa.sa.gov.au/mpcimg/73250/B73021.htm</v>
      </c>
    </row>
    <row r="12062" spans="1:11" x14ac:dyDescent="0.25">
      <c r="A12062" t="s">
        <v>36736</v>
      </c>
      <c r="B12062" s="1" t="str">
        <f>HYPERLINK("https://www.catalog.slsa.sa.gov.au/record=b2916312")</f>
        <v>https://www.catalog.slsa.sa.gov.au/record=b2916312</v>
      </c>
      <c r="C12062" s="1" t="str">
        <f>HYPERLINK("https://www.catalog.slsa.sa.gov.au/xrecord=b2916312")</f>
        <v>https://www.catalog.slsa.sa.gov.au/xrecord=b2916312</v>
      </c>
      <c r="D12062" t="s">
        <v>36726</v>
      </c>
      <c r="E12062" t="s">
        <v>36737</v>
      </c>
      <c r="F12062">
        <v>2013</v>
      </c>
      <c r="G12062" t="s">
        <v>36738</v>
      </c>
      <c r="H12062" t="s">
        <v>36739</v>
      </c>
      <c r="I12062" t="s">
        <v>36740</v>
      </c>
      <c r="J12062" t="s">
        <v>25806</v>
      </c>
      <c r="K12062" s="2" t="str">
        <f>HYPERLINK("http://collections.slsa.sa.gov.au/mpcimg/73250/B73022.htm")</f>
        <v>http://collections.slsa.sa.gov.au/mpcimg/73250/B73022.htm</v>
      </c>
    </row>
    <row r="12063" spans="1:11" x14ac:dyDescent="0.25">
      <c r="A12063" t="s">
        <v>36741</v>
      </c>
      <c r="B12063" s="1" t="str">
        <f>HYPERLINK("https://www.catalog.slsa.sa.gov.au/record=b2916315")</f>
        <v>https://www.catalog.slsa.sa.gov.au/record=b2916315</v>
      </c>
      <c r="C12063" s="1" t="str">
        <f>HYPERLINK("https://www.catalog.slsa.sa.gov.au/xrecord=b2916315")</f>
        <v>https://www.catalog.slsa.sa.gov.au/xrecord=b2916315</v>
      </c>
      <c r="D12063" t="s">
        <v>36726</v>
      </c>
      <c r="E12063" t="s">
        <v>36742</v>
      </c>
      <c r="F12063">
        <v>2013</v>
      </c>
      <c r="G12063" t="s">
        <v>36743</v>
      </c>
      <c r="H12063" t="s">
        <v>36744</v>
      </c>
      <c r="I12063" t="s">
        <v>36745</v>
      </c>
      <c r="J12063" t="s">
        <v>22167</v>
      </c>
      <c r="K12063" s="2" t="str">
        <f>HYPERLINK("http://collections.slsa.sa.gov.au/mpcimg/73250/B73023.htm")</f>
        <v>http://collections.slsa.sa.gov.au/mpcimg/73250/B73023.htm</v>
      </c>
    </row>
    <row r="12064" spans="1:11" x14ac:dyDescent="0.25">
      <c r="A12064" t="s">
        <v>36746</v>
      </c>
      <c r="B12064" s="1" t="str">
        <f>HYPERLINK("https://www.catalog.slsa.sa.gov.au/record=b2916316")</f>
        <v>https://www.catalog.slsa.sa.gov.au/record=b2916316</v>
      </c>
      <c r="C12064" s="1" t="str">
        <f>HYPERLINK("https://www.catalog.slsa.sa.gov.au/xrecord=b2916316")</f>
        <v>https://www.catalog.slsa.sa.gov.au/xrecord=b2916316</v>
      </c>
      <c r="D12064" t="s">
        <v>36726</v>
      </c>
      <c r="E12064" t="s">
        <v>36747</v>
      </c>
      <c r="F12064">
        <v>2013</v>
      </c>
      <c r="G12064" t="s">
        <v>36748</v>
      </c>
      <c r="H12064" t="s">
        <v>36749</v>
      </c>
      <c r="I12064" t="s">
        <v>36730</v>
      </c>
      <c r="J12064" t="s">
        <v>20906</v>
      </c>
      <c r="K12064" s="2" t="str">
        <f>HYPERLINK("http://collections.slsa.sa.gov.au/mpcimg/73250/B73024.htm")</f>
        <v>http://collections.slsa.sa.gov.au/mpcimg/73250/B73024.htm</v>
      </c>
    </row>
    <row r="12065" spans="1:11" x14ac:dyDescent="0.25">
      <c r="A12065" t="s">
        <v>36750</v>
      </c>
      <c r="B12065" s="1" t="str">
        <f>HYPERLINK("https://www.catalog.slsa.sa.gov.au/record=b2916317")</f>
        <v>https://www.catalog.slsa.sa.gov.au/record=b2916317</v>
      </c>
      <c r="C12065" s="1" t="str">
        <f>HYPERLINK("https://www.catalog.slsa.sa.gov.au/xrecord=b2916317")</f>
        <v>https://www.catalog.slsa.sa.gov.au/xrecord=b2916317</v>
      </c>
      <c r="D12065" t="s">
        <v>36726</v>
      </c>
      <c r="E12065" t="s">
        <v>36751</v>
      </c>
      <c r="F12065">
        <v>2013</v>
      </c>
      <c r="G12065" t="s">
        <v>36752</v>
      </c>
      <c r="H12065" t="s">
        <v>36753</v>
      </c>
      <c r="I12065" t="s">
        <v>36754</v>
      </c>
      <c r="J12065" t="s">
        <v>24017</v>
      </c>
      <c r="K12065" s="2" t="str">
        <f>HYPERLINK("http://collections.slsa.sa.gov.au/mpcimg/73250/B73025.htm")</f>
        <v>http://collections.slsa.sa.gov.au/mpcimg/73250/B73025.htm</v>
      </c>
    </row>
    <row r="12066" spans="1:11" x14ac:dyDescent="0.25">
      <c r="A12066" t="s">
        <v>36755</v>
      </c>
      <c r="B12066" s="1" t="str">
        <f>HYPERLINK("https://www.catalog.slsa.sa.gov.au/record=b2916318")</f>
        <v>https://www.catalog.slsa.sa.gov.au/record=b2916318</v>
      </c>
      <c r="C12066" s="1" t="str">
        <f>HYPERLINK("https://www.catalog.slsa.sa.gov.au/xrecord=b2916318")</f>
        <v>https://www.catalog.slsa.sa.gov.au/xrecord=b2916318</v>
      </c>
      <c r="D12066" t="s">
        <v>36726</v>
      </c>
      <c r="E12066" t="s">
        <v>36756</v>
      </c>
      <c r="F12066">
        <v>2013</v>
      </c>
      <c r="G12066" t="s">
        <v>36734</v>
      </c>
      <c r="H12066" t="s">
        <v>36757</v>
      </c>
      <c r="I12066" t="s">
        <v>36758</v>
      </c>
      <c r="J12066" t="s">
        <v>24017</v>
      </c>
      <c r="K12066" s="2" t="str">
        <f>HYPERLINK("http://collections.slsa.sa.gov.au/mpcimg/73250/B73026.htm")</f>
        <v>http://collections.slsa.sa.gov.au/mpcimg/73250/B73026.htm</v>
      </c>
    </row>
    <row r="12067" spans="1:11" x14ac:dyDescent="0.25">
      <c r="A12067" t="s">
        <v>36759</v>
      </c>
      <c r="B12067" s="1" t="str">
        <f>HYPERLINK("https://www.catalog.slsa.sa.gov.au/record=b2916320")</f>
        <v>https://www.catalog.slsa.sa.gov.au/record=b2916320</v>
      </c>
      <c r="C12067" s="1" t="str">
        <f>HYPERLINK("https://www.catalog.slsa.sa.gov.au/xrecord=b2916320")</f>
        <v>https://www.catalog.slsa.sa.gov.au/xrecord=b2916320</v>
      </c>
      <c r="D12067" t="s">
        <v>36726</v>
      </c>
      <c r="E12067" t="s">
        <v>36760</v>
      </c>
      <c r="F12067">
        <v>2013</v>
      </c>
      <c r="G12067" t="s">
        <v>36761</v>
      </c>
      <c r="H12067" t="s">
        <v>36762</v>
      </c>
      <c r="I12067" t="s">
        <v>36758</v>
      </c>
      <c r="J12067" t="s">
        <v>24017</v>
      </c>
      <c r="K12067" s="2" t="str">
        <f>HYPERLINK("http://collections.slsa.sa.gov.au/mpcimg/73250/B73027.htm")</f>
        <v>http://collections.slsa.sa.gov.au/mpcimg/73250/B73027.htm</v>
      </c>
    </row>
    <row r="12068" spans="1:11" x14ac:dyDescent="0.25">
      <c r="A12068" t="s">
        <v>36763</v>
      </c>
      <c r="B12068" s="1" t="str">
        <f>HYPERLINK("https://www.catalog.slsa.sa.gov.au/record=b2916321")</f>
        <v>https://www.catalog.slsa.sa.gov.au/record=b2916321</v>
      </c>
      <c r="C12068" s="1" t="str">
        <f>HYPERLINK("https://www.catalog.slsa.sa.gov.au/xrecord=b2916321")</f>
        <v>https://www.catalog.slsa.sa.gov.au/xrecord=b2916321</v>
      </c>
      <c r="D12068" t="s">
        <v>36726</v>
      </c>
      <c r="E12068" t="s">
        <v>36764</v>
      </c>
      <c r="F12068">
        <v>2013</v>
      </c>
      <c r="G12068" t="s">
        <v>36765</v>
      </c>
      <c r="H12068" t="s">
        <v>36766</v>
      </c>
      <c r="I12068" t="s">
        <v>36730</v>
      </c>
      <c r="J12068" t="s">
        <v>36767</v>
      </c>
      <c r="K12068" s="2" t="str">
        <f>HYPERLINK("http://collections.slsa.sa.gov.au/mpcimg/73250/B73028.htm")</f>
        <v>http://collections.slsa.sa.gov.au/mpcimg/73250/B73028.htm</v>
      </c>
    </row>
    <row r="12069" spans="1:11" x14ac:dyDescent="0.25">
      <c r="A12069" t="s">
        <v>36768</v>
      </c>
      <c r="B12069" s="1" t="str">
        <f>HYPERLINK("https://www.catalog.slsa.sa.gov.au/record=b2916322")</f>
        <v>https://www.catalog.slsa.sa.gov.au/record=b2916322</v>
      </c>
      <c r="C12069" s="1" t="str">
        <f>HYPERLINK("https://www.catalog.slsa.sa.gov.au/xrecord=b2916322")</f>
        <v>https://www.catalog.slsa.sa.gov.au/xrecord=b2916322</v>
      </c>
      <c r="D12069" t="s">
        <v>36726</v>
      </c>
      <c r="E12069" t="s">
        <v>36769</v>
      </c>
      <c r="F12069">
        <v>2013</v>
      </c>
      <c r="G12069" t="s">
        <v>36770</v>
      </c>
      <c r="H12069" t="s">
        <v>36771</v>
      </c>
      <c r="I12069" t="s">
        <v>36730</v>
      </c>
      <c r="J12069" t="s">
        <v>26609</v>
      </c>
      <c r="K12069" s="2" t="str">
        <f>HYPERLINK("http://collections.slsa.sa.gov.au/mpcimg/73250/B73029.htm")</f>
        <v>http://collections.slsa.sa.gov.au/mpcimg/73250/B73029.htm</v>
      </c>
    </row>
    <row r="12070" spans="1:11" x14ac:dyDescent="0.25">
      <c r="A12070" t="s">
        <v>36772</v>
      </c>
      <c r="B12070" s="1" t="str">
        <f>HYPERLINK("https://www.catalog.slsa.sa.gov.au/record=b2916328")</f>
        <v>https://www.catalog.slsa.sa.gov.au/record=b2916328</v>
      </c>
      <c r="C12070" s="1" t="str">
        <f>HYPERLINK("https://www.catalog.slsa.sa.gov.au/xrecord=b2916328")</f>
        <v>https://www.catalog.slsa.sa.gov.au/xrecord=b2916328</v>
      </c>
      <c r="D12070" t="s">
        <v>36726</v>
      </c>
      <c r="E12070" t="s">
        <v>36773</v>
      </c>
      <c r="F12070">
        <v>2013</v>
      </c>
      <c r="G12070" t="s">
        <v>36774</v>
      </c>
      <c r="H12070" t="s">
        <v>36775</v>
      </c>
      <c r="I12070" t="s">
        <v>36730</v>
      </c>
      <c r="J12070" t="s">
        <v>31804</v>
      </c>
      <c r="K12070" s="2" t="str">
        <f>HYPERLINK("http://collections.slsa.sa.gov.au/mpcimg/73250/B73030.htm")</f>
        <v>http://collections.slsa.sa.gov.au/mpcimg/73250/B73030.htm</v>
      </c>
    </row>
    <row r="12071" spans="1:11" x14ac:dyDescent="0.25">
      <c r="A12071" t="s">
        <v>36776</v>
      </c>
      <c r="B12071" s="1" t="str">
        <f>HYPERLINK("https://www.catalog.slsa.sa.gov.au/record=b2916331")</f>
        <v>https://www.catalog.slsa.sa.gov.au/record=b2916331</v>
      </c>
      <c r="C12071" s="1" t="str">
        <f>HYPERLINK("https://www.catalog.slsa.sa.gov.au/xrecord=b2916331")</f>
        <v>https://www.catalog.slsa.sa.gov.au/xrecord=b2916331</v>
      </c>
      <c r="D12071" t="s">
        <v>36726</v>
      </c>
      <c r="E12071" t="s">
        <v>36777</v>
      </c>
      <c r="F12071">
        <v>2013</v>
      </c>
      <c r="G12071" t="s">
        <v>36778</v>
      </c>
      <c r="H12071" t="s">
        <v>36779</v>
      </c>
      <c r="I12071" t="s">
        <v>36730</v>
      </c>
      <c r="J12071" t="s">
        <v>22749</v>
      </c>
      <c r="K12071" s="2" t="str">
        <f>HYPERLINK("http://collections.slsa.sa.gov.au/mpcimg/73250/B73031.htm")</f>
        <v>http://collections.slsa.sa.gov.au/mpcimg/73250/B73031.htm</v>
      </c>
    </row>
    <row r="12072" spans="1:11" x14ac:dyDescent="0.25">
      <c r="A12072" t="s">
        <v>36780</v>
      </c>
      <c r="B12072" s="1" t="str">
        <f>HYPERLINK("https://www.catalog.slsa.sa.gov.au/record=b2916332")</f>
        <v>https://www.catalog.slsa.sa.gov.au/record=b2916332</v>
      </c>
      <c r="C12072" s="1" t="str">
        <f>HYPERLINK("https://www.catalog.slsa.sa.gov.au/xrecord=b2916332")</f>
        <v>https://www.catalog.slsa.sa.gov.au/xrecord=b2916332</v>
      </c>
      <c r="D12072" t="s">
        <v>36781</v>
      </c>
      <c r="E12072" t="s">
        <v>36782</v>
      </c>
      <c r="F12072">
        <v>2013</v>
      </c>
      <c r="G12072" t="s">
        <v>36783</v>
      </c>
      <c r="H12072" t="s">
        <v>36784</v>
      </c>
      <c r="I12072" t="s">
        <v>36785</v>
      </c>
      <c r="J12072" t="s">
        <v>36786</v>
      </c>
      <c r="K12072" s="2" t="str">
        <f>HYPERLINK("http://collections.slsa.sa.gov.au/mpcimg/73250/B73032.htm")</f>
        <v>http://collections.slsa.sa.gov.au/mpcimg/73250/B73032.htm</v>
      </c>
    </row>
    <row r="12073" spans="1:11" x14ac:dyDescent="0.25">
      <c r="A12073" t="s">
        <v>36787</v>
      </c>
      <c r="B12073" s="1" t="str">
        <f>HYPERLINK("https://www.catalog.slsa.sa.gov.au/record=b2916333")</f>
        <v>https://www.catalog.slsa.sa.gov.au/record=b2916333</v>
      </c>
      <c r="C12073" s="1" t="str">
        <f>HYPERLINK("https://www.catalog.slsa.sa.gov.au/xrecord=b2916333")</f>
        <v>https://www.catalog.slsa.sa.gov.au/xrecord=b2916333</v>
      </c>
      <c r="D12073" t="s">
        <v>36726</v>
      </c>
      <c r="E12073" t="s">
        <v>36788</v>
      </c>
      <c r="F12073">
        <v>2013</v>
      </c>
      <c r="G12073" t="s">
        <v>36789</v>
      </c>
      <c r="H12073" t="s">
        <v>36790</v>
      </c>
      <c r="I12073" t="s">
        <v>36785</v>
      </c>
      <c r="J12073" t="s">
        <v>36786</v>
      </c>
      <c r="K12073" s="2" t="str">
        <f>HYPERLINK("http://collections.slsa.sa.gov.au/mpcimg/73250/B73033.htm")</f>
        <v>http://collections.slsa.sa.gov.au/mpcimg/73250/B73033.htm</v>
      </c>
    </row>
    <row r="12074" spans="1:11" x14ac:dyDescent="0.25">
      <c r="A12074" t="s">
        <v>36791</v>
      </c>
      <c r="B12074" s="1" t="str">
        <f>HYPERLINK("https://www.catalog.slsa.sa.gov.au/record=b2916334")</f>
        <v>https://www.catalog.slsa.sa.gov.au/record=b2916334</v>
      </c>
      <c r="C12074" s="1" t="str">
        <f>HYPERLINK("https://www.catalog.slsa.sa.gov.au/xrecord=b2916334")</f>
        <v>https://www.catalog.slsa.sa.gov.au/xrecord=b2916334</v>
      </c>
      <c r="D12074" t="s">
        <v>36726</v>
      </c>
      <c r="E12074" t="s">
        <v>36792</v>
      </c>
      <c r="F12074">
        <v>2013</v>
      </c>
      <c r="G12074" t="s">
        <v>36793</v>
      </c>
      <c r="H12074" t="s">
        <v>36794</v>
      </c>
      <c r="I12074" t="s">
        <v>36795</v>
      </c>
      <c r="J12074" t="s">
        <v>36796</v>
      </c>
      <c r="K12074" s="2" t="str">
        <f>HYPERLINK("http://collections.slsa.sa.gov.au/mpcimg/73250/B73034.htm")</f>
        <v>http://collections.slsa.sa.gov.au/mpcimg/73250/B73034.htm</v>
      </c>
    </row>
    <row r="12075" spans="1:11" x14ac:dyDescent="0.25">
      <c r="A12075" t="s">
        <v>36797</v>
      </c>
      <c r="B12075" s="1" t="str">
        <f>HYPERLINK("https://www.catalog.slsa.sa.gov.au/record=b2916335")</f>
        <v>https://www.catalog.slsa.sa.gov.au/record=b2916335</v>
      </c>
      <c r="C12075" s="1" t="str">
        <f>HYPERLINK("https://www.catalog.slsa.sa.gov.au/xrecord=b2916335")</f>
        <v>https://www.catalog.slsa.sa.gov.au/xrecord=b2916335</v>
      </c>
      <c r="D12075" t="s">
        <v>36726</v>
      </c>
      <c r="E12075" t="s">
        <v>36798</v>
      </c>
      <c r="F12075">
        <v>2013</v>
      </c>
      <c r="G12075" t="s">
        <v>36799</v>
      </c>
      <c r="H12075" t="s">
        <v>36800</v>
      </c>
      <c r="I12075" t="s">
        <v>36801</v>
      </c>
      <c r="J12075" t="s">
        <v>36796</v>
      </c>
      <c r="K12075" s="2" t="str">
        <f>HYPERLINK("http://collections.slsa.sa.gov.au/mpcimg/73250/B73035.htm")</f>
        <v>http://collections.slsa.sa.gov.au/mpcimg/73250/B73035.htm</v>
      </c>
    </row>
    <row r="12076" spans="1:11" x14ac:dyDescent="0.25">
      <c r="A12076" t="s">
        <v>36802</v>
      </c>
      <c r="B12076" s="1" t="str">
        <f>HYPERLINK("https://www.catalog.slsa.sa.gov.au/record=b2916336")</f>
        <v>https://www.catalog.slsa.sa.gov.au/record=b2916336</v>
      </c>
      <c r="C12076" s="1" t="str">
        <f>HYPERLINK("https://www.catalog.slsa.sa.gov.au/xrecord=b2916336")</f>
        <v>https://www.catalog.slsa.sa.gov.au/xrecord=b2916336</v>
      </c>
      <c r="D12076" t="s">
        <v>36726</v>
      </c>
      <c r="E12076" t="s">
        <v>36803</v>
      </c>
      <c r="F12076">
        <v>2013</v>
      </c>
      <c r="G12076" t="s">
        <v>36804</v>
      </c>
      <c r="H12076" t="s">
        <v>36805</v>
      </c>
      <c r="I12076" t="s">
        <v>36785</v>
      </c>
      <c r="J12076" t="s">
        <v>20972</v>
      </c>
      <c r="K12076" s="2" t="str">
        <f>HYPERLINK("http://collections.slsa.sa.gov.au/mpcimg/73250/B73036.htm")</f>
        <v>http://collections.slsa.sa.gov.au/mpcimg/73250/B73036.htm</v>
      </c>
    </row>
    <row r="12077" spans="1:11" x14ac:dyDescent="0.25">
      <c r="A12077" t="s">
        <v>36806</v>
      </c>
      <c r="B12077" s="1" t="str">
        <f>HYPERLINK("https://www.catalog.slsa.sa.gov.au/record=b2916337")</f>
        <v>https://www.catalog.slsa.sa.gov.au/record=b2916337</v>
      </c>
      <c r="C12077" s="1" t="str">
        <f>HYPERLINK("https://www.catalog.slsa.sa.gov.au/xrecord=b2916337")</f>
        <v>https://www.catalog.slsa.sa.gov.au/xrecord=b2916337</v>
      </c>
      <c r="D12077" t="s">
        <v>36726</v>
      </c>
      <c r="E12077" t="s">
        <v>36807</v>
      </c>
      <c r="F12077">
        <v>2013</v>
      </c>
      <c r="G12077" t="s">
        <v>36808</v>
      </c>
      <c r="H12077" t="s">
        <v>36809</v>
      </c>
      <c r="I12077" t="s">
        <v>36810</v>
      </c>
      <c r="J12077" t="s">
        <v>36811</v>
      </c>
      <c r="K12077" s="2" t="str">
        <f>HYPERLINK("http://collections.slsa.sa.gov.au/mpcimg/73250/B73037.htm")</f>
        <v>http://collections.slsa.sa.gov.au/mpcimg/73250/B73037.htm</v>
      </c>
    </row>
    <row r="12078" spans="1:11" x14ac:dyDescent="0.25">
      <c r="A12078" t="s">
        <v>36812</v>
      </c>
      <c r="B12078" s="1" t="str">
        <f>HYPERLINK("https://www.catalog.slsa.sa.gov.au/record=b2916338")</f>
        <v>https://www.catalog.slsa.sa.gov.au/record=b2916338</v>
      </c>
      <c r="C12078" s="1" t="str">
        <f>HYPERLINK("https://www.catalog.slsa.sa.gov.au/xrecord=b2916338")</f>
        <v>https://www.catalog.slsa.sa.gov.au/xrecord=b2916338</v>
      </c>
      <c r="D12078" t="s">
        <v>36726</v>
      </c>
      <c r="E12078" t="s">
        <v>36813</v>
      </c>
      <c r="F12078">
        <v>2013</v>
      </c>
      <c r="G12078" t="s">
        <v>36814</v>
      </c>
      <c r="H12078" t="s">
        <v>36815</v>
      </c>
      <c r="I12078" t="s">
        <v>36816</v>
      </c>
      <c r="J12078" t="s">
        <v>20910</v>
      </c>
      <c r="K12078" s="2" t="str">
        <f>HYPERLINK("http://collections.slsa.sa.gov.au/mpcimg/73250/B73038.htm")</f>
        <v>http://collections.slsa.sa.gov.au/mpcimg/73250/B73038.htm</v>
      </c>
    </row>
    <row r="12079" spans="1:11" x14ac:dyDescent="0.25">
      <c r="A12079" t="s">
        <v>36817</v>
      </c>
      <c r="B12079" s="1" t="str">
        <f>HYPERLINK("https://www.catalog.slsa.sa.gov.au/record=b2916339")</f>
        <v>https://www.catalog.slsa.sa.gov.au/record=b2916339</v>
      </c>
      <c r="C12079" s="1" t="str">
        <f>HYPERLINK("https://www.catalog.slsa.sa.gov.au/xrecord=b2916339")</f>
        <v>https://www.catalog.slsa.sa.gov.au/xrecord=b2916339</v>
      </c>
      <c r="D12079" t="s">
        <v>36726</v>
      </c>
      <c r="E12079" t="s">
        <v>36818</v>
      </c>
      <c r="F12079">
        <v>2013</v>
      </c>
      <c r="G12079" t="s">
        <v>36819</v>
      </c>
      <c r="H12079" t="s">
        <v>36820</v>
      </c>
      <c r="I12079" t="s">
        <v>36816</v>
      </c>
      <c r="J12079" t="s">
        <v>20910</v>
      </c>
      <c r="K12079" s="2" t="str">
        <f>HYPERLINK("http://collections.slsa.sa.gov.au/mpcimg/73250/B73039.htm")</f>
        <v>http://collections.slsa.sa.gov.au/mpcimg/73250/B73039.htm</v>
      </c>
    </row>
    <row r="12080" spans="1:11" x14ac:dyDescent="0.25">
      <c r="A12080" t="s">
        <v>36821</v>
      </c>
      <c r="B12080" s="1" t="str">
        <f>HYPERLINK("https://www.catalog.slsa.sa.gov.au/record=b2916340")</f>
        <v>https://www.catalog.slsa.sa.gov.au/record=b2916340</v>
      </c>
      <c r="C12080" s="1" t="str">
        <f>HYPERLINK("https://www.catalog.slsa.sa.gov.au/xrecord=b2916340")</f>
        <v>https://www.catalog.slsa.sa.gov.au/xrecord=b2916340</v>
      </c>
      <c r="D12080" t="s">
        <v>36726</v>
      </c>
      <c r="E12080" t="s">
        <v>36822</v>
      </c>
      <c r="F12080">
        <v>2013</v>
      </c>
      <c r="G12080" t="s">
        <v>36823</v>
      </c>
      <c r="H12080" t="s">
        <v>36824</v>
      </c>
      <c r="I12080" t="s">
        <v>36825</v>
      </c>
      <c r="J12080" t="s">
        <v>30902</v>
      </c>
      <c r="K12080" s="2" t="str">
        <f>HYPERLINK("http://collections.slsa.sa.gov.au/mpcimg/73250/B73040.htm")</f>
        <v>http://collections.slsa.sa.gov.au/mpcimg/73250/B73040.htm</v>
      </c>
    </row>
    <row r="12081" spans="1:11" x14ac:dyDescent="0.25">
      <c r="A12081" t="s">
        <v>36826</v>
      </c>
      <c r="B12081" s="1" t="str">
        <f>HYPERLINK("https://www.catalog.slsa.sa.gov.au/record=b2916341")</f>
        <v>https://www.catalog.slsa.sa.gov.au/record=b2916341</v>
      </c>
      <c r="C12081" s="1" t="str">
        <f>HYPERLINK("https://www.catalog.slsa.sa.gov.au/xrecord=b2916341")</f>
        <v>https://www.catalog.slsa.sa.gov.au/xrecord=b2916341</v>
      </c>
      <c r="D12081" t="s">
        <v>36726</v>
      </c>
      <c r="E12081" t="s">
        <v>36827</v>
      </c>
      <c r="F12081">
        <v>2013</v>
      </c>
      <c r="G12081" t="s">
        <v>36828</v>
      </c>
      <c r="H12081" t="s">
        <v>36829</v>
      </c>
      <c r="I12081" t="s">
        <v>36825</v>
      </c>
      <c r="J12081" t="s">
        <v>16789</v>
      </c>
      <c r="K12081" s="2" t="str">
        <f>HYPERLINK("http://collections.slsa.sa.gov.au/mpcimg/73250/B73041.htm")</f>
        <v>http://collections.slsa.sa.gov.au/mpcimg/73250/B73041.htm</v>
      </c>
    </row>
    <row r="12082" spans="1:11" x14ac:dyDescent="0.25">
      <c r="A12082" t="s">
        <v>36830</v>
      </c>
      <c r="B12082" s="1" t="str">
        <f>HYPERLINK("https://www.catalog.slsa.sa.gov.au/record=b2916343")</f>
        <v>https://www.catalog.slsa.sa.gov.au/record=b2916343</v>
      </c>
      <c r="C12082" s="1" t="str">
        <f>HYPERLINK("https://www.catalog.slsa.sa.gov.au/xrecord=b2916343")</f>
        <v>https://www.catalog.slsa.sa.gov.au/xrecord=b2916343</v>
      </c>
      <c r="D12082" t="s">
        <v>36726</v>
      </c>
      <c r="E12082" t="s">
        <v>36831</v>
      </c>
      <c r="F12082">
        <v>2013</v>
      </c>
      <c r="G12082" t="s">
        <v>36832</v>
      </c>
      <c r="H12082" t="s">
        <v>36833</v>
      </c>
      <c r="I12082" t="s">
        <v>36825</v>
      </c>
      <c r="J12082" t="s">
        <v>36834</v>
      </c>
      <c r="K12082" s="2" t="str">
        <f>HYPERLINK("http://collections.slsa.sa.gov.au/mpcimg/73250/B73042.htm")</f>
        <v>http://collections.slsa.sa.gov.au/mpcimg/73250/B73042.htm</v>
      </c>
    </row>
    <row r="12083" spans="1:11" x14ac:dyDescent="0.25">
      <c r="A12083" t="s">
        <v>36835</v>
      </c>
      <c r="B12083" s="1" t="str">
        <f>HYPERLINK("https://www.catalog.slsa.sa.gov.au/record=b2916344")</f>
        <v>https://www.catalog.slsa.sa.gov.au/record=b2916344</v>
      </c>
      <c r="C12083" s="1" t="str">
        <f>HYPERLINK("https://www.catalog.slsa.sa.gov.au/xrecord=b2916344")</f>
        <v>https://www.catalog.slsa.sa.gov.au/xrecord=b2916344</v>
      </c>
      <c r="D12083" t="s">
        <v>36726</v>
      </c>
      <c r="E12083" t="s">
        <v>36836</v>
      </c>
      <c r="F12083">
        <v>2013</v>
      </c>
      <c r="G12083" t="s">
        <v>36837</v>
      </c>
      <c r="H12083" t="s">
        <v>36838</v>
      </c>
      <c r="I12083" t="s">
        <v>36825</v>
      </c>
      <c r="J12083" t="s">
        <v>16789</v>
      </c>
      <c r="K12083" s="2" t="str">
        <f>HYPERLINK("http://collections.slsa.sa.gov.au/mpcimg/73250/B73043.htm")</f>
        <v>http://collections.slsa.sa.gov.au/mpcimg/73250/B73043.htm</v>
      </c>
    </row>
    <row r="12084" spans="1:11" x14ac:dyDescent="0.25">
      <c r="A12084" t="s">
        <v>36839</v>
      </c>
      <c r="B12084" s="1" t="str">
        <f>HYPERLINK("https://www.catalog.slsa.sa.gov.au/record=b2917060")</f>
        <v>https://www.catalog.slsa.sa.gov.au/record=b2917060</v>
      </c>
      <c r="C12084" s="1" t="str">
        <f>HYPERLINK("https://www.catalog.slsa.sa.gov.au/xrecord=b2917060")</f>
        <v>https://www.catalog.slsa.sa.gov.au/xrecord=b2917060</v>
      </c>
      <c r="D12084" t="s">
        <v>36726</v>
      </c>
      <c r="E12084" t="s">
        <v>36840</v>
      </c>
      <c r="F12084">
        <v>2013</v>
      </c>
      <c r="G12084" t="s">
        <v>36841</v>
      </c>
      <c r="H12084" t="s">
        <v>36842</v>
      </c>
      <c r="I12084" t="s">
        <v>36758</v>
      </c>
      <c r="J12084" t="s">
        <v>32735</v>
      </c>
      <c r="K12084" s="2" t="str">
        <f>HYPERLINK("http://collections.slsa.sa.gov.au/mpcimg/73250/B73044.htm")</f>
        <v>http://collections.slsa.sa.gov.au/mpcimg/73250/B73044.htm</v>
      </c>
    </row>
    <row r="12085" spans="1:11" x14ac:dyDescent="0.25">
      <c r="A12085" t="s">
        <v>36843</v>
      </c>
      <c r="B12085" s="1" t="str">
        <f>HYPERLINK("https://www.catalog.slsa.sa.gov.au/record=b2917062")</f>
        <v>https://www.catalog.slsa.sa.gov.au/record=b2917062</v>
      </c>
      <c r="C12085" s="1" t="str">
        <f>HYPERLINK("https://www.catalog.slsa.sa.gov.au/xrecord=b2917062")</f>
        <v>https://www.catalog.slsa.sa.gov.au/xrecord=b2917062</v>
      </c>
      <c r="D12085" t="s">
        <v>36726</v>
      </c>
      <c r="E12085" t="s">
        <v>36840</v>
      </c>
      <c r="F12085">
        <v>2013</v>
      </c>
      <c r="G12085" t="s">
        <v>36844</v>
      </c>
      <c r="H12085" t="s">
        <v>36845</v>
      </c>
      <c r="I12085" t="s">
        <v>36758</v>
      </c>
      <c r="J12085" t="s">
        <v>32735</v>
      </c>
      <c r="K12085" s="2" t="str">
        <f>HYPERLINK("http://collections.slsa.sa.gov.au/mpcimg/73250/B73045.htm")</f>
        <v>http://collections.slsa.sa.gov.au/mpcimg/73250/B73045.htm</v>
      </c>
    </row>
    <row r="12086" spans="1:11" x14ac:dyDescent="0.25">
      <c r="A12086" t="s">
        <v>36846</v>
      </c>
      <c r="B12086" s="1" t="str">
        <f>HYPERLINK("https://www.catalog.slsa.sa.gov.au/record=b2917063")</f>
        <v>https://www.catalog.slsa.sa.gov.au/record=b2917063</v>
      </c>
      <c r="C12086" s="1" t="str">
        <f>HYPERLINK("https://www.catalog.slsa.sa.gov.au/xrecord=b2917063")</f>
        <v>https://www.catalog.slsa.sa.gov.au/xrecord=b2917063</v>
      </c>
      <c r="D12086" t="s">
        <v>36726</v>
      </c>
      <c r="E12086" t="s">
        <v>36840</v>
      </c>
      <c r="F12086">
        <v>2013</v>
      </c>
      <c r="G12086" t="s">
        <v>36847</v>
      </c>
      <c r="H12086" t="s">
        <v>36848</v>
      </c>
      <c r="I12086" t="s">
        <v>36758</v>
      </c>
      <c r="J12086" t="s">
        <v>27079</v>
      </c>
      <c r="K12086" s="2" t="str">
        <f>HYPERLINK("http://collections.slsa.sa.gov.au/mpcimg/73250/B73046.htm")</f>
        <v>http://collections.slsa.sa.gov.au/mpcimg/73250/B73046.htm</v>
      </c>
    </row>
    <row r="12087" spans="1:11" x14ac:dyDescent="0.25">
      <c r="A12087" t="s">
        <v>36849</v>
      </c>
      <c r="B12087" s="1" t="str">
        <f>HYPERLINK("https://www.catalog.slsa.sa.gov.au/record=b2917064")</f>
        <v>https://www.catalog.slsa.sa.gov.au/record=b2917064</v>
      </c>
      <c r="C12087" s="1" t="str">
        <f>HYPERLINK("https://www.catalog.slsa.sa.gov.au/xrecord=b2917064")</f>
        <v>https://www.catalog.slsa.sa.gov.au/xrecord=b2917064</v>
      </c>
      <c r="D12087" t="s">
        <v>36726</v>
      </c>
      <c r="E12087" t="s">
        <v>36840</v>
      </c>
      <c r="F12087">
        <v>2013</v>
      </c>
      <c r="G12087" t="s">
        <v>36850</v>
      </c>
      <c r="H12087" t="s">
        <v>36851</v>
      </c>
      <c r="I12087" t="s">
        <v>36758</v>
      </c>
      <c r="J12087" t="s">
        <v>32735</v>
      </c>
      <c r="K12087" s="2" t="str">
        <f>HYPERLINK("http://collections.slsa.sa.gov.au/mpcimg/73250/B73047.htm")</f>
        <v>http://collections.slsa.sa.gov.au/mpcimg/73250/B73047.htm</v>
      </c>
    </row>
    <row r="12088" spans="1:11" x14ac:dyDescent="0.25">
      <c r="A12088" t="s">
        <v>36852</v>
      </c>
      <c r="B12088" s="1" t="str">
        <f>HYPERLINK("https://www.catalog.slsa.sa.gov.au/record=b2917065")</f>
        <v>https://www.catalog.slsa.sa.gov.au/record=b2917065</v>
      </c>
      <c r="C12088" s="1" t="str">
        <f>HYPERLINK("https://www.catalog.slsa.sa.gov.au/xrecord=b2917065")</f>
        <v>https://www.catalog.slsa.sa.gov.au/xrecord=b2917065</v>
      </c>
      <c r="D12088" t="s">
        <v>36726</v>
      </c>
      <c r="E12088" t="s">
        <v>24386</v>
      </c>
      <c r="F12088">
        <v>2013</v>
      </c>
      <c r="G12088" t="s">
        <v>36853</v>
      </c>
      <c r="H12088" t="s">
        <v>36854</v>
      </c>
      <c r="I12088" t="s">
        <v>36855</v>
      </c>
      <c r="J12088" t="s">
        <v>24388</v>
      </c>
      <c r="K12088" s="2" t="str">
        <f>HYPERLINK("http://collections.slsa.sa.gov.au/mpcimg/73250/B73048.htm")</f>
        <v>http://collections.slsa.sa.gov.au/mpcimg/73250/B73048.htm</v>
      </c>
    </row>
    <row r="12089" spans="1:11" x14ac:dyDescent="0.25">
      <c r="A12089" t="s">
        <v>36856</v>
      </c>
      <c r="B12089" s="1" t="str">
        <f>HYPERLINK("https://www.catalog.slsa.sa.gov.au/record=b2917066")</f>
        <v>https://www.catalog.slsa.sa.gov.au/record=b2917066</v>
      </c>
      <c r="C12089" s="1" t="str">
        <f>HYPERLINK("https://www.catalog.slsa.sa.gov.au/xrecord=b2917066")</f>
        <v>https://www.catalog.slsa.sa.gov.au/xrecord=b2917066</v>
      </c>
      <c r="D12089" t="s">
        <v>36726</v>
      </c>
      <c r="E12089" t="s">
        <v>36857</v>
      </c>
      <c r="F12089">
        <v>2013</v>
      </c>
      <c r="G12089" t="s">
        <v>36858</v>
      </c>
      <c r="H12089" t="s">
        <v>36859</v>
      </c>
      <c r="I12089" t="s">
        <v>36855</v>
      </c>
      <c r="J12089" t="s">
        <v>24388</v>
      </c>
      <c r="K12089" s="2" t="str">
        <f>HYPERLINK("http://collections.slsa.sa.gov.au/mpcimg/73250/B73049.htm")</f>
        <v>http://collections.slsa.sa.gov.au/mpcimg/73250/B73049.htm</v>
      </c>
    </row>
    <row r="12090" spans="1:11" x14ac:dyDescent="0.25">
      <c r="A12090" t="s">
        <v>36860</v>
      </c>
      <c r="B12090" s="1" t="str">
        <f>HYPERLINK("https://www.catalog.slsa.sa.gov.au/record=b2917225")</f>
        <v>https://www.catalog.slsa.sa.gov.au/record=b2917225</v>
      </c>
      <c r="C12090" s="1" t="str">
        <f>HYPERLINK("https://www.catalog.slsa.sa.gov.au/xrecord=b2917225")</f>
        <v>https://www.catalog.slsa.sa.gov.au/xrecord=b2917225</v>
      </c>
      <c r="D12090" t="s">
        <v>31636</v>
      </c>
      <c r="E12090" t="s">
        <v>36861</v>
      </c>
      <c r="F12090">
        <v>2013</v>
      </c>
      <c r="G12090" t="s">
        <v>36223</v>
      </c>
      <c r="H12090" t="s">
        <v>36862</v>
      </c>
      <c r="I12090" t="s">
        <v>36863</v>
      </c>
      <c r="J12090" t="s">
        <v>36864</v>
      </c>
      <c r="K12090" s="2" t="str">
        <f>HYPERLINK("http://collections.slsa.sa.gov.au/mpcimg/73250/B73054.htm")</f>
        <v>http://collections.slsa.sa.gov.au/mpcimg/73250/B73054.htm</v>
      </c>
    </row>
    <row r="12091" spans="1:11" x14ac:dyDescent="0.25">
      <c r="A12091" t="s">
        <v>36865</v>
      </c>
      <c r="B12091" s="1" t="str">
        <f>HYPERLINK("https://www.catalog.slsa.sa.gov.au/record=b2917228")</f>
        <v>https://www.catalog.slsa.sa.gov.au/record=b2917228</v>
      </c>
      <c r="C12091" s="1" t="str">
        <f>HYPERLINK("https://www.catalog.slsa.sa.gov.au/xrecord=b2917228")</f>
        <v>https://www.catalog.slsa.sa.gov.au/xrecord=b2917228</v>
      </c>
      <c r="D12091" t="s">
        <v>31636</v>
      </c>
      <c r="E12091" t="s">
        <v>36861</v>
      </c>
      <c r="F12091">
        <v>2013</v>
      </c>
      <c r="G12091" t="s">
        <v>36223</v>
      </c>
      <c r="H12091" t="s">
        <v>36862</v>
      </c>
      <c r="I12091" t="s">
        <v>36863</v>
      </c>
      <c r="J12091" t="s">
        <v>36864</v>
      </c>
      <c r="K12091" s="2" t="str">
        <f>HYPERLINK("http://collections.slsa.sa.gov.au/mpcimg/73250/B73055.htm")</f>
        <v>http://collections.slsa.sa.gov.au/mpcimg/73250/B73055.htm</v>
      </c>
    </row>
    <row r="12092" spans="1:11" x14ac:dyDescent="0.25">
      <c r="A12092" t="s">
        <v>36866</v>
      </c>
      <c r="B12092" s="1" t="str">
        <f>HYPERLINK("https://www.catalog.slsa.sa.gov.au/record=b2917229")</f>
        <v>https://www.catalog.slsa.sa.gov.au/record=b2917229</v>
      </c>
      <c r="C12092" s="1" t="str">
        <f>HYPERLINK("https://www.catalog.slsa.sa.gov.au/xrecord=b2917229")</f>
        <v>https://www.catalog.slsa.sa.gov.au/xrecord=b2917229</v>
      </c>
      <c r="D12092" t="s">
        <v>31636</v>
      </c>
      <c r="E12092" t="s">
        <v>36861</v>
      </c>
      <c r="F12092">
        <v>2013</v>
      </c>
      <c r="G12092" t="s">
        <v>36867</v>
      </c>
      <c r="H12092" t="s">
        <v>36862</v>
      </c>
      <c r="I12092" t="s">
        <v>36863</v>
      </c>
      <c r="J12092" t="s">
        <v>36864</v>
      </c>
      <c r="K12092" s="2" t="str">
        <f>HYPERLINK("http://collections.slsa.sa.gov.au/mpcimg/73250/B73056.htm")</f>
        <v>http://collections.slsa.sa.gov.au/mpcimg/73250/B73056.htm</v>
      </c>
    </row>
    <row r="12093" spans="1:11" x14ac:dyDescent="0.25">
      <c r="A12093" t="s">
        <v>36868</v>
      </c>
      <c r="B12093" s="1" t="str">
        <f>HYPERLINK("https://www.catalog.slsa.sa.gov.au/record=b2917230")</f>
        <v>https://www.catalog.slsa.sa.gov.au/record=b2917230</v>
      </c>
      <c r="C12093" s="1" t="str">
        <f>HYPERLINK("https://www.catalog.slsa.sa.gov.au/xrecord=b2917230")</f>
        <v>https://www.catalog.slsa.sa.gov.au/xrecord=b2917230</v>
      </c>
      <c r="D12093" t="s">
        <v>31636</v>
      </c>
      <c r="E12093" t="s">
        <v>36869</v>
      </c>
      <c r="F12093">
        <v>2013</v>
      </c>
      <c r="G12093" t="s">
        <v>36223</v>
      </c>
      <c r="H12093" t="s">
        <v>36870</v>
      </c>
      <c r="I12093" t="s">
        <v>36871</v>
      </c>
      <c r="J12093" t="s">
        <v>3780</v>
      </c>
      <c r="K12093" s="2" t="str">
        <f>HYPERLINK("http://collections.slsa.sa.gov.au/mpcimg/73250/B73057.htm")</f>
        <v>http://collections.slsa.sa.gov.au/mpcimg/73250/B73057.htm</v>
      </c>
    </row>
    <row r="12094" spans="1:11" x14ac:dyDescent="0.25">
      <c r="A12094" t="s">
        <v>36872</v>
      </c>
      <c r="B12094" s="1" t="str">
        <f>HYPERLINK("https://www.catalog.slsa.sa.gov.au/record=b2917232")</f>
        <v>https://www.catalog.slsa.sa.gov.au/record=b2917232</v>
      </c>
      <c r="C12094" s="1" t="str">
        <f>HYPERLINK("https://www.catalog.slsa.sa.gov.au/xrecord=b2917232")</f>
        <v>https://www.catalog.slsa.sa.gov.au/xrecord=b2917232</v>
      </c>
      <c r="D12094" t="s">
        <v>31636</v>
      </c>
      <c r="E12094" t="s">
        <v>36869</v>
      </c>
      <c r="F12094">
        <v>2013</v>
      </c>
      <c r="G12094" t="s">
        <v>36218</v>
      </c>
      <c r="H12094" t="s">
        <v>36870</v>
      </c>
      <c r="I12094" t="s">
        <v>36871</v>
      </c>
      <c r="J12094" t="s">
        <v>3780</v>
      </c>
      <c r="K12094" s="2" t="str">
        <f>HYPERLINK("http://collections.slsa.sa.gov.au/mpcimg/73250/B73058.htm")</f>
        <v>http://collections.slsa.sa.gov.au/mpcimg/73250/B73058.htm</v>
      </c>
    </row>
    <row r="12095" spans="1:11" x14ac:dyDescent="0.25">
      <c r="A12095" t="s">
        <v>36873</v>
      </c>
      <c r="B12095" s="1" t="str">
        <f>HYPERLINK("https://www.catalog.slsa.sa.gov.au/record=b2917233")</f>
        <v>https://www.catalog.slsa.sa.gov.au/record=b2917233</v>
      </c>
      <c r="C12095" s="1" t="str">
        <f>HYPERLINK("https://www.catalog.slsa.sa.gov.au/xrecord=b2917233")</f>
        <v>https://www.catalog.slsa.sa.gov.au/xrecord=b2917233</v>
      </c>
      <c r="D12095" t="s">
        <v>31636</v>
      </c>
      <c r="E12095" t="s">
        <v>36869</v>
      </c>
      <c r="F12095">
        <v>2013</v>
      </c>
      <c r="G12095" t="s">
        <v>36218</v>
      </c>
      <c r="H12095" t="s">
        <v>36874</v>
      </c>
      <c r="I12095" t="s">
        <v>36871</v>
      </c>
      <c r="J12095" t="s">
        <v>3780</v>
      </c>
      <c r="K12095" s="2" t="str">
        <f>HYPERLINK("http://collections.slsa.sa.gov.au/mpcimg/73250/B73059.htm")</f>
        <v>http://collections.slsa.sa.gov.au/mpcimg/73250/B73059.htm</v>
      </c>
    </row>
    <row r="12096" spans="1:11" x14ac:dyDescent="0.25">
      <c r="A12096" t="s">
        <v>36875</v>
      </c>
      <c r="B12096" s="1" t="str">
        <f>HYPERLINK("https://www.catalog.slsa.sa.gov.au/record=b2917234")</f>
        <v>https://www.catalog.slsa.sa.gov.au/record=b2917234</v>
      </c>
      <c r="C12096" s="1" t="str">
        <f>HYPERLINK("https://www.catalog.slsa.sa.gov.au/xrecord=b2917234")</f>
        <v>https://www.catalog.slsa.sa.gov.au/xrecord=b2917234</v>
      </c>
      <c r="D12096" t="s">
        <v>31636</v>
      </c>
      <c r="E12096" t="s">
        <v>36869</v>
      </c>
      <c r="F12096">
        <v>2013</v>
      </c>
      <c r="G12096" t="s">
        <v>36223</v>
      </c>
      <c r="H12096" t="s">
        <v>36876</v>
      </c>
      <c r="I12096" t="s">
        <v>36871</v>
      </c>
      <c r="J12096" t="s">
        <v>3780</v>
      </c>
      <c r="K12096" s="2" t="str">
        <f>HYPERLINK("http://collections.slsa.sa.gov.au/mpcimg/73250/B73060.htm")</f>
        <v>http://collections.slsa.sa.gov.au/mpcimg/73250/B73060.htm</v>
      </c>
    </row>
    <row r="12097" spans="1:11" x14ac:dyDescent="0.25">
      <c r="A12097" t="s">
        <v>36877</v>
      </c>
      <c r="B12097" s="1" t="str">
        <f>HYPERLINK("https://www.catalog.slsa.sa.gov.au/record=b2917235")</f>
        <v>https://www.catalog.slsa.sa.gov.au/record=b2917235</v>
      </c>
      <c r="C12097" s="1" t="str">
        <f>HYPERLINK("https://www.catalog.slsa.sa.gov.au/xrecord=b2917235")</f>
        <v>https://www.catalog.slsa.sa.gov.au/xrecord=b2917235</v>
      </c>
      <c r="D12097" t="s">
        <v>31636</v>
      </c>
      <c r="E12097" t="s">
        <v>36869</v>
      </c>
      <c r="F12097">
        <v>2013</v>
      </c>
      <c r="G12097" t="s">
        <v>36218</v>
      </c>
      <c r="H12097" t="s">
        <v>36874</v>
      </c>
      <c r="I12097" t="s">
        <v>36871</v>
      </c>
      <c r="J12097" t="s">
        <v>3780</v>
      </c>
      <c r="K12097" s="2" t="str">
        <f>HYPERLINK("http://collections.slsa.sa.gov.au/mpcimg/73250/B73061.htm")</f>
        <v>http://collections.slsa.sa.gov.au/mpcimg/73250/B73061.htm</v>
      </c>
    </row>
    <row r="12098" spans="1:11" x14ac:dyDescent="0.25">
      <c r="A12098" t="s">
        <v>36878</v>
      </c>
      <c r="B12098" s="1" t="str">
        <f>HYPERLINK("https://www.catalog.slsa.sa.gov.au/record=b2917236")</f>
        <v>https://www.catalog.slsa.sa.gov.au/record=b2917236</v>
      </c>
      <c r="C12098" s="1" t="str">
        <f>HYPERLINK("https://www.catalog.slsa.sa.gov.au/xrecord=b2917236")</f>
        <v>https://www.catalog.slsa.sa.gov.au/xrecord=b2917236</v>
      </c>
      <c r="D12098" t="s">
        <v>31636</v>
      </c>
      <c r="E12098" t="s">
        <v>36869</v>
      </c>
      <c r="F12098">
        <v>2013</v>
      </c>
      <c r="G12098" t="s">
        <v>36879</v>
      </c>
      <c r="H12098" t="s">
        <v>36880</v>
      </c>
      <c r="I12098" t="s">
        <v>36871</v>
      </c>
      <c r="J12098" t="s">
        <v>3780</v>
      </c>
      <c r="K12098" s="2" t="str">
        <f>HYPERLINK("http://collections.slsa.sa.gov.au/mpcimg/73250/B73062.htm")</f>
        <v>http://collections.slsa.sa.gov.au/mpcimg/73250/B73062.htm</v>
      </c>
    </row>
    <row r="12099" spans="1:11" x14ac:dyDescent="0.25">
      <c r="A12099" t="s">
        <v>36881</v>
      </c>
      <c r="B12099" s="1" t="str">
        <f>HYPERLINK("https://www.catalog.slsa.sa.gov.au/record=b2918888")</f>
        <v>https://www.catalog.slsa.sa.gov.au/record=b2918888</v>
      </c>
      <c r="C12099" s="1" t="str">
        <f>HYPERLINK("https://www.catalog.slsa.sa.gov.au/xrecord=b2918888")</f>
        <v>https://www.catalog.slsa.sa.gov.au/xrecord=b2918888</v>
      </c>
      <c r="D12099" t="s">
        <v>31902</v>
      </c>
      <c r="E12099" t="s">
        <v>36882</v>
      </c>
      <c r="F12099">
        <v>2013</v>
      </c>
      <c r="G12099" t="s">
        <v>36103</v>
      </c>
      <c r="H12099" t="s">
        <v>36883</v>
      </c>
      <c r="I12099" t="s">
        <v>36884</v>
      </c>
      <c r="J12099" t="s">
        <v>14768</v>
      </c>
      <c r="K12099" s="2" t="str">
        <f>HYPERLINK("http://collections.slsa.sa.gov.au/resource/B+69282/715")</f>
        <v>http://collections.slsa.sa.gov.au/resource/B+69282/715</v>
      </c>
    </row>
    <row r="12100" spans="1:11" x14ac:dyDescent="0.25">
      <c r="A12100" t="s">
        <v>36885</v>
      </c>
      <c r="B12100" s="1" t="str">
        <f>HYPERLINK("https://www.catalog.slsa.sa.gov.au/record=b2918890")</f>
        <v>https://www.catalog.slsa.sa.gov.au/record=b2918890</v>
      </c>
      <c r="C12100" s="1" t="str">
        <f>HYPERLINK("https://www.catalog.slsa.sa.gov.au/xrecord=b2918890")</f>
        <v>https://www.catalog.slsa.sa.gov.au/xrecord=b2918890</v>
      </c>
      <c r="D12100" t="s">
        <v>31902</v>
      </c>
      <c r="E12100" t="s">
        <v>36886</v>
      </c>
      <c r="F12100">
        <v>2013</v>
      </c>
      <c r="G12100" t="s">
        <v>36103</v>
      </c>
      <c r="H12100" t="s">
        <v>36887</v>
      </c>
      <c r="I12100" t="s">
        <v>36884</v>
      </c>
      <c r="J12100" t="s">
        <v>14768</v>
      </c>
      <c r="K12100" s="2" t="str">
        <f>HYPERLINK("http://collections.slsa.sa.gov.au/resource/B+69282/716")</f>
        <v>http://collections.slsa.sa.gov.au/resource/B+69282/716</v>
      </c>
    </row>
    <row r="12101" spans="1:11" x14ac:dyDescent="0.25">
      <c r="A12101" t="s">
        <v>36888</v>
      </c>
      <c r="B12101" s="1" t="str">
        <f>HYPERLINK("https://www.catalog.slsa.sa.gov.au/record=b2918891")</f>
        <v>https://www.catalog.slsa.sa.gov.au/record=b2918891</v>
      </c>
      <c r="C12101" s="1" t="str">
        <f>HYPERLINK("https://www.catalog.slsa.sa.gov.au/xrecord=b2918891")</f>
        <v>https://www.catalog.slsa.sa.gov.au/xrecord=b2918891</v>
      </c>
      <c r="D12101" t="s">
        <v>31902</v>
      </c>
      <c r="E12101" t="s">
        <v>36889</v>
      </c>
      <c r="F12101">
        <v>2013</v>
      </c>
      <c r="G12101" t="s">
        <v>36103</v>
      </c>
      <c r="H12101" t="s">
        <v>36890</v>
      </c>
      <c r="I12101" t="s">
        <v>36891</v>
      </c>
      <c r="J12101" t="s">
        <v>14768</v>
      </c>
      <c r="K12101" s="2" t="str">
        <f>HYPERLINK("http://collections.slsa.sa.gov.au/resource/B+69282/717")</f>
        <v>http://collections.slsa.sa.gov.au/resource/B+69282/717</v>
      </c>
    </row>
    <row r="12102" spans="1:11" x14ac:dyDescent="0.25">
      <c r="A12102" t="s">
        <v>36892</v>
      </c>
      <c r="B12102" s="1" t="str">
        <f>HYPERLINK("https://www.catalog.slsa.sa.gov.au/record=b2918894")</f>
        <v>https://www.catalog.slsa.sa.gov.au/record=b2918894</v>
      </c>
      <c r="C12102" s="1" t="str">
        <f>HYPERLINK("https://www.catalog.slsa.sa.gov.au/xrecord=b2918894")</f>
        <v>https://www.catalog.slsa.sa.gov.au/xrecord=b2918894</v>
      </c>
      <c r="D12102" t="s">
        <v>31902</v>
      </c>
      <c r="E12102" t="s">
        <v>36893</v>
      </c>
      <c r="F12102">
        <v>2013</v>
      </c>
      <c r="G12102" t="s">
        <v>36103</v>
      </c>
      <c r="H12102" t="s">
        <v>36890</v>
      </c>
      <c r="I12102" t="s">
        <v>36891</v>
      </c>
      <c r="J12102" t="s">
        <v>14768</v>
      </c>
      <c r="K12102" s="2" t="str">
        <f>HYPERLINK("http://collections.slsa.sa.gov.au/resource/B+69282/718")</f>
        <v>http://collections.slsa.sa.gov.au/resource/B+69282/718</v>
      </c>
    </row>
    <row r="12103" spans="1:11" x14ac:dyDescent="0.25">
      <c r="A12103" t="s">
        <v>36894</v>
      </c>
      <c r="B12103" s="1" t="str">
        <f>HYPERLINK("https://www.catalog.slsa.sa.gov.au/record=b2918895")</f>
        <v>https://www.catalog.slsa.sa.gov.au/record=b2918895</v>
      </c>
      <c r="C12103" s="1" t="str">
        <f>HYPERLINK("https://www.catalog.slsa.sa.gov.au/xrecord=b2918895")</f>
        <v>https://www.catalog.slsa.sa.gov.au/xrecord=b2918895</v>
      </c>
      <c r="D12103" t="s">
        <v>31902</v>
      </c>
      <c r="E12103" t="s">
        <v>36895</v>
      </c>
      <c r="F12103">
        <v>2013</v>
      </c>
      <c r="G12103" t="s">
        <v>36103</v>
      </c>
      <c r="H12103" t="s">
        <v>36896</v>
      </c>
      <c r="I12103" t="s">
        <v>17879</v>
      </c>
      <c r="J12103" t="s">
        <v>14768</v>
      </c>
      <c r="K12103" s="2" t="str">
        <f>HYPERLINK("http://collections.slsa.sa.gov.au/resource/B+69282/719")</f>
        <v>http://collections.slsa.sa.gov.au/resource/B+69282/719</v>
      </c>
    </row>
    <row r="12104" spans="1:11" x14ac:dyDescent="0.25">
      <c r="A12104" t="s">
        <v>36897</v>
      </c>
      <c r="B12104" s="1" t="str">
        <f>HYPERLINK("https://www.catalog.slsa.sa.gov.au/record=b2918897")</f>
        <v>https://www.catalog.slsa.sa.gov.au/record=b2918897</v>
      </c>
      <c r="C12104" s="1" t="str">
        <f>HYPERLINK("https://www.catalog.slsa.sa.gov.au/xrecord=b2918897")</f>
        <v>https://www.catalog.slsa.sa.gov.au/xrecord=b2918897</v>
      </c>
      <c r="D12104" t="s">
        <v>31902</v>
      </c>
      <c r="E12104" t="s">
        <v>36895</v>
      </c>
      <c r="F12104">
        <v>2013</v>
      </c>
      <c r="G12104" t="s">
        <v>36103</v>
      </c>
      <c r="H12104" t="s">
        <v>36896</v>
      </c>
      <c r="I12104" t="s">
        <v>17879</v>
      </c>
      <c r="J12104" t="s">
        <v>14768</v>
      </c>
      <c r="K12104" s="2" t="str">
        <f>HYPERLINK("http://collections.slsa.sa.gov.au/resource/B+69282/720")</f>
        <v>http://collections.slsa.sa.gov.au/resource/B+69282/720</v>
      </c>
    </row>
    <row r="12105" spans="1:11" x14ac:dyDescent="0.25">
      <c r="A12105" t="s">
        <v>36898</v>
      </c>
      <c r="B12105" s="1" t="str">
        <f>HYPERLINK("https://www.catalog.slsa.sa.gov.au/record=b2918898")</f>
        <v>https://www.catalog.slsa.sa.gov.au/record=b2918898</v>
      </c>
      <c r="C12105" s="1" t="str">
        <f>HYPERLINK("https://www.catalog.slsa.sa.gov.au/xrecord=b2918898")</f>
        <v>https://www.catalog.slsa.sa.gov.au/xrecord=b2918898</v>
      </c>
      <c r="D12105" t="s">
        <v>31902</v>
      </c>
      <c r="E12105" t="s">
        <v>36899</v>
      </c>
      <c r="F12105">
        <v>2013</v>
      </c>
      <c r="G12105" t="s">
        <v>36103</v>
      </c>
      <c r="H12105" t="s">
        <v>36900</v>
      </c>
      <c r="I12105" t="s">
        <v>36901</v>
      </c>
      <c r="J12105" t="s">
        <v>14768</v>
      </c>
      <c r="K12105" s="2" t="str">
        <f>HYPERLINK("http://collections.slsa.sa.gov.au/resource/B+69282/721")</f>
        <v>http://collections.slsa.sa.gov.au/resource/B+69282/721</v>
      </c>
    </row>
    <row r="12106" spans="1:11" x14ac:dyDescent="0.25">
      <c r="A12106" t="s">
        <v>36902</v>
      </c>
      <c r="B12106" s="1" t="str">
        <f>HYPERLINK("https://www.catalog.slsa.sa.gov.au/record=b2918904")</f>
        <v>https://www.catalog.slsa.sa.gov.au/record=b2918904</v>
      </c>
      <c r="C12106" s="1" t="str">
        <f>HYPERLINK("https://www.catalog.slsa.sa.gov.au/xrecord=b2918904")</f>
        <v>https://www.catalog.slsa.sa.gov.au/xrecord=b2918904</v>
      </c>
      <c r="D12106" t="s">
        <v>31902</v>
      </c>
      <c r="E12106" t="s">
        <v>36903</v>
      </c>
      <c r="F12106">
        <v>2013</v>
      </c>
      <c r="G12106" t="s">
        <v>36103</v>
      </c>
      <c r="H12106" t="s">
        <v>36904</v>
      </c>
      <c r="I12106" t="s">
        <v>36901</v>
      </c>
      <c r="J12106" t="s">
        <v>14768</v>
      </c>
      <c r="K12106" s="2" t="str">
        <f>HYPERLINK("http://collections.slsa.sa.gov.au/resource/B+69282/722")</f>
        <v>http://collections.slsa.sa.gov.au/resource/B+69282/722</v>
      </c>
    </row>
    <row r="12107" spans="1:11" x14ac:dyDescent="0.25">
      <c r="A12107" t="s">
        <v>36905</v>
      </c>
      <c r="B12107" s="1" t="str">
        <f>HYPERLINK("https://www.catalog.slsa.sa.gov.au/record=b2918905")</f>
        <v>https://www.catalog.slsa.sa.gov.au/record=b2918905</v>
      </c>
      <c r="C12107" s="1" t="str">
        <f>HYPERLINK("https://www.catalog.slsa.sa.gov.au/xrecord=b2918905")</f>
        <v>https://www.catalog.slsa.sa.gov.au/xrecord=b2918905</v>
      </c>
      <c r="D12107" t="s">
        <v>31902</v>
      </c>
      <c r="E12107" t="s">
        <v>36906</v>
      </c>
      <c r="F12107">
        <v>2013</v>
      </c>
      <c r="G12107" t="s">
        <v>36103</v>
      </c>
      <c r="H12107" t="s">
        <v>36907</v>
      </c>
      <c r="I12107" t="s">
        <v>36908</v>
      </c>
      <c r="J12107" t="s">
        <v>14768</v>
      </c>
      <c r="K12107" s="2" t="str">
        <f>HYPERLINK("http://collections.slsa.sa.gov.au/resource/B+69282/723")</f>
        <v>http://collections.slsa.sa.gov.au/resource/B+69282/723</v>
      </c>
    </row>
    <row r="12108" spans="1:11" x14ac:dyDescent="0.25">
      <c r="A12108" t="s">
        <v>36909</v>
      </c>
      <c r="B12108" s="1" t="str">
        <f>HYPERLINK("https://www.catalog.slsa.sa.gov.au/record=b2918906")</f>
        <v>https://www.catalog.slsa.sa.gov.au/record=b2918906</v>
      </c>
      <c r="C12108" s="1" t="str">
        <f>HYPERLINK("https://www.catalog.slsa.sa.gov.au/xrecord=b2918906")</f>
        <v>https://www.catalog.slsa.sa.gov.au/xrecord=b2918906</v>
      </c>
      <c r="D12108" t="s">
        <v>31902</v>
      </c>
      <c r="E12108" t="s">
        <v>36906</v>
      </c>
      <c r="F12108">
        <v>2013</v>
      </c>
      <c r="G12108" t="s">
        <v>36103</v>
      </c>
      <c r="H12108" t="s">
        <v>36907</v>
      </c>
      <c r="I12108" t="s">
        <v>36908</v>
      </c>
      <c r="J12108" t="s">
        <v>14768</v>
      </c>
      <c r="K12108" s="2" t="str">
        <f>HYPERLINK("http://collections.slsa.sa.gov.au/resource/B+69282/724")</f>
        <v>http://collections.slsa.sa.gov.au/resource/B+69282/724</v>
      </c>
    </row>
    <row r="12109" spans="1:11" x14ac:dyDescent="0.25">
      <c r="A12109" t="s">
        <v>36910</v>
      </c>
      <c r="B12109" s="1" t="str">
        <f>HYPERLINK("https://www.catalog.slsa.sa.gov.au/record=b2918907")</f>
        <v>https://www.catalog.slsa.sa.gov.au/record=b2918907</v>
      </c>
      <c r="C12109" s="1" t="str">
        <f>HYPERLINK("https://www.catalog.slsa.sa.gov.au/xrecord=b2918907")</f>
        <v>https://www.catalog.slsa.sa.gov.au/xrecord=b2918907</v>
      </c>
      <c r="D12109" t="s">
        <v>31902</v>
      </c>
      <c r="E12109" t="s">
        <v>36036</v>
      </c>
      <c r="F12109">
        <v>2013</v>
      </c>
      <c r="G12109" t="s">
        <v>36103</v>
      </c>
      <c r="H12109" t="s">
        <v>36911</v>
      </c>
      <c r="I12109" t="s">
        <v>36912</v>
      </c>
      <c r="J12109" t="s">
        <v>14768</v>
      </c>
      <c r="K12109" s="2" t="str">
        <f>HYPERLINK("http://collections.slsa.sa.gov.au/resource/B+69282/725")</f>
        <v>http://collections.slsa.sa.gov.au/resource/B+69282/725</v>
      </c>
    </row>
    <row r="12110" spans="1:11" x14ac:dyDescent="0.25">
      <c r="A12110" t="s">
        <v>36913</v>
      </c>
      <c r="B12110" s="1" t="str">
        <f>HYPERLINK("https://www.catalog.slsa.sa.gov.au/record=b2918908")</f>
        <v>https://www.catalog.slsa.sa.gov.au/record=b2918908</v>
      </c>
      <c r="C12110" s="1" t="str">
        <f>HYPERLINK("https://www.catalog.slsa.sa.gov.au/xrecord=b2918908")</f>
        <v>https://www.catalog.slsa.sa.gov.au/xrecord=b2918908</v>
      </c>
      <c r="D12110" t="s">
        <v>31902</v>
      </c>
      <c r="E12110" t="s">
        <v>36914</v>
      </c>
      <c r="F12110">
        <v>2013</v>
      </c>
      <c r="G12110" t="s">
        <v>36103</v>
      </c>
      <c r="H12110" t="s">
        <v>36915</v>
      </c>
      <c r="I12110" t="s">
        <v>36916</v>
      </c>
      <c r="J12110" t="s">
        <v>14768</v>
      </c>
      <c r="K12110" s="2" t="str">
        <f>HYPERLINK("http://collections.slsa.sa.gov.au/resource/B+69282/729")</f>
        <v>http://collections.slsa.sa.gov.au/resource/B+69282/729</v>
      </c>
    </row>
    <row r="12111" spans="1:11" x14ac:dyDescent="0.25">
      <c r="A12111" t="s">
        <v>36917</v>
      </c>
      <c r="B12111" s="1" t="str">
        <f>HYPERLINK("https://www.catalog.slsa.sa.gov.au/record=b2918909")</f>
        <v>https://www.catalog.slsa.sa.gov.au/record=b2918909</v>
      </c>
      <c r="C12111" s="1" t="str">
        <f>HYPERLINK("https://www.catalog.slsa.sa.gov.au/xrecord=b2918909")</f>
        <v>https://www.catalog.slsa.sa.gov.au/xrecord=b2918909</v>
      </c>
      <c r="D12111" t="s">
        <v>31902</v>
      </c>
      <c r="E12111" t="s">
        <v>36036</v>
      </c>
      <c r="F12111">
        <v>2013</v>
      </c>
      <c r="G12111" t="s">
        <v>36103</v>
      </c>
      <c r="H12111" t="s">
        <v>36918</v>
      </c>
      <c r="I12111" t="s">
        <v>36912</v>
      </c>
      <c r="J12111" t="s">
        <v>14768</v>
      </c>
      <c r="K12111" s="2" t="str">
        <f>HYPERLINK("http://collections.slsa.sa.gov.au/resource/B+69282/728")</f>
        <v>http://collections.slsa.sa.gov.au/resource/B+69282/728</v>
      </c>
    </row>
    <row r="12112" spans="1:11" x14ac:dyDescent="0.25">
      <c r="A12112" t="s">
        <v>36919</v>
      </c>
      <c r="B12112" s="1" t="str">
        <f>HYPERLINK("https://www.catalog.slsa.sa.gov.au/record=b2918910")</f>
        <v>https://www.catalog.slsa.sa.gov.au/record=b2918910</v>
      </c>
      <c r="C12112" s="1" t="str">
        <f>HYPERLINK("https://www.catalog.slsa.sa.gov.au/xrecord=b2918910")</f>
        <v>https://www.catalog.slsa.sa.gov.au/xrecord=b2918910</v>
      </c>
      <c r="D12112" t="s">
        <v>31902</v>
      </c>
      <c r="E12112" t="s">
        <v>36920</v>
      </c>
      <c r="F12112">
        <v>2013</v>
      </c>
      <c r="G12112" t="s">
        <v>36103</v>
      </c>
      <c r="H12112" t="s">
        <v>36921</v>
      </c>
      <c r="I12112" t="s">
        <v>36912</v>
      </c>
      <c r="J12112" t="s">
        <v>14768</v>
      </c>
      <c r="K12112" s="2" t="str">
        <f>HYPERLINK("http://collections.slsa.sa.gov.au/resource/B+69282/726")</f>
        <v>http://collections.slsa.sa.gov.au/resource/B+69282/726</v>
      </c>
    </row>
    <row r="12113" spans="1:11" x14ac:dyDescent="0.25">
      <c r="A12113" t="s">
        <v>36922</v>
      </c>
      <c r="B12113" s="1" t="str">
        <f>HYPERLINK("https://www.catalog.slsa.sa.gov.au/record=b2918911")</f>
        <v>https://www.catalog.slsa.sa.gov.au/record=b2918911</v>
      </c>
      <c r="C12113" s="1" t="str">
        <f>HYPERLINK("https://www.catalog.slsa.sa.gov.au/xrecord=b2918911")</f>
        <v>https://www.catalog.slsa.sa.gov.au/xrecord=b2918911</v>
      </c>
      <c r="D12113" t="s">
        <v>31902</v>
      </c>
      <c r="E12113" t="s">
        <v>36923</v>
      </c>
      <c r="F12113">
        <v>2013</v>
      </c>
      <c r="G12113" t="s">
        <v>36103</v>
      </c>
      <c r="H12113" t="s">
        <v>36924</v>
      </c>
      <c r="I12113" t="s">
        <v>36912</v>
      </c>
      <c r="J12113" t="s">
        <v>14768</v>
      </c>
      <c r="K12113" s="2" t="str">
        <f>HYPERLINK("http://collections.slsa.sa.gov.au/resource/B+69282/727")</f>
        <v>http://collections.slsa.sa.gov.au/resource/B+69282/727</v>
      </c>
    </row>
    <row r="12114" spans="1:11" x14ac:dyDescent="0.25">
      <c r="A12114" t="s">
        <v>36925</v>
      </c>
      <c r="B12114" s="1" t="str">
        <f>HYPERLINK("https://www.catalog.slsa.sa.gov.au/record=b3189649")</f>
        <v>https://www.catalog.slsa.sa.gov.au/record=b3189649</v>
      </c>
      <c r="C12114" s="1" t="str">
        <f>HYPERLINK("https://www.catalog.slsa.sa.gov.au/xrecord=b3189649")</f>
        <v>https://www.catalog.slsa.sa.gov.au/xrecord=b3189649</v>
      </c>
      <c r="D12114" t="s">
        <v>31636</v>
      </c>
      <c r="E12114" t="s">
        <v>36926</v>
      </c>
      <c r="F12114" t="s">
        <v>36927</v>
      </c>
      <c r="G12114" t="s">
        <v>36370</v>
      </c>
      <c r="H12114" t="s">
        <v>36928</v>
      </c>
      <c r="I12114" t="s">
        <v>36929</v>
      </c>
      <c r="J12114" t="s">
        <v>15664</v>
      </c>
      <c r="K12114" s="2" t="str">
        <f>HYPERLINK("http://collections.slsa.sa.gov.au/resource/B+76639")</f>
        <v>http://collections.slsa.sa.gov.au/resource/B+76639</v>
      </c>
    </row>
    <row r="12115" spans="1:11" x14ac:dyDescent="0.25">
      <c r="A12115" t="s">
        <v>36930</v>
      </c>
      <c r="B12115" s="1" t="str">
        <f>HYPERLINK("https://www.catalog.slsa.sa.gov.au/record=b3189650")</f>
        <v>https://www.catalog.slsa.sa.gov.au/record=b3189650</v>
      </c>
      <c r="C12115" s="1" t="str">
        <f>HYPERLINK("https://www.catalog.slsa.sa.gov.au/xrecord=b3189650")</f>
        <v>https://www.catalog.slsa.sa.gov.au/xrecord=b3189650</v>
      </c>
      <c r="D12115" t="s">
        <v>31636</v>
      </c>
      <c r="E12115" t="s">
        <v>36926</v>
      </c>
      <c r="F12115" t="s">
        <v>36927</v>
      </c>
      <c r="G12115" t="s">
        <v>36370</v>
      </c>
      <c r="H12115" t="s">
        <v>36928</v>
      </c>
      <c r="I12115" t="s">
        <v>36931</v>
      </c>
      <c r="J12115" t="s">
        <v>15664</v>
      </c>
      <c r="K12115" s="2" t="str">
        <f>HYPERLINK("http://collections.slsa.sa.gov.au/resource/B+76640")</f>
        <v>http://collections.slsa.sa.gov.au/resource/B+76640</v>
      </c>
    </row>
    <row r="12116" spans="1:11" x14ac:dyDescent="0.25">
      <c r="A12116" t="s">
        <v>36932</v>
      </c>
      <c r="B12116" s="1" t="str">
        <f>HYPERLINK("https://www.catalog.slsa.sa.gov.au/record=b3189651")</f>
        <v>https://www.catalog.slsa.sa.gov.au/record=b3189651</v>
      </c>
      <c r="C12116" s="1" t="str">
        <f>HYPERLINK("https://www.catalog.slsa.sa.gov.au/xrecord=b3189651")</f>
        <v>https://www.catalog.slsa.sa.gov.au/xrecord=b3189651</v>
      </c>
      <c r="D12116" t="s">
        <v>31636</v>
      </c>
      <c r="E12116" t="s">
        <v>36926</v>
      </c>
      <c r="F12116" t="s">
        <v>36927</v>
      </c>
      <c r="G12116" t="s">
        <v>36370</v>
      </c>
      <c r="H12116" t="s">
        <v>36928</v>
      </c>
      <c r="I12116" t="s">
        <v>36931</v>
      </c>
      <c r="J12116" t="s">
        <v>15664</v>
      </c>
      <c r="K12116" s="2" t="str">
        <f>HYPERLINK("http://collections.slsa.sa.gov.au/resource/B+76641")</f>
        <v>http://collections.slsa.sa.gov.au/resource/B+76641</v>
      </c>
    </row>
    <row r="12117" spans="1:11" x14ac:dyDescent="0.25">
      <c r="A12117" t="s">
        <v>36933</v>
      </c>
      <c r="B12117" s="1" t="str">
        <f>HYPERLINK("https://www.catalog.slsa.sa.gov.au/record=b2926446")</f>
        <v>https://www.catalog.slsa.sa.gov.au/record=b2926446</v>
      </c>
      <c r="C12117" s="1" t="str">
        <f>HYPERLINK("https://www.catalog.slsa.sa.gov.au/xrecord=b2926446")</f>
        <v>https://www.catalog.slsa.sa.gov.au/xrecord=b2926446</v>
      </c>
      <c r="D12117" t="s">
        <v>31902</v>
      </c>
      <c r="E12117" t="s">
        <v>36934</v>
      </c>
      <c r="F12117" t="s">
        <v>36935</v>
      </c>
      <c r="G12117" t="s">
        <v>36936</v>
      </c>
      <c r="H12117" t="s">
        <v>36937</v>
      </c>
      <c r="I12117" t="s">
        <v>36938</v>
      </c>
      <c r="J12117" t="s">
        <v>14768</v>
      </c>
      <c r="K12117" s="2" t="str">
        <f>HYPERLINK("http://collections.slsa.sa.gov.au/resource/B+69282/730")</f>
        <v>http://collections.slsa.sa.gov.au/resource/B+69282/730</v>
      </c>
    </row>
    <row r="12118" spans="1:11" x14ac:dyDescent="0.25">
      <c r="A12118" t="s">
        <v>36939</v>
      </c>
      <c r="B12118" s="1" t="str">
        <f>HYPERLINK("https://www.catalog.slsa.sa.gov.au/record=b2926515")</f>
        <v>https://www.catalog.slsa.sa.gov.au/record=b2926515</v>
      </c>
      <c r="C12118" s="1" t="str">
        <f>HYPERLINK("https://www.catalog.slsa.sa.gov.au/xrecord=b2926515")</f>
        <v>https://www.catalog.slsa.sa.gov.au/xrecord=b2926515</v>
      </c>
      <c r="D12118" t="s">
        <v>31902</v>
      </c>
      <c r="E12118" t="s">
        <v>36934</v>
      </c>
      <c r="F12118" t="s">
        <v>36935</v>
      </c>
      <c r="G12118" t="s">
        <v>36936</v>
      </c>
      <c r="H12118" t="s">
        <v>36940</v>
      </c>
      <c r="I12118" t="s">
        <v>36938</v>
      </c>
      <c r="J12118" t="s">
        <v>14768</v>
      </c>
      <c r="K12118" s="2" t="str">
        <f>HYPERLINK("http://collections.slsa.sa.gov.au/resource/B+69282/731")</f>
        <v>http://collections.slsa.sa.gov.au/resource/B+69282/731</v>
      </c>
    </row>
    <row r="12119" spans="1:11" x14ac:dyDescent="0.25">
      <c r="A12119" t="s">
        <v>36941</v>
      </c>
      <c r="B12119" s="1" t="str">
        <f>HYPERLINK("https://www.catalog.slsa.sa.gov.au/record=b2926517")</f>
        <v>https://www.catalog.slsa.sa.gov.au/record=b2926517</v>
      </c>
      <c r="C12119" s="1" t="str">
        <f>HYPERLINK("https://www.catalog.slsa.sa.gov.au/xrecord=b2926517")</f>
        <v>https://www.catalog.slsa.sa.gov.au/xrecord=b2926517</v>
      </c>
      <c r="D12119" t="s">
        <v>31902</v>
      </c>
      <c r="E12119" t="s">
        <v>36942</v>
      </c>
      <c r="F12119" t="s">
        <v>36935</v>
      </c>
      <c r="G12119" t="s">
        <v>36943</v>
      </c>
      <c r="H12119" t="s">
        <v>36944</v>
      </c>
      <c r="I12119" t="s">
        <v>36945</v>
      </c>
      <c r="J12119" t="s">
        <v>14768</v>
      </c>
      <c r="K12119" s="2" t="str">
        <f>HYPERLINK("http://collections.slsa.sa.gov.au/resource/B+69282/732")</f>
        <v>http://collections.slsa.sa.gov.au/resource/B+69282/732</v>
      </c>
    </row>
    <row r="12120" spans="1:11" x14ac:dyDescent="0.25">
      <c r="A12120" t="s">
        <v>36946</v>
      </c>
      <c r="B12120" s="1" t="str">
        <f>HYPERLINK("https://www.catalog.slsa.sa.gov.au/record=b2926518")</f>
        <v>https://www.catalog.slsa.sa.gov.au/record=b2926518</v>
      </c>
      <c r="C12120" s="1" t="str">
        <f>HYPERLINK("https://www.catalog.slsa.sa.gov.au/xrecord=b2926518")</f>
        <v>https://www.catalog.slsa.sa.gov.au/xrecord=b2926518</v>
      </c>
      <c r="D12120" t="s">
        <v>31902</v>
      </c>
      <c r="E12120" t="s">
        <v>36942</v>
      </c>
      <c r="F12120" t="s">
        <v>36935</v>
      </c>
      <c r="G12120" t="s">
        <v>36943</v>
      </c>
      <c r="H12120" t="s">
        <v>36947</v>
      </c>
      <c r="I12120" t="s">
        <v>36945</v>
      </c>
      <c r="J12120" t="s">
        <v>14768</v>
      </c>
      <c r="K12120" s="2" t="str">
        <f>HYPERLINK("http://collections.slsa.sa.gov.au/resource/B+69282/733")</f>
        <v>http://collections.slsa.sa.gov.au/resource/B+69282/733</v>
      </c>
    </row>
    <row r="12121" spans="1:11" x14ac:dyDescent="0.25">
      <c r="A12121" t="s">
        <v>36948</v>
      </c>
      <c r="B12121" s="1" t="str">
        <f>HYPERLINK("https://www.catalog.slsa.sa.gov.au/record=b2926519")</f>
        <v>https://www.catalog.slsa.sa.gov.au/record=b2926519</v>
      </c>
      <c r="C12121" s="1" t="str">
        <f>HYPERLINK("https://www.catalog.slsa.sa.gov.au/xrecord=b2926519")</f>
        <v>https://www.catalog.slsa.sa.gov.au/xrecord=b2926519</v>
      </c>
      <c r="D12121" t="s">
        <v>31902</v>
      </c>
      <c r="E12121" t="s">
        <v>36949</v>
      </c>
      <c r="F12121" t="s">
        <v>36935</v>
      </c>
      <c r="G12121" t="s">
        <v>36943</v>
      </c>
      <c r="H12121" t="s">
        <v>36950</v>
      </c>
      <c r="I12121" t="s">
        <v>36951</v>
      </c>
      <c r="J12121" t="s">
        <v>14768</v>
      </c>
      <c r="K12121" s="2" t="str">
        <f>HYPERLINK("http://collections.slsa.sa.gov.au/resource/B+69282/734")</f>
        <v>http://collections.slsa.sa.gov.au/resource/B+69282/734</v>
      </c>
    </row>
    <row r="12122" spans="1:11" x14ac:dyDescent="0.25">
      <c r="A12122" t="s">
        <v>36952</v>
      </c>
      <c r="B12122" s="1" t="str">
        <f>HYPERLINK("https://www.catalog.slsa.sa.gov.au/record=b2926520")</f>
        <v>https://www.catalog.slsa.sa.gov.au/record=b2926520</v>
      </c>
      <c r="C12122" s="1" t="str">
        <f>HYPERLINK("https://www.catalog.slsa.sa.gov.au/xrecord=b2926520")</f>
        <v>https://www.catalog.slsa.sa.gov.au/xrecord=b2926520</v>
      </c>
      <c r="D12122" t="s">
        <v>31902</v>
      </c>
      <c r="E12122" t="s">
        <v>36953</v>
      </c>
      <c r="F12122" t="s">
        <v>36935</v>
      </c>
      <c r="G12122" t="s">
        <v>36943</v>
      </c>
      <c r="H12122" t="s">
        <v>36954</v>
      </c>
      <c r="I12122" t="s">
        <v>36955</v>
      </c>
      <c r="J12122" t="s">
        <v>14768</v>
      </c>
      <c r="K12122" s="2" t="str">
        <f>HYPERLINK("http://collections.slsa.sa.gov.au/resource/B+69282/735")</f>
        <v>http://collections.slsa.sa.gov.au/resource/B+69282/735</v>
      </c>
    </row>
    <row r="12123" spans="1:11" x14ac:dyDescent="0.25">
      <c r="A12123" t="s">
        <v>36956</v>
      </c>
      <c r="B12123" s="1" t="str">
        <f>HYPERLINK("https://www.catalog.slsa.sa.gov.au/record=b2926521")</f>
        <v>https://www.catalog.slsa.sa.gov.au/record=b2926521</v>
      </c>
      <c r="C12123" s="1" t="str">
        <f>HYPERLINK("https://www.catalog.slsa.sa.gov.au/xrecord=b2926521")</f>
        <v>https://www.catalog.slsa.sa.gov.au/xrecord=b2926521</v>
      </c>
      <c r="D12123" t="s">
        <v>31902</v>
      </c>
      <c r="E12123" t="s">
        <v>36953</v>
      </c>
      <c r="F12123" t="s">
        <v>36935</v>
      </c>
      <c r="G12123" t="s">
        <v>36943</v>
      </c>
      <c r="H12123" t="s">
        <v>36957</v>
      </c>
      <c r="I12123" t="s">
        <v>36955</v>
      </c>
      <c r="J12123" t="s">
        <v>14768</v>
      </c>
      <c r="K12123" s="2" t="str">
        <f>HYPERLINK("http://collections.slsa.sa.gov.au/resource/B+69282/736")</f>
        <v>http://collections.slsa.sa.gov.au/resource/B+69282/736</v>
      </c>
    </row>
    <row r="12124" spans="1:11" x14ac:dyDescent="0.25">
      <c r="A12124" t="s">
        <v>36958</v>
      </c>
      <c r="B12124" s="1" t="str">
        <f>HYPERLINK("https://www.catalog.slsa.sa.gov.au/record=b2926522")</f>
        <v>https://www.catalog.slsa.sa.gov.au/record=b2926522</v>
      </c>
      <c r="C12124" s="1" t="str">
        <f>HYPERLINK("https://www.catalog.slsa.sa.gov.au/xrecord=b2926522")</f>
        <v>https://www.catalog.slsa.sa.gov.au/xrecord=b2926522</v>
      </c>
      <c r="D12124" t="s">
        <v>31902</v>
      </c>
      <c r="E12124" t="s">
        <v>36959</v>
      </c>
      <c r="F12124" t="s">
        <v>36935</v>
      </c>
      <c r="G12124" t="s">
        <v>36936</v>
      </c>
      <c r="H12124" t="s">
        <v>36960</v>
      </c>
      <c r="I12124" t="s">
        <v>36961</v>
      </c>
      <c r="J12124" t="s">
        <v>14768</v>
      </c>
      <c r="K12124" s="2" t="str">
        <f>HYPERLINK("http://collections.slsa.sa.gov.au/resource/B+69282/737")</f>
        <v>http://collections.slsa.sa.gov.au/resource/B+69282/737</v>
      </c>
    </row>
    <row r="12125" spans="1:11" x14ac:dyDescent="0.25">
      <c r="A12125" t="s">
        <v>36962</v>
      </c>
      <c r="B12125" s="1" t="str">
        <f>HYPERLINK("https://www.catalog.slsa.sa.gov.au/record=b2926523")</f>
        <v>https://www.catalog.slsa.sa.gov.au/record=b2926523</v>
      </c>
      <c r="C12125" s="1" t="str">
        <f>HYPERLINK("https://www.catalog.slsa.sa.gov.au/xrecord=b2926523")</f>
        <v>https://www.catalog.slsa.sa.gov.au/xrecord=b2926523</v>
      </c>
      <c r="D12125" t="s">
        <v>31902</v>
      </c>
      <c r="E12125" t="s">
        <v>36959</v>
      </c>
      <c r="F12125" t="s">
        <v>36935</v>
      </c>
      <c r="G12125" t="s">
        <v>36943</v>
      </c>
      <c r="H12125" t="s">
        <v>36963</v>
      </c>
      <c r="I12125" t="s">
        <v>36961</v>
      </c>
      <c r="J12125" t="s">
        <v>14768</v>
      </c>
      <c r="K12125" s="2" t="str">
        <f>HYPERLINK("http://collections.slsa.sa.gov.au/resource/B+69282/738")</f>
        <v>http://collections.slsa.sa.gov.au/resource/B+69282/738</v>
      </c>
    </row>
    <row r="12126" spans="1:11" x14ac:dyDescent="0.25">
      <c r="A12126" t="s">
        <v>36964</v>
      </c>
      <c r="B12126" s="1" t="str">
        <f>HYPERLINK("https://www.catalog.slsa.sa.gov.au/record=b2926524")</f>
        <v>https://www.catalog.slsa.sa.gov.au/record=b2926524</v>
      </c>
      <c r="C12126" s="1" t="str">
        <f>HYPERLINK("https://www.catalog.slsa.sa.gov.au/xrecord=b2926524")</f>
        <v>https://www.catalog.slsa.sa.gov.au/xrecord=b2926524</v>
      </c>
      <c r="D12126" t="s">
        <v>31902</v>
      </c>
      <c r="E12126" t="s">
        <v>36959</v>
      </c>
      <c r="F12126" t="s">
        <v>36935</v>
      </c>
      <c r="G12126" t="s">
        <v>36943</v>
      </c>
      <c r="H12126" t="s">
        <v>36965</v>
      </c>
      <c r="I12126" t="s">
        <v>36961</v>
      </c>
      <c r="J12126" t="s">
        <v>14768</v>
      </c>
      <c r="K12126" s="2" t="str">
        <f>HYPERLINK("http://collections.slsa.sa.gov.au/resource/B+69282/739")</f>
        <v>http://collections.slsa.sa.gov.au/resource/B+69282/739</v>
      </c>
    </row>
    <row r="12127" spans="1:11" x14ac:dyDescent="0.25">
      <c r="A12127" t="s">
        <v>36966</v>
      </c>
      <c r="B12127" s="1" t="str">
        <f>HYPERLINK("https://www.catalog.slsa.sa.gov.au/record=b2926525")</f>
        <v>https://www.catalog.slsa.sa.gov.au/record=b2926525</v>
      </c>
      <c r="C12127" s="1" t="str">
        <f>HYPERLINK("https://www.catalog.slsa.sa.gov.au/xrecord=b2926525")</f>
        <v>https://www.catalog.slsa.sa.gov.au/xrecord=b2926525</v>
      </c>
      <c r="D12127" t="s">
        <v>31902</v>
      </c>
      <c r="E12127" t="s">
        <v>36967</v>
      </c>
      <c r="F12127" t="s">
        <v>36935</v>
      </c>
      <c r="G12127" t="s">
        <v>36943</v>
      </c>
      <c r="H12127" t="s">
        <v>36968</v>
      </c>
      <c r="I12127" t="s">
        <v>36969</v>
      </c>
      <c r="J12127" t="s">
        <v>14768</v>
      </c>
      <c r="K12127" s="2" t="str">
        <f>HYPERLINK("http://collections.slsa.sa.gov.au/resource/B+69282/740")</f>
        <v>http://collections.slsa.sa.gov.au/resource/B+69282/740</v>
      </c>
    </row>
    <row r="12128" spans="1:11" x14ac:dyDescent="0.25">
      <c r="A12128" t="s">
        <v>36970</v>
      </c>
      <c r="B12128" s="1" t="str">
        <f>HYPERLINK("https://www.catalog.slsa.sa.gov.au/record=b2926526")</f>
        <v>https://www.catalog.slsa.sa.gov.au/record=b2926526</v>
      </c>
      <c r="C12128" s="1" t="str">
        <f>HYPERLINK("https://www.catalog.slsa.sa.gov.au/xrecord=b2926526")</f>
        <v>https://www.catalog.slsa.sa.gov.au/xrecord=b2926526</v>
      </c>
      <c r="D12128" t="s">
        <v>31902</v>
      </c>
      <c r="E12128" t="s">
        <v>36967</v>
      </c>
      <c r="F12128" t="s">
        <v>36935</v>
      </c>
      <c r="G12128" t="s">
        <v>36943</v>
      </c>
      <c r="H12128" t="s">
        <v>36971</v>
      </c>
      <c r="I12128" t="s">
        <v>36969</v>
      </c>
      <c r="J12128" t="s">
        <v>14768</v>
      </c>
      <c r="K12128" s="2" t="str">
        <f>HYPERLINK("http://collections.slsa.sa.gov.au/resource/B+69282/741")</f>
        <v>http://collections.slsa.sa.gov.au/resource/B+69282/741</v>
      </c>
    </row>
    <row r="12129" spans="1:11" x14ac:dyDescent="0.25">
      <c r="A12129" t="s">
        <v>36972</v>
      </c>
      <c r="B12129" s="1" t="str">
        <f>HYPERLINK("https://www.catalog.slsa.sa.gov.au/record=b2926527")</f>
        <v>https://www.catalog.slsa.sa.gov.au/record=b2926527</v>
      </c>
      <c r="C12129" s="1" t="str">
        <f>HYPERLINK("https://www.catalog.slsa.sa.gov.au/xrecord=b2926527")</f>
        <v>https://www.catalog.slsa.sa.gov.au/xrecord=b2926527</v>
      </c>
      <c r="D12129" t="s">
        <v>31902</v>
      </c>
      <c r="E12129" t="s">
        <v>36967</v>
      </c>
      <c r="F12129" t="s">
        <v>36935</v>
      </c>
      <c r="G12129" t="s">
        <v>36943</v>
      </c>
      <c r="H12129" t="s">
        <v>36973</v>
      </c>
      <c r="I12129" t="s">
        <v>36969</v>
      </c>
      <c r="J12129" t="s">
        <v>14768</v>
      </c>
      <c r="K12129" s="2" t="str">
        <f>HYPERLINK("http://collections.slsa.sa.gov.au/resource/B+69282/742")</f>
        <v>http://collections.slsa.sa.gov.au/resource/B+69282/742</v>
      </c>
    </row>
    <row r="12130" spans="1:11" x14ac:dyDescent="0.25">
      <c r="A12130" t="s">
        <v>36974</v>
      </c>
      <c r="B12130" s="1" t="str">
        <f>HYPERLINK("https://www.catalog.slsa.sa.gov.au/record=b2926528")</f>
        <v>https://www.catalog.slsa.sa.gov.au/record=b2926528</v>
      </c>
      <c r="C12130" s="1" t="str">
        <f>HYPERLINK("https://www.catalog.slsa.sa.gov.au/xrecord=b2926528")</f>
        <v>https://www.catalog.slsa.sa.gov.au/xrecord=b2926528</v>
      </c>
      <c r="D12130" t="s">
        <v>31902</v>
      </c>
      <c r="E12130" t="s">
        <v>36975</v>
      </c>
      <c r="F12130" t="s">
        <v>36935</v>
      </c>
      <c r="G12130" t="s">
        <v>36943</v>
      </c>
      <c r="H12130" t="s">
        <v>36976</v>
      </c>
      <c r="I12130" t="s">
        <v>36977</v>
      </c>
      <c r="J12130" t="s">
        <v>14768</v>
      </c>
      <c r="K12130" s="2" t="str">
        <f>HYPERLINK("http://collections.slsa.sa.gov.au/resource/B+69282/743")</f>
        <v>http://collections.slsa.sa.gov.au/resource/B+69282/743</v>
      </c>
    </row>
    <row r="12131" spans="1:11" x14ac:dyDescent="0.25">
      <c r="A12131" t="s">
        <v>36978</v>
      </c>
      <c r="B12131" s="1" t="str">
        <f>HYPERLINK("https://www.catalog.slsa.sa.gov.au/record=b2926529")</f>
        <v>https://www.catalog.slsa.sa.gov.au/record=b2926529</v>
      </c>
      <c r="C12131" s="1" t="str">
        <f>HYPERLINK("https://www.catalog.slsa.sa.gov.au/xrecord=b2926529")</f>
        <v>https://www.catalog.slsa.sa.gov.au/xrecord=b2926529</v>
      </c>
      <c r="D12131" t="s">
        <v>31902</v>
      </c>
      <c r="E12131" t="s">
        <v>36975</v>
      </c>
      <c r="F12131" t="s">
        <v>36935</v>
      </c>
      <c r="G12131" t="s">
        <v>36936</v>
      </c>
      <c r="H12131" t="s">
        <v>36979</v>
      </c>
      <c r="I12131" t="s">
        <v>36977</v>
      </c>
      <c r="J12131" t="s">
        <v>14768</v>
      </c>
      <c r="K12131" s="2" t="str">
        <f>HYPERLINK("http://collections.slsa.sa.gov.au/resource/B+69282/744")</f>
        <v>http://collections.slsa.sa.gov.au/resource/B+69282/744</v>
      </c>
    </row>
    <row r="12132" spans="1:11" x14ac:dyDescent="0.25">
      <c r="A12132" t="s">
        <v>36980</v>
      </c>
      <c r="B12132" s="1" t="str">
        <f>HYPERLINK("https://www.catalog.slsa.sa.gov.au/record=b2926530")</f>
        <v>https://www.catalog.slsa.sa.gov.au/record=b2926530</v>
      </c>
      <c r="C12132" s="1" t="str">
        <f>HYPERLINK("https://www.catalog.slsa.sa.gov.au/xrecord=b2926530")</f>
        <v>https://www.catalog.slsa.sa.gov.au/xrecord=b2926530</v>
      </c>
      <c r="D12132" t="s">
        <v>31902</v>
      </c>
      <c r="E12132" t="s">
        <v>36981</v>
      </c>
      <c r="F12132" t="s">
        <v>36935</v>
      </c>
      <c r="G12132" t="s">
        <v>36936</v>
      </c>
      <c r="H12132" t="s">
        <v>36982</v>
      </c>
      <c r="I12132" t="s">
        <v>36983</v>
      </c>
      <c r="J12132" t="s">
        <v>14768</v>
      </c>
      <c r="K12132" s="2" t="str">
        <f>HYPERLINK("http://collections.slsa.sa.gov.au/resource/B+69282/745")</f>
        <v>http://collections.slsa.sa.gov.au/resource/B+69282/745</v>
      </c>
    </row>
    <row r="12133" spans="1:11" x14ac:dyDescent="0.25">
      <c r="A12133" t="s">
        <v>36984</v>
      </c>
      <c r="B12133" s="1" t="str">
        <f>HYPERLINK("https://www.catalog.slsa.sa.gov.au/record=b2926532")</f>
        <v>https://www.catalog.slsa.sa.gov.au/record=b2926532</v>
      </c>
      <c r="C12133" s="1" t="str">
        <f>HYPERLINK("https://www.catalog.slsa.sa.gov.au/xrecord=b2926532")</f>
        <v>https://www.catalog.slsa.sa.gov.au/xrecord=b2926532</v>
      </c>
      <c r="D12133" t="s">
        <v>31902</v>
      </c>
      <c r="E12133" t="s">
        <v>36985</v>
      </c>
      <c r="F12133" t="s">
        <v>36935</v>
      </c>
      <c r="G12133" t="s">
        <v>36936</v>
      </c>
      <c r="H12133" t="s">
        <v>36986</v>
      </c>
      <c r="I12133" t="s">
        <v>36987</v>
      </c>
      <c r="J12133" t="s">
        <v>14768</v>
      </c>
      <c r="K12133" s="2" t="str">
        <f>HYPERLINK("http://collections.slsa.sa.gov.au/resource/B+69282/746")</f>
        <v>http://collections.slsa.sa.gov.au/resource/B+69282/746</v>
      </c>
    </row>
    <row r="12134" spans="1:11" x14ac:dyDescent="0.25">
      <c r="A12134" t="s">
        <v>36988</v>
      </c>
      <c r="B12134" s="1" t="str">
        <f>HYPERLINK("https://www.catalog.slsa.sa.gov.au/record=b2926533")</f>
        <v>https://www.catalog.slsa.sa.gov.au/record=b2926533</v>
      </c>
      <c r="C12134" s="1" t="str">
        <f>HYPERLINK("https://www.catalog.slsa.sa.gov.au/xrecord=b2926533")</f>
        <v>https://www.catalog.slsa.sa.gov.au/xrecord=b2926533</v>
      </c>
      <c r="D12134" t="s">
        <v>31902</v>
      </c>
      <c r="E12134" t="s">
        <v>36989</v>
      </c>
      <c r="F12134" t="s">
        <v>36935</v>
      </c>
      <c r="G12134" t="s">
        <v>36936</v>
      </c>
      <c r="H12134" t="s">
        <v>36990</v>
      </c>
      <c r="J12134" t="s">
        <v>14768</v>
      </c>
      <c r="K12134" s="2" t="str">
        <f>HYPERLINK("http://collections.slsa.sa.gov.au/resource/B+69282/747")</f>
        <v>http://collections.slsa.sa.gov.au/resource/B+69282/747</v>
      </c>
    </row>
    <row r="12135" spans="1:11" x14ac:dyDescent="0.25">
      <c r="A12135" t="s">
        <v>36991</v>
      </c>
      <c r="B12135" s="1" t="str">
        <f>HYPERLINK("https://www.catalog.slsa.sa.gov.au/record=b2926534")</f>
        <v>https://www.catalog.slsa.sa.gov.au/record=b2926534</v>
      </c>
      <c r="C12135" s="1" t="str">
        <f>HYPERLINK("https://www.catalog.slsa.sa.gov.au/xrecord=b2926534")</f>
        <v>https://www.catalog.slsa.sa.gov.au/xrecord=b2926534</v>
      </c>
      <c r="D12135" t="s">
        <v>31902</v>
      </c>
      <c r="E12135" t="s">
        <v>36992</v>
      </c>
      <c r="F12135" t="s">
        <v>36935</v>
      </c>
      <c r="G12135" t="s">
        <v>36936</v>
      </c>
      <c r="H12135" t="s">
        <v>36993</v>
      </c>
      <c r="I12135" t="s">
        <v>36994</v>
      </c>
      <c r="J12135" t="s">
        <v>14768</v>
      </c>
      <c r="K12135" s="2" t="str">
        <f>HYPERLINK("http://collections.slsa.sa.gov.au/resource/B+69282/748")</f>
        <v>http://collections.slsa.sa.gov.au/resource/B+69282/748</v>
      </c>
    </row>
    <row r="12136" spans="1:11" x14ac:dyDescent="0.25">
      <c r="A12136" t="s">
        <v>36995</v>
      </c>
      <c r="B12136" s="1" t="str">
        <f>HYPERLINK("https://www.catalog.slsa.sa.gov.au/record=b2937567")</f>
        <v>https://www.catalog.slsa.sa.gov.au/record=b2937567</v>
      </c>
      <c r="C12136" s="1" t="str">
        <f>HYPERLINK("https://www.catalog.slsa.sa.gov.au/xrecord=b2937567")</f>
        <v>https://www.catalog.slsa.sa.gov.au/xrecord=b2937567</v>
      </c>
      <c r="D12136" t="s">
        <v>36193</v>
      </c>
      <c r="E12136" t="s">
        <v>36996</v>
      </c>
      <c r="F12136" t="s">
        <v>36997</v>
      </c>
      <c r="G12136" t="s">
        <v>36998</v>
      </c>
      <c r="H12136" t="s">
        <v>36999</v>
      </c>
      <c r="I12136" t="s">
        <v>37000</v>
      </c>
      <c r="J12136" t="s">
        <v>37001</v>
      </c>
      <c r="K12136" s="2" t="str">
        <f>HYPERLINK("http://collections.slsa.sa.gov.au/mpcimg/73500/B73403.htm")</f>
        <v>http://collections.slsa.sa.gov.au/mpcimg/73500/B73403.htm</v>
      </c>
    </row>
    <row r="12137" spans="1:11" x14ac:dyDescent="0.25">
      <c r="A12137" t="s">
        <v>37002</v>
      </c>
      <c r="B12137" s="1" t="str">
        <f>HYPERLINK("https://www.catalog.slsa.sa.gov.au/record=b2937568")</f>
        <v>https://www.catalog.slsa.sa.gov.au/record=b2937568</v>
      </c>
      <c r="C12137" s="1" t="str">
        <f>HYPERLINK("https://www.catalog.slsa.sa.gov.au/xrecord=b2937568")</f>
        <v>https://www.catalog.slsa.sa.gov.au/xrecord=b2937568</v>
      </c>
      <c r="D12137" t="s">
        <v>36193</v>
      </c>
      <c r="E12137" t="s">
        <v>36996</v>
      </c>
      <c r="F12137" t="s">
        <v>36997</v>
      </c>
      <c r="G12137" t="s">
        <v>37003</v>
      </c>
      <c r="H12137" t="s">
        <v>37004</v>
      </c>
      <c r="I12137" t="s">
        <v>37000</v>
      </c>
      <c r="J12137" t="s">
        <v>37001</v>
      </c>
      <c r="K12137" s="2" t="str">
        <f>HYPERLINK("http://collections.slsa.sa.gov.au/mpcimg/73500/B73404.htm")</f>
        <v>http://collections.slsa.sa.gov.au/mpcimg/73500/B73404.htm</v>
      </c>
    </row>
    <row r="12138" spans="1:11" x14ac:dyDescent="0.25">
      <c r="A12138" t="s">
        <v>37005</v>
      </c>
      <c r="B12138" s="1" t="str">
        <f>HYPERLINK("https://www.catalog.slsa.sa.gov.au/record=b2937437")</f>
        <v>https://www.catalog.slsa.sa.gov.au/record=b2937437</v>
      </c>
      <c r="C12138" s="1" t="str">
        <f>HYPERLINK("https://www.catalog.slsa.sa.gov.au/xrecord=b2937437")</f>
        <v>https://www.catalog.slsa.sa.gov.au/xrecord=b2937437</v>
      </c>
      <c r="D12138" t="s">
        <v>36193</v>
      </c>
      <c r="E12138" t="s">
        <v>37006</v>
      </c>
      <c r="F12138" t="s">
        <v>37007</v>
      </c>
      <c r="G12138" t="s">
        <v>37003</v>
      </c>
      <c r="H12138" t="s">
        <v>37008</v>
      </c>
      <c r="I12138" t="s">
        <v>37009</v>
      </c>
      <c r="J12138" t="s">
        <v>37010</v>
      </c>
      <c r="K12138" s="2" t="str">
        <f>HYPERLINK("http://collections.slsa.sa.gov.au/mpcimg/73500/B73398.htm")</f>
        <v>http://collections.slsa.sa.gov.au/mpcimg/73500/B73398.htm</v>
      </c>
    </row>
    <row r="12139" spans="1:11" x14ac:dyDescent="0.25">
      <c r="A12139" t="s">
        <v>37011</v>
      </c>
      <c r="B12139" s="1" t="str">
        <f>HYPERLINK("https://www.catalog.slsa.sa.gov.au/record=b2937563")</f>
        <v>https://www.catalog.slsa.sa.gov.au/record=b2937563</v>
      </c>
      <c r="C12139" s="1" t="str">
        <f>HYPERLINK("https://www.catalog.slsa.sa.gov.au/xrecord=b2937563")</f>
        <v>https://www.catalog.slsa.sa.gov.au/xrecord=b2937563</v>
      </c>
      <c r="D12139" t="s">
        <v>36193</v>
      </c>
      <c r="E12139" t="s">
        <v>37006</v>
      </c>
      <c r="F12139" t="s">
        <v>37007</v>
      </c>
      <c r="G12139" t="s">
        <v>37012</v>
      </c>
      <c r="H12139" t="s">
        <v>37013</v>
      </c>
      <c r="I12139" t="s">
        <v>37014</v>
      </c>
      <c r="J12139" t="s">
        <v>37010</v>
      </c>
      <c r="K12139" s="2" t="str">
        <f>HYPERLINK("http://collections.slsa.sa.gov.au/mpcimg/73500/B73399.htm")</f>
        <v>http://collections.slsa.sa.gov.au/mpcimg/73500/B73399.htm</v>
      </c>
    </row>
    <row r="12140" spans="1:11" x14ac:dyDescent="0.25">
      <c r="A12140" t="s">
        <v>37015</v>
      </c>
      <c r="B12140" s="1" t="str">
        <f>HYPERLINK("https://www.catalog.slsa.sa.gov.au/record=b2937564")</f>
        <v>https://www.catalog.slsa.sa.gov.au/record=b2937564</v>
      </c>
      <c r="C12140" s="1" t="str">
        <f>HYPERLINK("https://www.catalog.slsa.sa.gov.au/xrecord=b2937564")</f>
        <v>https://www.catalog.slsa.sa.gov.au/xrecord=b2937564</v>
      </c>
      <c r="D12140" t="s">
        <v>36193</v>
      </c>
      <c r="E12140" t="s">
        <v>37016</v>
      </c>
      <c r="F12140" t="s">
        <v>37007</v>
      </c>
      <c r="G12140" t="s">
        <v>37012</v>
      </c>
      <c r="H12140" t="s">
        <v>37013</v>
      </c>
      <c r="I12140" t="s">
        <v>37014</v>
      </c>
      <c r="J12140" t="s">
        <v>37010</v>
      </c>
      <c r="K12140" s="2" t="str">
        <f>HYPERLINK("http://collections.slsa.sa.gov.au/mpcimg/73500/B73400.htm")</f>
        <v>http://collections.slsa.sa.gov.au/mpcimg/73500/B73400.htm</v>
      </c>
    </row>
    <row r="12141" spans="1:11" x14ac:dyDescent="0.25">
      <c r="A12141" t="s">
        <v>37017</v>
      </c>
      <c r="B12141" s="1" t="str">
        <f>HYPERLINK("https://www.catalog.slsa.sa.gov.au/record=b2937565")</f>
        <v>https://www.catalog.slsa.sa.gov.au/record=b2937565</v>
      </c>
      <c r="C12141" s="1" t="str">
        <f>HYPERLINK("https://www.catalog.slsa.sa.gov.au/xrecord=b2937565")</f>
        <v>https://www.catalog.slsa.sa.gov.au/xrecord=b2937565</v>
      </c>
      <c r="D12141" t="s">
        <v>36193</v>
      </c>
      <c r="E12141" t="s">
        <v>37016</v>
      </c>
      <c r="F12141" t="s">
        <v>37007</v>
      </c>
      <c r="G12141" t="s">
        <v>37012</v>
      </c>
      <c r="H12141" t="s">
        <v>37013</v>
      </c>
      <c r="I12141" t="s">
        <v>37014</v>
      </c>
      <c r="J12141" t="s">
        <v>37010</v>
      </c>
      <c r="K12141" s="2" t="str">
        <f>HYPERLINK("http://collections.slsa.sa.gov.au/mpcimg/73500/B73401.htm")</f>
        <v>http://collections.slsa.sa.gov.au/mpcimg/73500/B73401.htm</v>
      </c>
    </row>
    <row r="12142" spans="1:11" x14ac:dyDescent="0.25">
      <c r="A12142" t="s">
        <v>37018</v>
      </c>
      <c r="B12142" s="1" t="str">
        <f>HYPERLINK("https://www.catalog.slsa.sa.gov.au/record=b2937566")</f>
        <v>https://www.catalog.slsa.sa.gov.au/record=b2937566</v>
      </c>
      <c r="C12142" s="1" t="str">
        <f>HYPERLINK("https://www.catalog.slsa.sa.gov.au/xrecord=b2937566")</f>
        <v>https://www.catalog.slsa.sa.gov.au/xrecord=b2937566</v>
      </c>
      <c r="D12142" t="s">
        <v>36193</v>
      </c>
      <c r="E12142" t="s">
        <v>37016</v>
      </c>
      <c r="F12142" t="s">
        <v>37007</v>
      </c>
      <c r="G12142" t="s">
        <v>37012</v>
      </c>
      <c r="H12142" t="s">
        <v>37013</v>
      </c>
      <c r="I12142" t="s">
        <v>37014</v>
      </c>
      <c r="J12142" t="s">
        <v>37010</v>
      </c>
      <c r="K12142" s="2" t="str">
        <f>HYPERLINK("http://collections.slsa.sa.gov.au/mpcimg/73500/B73402.htm")</f>
        <v>http://collections.slsa.sa.gov.au/mpcimg/73500/B73402.htm</v>
      </c>
    </row>
    <row r="12143" spans="1:11" x14ac:dyDescent="0.25">
      <c r="A12143" t="s">
        <v>37019</v>
      </c>
      <c r="B12143" s="1" t="str">
        <f>HYPERLINK("https://www.catalog.slsa.sa.gov.au/record=b2939101")</f>
        <v>https://www.catalog.slsa.sa.gov.au/record=b2939101</v>
      </c>
      <c r="C12143" s="1" t="str">
        <f>HYPERLINK("https://www.catalog.slsa.sa.gov.au/xrecord=b2939101")</f>
        <v>https://www.catalog.slsa.sa.gov.au/xrecord=b2939101</v>
      </c>
      <c r="D12143" t="s">
        <v>37020</v>
      </c>
      <c r="E12143" t="s">
        <v>37021</v>
      </c>
      <c r="F12143" t="s">
        <v>37022</v>
      </c>
      <c r="G12143" t="s">
        <v>37023</v>
      </c>
      <c r="H12143" t="s">
        <v>37024</v>
      </c>
      <c r="I12143" t="s">
        <v>37021</v>
      </c>
      <c r="J12143" t="s">
        <v>37025</v>
      </c>
      <c r="K12143" s="2" t="str">
        <f>HYPERLINK("http://collections.slsa.sa.gov.au/mpcimg/73500/B73411.htm")</f>
        <v>http://collections.slsa.sa.gov.au/mpcimg/73500/B73411.htm</v>
      </c>
    </row>
    <row r="12144" spans="1:11" x14ac:dyDescent="0.25">
      <c r="A12144" t="s">
        <v>37026</v>
      </c>
      <c r="B12144" s="1" t="str">
        <f>HYPERLINK("https://www.catalog.slsa.sa.gov.au/record=b2937829")</f>
        <v>https://www.catalog.slsa.sa.gov.au/record=b2937829</v>
      </c>
      <c r="C12144" s="1" t="str">
        <f>HYPERLINK("https://www.catalog.slsa.sa.gov.au/xrecord=b2937829")</f>
        <v>https://www.catalog.slsa.sa.gov.au/xrecord=b2937829</v>
      </c>
      <c r="D12144" t="s">
        <v>37027</v>
      </c>
      <c r="E12144" t="s">
        <v>37028</v>
      </c>
      <c r="F12144" t="s">
        <v>37029</v>
      </c>
      <c r="G12144" t="s">
        <v>37030</v>
      </c>
      <c r="H12144" t="s">
        <v>37031</v>
      </c>
      <c r="I12144" t="s">
        <v>37032</v>
      </c>
      <c r="J12144" t="s">
        <v>36445</v>
      </c>
      <c r="K12144" s="2" t="str">
        <f>HYPERLINK("http://collections.slsa.sa.gov.au/mpcimg/73500/B73410.htm")</f>
        <v>http://collections.slsa.sa.gov.au/mpcimg/73500/B73410.htm</v>
      </c>
    </row>
    <row r="12145" spans="1:11" x14ac:dyDescent="0.25">
      <c r="A12145" t="s">
        <v>37033</v>
      </c>
      <c r="B12145" s="1" t="str">
        <f>HYPERLINK("https://www.catalog.slsa.sa.gov.au/record=b2937436")</f>
        <v>https://www.catalog.slsa.sa.gov.au/record=b2937436</v>
      </c>
      <c r="C12145" s="1" t="str">
        <f>HYPERLINK("https://www.catalog.slsa.sa.gov.au/xrecord=b2937436")</f>
        <v>https://www.catalog.slsa.sa.gov.au/xrecord=b2937436</v>
      </c>
      <c r="D12145" t="s">
        <v>37034</v>
      </c>
      <c r="E12145" t="s">
        <v>37035</v>
      </c>
      <c r="F12145" t="s">
        <v>37036</v>
      </c>
      <c r="G12145" t="s">
        <v>37037</v>
      </c>
      <c r="H12145" t="s">
        <v>37038</v>
      </c>
      <c r="I12145" t="s">
        <v>37039</v>
      </c>
      <c r="J12145" t="s">
        <v>37040</v>
      </c>
      <c r="K12145" s="2" t="str">
        <f>HYPERLINK("http://collections.slsa.sa.gov.au/mpcimg/73500/B73397.htm")</f>
        <v>http://collections.slsa.sa.gov.au/mpcimg/73500/B73397.htm</v>
      </c>
    </row>
    <row r="12146" spans="1:11" x14ac:dyDescent="0.25">
      <c r="A12146" t="s">
        <v>37041</v>
      </c>
      <c r="B12146" s="1" t="str">
        <f>HYPERLINK("https://www.catalog.slsa.sa.gov.au/record=b2937569")</f>
        <v>https://www.catalog.slsa.sa.gov.au/record=b2937569</v>
      </c>
      <c r="C12146" s="1" t="str">
        <f>HYPERLINK("https://www.catalog.slsa.sa.gov.au/xrecord=b2937569")</f>
        <v>https://www.catalog.slsa.sa.gov.au/xrecord=b2937569</v>
      </c>
      <c r="D12146" t="s">
        <v>36193</v>
      </c>
      <c r="E12146" t="s">
        <v>37042</v>
      </c>
      <c r="F12146" t="s">
        <v>37036</v>
      </c>
      <c r="G12146" t="s">
        <v>37003</v>
      </c>
      <c r="H12146" t="s">
        <v>37043</v>
      </c>
      <c r="I12146" t="s">
        <v>37044</v>
      </c>
      <c r="J12146" t="s">
        <v>37045</v>
      </c>
      <c r="K12146" s="2" t="str">
        <f>HYPERLINK("http://collections.slsa.sa.gov.au/mpcimg/73500/B73405.htm")</f>
        <v>http://collections.slsa.sa.gov.au/mpcimg/73500/B73405.htm</v>
      </c>
    </row>
    <row r="12147" spans="1:11" x14ac:dyDescent="0.25">
      <c r="A12147" t="s">
        <v>37046</v>
      </c>
      <c r="B12147" s="1" t="str">
        <f>HYPERLINK("https://www.catalog.slsa.sa.gov.au/record=b2937573")</f>
        <v>https://www.catalog.slsa.sa.gov.au/record=b2937573</v>
      </c>
      <c r="C12147" s="1" t="str">
        <f>HYPERLINK("https://www.catalog.slsa.sa.gov.au/xrecord=b2937573")</f>
        <v>https://www.catalog.slsa.sa.gov.au/xrecord=b2937573</v>
      </c>
      <c r="D12147" t="s">
        <v>36193</v>
      </c>
      <c r="E12147" t="s">
        <v>37042</v>
      </c>
      <c r="F12147" t="s">
        <v>37036</v>
      </c>
      <c r="G12147" t="s">
        <v>37047</v>
      </c>
      <c r="H12147" t="s">
        <v>37048</v>
      </c>
      <c r="I12147" t="s">
        <v>37049</v>
      </c>
      <c r="J12147" t="s">
        <v>37045</v>
      </c>
      <c r="K12147" s="2" t="str">
        <f>HYPERLINK("http://collections.slsa.sa.gov.au/mpcimg/73500/B73406.htm")</f>
        <v>http://collections.slsa.sa.gov.au/mpcimg/73500/B73406.htm</v>
      </c>
    </row>
    <row r="12148" spans="1:11" x14ac:dyDescent="0.25">
      <c r="A12148" t="s">
        <v>37050</v>
      </c>
      <c r="B12148" s="1" t="str">
        <f>HYPERLINK("https://www.catalog.slsa.sa.gov.au/record=b2937580")</f>
        <v>https://www.catalog.slsa.sa.gov.au/record=b2937580</v>
      </c>
      <c r="C12148" s="1" t="str">
        <f>HYPERLINK("https://www.catalog.slsa.sa.gov.au/xrecord=b2937580")</f>
        <v>https://www.catalog.slsa.sa.gov.au/xrecord=b2937580</v>
      </c>
      <c r="D12148" t="s">
        <v>36193</v>
      </c>
      <c r="E12148" t="s">
        <v>37051</v>
      </c>
      <c r="F12148" t="s">
        <v>37036</v>
      </c>
      <c r="G12148" t="s">
        <v>37003</v>
      </c>
      <c r="H12148" t="s">
        <v>37052</v>
      </c>
      <c r="I12148" t="s">
        <v>37053</v>
      </c>
      <c r="J12148" t="s">
        <v>37045</v>
      </c>
      <c r="K12148" s="2" t="str">
        <f>HYPERLINK("http://collections.slsa.sa.gov.au/mpcimg/73500/B73407.htm")</f>
        <v>http://collections.slsa.sa.gov.au/mpcimg/73500/B73407.htm</v>
      </c>
    </row>
    <row r="12149" spans="1:11" x14ac:dyDescent="0.25">
      <c r="A12149" t="s">
        <v>37054</v>
      </c>
      <c r="B12149" s="1" t="str">
        <f>HYPERLINK("https://www.catalog.slsa.sa.gov.au/record=b2937823")</f>
        <v>https://www.catalog.slsa.sa.gov.au/record=b2937823</v>
      </c>
      <c r="C12149" s="1" t="str">
        <f>HYPERLINK("https://www.catalog.slsa.sa.gov.au/xrecord=b2937823")</f>
        <v>https://www.catalog.slsa.sa.gov.au/xrecord=b2937823</v>
      </c>
      <c r="D12149" t="s">
        <v>37055</v>
      </c>
      <c r="E12149" t="s">
        <v>37056</v>
      </c>
      <c r="F12149" t="s">
        <v>37057</v>
      </c>
      <c r="G12149" t="s">
        <v>37058</v>
      </c>
      <c r="H12149" t="s">
        <v>37059</v>
      </c>
      <c r="I12149" t="s">
        <v>37060</v>
      </c>
      <c r="J12149" t="s">
        <v>37061</v>
      </c>
      <c r="K12149" s="2" t="str">
        <f>HYPERLINK("http://collections.slsa.sa.gov.au/mpcimg/73500/B73409.htm")</f>
        <v>http://collections.slsa.sa.gov.au/mpcimg/73500/B73409.htm</v>
      </c>
    </row>
    <row r="12150" spans="1:11" x14ac:dyDescent="0.25">
      <c r="A12150" t="s">
        <v>37062</v>
      </c>
      <c r="B12150" s="1" t="str">
        <f>HYPERLINK("https://www.catalog.slsa.sa.gov.au/record=b2932911")</f>
        <v>https://www.catalog.slsa.sa.gov.au/record=b2932911</v>
      </c>
      <c r="C12150" s="1" t="str">
        <f>HYPERLINK("https://www.catalog.slsa.sa.gov.au/xrecord=b2932911")</f>
        <v>https://www.catalog.slsa.sa.gov.au/xrecord=b2932911</v>
      </c>
      <c r="D12150" t="s">
        <v>37063</v>
      </c>
      <c r="E12150" t="s">
        <v>37064</v>
      </c>
      <c r="F12150" t="s">
        <v>37065</v>
      </c>
      <c r="G12150" t="s">
        <v>37066</v>
      </c>
      <c r="H12150" t="s">
        <v>37067</v>
      </c>
      <c r="I12150" t="s">
        <v>37068</v>
      </c>
      <c r="J12150" t="s">
        <v>37069</v>
      </c>
      <c r="K12150" s="2" t="str">
        <f>HYPERLINK("http://collections.slsa.sa.gov.au/mpcimg/73500/B73382.htm")</f>
        <v>http://collections.slsa.sa.gov.au/mpcimg/73500/B73382.htm</v>
      </c>
    </row>
    <row r="12151" spans="1:11" x14ac:dyDescent="0.25">
      <c r="A12151" t="s">
        <v>37070</v>
      </c>
      <c r="B12151" s="1" t="str">
        <f>HYPERLINK("https://www.catalog.slsa.sa.gov.au/record=b2932913")</f>
        <v>https://www.catalog.slsa.sa.gov.au/record=b2932913</v>
      </c>
      <c r="C12151" s="1" t="str">
        <f>HYPERLINK("https://www.catalog.slsa.sa.gov.au/xrecord=b2932913")</f>
        <v>https://www.catalog.slsa.sa.gov.au/xrecord=b2932913</v>
      </c>
      <c r="D12151" t="s">
        <v>37063</v>
      </c>
      <c r="E12151" t="s">
        <v>37064</v>
      </c>
      <c r="F12151" t="s">
        <v>37065</v>
      </c>
      <c r="G12151" t="s">
        <v>37066</v>
      </c>
      <c r="H12151" t="s">
        <v>37071</v>
      </c>
      <c r="I12151" t="s">
        <v>37068</v>
      </c>
      <c r="J12151" t="s">
        <v>37069</v>
      </c>
      <c r="K12151" s="2" t="str">
        <f>HYPERLINK("http://collections.slsa.sa.gov.au/mpcimg/73500/B73383.htm")</f>
        <v>http://collections.slsa.sa.gov.au/mpcimg/73500/B73383.htm</v>
      </c>
    </row>
    <row r="12152" spans="1:11" x14ac:dyDescent="0.25">
      <c r="A12152" t="s">
        <v>37072</v>
      </c>
      <c r="B12152" s="1" t="str">
        <f>HYPERLINK("https://www.catalog.slsa.sa.gov.au/record=b2933058")</f>
        <v>https://www.catalog.slsa.sa.gov.au/record=b2933058</v>
      </c>
      <c r="C12152" s="1" t="str">
        <f>HYPERLINK("https://www.catalog.slsa.sa.gov.au/xrecord=b2933058")</f>
        <v>https://www.catalog.slsa.sa.gov.au/xrecord=b2933058</v>
      </c>
      <c r="D12152" t="s">
        <v>36193</v>
      </c>
      <c r="E12152" t="s">
        <v>37073</v>
      </c>
      <c r="F12152" t="s">
        <v>37074</v>
      </c>
      <c r="G12152" t="s">
        <v>36196</v>
      </c>
      <c r="H12152" t="s">
        <v>37075</v>
      </c>
      <c r="I12152" t="s">
        <v>37076</v>
      </c>
      <c r="J12152" t="s">
        <v>36445</v>
      </c>
      <c r="K12152" s="2" t="str">
        <f>HYPERLINK("http://collections.slsa.sa.gov.au/mpcimg/73500/B73387.htm")</f>
        <v>http://collections.slsa.sa.gov.au/mpcimg/73500/B73387.htm</v>
      </c>
    </row>
    <row r="12153" spans="1:11" x14ac:dyDescent="0.25">
      <c r="A12153" t="s">
        <v>37077</v>
      </c>
      <c r="B12153" s="1" t="str">
        <f>HYPERLINK("https://www.catalog.slsa.sa.gov.au/record=b2933062")</f>
        <v>https://www.catalog.slsa.sa.gov.au/record=b2933062</v>
      </c>
      <c r="C12153" s="1" t="str">
        <f>HYPERLINK("https://www.catalog.slsa.sa.gov.au/xrecord=b2933062")</f>
        <v>https://www.catalog.slsa.sa.gov.au/xrecord=b2933062</v>
      </c>
      <c r="D12153" t="s">
        <v>36193</v>
      </c>
      <c r="E12153" t="s">
        <v>37073</v>
      </c>
      <c r="F12153" t="s">
        <v>37074</v>
      </c>
      <c r="G12153" t="s">
        <v>36196</v>
      </c>
      <c r="H12153" t="s">
        <v>37078</v>
      </c>
      <c r="I12153" t="s">
        <v>37076</v>
      </c>
      <c r="J12153" t="s">
        <v>36445</v>
      </c>
      <c r="K12153" s="2" t="str">
        <f>HYPERLINK("http://collections.slsa.sa.gov.au/mpcimg/73500/B73388.htm")</f>
        <v>http://collections.slsa.sa.gov.au/mpcimg/73500/B73388.htm</v>
      </c>
    </row>
    <row r="12154" spans="1:11" x14ac:dyDescent="0.25">
      <c r="A12154" t="s">
        <v>37079</v>
      </c>
      <c r="B12154" s="1" t="str">
        <f>HYPERLINK("https://www.catalog.slsa.sa.gov.au/record=b3189809")</f>
        <v>https://www.catalog.slsa.sa.gov.au/record=b3189809</v>
      </c>
      <c r="C12154" s="1" t="str">
        <f>HYPERLINK("https://www.catalog.slsa.sa.gov.au/xrecord=b3189809")</f>
        <v>https://www.catalog.slsa.sa.gov.au/xrecord=b3189809</v>
      </c>
      <c r="D12154" t="s">
        <v>31636</v>
      </c>
      <c r="E12154" t="s">
        <v>36368</v>
      </c>
      <c r="F12154" t="s">
        <v>37080</v>
      </c>
      <c r="G12154" t="s">
        <v>36370</v>
      </c>
      <c r="H12154" t="s">
        <v>37081</v>
      </c>
      <c r="I12154" t="s">
        <v>37082</v>
      </c>
      <c r="J12154" t="s">
        <v>36373</v>
      </c>
      <c r="K12154" s="2" t="str">
        <f>HYPERLINK("http://collections.slsa.sa.gov.au/resource/B+76689")</f>
        <v>http://collections.slsa.sa.gov.au/resource/B+76689</v>
      </c>
    </row>
    <row r="12155" spans="1:11" x14ac:dyDescent="0.25">
      <c r="A12155" t="s">
        <v>37083</v>
      </c>
      <c r="B12155" s="1" t="str">
        <f>HYPERLINK("https://www.catalog.slsa.sa.gov.au/record=b3189810")</f>
        <v>https://www.catalog.slsa.sa.gov.au/record=b3189810</v>
      </c>
      <c r="C12155" s="1" t="str">
        <f>HYPERLINK("https://www.catalog.slsa.sa.gov.au/xrecord=b3189810")</f>
        <v>https://www.catalog.slsa.sa.gov.au/xrecord=b3189810</v>
      </c>
      <c r="D12155" t="s">
        <v>31636</v>
      </c>
      <c r="E12155" t="s">
        <v>36368</v>
      </c>
      <c r="F12155" t="s">
        <v>37080</v>
      </c>
      <c r="G12155" t="s">
        <v>36370</v>
      </c>
      <c r="H12155" t="s">
        <v>37084</v>
      </c>
      <c r="I12155" t="s">
        <v>37085</v>
      </c>
      <c r="J12155" t="s">
        <v>37086</v>
      </c>
      <c r="K12155" s="2" t="str">
        <f>HYPERLINK("http://collections.slsa.sa.gov.au/resource/B+76690")</f>
        <v>http://collections.slsa.sa.gov.au/resource/B+76690</v>
      </c>
    </row>
    <row r="12156" spans="1:11" x14ac:dyDescent="0.25">
      <c r="A12156" t="s">
        <v>37087</v>
      </c>
      <c r="B12156" s="1" t="str">
        <f>HYPERLINK("https://www.catalog.slsa.sa.gov.au/record=b3189815")</f>
        <v>https://www.catalog.slsa.sa.gov.au/record=b3189815</v>
      </c>
      <c r="C12156" s="1" t="str">
        <f>HYPERLINK("https://www.catalog.slsa.sa.gov.au/xrecord=b3189815")</f>
        <v>https://www.catalog.slsa.sa.gov.au/xrecord=b3189815</v>
      </c>
      <c r="D12156" t="s">
        <v>31636</v>
      </c>
      <c r="E12156" t="s">
        <v>36401</v>
      </c>
      <c r="F12156" t="s">
        <v>37080</v>
      </c>
      <c r="G12156" t="s">
        <v>36399</v>
      </c>
      <c r="H12156" t="s">
        <v>37088</v>
      </c>
      <c r="I12156" t="s">
        <v>36403</v>
      </c>
      <c r="J12156" t="s">
        <v>36373</v>
      </c>
      <c r="K12156" s="2" t="str">
        <f>HYPERLINK("http://collections.slsa.sa.gov.au/resource/B+76696")</f>
        <v>http://collections.slsa.sa.gov.au/resource/B+76696</v>
      </c>
    </row>
    <row r="12157" spans="1:11" x14ac:dyDescent="0.25">
      <c r="A12157" t="s">
        <v>37089</v>
      </c>
      <c r="B12157" s="1" t="str">
        <f>HYPERLINK("https://www.catalog.slsa.sa.gov.au/record=b3189818")</f>
        <v>https://www.catalog.slsa.sa.gov.au/record=b3189818</v>
      </c>
      <c r="C12157" s="1" t="str">
        <f>HYPERLINK("https://www.catalog.slsa.sa.gov.au/xrecord=b3189818")</f>
        <v>https://www.catalog.slsa.sa.gov.au/xrecord=b3189818</v>
      </c>
      <c r="D12157" t="s">
        <v>31636</v>
      </c>
      <c r="E12157" t="s">
        <v>36591</v>
      </c>
      <c r="F12157" t="s">
        <v>37080</v>
      </c>
      <c r="G12157" t="s">
        <v>36399</v>
      </c>
      <c r="H12157" t="s">
        <v>37090</v>
      </c>
      <c r="I12157" t="s">
        <v>37091</v>
      </c>
      <c r="J12157" t="s">
        <v>37092</v>
      </c>
      <c r="K12157" s="2" t="str">
        <f>HYPERLINK("http://collections.slsa.sa.gov.au/resource/B+76697")</f>
        <v>http://collections.slsa.sa.gov.au/resource/B+76697</v>
      </c>
    </row>
    <row r="12158" spans="1:11" x14ac:dyDescent="0.25">
      <c r="A12158" t="s">
        <v>37093</v>
      </c>
      <c r="B12158" s="1" t="str">
        <f>HYPERLINK("https://www.catalog.slsa.sa.gov.au/record=b3189820")</f>
        <v>https://www.catalog.slsa.sa.gov.au/record=b3189820</v>
      </c>
      <c r="C12158" s="1" t="str">
        <f>HYPERLINK("https://www.catalog.slsa.sa.gov.au/xrecord=b3189820")</f>
        <v>https://www.catalog.slsa.sa.gov.au/xrecord=b3189820</v>
      </c>
      <c r="D12158" t="s">
        <v>31636</v>
      </c>
      <c r="E12158" t="s">
        <v>36591</v>
      </c>
      <c r="F12158" t="s">
        <v>37080</v>
      </c>
      <c r="G12158" t="s">
        <v>36399</v>
      </c>
      <c r="H12158" t="s">
        <v>37094</v>
      </c>
      <c r="I12158" t="s">
        <v>37095</v>
      </c>
      <c r="J12158" t="s">
        <v>37092</v>
      </c>
      <c r="K12158" s="2" t="str">
        <f>HYPERLINK("http://collections.slsa.sa.gov.au/resource/B+76698")</f>
        <v>http://collections.slsa.sa.gov.au/resource/B+76698</v>
      </c>
    </row>
    <row r="12159" spans="1:11" x14ac:dyDescent="0.25">
      <c r="A12159" t="s">
        <v>37096</v>
      </c>
      <c r="B12159" s="1" t="str">
        <f>HYPERLINK("https://www.catalog.slsa.sa.gov.au/record=b3189821")</f>
        <v>https://www.catalog.slsa.sa.gov.au/record=b3189821</v>
      </c>
      <c r="C12159" s="1" t="str">
        <f>HYPERLINK("https://www.catalog.slsa.sa.gov.au/xrecord=b3189821")</f>
        <v>https://www.catalog.slsa.sa.gov.au/xrecord=b3189821</v>
      </c>
      <c r="D12159" t="s">
        <v>31636</v>
      </c>
      <c r="E12159" t="s">
        <v>36591</v>
      </c>
      <c r="F12159" t="s">
        <v>37080</v>
      </c>
      <c r="G12159" t="s">
        <v>36399</v>
      </c>
      <c r="H12159" t="s">
        <v>37097</v>
      </c>
      <c r="I12159" t="s">
        <v>37095</v>
      </c>
      <c r="J12159" t="s">
        <v>37092</v>
      </c>
      <c r="K12159" s="2" t="str">
        <f>HYPERLINK("http://collections.slsa.sa.gov.au/resource/B+76699")</f>
        <v>http://collections.slsa.sa.gov.au/resource/B+76699</v>
      </c>
    </row>
    <row r="12160" spans="1:11" x14ac:dyDescent="0.25">
      <c r="A12160" t="s">
        <v>37098</v>
      </c>
      <c r="B12160" s="1" t="str">
        <f>HYPERLINK("https://www.catalog.slsa.sa.gov.au/record=b3189822")</f>
        <v>https://www.catalog.slsa.sa.gov.au/record=b3189822</v>
      </c>
      <c r="C12160" s="1" t="str">
        <f>HYPERLINK("https://www.catalog.slsa.sa.gov.au/xrecord=b3189822")</f>
        <v>https://www.catalog.slsa.sa.gov.au/xrecord=b3189822</v>
      </c>
      <c r="D12160" t="s">
        <v>31636</v>
      </c>
      <c r="E12160" t="s">
        <v>29821</v>
      </c>
      <c r="F12160" t="s">
        <v>37080</v>
      </c>
      <c r="G12160" t="s">
        <v>36399</v>
      </c>
      <c r="H12160" t="s">
        <v>37099</v>
      </c>
      <c r="I12160" t="s">
        <v>29821</v>
      </c>
      <c r="J12160" t="s">
        <v>5381</v>
      </c>
      <c r="K12160" s="2" t="str">
        <f>HYPERLINK("http://collections.slsa.sa.gov.au/resource/B+76700")</f>
        <v>http://collections.slsa.sa.gov.au/resource/B+76700</v>
      </c>
    </row>
    <row r="12161" spans="1:11" x14ac:dyDescent="0.25">
      <c r="A12161" t="s">
        <v>37100</v>
      </c>
      <c r="B12161" s="1" t="str">
        <f>HYPERLINK("https://www.catalog.slsa.sa.gov.au/record=b2929295")</f>
        <v>https://www.catalog.slsa.sa.gov.au/record=b2929295</v>
      </c>
      <c r="C12161" s="1" t="str">
        <f>HYPERLINK("https://www.catalog.slsa.sa.gov.au/xrecord=b2929295")</f>
        <v>https://www.catalog.slsa.sa.gov.au/xrecord=b2929295</v>
      </c>
      <c r="D12161" t="s">
        <v>37101</v>
      </c>
      <c r="E12161" t="s">
        <v>37102</v>
      </c>
      <c r="F12161" t="s">
        <v>37103</v>
      </c>
      <c r="G12161" t="s">
        <v>37058</v>
      </c>
      <c r="H12161" t="s">
        <v>37104</v>
      </c>
      <c r="I12161" t="s">
        <v>37105</v>
      </c>
      <c r="J12161" t="s">
        <v>37106</v>
      </c>
      <c r="K12161" s="2" t="str">
        <f>HYPERLINK("http://collections.slsa.sa.gov.au/mpcimg/73500/B73379.htm")</f>
        <v>http://collections.slsa.sa.gov.au/mpcimg/73500/B73379.htm</v>
      </c>
    </row>
    <row r="12162" spans="1:11" x14ac:dyDescent="0.25">
      <c r="A12162" t="s">
        <v>37107</v>
      </c>
      <c r="B12162" s="1" t="str">
        <f>HYPERLINK("https://www.catalog.slsa.sa.gov.au/record=b2933077")</f>
        <v>https://www.catalog.slsa.sa.gov.au/record=b2933077</v>
      </c>
      <c r="C12162" s="1" t="str">
        <f>HYPERLINK("https://www.catalog.slsa.sa.gov.au/xrecord=b2933077")</f>
        <v>https://www.catalog.slsa.sa.gov.au/xrecord=b2933077</v>
      </c>
      <c r="D12162" t="s">
        <v>36193</v>
      </c>
      <c r="E12162" t="s">
        <v>37108</v>
      </c>
      <c r="F12162" t="s">
        <v>37109</v>
      </c>
      <c r="G12162" t="s">
        <v>36196</v>
      </c>
      <c r="H12162" t="s">
        <v>37110</v>
      </c>
      <c r="I12162" t="s">
        <v>37111</v>
      </c>
      <c r="J12162" t="s">
        <v>37112</v>
      </c>
      <c r="K12162" s="2" t="str">
        <f>HYPERLINK("http://collections.slsa.sa.gov.au/mpcimg/73500/B73389.htm")</f>
        <v>http://collections.slsa.sa.gov.au/mpcimg/73500/B73389.htm</v>
      </c>
    </row>
    <row r="12163" spans="1:11" x14ac:dyDescent="0.25">
      <c r="A12163" t="s">
        <v>37113</v>
      </c>
      <c r="B12163" s="1" t="str">
        <f>HYPERLINK("https://www.catalog.slsa.sa.gov.au/record=b2933172")</f>
        <v>https://www.catalog.slsa.sa.gov.au/record=b2933172</v>
      </c>
      <c r="C12163" s="1" t="str">
        <f>HYPERLINK("https://www.catalog.slsa.sa.gov.au/xrecord=b2933172")</f>
        <v>https://www.catalog.slsa.sa.gov.au/xrecord=b2933172</v>
      </c>
      <c r="D12163" t="s">
        <v>36193</v>
      </c>
      <c r="E12163" t="s">
        <v>37108</v>
      </c>
      <c r="F12163" t="s">
        <v>37109</v>
      </c>
      <c r="G12163" t="s">
        <v>36196</v>
      </c>
      <c r="H12163" t="s">
        <v>37110</v>
      </c>
      <c r="I12163" t="s">
        <v>37111</v>
      </c>
      <c r="J12163" t="s">
        <v>37112</v>
      </c>
      <c r="K12163" s="2" t="str">
        <f>HYPERLINK("http://collections.slsa.sa.gov.au/mpcimg/73500/B73390.htm")</f>
        <v>http://collections.slsa.sa.gov.au/mpcimg/73500/B73390.htm</v>
      </c>
    </row>
    <row r="12164" spans="1:11" x14ac:dyDescent="0.25">
      <c r="A12164" t="s">
        <v>37114</v>
      </c>
      <c r="B12164" s="1" t="str">
        <f>HYPERLINK("https://www.catalog.slsa.sa.gov.au/record=b2932919")</f>
        <v>https://www.catalog.slsa.sa.gov.au/record=b2932919</v>
      </c>
      <c r="C12164" s="1" t="str">
        <f>HYPERLINK("https://www.catalog.slsa.sa.gov.au/xrecord=b2932919")</f>
        <v>https://www.catalog.slsa.sa.gov.au/xrecord=b2932919</v>
      </c>
      <c r="D12164" t="s">
        <v>36193</v>
      </c>
      <c r="E12164" t="s">
        <v>37115</v>
      </c>
      <c r="F12164" t="s">
        <v>37116</v>
      </c>
      <c r="G12164" t="s">
        <v>37117</v>
      </c>
      <c r="H12164" t="s">
        <v>37118</v>
      </c>
      <c r="I12164" t="s">
        <v>37119</v>
      </c>
      <c r="J12164" t="s">
        <v>37120</v>
      </c>
      <c r="K12164" s="2" t="str">
        <f>HYPERLINK("http://collections.slsa.sa.gov.au/mpcimg/73500/B73386.htm")</f>
        <v>http://collections.slsa.sa.gov.au/mpcimg/73500/B73386.htm</v>
      </c>
    </row>
    <row r="12165" spans="1:11" x14ac:dyDescent="0.25">
      <c r="A12165" t="s">
        <v>37121</v>
      </c>
      <c r="B12165" s="1" t="str">
        <f>HYPERLINK("https://www.catalog.slsa.sa.gov.au/record=b2932918")</f>
        <v>https://www.catalog.slsa.sa.gov.au/record=b2932918</v>
      </c>
      <c r="C12165" s="1" t="str">
        <f>HYPERLINK("https://www.catalog.slsa.sa.gov.au/xrecord=b2932918")</f>
        <v>https://www.catalog.slsa.sa.gov.au/xrecord=b2932918</v>
      </c>
      <c r="D12165" t="s">
        <v>36193</v>
      </c>
      <c r="E12165" t="s">
        <v>37122</v>
      </c>
      <c r="F12165" t="s">
        <v>37123</v>
      </c>
      <c r="G12165" t="s">
        <v>36196</v>
      </c>
      <c r="H12165" t="s">
        <v>37124</v>
      </c>
      <c r="I12165" t="s">
        <v>37125</v>
      </c>
      <c r="J12165" t="s">
        <v>37126</v>
      </c>
      <c r="K12165" s="2" t="str">
        <f>HYPERLINK("http://collections.slsa.sa.gov.au/mpcimg/73500/B73385.htm")</f>
        <v>http://collections.slsa.sa.gov.au/mpcimg/73500/B73385.htm</v>
      </c>
    </row>
    <row r="12166" spans="1:11" x14ac:dyDescent="0.25">
      <c r="A12166" t="s">
        <v>37127</v>
      </c>
      <c r="B12166" s="1" t="str">
        <f>HYPERLINK("https://www.catalog.slsa.sa.gov.au/record=b2937815")</f>
        <v>https://www.catalog.slsa.sa.gov.au/record=b2937815</v>
      </c>
      <c r="C12166" s="1" t="str">
        <f>HYPERLINK("https://www.catalog.slsa.sa.gov.au/xrecord=b2937815")</f>
        <v>https://www.catalog.slsa.sa.gov.au/xrecord=b2937815</v>
      </c>
      <c r="D12166" t="s">
        <v>37055</v>
      </c>
      <c r="E12166" t="s">
        <v>37128</v>
      </c>
      <c r="F12166" t="s">
        <v>37129</v>
      </c>
      <c r="G12166" t="s">
        <v>37058</v>
      </c>
      <c r="H12166" t="s">
        <v>37130</v>
      </c>
      <c r="I12166" t="s">
        <v>37131</v>
      </c>
      <c r="J12166" t="s">
        <v>37132</v>
      </c>
      <c r="K12166" s="2" t="str">
        <f>HYPERLINK("http://collections.slsa.sa.gov.au/mpcimg/73500/B73408.htm")</f>
        <v>http://collections.slsa.sa.gov.au/mpcimg/73500/B73408.htm</v>
      </c>
    </row>
    <row r="12167" spans="1:11" x14ac:dyDescent="0.25">
      <c r="A12167" t="s">
        <v>37133</v>
      </c>
      <c r="B12167" s="1" t="str">
        <f>HYPERLINK("https://www.catalog.slsa.sa.gov.au/record=b2927122")</f>
        <v>https://www.catalog.slsa.sa.gov.au/record=b2927122</v>
      </c>
      <c r="C12167" s="1" t="str">
        <f>HYPERLINK("https://www.catalog.slsa.sa.gov.au/xrecord=b2927122")</f>
        <v>https://www.catalog.slsa.sa.gov.au/xrecord=b2927122</v>
      </c>
      <c r="D12167" t="s">
        <v>31636</v>
      </c>
      <c r="E12167" t="s">
        <v>36097</v>
      </c>
      <c r="F12167" t="s">
        <v>37134</v>
      </c>
      <c r="G12167" t="s">
        <v>36396</v>
      </c>
      <c r="H12167" t="s">
        <v>37135</v>
      </c>
      <c r="I12167" t="s">
        <v>37136</v>
      </c>
      <c r="J12167" t="s">
        <v>37137</v>
      </c>
      <c r="K12167" s="2" t="str">
        <f>HYPERLINK("http://collections.slsa.sa.gov.au/mpcimg/73500/B73281.htm")</f>
        <v>http://collections.slsa.sa.gov.au/mpcimg/73500/B73281.htm</v>
      </c>
    </row>
    <row r="12168" spans="1:11" x14ac:dyDescent="0.25">
      <c r="A12168" t="s">
        <v>37138</v>
      </c>
      <c r="B12168" s="1" t="str">
        <f>HYPERLINK("https://www.catalog.slsa.sa.gov.au/record=b2927181")</f>
        <v>https://www.catalog.slsa.sa.gov.au/record=b2927181</v>
      </c>
      <c r="C12168" s="1" t="str">
        <f>HYPERLINK("https://www.catalog.slsa.sa.gov.au/xrecord=b2927181")</f>
        <v>https://www.catalog.slsa.sa.gov.au/xrecord=b2927181</v>
      </c>
      <c r="D12168" t="s">
        <v>31636</v>
      </c>
      <c r="E12168" t="s">
        <v>36097</v>
      </c>
      <c r="F12168" t="s">
        <v>37134</v>
      </c>
      <c r="G12168" t="s">
        <v>36396</v>
      </c>
      <c r="H12168" t="s">
        <v>37135</v>
      </c>
      <c r="I12168" t="s">
        <v>37136</v>
      </c>
      <c r="J12168" t="s">
        <v>37137</v>
      </c>
      <c r="K12168" s="2" t="str">
        <f>HYPERLINK("http://collections.slsa.sa.gov.au/mpcimg/73500/B73285.htm")</f>
        <v>http://collections.slsa.sa.gov.au/mpcimg/73500/B73285.htm</v>
      </c>
    </row>
    <row r="12169" spans="1:11" x14ac:dyDescent="0.25">
      <c r="A12169" t="s">
        <v>37139</v>
      </c>
      <c r="B12169" s="1" t="str">
        <f>HYPERLINK("https://www.catalog.slsa.sa.gov.au/record=b2927182")</f>
        <v>https://www.catalog.slsa.sa.gov.au/record=b2927182</v>
      </c>
      <c r="C12169" s="1" t="str">
        <f>HYPERLINK("https://www.catalog.slsa.sa.gov.au/xrecord=b2927182")</f>
        <v>https://www.catalog.slsa.sa.gov.au/xrecord=b2927182</v>
      </c>
      <c r="D12169" t="s">
        <v>31636</v>
      </c>
      <c r="E12169" t="s">
        <v>36097</v>
      </c>
      <c r="F12169" t="s">
        <v>37134</v>
      </c>
      <c r="G12169" t="s">
        <v>36370</v>
      </c>
      <c r="H12169" t="s">
        <v>37135</v>
      </c>
      <c r="I12169" t="s">
        <v>37136</v>
      </c>
      <c r="J12169" t="s">
        <v>37137</v>
      </c>
      <c r="K12169" s="2" t="str">
        <f>HYPERLINK("http://collections.slsa.sa.gov.au/mpcimg/73500/B73283.htm")</f>
        <v>http://collections.slsa.sa.gov.au/mpcimg/73500/B73283.htm</v>
      </c>
    </row>
    <row r="12170" spans="1:11" x14ac:dyDescent="0.25">
      <c r="A12170" t="s">
        <v>37140</v>
      </c>
      <c r="B12170" s="1" t="str">
        <f>HYPERLINK("https://www.catalog.slsa.sa.gov.au/record=b2927183")</f>
        <v>https://www.catalog.slsa.sa.gov.au/record=b2927183</v>
      </c>
      <c r="C12170" s="1" t="str">
        <f>HYPERLINK("https://www.catalog.slsa.sa.gov.au/xrecord=b2927183")</f>
        <v>https://www.catalog.slsa.sa.gov.au/xrecord=b2927183</v>
      </c>
      <c r="D12170" t="s">
        <v>31636</v>
      </c>
      <c r="E12170" t="s">
        <v>37141</v>
      </c>
      <c r="F12170" t="s">
        <v>37134</v>
      </c>
      <c r="G12170" t="s">
        <v>36370</v>
      </c>
      <c r="H12170" t="s">
        <v>37142</v>
      </c>
      <c r="I12170" t="s">
        <v>37143</v>
      </c>
      <c r="J12170" t="s">
        <v>37137</v>
      </c>
      <c r="K12170" s="2" t="str">
        <f>HYPERLINK("http://collections.slsa.sa.gov.au/mpcimg/73500/B73284.htm")</f>
        <v>http://collections.slsa.sa.gov.au/mpcimg/73500/B73284.htm</v>
      </c>
    </row>
    <row r="12171" spans="1:11" x14ac:dyDescent="0.25">
      <c r="A12171" t="s">
        <v>37144</v>
      </c>
      <c r="B12171" s="1" t="str">
        <f>HYPERLINK("https://www.catalog.slsa.sa.gov.au/record=b2927267")</f>
        <v>https://www.catalog.slsa.sa.gov.au/record=b2927267</v>
      </c>
      <c r="C12171" s="1" t="str">
        <f>HYPERLINK("https://www.catalog.slsa.sa.gov.au/xrecord=b2927267")</f>
        <v>https://www.catalog.slsa.sa.gov.au/xrecord=b2927267</v>
      </c>
      <c r="D12171" t="s">
        <v>31636</v>
      </c>
      <c r="E12171" t="s">
        <v>37145</v>
      </c>
      <c r="F12171" t="s">
        <v>37134</v>
      </c>
      <c r="G12171" t="s">
        <v>37146</v>
      </c>
      <c r="H12171" t="s">
        <v>37147</v>
      </c>
      <c r="I12171" t="s">
        <v>37148</v>
      </c>
      <c r="J12171" t="s">
        <v>25133</v>
      </c>
      <c r="K12171" s="2" t="str">
        <f>HYPERLINK("http://collections.slsa.sa.gov.au/mpcimg/73500/B73300.htm")</f>
        <v>http://collections.slsa.sa.gov.au/mpcimg/73500/B73300.htm</v>
      </c>
    </row>
    <row r="12172" spans="1:11" x14ac:dyDescent="0.25">
      <c r="A12172" t="s">
        <v>37149</v>
      </c>
      <c r="B12172" s="1" t="str">
        <f>HYPERLINK("https://www.catalog.slsa.sa.gov.au/record=b2939207")</f>
        <v>https://www.catalog.slsa.sa.gov.au/record=b2939207</v>
      </c>
      <c r="C12172" s="1" t="str">
        <f>HYPERLINK("https://www.catalog.slsa.sa.gov.au/xrecord=b2939207")</f>
        <v>https://www.catalog.slsa.sa.gov.au/xrecord=b2939207</v>
      </c>
      <c r="D12172" t="s">
        <v>37150</v>
      </c>
      <c r="E12172" t="s">
        <v>37151</v>
      </c>
      <c r="F12172" t="s">
        <v>37152</v>
      </c>
      <c r="G12172" t="s">
        <v>37153</v>
      </c>
      <c r="H12172" t="s">
        <v>37154</v>
      </c>
      <c r="I12172" t="s">
        <v>37155</v>
      </c>
      <c r="J12172" t="s">
        <v>37156</v>
      </c>
      <c r="K12172" s="2" t="str">
        <f>HYPERLINK("http://collections.slsa.sa.gov.au/mpcimg/73500/B73414.htm")</f>
        <v>http://collections.slsa.sa.gov.au/mpcimg/73500/B73414.htm</v>
      </c>
    </row>
    <row r="12173" spans="1:11" x14ac:dyDescent="0.25">
      <c r="A12173" t="s">
        <v>37157</v>
      </c>
      <c r="B12173" s="1" t="str">
        <f>HYPERLINK("https://www.catalog.slsa.sa.gov.au/record=b2939208")</f>
        <v>https://www.catalog.slsa.sa.gov.au/record=b2939208</v>
      </c>
      <c r="C12173" s="1" t="str">
        <f>HYPERLINK("https://www.catalog.slsa.sa.gov.au/xrecord=b2939208")</f>
        <v>https://www.catalog.slsa.sa.gov.au/xrecord=b2939208</v>
      </c>
      <c r="D12173" t="s">
        <v>37150</v>
      </c>
      <c r="E12173" t="s">
        <v>37151</v>
      </c>
      <c r="F12173" t="s">
        <v>37152</v>
      </c>
      <c r="G12173" t="s">
        <v>37158</v>
      </c>
      <c r="H12173" t="s">
        <v>37159</v>
      </c>
      <c r="I12173" t="s">
        <v>37155</v>
      </c>
      <c r="J12173" t="s">
        <v>37156</v>
      </c>
      <c r="K12173" s="2" t="str">
        <f>HYPERLINK("http://collections.slsa.sa.gov.au/mpcimg/73500/B73415.htm")</f>
        <v>http://collections.slsa.sa.gov.au/mpcimg/73500/B73415.htm</v>
      </c>
    </row>
    <row r="12174" spans="1:11" x14ac:dyDescent="0.25">
      <c r="A12174" t="s">
        <v>37160</v>
      </c>
      <c r="B12174" s="1" t="str">
        <f>HYPERLINK("https://www.catalog.slsa.sa.gov.au/record=b2939104")</f>
        <v>https://www.catalog.slsa.sa.gov.au/record=b2939104</v>
      </c>
      <c r="C12174" s="1" t="str">
        <f>HYPERLINK("https://www.catalog.slsa.sa.gov.au/xrecord=b2939104")</f>
        <v>https://www.catalog.slsa.sa.gov.au/xrecord=b2939104</v>
      </c>
      <c r="D12174" t="s">
        <v>37027</v>
      </c>
      <c r="E12174" t="s">
        <v>37161</v>
      </c>
      <c r="F12174" t="s">
        <v>37162</v>
      </c>
      <c r="G12174" t="s">
        <v>37163</v>
      </c>
      <c r="H12174" t="s">
        <v>37164</v>
      </c>
      <c r="I12174" t="s">
        <v>37165</v>
      </c>
      <c r="J12174" t="s">
        <v>37166</v>
      </c>
      <c r="K12174" s="2" t="str">
        <f>HYPERLINK("http://collections.slsa.sa.gov.au/mpcimg/73500/B73413.htm")</f>
        <v>http://collections.slsa.sa.gov.au/mpcimg/73500/B73413.htm</v>
      </c>
    </row>
    <row r="12175" spans="1:11" x14ac:dyDescent="0.25">
      <c r="A12175" t="s">
        <v>37167</v>
      </c>
      <c r="B12175" s="1" t="str">
        <f>HYPERLINK("https://www.catalog.slsa.sa.gov.au/record=b2939311")</f>
        <v>https://www.catalog.slsa.sa.gov.au/record=b2939311</v>
      </c>
      <c r="C12175" s="1" t="str">
        <f>HYPERLINK("https://www.catalog.slsa.sa.gov.au/xrecord=b2939311")</f>
        <v>https://www.catalog.slsa.sa.gov.au/xrecord=b2939311</v>
      </c>
      <c r="D12175" t="s">
        <v>36431</v>
      </c>
      <c r="E12175" t="s">
        <v>37168</v>
      </c>
      <c r="F12175" t="s">
        <v>37169</v>
      </c>
      <c r="G12175" t="s">
        <v>37058</v>
      </c>
      <c r="H12175" t="s">
        <v>37170</v>
      </c>
      <c r="I12175" t="s">
        <v>37171</v>
      </c>
      <c r="J12175" t="s">
        <v>37172</v>
      </c>
      <c r="K12175" s="2" t="str">
        <f>HYPERLINK("http://collections.slsa.sa.gov.au/mpcimg/73500/B73416.htm")</f>
        <v>http://collections.slsa.sa.gov.au/mpcimg/73500/B73416.htm</v>
      </c>
    </row>
    <row r="12176" spans="1:11" x14ac:dyDescent="0.25">
      <c r="A12176" t="s">
        <v>37173</v>
      </c>
      <c r="B12176" s="1" t="str">
        <f>HYPERLINK("https://www.catalog.slsa.sa.gov.au/record=b3127329")</f>
        <v>https://www.catalog.slsa.sa.gov.au/record=b3127329</v>
      </c>
      <c r="C12176" s="1" t="str">
        <f>HYPERLINK("https://www.catalog.slsa.sa.gov.au/xrecord=b3127329")</f>
        <v>https://www.catalog.slsa.sa.gov.au/xrecord=b3127329</v>
      </c>
      <c r="D12176" t="s">
        <v>31636</v>
      </c>
      <c r="E12176" t="s">
        <v>37174</v>
      </c>
      <c r="F12176" t="s">
        <v>37169</v>
      </c>
      <c r="G12176" t="s">
        <v>36370</v>
      </c>
      <c r="H12176" t="s">
        <v>37175</v>
      </c>
      <c r="I12176" t="s">
        <v>37176</v>
      </c>
      <c r="J12176" t="s">
        <v>1809</v>
      </c>
      <c r="K12176" s="2" t="str">
        <f>HYPERLINK("http://collections.slsa.sa.gov.au/resource/B+75266")</f>
        <v>http://collections.slsa.sa.gov.au/resource/B+75266</v>
      </c>
    </row>
    <row r="12177" spans="1:11" x14ac:dyDescent="0.25">
      <c r="A12177" t="s">
        <v>37177</v>
      </c>
      <c r="B12177" s="1" t="str">
        <f>HYPERLINK("https://www.catalog.slsa.sa.gov.au/record=b2929297")</f>
        <v>https://www.catalog.slsa.sa.gov.au/record=b2929297</v>
      </c>
      <c r="C12177" s="1" t="str">
        <f>HYPERLINK("https://www.catalog.slsa.sa.gov.au/xrecord=b2929297")</f>
        <v>https://www.catalog.slsa.sa.gov.au/xrecord=b2929297</v>
      </c>
      <c r="D12177" t="s">
        <v>37178</v>
      </c>
      <c r="E12177" t="s">
        <v>37179</v>
      </c>
      <c r="F12177" t="s">
        <v>37180</v>
      </c>
      <c r="G12177" t="s">
        <v>37181</v>
      </c>
      <c r="H12177" t="s">
        <v>37182</v>
      </c>
      <c r="I12177" t="s">
        <v>37183</v>
      </c>
      <c r="J12177" t="s">
        <v>37184</v>
      </c>
      <c r="K12177" s="2" t="str">
        <f>HYPERLINK("http://collections.slsa.sa.gov.au/mpcimg/73500/B73380.htm")</f>
        <v>http://collections.slsa.sa.gov.au/mpcimg/73500/B73380.htm</v>
      </c>
    </row>
    <row r="12178" spans="1:11" x14ac:dyDescent="0.25">
      <c r="A12178" t="s">
        <v>37185</v>
      </c>
      <c r="B12178" s="1" t="str">
        <f>HYPERLINK("https://www.catalog.slsa.sa.gov.au/record=b2949494")</f>
        <v>https://www.catalog.slsa.sa.gov.au/record=b2949494</v>
      </c>
      <c r="C12178" s="1" t="str">
        <f>HYPERLINK("https://www.catalog.slsa.sa.gov.au/xrecord=b2949494")</f>
        <v>https://www.catalog.slsa.sa.gov.au/xrecord=b2949494</v>
      </c>
      <c r="D12178" t="s">
        <v>31902</v>
      </c>
      <c r="E12178" t="s">
        <v>37186</v>
      </c>
      <c r="F12178" t="s">
        <v>37187</v>
      </c>
      <c r="G12178" t="s">
        <v>36936</v>
      </c>
      <c r="H12178" t="s">
        <v>37188</v>
      </c>
      <c r="I12178" t="s">
        <v>37189</v>
      </c>
      <c r="J12178" t="s">
        <v>14768</v>
      </c>
      <c r="K12178" s="2" t="str">
        <f>HYPERLINK("http://collections.slsa.sa.gov.au/mpcimg/69500/B69282_756.htm")</f>
        <v>http://collections.slsa.sa.gov.au/mpcimg/69500/B69282_756.htm</v>
      </c>
    </row>
    <row r="12179" spans="1:11" x14ac:dyDescent="0.25">
      <c r="A12179" t="s">
        <v>37190</v>
      </c>
      <c r="B12179" s="1" t="str">
        <f>HYPERLINK("https://www.catalog.slsa.sa.gov.au/record=b2949495")</f>
        <v>https://www.catalog.slsa.sa.gov.au/record=b2949495</v>
      </c>
      <c r="C12179" s="1" t="str">
        <f>HYPERLINK("https://www.catalog.slsa.sa.gov.au/xrecord=b2949495")</f>
        <v>https://www.catalog.slsa.sa.gov.au/xrecord=b2949495</v>
      </c>
      <c r="D12179" t="s">
        <v>31902</v>
      </c>
      <c r="E12179" t="s">
        <v>37186</v>
      </c>
      <c r="F12179" t="s">
        <v>37187</v>
      </c>
      <c r="G12179" t="s">
        <v>36936</v>
      </c>
      <c r="H12179" t="s">
        <v>37191</v>
      </c>
      <c r="I12179" t="s">
        <v>37192</v>
      </c>
      <c r="J12179" t="s">
        <v>14768</v>
      </c>
      <c r="K12179" s="2" t="str">
        <f>HYPERLINK("http://collections.slsa.sa.gov.au/mpcimg/69500/B69282_757.htm")</f>
        <v>http://collections.slsa.sa.gov.au/mpcimg/69500/B69282_757.htm</v>
      </c>
    </row>
    <row r="12180" spans="1:11" x14ac:dyDescent="0.25">
      <c r="A12180" t="s">
        <v>37193</v>
      </c>
      <c r="B12180" s="1" t="str">
        <f>HYPERLINK("https://www.catalog.slsa.sa.gov.au/record=b2949496")</f>
        <v>https://www.catalog.slsa.sa.gov.au/record=b2949496</v>
      </c>
      <c r="C12180" s="1" t="str">
        <f>HYPERLINK("https://www.catalog.slsa.sa.gov.au/xrecord=b2949496")</f>
        <v>https://www.catalog.slsa.sa.gov.au/xrecord=b2949496</v>
      </c>
      <c r="D12180" t="s">
        <v>31902</v>
      </c>
      <c r="E12180" t="s">
        <v>37186</v>
      </c>
      <c r="F12180" t="s">
        <v>37187</v>
      </c>
      <c r="G12180" t="s">
        <v>36936</v>
      </c>
      <c r="H12180" t="s">
        <v>37194</v>
      </c>
      <c r="I12180" t="s">
        <v>37195</v>
      </c>
      <c r="J12180" t="s">
        <v>14768</v>
      </c>
      <c r="K12180" s="2" t="str">
        <f>HYPERLINK("http://collections.slsa.sa.gov.au/mpcimg/69500/B69282_758.htm")</f>
        <v>http://collections.slsa.sa.gov.au/mpcimg/69500/B69282_758.htm</v>
      </c>
    </row>
    <row r="12181" spans="1:11" x14ac:dyDescent="0.25">
      <c r="A12181" t="s">
        <v>37196</v>
      </c>
      <c r="B12181" s="1" t="str">
        <f>HYPERLINK("https://www.catalog.slsa.sa.gov.au/record=b2939678")</f>
        <v>https://www.catalog.slsa.sa.gov.au/record=b2939678</v>
      </c>
      <c r="C12181" s="1" t="str">
        <f>HYPERLINK("https://www.catalog.slsa.sa.gov.au/xrecord=b2939678")</f>
        <v>https://www.catalog.slsa.sa.gov.au/xrecord=b2939678</v>
      </c>
      <c r="D12181" t="s">
        <v>37197</v>
      </c>
      <c r="E12181" t="s">
        <v>37198</v>
      </c>
      <c r="F12181" t="s">
        <v>37199</v>
      </c>
      <c r="G12181" t="s">
        <v>37200</v>
      </c>
      <c r="H12181" t="s">
        <v>37201</v>
      </c>
      <c r="I12181" t="s">
        <v>37202</v>
      </c>
      <c r="J12181" t="s">
        <v>36445</v>
      </c>
      <c r="K12181" s="2" t="str">
        <f>HYPERLINK("http://collections.slsa.sa.gov.au/mpcimg/73750/B73619.htm")</f>
        <v>http://collections.slsa.sa.gov.au/mpcimg/73750/B73619.htm</v>
      </c>
    </row>
    <row r="12182" spans="1:11" x14ac:dyDescent="0.25">
      <c r="A12182" t="s">
        <v>37203</v>
      </c>
      <c r="B12182" s="1" t="str">
        <f>HYPERLINK("https://www.catalog.slsa.sa.gov.au/record=b2939711")</f>
        <v>https://www.catalog.slsa.sa.gov.au/record=b2939711</v>
      </c>
      <c r="C12182" s="1" t="str">
        <f>HYPERLINK("https://www.catalog.slsa.sa.gov.au/xrecord=b2939711")</f>
        <v>https://www.catalog.slsa.sa.gov.au/xrecord=b2939711</v>
      </c>
      <c r="D12182" t="s">
        <v>37197</v>
      </c>
      <c r="E12182" t="s">
        <v>37198</v>
      </c>
      <c r="F12182" t="s">
        <v>37199</v>
      </c>
      <c r="G12182" t="s">
        <v>37204</v>
      </c>
      <c r="H12182" t="s">
        <v>37201</v>
      </c>
      <c r="I12182" t="s">
        <v>37202</v>
      </c>
      <c r="J12182" t="s">
        <v>36445</v>
      </c>
      <c r="K12182" s="2" t="str">
        <f>HYPERLINK("http://collections.slsa.sa.gov.au/mpcimg/73750/B73620.htm")</f>
        <v>http://collections.slsa.sa.gov.au/mpcimg/73750/B73620.htm</v>
      </c>
    </row>
    <row r="12183" spans="1:11" x14ac:dyDescent="0.25">
      <c r="A12183" t="s">
        <v>37205</v>
      </c>
      <c r="B12183" s="1" t="str">
        <f>HYPERLINK("https://www.catalog.slsa.sa.gov.au/record=b2939792")</f>
        <v>https://www.catalog.slsa.sa.gov.au/record=b2939792</v>
      </c>
      <c r="C12183" s="1" t="str">
        <f>HYPERLINK("https://www.catalog.slsa.sa.gov.au/xrecord=b2939792")</f>
        <v>https://www.catalog.slsa.sa.gov.au/xrecord=b2939792</v>
      </c>
      <c r="D12183" t="s">
        <v>37197</v>
      </c>
      <c r="E12183" t="s">
        <v>37198</v>
      </c>
      <c r="F12183" t="s">
        <v>37199</v>
      </c>
      <c r="G12183" t="s">
        <v>37204</v>
      </c>
      <c r="H12183" t="s">
        <v>37206</v>
      </c>
      <c r="I12183" t="s">
        <v>37202</v>
      </c>
      <c r="J12183" t="s">
        <v>36445</v>
      </c>
      <c r="K12183" s="2" t="str">
        <f>HYPERLINK("http://collections.slsa.sa.gov.au/mpcimg/73750/B73621.htm")</f>
        <v>http://collections.slsa.sa.gov.au/mpcimg/73750/B73621.htm</v>
      </c>
    </row>
    <row r="12184" spans="1:11" x14ac:dyDescent="0.25">
      <c r="A12184" t="s">
        <v>37207</v>
      </c>
      <c r="B12184" s="1" t="str">
        <f>HYPERLINK("https://www.catalog.slsa.sa.gov.au/record=b2939793")</f>
        <v>https://www.catalog.slsa.sa.gov.au/record=b2939793</v>
      </c>
      <c r="C12184" s="1" t="str">
        <f>HYPERLINK("https://www.catalog.slsa.sa.gov.au/xrecord=b2939793")</f>
        <v>https://www.catalog.slsa.sa.gov.au/xrecord=b2939793</v>
      </c>
      <c r="D12184" t="s">
        <v>37197</v>
      </c>
      <c r="E12184" t="s">
        <v>37198</v>
      </c>
      <c r="F12184" t="s">
        <v>37199</v>
      </c>
      <c r="G12184" t="s">
        <v>37208</v>
      </c>
      <c r="H12184" t="s">
        <v>37209</v>
      </c>
      <c r="I12184" t="s">
        <v>37202</v>
      </c>
      <c r="J12184" t="s">
        <v>36445</v>
      </c>
      <c r="K12184" s="2" t="str">
        <f>HYPERLINK("http://collections.slsa.sa.gov.au/mpcimg/73750/B73622.htm")</f>
        <v>http://collections.slsa.sa.gov.au/mpcimg/73750/B73622.htm</v>
      </c>
    </row>
    <row r="12185" spans="1:11" x14ac:dyDescent="0.25">
      <c r="A12185" t="s">
        <v>37210</v>
      </c>
      <c r="B12185" s="1" t="str">
        <f>HYPERLINK("https://www.catalog.slsa.sa.gov.au/record=b2939794")</f>
        <v>https://www.catalog.slsa.sa.gov.au/record=b2939794</v>
      </c>
      <c r="C12185" s="1" t="str">
        <f>HYPERLINK("https://www.catalog.slsa.sa.gov.au/xrecord=b2939794")</f>
        <v>https://www.catalog.slsa.sa.gov.au/xrecord=b2939794</v>
      </c>
      <c r="D12185" t="s">
        <v>37197</v>
      </c>
      <c r="E12185" t="s">
        <v>37198</v>
      </c>
      <c r="F12185" t="s">
        <v>37199</v>
      </c>
      <c r="G12185" t="s">
        <v>37200</v>
      </c>
      <c r="H12185" t="s">
        <v>37206</v>
      </c>
      <c r="I12185" t="s">
        <v>37202</v>
      </c>
      <c r="J12185" t="s">
        <v>36445</v>
      </c>
      <c r="K12185" s="2" t="str">
        <f>HYPERLINK("http://collections.slsa.sa.gov.au/mpcimg/73750/B73623.htm")</f>
        <v>http://collections.slsa.sa.gov.au/mpcimg/73750/B73623.htm</v>
      </c>
    </row>
    <row r="12186" spans="1:11" x14ac:dyDescent="0.25">
      <c r="A12186" t="s">
        <v>37211</v>
      </c>
      <c r="B12186" s="1" t="str">
        <f>HYPERLINK("https://www.catalog.slsa.sa.gov.au/record=b2953670")</f>
        <v>https://www.catalog.slsa.sa.gov.au/record=b2953670</v>
      </c>
      <c r="C12186" s="1" t="str">
        <f>HYPERLINK("https://www.catalog.slsa.sa.gov.au/xrecord=b2953670")</f>
        <v>https://www.catalog.slsa.sa.gov.au/xrecord=b2953670</v>
      </c>
      <c r="D12186" t="s">
        <v>37212</v>
      </c>
      <c r="E12186" t="s">
        <v>37213</v>
      </c>
      <c r="F12186" t="s">
        <v>37199</v>
      </c>
      <c r="G12186" t="s">
        <v>37066</v>
      </c>
      <c r="H12186" t="s">
        <v>37214</v>
      </c>
      <c r="I12186" t="s">
        <v>37215</v>
      </c>
      <c r="J12186" t="s">
        <v>36445</v>
      </c>
      <c r="K12186" s="2" t="str">
        <f>HYPERLINK("http://collections.slsa.sa.gov.au/mpcimg/73750/B73611.htm")</f>
        <v>http://collections.slsa.sa.gov.au/mpcimg/73750/B73611.htm</v>
      </c>
    </row>
    <row r="12187" spans="1:11" x14ac:dyDescent="0.25">
      <c r="A12187" t="s">
        <v>37216</v>
      </c>
      <c r="B12187" s="1" t="str">
        <f>HYPERLINK("https://www.catalog.slsa.sa.gov.au/record=b2953674")</f>
        <v>https://www.catalog.slsa.sa.gov.au/record=b2953674</v>
      </c>
      <c r="C12187" s="1" t="str">
        <f>HYPERLINK("https://www.catalog.slsa.sa.gov.au/xrecord=b2953674")</f>
        <v>https://www.catalog.slsa.sa.gov.au/xrecord=b2953674</v>
      </c>
      <c r="D12187" t="s">
        <v>37212</v>
      </c>
      <c r="E12187" t="s">
        <v>37217</v>
      </c>
      <c r="F12187" t="s">
        <v>37199</v>
      </c>
      <c r="G12187" t="s">
        <v>37066</v>
      </c>
      <c r="H12187" t="s">
        <v>37218</v>
      </c>
      <c r="I12187" t="s">
        <v>37219</v>
      </c>
      <c r="J12187" t="s">
        <v>36445</v>
      </c>
      <c r="K12187" s="2" t="str">
        <f>HYPERLINK("http://collections.slsa.sa.gov.au/mpcimg/73750/B73612.htm")</f>
        <v>http://collections.slsa.sa.gov.au/mpcimg/73750/B73612.htm</v>
      </c>
    </row>
    <row r="12188" spans="1:11" x14ac:dyDescent="0.25">
      <c r="A12188" t="s">
        <v>37220</v>
      </c>
      <c r="B12188" s="1" t="str">
        <f>HYPERLINK("https://www.catalog.slsa.sa.gov.au/record=b2953678")</f>
        <v>https://www.catalog.slsa.sa.gov.au/record=b2953678</v>
      </c>
      <c r="C12188" s="1" t="str">
        <f>HYPERLINK("https://www.catalog.slsa.sa.gov.au/xrecord=b2953678")</f>
        <v>https://www.catalog.slsa.sa.gov.au/xrecord=b2953678</v>
      </c>
      <c r="D12188" t="s">
        <v>37212</v>
      </c>
      <c r="E12188" t="s">
        <v>37217</v>
      </c>
      <c r="F12188" t="s">
        <v>37199</v>
      </c>
      <c r="G12188" t="s">
        <v>37066</v>
      </c>
      <c r="H12188" t="s">
        <v>37218</v>
      </c>
      <c r="I12188" t="s">
        <v>37219</v>
      </c>
      <c r="J12188" t="s">
        <v>36445</v>
      </c>
      <c r="K12188" s="2" t="str">
        <f>HYPERLINK("http://collections.slsa.sa.gov.au/mpcimg/73750/B73613.htm")</f>
        <v>http://collections.slsa.sa.gov.au/mpcimg/73750/B73613.htm</v>
      </c>
    </row>
    <row r="12189" spans="1:11" x14ac:dyDescent="0.25">
      <c r="A12189" t="s">
        <v>37221</v>
      </c>
      <c r="B12189" s="1" t="str">
        <f>HYPERLINK("https://www.catalog.slsa.sa.gov.au/record=b2953679")</f>
        <v>https://www.catalog.slsa.sa.gov.au/record=b2953679</v>
      </c>
      <c r="C12189" s="1" t="str">
        <f>HYPERLINK("https://www.catalog.slsa.sa.gov.au/xrecord=b2953679")</f>
        <v>https://www.catalog.slsa.sa.gov.au/xrecord=b2953679</v>
      </c>
      <c r="D12189" t="s">
        <v>37212</v>
      </c>
      <c r="E12189" t="s">
        <v>37222</v>
      </c>
      <c r="F12189" t="s">
        <v>37199</v>
      </c>
      <c r="G12189" t="s">
        <v>37223</v>
      </c>
      <c r="H12189" t="s">
        <v>37224</v>
      </c>
      <c r="I12189" t="s">
        <v>37225</v>
      </c>
      <c r="J12189" t="s">
        <v>36445</v>
      </c>
      <c r="K12189" s="2" t="str">
        <f>HYPERLINK("http://collections.slsa.sa.gov.au/mpcimg/73750/B73614.htm")</f>
        <v>http://collections.slsa.sa.gov.au/mpcimg/73750/B73614.htm</v>
      </c>
    </row>
    <row r="12190" spans="1:11" x14ac:dyDescent="0.25">
      <c r="A12190" t="s">
        <v>37226</v>
      </c>
      <c r="B12190" s="1" t="str">
        <f>HYPERLINK("https://www.catalog.slsa.sa.gov.au/record=b2953686")</f>
        <v>https://www.catalog.slsa.sa.gov.au/record=b2953686</v>
      </c>
      <c r="C12190" s="1" t="str">
        <f>HYPERLINK("https://www.catalog.slsa.sa.gov.au/xrecord=b2953686")</f>
        <v>https://www.catalog.slsa.sa.gov.au/xrecord=b2953686</v>
      </c>
      <c r="D12190" t="s">
        <v>37212</v>
      </c>
      <c r="E12190" t="s">
        <v>37217</v>
      </c>
      <c r="F12190" t="s">
        <v>37199</v>
      </c>
      <c r="G12190" t="s">
        <v>37066</v>
      </c>
      <c r="H12190" t="s">
        <v>37227</v>
      </c>
      <c r="I12190" t="s">
        <v>37228</v>
      </c>
      <c r="J12190" t="s">
        <v>36445</v>
      </c>
      <c r="K12190" s="2" t="str">
        <f>HYPERLINK("http://collections.slsa.sa.gov.au/mpcimg/73750/B73615.htm")</f>
        <v>http://collections.slsa.sa.gov.au/mpcimg/73750/B73615.htm</v>
      </c>
    </row>
    <row r="12191" spans="1:11" x14ac:dyDescent="0.25">
      <c r="A12191" t="s">
        <v>37229</v>
      </c>
      <c r="B12191" s="1" t="str">
        <f>HYPERLINK("https://www.catalog.slsa.sa.gov.au/record=b2953688")</f>
        <v>https://www.catalog.slsa.sa.gov.au/record=b2953688</v>
      </c>
      <c r="C12191" s="1" t="str">
        <f>HYPERLINK("https://www.catalog.slsa.sa.gov.au/xrecord=b2953688")</f>
        <v>https://www.catalog.slsa.sa.gov.au/xrecord=b2953688</v>
      </c>
      <c r="D12191" t="s">
        <v>37212</v>
      </c>
      <c r="E12191" t="s">
        <v>37217</v>
      </c>
      <c r="F12191" t="s">
        <v>37199</v>
      </c>
      <c r="G12191" t="s">
        <v>37066</v>
      </c>
      <c r="H12191" t="s">
        <v>37227</v>
      </c>
      <c r="I12191" t="s">
        <v>37228</v>
      </c>
      <c r="J12191" t="s">
        <v>36445</v>
      </c>
      <c r="K12191" s="2" t="str">
        <f>HYPERLINK("http://collections.slsa.sa.gov.au/mpcimg/73750/B73616.htm")</f>
        <v>http://collections.slsa.sa.gov.au/mpcimg/73750/B73616.htm</v>
      </c>
    </row>
    <row r="12192" spans="1:11" x14ac:dyDescent="0.25">
      <c r="A12192" t="s">
        <v>37230</v>
      </c>
      <c r="B12192" s="1" t="str">
        <f>HYPERLINK("https://www.catalog.slsa.sa.gov.au/record=b2953689")</f>
        <v>https://www.catalog.slsa.sa.gov.au/record=b2953689</v>
      </c>
      <c r="C12192" s="1" t="str">
        <f>HYPERLINK("https://www.catalog.slsa.sa.gov.au/xrecord=b2953689")</f>
        <v>https://www.catalog.slsa.sa.gov.au/xrecord=b2953689</v>
      </c>
      <c r="D12192" t="s">
        <v>37212</v>
      </c>
      <c r="E12192" t="s">
        <v>37217</v>
      </c>
      <c r="F12192" t="s">
        <v>37199</v>
      </c>
      <c r="G12192" t="s">
        <v>37066</v>
      </c>
      <c r="H12192" t="s">
        <v>37227</v>
      </c>
      <c r="I12192" t="s">
        <v>37228</v>
      </c>
      <c r="J12192" t="s">
        <v>36445</v>
      </c>
      <c r="K12192" s="2" t="str">
        <f>HYPERLINK("http://collections.slsa.sa.gov.au/mpcimg/73750/B73617.htm")</f>
        <v>http://collections.slsa.sa.gov.au/mpcimg/73750/B73617.htm</v>
      </c>
    </row>
    <row r="12193" spans="1:11" x14ac:dyDescent="0.25">
      <c r="A12193" t="s">
        <v>37231</v>
      </c>
      <c r="B12193" s="1" t="str">
        <f>HYPERLINK("https://www.catalog.slsa.sa.gov.au/record=b2953691")</f>
        <v>https://www.catalog.slsa.sa.gov.au/record=b2953691</v>
      </c>
      <c r="C12193" s="1" t="str">
        <f>HYPERLINK("https://www.catalog.slsa.sa.gov.au/xrecord=b2953691")</f>
        <v>https://www.catalog.slsa.sa.gov.au/xrecord=b2953691</v>
      </c>
      <c r="D12193" t="s">
        <v>37212</v>
      </c>
      <c r="E12193" t="s">
        <v>37232</v>
      </c>
      <c r="F12193" t="s">
        <v>37199</v>
      </c>
      <c r="G12193" t="s">
        <v>37066</v>
      </c>
      <c r="H12193" t="s">
        <v>37233</v>
      </c>
      <c r="I12193" t="s">
        <v>37234</v>
      </c>
      <c r="J12193" t="s">
        <v>36445</v>
      </c>
      <c r="K12193" s="2" t="str">
        <f>HYPERLINK("http://collections.slsa.sa.gov.au/mpcimg/73750/B73618.htm")</f>
        <v>http://collections.slsa.sa.gov.au/mpcimg/73750/B73618.htm</v>
      </c>
    </row>
    <row r="12194" spans="1:11" x14ac:dyDescent="0.25">
      <c r="A12194" t="s">
        <v>37235</v>
      </c>
      <c r="B12194" s="1" t="str">
        <f>HYPERLINK("https://www.catalog.slsa.sa.gov.au/record=b2941875")</f>
        <v>https://www.catalog.slsa.sa.gov.au/record=b2941875</v>
      </c>
      <c r="C12194" s="1" t="str">
        <f>HYPERLINK("https://www.catalog.slsa.sa.gov.au/xrecord=b2941875")</f>
        <v>https://www.catalog.slsa.sa.gov.au/xrecord=b2941875</v>
      </c>
      <c r="D12194" t="s">
        <v>31902</v>
      </c>
      <c r="E12194" t="s">
        <v>37236</v>
      </c>
      <c r="F12194" t="s">
        <v>37237</v>
      </c>
      <c r="G12194" t="s">
        <v>36943</v>
      </c>
      <c r="H12194" t="s">
        <v>37238</v>
      </c>
      <c r="I12194" t="s">
        <v>37239</v>
      </c>
      <c r="J12194" t="s">
        <v>14768</v>
      </c>
      <c r="K12194" s="2" t="str">
        <f>HYPERLINK("http://collections.slsa.sa.gov.au/resource/B+69282/749")</f>
        <v>http://collections.slsa.sa.gov.au/resource/B+69282/749</v>
      </c>
    </row>
    <row r="12195" spans="1:11" x14ac:dyDescent="0.25">
      <c r="A12195" t="s">
        <v>37240</v>
      </c>
      <c r="B12195" s="1" t="str">
        <f>HYPERLINK("https://www.catalog.slsa.sa.gov.au/record=b2941876")</f>
        <v>https://www.catalog.slsa.sa.gov.au/record=b2941876</v>
      </c>
      <c r="C12195" s="1" t="str">
        <f>HYPERLINK("https://www.catalog.slsa.sa.gov.au/xrecord=b2941876")</f>
        <v>https://www.catalog.slsa.sa.gov.au/xrecord=b2941876</v>
      </c>
      <c r="D12195" t="s">
        <v>31902</v>
      </c>
      <c r="E12195" t="s">
        <v>37236</v>
      </c>
      <c r="F12195" t="s">
        <v>37237</v>
      </c>
      <c r="G12195" t="s">
        <v>36936</v>
      </c>
      <c r="H12195" t="s">
        <v>37238</v>
      </c>
      <c r="I12195" t="s">
        <v>37239</v>
      </c>
      <c r="J12195" t="s">
        <v>14768</v>
      </c>
      <c r="K12195" s="2" t="str">
        <f>HYPERLINK("http://collections.slsa.sa.gov.au/resource/B+69282/750")</f>
        <v>http://collections.slsa.sa.gov.au/resource/B+69282/750</v>
      </c>
    </row>
    <row r="12196" spans="1:11" x14ac:dyDescent="0.25">
      <c r="A12196" t="s">
        <v>37241</v>
      </c>
      <c r="B12196" s="1" t="str">
        <f>HYPERLINK("https://www.catalog.slsa.sa.gov.au/record=b2941878")</f>
        <v>https://www.catalog.slsa.sa.gov.au/record=b2941878</v>
      </c>
      <c r="C12196" s="1" t="str">
        <f>HYPERLINK("https://www.catalog.slsa.sa.gov.au/xrecord=b2941878")</f>
        <v>https://www.catalog.slsa.sa.gov.au/xrecord=b2941878</v>
      </c>
      <c r="D12196" t="s">
        <v>31902</v>
      </c>
      <c r="E12196" t="s">
        <v>37242</v>
      </c>
      <c r="F12196" t="s">
        <v>37237</v>
      </c>
      <c r="G12196" t="s">
        <v>36936</v>
      </c>
      <c r="H12196" t="s">
        <v>37243</v>
      </c>
      <c r="I12196" t="s">
        <v>37244</v>
      </c>
      <c r="J12196" t="s">
        <v>14768</v>
      </c>
      <c r="K12196" s="2" t="str">
        <f>HYPERLINK("http://collections.slsa.sa.gov.au/resource/B+69282/751")</f>
        <v>http://collections.slsa.sa.gov.au/resource/B+69282/751</v>
      </c>
    </row>
    <row r="12197" spans="1:11" x14ac:dyDescent="0.25">
      <c r="A12197" t="s">
        <v>37245</v>
      </c>
      <c r="B12197" s="1" t="str">
        <f>HYPERLINK("https://www.catalog.slsa.sa.gov.au/record=b2941879")</f>
        <v>https://www.catalog.slsa.sa.gov.au/record=b2941879</v>
      </c>
      <c r="C12197" s="1" t="str">
        <f>HYPERLINK("https://www.catalog.slsa.sa.gov.au/xrecord=b2941879")</f>
        <v>https://www.catalog.slsa.sa.gov.au/xrecord=b2941879</v>
      </c>
      <c r="D12197" t="s">
        <v>31902</v>
      </c>
      <c r="E12197" t="s">
        <v>37242</v>
      </c>
      <c r="F12197" t="s">
        <v>37237</v>
      </c>
      <c r="G12197" t="s">
        <v>36936</v>
      </c>
      <c r="H12197" t="s">
        <v>37243</v>
      </c>
      <c r="I12197" t="s">
        <v>37244</v>
      </c>
      <c r="J12197" t="s">
        <v>14768</v>
      </c>
      <c r="K12197" s="2" t="str">
        <f>HYPERLINK("http://collections.slsa.sa.gov.au/resource/B+69282/752")</f>
        <v>http://collections.slsa.sa.gov.au/resource/B+69282/752</v>
      </c>
    </row>
    <row r="12198" spans="1:11" x14ac:dyDescent="0.25">
      <c r="A12198" t="s">
        <v>37246</v>
      </c>
      <c r="B12198" s="1" t="str">
        <f>HYPERLINK("https://www.catalog.slsa.sa.gov.au/record=b2936970")</f>
        <v>https://www.catalog.slsa.sa.gov.au/record=b2936970</v>
      </c>
      <c r="C12198" s="1" t="str">
        <f>HYPERLINK("https://www.catalog.slsa.sa.gov.au/xrecord=b2936970")</f>
        <v>https://www.catalog.slsa.sa.gov.au/xrecord=b2936970</v>
      </c>
      <c r="D12198" t="s">
        <v>37027</v>
      </c>
      <c r="E12198" t="s">
        <v>37247</v>
      </c>
      <c r="F12198" t="s">
        <v>37248</v>
      </c>
      <c r="G12198" t="s">
        <v>37163</v>
      </c>
      <c r="H12198" t="s">
        <v>37249</v>
      </c>
      <c r="I12198" t="s">
        <v>37250</v>
      </c>
      <c r="J12198" t="s">
        <v>37045</v>
      </c>
      <c r="K12198" s="2" t="str">
        <f>HYPERLINK("http://collections.slsa.sa.gov.au/mpcimg/73500/B73392.htm")</f>
        <v>http://collections.slsa.sa.gov.au/mpcimg/73500/B73392.htm</v>
      </c>
    </row>
    <row r="12199" spans="1:11" x14ac:dyDescent="0.25">
      <c r="A12199" t="s">
        <v>37251</v>
      </c>
      <c r="B12199" s="1" t="str">
        <f>HYPERLINK("https://www.catalog.slsa.sa.gov.au/record=b2936971")</f>
        <v>https://www.catalog.slsa.sa.gov.au/record=b2936971</v>
      </c>
      <c r="C12199" s="1" t="str">
        <f>HYPERLINK("https://www.catalog.slsa.sa.gov.au/xrecord=b2936971")</f>
        <v>https://www.catalog.slsa.sa.gov.au/xrecord=b2936971</v>
      </c>
      <c r="D12199" t="s">
        <v>37027</v>
      </c>
      <c r="E12199" t="s">
        <v>37252</v>
      </c>
      <c r="F12199" t="s">
        <v>37248</v>
      </c>
      <c r="G12199" t="s">
        <v>37163</v>
      </c>
      <c r="H12199" t="s">
        <v>37253</v>
      </c>
      <c r="I12199" t="s">
        <v>37254</v>
      </c>
      <c r="J12199" t="s">
        <v>37045</v>
      </c>
      <c r="K12199" s="2" t="str">
        <f>HYPERLINK("http://collections.slsa.sa.gov.au/mpcimg/73500/B73393.htm")</f>
        <v>http://collections.slsa.sa.gov.au/mpcimg/73500/B73393.htm</v>
      </c>
    </row>
    <row r="12200" spans="1:11" x14ac:dyDescent="0.25">
      <c r="A12200" t="s">
        <v>37255</v>
      </c>
      <c r="B12200" s="1" t="str">
        <f>HYPERLINK("https://www.catalog.slsa.sa.gov.au/record=b2936973")</f>
        <v>https://www.catalog.slsa.sa.gov.au/record=b2936973</v>
      </c>
      <c r="C12200" s="1" t="str">
        <f>HYPERLINK("https://www.catalog.slsa.sa.gov.au/xrecord=b2936973")</f>
        <v>https://www.catalog.slsa.sa.gov.au/xrecord=b2936973</v>
      </c>
      <c r="D12200" t="s">
        <v>37027</v>
      </c>
      <c r="E12200" t="s">
        <v>37252</v>
      </c>
      <c r="F12200" t="s">
        <v>37248</v>
      </c>
      <c r="G12200" t="s">
        <v>37163</v>
      </c>
      <c r="H12200" t="s">
        <v>37256</v>
      </c>
      <c r="I12200" t="s">
        <v>37254</v>
      </c>
      <c r="J12200" t="s">
        <v>37045</v>
      </c>
      <c r="K12200" s="2" t="str">
        <f>HYPERLINK("http://collections.slsa.sa.gov.au/mpcimg/73500/B73394.htm")</f>
        <v>http://collections.slsa.sa.gov.au/mpcimg/73500/B73394.htm</v>
      </c>
    </row>
    <row r="12201" spans="1:11" x14ac:dyDescent="0.25">
      <c r="A12201" t="s">
        <v>37257</v>
      </c>
      <c r="B12201" s="1" t="str">
        <f>HYPERLINK("https://www.catalog.slsa.sa.gov.au/record=b2936974")</f>
        <v>https://www.catalog.slsa.sa.gov.au/record=b2936974</v>
      </c>
      <c r="C12201" s="1" t="str">
        <f>HYPERLINK("https://www.catalog.slsa.sa.gov.au/xrecord=b2936974")</f>
        <v>https://www.catalog.slsa.sa.gov.au/xrecord=b2936974</v>
      </c>
      <c r="D12201" t="s">
        <v>37027</v>
      </c>
      <c r="E12201" t="s">
        <v>37258</v>
      </c>
      <c r="F12201" t="s">
        <v>37248</v>
      </c>
      <c r="G12201" t="s">
        <v>37163</v>
      </c>
      <c r="H12201" t="s">
        <v>37259</v>
      </c>
      <c r="I12201" t="s">
        <v>37260</v>
      </c>
      <c r="J12201" t="s">
        <v>37045</v>
      </c>
      <c r="K12201" s="2" t="str">
        <f>HYPERLINK("http://collections.slsa.sa.gov.au/mpcimg/73500/B73395.htm")</f>
        <v>http://collections.slsa.sa.gov.au/mpcimg/73500/B73395.htm</v>
      </c>
    </row>
    <row r="12202" spans="1:11" x14ac:dyDescent="0.25">
      <c r="A12202" t="s">
        <v>37261</v>
      </c>
      <c r="B12202" s="1" t="str">
        <f>HYPERLINK("https://www.catalog.slsa.sa.gov.au/record=b2936977")</f>
        <v>https://www.catalog.slsa.sa.gov.au/record=b2936977</v>
      </c>
      <c r="C12202" s="1" t="str">
        <f>HYPERLINK("https://www.catalog.slsa.sa.gov.au/xrecord=b2936977")</f>
        <v>https://www.catalog.slsa.sa.gov.au/xrecord=b2936977</v>
      </c>
      <c r="D12202" t="s">
        <v>37027</v>
      </c>
      <c r="E12202" t="s">
        <v>37247</v>
      </c>
      <c r="F12202" t="s">
        <v>37248</v>
      </c>
      <c r="G12202" t="s">
        <v>36196</v>
      </c>
      <c r="H12202" t="s">
        <v>37262</v>
      </c>
      <c r="I12202" t="s">
        <v>37250</v>
      </c>
      <c r="J12202" t="s">
        <v>37045</v>
      </c>
      <c r="K12202" s="2" t="str">
        <f>HYPERLINK("http://collections.slsa.sa.gov.au/mpcimg/73500/B73396.htm")</f>
        <v>http://collections.slsa.sa.gov.au/mpcimg/73500/B73396.htm</v>
      </c>
    </row>
    <row r="12203" spans="1:11" x14ac:dyDescent="0.25">
      <c r="A12203" t="s">
        <v>37263</v>
      </c>
      <c r="B12203" s="1" t="str">
        <f>HYPERLINK("https://www.catalog.slsa.sa.gov.au/record=b3189782")</f>
        <v>https://www.catalog.slsa.sa.gov.au/record=b3189782</v>
      </c>
      <c r="C12203" s="1" t="str">
        <f>HYPERLINK("https://www.catalog.slsa.sa.gov.au/xrecord=b3189782")</f>
        <v>https://www.catalog.slsa.sa.gov.au/xrecord=b3189782</v>
      </c>
      <c r="D12203" t="s">
        <v>31636</v>
      </c>
      <c r="E12203" t="s">
        <v>37264</v>
      </c>
      <c r="F12203" t="s">
        <v>37265</v>
      </c>
      <c r="G12203" t="s">
        <v>36396</v>
      </c>
      <c r="H12203" t="s">
        <v>37266</v>
      </c>
      <c r="I12203" t="s">
        <v>37267</v>
      </c>
      <c r="J12203" t="s">
        <v>22448</v>
      </c>
      <c r="K12203" s="2" t="str">
        <f>HYPERLINK("http://collections.slsa.sa.gov.au/resource/B+76677")</f>
        <v>http://collections.slsa.sa.gov.au/resource/B+76677</v>
      </c>
    </row>
    <row r="12204" spans="1:11" x14ac:dyDescent="0.25">
      <c r="A12204" t="s">
        <v>37268</v>
      </c>
      <c r="B12204" s="1" t="str">
        <f>HYPERLINK("https://www.catalog.slsa.sa.gov.au/record=b3189785")</f>
        <v>https://www.catalog.slsa.sa.gov.au/record=b3189785</v>
      </c>
      <c r="C12204" s="1" t="str">
        <f>HYPERLINK("https://www.catalog.slsa.sa.gov.au/xrecord=b3189785")</f>
        <v>https://www.catalog.slsa.sa.gov.au/xrecord=b3189785</v>
      </c>
      <c r="D12204" t="s">
        <v>31636</v>
      </c>
      <c r="E12204" t="s">
        <v>37264</v>
      </c>
      <c r="F12204" t="s">
        <v>37265</v>
      </c>
      <c r="G12204" t="s">
        <v>36396</v>
      </c>
      <c r="H12204" t="s">
        <v>37266</v>
      </c>
      <c r="I12204" t="s">
        <v>37267</v>
      </c>
      <c r="J12204" t="s">
        <v>22448</v>
      </c>
      <c r="K12204" s="2" t="str">
        <f>HYPERLINK("http://collections.slsa.sa.gov.au/resource/B+76678")</f>
        <v>http://collections.slsa.sa.gov.au/resource/B+76678</v>
      </c>
    </row>
    <row r="12205" spans="1:11" x14ac:dyDescent="0.25">
      <c r="A12205" t="s">
        <v>37269</v>
      </c>
      <c r="B12205" s="1" t="str">
        <f>HYPERLINK("https://www.catalog.slsa.sa.gov.au/record=b3189786")</f>
        <v>https://www.catalog.slsa.sa.gov.au/record=b3189786</v>
      </c>
      <c r="C12205" s="1" t="str">
        <f>HYPERLINK("https://www.catalog.slsa.sa.gov.au/xrecord=b3189786")</f>
        <v>https://www.catalog.slsa.sa.gov.au/xrecord=b3189786</v>
      </c>
      <c r="D12205" t="s">
        <v>31636</v>
      </c>
      <c r="E12205" t="s">
        <v>37264</v>
      </c>
      <c r="F12205" t="s">
        <v>37265</v>
      </c>
      <c r="G12205" t="s">
        <v>36396</v>
      </c>
      <c r="H12205" t="s">
        <v>37270</v>
      </c>
      <c r="I12205" t="s">
        <v>37271</v>
      </c>
      <c r="J12205" t="s">
        <v>22448</v>
      </c>
      <c r="K12205" s="2" t="str">
        <f>HYPERLINK("http://collections.slsa.sa.gov.au/resource/B+76679")</f>
        <v>http://collections.slsa.sa.gov.au/resource/B+76679</v>
      </c>
    </row>
    <row r="12206" spans="1:11" x14ac:dyDescent="0.25">
      <c r="A12206" t="s">
        <v>37272</v>
      </c>
      <c r="B12206" s="1" t="str">
        <f>HYPERLINK("https://www.catalog.slsa.sa.gov.au/record=b3189788")</f>
        <v>https://www.catalog.slsa.sa.gov.au/record=b3189788</v>
      </c>
      <c r="C12206" s="1" t="str">
        <f>HYPERLINK("https://www.catalog.slsa.sa.gov.au/xrecord=b3189788")</f>
        <v>https://www.catalog.slsa.sa.gov.au/xrecord=b3189788</v>
      </c>
      <c r="D12206" t="s">
        <v>31636</v>
      </c>
      <c r="E12206" t="s">
        <v>37264</v>
      </c>
      <c r="F12206" t="s">
        <v>37265</v>
      </c>
      <c r="G12206" t="s">
        <v>36370</v>
      </c>
      <c r="H12206" t="s">
        <v>37270</v>
      </c>
      <c r="I12206" t="s">
        <v>37271</v>
      </c>
      <c r="J12206" t="s">
        <v>22448</v>
      </c>
      <c r="K12206" s="2" t="str">
        <f>HYPERLINK("http://collections.slsa.sa.gov.au/resource/B+76680")</f>
        <v>http://collections.slsa.sa.gov.au/resource/B+76680</v>
      </c>
    </row>
    <row r="12207" spans="1:11" x14ac:dyDescent="0.25">
      <c r="A12207" t="s">
        <v>37273</v>
      </c>
      <c r="B12207" s="1" t="str">
        <f>HYPERLINK("https://www.catalog.slsa.sa.gov.au/record=b2949303")</f>
        <v>https://www.catalog.slsa.sa.gov.au/record=b2949303</v>
      </c>
      <c r="C12207" s="1" t="str">
        <f>HYPERLINK("https://www.catalog.slsa.sa.gov.au/xrecord=b2949303")</f>
        <v>https://www.catalog.slsa.sa.gov.au/xrecord=b2949303</v>
      </c>
      <c r="D12207" t="s">
        <v>31902</v>
      </c>
      <c r="E12207" t="s">
        <v>37274</v>
      </c>
      <c r="F12207" t="s">
        <v>37275</v>
      </c>
      <c r="G12207" t="s">
        <v>36936</v>
      </c>
      <c r="H12207" t="s">
        <v>37276</v>
      </c>
      <c r="I12207" t="s">
        <v>37277</v>
      </c>
      <c r="J12207" t="s">
        <v>14768</v>
      </c>
      <c r="K12207" s="2" t="str">
        <f>HYPERLINK("http://collections.slsa.sa.gov.au/mpcimg/69500/B69282_753.htm")</f>
        <v>http://collections.slsa.sa.gov.au/mpcimg/69500/B69282_753.htm</v>
      </c>
    </row>
    <row r="12208" spans="1:11" x14ac:dyDescent="0.25">
      <c r="A12208" t="s">
        <v>37278</v>
      </c>
      <c r="B12208" s="1" t="str">
        <f>HYPERLINK("https://www.catalog.slsa.sa.gov.au/record=b2949304")</f>
        <v>https://www.catalog.slsa.sa.gov.au/record=b2949304</v>
      </c>
      <c r="C12208" s="1" t="str">
        <f>HYPERLINK("https://www.catalog.slsa.sa.gov.au/xrecord=b2949304")</f>
        <v>https://www.catalog.slsa.sa.gov.au/xrecord=b2949304</v>
      </c>
      <c r="D12208" t="s">
        <v>31902</v>
      </c>
      <c r="E12208" t="s">
        <v>37279</v>
      </c>
      <c r="F12208" t="s">
        <v>37275</v>
      </c>
      <c r="G12208" t="s">
        <v>36936</v>
      </c>
      <c r="H12208" t="s">
        <v>37280</v>
      </c>
      <c r="I12208" t="s">
        <v>37277</v>
      </c>
      <c r="J12208" t="s">
        <v>14768</v>
      </c>
      <c r="K12208" s="2" t="str">
        <f>HYPERLINK("http://collections.slsa.sa.gov.au/mpcimg/69500/B69282_754.htm")</f>
        <v>http://collections.slsa.sa.gov.au/mpcimg/69500/B69282_754.htm</v>
      </c>
    </row>
    <row r="12209" spans="1:11" x14ac:dyDescent="0.25">
      <c r="A12209" t="s">
        <v>37281</v>
      </c>
      <c r="B12209" s="1" t="str">
        <f>HYPERLINK("https://www.catalog.slsa.sa.gov.au/record=b2949305")</f>
        <v>https://www.catalog.slsa.sa.gov.au/record=b2949305</v>
      </c>
      <c r="C12209" s="1" t="str">
        <f>HYPERLINK("https://www.catalog.slsa.sa.gov.au/xrecord=b2949305")</f>
        <v>https://www.catalog.slsa.sa.gov.au/xrecord=b2949305</v>
      </c>
      <c r="D12209" t="s">
        <v>31902</v>
      </c>
      <c r="E12209" t="s">
        <v>37282</v>
      </c>
      <c r="F12209" t="s">
        <v>37275</v>
      </c>
      <c r="G12209" t="s">
        <v>36936</v>
      </c>
      <c r="H12209" t="s">
        <v>37283</v>
      </c>
      <c r="I12209" t="s">
        <v>37277</v>
      </c>
      <c r="J12209" t="s">
        <v>14768</v>
      </c>
      <c r="K12209" s="2" t="str">
        <f>HYPERLINK("http://collections.slsa.sa.gov.au/mpcimg/69500/B69282_755.htm")</f>
        <v>http://collections.slsa.sa.gov.au/mpcimg/69500/B69282_755.htm</v>
      </c>
    </row>
    <row r="12210" spans="1:11" x14ac:dyDescent="0.25">
      <c r="A12210" t="s">
        <v>37284</v>
      </c>
      <c r="B12210" s="1" t="str">
        <f>HYPERLINK("https://www.catalog.slsa.sa.gov.au/record=b3011077")</f>
        <v>https://www.catalog.slsa.sa.gov.au/record=b3011077</v>
      </c>
      <c r="C12210" s="1" t="str">
        <f>HYPERLINK("https://www.catalog.slsa.sa.gov.au/xrecord=b3011077")</f>
        <v>https://www.catalog.slsa.sa.gov.au/xrecord=b3011077</v>
      </c>
      <c r="D12210" t="s">
        <v>37055</v>
      </c>
      <c r="E12210" t="s">
        <v>37285</v>
      </c>
      <c r="F12210" t="s">
        <v>37286</v>
      </c>
      <c r="G12210" t="s">
        <v>37058</v>
      </c>
      <c r="H12210" t="s">
        <v>37287</v>
      </c>
      <c r="I12210" t="s">
        <v>37288</v>
      </c>
      <c r="J12210" t="s">
        <v>37289</v>
      </c>
      <c r="K12210" s="2" t="str">
        <f>HYPERLINK("http://collections.slsa.sa.gov.au/mpcimg/74000/B73993.htm")</f>
        <v>http://collections.slsa.sa.gov.au/mpcimg/74000/B73993.htm</v>
      </c>
    </row>
    <row r="12211" spans="1:11" x14ac:dyDescent="0.25">
      <c r="A12211" t="s">
        <v>37290</v>
      </c>
      <c r="B12211" s="1" t="str">
        <f>HYPERLINK("https://www.catalog.slsa.sa.gov.au/record=b3011224")</f>
        <v>https://www.catalog.slsa.sa.gov.au/record=b3011224</v>
      </c>
      <c r="C12211" s="1" t="str">
        <f>HYPERLINK("https://www.catalog.slsa.sa.gov.au/xrecord=b3011224")</f>
        <v>https://www.catalog.slsa.sa.gov.au/xrecord=b3011224</v>
      </c>
      <c r="D12211" t="s">
        <v>31902</v>
      </c>
      <c r="E12211" t="s">
        <v>37291</v>
      </c>
      <c r="F12211" t="s">
        <v>37292</v>
      </c>
      <c r="G12211" t="s">
        <v>36936</v>
      </c>
      <c r="H12211" t="s">
        <v>37293</v>
      </c>
      <c r="I12211" t="s">
        <v>37294</v>
      </c>
      <c r="J12211" t="s">
        <v>37295</v>
      </c>
      <c r="K12211" s="2" t="str">
        <f>HYPERLINK("http://collections.slsa.sa.gov.au/resource/B+69282/773")</f>
        <v>http://collections.slsa.sa.gov.au/resource/B+69282/773</v>
      </c>
    </row>
    <row r="12212" spans="1:11" x14ac:dyDescent="0.25">
      <c r="A12212" t="s">
        <v>37296</v>
      </c>
      <c r="B12212" s="1" t="str">
        <f>HYPERLINK("https://www.catalog.slsa.sa.gov.au/record=b3011217")</f>
        <v>https://www.catalog.slsa.sa.gov.au/record=b3011217</v>
      </c>
      <c r="C12212" s="1" t="str">
        <f>HYPERLINK("https://www.catalog.slsa.sa.gov.au/xrecord=b3011217")</f>
        <v>https://www.catalog.slsa.sa.gov.au/xrecord=b3011217</v>
      </c>
      <c r="D12212" t="s">
        <v>31902</v>
      </c>
      <c r="E12212" t="s">
        <v>37297</v>
      </c>
      <c r="F12212" t="s">
        <v>37298</v>
      </c>
      <c r="G12212" t="s">
        <v>36943</v>
      </c>
      <c r="H12212" t="s">
        <v>37299</v>
      </c>
      <c r="I12212" t="s">
        <v>37300</v>
      </c>
      <c r="J12212" t="s">
        <v>31789</v>
      </c>
      <c r="K12212" s="2" t="str">
        <f>HYPERLINK("http://collections.slsa.sa.gov.au/resource/B+69282/766")</f>
        <v>http://collections.slsa.sa.gov.au/resource/B+69282/766</v>
      </c>
    </row>
    <row r="12213" spans="1:11" x14ac:dyDescent="0.25">
      <c r="A12213" t="s">
        <v>37301</v>
      </c>
      <c r="B12213" s="1" t="str">
        <f>HYPERLINK("https://www.catalog.slsa.sa.gov.au/record=b3011218")</f>
        <v>https://www.catalog.slsa.sa.gov.au/record=b3011218</v>
      </c>
      <c r="C12213" s="1" t="str">
        <f>HYPERLINK("https://www.catalog.slsa.sa.gov.au/xrecord=b3011218")</f>
        <v>https://www.catalog.slsa.sa.gov.au/xrecord=b3011218</v>
      </c>
      <c r="D12213" t="s">
        <v>31902</v>
      </c>
      <c r="E12213" t="s">
        <v>37302</v>
      </c>
      <c r="F12213" t="s">
        <v>37298</v>
      </c>
      <c r="G12213" t="s">
        <v>36936</v>
      </c>
      <c r="H12213" t="s">
        <v>37303</v>
      </c>
      <c r="I12213" t="s">
        <v>37304</v>
      </c>
      <c r="J12213" t="s">
        <v>31789</v>
      </c>
      <c r="K12213" s="2" t="str">
        <f>HYPERLINK("http://collections.slsa.sa.gov.au/resource/B+69282/767")</f>
        <v>http://collections.slsa.sa.gov.au/resource/B+69282/767</v>
      </c>
    </row>
    <row r="12214" spans="1:11" x14ac:dyDescent="0.25">
      <c r="A12214" t="s">
        <v>37305</v>
      </c>
      <c r="B12214" s="1" t="str">
        <f>HYPERLINK("https://www.catalog.slsa.sa.gov.au/record=b3011219")</f>
        <v>https://www.catalog.slsa.sa.gov.au/record=b3011219</v>
      </c>
      <c r="C12214" s="1" t="str">
        <f>HYPERLINK("https://www.catalog.slsa.sa.gov.au/xrecord=b3011219")</f>
        <v>https://www.catalog.slsa.sa.gov.au/xrecord=b3011219</v>
      </c>
      <c r="D12214" t="s">
        <v>31902</v>
      </c>
      <c r="E12214" t="s">
        <v>37306</v>
      </c>
      <c r="F12214" t="s">
        <v>37298</v>
      </c>
      <c r="G12214" t="s">
        <v>36936</v>
      </c>
      <c r="H12214" t="s">
        <v>37307</v>
      </c>
      <c r="I12214" t="s">
        <v>37308</v>
      </c>
      <c r="J12214" t="s">
        <v>37309</v>
      </c>
      <c r="K12214" s="2" t="str">
        <f>HYPERLINK("http://collections.slsa.sa.gov.au/resource/B+69282/768")</f>
        <v>http://collections.slsa.sa.gov.au/resource/B+69282/768</v>
      </c>
    </row>
    <row r="12215" spans="1:11" x14ac:dyDescent="0.25">
      <c r="A12215" t="s">
        <v>37310</v>
      </c>
      <c r="B12215" s="1" t="str">
        <f>HYPERLINK("https://www.catalog.slsa.sa.gov.au/record=b3011220")</f>
        <v>https://www.catalog.slsa.sa.gov.au/record=b3011220</v>
      </c>
      <c r="C12215" s="1" t="str">
        <f>HYPERLINK("https://www.catalog.slsa.sa.gov.au/xrecord=b3011220")</f>
        <v>https://www.catalog.slsa.sa.gov.au/xrecord=b3011220</v>
      </c>
      <c r="D12215" t="s">
        <v>31902</v>
      </c>
      <c r="E12215" t="s">
        <v>37311</v>
      </c>
      <c r="F12215" t="s">
        <v>37298</v>
      </c>
      <c r="G12215" t="s">
        <v>36936</v>
      </c>
      <c r="H12215" t="s">
        <v>37312</v>
      </c>
      <c r="I12215" t="s">
        <v>37313</v>
      </c>
      <c r="J12215" t="s">
        <v>16014</v>
      </c>
      <c r="K12215" s="2" t="str">
        <f>HYPERLINK("http://collections.slsa.sa.gov.au/resource/B+69282/769")</f>
        <v>http://collections.slsa.sa.gov.au/resource/B+69282/769</v>
      </c>
    </row>
    <row r="12216" spans="1:11" x14ac:dyDescent="0.25">
      <c r="A12216" t="s">
        <v>37314</v>
      </c>
      <c r="B12216" s="1" t="str">
        <f>HYPERLINK("https://www.catalog.slsa.sa.gov.au/record=b3011221")</f>
        <v>https://www.catalog.slsa.sa.gov.au/record=b3011221</v>
      </c>
      <c r="C12216" s="1" t="str">
        <f>HYPERLINK("https://www.catalog.slsa.sa.gov.au/xrecord=b3011221")</f>
        <v>https://www.catalog.slsa.sa.gov.au/xrecord=b3011221</v>
      </c>
      <c r="D12216" t="s">
        <v>31902</v>
      </c>
      <c r="E12216" t="s">
        <v>37315</v>
      </c>
      <c r="F12216" t="s">
        <v>37298</v>
      </c>
      <c r="G12216" t="s">
        <v>36936</v>
      </c>
      <c r="H12216" t="s">
        <v>37316</v>
      </c>
      <c r="I12216" t="s">
        <v>37317</v>
      </c>
      <c r="J12216" t="s">
        <v>16014</v>
      </c>
      <c r="K12216" s="2" t="str">
        <f>HYPERLINK("http://collections.slsa.sa.gov.au/resource/B+69282/770")</f>
        <v>http://collections.slsa.sa.gov.au/resource/B+69282/770</v>
      </c>
    </row>
    <row r="12217" spans="1:11" x14ac:dyDescent="0.25">
      <c r="A12217" t="s">
        <v>37318</v>
      </c>
      <c r="B12217" s="1" t="str">
        <f>HYPERLINK("https://www.catalog.slsa.sa.gov.au/record=b3011222")</f>
        <v>https://www.catalog.slsa.sa.gov.au/record=b3011222</v>
      </c>
      <c r="C12217" s="1" t="str">
        <f>HYPERLINK("https://www.catalog.slsa.sa.gov.au/xrecord=b3011222")</f>
        <v>https://www.catalog.slsa.sa.gov.au/xrecord=b3011222</v>
      </c>
      <c r="D12217" t="s">
        <v>31902</v>
      </c>
      <c r="E12217" t="s">
        <v>37319</v>
      </c>
      <c r="F12217" t="s">
        <v>37298</v>
      </c>
      <c r="G12217" t="s">
        <v>36943</v>
      </c>
      <c r="H12217" t="s">
        <v>37320</v>
      </c>
      <c r="I12217" t="s">
        <v>37321</v>
      </c>
      <c r="J12217" t="s">
        <v>2932</v>
      </c>
      <c r="K12217" s="2" t="str">
        <f>HYPERLINK("http://collections.slsa.sa.gov.au/resource/B+69282/771")</f>
        <v>http://collections.slsa.sa.gov.au/resource/B+69282/771</v>
      </c>
    </row>
    <row r="12218" spans="1:11" x14ac:dyDescent="0.25">
      <c r="A12218" t="s">
        <v>37322</v>
      </c>
      <c r="B12218" s="1" t="str">
        <f>HYPERLINK("https://www.catalog.slsa.sa.gov.au/record=b3011223")</f>
        <v>https://www.catalog.slsa.sa.gov.au/record=b3011223</v>
      </c>
      <c r="C12218" s="1" t="str">
        <f>HYPERLINK("https://www.catalog.slsa.sa.gov.au/xrecord=b3011223")</f>
        <v>https://www.catalog.slsa.sa.gov.au/xrecord=b3011223</v>
      </c>
      <c r="D12218" t="s">
        <v>31902</v>
      </c>
      <c r="E12218" t="s">
        <v>37323</v>
      </c>
      <c r="F12218" t="s">
        <v>37298</v>
      </c>
      <c r="G12218" t="s">
        <v>36936</v>
      </c>
      <c r="H12218" t="s">
        <v>37324</v>
      </c>
      <c r="I12218" t="s">
        <v>37325</v>
      </c>
      <c r="J12218" t="s">
        <v>2932</v>
      </c>
      <c r="K12218" s="2" t="str">
        <f>HYPERLINK("http://collections.slsa.sa.gov.au/resource/B+69282/772")</f>
        <v>http://collections.slsa.sa.gov.au/resource/B+69282/772</v>
      </c>
    </row>
    <row r="12219" spans="1:11" x14ac:dyDescent="0.25">
      <c r="A12219" t="s">
        <v>37326</v>
      </c>
      <c r="B12219" s="1" t="str">
        <f>HYPERLINK("https://www.catalog.slsa.sa.gov.au/record=b3189772")</f>
        <v>https://www.catalog.slsa.sa.gov.au/record=b3189772</v>
      </c>
      <c r="C12219" s="1" t="str">
        <f>HYPERLINK("https://www.catalog.slsa.sa.gov.au/xrecord=b3189772")</f>
        <v>https://www.catalog.slsa.sa.gov.au/xrecord=b3189772</v>
      </c>
      <c r="D12219" t="s">
        <v>31636</v>
      </c>
      <c r="E12219" t="s">
        <v>37327</v>
      </c>
      <c r="F12219" t="s">
        <v>37328</v>
      </c>
      <c r="G12219" t="s">
        <v>36370</v>
      </c>
      <c r="H12219" t="s">
        <v>37329</v>
      </c>
      <c r="I12219" t="s">
        <v>37330</v>
      </c>
      <c r="J12219" t="s">
        <v>37331</v>
      </c>
      <c r="K12219" s="2" t="str">
        <f>HYPERLINK("http://collections.slsa.sa.gov.au/resource/B+76674")</f>
        <v>http://collections.slsa.sa.gov.au/resource/B+76674</v>
      </c>
    </row>
    <row r="12220" spans="1:11" x14ac:dyDescent="0.25">
      <c r="A12220" t="s">
        <v>37332</v>
      </c>
      <c r="B12220" s="1" t="str">
        <f>HYPERLINK("https://www.catalog.slsa.sa.gov.au/record=b3189775")</f>
        <v>https://www.catalog.slsa.sa.gov.au/record=b3189775</v>
      </c>
      <c r="C12220" s="1" t="str">
        <f>HYPERLINK("https://www.catalog.slsa.sa.gov.au/xrecord=b3189775")</f>
        <v>https://www.catalog.slsa.sa.gov.au/xrecord=b3189775</v>
      </c>
      <c r="D12220" t="s">
        <v>31636</v>
      </c>
      <c r="E12220" t="s">
        <v>37327</v>
      </c>
      <c r="F12220" t="s">
        <v>37328</v>
      </c>
      <c r="G12220" t="s">
        <v>36370</v>
      </c>
      <c r="H12220" t="s">
        <v>37333</v>
      </c>
      <c r="I12220" t="s">
        <v>37330</v>
      </c>
      <c r="J12220" t="s">
        <v>37331</v>
      </c>
      <c r="K12220" s="2" t="str">
        <f>HYPERLINK("http://collections.slsa.sa.gov.au/resource/B+76675")</f>
        <v>http://collections.slsa.sa.gov.au/resource/B+76675</v>
      </c>
    </row>
    <row r="12221" spans="1:11" x14ac:dyDescent="0.25">
      <c r="A12221" t="s">
        <v>37334</v>
      </c>
      <c r="B12221" s="1" t="str">
        <f>HYPERLINK("https://www.catalog.slsa.sa.gov.au/record=b3189776")</f>
        <v>https://www.catalog.slsa.sa.gov.au/record=b3189776</v>
      </c>
      <c r="C12221" s="1" t="str">
        <f>HYPERLINK("https://www.catalog.slsa.sa.gov.au/xrecord=b3189776")</f>
        <v>https://www.catalog.slsa.sa.gov.au/xrecord=b3189776</v>
      </c>
      <c r="D12221" t="s">
        <v>31636</v>
      </c>
      <c r="E12221" t="s">
        <v>37327</v>
      </c>
      <c r="F12221" t="s">
        <v>37328</v>
      </c>
      <c r="G12221" t="s">
        <v>36370</v>
      </c>
      <c r="H12221" t="s">
        <v>37335</v>
      </c>
      <c r="I12221" t="s">
        <v>37336</v>
      </c>
      <c r="J12221" t="s">
        <v>37331</v>
      </c>
      <c r="K12221" s="2" t="str">
        <f>HYPERLINK("http://collections.slsa.sa.gov.au/resource/B+76676")</f>
        <v>http://collections.slsa.sa.gov.au/resource/B+76676</v>
      </c>
    </row>
    <row r="12222" spans="1:11" x14ac:dyDescent="0.25">
      <c r="A12222" t="s">
        <v>37337</v>
      </c>
      <c r="B12222" s="1" t="str">
        <f>HYPERLINK("https://www.catalog.slsa.sa.gov.au/record=b3011214")</f>
        <v>https://www.catalog.slsa.sa.gov.au/record=b3011214</v>
      </c>
      <c r="C12222" s="1" t="str">
        <f>HYPERLINK("https://www.catalog.slsa.sa.gov.au/xrecord=b3011214")</f>
        <v>https://www.catalog.slsa.sa.gov.au/xrecord=b3011214</v>
      </c>
      <c r="D12222" t="s">
        <v>31902</v>
      </c>
      <c r="E12222" t="s">
        <v>37338</v>
      </c>
      <c r="F12222" t="s">
        <v>37339</v>
      </c>
      <c r="G12222" t="s">
        <v>36936</v>
      </c>
      <c r="H12222" t="s">
        <v>37340</v>
      </c>
      <c r="I12222" t="s">
        <v>37341</v>
      </c>
      <c r="J12222" t="s">
        <v>18911</v>
      </c>
      <c r="K12222" s="2" t="str">
        <f>HYPERLINK("http://collections.slsa.sa.gov.au/resource/B+69282/763")</f>
        <v>http://collections.slsa.sa.gov.au/resource/B+69282/763</v>
      </c>
    </row>
    <row r="12223" spans="1:11" x14ac:dyDescent="0.25">
      <c r="A12223" t="s">
        <v>37342</v>
      </c>
      <c r="B12223" s="1" t="str">
        <f>HYPERLINK("https://www.catalog.slsa.sa.gov.au/record=b3011215")</f>
        <v>https://www.catalog.slsa.sa.gov.au/record=b3011215</v>
      </c>
      <c r="C12223" s="1" t="str">
        <f>HYPERLINK("https://www.catalog.slsa.sa.gov.au/xrecord=b3011215")</f>
        <v>https://www.catalog.slsa.sa.gov.au/xrecord=b3011215</v>
      </c>
      <c r="D12223" t="s">
        <v>31902</v>
      </c>
      <c r="E12223" t="s">
        <v>37343</v>
      </c>
      <c r="F12223" t="s">
        <v>37339</v>
      </c>
      <c r="G12223" t="s">
        <v>36936</v>
      </c>
      <c r="H12223" t="s">
        <v>37344</v>
      </c>
      <c r="I12223" t="s">
        <v>37345</v>
      </c>
      <c r="J12223" t="s">
        <v>18911</v>
      </c>
      <c r="K12223" s="2" t="str">
        <f>HYPERLINK("http://collections.slsa.sa.gov.au/resource/B+69282/764")</f>
        <v>http://collections.slsa.sa.gov.au/resource/B+69282/764</v>
      </c>
    </row>
    <row r="12224" spans="1:11" x14ac:dyDescent="0.25">
      <c r="A12224" t="s">
        <v>37346</v>
      </c>
      <c r="B12224" s="1" t="str">
        <f>HYPERLINK("https://www.catalog.slsa.sa.gov.au/record=b3011216")</f>
        <v>https://www.catalog.slsa.sa.gov.au/record=b3011216</v>
      </c>
      <c r="C12224" s="1" t="str">
        <f>HYPERLINK("https://www.catalog.slsa.sa.gov.au/xrecord=b3011216")</f>
        <v>https://www.catalog.slsa.sa.gov.au/xrecord=b3011216</v>
      </c>
      <c r="D12224" t="s">
        <v>31902</v>
      </c>
      <c r="E12224" t="s">
        <v>37338</v>
      </c>
      <c r="F12224" t="s">
        <v>37339</v>
      </c>
      <c r="G12224" t="s">
        <v>36936</v>
      </c>
      <c r="H12224" t="s">
        <v>37340</v>
      </c>
      <c r="I12224" t="s">
        <v>37341</v>
      </c>
      <c r="J12224" t="s">
        <v>18911</v>
      </c>
      <c r="K12224" s="2" t="str">
        <f>HYPERLINK("http://collections.slsa.sa.gov.au/resource/B+69282/765")</f>
        <v>http://collections.slsa.sa.gov.au/resource/B+69282/765</v>
      </c>
    </row>
    <row r="12225" spans="1:11" x14ac:dyDescent="0.25">
      <c r="A12225" t="s">
        <v>37347</v>
      </c>
      <c r="B12225" s="1" t="str">
        <f>HYPERLINK("https://www.catalog.slsa.sa.gov.au/record=b3011209")</f>
        <v>https://www.catalog.slsa.sa.gov.au/record=b3011209</v>
      </c>
      <c r="C12225" s="1" t="str">
        <f>HYPERLINK("https://www.catalog.slsa.sa.gov.au/xrecord=b3011209")</f>
        <v>https://www.catalog.slsa.sa.gov.au/xrecord=b3011209</v>
      </c>
      <c r="D12225" t="s">
        <v>31902</v>
      </c>
      <c r="E12225" t="s">
        <v>37348</v>
      </c>
      <c r="F12225" t="s">
        <v>37349</v>
      </c>
      <c r="G12225" t="s">
        <v>36936</v>
      </c>
      <c r="H12225" t="s">
        <v>37350</v>
      </c>
      <c r="I12225" t="s">
        <v>37351</v>
      </c>
      <c r="J12225" t="s">
        <v>14911</v>
      </c>
      <c r="K12225" s="2" t="str">
        <f>HYPERLINK("http://collections.slsa.sa.gov.au/resource/B+69282/759")</f>
        <v>http://collections.slsa.sa.gov.au/resource/B+69282/759</v>
      </c>
    </row>
    <row r="12226" spans="1:11" x14ac:dyDescent="0.25">
      <c r="A12226" t="s">
        <v>37352</v>
      </c>
      <c r="B12226" s="1" t="str">
        <f>HYPERLINK("https://www.catalog.slsa.sa.gov.au/record=b3011210")</f>
        <v>https://www.catalog.slsa.sa.gov.au/record=b3011210</v>
      </c>
      <c r="C12226" s="1" t="str">
        <f>HYPERLINK("https://www.catalog.slsa.sa.gov.au/xrecord=b3011210")</f>
        <v>https://www.catalog.slsa.sa.gov.au/xrecord=b3011210</v>
      </c>
      <c r="D12226" t="s">
        <v>31902</v>
      </c>
      <c r="E12226" t="s">
        <v>37348</v>
      </c>
      <c r="F12226" t="s">
        <v>37349</v>
      </c>
      <c r="G12226" t="s">
        <v>36936</v>
      </c>
      <c r="H12226" t="s">
        <v>37350</v>
      </c>
      <c r="I12226" t="s">
        <v>37351</v>
      </c>
      <c r="J12226" t="s">
        <v>14911</v>
      </c>
      <c r="K12226" s="2" t="str">
        <f>HYPERLINK("http://collections.slsa.sa.gov.au/resource/B+69282/760")</f>
        <v>http://collections.slsa.sa.gov.au/resource/B+69282/760</v>
      </c>
    </row>
    <row r="12227" spans="1:11" x14ac:dyDescent="0.25">
      <c r="A12227" t="s">
        <v>37353</v>
      </c>
      <c r="B12227" s="1" t="str">
        <f>HYPERLINK("https://www.catalog.slsa.sa.gov.au/record=b3011212")</f>
        <v>https://www.catalog.slsa.sa.gov.au/record=b3011212</v>
      </c>
      <c r="C12227" s="1" t="str">
        <f>HYPERLINK("https://www.catalog.slsa.sa.gov.au/xrecord=b3011212")</f>
        <v>https://www.catalog.slsa.sa.gov.au/xrecord=b3011212</v>
      </c>
      <c r="D12227" t="s">
        <v>31902</v>
      </c>
      <c r="E12227" t="s">
        <v>14908</v>
      </c>
      <c r="F12227" t="s">
        <v>37349</v>
      </c>
      <c r="G12227" t="s">
        <v>36936</v>
      </c>
      <c r="H12227" t="s">
        <v>37354</v>
      </c>
      <c r="I12227" t="s">
        <v>37355</v>
      </c>
      <c r="J12227" t="s">
        <v>14911</v>
      </c>
      <c r="K12227" s="2" t="str">
        <f>HYPERLINK("http://collections.slsa.sa.gov.au/resource/B+69282/761")</f>
        <v>http://collections.slsa.sa.gov.au/resource/B+69282/761</v>
      </c>
    </row>
    <row r="12228" spans="1:11" x14ac:dyDescent="0.25">
      <c r="A12228" t="s">
        <v>37356</v>
      </c>
      <c r="B12228" s="1" t="str">
        <f>HYPERLINK("https://www.catalog.slsa.sa.gov.au/record=b3011213")</f>
        <v>https://www.catalog.slsa.sa.gov.au/record=b3011213</v>
      </c>
      <c r="C12228" s="1" t="str">
        <f>HYPERLINK("https://www.catalog.slsa.sa.gov.au/xrecord=b3011213")</f>
        <v>https://www.catalog.slsa.sa.gov.au/xrecord=b3011213</v>
      </c>
      <c r="D12228" t="s">
        <v>31902</v>
      </c>
      <c r="E12228" t="s">
        <v>37357</v>
      </c>
      <c r="F12228" t="s">
        <v>37349</v>
      </c>
      <c r="G12228" t="s">
        <v>36936</v>
      </c>
      <c r="H12228" t="s">
        <v>37358</v>
      </c>
      <c r="I12228" t="s">
        <v>37359</v>
      </c>
      <c r="J12228" t="s">
        <v>14911</v>
      </c>
      <c r="K12228" s="2" t="str">
        <f>HYPERLINK("http://collections.slsa.sa.gov.au/resource/B+69282/762")</f>
        <v>http://collections.slsa.sa.gov.au/resource/B+69282/762</v>
      </c>
    </row>
    <row r="12229" spans="1:11" x14ac:dyDescent="0.25">
      <c r="A12229" t="s">
        <v>37360</v>
      </c>
      <c r="B12229" s="1" t="str">
        <f>HYPERLINK("https://www.catalog.slsa.sa.gov.au/record=b3027670")</f>
        <v>https://www.catalog.slsa.sa.gov.au/record=b3027670</v>
      </c>
      <c r="C12229" s="1" t="str">
        <f>HYPERLINK("https://www.catalog.slsa.sa.gov.au/xrecord=b3027670")</f>
        <v>https://www.catalog.slsa.sa.gov.au/xrecord=b3027670</v>
      </c>
      <c r="D12229" t="s">
        <v>31636</v>
      </c>
      <c r="E12229" t="s">
        <v>37361</v>
      </c>
      <c r="F12229">
        <v>2015</v>
      </c>
      <c r="G12229" t="s">
        <v>37362</v>
      </c>
      <c r="H12229" t="s">
        <v>37363</v>
      </c>
      <c r="J12229" t="s">
        <v>16076</v>
      </c>
      <c r="K12229" s="2" t="str">
        <f>HYPERLINK("http://collections.slsa.sa.gov.au/resource/B+74486")</f>
        <v>http://collections.slsa.sa.gov.au/resource/B+74486</v>
      </c>
    </row>
    <row r="12230" spans="1:11" x14ac:dyDescent="0.25">
      <c r="A12230" t="s">
        <v>37364</v>
      </c>
      <c r="B12230" s="1" t="str">
        <f>HYPERLINK("https://www.catalog.slsa.sa.gov.au/record=b3027671")</f>
        <v>https://www.catalog.slsa.sa.gov.au/record=b3027671</v>
      </c>
      <c r="C12230" s="1" t="str">
        <f>HYPERLINK("https://www.catalog.slsa.sa.gov.au/xrecord=b3027671")</f>
        <v>https://www.catalog.slsa.sa.gov.au/xrecord=b3027671</v>
      </c>
      <c r="D12230" t="s">
        <v>31636</v>
      </c>
      <c r="E12230" t="s">
        <v>37361</v>
      </c>
      <c r="F12230">
        <v>2015</v>
      </c>
      <c r="G12230" t="s">
        <v>37365</v>
      </c>
      <c r="H12230" t="s">
        <v>37366</v>
      </c>
      <c r="J12230" t="s">
        <v>16076</v>
      </c>
      <c r="K12230" s="2" t="str">
        <f>HYPERLINK("http://collections.slsa.sa.gov.au/resource/B+74487")</f>
        <v>http://collections.slsa.sa.gov.au/resource/B+74487</v>
      </c>
    </row>
    <row r="12231" spans="1:11" x14ac:dyDescent="0.25">
      <c r="A12231" t="s">
        <v>37367</v>
      </c>
      <c r="B12231" s="1" t="str">
        <f>HYPERLINK("https://www.catalog.slsa.sa.gov.au/record=b3189620")</f>
        <v>https://www.catalog.slsa.sa.gov.au/record=b3189620</v>
      </c>
      <c r="C12231" s="1" t="str">
        <f>HYPERLINK("https://www.catalog.slsa.sa.gov.au/xrecord=b3189620")</f>
        <v>https://www.catalog.slsa.sa.gov.au/xrecord=b3189620</v>
      </c>
      <c r="D12231" t="s">
        <v>31636</v>
      </c>
      <c r="E12231" t="s">
        <v>37368</v>
      </c>
      <c r="F12231" t="s">
        <v>37369</v>
      </c>
      <c r="G12231" t="s">
        <v>36370</v>
      </c>
      <c r="H12231" t="s">
        <v>37370</v>
      </c>
      <c r="I12231" t="s">
        <v>37371</v>
      </c>
      <c r="J12231" t="s">
        <v>37372</v>
      </c>
      <c r="K12231" s="2" t="str">
        <f>HYPERLINK("http://collections.slsa.sa.gov.au/resource/B+76620")</f>
        <v>http://collections.slsa.sa.gov.au/resource/B+76620</v>
      </c>
    </row>
    <row r="12232" spans="1:11" x14ac:dyDescent="0.25">
      <c r="A12232" t="s">
        <v>37373</v>
      </c>
      <c r="B12232" s="1" t="str">
        <f>HYPERLINK("https://www.catalog.slsa.sa.gov.au/record=b3189623")</f>
        <v>https://www.catalog.slsa.sa.gov.au/record=b3189623</v>
      </c>
      <c r="C12232" s="1" t="str">
        <f>HYPERLINK("https://www.catalog.slsa.sa.gov.au/xrecord=b3189623")</f>
        <v>https://www.catalog.slsa.sa.gov.au/xrecord=b3189623</v>
      </c>
      <c r="D12232" t="s">
        <v>31636</v>
      </c>
      <c r="E12232" t="s">
        <v>37368</v>
      </c>
      <c r="F12232" t="s">
        <v>37369</v>
      </c>
      <c r="G12232" t="s">
        <v>36370</v>
      </c>
      <c r="H12232" t="s">
        <v>37370</v>
      </c>
      <c r="I12232" t="s">
        <v>37371</v>
      </c>
      <c r="J12232" t="s">
        <v>37372</v>
      </c>
      <c r="K12232" s="2" t="str">
        <f>HYPERLINK("http://collections.slsa.sa.gov.au/resource/B+76621")</f>
        <v>http://collections.slsa.sa.gov.au/resource/B+76621</v>
      </c>
    </row>
    <row r="12233" spans="1:11" x14ac:dyDescent="0.25">
      <c r="A12233" t="s">
        <v>37374</v>
      </c>
      <c r="B12233" s="1" t="str">
        <f>HYPERLINK("https://www.catalog.slsa.sa.gov.au/record=b3189624")</f>
        <v>https://www.catalog.slsa.sa.gov.au/record=b3189624</v>
      </c>
      <c r="C12233" s="1" t="str">
        <f>HYPERLINK("https://www.catalog.slsa.sa.gov.au/xrecord=b3189624")</f>
        <v>https://www.catalog.slsa.sa.gov.au/xrecord=b3189624</v>
      </c>
      <c r="D12233" t="s">
        <v>31636</v>
      </c>
      <c r="E12233" t="s">
        <v>37368</v>
      </c>
      <c r="F12233" t="s">
        <v>37369</v>
      </c>
      <c r="G12233" t="s">
        <v>36370</v>
      </c>
      <c r="H12233" t="s">
        <v>37375</v>
      </c>
      <c r="I12233" t="s">
        <v>37371</v>
      </c>
      <c r="J12233" t="s">
        <v>37372</v>
      </c>
      <c r="K12233" s="2" t="str">
        <f>HYPERLINK("http://collections.slsa.sa.gov.au/resource/B+76622")</f>
        <v>http://collections.slsa.sa.gov.au/resource/B+76622</v>
      </c>
    </row>
    <row r="12234" spans="1:11" x14ac:dyDescent="0.25">
      <c r="A12234" t="s">
        <v>37376</v>
      </c>
      <c r="B12234" s="1" t="str">
        <f>HYPERLINK("https://www.catalog.slsa.sa.gov.au/record=b3189625")</f>
        <v>https://www.catalog.slsa.sa.gov.au/record=b3189625</v>
      </c>
      <c r="C12234" s="1" t="str">
        <f>HYPERLINK("https://www.catalog.slsa.sa.gov.au/xrecord=b3189625")</f>
        <v>https://www.catalog.slsa.sa.gov.au/xrecord=b3189625</v>
      </c>
      <c r="D12234" t="s">
        <v>31636</v>
      </c>
      <c r="E12234" t="s">
        <v>37368</v>
      </c>
      <c r="F12234" t="s">
        <v>37369</v>
      </c>
      <c r="G12234" t="s">
        <v>36370</v>
      </c>
      <c r="H12234" t="s">
        <v>37377</v>
      </c>
      <c r="I12234" t="s">
        <v>37371</v>
      </c>
      <c r="J12234" t="s">
        <v>37372</v>
      </c>
      <c r="K12234" s="2" t="str">
        <f>HYPERLINK("http://collections.slsa.sa.gov.au/resource/B+76623")</f>
        <v>http://collections.slsa.sa.gov.au/resource/B+76623</v>
      </c>
    </row>
    <row r="12235" spans="1:11" x14ac:dyDescent="0.25">
      <c r="A12235" t="s">
        <v>37378</v>
      </c>
      <c r="B12235" s="1" t="str">
        <f>HYPERLINK("https://www.catalog.slsa.sa.gov.au/record=b3189627")</f>
        <v>https://www.catalog.slsa.sa.gov.au/record=b3189627</v>
      </c>
      <c r="C12235" s="1" t="str">
        <f>HYPERLINK("https://www.catalog.slsa.sa.gov.au/xrecord=b3189627")</f>
        <v>https://www.catalog.slsa.sa.gov.au/xrecord=b3189627</v>
      </c>
      <c r="D12235" t="s">
        <v>31636</v>
      </c>
      <c r="E12235" t="s">
        <v>37368</v>
      </c>
      <c r="F12235" t="s">
        <v>37369</v>
      </c>
      <c r="G12235" t="s">
        <v>36370</v>
      </c>
      <c r="H12235" t="s">
        <v>37379</v>
      </c>
      <c r="I12235" t="s">
        <v>37371</v>
      </c>
      <c r="J12235" t="s">
        <v>37372</v>
      </c>
      <c r="K12235" s="2" t="str">
        <f>HYPERLINK("http://collections.slsa.sa.gov.au/resource/B+76624")</f>
        <v>http://collections.slsa.sa.gov.au/resource/B+76624</v>
      </c>
    </row>
    <row r="12236" spans="1:11" x14ac:dyDescent="0.25">
      <c r="A12236" t="s">
        <v>37380</v>
      </c>
      <c r="B12236" s="1" t="str">
        <f>HYPERLINK("https://www.catalog.slsa.sa.gov.au/record=b3189629")</f>
        <v>https://www.catalog.slsa.sa.gov.au/record=b3189629</v>
      </c>
      <c r="C12236" s="1" t="str">
        <f>HYPERLINK("https://www.catalog.slsa.sa.gov.au/xrecord=b3189629")</f>
        <v>https://www.catalog.slsa.sa.gov.au/xrecord=b3189629</v>
      </c>
      <c r="D12236" t="s">
        <v>31636</v>
      </c>
      <c r="E12236" t="s">
        <v>37368</v>
      </c>
      <c r="F12236" t="s">
        <v>37369</v>
      </c>
      <c r="G12236" t="s">
        <v>36370</v>
      </c>
      <c r="H12236" t="s">
        <v>37381</v>
      </c>
      <c r="I12236" t="s">
        <v>37371</v>
      </c>
      <c r="J12236" t="s">
        <v>37372</v>
      </c>
      <c r="K12236" s="2" t="str">
        <f>HYPERLINK("http://collections.slsa.sa.gov.au/resource/B+76625")</f>
        <v>http://collections.slsa.sa.gov.au/resource/B+76625</v>
      </c>
    </row>
    <row r="12237" spans="1:11" x14ac:dyDescent="0.25">
      <c r="A12237" t="s">
        <v>37382</v>
      </c>
      <c r="B12237" s="1" t="str">
        <f>HYPERLINK("https://www.catalog.slsa.sa.gov.au/record=b3189630")</f>
        <v>https://www.catalog.slsa.sa.gov.au/record=b3189630</v>
      </c>
      <c r="C12237" s="1" t="str">
        <f>HYPERLINK("https://www.catalog.slsa.sa.gov.au/xrecord=b3189630")</f>
        <v>https://www.catalog.slsa.sa.gov.au/xrecord=b3189630</v>
      </c>
      <c r="D12237" t="s">
        <v>31636</v>
      </c>
      <c r="E12237" t="s">
        <v>37368</v>
      </c>
      <c r="F12237" t="s">
        <v>37369</v>
      </c>
      <c r="G12237" t="s">
        <v>36370</v>
      </c>
      <c r="H12237" t="s">
        <v>37381</v>
      </c>
      <c r="I12237" t="s">
        <v>37371</v>
      </c>
      <c r="J12237" t="s">
        <v>37372</v>
      </c>
      <c r="K12237" s="2" t="str">
        <f>HYPERLINK("http://collections.slsa.sa.gov.au/resource/B+76626")</f>
        <v>http://collections.slsa.sa.gov.au/resource/B+76626</v>
      </c>
    </row>
    <row r="12238" spans="1:11" x14ac:dyDescent="0.25">
      <c r="A12238" t="s">
        <v>37383</v>
      </c>
      <c r="B12238" s="1" t="str">
        <f>HYPERLINK("https://www.catalog.slsa.sa.gov.au/record=b3189631")</f>
        <v>https://www.catalog.slsa.sa.gov.au/record=b3189631</v>
      </c>
      <c r="C12238" s="1" t="str">
        <f>HYPERLINK("https://www.catalog.slsa.sa.gov.au/xrecord=b3189631")</f>
        <v>https://www.catalog.slsa.sa.gov.au/xrecord=b3189631</v>
      </c>
      <c r="D12238" t="s">
        <v>31636</v>
      </c>
      <c r="E12238" t="s">
        <v>37368</v>
      </c>
      <c r="F12238" t="s">
        <v>37369</v>
      </c>
      <c r="G12238" t="s">
        <v>36370</v>
      </c>
      <c r="H12238" t="s">
        <v>37384</v>
      </c>
      <c r="I12238" t="s">
        <v>37371</v>
      </c>
      <c r="J12238" t="s">
        <v>37372</v>
      </c>
      <c r="K12238" s="2" t="str">
        <f>HYPERLINK("http://collections.slsa.sa.gov.au/resource/B+76627")</f>
        <v>http://collections.slsa.sa.gov.au/resource/B+76627</v>
      </c>
    </row>
    <row r="12239" spans="1:11" x14ac:dyDescent="0.25">
      <c r="A12239" t="s">
        <v>37385</v>
      </c>
      <c r="B12239" s="1" t="str">
        <f>HYPERLINK("https://www.catalog.slsa.sa.gov.au/record=b3189634")</f>
        <v>https://www.catalog.slsa.sa.gov.au/record=b3189634</v>
      </c>
      <c r="C12239" s="1" t="str">
        <f>HYPERLINK("https://www.catalog.slsa.sa.gov.au/xrecord=b3189634")</f>
        <v>https://www.catalog.slsa.sa.gov.au/xrecord=b3189634</v>
      </c>
      <c r="D12239" t="s">
        <v>31636</v>
      </c>
      <c r="E12239" t="s">
        <v>37368</v>
      </c>
      <c r="F12239" t="s">
        <v>37369</v>
      </c>
      <c r="G12239" t="s">
        <v>36370</v>
      </c>
      <c r="H12239" t="s">
        <v>37384</v>
      </c>
      <c r="I12239" t="s">
        <v>37371</v>
      </c>
      <c r="J12239" t="s">
        <v>37372</v>
      </c>
      <c r="K12239" s="2" t="str">
        <f>HYPERLINK("http://collections.slsa.sa.gov.au/resource/B+76628")</f>
        <v>http://collections.slsa.sa.gov.au/resource/B+76628</v>
      </c>
    </row>
    <row r="12240" spans="1:11" x14ac:dyDescent="0.25">
      <c r="A12240" t="s">
        <v>37386</v>
      </c>
      <c r="B12240" s="1" t="str">
        <f>HYPERLINK("https://www.catalog.slsa.sa.gov.au/record=b3189636")</f>
        <v>https://www.catalog.slsa.sa.gov.au/record=b3189636</v>
      </c>
      <c r="C12240" s="1" t="str">
        <f>HYPERLINK("https://www.catalog.slsa.sa.gov.au/xrecord=b3189636")</f>
        <v>https://www.catalog.slsa.sa.gov.au/xrecord=b3189636</v>
      </c>
      <c r="D12240" t="s">
        <v>31636</v>
      </c>
      <c r="E12240" t="s">
        <v>37368</v>
      </c>
      <c r="F12240" t="s">
        <v>37369</v>
      </c>
      <c r="G12240" t="s">
        <v>36396</v>
      </c>
      <c r="H12240" t="s">
        <v>37384</v>
      </c>
      <c r="I12240" t="s">
        <v>37371</v>
      </c>
      <c r="J12240" t="s">
        <v>37372</v>
      </c>
      <c r="K12240" s="2" t="str">
        <f>HYPERLINK("http://collections.slsa.sa.gov.au/resource/B+76630")</f>
        <v>http://collections.slsa.sa.gov.au/resource/B+76630</v>
      </c>
    </row>
    <row r="12241" spans="1:11" x14ac:dyDescent="0.25">
      <c r="A12241" t="s">
        <v>37387</v>
      </c>
      <c r="B12241" s="1" t="str">
        <f>HYPERLINK("https://www.catalog.slsa.sa.gov.au/record=b3189637")</f>
        <v>https://www.catalog.slsa.sa.gov.au/record=b3189637</v>
      </c>
      <c r="C12241" s="1" t="str">
        <f>HYPERLINK("https://www.catalog.slsa.sa.gov.au/xrecord=b3189637")</f>
        <v>https://www.catalog.slsa.sa.gov.au/xrecord=b3189637</v>
      </c>
      <c r="D12241" t="s">
        <v>31636</v>
      </c>
      <c r="E12241" t="s">
        <v>37368</v>
      </c>
      <c r="F12241" t="s">
        <v>37369</v>
      </c>
      <c r="G12241" t="s">
        <v>36396</v>
      </c>
      <c r="H12241" t="s">
        <v>37388</v>
      </c>
      <c r="I12241" t="s">
        <v>37371</v>
      </c>
      <c r="J12241" t="s">
        <v>37372</v>
      </c>
      <c r="K12241" s="2" t="str">
        <f>HYPERLINK("http://collections.slsa.sa.gov.au/resource/B+76629")</f>
        <v>http://collections.slsa.sa.gov.au/resource/B+76629</v>
      </c>
    </row>
    <row r="12242" spans="1:11" x14ac:dyDescent="0.25">
      <c r="A12242" t="s">
        <v>37389</v>
      </c>
      <c r="B12242" s="1" t="str">
        <f>HYPERLINK("https://www.catalog.slsa.sa.gov.au/record=b3189640")</f>
        <v>https://www.catalog.slsa.sa.gov.au/record=b3189640</v>
      </c>
      <c r="C12242" s="1" t="str">
        <f>HYPERLINK("https://www.catalog.slsa.sa.gov.au/xrecord=b3189640")</f>
        <v>https://www.catalog.slsa.sa.gov.au/xrecord=b3189640</v>
      </c>
      <c r="D12242" t="s">
        <v>31636</v>
      </c>
      <c r="E12242" t="s">
        <v>37368</v>
      </c>
      <c r="F12242" t="s">
        <v>37369</v>
      </c>
      <c r="G12242" t="s">
        <v>36370</v>
      </c>
      <c r="H12242" t="s">
        <v>37384</v>
      </c>
      <c r="I12242" t="s">
        <v>37371</v>
      </c>
      <c r="J12242" t="s">
        <v>37372</v>
      </c>
      <c r="K12242" s="2" t="str">
        <f>HYPERLINK("http://collections.slsa.sa.gov.au/resource/B+76631")</f>
        <v>http://collections.slsa.sa.gov.au/resource/B+76631</v>
      </c>
    </row>
    <row r="12243" spans="1:11" x14ac:dyDescent="0.25">
      <c r="A12243" t="s">
        <v>37390</v>
      </c>
      <c r="B12243" s="1" t="str">
        <f>HYPERLINK("https://www.catalog.slsa.sa.gov.au/record=b3189641")</f>
        <v>https://www.catalog.slsa.sa.gov.au/record=b3189641</v>
      </c>
      <c r="C12243" s="1" t="str">
        <f>HYPERLINK("https://www.catalog.slsa.sa.gov.au/xrecord=b3189641")</f>
        <v>https://www.catalog.slsa.sa.gov.au/xrecord=b3189641</v>
      </c>
      <c r="D12243" t="s">
        <v>31636</v>
      </c>
      <c r="E12243" t="s">
        <v>37368</v>
      </c>
      <c r="F12243" t="s">
        <v>37369</v>
      </c>
      <c r="G12243" t="s">
        <v>36370</v>
      </c>
      <c r="H12243" t="s">
        <v>37391</v>
      </c>
      <c r="I12243" t="s">
        <v>37371</v>
      </c>
      <c r="J12243" t="s">
        <v>37372</v>
      </c>
      <c r="K12243" s="2" t="str">
        <f>HYPERLINK("http://collections.slsa.sa.gov.au/resource/B+76632")</f>
        <v>http://collections.slsa.sa.gov.au/resource/B+76632</v>
      </c>
    </row>
    <row r="12244" spans="1:11" x14ac:dyDescent="0.25">
      <c r="A12244" t="s">
        <v>37392</v>
      </c>
      <c r="B12244" s="1" t="str">
        <f>HYPERLINK("https://www.catalog.slsa.sa.gov.au/record=b3189642")</f>
        <v>https://www.catalog.slsa.sa.gov.au/record=b3189642</v>
      </c>
      <c r="C12244" s="1" t="str">
        <f>HYPERLINK("https://www.catalog.slsa.sa.gov.au/xrecord=b3189642")</f>
        <v>https://www.catalog.slsa.sa.gov.au/xrecord=b3189642</v>
      </c>
      <c r="D12244" t="s">
        <v>31636</v>
      </c>
      <c r="E12244" t="s">
        <v>37368</v>
      </c>
      <c r="F12244" t="s">
        <v>37369</v>
      </c>
      <c r="G12244" t="s">
        <v>36370</v>
      </c>
      <c r="H12244" t="s">
        <v>37391</v>
      </c>
      <c r="I12244" t="s">
        <v>37371</v>
      </c>
      <c r="J12244" t="s">
        <v>37372</v>
      </c>
      <c r="K12244" s="2" t="str">
        <f>HYPERLINK("http://collections.slsa.sa.gov.au/resource/B+76633")</f>
        <v>http://collections.slsa.sa.gov.au/resource/B+76633</v>
      </c>
    </row>
    <row r="12245" spans="1:11" x14ac:dyDescent="0.25">
      <c r="A12245" t="s">
        <v>37393</v>
      </c>
      <c r="B12245" s="1" t="str">
        <f>HYPERLINK("https://www.catalog.slsa.sa.gov.au/record=b3189643")</f>
        <v>https://www.catalog.slsa.sa.gov.au/record=b3189643</v>
      </c>
      <c r="C12245" s="1" t="str">
        <f>HYPERLINK("https://www.catalog.slsa.sa.gov.au/xrecord=b3189643")</f>
        <v>https://www.catalog.slsa.sa.gov.au/xrecord=b3189643</v>
      </c>
      <c r="D12245" t="s">
        <v>31636</v>
      </c>
      <c r="E12245" t="s">
        <v>37368</v>
      </c>
      <c r="F12245" t="s">
        <v>37369</v>
      </c>
      <c r="G12245" t="s">
        <v>36370</v>
      </c>
      <c r="H12245" t="s">
        <v>37391</v>
      </c>
      <c r="I12245" t="s">
        <v>37371</v>
      </c>
      <c r="J12245" t="s">
        <v>37372</v>
      </c>
      <c r="K12245" s="2" t="str">
        <f>HYPERLINK("http://collections.slsa.sa.gov.au/resource/B+76634")</f>
        <v>http://collections.slsa.sa.gov.au/resource/B+76634</v>
      </c>
    </row>
    <row r="12246" spans="1:11" x14ac:dyDescent="0.25">
      <c r="A12246" t="s">
        <v>37394</v>
      </c>
      <c r="B12246" s="1" t="str">
        <f>HYPERLINK("https://www.catalog.slsa.sa.gov.au/record=b3189644")</f>
        <v>https://www.catalog.slsa.sa.gov.au/record=b3189644</v>
      </c>
      <c r="C12246" s="1" t="str">
        <f>HYPERLINK("https://www.catalog.slsa.sa.gov.au/xrecord=b3189644")</f>
        <v>https://www.catalog.slsa.sa.gov.au/xrecord=b3189644</v>
      </c>
      <c r="D12246" t="s">
        <v>31636</v>
      </c>
      <c r="E12246" t="s">
        <v>37368</v>
      </c>
      <c r="F12246" t="s">
        <v>37369</v>
      </c>
      <c r="G12246" t="s">
        <v>36370</v>
      </c>
      <c r="H12246" t="s">
        <v>37384</v>
      </c>
      <c r="I12246" t="s">
        <v>37371</v>
      </c>
      <c r="J12246" t="s">
        <v>37372</v>
      </c>
      <c r="K12246" s="2" t="str">
        <f>HYPERLINK("http://collections.slsa.sa.gov.au/resource/B+76635")</f>
        <v>http://collections.slsa.sa.gov.au/resource/B+76635</v>
      </c>
    </row>
    <row r="12247" spans="1:11" x14ac:dyDescent="0.25">
      <c r="A12247" t="s">
        <v>37395</v>
      </c>
      <c r="B12247" s="1" t="str">
        <f>HYPERLINK("https://www.catalog.slsa.sa.gov.au/record=b3189645")</f>
        <v>https://www.catalog.slsa.sa.gov.au/record=b3189645</v>
      </c>
      <c r="C12247" s="1" t="str">
        <f>HYPERLINK("https://www.catalog.slsa.sa.gov.au/xrecord=b3189645")</f>
        <v>https://www.catalog.slsa.sa.gov.au/xrecord=b3189645</v>
      </c>
      <c r="D12247" t="s">
        <v>31636</v>
      </c>
      <c r="E12247" t="s">
        <v>37368</v>
      </c>
      <c r="F12247" t="s">
        <v>37369</v>
      </c>
      <c r="G12247" t="s">
        <v>36396</v>
      </c>
      <c r="H12247" t="s">
        <v>37396</v>
      </c>
      <c r="I12247" t="s">
        <v>37371</v>
      </c>
      <c r="J12247" t="s">
        <v>37372</v>
      </c>
      <c r="K12247" s="2" t="str">
        <f>HYPERLINK("http://collections.slsa.sa.gov.au/resource/B+76636")</f>
        <v>http://collections.slsa.sa.gov.au/resource/B+76636</v>
      </c>
    </row>
    <row r="12248" spans="1:11" x14ac:dyDescent="0.25">
      <c r="A12248" t="s">
        <v>37397</v>
      </c>
      <c r="B12248" s="1" t="str">
        <f>HYPERLINK("https://www.catalog.slsa.sa.gov.au/record=b3189647")</f>
        <v>https://www.catalog.slsa.sa.gov.au/record=b3189647</v>
      </c>
      <c r="C12248" s="1" t="str">
        <f>HYPERLINK("https://www.catalog.slsa.sa.gov.au/xrecord=b3189647")</f>
        <v>https://www.catalog.slsa.sa.gov.au/xrecord=b3189647</v>
      </c>
      <c r="D12248" t="s">
        <v>31636</v>
      </c>
      <c r="E12248" t="s">
        <v>37368</v>
      </c>
      <c r="F12248" t="s">
        <v>37369</v>
      </c>
      <c r="G12248" t="s">
        <v>36370</v>
      </c>
      <c r="H12248" t="s">
        <v>37398</v>
      </c>
      <c r="I12248" t="s">
        <v>37371</v>
      </c>
      <c r="J12248" t="s">
        <v>37372</v>
      </c>
      <c r="K12248" s="2" t="str">
        <f>HYPERLINK("http://collections.slsa.sa.gov.au/resource/B+76637")</f>
        <v>http://collections.slsa.sa.gov.au/resource/B+76637</v>
      </c>
    </row>
    <row r="12249" spans="1:11" x14ac:dyDescent="0.25">
      <c r="A12249" t="s">
        <v>37399</v>
      </c>
      <c r="B12249" s="1" t="str">
        <f>HYPERLINK("https://www.catalog.slsa.sa.gov.au/record=b3189648")</f>
        <v>https://www.catalog.slsa.sa.gov.au/record=b3189648</v>
      </c>
      <c r="C12249" s="1" t="str">
        <f>HYPERLINK("https://www.catalog.slsa.sa.gov.au/xrecord=b3189648")</f>
        <v>https://www.catalog.slsa.sa.gov.au/xrecord=b3189648</v>
      </c>
      <c r="D12249" t="s">
        <v>31636</v>
      </c>
      <c r="E12249" t="s">
        <v>37368</v>
      </c>
      <c r="F12249" t="s">
        <v>37369</v>
      </c>
      <c r="G12249" t="s">
        <v>36370</v>
      </c>
      <c r="H12249" t="s">
        <v>37400</v>
      </c>
      <c r="I12249" t="s">
        <v>37371</v>
      </c>
      <c r="J12249" t="s">
        <v>37372</v>
      </c>
      <c r="K12249" s="2" t="str">
        <f>HYPERLINK("http://collections.slsa.sa.gov.au/resource/B+76638")</f>
        <v>http://collections.slsa.sa.gov.au/resource/B+76638</v>
      </c>
    </row>
    <row r="12250" spans="1:11" x14ac:dyDescent="0.25">
      <c r="A12250" t="s">
        <v>37401</v>
      </c>
      <c r="B12250" s="1" t="str">
        <f>HYPERLINK("https://www.catalog.slsa.sa.gov.au/record=b3058237")</f>
        <v>https://www.catalog.slsa.sa.gov.au/record=b3058237</v>
      </c>
      <c r="C12250" s="1" t="str">
        <f>HYPERLINK("https://www.catalog.slsa.sa.gov.au/xrecord=b3058237")</f>
        <v>https://www.catalog.slsa.sa.gov.au/xrecord=b3058237</v>
      </c>
      <c r="D12250" t="s">
        <v>31902</v>
      </c>
      <c r="E12250" t="s">
        <v>37402</v>
      </c>
      <c r="F12250" t="s">
        <v>37403</v>
      </c>
      <c r="G12250" t="s">
        <v>36936</v>
      </c>
      <c r="H12250" t="s">
        <v>37404</v>
      </c>
      <c r="I12250" t="s">
        <v>37405</v>
      </c>
      <c r="J12250" t="s">
        <v>15664</v>
      </c>
      <c r="K12250" s="2" t="str">
        <f>HYPERLINK("http://collections.slsa.sa.gov.au/resource/B+69282/785")</f>
        <v>http://collections.slsa.sa.gov.au/resource/B+69282/785</v>
      </c>
    </row>
    <row r="12251" spans="1:11" x14ac:dyDescent="0.25">
      <c r="A12251" t="s">
        <v>37406</v>
      </c>
      <c r="B12251" s="1" t="str">
        <f>HYPERLINK("https://www.catalog.slsa.sa.gov.au/record=b3058239")</f>
        <v>https://www.catalog.slsa.sa.gov.au/record=b3058239</v>
      </c>
      <c r="C12251" s="1" t="str">
        <f>HYPERLINK("https://www.catalog.slsa.sa.gov.au/xrecord=b3058239")</f>
        <v>https://www.catalog.slsa.sa.gov.au/xrecord=b3058239</v>
      </c>
      <c r="D12251" t="s">
        <v>31902</v>
      </c>
      <c r="E12251" t="s">
        <v>37407</v>
      </c>
      <c r="F12251" t="s">
        <v>37403</v>
      </c>
      <c r="G12251" t="s">
        <v>36936</v>
      </c>
      <c r="H12251" t="s">
        <v>37408</v>
      </c>
      <c r="I12251" t="s">
        <v>37409</v>
      </c>
      <c r="J12251" t="s">
        <v>15664</v>
      </c>
      <c r="K12251" s="2" t="str">
        <f>HYPERLINK("http://collections.slsa.sa.gov.au/resource/B+69282/786")</f>
        <v>http://collections.slsa.sa.gov.au/resource/B+69282/786</v>
      </c>
    </row>
    <row r="12252" spans="1:11" x14ac:dyDescent="0.25">
      <c r="A12252" t="s">
        <v>37410</v>
      </c>
      <c r="B12252" s="1" t="str">
        <f>HYPERLINK("https://www.catalog.slsa.sa.gov.au/record=b3058240")</f>
        <v>https://www.catalog.slsa.sa.gov.au/record=b3058240</v>
      </c>
      <c r="C12252" s="1" t="str">
        <f>HYPERLINK("https://www.catalog.slsa.sa.gov.au/xrecord=b3058240")</f>
        <v>https://www.catalog.slsa.sa.gov.au/xrecord=b3058240</v>
      </c>
      <c r="D12252" t="s">
        <v>31902</v>
      </c>
      <c r="E12252" t="s">
        <v>37411</v>
      </c>
      <c r="F12252" t="s">
        <v>37403</v>
      </c>
      <c r="G12252" t="s">
        <v>36936</v>
      </c>
      <c r="H12252" t="s">
        <v>37412</v>
      </c>
      <c r="I12252" t="s">
        <v>37413</v>
      </c>
      <c r="J12252" t="s">
        <v>15664</v>
      </c>
      <c r="K12252" s="2" t="str">
        <f>HYPERLINK("http://collections.slsa.sa.gov.au/resource/B+69282/787")</f>
        <v>http://collections.slsa.sa.gov.au/resource/B+69282/787</v>
      </c>
    </row>
    <row r="12253" spans="1:11" x14ac:dyDescent="0.25">
      <c r="A12253" t="s">
        <v>37414</v>
      </c>
      <c r="B12253" s="1" t="str">
        <f>HYPERLINK("https://www.catalog.slsa.sa.gov.au/record=b3058250")</f>
        <v>https://www.catalog.slsa.sa.gov.au/record=b3058250</v>
      </c>
      <c r="C12253" s="1" t="str">
        <f>HYPERLINK("https://www.catalog.slsa.sa.gov.au/xrecord=b3058250")</f>
        <v>https://www.catalog.slsa.sa.gov.au/xrecord=b3058250</v>
      </c>
      <c r="D12253" t="s">
        <v>31902</v>
      </c>
      <c r="E12253" t="s">
        <v>37415</v>
      </c>
      <c r="F12253" t="s">
        <v>37403</v>
      </c>
      <c r="G12253" t="s">
        <v>36936</v>
      </c>
      <c r="H12253" t="s">
        <v>37416</v>
      </c>
      <c r="I12253" t="s">
        <v>37409</v>
      </c>
      <c r="J12253" t="s">
        <v>15664</v>
      </c>
      <c r="K12253" s="2" t="str">
        <f>HYPERLINK("http://collections.slsa.sa.gov.au/resource/B+69282/788")</f>
        <v>http://collections.slsa.sa.gov.au/resource/B+69282/788</v>
      </c>
    </row>
    <row r="12254" spans="1:11" x14ac:dyDescent="0.25">
      <c r="A12254" t="s">
        <v>37417</v>
      </c>
      <c r="B12254" s="1" t="str">
        <f>HYPERLINK("https://www.catalog.slsa.sa.gov.au/record=b3058252")</f>
        <v>https://www.catalog.slsa.sa.gov.au/record=b3058252</v>
      </c>
      <c r="C12254" s="1" t="str">
        <f>HYPERLINK("https://www.catalog.slsa.sa.gov.au/xrecord=b3058252")</f>
        <v>https://www.catalog.slsa.sa.gov.au/xrecord=b3058252</v>
      </c>
      <c r="D12254" t="s">
        <v>31902</v>
      </c>
      <c r="E12254" t="s">
        <v>37418</v>
      </c>
      <c r="F12254" t="s">
        <v>37403</v>
      </c>
      <c r="G12254" t="s">
        <v>36936</v>
      </c>
      <c r="H12254" t="s">
        <v>37419</v>
      </c>
      <c r="I12254" t="s">
        <v>37409</v>
      </c>
      <c r="J12254" t="s">
        <v>15664</v>
      </c>
      <c r="K12254" s="2" t="str">
        <f>HYPERLINK("http://collections.slsa.sa.gov.au/resource/B+69282/789")</f>
        <v>http://collections.slsa.sa.gov.au/resource/B+69282/789</v>
      </c>
    </row>
    <row r="12255" spans="1:11" x14ac:dyDescent="0.25">
      <c r="A12255" t="s">
        <v>37420</v>
      </c>
      <c r="B12255" s="1" t="str">
        <f>HYPERLINK("https://www.catalog.slsa.sa.gov.au/record=b3058253")</f>
        <v>https://www.catalog.slsa.sa.gov.au/record=b3058253</v>
      </c>
      <c r="C12255" s="1" t="str">
        <f>HYPERLINK("https://www.catalog.slsa.sa.gov.au/xrecord=b3058253")</f>
        <v>https://www.catalog.slsa.sa.gov.au/xrecord=b3058253</v>
      </c>
      <c r="D12255" t="s">
        <v>31902</v>
      </c>
      <c r="E12255" t="s">
        <v>37421</v>
      </c>
      <c r="F12255" t="s">
        <v>37403</v>
      </c>
      <c r="G12255" t="s">
        <v>36936</v>
      </c>
      <c r="H12255" t="s">
        <v>37422</v>
      </c>
      <c r="I12255" t="s">
        <v>37409</v>
      </c>
      <c r="J12255" t="s">
        <v>15664</v>
      </c>
      <c r="K12255" s="2" t="str">
        <f>HYPERLINK("http://collections.slsa.sa.gov.au/resource/B+69282/790")</f>
        <v>http://collections.slsa.sa.gov.au/resource/B+69282/790</v>
      </c>
    </row>
    <row r="12256" spans="1:11" x14ac:dyDescent="0.25">
      <c r="A12256" t="s">
        <v>37423</v>
      </c>
      <c r="B12256" s="1" t="str">
        <f>HYPERLINK("https://www.catalog.slsa.sa.gov.au/record=b3126465")</f>
        <v>https://www.catalog.slsa.sa.gov.au/record=b3126465</v>
      </c>
      <c r="C12256" s="1" t="str">
        <f>HYPERLINK("https://www.catalog.slsa.sa.gov.au/xrecord=b3126465")</f>
        <v>https://www.catalog.slsa.sa.gov.au/xrecord=b3126465</v>
      </c>
      <c r="D12256" t="s">
        <v>31636</v>
      </c>
      <c r="E12256" t="s">
        <v>37424</v>
      </c>
      <c r="F12256" t="s">
        <v>37425</v>
      </c>
      <c r="G12256" t="s">
        <v>36396</v>
      </c>
      <c r="H12256" t="s">
        <v>37426</v>
      </c>
      <c r="I12256" t="s">
        <v>37427</v>
      </c>
      <c r="J12256" t="s">
        <v>22724</v>
      </c>
      <c r="K12256" s="2" t="str">
        <f>HYPERLINK("http://collections.slsa.sa.gov.au/resource/B+75205")</f>
        <v>http://collections.slsa.sa.gov.au/resource/B+75205</v>
      </c>
    </row>
    <row r="12257" spans="1:11" x14ac:dyDescent="0.25">
      <c r="A12257" t="s">
        <v>37428</v>
      </c>
      <c r="B12257" s="1" t="str">
        <f>HYPERLINK("https://www.catalog.slsa.sa.gov.au/record=b3126468")</f>
        <v>https://www.catalog.slsa.sa.gov.au/record=b3126468</v>
      </c>
      <c r="C12257" s="1" t="str">
        <f>HYPERLINK("https://www.catalog.slsa.sa.gov.au/xrecord=b3126468")</f>
        <v>https://www.catalog.slsa.sa.gov.au/xrecord=b3126468</v>
      </c>
      <c r="D12257" t="s">
        <v>31636</v>
      </c>
      <c r="E12257" t="s">
        <v>37429</v>
      </c>
      <c r="F12257" t="s">
        <v>37425</v>
      </c>
      <c r="G12257" t="s">
        <v>36396</v>
      </c>
      <c r="H12257" t="s">
        <v>37430</v>
      </c>
      <c r="I12257" t="s">
        <v>37427</v>
      </c>
      <c r="J12257" t="s">
        <v>22724</v>
      </c>
      <c r="K12257" s="2" t="str">
        <f>HYPERLINK("http://collections.slsa.sa.gov.au/resource/B+75206")</f>
        <v>http://collections.slsa.sa.gov.au/resource/B+75206</v>
      </c>
    </row>
    <row r="12258" spans="1:11" x14ac:dyDescent="0.25">
      <c r="A12258" t="s">
        <v>37431</v>
      </c>
      <c r="B12258" s="1" t="str">
        <f>HYPERLINK("https://www.catalog.slsa.sa.gov.au/record=b3126470")</f>
        <v>https://www.catalog.slsa.sa.gov.au/record=b3126470</v>
      </c>
      <c r="C12258" s="1" t="str">
        <f>HYPERLINK("https://www.catalog.slsa.sa.gov.au/xrecord=b3126470")</f>
        <v>https://www.catalog.slsa.sa.gov.au/xrecord=b3126470</v>
      </c>
      <c r="D12258" t="s">
        <v>31636</v>
      </c>
      <c r="E12258" t="s">
        <v>37424</v>
      </c>
      <c r="F12258" t="s">
        <v>37425</v>
      </c>
      <c r="G12258" t="s">
        <v>36396</v>
      </c>
      <c r="H12258" t="s">
        <v>37432</v>
      </c>
      <c r="I12258" t="s">
        <v>37427</v>
      </c>
      <c r="J12258" t="s">
        <v>22724</v>
      </c>
      <c r="K12258" s="2" t="str">
        <f>HYPERLINK("http://collections.slsa.sa.gov.au/resource/B+75207")</f>
        <v>http://collections.slsa.sa.gov.au/resource/B+75207</v>
      </c>
    </row>
    <row r="12259" spans="1:11" x14ac:dyDescent="0.25">
      <c r="A12259" t="s">
        <v>37433</v>
      </c>
      <c r="B12259" s="1" t="str">
        <f>HYPERLINK("https://www.catalog.slsa.sa.gov.au/record=b3126471")</f>
        <v>https://www.catalog.slsa.sa.gov.au/record=b3126471</v>
      </c>
      <c r="C12259" s="1" t="str">
        <f>HYPERLINK("https://www.catalog.slsa.sa.gov.au/xrecord=b3126471")</f>
        <v>https://www.catalog.slsa.sa.gov.au/xrecord=b3126471</v>
      </c>
      <c r="D12259" t="s">
        <v>31636</v>
      </c>
      <c r="E12259" t="s">
        <v>37424</v>
      </c>
      <c r="F12259" t="s">
        <v>37425</v>
      </c>
      <c r="G12259" t="s">
        <v>36370</v>
      </c>
      <c r="H12259" t="s">
        <v>37434</v>
      </c>
      <c r="I12259" t="s">
        <v>37427</v>
      </c>
      <c r="J12259" t="s">
        <v>22724</v>
      </c>
      <c r="K12259" s="2" t="str">
        <f>HYPERLINK("http://collections.slsa.sa.gov.au/resource/B+75208")</f>
        <v>http://collections.slsa.sa.gov.au/resource/B+75208</v>
      </c>
    </row>
    <row r="12260" spans="1:11" x14ac:dyDescent="0.25">
      <c r="A12260" t="s">
        <v>37435</v>
      </c>
      <c r="B12260" s="1" t="str">
        <f>HYPERLINK("https://www.catalog.slsa.sa.gov.au/record=b3024053")</f>
        <v>https://www.catalog.slsa.sa.gov.au/record=b3024053</v>
      </c>
      <c r="C12260" s="1" t="str">
        <f>HYPERLINK("https://www.catalog.slsa.sa.gov.au/xrecord=b3024053")</f>
        <v>https://www.catalog.slsa.sa.gov.au/xrecord=b3024053</v>
      </c>
      <c r="D12260" t="s">
        <v>31902</v>
      </c>
      <c r="E12260" t="s">
        <v>37436</v>
      </c>
      <c r="F12260" t="s">
        <v>37437</v>
      </c>
      <c r="G12260" t="s">
        <v>36936</v>
      </c>
      <c r="H12260" t="s">
        <v>37438</v>
      </c>
      <c r="I12260" t="s">
        <v>37439</v>
      </c>
      <c r="J12260" t="s">
        <v>15664</v>
      </c>
      <c r="K12260" s="2" t="str">
        <f>HYPERLINK("http://collections.slsa.sa.gov.au/resource/B+69282/774")</f>
        <v>http://collections.slsa.sa.gov.au/resource/B+69282/774</v>
      </c>
    </row>
    <row r="12261" spans="1:11" x14ac:dyDescent="0.25">
      <c r="A12261" t="s">
        <v>37440</v>
      </c>
      <c r="B12261" s="1" t="str">
        <f>HYPERLINK("https://www.catalog.slsa.sa.gov.au/record=b3024055")</f>
        <v>https://www.catalog.slsa.sa.gov.au/record=b3024055</v>
      </c>
      <c r="C12261" s="1" t="str">
        <f>HYPERLINK("https://www.catalog.slsa.sa.gov.au/xrecord=b3024055")</f>
        <v>https://www.catalog.slsa.sa.gov.au/xrecord=b3024055</v>
      </c>
      <c r="D12261" t="s">
        <v>31902</v>
      </c>
      <c r="E12261" t="s">
        <v>37441</v>
      </c>
      <c r="F12261" t="s">
        <v>37437</v>
      </c>
      <c r="G12261" t="s">
        <v>36936</v>
      </c>
      <c r="H12261" t="s">
        <v>37442</v>
      </c>
      <c r="I12261" t="s">
        <v>37443</v>
      </c>
      <c r="J12261" t="s">
        <v>15664</v>
      </c>
      <c r="K12261" s="2" t="str">
        <f>HYPERLINK("http://collections.slsa.sa.gov.au/resource/B+69282/775")</f>
        <v>http://collections.slsa.sa.gov.au/resource/B+69282/775</v>
      </c>
    </row>
    <row r="12262" spans="1:11" x14ac:dyDescent="0.25">
      <c r="A12262" t="s">
        <v>37444</v>
      </c>
      <c r="B12262" s="1" t="str">
        <f>HYPERLINK("https://www.catalog.slsa.sa.gov.au/record=b3024057")</f>
        <v>https://www.catalog.slsa.sa.gov.au/record=b3024057</v>
      </c>
      <c r="C12262" s="1" t="str">
        <f>HYPERLINK("https://www.catalog.slsa.sa.gov.au/xrecord=b3024057")</f>
        <v>https://www.catalog.slsa.sa.gov.au/xrecord=b3024057</v>
      </c>
      <c r="D12262" t="s">
        <v>31902</v>
      </c>
      <c r="E12262" t="s">
        <v>37445</v>
      </c>
      <c r="F12262" t="s">
        <v>37437</v>
      </c>
      <c r="G12262" t="s">
        <v>36936</v>
      </c>
      <c r="H12262" t="s">
        <v>37446</v>
      </c>
      <c r="I12262" t="s">
        <v>37447</v>
      </c>
      <c r="J12262" t="s">
        <v>15664</v>
      </c>
      <c r="K12262" s="2" t="str">
        <f>HYPERLINK("http://collections.slsa.sa.gov.au/resource/B+69282/776")</f>
        <v>http://collections.slsa.sa.gov.au/resource/B+69282/776</v>
      </c>
    </row>
    <row r="12263" spans="1:11" x14ac:dyDescent="0.25">
      <c r="A12263" t="s">
        <v>37448</v>
      </c>
      <c r="B12263" s="1" t="str">
        <f>HYPERLINK("https://www.catalog.slsa.sa.gov.au/record=b3024060")</f>
        <v>https://www.catalog.slsa.sa.gov.au/record=b3024060</v>
      </c>
      <c r="C12263" s="1" t="str">
        <f>HYPERLINK("https://www.catalog.slsa.sa.gov.au/xrecord=b3024060")</f>
        <v>https://www.catalog.slsa.sa.gov.au/xrecord=b3024060</v>
      </c>
      <c r="D12263" t="s">
        <v>31902</v>
      </c>
      <c r="E12263" t="s">
        <v>37449</v>
      </c>
      <c r="F12263" t="s">
        <v>37437</v>
      </c>
      <c r="G12263" t="s">
        <v>36936</v>
      </c>
      <c r="H12263" t="s">
        <v>37450</v>
      </c>
      <c r="I12263" t="s">
        <v>37451</v>
      </c>
      <c r="J12263" t="s">
        <v>15664</v>
      </c>
      <c r="K12263" s="2" t="str">
        <f>HYPERLINK("http://collections.slsa.sa.gov.au/resource/B+69282/777")</f>
        <v>http://collections.slsa.sa.gov.au/resource/B+69282/777</v>
      </c>
    </row>
    <row r="12264" spans="1:11" x14ac:dyDescent="0.25">
      <c r="A12264" t="s">
        <v>37452</v>
      </c>
      <c r="B12264" s="1" t="str">
        <f>HYPERLINK("https://www.catalog.slsa.sa.gov.au/record=b3024061")</f>
        <v>https://www.catalog.slsa.sa.gov.au/record=b3024061</v>
      </c>
      <c r="C12264" s="1" t="str">
        <f>HYPERLINK("https://www.catalog.slsa.sa.gov.au/xrecord=b3024061")</f>
        <v>https://www.catalog.slsa.sa.gov.au/xrecord=b3024061</v>
      </c>
      <c r="D12264" t="s">
        <v>31902</v>
      </c>
      <c r="E12264" t="s">
        <v>37453</v>
      </c>
      <c r="F12264" t="s">
        <v>37437</v>
      </c>
      <c r="G12264" t="s">
        <v>36936</v>
      </c>
      <c r="H12264" t="s">
        <v>37454</v>
      </c>
      <c r="I12264" t="s">
        <v>37447</v>
      </c>
      <c r="J12264" t="s">
        <v>15664</v>
      </c>
      <c r="K12264" s="2" t="str">
        <f>HYPERLINK("http://collections.slsa.sa.gov.au/resource/B+69282/778")</f>
        <v>http://collections.slsa.sa.gov.au/resource/B+69282/778</v>
      </c>
    </row>
    <row r="12265" spans="1:11" x14ac:dyDescent="0.25">
      <c r="A12265" t="s">
        <v>37455</v>
      </c>
      <c r="B12265" s="1" t="str">
        <f>HYPERLINK("https://www.catalog.slsa.sa.gov.au/record=b3024062")</f>
        <v>https://www.catalog.slsa.sa.gov.au/record=b3024062</v>
      </c>
      <c r="C12265" s="1" t="str">
        <f>HYPERLINK("https://www.catalog.slsa.sa.gov.au/xrecord=b3024062")</f>
        <v>https://www.catalog.slsa.sa.gov.au/xrecord=b3024062</v>
      </c>
      <c r="D12265" t="s">
        <v>31902</v>
      </c>
      <c r="E12265" t="s">
        <v>37445</v>
      </c>
      <c r="F12265" t="s">
        <v>37437</v>
      </c>
      <c r="G12265" t="s">
        <v>36936</v>
      </c>
      <c r="H12265" t="s">
        <v>37456</v>
      </c>
      <c r="I12265" t="s">
        <v>37447</v>
      </c>
      <c r="J12265" t="s">
        <v>15664</v>
      </c>
      <c r="K12265" s="2" t="str">
        <f>HYPERLINK("http://collections.slsa.sa.gov.au/resource/B+69282/779")</f>
        <v>http://collections.slsa.sa.gov.au/resource/B+69282/779</v>
      </c>
    </row>
    <row r="12266" spans="1:11" x14ac:dyDescent="0.25">
      <c r="A12266" t="s">
        <v>37457</v>
      </c>
      <c r="B12266" s="1" t="str">
        <f>HYPERLINK("https://www.catalog.slsa.sa.gov.au/record=b3024065")</f>
        <v>https://www.catalog.slsa.sa.gov.au/record=b3024065</v>
      </c>
      <c r="C12266" s="1" t="str">
        <f>HYPERLINK("https://www.catalog.slsa.sa.gov.au/xrecord=b3024065")</f>
        <v>https://www.catalog.slsa.sa.gov.au/xrecord=b3024065</v>
      </c>
      <c r="D12266" t="s">
        <v>31902</v>
      </c>
      <c r="E12266" t="s">
        <v>37445</v>
      </c>
      <c r="F12266" t="s">
        <v>37437</v>
      </c>
      <c r="G12266" t="s">
        <v>36936</v>
      </c>
      <c r="H12266" t="s">
        <v>37458</v>
      </c>
      <c r="I12266" t="s">
        <v>37447</v>
      </c>
      <c r="J12266" t="s">
        <v>15664</v>
      </c>
      <c r="K12266" s="2" t="str">
        <f>HYPERLINK("http://collections.slsa.sa.gov.au/resource/B+69282/780")</f>
        <v>http://collections.slsa.sa.gov.au/resource/B+69282/780</v>
      </c>
    </row>
    <row r="12267" spans="1:11" x14ac:dyDescent="0.25">
      <c r="A12267" t="s">
        <v>37459</v>
      </c>
      <c r="B12267" s="1" t="str">
        <f>HYPERLINK("https://www.catalog.slsa.sa.gov.au/record=b3024067")</f>
        <v>https://www.catalog.slsa.sa.gov.au/record=b3024067</v>
      </c>
      <c r="C12267" s="1" t="str">
        <f>HYPERLINK("https://www.catalog.slsa.sa.gov.au/xrecord=b3024067")</f>
        <v>https://www.catalog.slsa.sa.gov.au/xrecord=b3024067</v>
      </c>
      <c r="D12267" t="s">
        <v>31902</v>
      </c>
      <c r="E12267" t="s">
        <v>37460</v>
      </c>
      <c r="F12267" t="s">
        <v>37437</v>
      </c>
      <c r="G12267" t="s">
        <v>36936</v>
      </c>
      <c r="H12267" t="s">
        <v>37461</v>
      </c>
      <c r="I12267" t="s">
        <v>37462</v>
      </c>
      <c r="J12267" t="s">
        <v>15664</v>
      </c>
      <c r="K12267" s="2" t="str">
        <f>HYPERLINK("http://collections.slsa.sa.gov.au/resource/B+69282/782")</f>
        <v>http://collections.slsa.sa.gov.au/resource/B+69282/782</v>
      </c>
    </row>
    <row r="12268" spans="1:11" x14ac:dyDescent="0.25">
      <c r="A12268" t="s">
        <v>37463</v>
      </c>
      <c r="B12268" s="1" t="str">
        <f>HYPERLINK("https://www.catalog.slsa.sa.gov.au/record=b3024068")</f>
        <v>https://www.catalog.slsa.sa.gov.au/record=b3024068</v>
      </c>
      <c r="C12268" s="1" t="str">
        <f>HYPERLINK("https://www.catalog.slsa.sa.gov.au/xrecord=b3024068")</f>
        <v>https://www.catalog.slsa.sa.gov.au/xrecord=b3024068</v>
      </c>
      <c r="D12268" t="s">
        <v>31902</v>
      </c>
      <c r="E12268" t="s">
        <v>37464</v>
      </c>
      <c r="F12268" t="s">
        <v>37437</v>
      </c>
      <c r="G12268" t="s">
        <v>36936</v>
      </c>
      <c r="H12268" t="s">
        <v>37465</v>
      </c>
      <c r="I12268" t="s">
        <v>37466</v>
      </c>
      <c r="J12268" t="s">
        <v>15664</v>
      </c>
      <c r="K12268" s="2" t="str">
        <f>HYPERLINK("http://collections.slsa.sa.gov.au/resource/B+69282/783")</f>
        <v>http://collections.slsa.sa.gov.au/resource/B+69282/783</v>
      </c>
    </row>
    <row r="12269" spans="1:11" x14ac:dyDescent="0.25">
      <c r="A12269" t="s">
        <v>37467</v>
      </c>
      <c r="B12269" s="1" t="str">
        <f>HYPERLINK("https://www.catalog.slsa.sa.gov.au/record=b3024071")</f>
        <v>https://www.catalog.slsa.sa.gov.au/record=b3024071</v>
      </c>
      <c r="C12269" s="1" t="str">
        <f>HYPERLINK("https://www.catalog.slsa.sa.gov.au/xrecord=b3024071")</f>
        <v>https://www.catalog.slsa.sa.gov.au/xrecord=b3024071</v>
      </c>
      <c r="D12269" t="s">
        <v>31902</v>
      </c>
      <c r="E12269" t="s">
        <v>37468</v>
      </c>
      <c r="F12269" t="s">
        <v>37437</v>
      </c>
      <c r="G12269" t="s">
        <v>36936</v>
      </c>
      <c r="H12269" t="s">
        <v>37469</v>
      </c>
      <c r="I12269" t="s">
        <v>37470</v>
      </c>
      <c r="J12269" t="s">
        <v>15664</v>
      </c>
      <c r="K12269" s="2" t="str">
        <f>HYPERLINK("http://collections.slsa.sa.gov.au/resource/B+69282/784")</f>
        <v>http://collections.slsa.sa.gov.au/resource/B+69282/784</v>
      </c>
    </row>
    <row r="12270" spans="1:11" x14ac:dyDescent="0.25">
      <c r="A12270" t="s">
        <v>37471</v>
      </c>
      <c r="B12270" s="1" t="str">
        <f>HYPERLINK("https://www.catalog.slsa.sa.gov.au/record=b3024066")</f>
        <v>https://www.catalog.slsa.sa.gov.au/record=b3024066</v>
      </c>
      <c r="C12270" s="1" t="str">
        <f>HYPERLINK("https://www.catalog.slsa.sa.gov.au/xrecord=b3024066")</f>
        <v>https://www.catalog.slsa.sa.gov.au/xrecord=b3024066</v>
      </c>
      <c r="D12270" t="s">
        <v>37472</v>
      </c>
      <c r="E12270" t="s">
        <v>37473</v>
      </c>
      <c r="F12270" t="s">
        <v>37474</v>
      </c>
      <c r="G12270" t="s">
        <v>37475</v>
      </c>
      <c r="H12270" t="s">
        <v>37476</v>
      </c>
      <c r="I12270" t="s">
        <v>37477</v>
      </c>
      <c r="J12270" t="s">
        <v>15664</v>
      </c>
      <c r="K12270" s="2" t="str">
        <f>HYPERLINK("http://collections.slsa.sa.gov.au/resource/B+69282/781")</f>
        <v>http://collections.slsa.sa.gov.au/resource/B+69282/781</v>
      </c>
    </row>
    <row r="12271" spans="1:11" x14ac:dyDescent="0.25">
      <c r="A12271" t="s">
        <v>37478</v>
      </c>
      <c r="B12271" s="1" t="str">
        <f>HYPERLINK("https://www.catalog.slsa.sa.gov.au/record=b3019379")</f>
        <v>https://www.catalog.slsa.sa.gov.au/record=b3019379</v>
      </c>
      <c r="C12271" s="1" t="str">
        <f>HYPERLINK("https://www.catalog.slsa.sa.gov.au/xrecord=b3019379")</f>
        <v>https://www.catalog.slsa.sa.gov.au/xrecord=b3019379</v>
      </c>
      <c r="D12271" t="s">
        <v>31636</v>
      </c>
      <c r="E12271" t="s">
        <v>37479</v>
      </c>
      <c r="F12271" t="s">
        <v>37480</v>
      </c>
      <c r="G12271" t="s">
        <v>36370</v>
      </c>
      <c r="H12271" t="s">
        <v>37481</v>
      </c>
      <c r="I12271" t="s">
        <v>37482</v>
      </c>
      <c r="J12271" t="s">
        <v>27982</v>
      </c>
      <c r="K12271" s="2" t="str">
        <f>HYPERLINK("http://collections.slsa.sa.gov.au/resource/B+74175")</f>
        <v>http://collections.slsa.sa.gov.au/resource/B+74175</v>
      </c>
    </row>
    <row r="12272" spans="1:11" x14ac:dyDescent="0.25">
      <c r="A12272" t="s">
        <v>37483</v>
      </c>
      <c r="B12272" s="1" t="str">
        <f>HYPERLINK("https://www.catalog.slsa.sa.gov.au/record=b3189667")</f>
        <v>https://www.catalog.slsa.sa.gov.au/record=b3189667</v>
      </c>
      <c r="C12272" s="1" t="str">
        <f>HYPERLINK("https://www.catalog.slsa.sa.gov.au/xrecord=b3189667")</f>
        <v>https://www.catalog.slsa.sa.gov.au/xrecord=b3189667</v>
      </c>
      <c r="D12272" t="s">
        <v>31636</v>
      </c>
      <c r="E12272" t="s">
        <v>37484</v>
      </c>
      <c r="F12272" t="s">
        <v>37485</v>
      </c>
      <c r="G12272" t="s">
        <v>36370</v>
      </c>
      <c r="H12272" t="s">
        <v>37486</v>
      </c>
      <c r="I12272" t="s">
        <v>37487</v>
      </c>
      <c r="J12272" t="s">
        <v>37488</v>
      </c>
      <c r="K12272" s="2" t="str">
        <f>HYPERLINK("http://collections.slsa.sa.gov.au/resource/B+76652")</f>
        <v>http://collections.slsa.sa.gov.au/resource/B+76652</v>
      </c>
    </row>
    <row r="12273" spans="1:11" x14ac:dyDescent="0.25">
      <c r="A12273" t="s">
        <v>37489</v>
      </c>
      <c r="B12273" s="1" t="str">
        <f>HYPERLINK("https://www.catalog.slsa.sa.gov.au/record=b3189670")</f>
        <v>https://www.catalog.slsa.sa.gov.au/record=b3189670</v>
      </c>
      <c r="C12273" s="1" t="str">
        <f>HYPERLINK("https://www.catalog.slsa.sa.gov.au/xrecord=b3189670")</f>
        <v>https://www.catalog.slsa.sa.gov.au/xrecord=b3189670</v>
      </c>
      <c r="D12273" t="s">
        <v>31636</v>
      </c>
      <c r="E12273" t="s">
        <v>37484</v>
      </c>
      <c r="F12273" t="s">
        <v>37485</v>
      </c>
      <c r="G12273" t="s">
        <v>36370</v>
      </c>
      <c r="H12273" t="s">
        <v>37490</v>
      </c>
      <c r="I12273" t="s">
        <v>37491</v>
      </c>
      <c r="J12273" t="s">
        <v>2510</v>
      </c>
      <c r="K12273" s="2" t="str">
        <f>HYPERLINK("http://collections.slsa.sa.gov.au/resource/B+76654")</f>
        <v>http://collections.slsa.sa.gov.au/resource/B+76654</v>
      </c>
    </row>
    <row r="12274" spans="1:11" x14ac:dyDescent="0.25">
      <c r="A12274" t="s">
        <v>37492</v>
      </c>
      <c r="B12274" s="1" t="str">
        <f>HYPERLINK("https://www.catalog.slsa.sa.gov.au/record=b3189671")</f>
        <v>https://www.catalog.slsa.sa.gov.au/record=b3189671</v>
      </c>
      <c r="C12274" s="1" t="str">
        <f>HYPERLINK("https://www.catalog.slsa.sa.gov.au/xrecord=b3189671")</f>
        <v>https://www.catalog.slsa.sa.gov.au/xrecord=b3189671</v>
      </c>
      <c r="D12274" t="s">
        <v>31636</v>
      </c>
      <c r="E12274" t="s">
        <v>37484</v>
      </c>
      <c r="F12274" t="s">
        <v>37485</v>
      </c>
      <c r="G12274" t="s">
        <v>36370</v>
      </c>
      <c r="H12274" t="s">
        <v>37493</v>
      </c>
      <c r="I12274" t="s">
        <v>37491</v>
      </c>
      <c r="J12274" t="s">
        <v>2510</v>
      </c>
      <c r="K12274" s="2" t="str">
        <f>HYPERLINK("http://collections.slsa.sa.gov.au/resource/B+76655")</f>
        <v>http://collections.slsa.sa.gov.au/resource/B+76655</v>
      </c>
    </row>
    <row r="12275" spans="1:11" x14ac:dyDescent="0.25">
      <c r="A12275" t="s">
        <v>37494</v>
      </c>
      <c r="B12275" s="1" t="str">
        <f>HYPERLINK("https://www.catalog.slsa.sa.gov.au/record=b3189672")</f>
        <v>https://www.catalog.slsa.sa.gov.au/record=b3189672</v>
      </c>
      <c r="C12275" s="1" t="str">
        <f>HYPERLINK("https://www.catalog.slsa.sa.gov.au/xrecord=b3189672")</f>
        <v>https://www.catalog.slsa.sa.gov.au/xrecord=b3189672</v>
      </c>
      <c r="D12275" t="s">
        <v>31636</v>
      </c>
      <c r="E12275" t="s">
        <v>37484</v>
      </c>
      <c r="F12275" t="s">
        <v>37485</v>
      </c>
      <c r="G12275" t="s">
        <v>36370</v>
      </c>
      <c r="H12275" t="s">
        <v>37495</v>
      </c>
      <c r="I12275" t="s">
        <v>37491</v>
      </c>
      <c r="J12275" t="s">
        <v>2510</v>
      </c>
      <c r="K12275" s="2" t="str">
        <f>HYPERLINK("http://collections.slsa.sa.gov.au/resource/B+76656")</f>
        <v>http://collections.slsa.sa.gov.au/resource/B+76656</v>
      </c>
    </row>
    <row r="12276" spans="1:11" x14ac:dyDescent="0.25">
      <c r="A12276" t="s">
        <v>37496</v>
      </c>
      <c r="B12276" s="1" t="str">
        <f>HYPERLINK("https://www.catalog.slsa.sa.gov.au/record=b3189673")</f>
        <v>https://www.catalog.slsa.sa.gov.au/record=b3189673</v>
      </c>
      <c r="C12276" s="1" t="str">
        <f>HYPERLINK("https://www.catalog.slsa.sa.gov.au/xrecord=b3189673")</f>
        <v>https://www.catalog.slsa.sa.gov.au/xrecord=b3189673</v>
      </c>
      <c r="D12276" t="s">
        <v>31636</v>
      </c>
      <c r="E12276" t="s">
        <v>37497</v>
      </c>
      <c r="F12276" t="s">
        <v>37485</v>
      </c>
      <c r="G12276" t="s">
        <v>36396</v>
      </c>
      <c r="H12276" t="s">
        <v>37498</v>
      </c>
      <c r="I12276" t="s">
        <v>37499</v>
      </c>
      <c r="J12276" t="s">
        <v>2510</v>
      </c>
      <c r="K12276" s="2" t="str">
        <f>HYPERLINK("http://collections.slsa.sa.gov.au/resource/B+76657")</f>
        <v>http://collections.slsa.sa.gov.au/resource/B+76657</v>
      </c>
    </row>
    <row r="12277" spans="1:11" x14ac:dyDescent="0.25">
      <c r="A12277" t="s">
        <v>37500</v>
      </c>
      <c r="B12277" s="1" t="str">
        <f>HYPERLINK("https://www.catalog.slsa.sa.gov.au/record=b3189674")</f>
        <v>https://www.catalog.slsa.sa.gov.au/record=b3189674</v>
      </c>
      <c r="C12277" s="1" t="str">
        <f>HYPERLINK("https://www.catalog.slsa.sa.gov.au/xrecord=b3189674")</f>
        <v>https://www.catalog.slsa.sa.gov.au/xrecord=b3189674</v>
      </c>
      <c r="D12277" t="s">
        <v>31636</v>
      </c>
      <c r="E12277" t="s">
        <v>37501</v>
      </c>
      <c r="F12277" t="s">
        <v>37485</v>
      </c>
      <c r="G12277" t="s">
        <v>36396</v>
      </c>
      <c r="H12277" t="s">
        <v>37502</v>
      </c>
      <c r="I12277" t="s">
        <v>37503</v>
      </c>
      <c r="J12277" t="s">
        <v>37331</v>
      </c>
      <c r="K12277" s="2" t="str">
        <f>HYPERLINK("http://collections.slsa.sa.gov.au/resource/B+76658")</f>
        <v>http://collections.slsa.sa.gov.au/resource/B+76658</v>
      </c>
    </row>
    <row r="12278" spans="1:11" x14ac:dyDescent="0.25">
      <c r="A12278" t="s">
        <v>37504</v>
      </c>
      <c r="B12278" s="1" t="str">
        <f>HYPERLINK("https://www.catalog.slsa.sa.gov.au/record=b3189675")</f>
        <v>https://www.catalog.slsa.sa.gov.au/record=b3189675</v>
      </c>
      <c r="C12278" s="1" t="str">
        <f>HYPERLINK("https://www.catalog.slsa.sa.gov.au/xrecord=b3189675")</f>
        <v>https://www.catalog.slsa.sa.gov.au/xrecord=b3189675</v>
      </c>
      <c r="D12278" t="s">
        <v>31636</v>
      </c>
      <c r="E12278" t="s">
        <v>37505</v>
      </c>
      <c r="F12278" t="s">
        <v>37485</v>
      </c>
      <c r="G12278" t="s">
        <v>36396</v>
      </c>
      <c r="H12278" t="s">
        <v>37506</v>
      </c>
      <c r="I12278" t="s">
        <v>37507</v>
      </c>
      <c r="J12278" t="s">
        <v>37331</v>
      </c>
      <c r="K12278" s="2" t="str">
        <f>HYPERLINK("http://collections.slsa.sa.gov.au/resource/B+76659")</f>
        <v>http://collections.slsa.sa.gov.au/resource/B+76659</v>
      </c>
    </row>
    <row r="12279" spans="1:11" x14ac:dyDescent="0.25">
      <c r="A12279" t="s">
        <v>37508</v>
      </c>
      <c r="B12279" s="1" t="str">
        <f>HYPERLINK("https://www.catalog.slsa.sa.gov.au/record=b3189678")</f>
        <v>https://www.catalog.slsa.sa.gov.au/record=b3189678</v>
      </c>
      <c r="C12279" s="1" t="str">
        <f>HYPERLINK("https://www.catalog.slsa.sa.gov.au/xrecord=b3189678")</f>
        <v>https://www.catalog.slsa.sa.gov.au/xrecord=b3189678</v>
      </c>
      <c r="D12279" t="s">
        <v>31636</v>
      </c>
      <c r="E12279" t="s">
        <v>37509</v>
      </c>
      <c r="F12279" t="s">
        <v>37485</v>
      </c>
      <c r="G12279" t="s">
        <v>36396</v>
      </c>
      <c r="H12279" t="s">
        <v>37510</v>
      </c>
      <c r="I12279" t="s">
        <v>37511</v>
      </c>
      <c r="J12279" t="s">
        <v>37331</v>
      </c>
      <c r="K12279" s="2" t="str">
        <f>HYPERLINK("http://collections.slsa.sa.gov.au/resource/B+76660")</f>
        <v>http://collections.slsa.sa.gov.au/resource/B+76660</v>
      </c>
    </row>
    <row r="12280" spans="1:11" x14ac:dyDescent="0.25">
      <c r="A12280" t="s">
        <v>37512</v>
      </c>
      <c r="B12280" s="1" t="str">
        <f>HYPERLINK("https://www.catalog.slsa.sa.gov.au/record=b3189691")</f>
        <v>https://www.catalog.slsa.sa.gov.au/record=b3189691</v>
      </c>
      <c r="C12280" s="1" t="str">
        <f>HYPERLINK("https://www.catalog.slsa.sa.gov.au/xrecord=b3189691")</f>
        <v>https://www.catalog.slsa.sa.gov.au/xrecord=b3189691</v>
      </c>
      <c r="D12280" t="s">
        <v>31636</v>
      </c>
      <c r="E12280" t="s">
        <v>37513</v>
      </c>
      <c r="F12280" t="s">
        <v>37485</v>
      </c>
      <c r="G12280" t="s">
        <v>36370</v>
      </c>
      <c r="H12280" t="s">
        <v>37514</v>
      </c>
      <c r="I12280" t="s">
        <v>37515</v>
      </c>
      <c r="J12280" t="s">
        <v>37331</v>
      </c>
      <c r="K12280" s="2" t="str">
        <f>HYPERLINK("http://collections.slsa.sa.gov.au/resource/B+76661")</f>
        <v>http://collections.slsa.sa.gov.au/resource/B+76661</v>
      </c>
    </row>
    <row r="12281" spans="1:11" x14ac:dyDescent="0.25">
      <c r="A12281" t="s">
        <v>37516</v>
      </c>
      <c r="B12281" s="1" t="str">
        <f>HYPERLINK("https://www.catalog.slsa.sa.gov.au/record=b3189697")</f>
        <v>https://www.catalog.slsa.sa.gov.au/record=b3189697</v>
      </c>
      <c r="C12281" s="1" t="str">
        <f>HYPERLINK("https://www.catalog.slsa.sa.gov.au/xrecord=b3189697")</f>
        <v>https://www.catalog.slsa.sa.gov.au/xrecord=b3189697</v>
      </c>
      <c r="D12281" t="s">
        <v>31636</v>
      </c>
      <c r="E12281" t="s">
        <v>37513</v>
      </c>
      <c r="F12281" t="s">
        <v>37485</v>
      </c>
      <c r="G12281" t="s">
        <v>36370</v>
      </c>
      <c r="H12281" t="s">
        <v>37517</v>
      </c>
      <c r="I12281" t="s">
        <v>37518</v>
      </c>
      <c r="J12281" t="s">
        <v>37331</v>
      </c>
      <c r="K12281" s="2" t="str">
        <f>HYPERLINK("http://collections.slsa.sa.gov.au/resource/B+76662")</f>
        <v>http://collections.slsa.sa.gov.au/resource/B+76662</v>
      </c>
    </row>
    <row r="12282" spans="1:11" x14ac:dyDescent="0.25">
      <c r="A12282" t="s">
        <v>37519</v>
      </c>
      <c r="B12282" s="1" t="str">
        <f>HYPERLINK("https://www.catalog.slsa.sa.gov.au/record=b3189701")</f>
        <v>https://www.catalog.slsa.sa.gov.au/record=b3189701</v>
      </c>
      <c r="C12282" s="1" t="str">
        <f>HYPERLINK("https://www.catalog.slsa.sa.gov.au/xrecord=b3189701")</f>
        <v>https://www.catalog.slsa.sa.gov.au/xrecord=b3189701</v>
      </c>
      <c r="D12282" t="s">
        <v>31636</v>
      </c>
      <c r="E12282" t="s">
        <v>37513</v>
      </c>
      <c r="F12282" t="s">
        <v>37485</v>
      </c>
      <c r="G12282" t="s">
        <v>36370</v>
      </c>
      <c r="H12282" t="s">
        <v>37520</v>
      </c>
      <c r="I12282" t="s">
        <v>37521</v>
      </c>
      <c r="J12282" t="s">
        <v>37331</v>
      </c>
      <c r="K12282" s="2" t="str">
        <f>HYPERLINK("http://collections.slsa.sa.gov.au/resource/B+76663")</f>
        <v>http://collections.slsa.sa.gov.au/resource/B+76663</v>
      </c>
    </row>
    <row r="12283" spans="1:11" x14ac:dyDescent="0.25">
      <c r="A12283" t="s">
        <v>37522</v>
      </c>
      <c r="B12283" s="1" t="str">
        <f>HYPERLINK("https://www.catalog.slsa.sa.gov.au/record=b3189708")</f>
        <v>https://www.catalog.slsa.sa.gov.au/record=b3189708</v>
      </c>
      <c r="C12283" s="1" t="str">
        <f>HYPERLINK("https://www.catalog.slsa.sa.gov.au/xrecord=b3189708")</f>
        <v>https://www.catalog.slsa.sa.gov.au/xrecord=b3189708</v>
      </c>
      <c r="D12283" t="s">
        <v>31636</v>
      </c>
      <c r="E12283" t="s">
        <v>37513</v>
      </c>
      <c r="F12283" t="s">
        <v>37485</v>
      </c>
      <c r="G12283" t="s">
        <v>36370</v>
      </c>
      <c r="H12283" t="s">
        <v>37523</v>
      </c>
      <c r="I12283" t="s">
        <v>37507</v>
      </c>
      <c r="J12283" t="s">
        <v>37331</v>
      </c>
      <c r="K12283" s="2" t="str">
        <f>HYPERLINK("http://collections.slsa.sa.gov.au/resource/B+76664")</f>
        <v>http://collections.slsa.sa.gov.au/resource/B+76664</v>
      </c>
    </row>
    <row r="12284" spans="1:11" x14ac:dyDescent="0.25">
      <c r="A12284" t="s">
        <v>37524</v>
      </c>
      <c r="B12284" s="1" t="str">
        <f>HYPERLINK("https://www.catalog.slsa.sa.gov.au/record=b3189719")</f>
        <v>https://www.catalog.slsa.sa.gov.au/record=b3189719</v>
      </c>
      <c r="C12284" s="1" t="str">
        <f>HYPERLINK("https://www.catalog.slsa.sa.gov.au/xrecord=b3189719")</f>
        <v>https://www.catalog.slsa.sa.gov.au/xrecord=b3189719</v>
      </c>
      <c r="D12284" t="s">
        <v>31636</v>
      </c>
      <c r="E12284" t="s">
        <v>37513</v>
      </c>
      <c r="F12284" t="s">
        <v>37485</v>
      </c>
      <c r="G12284" t="s">
        <v>36396</v>
      </c>
      <c r="H12284" t="s">
        <v>37525</v>
      </c>
      <c r="I12284" t="s">
        <v>37526</v>
      </c>
      <c r="J12284" t="s">
        <v>37331</v>
      </c>
      <c r="K12284" s="2" t="str">
        <f>HYPERLINK("http://collections.slsa.sa.gov.au/resource/B+76665")</f>
        <v>http://collections.slsa.sa.gov.au/resource/B+76665</v>
      </c>
    </row>
    <row r="12285" spans="1:11" x14ac:dyDescent="0.25">
      <c r="A12285" t="s">
        <v>37527</v>
      </c>
      <c r="B12285" s="1" t="str">
        <f>HYPERLINK("https://www.catalog.slsa.sa.gov.au/record=b3189722")</f>
        <v>https://www.catalog.slsa.sa.gov.au/record=b3189722</v>
      </c>
      <c r="C12285" s="1" t="str">
        <f>HYPERLINK("https://www.catalog.slsa.sa.gov.au/xrecord=b3189722")</f>
        <v>https://www.catalog.slsa.sa.gov.au/xrecord=b3189722</v>
      </c>
      <c r="D12285" t="s">
        <v>31636</v>
      </c>
      <c r="E12285" t="s">
        <v>37528</v>
      </c>
      <c r="F12285" t="s">
        <v>37485</v>
      </c>
      <c r="G12285" t="s">
        <v>36370</v>
      </c>
      <c r="H12285" t="s">
        <v>37529</v>
      </c>
      <c r="I12285" t="s">
        <v>37530</v>
      </c>
      <c r="J12285" t="s">
        <v>37331</v>
      </c>
      <c r="K12285" s="2" t="str">
        <f>HYPERLINK("http://collections.slsa.sa.gov.au/resource/B+76666")</f>
        <v>http://collections.slsa.sa.gov.au/resource/B+76666</v>
      </c>
    </row>
    <row r="12286" spans="1:11" x14ac:dyDescent="0.25">
      <c r="A12286" t="s">
        <v>37531</v>
      </c>
      <c r="B12286" s="1" t="str">
        <f>HYPERLINK("https://www.catalog.slsa.sa.gov.au/record=b3189726")</f>
        <v>https://www.catalog.slsa.sa.gov.au/record=b3189726</v>
      </c>
      <c r="C12286" s="1" t="str">
        <f>HYPERLINK("https://www.catalog.slsa.sa.gov.au/xrecord=b3189726")</f>
        <v>https://www.catalog.slsa.sa.gov.au/xrecord=b3189726</v>
      </c>
      <c r="D12286" t="s">
        <v>31636</v>
      </c>
      <c r="E12286" t="s">
        <v>37532</v>
      </c>
      <c r="F12286" t="s">
        <v>37485</v>
      </c>
      <c r="G12286" t="s">
        <v>36370</v>
      </c>
      <c r="H12286" t="s">
        <v>37533</v>
      </c>
      <c r="I12286" t="s">
        <v>37534</v>
      </c>
      <c r="J12286" t="s">
        <v>37331</v>
      </c>
      <c r="K12286" s="2" t="str">
        <f>HYPERLINK("http://collections.slsa.sa.gov.au/resource/B+76667")</f>
        <v>http://collections.slsa.sa.gov.au/resource/B+76667</v>
      </c>
    </row>
    <row r="12287" spans="1:11" x14ac:dyDescent="0.25">
      <c r="A12287" t="s">
        <v>37535</v>
      </c>
      <c r="B12287" s="1" t="str">
        <f>HYPERLINK("https://www.catalog.slsa.sa.gov.au/record=b3189737")</f>
        <v>https://www.catalog.slsa.sa.gov.au/record=b3189737</v>
      </c>
      <c r="C12287" s="1" t="str">
        <f>HYPERLINK("https://www.catalog.slsa.sa.gov.au/xrecord=b3189737")</f>
        <v>https://www.catalog.slsa.sa.gov.au/xrecord=b3189737</v>
      </c>
      <c r="D12287" t="s">
        <v>31636</v>
      </c>
      <c r="E12287" t="s">
        <v>37513</v>
      </c>
      <c r="F12287" t="s">
        <v>37485</v>
      </c>
      <c r="G12287" t="s">
        <v>36370</v>
      </c>
      <c r="H12287" t="s">
        <v>37536</v>
      </c>
      <c r="I12287" t="s">
        <v>37491</v>
      </c>
      <c r="J12287" t="s">
        <v>37331</v>
      </c>
      <c r="K12287" s="2" t="str">
        <f>HYPERLINK("http://collections.slsa.sa.gov.au/resource/B+76668")</f>
        <v>http://collections.slsa.sa.gov.au/resource/B+76668</v>
      </c>
    </row>
    <row r="12288" spans="1:11" x14ac:dyDescent="0.25">
      <c r="A12288" t="s">
        <v>37537</v>
      </c>
      <c r="B12288" s="1" t="str">
        <f>HYPERLINK("https://www.catalog.slsa.sa.gov.au/record=b3189738")</f>
        <v>https://www.catalog.slsa.sa.gov.au/record=b3189738</v>
      </c>
      <c r="C12288" s="1" t="str">
        <f>HYPERLINK("https://www.catalog.slsa.sa.gov.au/xrecord=b3189738")</f>
        <v>https://www.catalog.slsa.sa.gov.au/xrecord=b3189738</v>
      </c>
      <c r="D12288" t="s">
        <v>31636</v>
      </c>
      <c r="E12288" t="s">
        <v>37513</v>
      </c>
      <c r="F12288" t="s">
        <v>37485</v>
      </c>
      <c r="G12288" t="s">
        <v>36370</v>
      </c>
      <c r="H12288" t="s">
        <v>37538</v>
      </c>
      <c r="I12288" t="s">
        <v>37491</v>
      </c>
      <c r="J12288" t="s">
        <v>37331</v>
      </c>
      <c r="K12288" s="2" t="str">
        <f>HYPERLINK("http://collections.slsa.sa.gov.au/resource/B+76669")</f>
        <v>http://collections.slsa.sa.gov.au/resource/B+76669</v>
      </c>
    </row>
    <row r="12289" spans="1:11" x14ac:dyDescent="0.25">
      <c r="A12289" t="s">
        <v>37539</v>
      </c>
      <c r="B12289" s="1" t="str">
        <f>HYPERLINK("https://www.catalog.slsa.sa.gov.au/record=b3189740")</f>
        <v>https://www.catalog.slsa.sa.gov.au/record=b3189740</v>
      </c>
      <c r="C12289" s="1" t="str">
        <f>HYPERLINK("https://www.catalog.slsa.sa.gov.au/xrecord=b3189740")</f>
        <v>https://www.catalog.slsa.sa.gov.au/xrecord=b3189740</v>
      </c>
      <c r="D12289" t="s">
        <v>31636</v>
      </c>
      <c r="E12289" t="s">
        <v>37513</v>
      </c>
      <c r="F12289" t="s">
        <v>37485</v>
      </c>
      <c r="G12289" t="s">
        <v>36370</v>
      </c>
      <c r="H12289" t="s">
        <v>37538</v>
      </c>
      <c r="I12289" t="s">
        <v>37491</v>
      </c>
      <c r="J12289" t="s">
        <v>37331</v>
      </c>
      <c r="K12289" s="2" t="str">
        <f>HYPERLINK("http://collections.slsa.sa.gov.au/resource/B+76670")</f>
        <v>http://collections.slsa.sa.gov.au/resource/B+76670</v>
      </c>
    </row>
    <row r="12290" spans="1:11" x14ac:dyDescent="0.25">
      <c r="A12290" t="s">
        <v>37540</v>
      </c>
      <c r="B12290" s="1" t="str">
        <f>HYPERLINK("https://www.catalog.slsa.sa.gov.au/record=b3189741")</f>
        <v>https://www.catalog.slsa.sa.gov.au/record=b3189741</v>
      </c>
      <c r="C12290" s="1" t="str">
        <f>HYPERLINK("https://www.catalog.slsa.sa.gov.au/xrecord=b3189741")</f>
        <v>https://www.catalog.slsa.sa.gov.au/xrecord=b3189741</v>
      </c>
      <c r="D12290" t="s">
        <v>31636</v>
      </c>
      <c r="E12290" t="s">
        <v>37513</v>
      </c>
      <c r="F12290" t="s">
        <v>37485</v>
      </c>
      <c r="G12290" t="s">
        <v>36370</v>
      </c>
      <c r="H12290" t="s">
        <v>37541</v>
      </c>
      <c r="I12290" t="s">
        <v>37491</v>
      </c>
      <c r="J12290" t="s">
        <v>37331</v>
      </c>
      <c r="K12290" s="2" t="str">
        <f>HYPERLINK("http://collections.slsa.sa.gov.au/resource/B+76671")</f>
        <v>http://collections.slsa.sa.gov.au/resource/B+76671</v>
      </c>
    </row>
    <row r="12291" spans="1:11" x14ac:dyDescent="0.25">
      <c r="A12291" t="s">
        <v>37542</v>
      </c>
      <c r="B12291" s="1" t="str">
        <f>HYPERLINK("https://www.catalog.slsa.sa.gov.au/record=b3189743")</f>
        <v>https://www.catalog.slsa.sa.gov.au/record=b3189743</v>
      </c>
      <c r="C12291" s="1" t="str">
        <f>HYPERLINK("https://www.catalog.slsa.sa.gov.au/xrecord=b3189743")</f>
        <v>https://www.catalog.slsa.sa.gov.au/xrecord=b3189743</v>
      </c>
      <c r="D12291" t="s">
        <v>31636</v>
      </c>
      <c r="E12291" t="s">
        <v>37513</v>
      </c>
      <c r="F12291" t="s">
        <v>37485</v>
      </c>
      <c r="G12291" t="s">
        <v>36370</v>
      </c>
      <c r="H12291" t="s">
        <v>37543</v>
      </c>
      <c r="I12291" t="s">
        <v>37491</v>
      </c>
      <c r="J12291" t="s">
        <v>37331</v>
      </c>
      <c r="K12291" s="2" t="str">
        <f>HYPERLINK("http://collections.slsa.sa.gov.au/resource/B+76672")</f>
        <v>http://collections.slsa.sa.gov.au/resource/B+76672</v>
      </c>
    </row>
    <row r="12292" spans="1:11" x14ac:dyDescent="0.25">
      <c r="A12292" t="s">
        <v>37544</v>
      </c>
      <c r="B12292" s="1" t="str">
        <f>HYPERLINK("https://www.catalog.slsa.sa.gov.au/record=b3189744")</f>
        <v>https://www.catalog.slsa.sa.gov.au/record=b3189744</v>
      </c>
      <c r="C12292" s="1" t="str">
        <f>HYPERLINK("https://www.catalog.slsa.sa.gov.au/xrecord=b3189744")</f>
        <v>https://www.catalog.slsa.sa.gov.au/xrecord=b3189744</v>
      </c>
      <c r="D12292" t="s">
        <v>31636</v>
      </c>
      <c r="E12292" t="s">
        <v>37513</v>
      </c>
      <c r="F12292" t="s">
        <v>37485</v>
      </c>
      <c r="G12292" t="s">
        <v>36370</v>
      </c>
      <c r="H12292" t="s">
        <v>37545</v>
      </c>
      <c r="I12292" t="s">
        <v>37491</v>
      </c>
      <c r="J12292" t="s">
        <v>37331</v>
      </c>
      <c r="K12292" s="2" t="str">
        <f>HYPERLINK("http://collections.slsa.sa.gov.au/resource/B+76673")</f>
        <v>http://collections.slsa.sa.gov.au/resource/B+76673</v>
      </c>
    </row>
    <row r="12293" spans="1:11" x14ac:dyDescent="0.25">
      <c r="A12293" t="s">
        <v>37546</v>
      </c>
      <c r="B12293" s="1" t="str">
        <f>HYPERLINK("https://www.catalog.slsa.sa.gov.au/record=b3189777")</f>
        <v>https://www.catalog.slsa.sa.gov.au/record=b3189777</v>
      </c>
      <c r="C12293" s="1" t="str">
        <f>HYPERLINK("https://www.catalog.slsa.sa.gov.au/xrecord=b3189777")</f>
        <v>https://www.catalog.slsa.sa.gov.au/xrecord=b3189777</v>
      </c>
      <c r="D12293" t="s">
        <v>31636</v>
      </c>
      <c r="E12293" t="s">
        <v>37547</v>
      </c>
      <c r="F12293" t="s">
        <v>37485</v>
      </c>
      <c r="G12293" t="s">
        <v>36370</v>
      </c>
      <c r="H12293" t="s">
        <v>37548</v>
      </c>
      <c r="I12293" t="s">
        <v>37549</v>
      </c>
      <c r="J12293" t="s">
        <v>37488</v>
      </c>
      <c r="K12293" s="2" t="str">
        <f>HYPERLINK("http://collections.slsa.sa.gov.au/resource/B+76653")</f>
        <v>http://collections.slsa.sa.gov.au/resource/B+76653</v>
      </c>
    </row>
    <row r="12294" spans="1:11" x14ac:dyDescent="0.25">
      <c r="A12294" t="s">
        <v>37550</v>
      </c>
      <c r="B12294" s="1" t="str">
        <f>HYPERLINK("https://www.catalog.slsa.sa.gov.au/record=b3189823")</f>
        <v>https://www.catalog.slsa.sa.gov.au/record=b3189823</v>
      </c>
      <c r="C12294" s="1" t="str">
        <f>HYPERLINK("https://www.catalog.slsa.sa.gov.au/xrecord=b3189823")</f>
        <v>https://www.catalog.slsa.sa.gov.au/xrecord=b3189823</v>
      </c>
      <c r="D12294" t="s">
        <v>31636</v>
      </c>
      <c r="E12294" t="s">
        <v>37551</v>
      </c>
      <c r="F12294" t="s">
        <v>37552</v>
      </c>
      <c r="G12294" t="s">
        <v>37553</v>
      </c>
      <c r="H12294" t="s">
        <v>37554</v>
      </c>
      <c r="I12294" t="s">
        <v>37555</v>
      </c>
      <c r="J12294" t="s">
        <v>37556</v>
      </c>
      <c r="K12294" s="2" t="str">
        <f>HYPERLINK("http://collections.slsa.sa.gov.au/resource/B+76701")</f>
        <v>http://collections.slsa.sa.gov.au/resource/B+76701</v>
      </c>
    </row>
    <row r="12295" spans="1:11" x14ac:dyDescent="0.25">
      <c r="A12295" t="s">
        <v>37557</v>
      </c>
      <c r="B12295" s="1" t="str">
        <f>HYPERLINK("https://www.catalog.slsa.sa.gov.au/record=b3189824")</f>
        <v>https://www.catalog.slsa.sa.gov.au/record=b3189824</v>
      </c>
      <c r="C12295" s="1" t="str">
        <f>HYPERLINK("https://www.catalog.slsa.sa.gov.au/xrecord=b3189824")</f>
        <v>https://www.catalog.slsa.sa.gov.au/xrecord=b3189824</v>
      </c>
      <c r="D12295" t="s">
        <v>31636</v>
      </c>
      <c r="E12295" t="s">
        <v>37551</v>
      </c>
      <c r="F12295" t="s">
        <v>37552</v>
      </c>
      <c r="G12295" t="s">
        <v>36396</v>
      </c>
      <c r="H12295" t="s">
        <v>37558</v>
      </c>
      <c r="I12295" t="s">
        <v>37555</v>
      </c>
      <c r="J12295" t="s">
        <v>37556</v>
      </c>
      <c r="K12295" s="2" t="str">
        <f>HYPERLINK("http://collections.slsa.sa.gov.au/resource/B+76702")</f>
        <v>http://collections.slsa.sa.gov.au/resource/B+76702</v>
      </c>
    </row>
    <row r="12296" spans="1:11" x14ac:dyDescent="0.25">
      <c r="A12296" t="s">
        <v>37559</v>
      </c>
      <c r="B12296" s="1" t="str">
        <f>HYPERLINK("https://www.catalog.slsa.sa.gov.au/record=b3189825")</f>
        <v>https://www.catalog.slsa.sa.gov.au/record=b3189825</v>
      </c>
      <c r="C12296" s="1" t="str">
        <f>HYPERLINK("https://www.catalog.slsa.sa.gov.au/xrecord=b3189825")</f>
        <v>https://www.catalog.slsa.sa.gov.au/xrecord=b3189825</v>
      </c>
      <c r="D12296" t="s">
        <v>31636</v>
      </c>
      <c r="E12296" t="s">
        <v>37560</v>
      </c>
      <c r="F12296" t="s">
        <v>37552</v>
      </c>
      <c r="G12296" t="s">
        <v>36370</v>
      </c>
      <c r="H12296" t="s">
        <v>37561</v>
      </c>
      <c r="I12296" t="s">
        <v>37562</v>
      </c>
      <c r="J12296" t="s">
        <v>37556</v>
      </c>
      <c r="K12296" s="2" t="str">
        <f>HYPERLINK("http://collections.slsa.sa.gov.au/resource/B+76703")</f>
        <v>http://collections.slsa.sa.gov.au/resource/B+76703</v>
      </c>
    </row>
    <row r="12297" spans="1:11" x14ac:dyDescent="0.25">
      <c r="A12297" t="s">
        <v>37563</v>
      </c>
      <c r="B12297" s="1" t="str">
        <f>HYPERLINK("https://www.catalog.slsa.sa.gov.au/record=b3189826")</f>
        <v>https://www.catalog.slsa.sa.gov.au/record=b3189826</v>
      </c>
      <c r="C12297" s="1" t="str">
        <f>HYPERLINK("https://www.catalog.slsa.sa.gov.au/xrecord=b3189826")</f>
        <v>https://www.catalog.slsa.sa.gov.au/xrecord=b3189826</v>
      </c>
      <c r="D12297" t="s">
        <v>31636</v>
      </c>
      <c r="E12297" t="s">
        <v>37560</v>
      </c>
      <c r="F12297" t="s">
        <v>37552</v>
      </c>
      <c r="G12297" t="s">
        <v>36370</v>
      </c>
      <c r="H12297" t="s">
        <v>37564</v>
      </c>
      <c r="I12297" t="s">
        <v>37565</v>
      </c>
      <c r="J12297" t="s">
        <v>37556</v>
      </c>
      <c r="K12297" s="2" t="str">
        <f>HYPERLINK("http://collections.slsa.sa.gov.au/resource/B+76704")</f>
        <v>http://collections.slsa.sa.gov.au/resource/B+76704</v>
      </c>
    </row>
    <row r="12298" spans="1:11" x14ac:dyDescent="0.25">
      <c r="A12298" t="s">
        <v>37566</v>
      </c>
      <c r="B12298" s="1" t="str">
        <f>HYPERLINK("https://www.catalog.slsa.sa.gov.au/record=b3189827")</f>
        <v>https://www.catalog.slsa.sa.gov.au/record=b3189827</v>
      </c>
      <c r="C12298" s="1" t="str">
        <f>HYPERLINK("https://www.catalog.slsa.sa.gov.au/xrecord=b3189827")</f>
        <v>https://www.catalog.slsa.sa.gov.au/xrecord=b3189827</v>
      </c>
      <c r="D12298" t="s">
        <v>31636</v>
      </c>
      <c r="E12298" t="s">
        <v>37560</v>
      </c>
      <c r="F12298" t="s">
        <v>37552</v>
      </c>
      <c r="G12298" t="s">
        <v>36370</v>
      </c>
      <c r="H12298" t="s">
        <v>37567</v>
      </c>
      <c r="I12298" t="s">
        <v>37568</v>
      </c>
      <c r="J12298" t="s">
        <v>37556</v>
      </c>
      <c r="K12298" s="2" t="str">
        <f>HYPERLINK("http://collections.slsa.sa.gov.au/resource/B+76705")</f>
        <v>http://collections.slsa.sa.gov.au/resource/B+76705</v>
      </c>
    </row>
    <row r="12299" spans="1:11" x14ac:dyDescent="0.25">
      <c r="A12299" t="s">
        <v>37569</v>
      </c>
      <c r="B12299" s="1" t="str">
        <f>HYPERLINK("https://www.catalog.slsa.sa.gov.au/record=b3189828")</f>
        <v>https://www.catalog.slsa.sa.gov.au/record=b3189828</v>
      </c>
      <c r="C12299" s="1" t="str">
        <f>HYPERLINK("https://www.catalog.slsa.sa.gov.au/xrecord=b3189828")</f>
        <v>https://www.catalog.slsa.sa.gov.au/xrecord=b3189828</v>
      </c>
      <c r="D12299" t="s">
        <v>31636</v>
      </c>
      <c r="E12299" t="s">
        <v>37560</v>
      </c>
      <c r="F12299" t="s">
        <v>37552</v>
      </c>
      <c r="G12299" t="s">
        <v>36370</v>
      </c>
      <c r="H12299" t="s">
        <v>37561</v>
      </c>
      <c r="I12299" t="s">
        <v>37562</v>
      </c>
      <c r="J12299" t="s">
        <v>37556</v>
      </c>
      <c r="K12299" s="2" t="str">
        <f>HYPERLINK("http://collections.slsa.sa.gov.au/resource/B+76706")</f>
        <v>http://collections.slsa.sa.gov.au/resource/B+76706</v>
      </c>
    </row>
    <row r="12300" spans="1:11" x14ac:dyDescent="0.25">
      <c r="A12300" t="s">
        <v>37570</v>
      </c>
      <c r="B12300" s="1" t="str">
        <f>HYPERLINK("https://www.catalog.slsa.sa.gov.au/record=b3189830")</f>
        <v>https://www.catalog.slsa.sa.gov.au/record=b3189830</v>
      </c>
      <c r="C12300" s="1" t="str">
        <f>HYPERLINK("https://www.catalog.slsa.sa.gov.au/xrecord=b3189830")</f>
        <v>https://www.catalog.slsa.sa.gov.au/xrecord=b3189830</v>
      </c>
      <c r="D12300" t="s">
        <v>31636</v>
      </c>
      <c r="E12300" t="s">
        <v>37560</v>
      </c>
      <c r="F12300" t="s">
        <v>37552</v>
      </c>
      <c r="G12300" t="s">
        <v>36370</v>
      </c>
      <c r="H12300" t="s">
        <v>37571</v>
      </c>
      <c r="I12300" t="s">
        <v>37572</v>
      </c>
      <c r="J12300" t="s">
        <v>37556</v>
      </c>
      <c r="K12300" s="2" t="str">
        <f>HYPERLINK("http://collections.slsa.sa.gov.au/resource/B+76707")</f>
        <v>http://collections.slsa.sa.gov.au/resource/B+76707</v>
      </c>
    </row>
    <row r="12301" spans="1:11" x14ac:dyDescent="0.25">
      <c r="A12301" t="s">
        <v>37573</v>
      </c>
      <c r="B12301" s="1" t="str">
        <f>HYPERLINK("https://www.catalog.slsa.sa.gov.au/record=b3027610")</f>
        <v>https://www.catalog.slsa.sa.gov.au/record=b3027610</v>
      </c>
      <c r="C12301" s="1" t="str">
        <f>HYPERLINK("https://www.catalog.slsa.sa.gov.au/xrecord=b3027610")</f>
        <v>https://www.catalog.slsa.sa.gov.au/xrecord=b3027610</v>
      </c>
      <c r="D12301" t="s">
        <v>31636</v>
      </c>
      <c r="E12301" t="s">
        <v>37574</v>
      </c>
      <c r="F12301" t="s">
        <v>37575</v>
      </c>
      <c r="G12301" t="s">
        <v>36370</v>
      </c>
      <c r="H12301" t="s">
        <v>37576</v>
      </c>
      <c r="I12301" t="s">
        <v>37577</v>
      </c>
      <c r="J12301" t="s">
        <v>36129</v>
      </c>
      <c r="K12301" s="2" t="str">
        <f>HYPERLINK("http://collections.slsa.sa.gov.au/resource/B+74469")</f>
        <v>http://collections.slsa.sa.gov.au/resource/B+74469</v>
      </c>
    </row>
    <row r="12302" spans="1:11" x14ac:dyDescent="0.25">
      <c r="A12302" t="s">
        <v>37578</v>
      </c>
      <c r="B12302" s="1" t="str">
        <f>HYPERLINK("https://www.catalog.slsa.sa.gov.au/record=b3027618")</f>
        <v>https://www.catalog.slsa.sa.gov.au/record=b3027618</v>
      </c>
      <c r="C12302" s="1" t="str">
        <f>HYPERLINK("https://www.catalog.slsa.sa.gov.au/xrecord=b3027618")</f>
        <v>https://www.catalog.slsa.sa.gov.au/xrecord=b3027618</v>
      </c>
      <c r="D12302" t="s">
        <v>31636</v>
      </c>
      <c r="E12302" t="s">
        <v>37574</v>
      </c>
      <c r="F12302" t="s">
        <v>37575</v>
      </c>
      <c r="G12302" t="s">
        <v>37579</v>
      </c>
      <c r="H12302" t="s">
        <v>37580</v>
      </c>
      <c r="I12302" t="s">
        <v>37577</v>
      </c>
      <c r="J12302" t="s">
        <v>36129</v>
      </c>
      <c r="K12302" s="2" t="str">
        <f>HYPERLINK("http://collections.slsa.sa.gov.au/resource/B+74470")</f>
        <v>http://collections.slsa.sa.gov.au/resource/B+74470</v>
      </c>
    </row>
    <row r="12303" spans="1:11" x14ac:dyDescent="0.25">
      <c r="A12303" t="s">
        <v>37581</v>
      </c>
      <c r="B12303" s="1" t="str">
        <f>HYPERLINK("https://www.catalog.slsa.sa.gov.au/record=b3027619")</f>
        <v>https://www.catalog.slsa.sa.gov.au/record=b3027619</v>
      </c>
      <c r="C12303" s="1" t="str">
        <f>HYPERLINK("https://www.catalog.slsa.sa.gov.au/xrecord=b3027619")</f>
        <v>https://www.catalog.slsa.sa.gov.au/xrecord=b3027619</v>
      </c>
      <c r="D12303" t="s">
        <v>31636</v>
      </c>
      <c r="E12303" t="s">
        <v>37574</v>
      </c>
      <c r="F12303" t="s">
        <v>37575</v>
      </c>
      <c r="G12303" t="s">
        <v>37582</v>
      </c>
      <c r="H12303" t="s">
        <v>37583</v>
      </c>
      <c r="I12303" t="s">
        <v>37584</v>
      </c>
      <c r="J12303" t="s">
        <v>36129</v>
      </c>
      <c r="K12303" s="2" t="str">
        <f>HYPERLINK("http://collections.slsa.sa.gov.au/resource/B+74471")</f>
        <v>http://collections.slsa.sa.gov.au/resource/B+74471</v>
      </c>
    </row>
    <row r="12304" spans="1:11" x14ac:dyDescent="0.25">
      <c r="A12304" t="s">
        <v>37585</v>
      </c>
      <c r="B12304" s="1" t="str">
        <f>HYPERLINK("https://www.catalog.slsa.sa.gov.au/record=b3027622")</f>
        <v>https://www.catalog.slsa.sa.gov.au/record=b3027622</v>
      </c>
      <c r="C12304" s="1" t="str">
        <f>HYPERLINK("https://www.catalog.slsa.sa.gov.au/xrecord=b3027622")</f>
        <v>https://www.catalog.slsa.sa.gov.au/xrecord=b3027622</v>
      </c>
      <c r="D12304" t="s">
        <v>31636</v>
      </c>
      <c r="E12304" t="s">
        <v>37574</v>
      </c>
      <c r="F12304" t="s">
        <v>37575</v>
      </c>
      <c r="G12304" t="s">
        <v>37586</v>
      </c>
      <c r="H12304" t="s">
        <v>37587</v>
      </c>
      <c r="I12304" t="s">
        <v>37588</v>
      </c>
      <c r="J12304" t="s">
        <v>36129</v>
      </c>
      <c r="K12304" s="2" t="str">
        <f>HYPERLINK("http://collections.slsa.sa.gov.au/resource/B+74472")</f>
        <v>http://collections.slsa.sa.gov.au/resource/B+74472</v>
      </c>
    </row>
    <row r="12305" spans="1:11" x14ac:dyDescent="0.25">
      <c r="A12305" t="s">
        <v>37589</v>
      </c>
      <c r="B12305" s="1" t="str">
        <f>HYPERLINK("https://www.catalog.slsa.sa.gov.au/record=b3027623")</f>
        <v>https://www.catalog.slsa.sa.gov.au/record=b3027623</v>
      </c>
      <c r="C12305" s="1" t="str">
        <f>HYPERLINK("https://www.catalog.slsa.sa.gov.au/xrecord=b3027623")</f>
        <v>https://www.catalog.slsa.sa.gov.au/xrecord=b3027623</v>
      </c>
      <c r="D12305" t="s">
        <v>31636</v>
      </c>
      <c r="E12305" t="s">
        <v>37574</v>
      </c>
      <c r="F12305" t="s">
        <v>37575</v>
      </c>
      <c r="G12305" t="s">
        <v>37590</v>
      </c>
      <c r="H12305" t="s">
        <v>37591</v>
      </c>
      <c r="I12305" t="s">
        <v>37592</v>
      </c>
      <c r="J12305" t="s">
        <v>36129</v>
      </c>
      <c r="K12305" s="2" t="str">
        <f>HYPERLINK("http://collections.slsa.sa.gov.au/resource/B+74473")</f>
        <v>http://collections.slsa.sa.gov.au/resource/B+74473</v>
      </c>
    </row>
    <row r="12306" spans="1:11" x14ac:dyDescent="0.25">
      <c r="A12306" t="s">
        <v>37593</v>
      </c>
      <c r="B12306" s="1" t="str">
        <f>HYPERLINK("https://www.catalog.slsa.sa.gov.au/record=b3027624")</f>
        <v>https://www.catalog.slsa.sa.gov.au/record=b3027624</v>
      </c>
      <c r="C12306" s="1" t="str">
        <f>HYPERLINK("https://www.catalog.slsa.sa.gov.au/xrecord=b3027624")</f>
        <v>https://www.catalog.slsa.sa.gov.au/xrecord=b3027624</v>
      </c>
      <c r="D12306" t="s">
        <v>31636</v>
      </c>
      <c r="E12306" t="s">
        <v>37574</v>
      </c>
      <c r="F12306" t="s">
        <v>37575</v>
      </c>
      <c r="G12306" t="s">
        <v>37594</v>
      </c>
      <c r="H12306" t="s">
        <v>37595</v>
      </c>
      <c r="I12306" t="s">
        <v>37596</v>
      </c>
      <c r="J12306" t="s">
        <v>36129</v>
      </c>
      <c r="K12306" s="2" t="str">
        <f>HYPERLINK("http://collections.slsa.sa.gov.au/resource/B+74474")</f>
        <v>http://collections.slsa.sa.gov.au/resource/B+74474</v>
      </c>
    </row>
    <row r="12307" spans="1:11" x14ac:dyDescent="0.25">
      <c r="A12307" t="s">
        <v>37597</v>
      </c>
      <c r="B12307" s="1" t="str">
        <f>HYPERLINK("https://www.catalog.slsa.sa.gov.au/record=b3027625")</f>
        <v>https://www.catalog.slsa.sa.gov.au/record=b3027625</v>
      </c>
      <c r="C12307" s="1" t="str">
        <f>HYPERLINK("https://www.catalog.slsa.sa.gov.au/xrecord=b3027625")</f>
        <v>https://www.catalog.slsa.sa.gov.au/xrecord=b3027625</v>
      </c>
      <c r="D12307" t="s">
        <v>31636</v>
      </c>
      <c r="E12307" t="s">
        <v>37574</v>
      </c>
      <c r="F12307" t="s">
        <v>37575</v>
      </c>
      <c r="G12307" t="s">
        <v>37598</v>
      </c>
      <c r="H12307" t="s">
        <v>37599</v>
      </c>
      <c r="I12307" t="s">
        <v>37600</v>
      </c>
      <c r="J12307" t="s">
        <v>36129</v>
      </c>
      <c r="K12307" s="2" t="str">
        <f>HYPERLINK("http://collections.slsa.sa.gov.au/resource/B+74475")</f>
        <v>http://collections.slsa.sa.gov.au/resource/B+74475</v>
      </c>
    </row>
    <row r="12308" spans="1:11" x14ac:dyDescent="0.25">
      <c r="A12308" t="s">
        <v>37601</v>
      </c>
      <c r="B12308" s="1" t="str">
        <f>HYPERLINK("https://www.catalog.slsa.sa.gov.au/record=b3027630")</f>
        <v>https://www.catalog.slsa.sa.gov.au/record=b3027630</v>
      </c>
      <c r="C12308" s="1" t="str">
        <f>HYPERLINK("https://www.catalog.slsa.sa.gov.au/xrecord=b3027630")</f>
        <v>https://www.catalog.slsa.sa.gov.au/xrecord=b3027630</v>
      </c>
      <c r="D12308" t="s">
        <v>31636</v>
      </c>
      <c r="E12308" t="s">
        <v>37574</v>
      </c>
      <c r="F12308" t="s">
        <v>37575</v>
      </c>
      <c r="G12308" t="s">
        <v>36370</v>
      </c>
      <c r="H12308" t="s">
        <v>37602</v>
      </c>
      <c r="I12308" t="s">
        <v>37603</v>
      </c>
      <c r="J12308" t="s">
        <v>36129</v>
      </c>
      <c r="K12308" s="2" t="str">
        <f>HYPERLINK("http://collections.slsa.sa.gov.au/resource/B+74476")</f>
        <v>http://collections.slsa.sa.gov.au/resource/B+74476</v>
      </c>
    </row>
    <row r="12309" spans="1:11" x14ac:dyDescent="0.25">
      <c r="A12309" t="s">
        <v>37604</v>
      </c>
      <c r="B12309" s="1" t="str">
        <f>HYPERLINK("https://www.catalog.slsa.sa.gov.au/record=b3027633")</f>
        <v>https://www.catalog.slsa.sa.gov.au/record=b3027633</v>
      </c>
      <c r="C12309" s="1" t="str">
        <f>HYPERLINK("https://www.catalog.slsa.sa.gov.au/xrecord=b3027633")</f>
        <v>https://www.catalog.slsa.sa.gov.au/xrecord=b3027633</v>
      </c>
      <c r="D12309" t="s">
        <v>31636</v>
      </c>
      <c r="E12309" t="s">
        <v>37605</v>
      </c>
      <c r="F12309" t="s">
        <v>37575</v>
      </c>
      <c r="G12309" t="s">
        <v>36370</v>
      </c>
      <c r="H12309" t="s">
        <v>37606</v>
      </c>
      <c r="I12309" t="s">
        <v>36463</v>
      </c>
      <c r="J12309" t="s">
        <v>36450</v>
      </c>
      <c r="K12309" s="2" t="str">
        <f>HYPERLINK("http://collections.slsa.sa.gov.au/resource/B+74477")</f>
        <v>http://collections.slsa.sa.gov.au/resource/B+74477</v>
      </c>
    </row>
    <row r="12310" spans="1:11" x14ac:dyDescent="0.25">
      <c r="A12310" t="s">
        <v>37607</v>
      </c>
      <c r="B12310" s="1" t="str">
        <f>HYPERLINK("https://www.catalog.slsa.sa.gov.au/record=b3027636")</f>
        <v>https://www.catalog.slsa.sa.gov.au/record=b3027636</v>
      </c>
      <c r="C12310" s="1" t="str">
        <f>HYPERLINK("https://www.catalog.slsa.sa.gov.au/xrecord=b3027636")</f>
        <v>https://www.catalog.slsa.sa.gov.au/xrecord=b3027636</v>
      </c>
      <c r="D12310" t="s">
        <v>31636</v>
      </c>
      <c r="E12310" t="s">
        <v>37605</v>
      </c>
      <c r="F12310" t="s">
        <v>37575</v>
      </c>
      <c r="G12310" t="s">
        <v>36370</v>
      </c>
      <c r="H12310" t="s">
        <v>37606</v>
      </c>
      <c r="I12310" t="s">
        <v>36463</v>
      </c>
      <c r="J12310" t="s">
        <v>36450</v>
      </c>
      <c r="K12310" s="2" t="str">
        <f>HYPERLINK("http://collections.slsa.sa.gov.au/resource/B+74478")</f>
        <v>http://collections.slsa.sa.gov.au/resource/B+74478</v>
      </c>
    </row>
    <row r="12311" spans="1:11" x14ac:dyDescent="0.25">
      <c r="A12311" t="s">
        <v>37608</v>
      </c>
      <c r="B12311" s="1" t="str">
        <f>HYPERLINK("https://www.catalog.slsa.sa.gov.au/record=b3027637")</f>
        <v>https://www.catalog.slsa.sa.gov.au/record=b3027637</v>
      </c>
      <c r="C12311" s="1" t="str">
        <f>HYPERLINK("https://www.catalog.slsa.sa.gov.au/xrecord=b3027637")</f>
        <v>https://www.catalog.slsa.sa.gov.au/xrecord=b3027637</v>
      </c>
      <c r="D12311" t="s">
        <v>31636</v>
      </c>
      <c r="E12311" t="s">
        <v>37605</v>
      </c>
      <c r="F12311" t="s">
        <v>37575</v>
      </c>
      <c r="G12311" t="s">
        <v>36370</v>
      </c>
      <c r="H12311" t="s">
        <v>37606</v>
      </c>
      <c r="I12311" t="s">
        <v>36463</v>
      </c>
      <c r="J12311" t="s">
        <v>36450</v>
      </c>
      <c r="K12311" s="2" t="str">
        <f>HYPERLINK("http://collections.slsa.sa.gov.au/resource/B+74479")</f>
        <v>http://collections.slsa.sa.gov.au/resource/B+74479</v>
      </c>
    </row>
    <row r="12312" spans="1:11" x14ac:dyDescent="0.25">
      <c r="A12312" t="s">
        <v>37609</v>
      </c>
      <c r="B12312" s="1" t="str">
        <f>HYPERLINK("https://www.catalog.slsa.sa.gov.au/record=b3027639")</f>
        <v>https://www.catalog.slsa.sa.gov.au/record=b3027639</v>
      </c>
      <c r="C12312" s="1" t="str">
        <f>HYPERLINK("https://www.catalog.slsa.sa.gov.au/xrecord=b3027639")</f>
        <v>https://www.catalog.slsa.sa.gov.au/xrecord=b3027639</v>
      </c>
      <c r="D12312" t="s">
        <v>31636</v>
      </c>
      <c r="E12312" t="s">
        <v>37610</v>
      </c>
      <c r="F12312" t="s">
        <v>37575</v>
      </c>
      <c r="G12312" t="s">
        <v>36370</v>
      </c>
      <c r="H12312" t="s">
        <v>37611</v>
      </c>
      <c r="I12312" t="s">
        <v>37612</v>
      </c>
      <c r="J12312" t="s">
        <v>36450</v>
      </c>
      <c r="K12312" s="2" t="str">
        <f>HYPERLINK("http://collections.slsa.sa.gov.au/resource/B+74480")</f>
        <v>http://collections.slsa.sa.gov.au/resource/B+74480</v>
      </c>
    </row>
    <row r="12313" spans="1:11" x14ac:dyDescent="0.25">
      <c r="A12313" t="s">
        <v>37613</v>
      </c>
      <c r="B12313" s="1" t="str">
        <f>HYPERLINK("https://www.catalog.slsa.sa.gov.au/record=b3027640")</f>
        <v>https://www.catalog.slsa.sa.gov.au/record=b3027640</v>
      </c>
      <c r="C12313" s="1" t="str">
        <f>HYPERLINK("https://www.catalog.slsa.sa.gov.au/xrecord=b3027640")</f>
        <v>https://www.catalog.slsa.sa.gov.au/xrecord=b3027640</v>
      </c>
      <c r="D12313" t="s">
        <v>31636</v>
      </c>
      <c r="E12313" t="s">
        <v>37610</v>
      </c>
      <c r="F12313" t="s">
        <v>37575</v>
      </c>
      <c r="G12313" t="s">
        <v>36370</v>
      </c>
      <c r="H12313" t="s">
        <v>37611</v>
      </c>
      <c r="I12313" t="s">
        <v>37614</v>
      </c>
      <c r="J12313" t="s">
        <v>36450</v>
      </c>
      <c r="K12313" s="2" t="str">
        <f>HYPERLINK("http://collections.slsa.sa.gov.au/resource/B+74481")</f>
        <v>http://collections.slsa.sa.gov.au/resource/B+74481</v>
      </c>
    </row>
    <row r="12314" spans="1:11" x14ac:dyDescent="0.25">
      <c r="A12314" t="s">
        <v>37615</v>
      </c>
      <c r="B12314" s="1" t="str">
        <f>HYPERLINK("https://www.catalog.slsa.sa.gov.au/record=b3027665")</f>
        <v>https://www.catalog.slsa.sa.gov.au/record=b3027665</v>
      </c>
      <c r="C12314" s="1" t="str">
        <f>HYPERLINK("https://www.catalog.slsa.sa.gov.au/xrecord=b3027665")</f>
        <v>https://www.catalog.slsa.sa.gov.au/xrecord=b3027665</v>
      </c>
      <c r="D12314" t="s">
        <v>31636</v>
      </c>
      <c r="E12314" t="s">
        <v>37616</v>
      </c>
      <c r="F12314" t="s">
        <v>37617</v>
      </c>
      <c r="G12314" t="s">
        <v>37618</v>
      </c>
      <c r="H12314" t="s">
        <v>37619</v>
      </c>
      <c r="I12314" t="s">
        <v>37620</v>
      </c>
      <c r="J12314" t="s">
        <v>37621</v>
      </c>
      <c r="K12314" s="2" t="str">
        <f>HYPERLINK("http://collections.slsa.sa.gov.au/resource/B+74482")</f>
        <v>http://collections.slsa.sa.gov.au/resource/B+74482</v>
      </c>
    </row>
    <row r="12315" spans="1:11" x14ac:dyDescent="0.25">
      <c r="A12315" t="s">
        <v>37622</v>
      </c>
      <c r="B12315" s="1" t="str">
        <f>HYPERLINK("https://www.catalog.slsa.sa.gov.au/record=b3027666")</f>
        <v>https://www.catalog.slsa.sa.gov.au/record=b3027666</v>
      </c>
      <c r="C12315" s="1" t="str">
        <f>HYPERLINK("https://www.catalog.slsa.sa.gov.au/xrecord=b3027666")</f>
        <v>https://www.catalog.slsa.sa.gov.au/xrecord=b3027666</v>
      </c>
      <c r="D12315" t="s">
        <v>31636</v>
      </c>
      <c r="E12315" t="s">
        <v>37616</v>
      </c>
      <c r="F12315" t="s">
        <v>37617</v>
      </c>
      <c r="G12315" t="s">
        <v>37623</v>
      </c>
      <c r="H12315" t="s">
        <v>37624</v>
      </c>
      <c r="I12315" t="s">
        <v>37625</v>
      </c>
      <c r="J12315" t="s">
        <v>37621</v>
      </c>
      <c r="K12315" s="2" t="str">
        <f>HYPERLINK("http://collections.slsa.sa.gov.au/resource/B+74483")</f>
        <v>http://collections.slsa.sa.gov.au/resource/B+74483</v>
      </c>
    </row>
    <row r="12316" spans="1:11" x14ac:dyDescent="0.25">
      <c r="A12316" t="s">
        <v>37626</v>
      </c>
      <c r="B12316" s="1" t="str">
        <f>HYPERLINK("https://www.catalog.slsa.sa.gov.au/record=b3027667")</f>
        <v>https://www.catalog.slsa.sa.gov.au/record=b3027667</v>
      </c>
      <c r="C12316" s="1" t="str">
        <f>HYPERLINK("https://www.catalog.slsa.sa.gov.au/xrecord=b3027667")</f>
        <v>https://www.catalog.slsa.sa.gov.au/xrecord=b3027667</v>
      </c>
      <c r="D12316" t="s">
        <v>31636</v>
      </c>
      <c r="E12316" t="s">
        <v>37616</v>
      </c>
      <c r="F12316" t="s">
        <v>37617</v>
      </c>
      <c r="G12316" t="s">
        <v>37627</v>
      </c>
      <c r="H12316" t="s">
        <v>37628</v>
      </c>
      <c r="I12316" t="s">
        <v>37625</v>
      </c>
      <c r="J12316" t="s">
        <v>37621</v>
      </c>
      <c r="K12316" s="2" t="str">
        <f>HYPERLINK("http://collections.slsa.sa.gov.au/resource/B+74484")</f>
        <v>http://collections.slsa.sa.gov.au/resource/B+74484</v>
      </c>
    </row>
    <row r="12317" spans="1:11" x14ac:dyDescent="0.25">
      <c r="A12317" t="s">
        <v>37629</v>
      </c>
      <c r="B12317" s="1" t="str">
        <f>HYPERLINK("https://www.catalog.slsa.sa.gov.au/record=b3027669")</f>
        <v>https://www.catalog.slsa.sa.gov.au/record=b3027669</v>
      </c>
      <c r="C12317" s="1" t="str">
        <f>HYPERLINK("https://www.catalog.slsa.sa.gov.au/xrecord=b3027669")</f>
        <v>https://www.catalog.slsa.sa.gov.au/xrecord=b3027669</v>
      </c>
      <c r="D12317" t="s">
        <v>31636</v>
      </c>
      <c r="E12317" t="s">
        <v>37616</v>
      </c>
      <c r="F12317" t="s">
        <v>37617</v>
      </c>
      <c r="G12317" t="s">
        <v>37630</v>
      </c>
      <c r="H12317" t="s">
        <v>37631</v>
      </c>
      <c r="I12317" t="s">
        <v>37632</v>
      </c>
      <c r="J12317" t="s">
        <v>37621</v>
      </c>
      <c r="K12317" s="2" t="str">
        <f>HYPERLINK("http://collections.slsa.sa.gov.au/resource/B+74485")</f>
        <v>http://collections.slsa.sa.gov.au/resource/B+74485</v>
      </c>
    </row>
    <row r="12318" spans="1:11" x14ac:dyDescent="0.25">
      <c r="A12318" t="s">
        <v>37633</v>
      </c>
      <c r="B12318" s="1" t="str">
        <f>HYPERLINK("https://www.catalog.slsa.sa.gov.au/record=b3133878")</f>
        <v>https://www.catalog.slsa.sa.gov.au/record=b3133878</v>
      </c>
      <c r="C12318" s="1" t="str">
        <f>HYPERLINK("https://www.catalog.slsa.sa.gov.au/xrecord=b3133878")</f>
        <v>https://www.catalog.slsa.sa.gov.au/xrecord=b3133878</v>
      </c>
      <c r="D12318" t="s">
        <v>31636</v>
      </c>
      <c r="E12318" t="s">
        <v>37634</v>
      </c>
      <c r="F12318" t="s">
        <v>37635</v>
      </c>
      <c r="G12318" t="s">
        <v>36370</v>
      </c>
      <c r="H12318" t="s">
        <v>37636</v>
      </c>
      <c r="I12318" t="s">
        <v>37637</v>
      </c>
      <c r="J12318" t="s">
        <v>1809</v>
      </c>
      <c r="K12318" s="2" t="str">
        <f>HYPERLINK("http://collections.slsa.sa.gov.au/resource/B+75544")</f>
        <v>http://collections.slsa.sa.gov.au/resource/B+75544</v>
      </c>
    </row>
    <row r="12319" spans="1:11" x14ac:dyDescent="0.25">
      <c r="A12319" t="s">
        <v>37638</v>
      </c>
      <c r="B12319" s="1" t="str">
        <f>HYPERLINK("https://www.catalog.slsa.sa.gov.au/record=b3027064")</f>
        <v>https://www.catalog.slsa.sa.gov.au/record=b3027064</v>
      </c>
      <c r="C12319" s="1" t="str">
        <f>HYPERLINK("https://www.catalog.slsa.sa.gov.au/xrecord=b3027064")</f>
        <v>https://www.catalog.slsa.sa.gov.au/xrecord=b3027064</v>
      </c>
      <c r="D12319" t="s">
        <v>31636</v>
      </c>
      <c r="E12319" t="s">
        <v>37639</v>
      </c>
      <c r="F12319" t="s">
        <v>37640</v>
      </c>
      <c r="G12319" t="s">
        <v>36370</v>
      </c>
      <c r="H12319" t="s">
        <v>37641</v>
      </c>
      <c r="I12319" t="s">
        <v>37642</v>
      </c>
      <c r="J12319" t="s">
        <v>15204</v>
      </c>
      <c r="K12319" s="2" t="str">
        <f>HYPERLINK("http://collections.slsa.sa.gov.au/resource/B+74461")</f>
        <v>http://collections.slsa.sa.gov.au/resource/B+74461</v>
      </c>
    </row>
    <row r="12320" spans="1:11" x14ac:dyDescent="0.25">
      <c r="A12320" t="s">
        <v>37643</v>
      </c>
      <c r="B12320" s="1" t="str">
        <f>HYPERLINK("https://www.catalog.slsa.sa.gov.au/record=b3027067")</f>
        <v>https://www.catalog.slsa.sa.gov.au/record=b3027067</v>
      </c>
      <c r="C12320" s="1" t="str">
        <f>HYPERLINK("https://www.catalog.slsa.sa.gov.au/xrecord=b3027067")</f>
        <v>https://www.catalog.slsa.sa.gov.au/xrecord=b3027067</v>
      </c>
      <c r="D12320" t="s">
        <v>31636</v>
      </c>
      <c r="E12320" t="s">
        <v>37644</v>
      </c>
      <c r="F12320" t="s">
        <v>37640</v>
      </c>
      <c r="G12320" t="s">
        <v>36370</v>
      </c>
      <c r="H12320" t="s">
        <v>37645</v>
      </c>
      <c r="I12320" t="s">
        <v>37646</v>
      </c>
      <c r="J12320" t="s">
        <v>15204</v>
      </c>
      <c r="K12320" s="2" t="str">
        <f>HYPERLINK("http://collections.slsa.sa.gov.au/resource/B+74462")</f>
        <v>http://collections.slsa.sa.gov.au/resource/B+74462</v>
      </c>
    </row>
    <row r="12321" spans="1:11" x14ac:dyDescent="0.25">
      <c r="A12321" t="s">
        <v>37647</v>
      </c>
      <c r="B12321" s="1" t="str">
        <f>HYPERLINK("https://www.catalog.slsa.sa.gov.au/record=b3027068")</f>
        <v>https://www.catalog.slsa.sa.gov.au/record=b3027068</v>
      </c>
      <c r="C12321" s="1" t="str">
        <f>HYPERLINK("https://www.catalog.slsa.sa.gov.au/xrecord=b3027068")</f>
        <v>https://www.catalog.slsa.sa.gov.au/xrecord=b3027068</v>
      </c>
      <c r="D12321" t="s">
        <v>31636</v>
      </c>
      <c r="E12321" t="s">
        <v>37644</v>
      </c>
      <c r="F12321" t="s">
        <v>37640</v>
      </c>
      <c r="G12321" t="s">
        <v>36370</v>
      </c>
      <c r="H12321" t="s">
        <v>37648</v>
      </c>
      <c r="I12321" t="s">
        <v>37649</v>
      </c>
      <c r="J12321" t="s">
        <v>15204</v>
      </c>
      <c r="K12321" s="2" t="str">
        <f>HYPERLINK("http://collections.slsa.sa.gov.au/resource/B+74463")</f>
        <v>http://collections.slsa.sa.gov.au/resource/B+74463</v>
      </c>
    </row>
    <row r="12322" spans="1:11" x14ac:dyDescent="0.25">
      <c r="A12322" t="s">
        <v>37650</v>
      </c>
      <c r="B12322" s="1" t="str">
        <f>HYPERLINK("https://www.catalog.slsa.sa.gov.au/record=b3027069")</f>
        <v>https://www.catalog.slsa.sa.gov.au/record=b3027069</v>
      </c>
      <c r="C12322" s="1" t="str">
        <f>HYPERLINK("https://www.catalog.slsa.sa.gov.au/xrecord=b3027069")</f>
        <v>https://www.catalog.slsa.sa.gov.au/xrecord=b3027069</v>
      </c>
      <c r="D12322" t="s">
        <v>31636</v>
      </c>
      <c r="E12322" t="s">
        <v>37644</v>
      </c>
      <c r="F12322" t="s">
        <v>37640</v>
      </c>
      <c r="G12322" t="s">
        <v>36396</v>
      </c>
      <c r="H12322" t="s">
        <v>37651</v>
      </c>
      <c r="I12322" t="s">
        <v>37652</v>
      </c>
      <c r="J12322" t="s">
        <v>15204</v>
      </c>
      <c r="K12322" s="2" t="str">
        <f>HYPERLINK("http://collections.slsa.sa.gov.au/resource/B+74464")</f>
        <v>http://collections.slsa.sa.gov.au/resource/B+74464</v>
      </c>
    </row>
    <row r="12323" spans="1:11" x14ac:dyDescent="0.25">
      <c r="A12323" t="s">
        <v>37653</v>
      </c>
      <c r="B12323" s="1" t="str">
        <f>HYPERLINK("https://www.catalog.slsa.sa.gov.au/record=b3027070")</f>
        <v>https://www.catalog.slsa.sa.gov.au/record=b3027070</v>
      </c>
      <c r="C12323" s="1" t="str">
        <f>HYPERLINK("https://www.catalog.slsa.sa.gov.au/xrecord=b3027070")</f>
        <v>https://www.catalog.slsa.sa.gov.au/xrecord=b3027070</v>
      </c>
      <c r="D12323" t="s">
        <v>31636</v>
      </c>
      <c r="E12323" t="s">
        <v>37644</v>
      </c>
      <c r="F12323" t="s">
        <v>37640</v>
      </c>
      <c r="G12323" t="s">
        <v>36370</v>
      </c>
      <c r="H12323" t="s">
        <v>37651</v>
      </c>
      <c r="I12323" t="s">
        <v>37652</v>
      </c>
      <c r="J12323" t="s">
        <v>15204</v>
      </c>
      <c r="K12323" s="2" t="str">
        <f>HYPERLINK("http://collections.slsa.sa.gov.au/resource/B+74465")</f>
        <v>http://collections.slsa.sa.gov.au/resource/B+74465</v>
      </c>
    </row>
    <row r="12324" spans="1:11" x14ac:dyDescent="0.25">
      <c r="A12324" t="s">
        <v>37654</v>
      </c>
      <c r="B12324" s="1" t="str">
        <f>HYPERLINK("https://www.catalog.slsa.sa.gov.au/record=b3027071")</f>
        <v>https://www.catalog.slsa.sa.gov.au/record=b3027071</v>
      </c>
      <c r="C12324" s="1" t="str">
        <f>HYPERLINK("https://www.catalog.slsa.sa.gov.au/xrecord=b3027071")</f>
        <v>https://www.catalog.slsa.sa.gov.au/xrecord=b3027071</v>
      </c>
      <c r="D12324" t="s">
        <v>31636</v>
      </c>
      <c r="E12324" t="s">
        <v>37655</v>
      </c>
      <c r="F12324" t="s">
        <v>37640</v>
      </c>
      <c r="G12324" t="s">
        <v>36396</v>
      </c>
      <c r="H12324" t="s">
        <v>37656</v>
      </c>
      <c r="I12324" t="s">
        <v>37657</v>
      </c>
      <c r="J12324" t="s">
        <v>24004</v>
      </c>
      <c r="K12324" s="2" t="str">
        <f>HYPERLINK("http://collections.slsa.sa.gov.au/resource/B+74466")</f>
        <v>http://collections.slsa.sa.gov.au/resource/B+74466</v>
      </c>
    </row>
    <row r="12325" spans="1:11" x14ac:dyDescent="0.25">
      <c r="A12325" t="s">
        <v>37658</v>
      </c>
      <c r="B12325" s="1" t="str">
        <f>HYPERLINK("https://www.catalog.slsa.sa.gov.au/record=b3027073")</f>
        <v>https://www.catalog.slsa.sa.gov.au/record=b3027073</v>
      </c>
      <c r="C12325" s="1" t="str">
        <f>HYPERLINK("https://www.catalog.slsa.sa.gov.au/xrecord=b3027073")</f>
        <v>https://www.catalog.slsa.sa.gov.au/xrecord=b3027073</v>
      </c>
      <c r="D12325" t="s">
        <v>31636</v>
      </c>
      <c r="E12325" t="s">
        <v>37659</v>
      </c>
      <c r="F12325" t="s">
        <v>37640</v>
      </c>
      <c r="G12325" t="s">
        <v>36396</v>
      </c>
      <c r="H12325" t="s">
        <v>37660</v>
      </c>
      <c r="I12325" t="s">
        <v>36863</v>
      </c>
      <c r="J12325" t="s">
        <v>37661</v>
      </c>
      <c r="K12325" s="2" t="str">
        <f>HYPERLINK("http://collections.slsa.sa.gov.au/resource/B+74468")</f>
        <v>http://collections.slsa.sa.gov.au/resource/B+74468</v>
      </c>
    </row>
    <row r="12326" spans="1:11" x14ac:dyDescent="0.25">
      <c r="A12326" t="s">
        <v>37662</v>
      </c>
      <c r="B12326" s="1" t="str">
        <f>HYPERLINK("https://www.catalog.slsa.sa.gov.au/record=b3027074")</f>
        <v>https://www.catalog.slsa.sa.gov.au/record=b3027074</v>
      </c>
      <c r="C12326" s="1" t="str">
        <f>HYPERLINK("https://www.catalog.slsa.sa.gov.au/xrecord=b3027074")</f>
        <v>https://www.catalog.slsa.sa.gov.au/xrecord=b3027074</v>
      </c>
      <c r="D12326" t="s">
        <v>31636</v>
      </c>
      <c r="E12326" t="s">
        <v>37663</v>
      </c>
      <c r="F12326" t="s">
        <v>37640</v>
      </c>
      <c r="G12326" t="s">
        <v>36370</v>
      </c>
      <c r="H12326" t="s">
        <v>37664</v>
      </c>
      <c r="I12326" t="s">
        <v>37665</v>
      </c>
      <c r="J12326" t="s">
        <v>28506</v>
      </c>
      <c r="K12326" s="2" t="str">
        <f>HYPERLINK("http://collections.slsa.sa.gov.au/resource/B+74467")</f>
        <v>http://collections.slsa.sa.gov.au/resource/B+74467</v>
      </c>
    </row>
    <row r="12327" spans="1:11" x14ac:dyDescent="0.25">
      <c r="A12327" t="s">
        <v>37666</v>
      </c>
      <c r="B12327" s="1" t="str">
        <f>HYPERLINK("https://www.catalog.slsa.sa.gov.au/record=b3027048")</f>
        <v>https://www.catalog.slsa.sa.gov.au/record=b3027048</v>
      </c>
      <c r="C12327" s="1" t="str">
        <f>HYPERLINK("https://www.catalog.slsa.sa.gov.au/xrecord=b3027048")</f>
        <v>https://www.catalog.slsa.sa.gov.au/xrecord=b3027048</v>
      </c>
      <c r="D12327" t="s">
        <v>31636</v>
      </c>
      <c r="E12327" t="s">
        <v>37667</v>
      </c>
      <c r="F12327" t="s">
        <v>37668</v>
      </c>
      <c r="G12327" t="s">
        <v>36370</v>
      </c>
      <c r="H12327" t="s">
        <v>37669</v>
      </c>
      <c r="I12327" t="s">
        <v>36863</v>
      </c>
      <c r="J12327" t="s">
        <v>37661</v>
      </c>
      <c r="K12327" s="2" t="str">
        <f>HYPERLINK("http://collections.slsa.sa.gov.au/resource/B+74445")</f>
        <v>http://collections.slsa.sa.gov.au/resource/B+74445</v>
      </c>
    </row>
    <row r="12328" spans="1:11" x14ac:dyDescent="0.25">
      <c r="A12328" t="s">
        <v>37670</v>
      </c>
      <c r="B12328" s="1" t="str">
        <f>HYPERLINK("https://www.catalog.slsa.sa.gov.au/record=b3027041")</f>
        <v>https://www.catalog.slsa.sa.gov.au/record=b3027041</v>
      </c>
      <c r="C12328" s="1" t="str">
        <f>HYPERLINK("https://www.catalog.slsa.sa.gov.au/xrecord=b3027041")</f>
        <v>https://www.catalog.slsa.sa.gov.au/xrecord=b3027041</v>
      </c>
      <c r="D12328" t="s">
        <v>31636</v>
      </c>
      <c r="E12328" t="s">
        <v>37667</v>
      </c>
      <c r="F12328" t="s">
        <v>37668</v>
      </c>
      <c r="G12328" t="s">
        <v>36370</v>
      </c>
      <c r="H12328" t="s">
        <v>37671</v>
      </c>
      <c r="I12328" t="s">
        <v>37672</v>
      </c>
      <c r="J12328" t="s">
        <v>37661</v>
      </c>
      <c r="K12328" s="2" t="str">
        <f>HYPERLINK("http://collections.slsa.sa.gov.au/resource/B+74440")</f>
        <v>http://collections.slsa.sa.gov.au/resource/B+74440</v>
      </c>
    </row>
    <row r="12329" spans="1:11" x14ac:dyDescent="0.25">
      <c r="A12329" t="s">
        <v>37673</v>
      </c>
      <c r="B12329" s="1" t="str">
        <f>HYPERLINK("https://www.catalog.slsa.sa.gov.au/record=b3027044")</f>
        <v>https://www.catalog.slsa.sa.gov.au/record=b3027044</v>
      </c>
      <c r="C12329" s="1" t="str">
        <f>HYPERLINK("https://www.catalog.slsa.sa.gov.au/xrecord=b3027044")</f>
        <v>https://www.catalog.slsa.sa.gov.au/xrecord=b3027044</v>
      </c>
      <c r="D12329" t="s">
        <v>31636</v>
      </c>
      <c r="E12329" t="s">
        <v>37667</v>
      </c>
      <c r="F12329" t="s">
        <v>37668</v>
      </c>
      <c r="G12329" t="s">
        <v>37674</v>
      </c>
      <c r="H12329" t="s">
        <v>37675</v>
      </c>
      <c r="I12329" t="s">
        <v>37672</v>
      </c>
      <c r="J12329" t="s">
        <v>37661</v>
      </c>
      <c r="K12329" s="2" t="str">
        <f>HYPERLINK("http://collections.slsa.sa.gov.au/resource/B+74441")</f>
        <v>http://collections.slsa.sa.gov.au/resource/B+74441</v>
      </c>
    </row>
    <row r="12330" spans="1:11" x14ac:dyDescent="0.25">
      <c r="A12330" t="s">
        <v>37676</v>
      </c>
      <c r="B12330" s="1" t="str">
        <f>HYPERLINK("https://www.catalog.slsa.sa.gov.au/record=b3027045")</f>
        <v>https://www.catalog.slsa.sa.gov.au/record=b3027045</v>
      </c>
      <c r="C12330" s="1" t="str">
        <f>HYPERLINK("https://www.catalog.slsa.sa.gov.au/xrecord=b3027045")</f>
        <v>https://www.catalog.slsa.sa.gov.au/xrecord=b3027045</v>
      </c>
      <c r="D12330" t="s">
        <v>31636</v>
      </c>
      <c r="E12330" t="s">
        <v>37667</v>
      </c>
      <c r="F12330" t="s">
        <v>37668</v>
      </c>
      <c r="G12330" t="s">
        <v>36370</v>
      </c>
      <c r="H12330" t="s">
        <v>37677</v>
      </c>
      <c r="I12330" t="s">
        <v>36863</v>
      </c>
      <c r="J12330" t="s">
        <v>37661</v>
      </c>
      <c r="K12330" s="2" t="str">
        <f>HYPERLINK("http://collections.slsa.sa.gov.au/resource/B+74442")</f>
        <v>http://collections.slsa.sa.gov.au/resource/B+74442</v>
      </c>
    </row>
    <row r="12331" spans="1:11" x14ac:dyDescent="0.25">
      <c r="A12331" t="s">
        <v>37678</v>
      </c>
      <c r="B12331" s="1" t="str">
        <f>HYPERLINK("https://www.catalog.slsa.sa.gov.au/record=b3027046")</f>
        <v>https://www.catalog.slsa.sa.gov.au/record=b3027046</v>
      </c>
      <c r="C12331" s="1" t="str">
        <f>HYPERLINK("https://www.catalog.slsa.sa.gov.au/xrecord=b3027046")</f>
        <v>https://www.catalog.slsa.sa.gov.au/xrecord=b3027046</v>
      </c>
      <c r="D12331" t="s">
        <v>31636</v>
      </c>
      <c r="E12331" t="s">
        <v>37667</v>
      </c>
      <c r="F12331" t="s">
        <v>37668</v>
      </c>
      <c r="G12331" t="s">
        <v>36370</v>
      </c>
      <c r="H12331" t="s">
        <v>37679</v>
      </c>
      <c r="I12331" t="s">
        <v>36863</v>
      </c>
      <c r="J12331" t="s">
        <v>37661</v>
      </c>
      <c r="K12331" s="2" t="str">
        <f>HYPERLINK("http://collections.slsa.sa.gov.au/resource/B+74443")</f>
        <v>http://collections.slsa.sa.gov.au/resource/B+74443</v>
      </c>
    </row>
    <row r="12332" spans="1:11" x14ac:dyDescent="0.25">
      <c r="A12332" t="s">
        <v>37680</v>
      </c>
      <c r="B12332" s="1" t="str">
        <f>HYPERLINK("https://www.catalog.slsa.sa.gov.au/record=b3027047")</f>
        <v>https://www.catalog.slsa.sa.gov.au/record=b3027047</v>
      </c>
      <c r="C12332" s="1" t="str">
        <f>HYPERLINK("https://www.catalog.slsa.sa.gov.au/xrecord=b3027047")</f>
        <v>https://www.catalog.slsa.sa.gov.au/xrecord=b3027047</v>
      </c>
      <c r="D12332" t="s">
        <v>31636</v>
      </c>
      <c r="E12332" t="s">
        <v>37667</v>
      </c>
      <c r="F12332" t="s">
        <v>37668</v>
      </c>
      <c r="G12332" t="s">
        <v>36370</v>
      </c>
      <c r="H12332" t="s">
        <v>37681</v>
      </c>
      <c r="I12332" t="s">
        <v>36863</v>
      </c>
      <c r="J12332" t="s">
        <v>37661</v>
      </c>
      <c r="K12332" s="2" t="str">
        <f>HYPERLINK("http://collections.slsa.sa.gov.au/resource/B+74444")</f>
        <v>http://collections.slsa.sa.gov.au/resource/B+74444</v>
      </c>
    </row>
    <row r="12333" spans="1:11" x14ac:dyDescent="0.25">
      <c r="A12333" t="s">
        <v>37682</v>
      </c>
      <c r="B12333" s="1" t="str">
        <f>HYPERLINK("https://www.catalog.slsa.sa.gov.au/record=b3027049")</f>
        <v>https://www.catalog.slsa.sa.gov.au/record=b3027049</v>
      </c>
      <c r="C12333" s="1" t="str">
        <f>HYPERLINK("https://www.catalog.slsa.sa.gov.au/xrecord=b3027049")</f>
        <v>https://www.catalog.slsa.sa.gov.au/xrecord=b3027049</v>
      </c>
      <c r="D12333" t="s">
        <v>31636</v>
      </c>
      <c r="E12333" t="s">
        <v>37667</v>
      </c>
      <c r="F12333" t="s">
        <v>37668</v>
      </c>
      <c r="G12333" t="s">
        <v>36370</v>
      </c>
      <c r="H12333" t="s">
        <v>37683</v>
      </c>
      <c r="I12333" t="s">
        <v>37684</v>
      </c>
      <c r="J12333" t="s">
        <v>37661</v>
      </c>
      <c r="K12333" s="2" t="str">
        <f>HYPERLINK("http://collections.slsa.sa.gov.au/resource/B+74446")</f>
        <v>http://collections.slsa.sa.gov.au/resource/B+74446</v>
      </c>
    </row>
    <row r="12334" spans="1:11" x14ac:dyDescent="0.25">
      <c r="A12334" t="s">
        <v>37685</v>
      </c>
      <c r="B12334" s="1" t="str">
        <f>HYPERLINK("https://www.catalog.slsa.sa.gov.au/record=b3027050")</f>
        <v>https://www.catalog.slsa.sa.gov.au/record=b3027050</v>
      </c>
      <c r="C12334" s="1" t="str">
        <f>HYPERLINK("https://www.catalog.slsa.sa.gov.au/xrecord=b3027050")</f>
        <v>https://www.catalog.slsa.sa.gov.au/xrecord=b3027050</v>
      </c>
      <c r="D12334" t="s">
        <v>31636</v>
      </c>
      <c r="E12334" t="s">
        <v>37667</v>
      </c>
      <c r="F12334" t="s">
        <v>37668</v>
      </c>
      <c r="G12334" t="s">
        <v>36370</v>
      </c>
      <c r="H12334" t="s">
        <v>37683</v>
      </c>
      <c r="I12334" t="s">
        <v>37684</v>
      </c>
      <c r="J12334" t="s">
        <v>37661</v>
      </c>
      <c r="K12334" s="2" t="str">
        <f>HYPERLINK("http://collections.slsa.sa.gov.au/resource/B+74447")</f>
        <v>http://collections.slsa.sa.gov.au/resource/B+74447</v>
      </c>
    </row>
    <row r="12335" spans="1:11" x14ac:dyDescent="0.25">
      <c r="A12335" t="s">
        <v>37686</v>
      </c>
      <c r="B12335" s="1" t="str">
        <f>HYPERLINK("https://www.catalog.slsa.sa.gov.au/record=b3027051")</f>
        <v>https://www.catalog.slsa.sa.gov.au/record=b3027051</v>
      </c>
      <c r="C12335" s="1" t="str">
        <f>HYPERLINK("https://www.catalog.slsa.sa.gov.au/xrecord=b3027051")</f>
        <v>https://www.catalog.slsa.sa.gov.au/xrecord=b3027051</v>
      </c>
      <c r="D12335" t="s">
        <v>31636</v>
      </c>
      <c r="E12335" t="s">
        <v>37667</v>
      </c>
      <c r="F12335" t="s">
        <v>37668</v>
      </c>
      <c r="G12335" t="s">
        <v>36370</v>
      </c>
      <c r="H12335" t="s">
        <v>37687</v>
      </c>
      <c r="I12335" t="s">
        <v>37688</v>
      </c>
      <c r="J12335" t="s">
        <v>37661</v>
      </c>
      <c r="K12335" s="2" t="str">
        <f>HYPERLINK("http://collections.slsa.sa.gov.au/resource/B+74448")</f>
        <v>http://collections.slsa.sa.gov.au/resource/B+74448</v>
      </c>
    </row>
    <row r="12336" spans="1:11" x14ac:dyDescent="0.25">
      <c r="A12336" t="s">
        <v>37689</v>
      </c>
      <c r="B12336" s="1" t="str">
        <f>HYPERLINK("https://www.catalog.slsa.sa.gov.au/record=b3027052")</f>
        <v>https://www.catalog.slsa.sa.gov.au/record=b3027052</v>
      </c>
      <c r="C12336" s="1" t="str">
        <f>HYPERLINK("https://www.catalog.slsa.sa.gov.au/xrecord=b3027052")</f>
        <v>https://www.catalog.slsa.sa.gov.au/xrecord=b3027052</v>
      </c>
      <c r="D12336" t="s">
        <v>31636</v>
      </c>
      <c r="E12336" t="s">
        <v>37667</v>
      </c>
      <c r="F12336" t="s">
        <v>37668</v>
      </c>
      <c r="G12336" t="s">
        <v>36370</v>
      </c>
      <c r="H12336" t="s">
        <v>37690</v>
      </c>
      <c r="I12336" t="s">
        <v>37688</v>
      </c>
      <c r="J12336" t="s">
        <v>37661</v>
      </c>
      <c r="K12336" s="2" t="str">
        <f>HYPERLINK("http://collections.slsa.sa.gov.au/resource/B+74449")</f>
        <v>http://collections.slsa.sa.gov.au/resource/B+74449</v>
      </c>
    </row>
    <row r="12337" spans="1:11" x14ac:dyDescent="0.25">
      <c r="A12337" t="s">
        <v>37691</v>
      </c>
      <c r="B12337" s="1" t="str">
        <f>HYPERLINK("https://www.catalog.slsa.sa.gov.au/record=b3027053")</f>
        <v>https://www.catalog.slsa.sa.gov.au/record=b3027053</v>
      </c>
      <c r="C12337" s="1" t="str">
        <f>HYPERLINK("https://www.catalog.slsa.sa.gov.au/xrecord=b3027053")</f>
        <v>https://www.catalog.slsa.sa.gov.au/xrecord=b3027053</v>
      </c>
      <c r="D12337" t="s">
        <v>31636</v>
      </c>
      <c r="E12337" t="s">
        <v>37667</v>
      </c>
      <c r="F12337" t="s">
        <v>37668</v>
      </c>
      <c r="G12337" t="s">
        <v>36370</v>
      </c>
      <c r="H12337" t="s">
        <v>37692</v>
      </c>
      <c r="I12337" t="s">
        <v>37693</v>
      </c>
      <c r="J12337" t="s">
        <v>37661</v>
      </c>
      <c r="K12337" s="2" t="str">
        <f>HYPERLINK("http://collections.slsa.sa.gov.au/resource/B+74450")</f>
        <v>http://collections.slsa.sa.gov.au/resource/B+74450</v>
      </c>
    </row>
    <row r="12338" spans="1:11" x14ac:dyDescent="0.25">
      <c r="A12338" t="s">
        <v>37694</v>
      </c>
      <c r="B12338" s="1" t="str">
        <f>HYPERLINK("https://www.catalog.slsa.sa.gov.au/record=b3027054")</f>
        <v>https://www.catalog.slsa.sa.gov.au/record=b3027054</v>
      </c>
      <c r="C12338" s="1" t="str">
        <f>HYPERLINK("https://www.catalog.slsa.sa.gov.au/xrecord=b3027054")</f>
        <v>https://www.catalog.slsa.sa.gov.au/xrecord=b3027054</v>
      </c>
      <c r="D12338" t="s">
        <v>31636</v>
      </c>
      <c r="E12338" t="s">
        <v>37667</v>
      </c>
      <c r="F12338" t="s">
        <v>37668</v>
      </c>
      <c r="G12338" t="s">
        <v>36370</v>
      </c>
      <c r="H12338" t="s">
        <v>37695</v>
      </c>
      <c r="I12338" t="s">
        <v>36863</v>
      </c>
      <c r="J12338" t="s">
        <v>37661</v>
      </c>
      <c r="K12338" s="2" t="str">
        <f>HYPERLINK("http://collections.slsa.sa.gov.au/resource/B+74451")</f>
        <v>http://collections.slsa.sa.gov.au/resource/B+74451</v>
      </c>
    </row>
    <row r="12339" spans="1:11" x14ac:dyDescent="0.25">
      <c r="A12339" t="s">
        <v>37696</v>
      </c>
      <c r="B12339" s="1" t="str">
        <f>HYPERLINK("https://www.catalog.slsa.sa.gov.au/record=b3027055")</f>
        <v>https://www.catalog.slsa.sa.gov.au/record=b3027055</v>
      </c>
      <c r="C12339" s="1" t="str">
        <f>HYPERLINK("https://www.catalog.slsa.sa.gov.au/xrecord=b3027055")</f>
        <v>https://www.catalog.slsa.sa.gov.au/xrecord=b3027055</v>
      </c>
      <c r="D12339" t="s">
        <v>31636</v>
      </c>
      <c r="E12339" t="s">
        <v>37667</v>
      </c>
      <c r="F12339" t="s">
        <v>37668</v>
      </c>
      <c r="G12339" t="s">
        <v>36370</v>
      </c>
      <c r="H12339" t="s">
        <v>37697</v>
      </c>
      <c r="I12339" t="s">
        <v>36863</v>
      </c>
      <c r="J12339" t="s">
        <v>37661</v>
      </c>
      <c r="K12339" s="2" t="str">
        <f>HYPERLINK("http://collections.slsa.sa.gov.au/resource/B+74452")</f>
        <v>http://collections.slsa.sa.gov.au/resource/B+74452</v>
      </c>
    </row>
    <row r="12340" spans="1:11" x14ac:dyDescent="0.25">
      <c r="A12340" t="s">
        <v>37698</v>
      </c>
      <c r="B12340" s="1" t="str">
        <f>HYPERLINK("https://www.catalog.slsa.sa.gov.au/record=b3027056")</f>
        <v>https://www.catalog.slsa.sa.gov.au/record=b3027056</v>
      </c>
      <c r="C12340" s="1" t="str">
        <f>HYPERLINK("https://www.catalog.slsa.sa.gov.au/xrecord=b3027056")</f>
        <v>https://www.catalog.slsa.sa.gov.au/xrecord=b3027056</v>
      </c>
      <c r="D12340" t="s">
        <v>31636</v>
      </c>
      <c r="E12340" t="s">
        <v>37667</v>
      </c>
      <c r="F12340" t="s">
        <v>37668</v>
      </c>
      <c r="G12340" t="s">
        <v>36370</v>
      </c>
      <c r="H12340" t="s">
        <v>37697</v>
      </c>
      <c r="I12340" t="s">
        <v>36863</v>
      </c>
      <c r="J12340" t="s">
        <v>37661</v>
      </c>
      <c r="K12340" s="2" t="str">
        <f>HYPERLINK("http://collections.slsa.sa.gov.au/resource/B+74453")</f>
        <v>http://collections.slsa.sa.gov.au/resource/B+74453</v>
      </c>
    </row>
    <row r="12341" spans="1:11" x14ac:dyDescent="0.25">
      <c r="A12341" t="s">
        <v>37699</v>
      </c>
      <c r="B12341" s="1" t="str">
        <f>HYPERLINK("https://www.catalog.slsa.sa.gov.au/record=b3027057")</f>
        <v>https://www.catalog.slsa.sa.gov.au/record=b3027057</v>
      </c>
      <c r="C12341" s="1" t="str">
        <f>HYPERLINK("https://www.catalog.slsa.sa.gov.au/xrecord=b3027057")</f>
        <v>https://www.catalog.slsa.sa.gov.au/xrecord=b3027057</v>
      </c>
      <c r="D12341" t="s">
        <v>31636</v>
      </c>
      <c r="E12341" t="s">
        <v>37667</v>
      </c>
      <c r="F12341" t="s">
        <v>37668</v>
      </c>
      <c r="G12341" t="s">
        <v>36370</v>
      </c>
      <c r="H12341" t="s">
        <v>37700</v>
      </c>
      <c r="I12341" t="s">
        <v>36863</v>
      </c>
      <c r="J12341" t="s">
        <v>37661</v>
      </c>
      <c r="K12341" s="2" t="str">
        <f>HYPERLINK("http://collections.slsa.sa.gov.au/resource/B+74454")</f>
        <v>http://collections.slsa.sa.gov.au/resource/B+74454</v>
      </c>
    </row>
    <row r="12342" spans="1:11" x14ac:dyDescent="0.25">
      <c r="A12342" t="s">
        <v>37701</v>
      </c>
      <c r="B12342" s="1" t="str">
        <f>HYPERLINK("https://www.catalog.slsa.sa.gov.au/record=b3027058")</f>
        <v>https://www.catalog.slsa.sa.gov.au/record=b3027058</v>
      </c>
      <c r="C12342" s="1" t="str">
        <f>HYPERLINK("https://www.catalog.slsa.sa.gov.au/xrecord=b3027058")</f>
        <v>https://www.catalog.slsa.sa.gov.au/xrecord=b3027058</v>
      </c>
      <c r="D12342" t="s">
        <v>31636</v>
      </c>
      <c r="E12342" t="s">
        <v>37667</v>
      </c>
      <c r="F12342" t="s">
        <v>37668</v>
      </c>
      <c r="G12342" t="s">
        <v>36370</v>
      </c>
      <c r="H12342" t="s">
        <v>37702</v>
      </c>
      <c r="I12342" t="s">
        <v>37703</v>
      </c>
      <c r="J12342" t="s">
        <v>37661</v>
      </c>
      <c r="K12342" s="2" t="str">
        <f>HYPERLINK("http://collections.slsa.sa.gov.au/resource/B+74455")</f>
        <v>http://collections.slsa.sa.gov.au/resource/B+74455</v>
      </c>
    </row>
    <row r="12343" spans="1:11" x14ac:dyDescent="0.25">
      <c r="A12343" t="s">
        <v>37704</v>
      </c>
      <c r="B12343" s="1" t="str">
        <f>HYPERLINK("https://www.catalog.slsa.sa.gov.au/record=b3027059")</f>
        <v>https://www.catalog.slsa.sa.gov.au/record=b3027059</v>
      </c>
      <c r="C12343" s="1" t="str">
        <f>HYPERLINK("https://www.catalog.slsa.sa.gov.au/xrecord=b3027059")</f>
        <v>https://www.catalog.slsa.sa.gov.au/xrecord=b3027059</v>
      </c>
      <c r="D12343" t="s">
        <v>31636</v>
      </c>
      <c r="E12343" t="s">
        <v>37667</v>
      </c>
      <c r="F12343" t="s">
        <v>37668</v>
      </c>
      <c r="G12343" t="s">
        <v>36370</v>
      </c>
      <c r="H12343" t="s">
        <v>37702</v>
      </c>
      <c r="I12343" t="s">
        <v>37703</v>
      </c>
      <c r="J12343" t="s">
        <v>37661</v>
      </c>
      <c r="K12343" s="2" t="str">
        <f>HYPERLINK("http://collections.slsa.sa.gov.au/resource/B+74456")</f>
        <v>http://collections.slsa.sa.gov.au/resource/B+74456</v>
      </c>
    </row>
    <row r="12344" spans="1:11" x14ac:dyDescent="0.25">
      <c r="A12344" t="s">
        <v>37705</v>
      </c>
      <c r="B12344" s="1" t="str">
        <f>HYPERLINK("https://www.catalog.slsa.sa.gov.au/record=b3027060")</f>
        <v>https://www.catalog.slsa.sa.gov.au/record=b3027060</v>
      </c>
      <c r="C12344" s="1" t="str">
        <f>HYPERLINK("https://www.catalog.slsa.sa.gov.au/xrecord=b3027060")</f>
        <v>https://www.catalog.slsa.sa.gov.au/xrecord=b3027060</v>
      </c>
      <c r="D12344" t="s">
        <v>31636</v>
      </c>
      <c r="E12344" t="s">
        <v>37667</v>
      </c>
      <c r="F12344" t="s">
        <v>37668</v>
      </c>
      <c r="G12344" t="s">
        <v>36370</v>
      </c>
      <c r="H12344" t="s">
        <v>37706</v>
      </c>
      <c r="I12344" t="s">
        <v>37707</v>
      </c>
      <c r="J12344" t="s">
        <v>37661</v>
      </c>
      <c r="K12344" s="2" t="str">
        <f>HYPERLINK("http://collections.slsa.sa.gov.au/resource/B+74457")</f>
        <v>http://collections.slsa.sa.gov.au/resource/B+74457</v>
      </c>
    </row>
    <row r="12345" spans="1:11" x14ac:dyDescent="0.25">
      <c r="A12345" t="s">
        <v>37708</v>
      </c>
      <c r="B12345" s="1" t="str">
        <f>HYPERLINK("https://www.catalog.slsa.sa.gov.au/record=b3027061")</f>
        <v>https://www.catalog.slsa.sa.gov.au/record=b3027061</v>
      </c>
      <c r="C12345" s="1" t="str">
        <f>HYPERLINK("https://www.catalog.slsa.sa.gov.au/xrecord=b3027061")</f>
        <v>https://www.catalog.slsa.sa.gov.au/xrecord=b3027061</v>
      </c>
      <c r="D12345" t="s">
        <v>31636</v>
      </c>
      <c r="E12345" t="s">
        <v>37667</v>
      </c>
      <c r="F12345" t="s">
        <v>37668</v>
      </c>
      <c r="G12345" t="s">
        <v>36370</v>
      </c>
      <c r="H12345" t="s">
        <v>37709</v>
      </c>
      <c r="I12345" t="s">
        <v>36863</v>
      </c>
      <c r="J12345" t="s">
        <v>37661</v>
      </c>
      <c r="K12345" s="2" t="str">
        <f>HYPERLINK("http://collections.slsa.sa.gov.au/resource/B+74458")</f>
        <v>http://collections.slsa.sa.gov.au/resource/B+74458</v>
      </c>
    </row>
    <row r="12346" spans="1:11" x14ac:dyDescent="0.25">
      <c r="A12346" t="s">
        <v>37710</v>
      </c>
      <c r="B12346" s="1" t="str">
        <f>HYPERLINK("https://www.catalog.slsa.sa.gov.au/record=b3027062")</f>
        <v>https://www.catalog.slsa.sa.gov.au/record=b3027062</v>
      </c>
      <c r="C12346" s="1" t="str">
        <f>HYPERLINK("https://www.catalog.slsa.sa.gov.au/xrecord=b3027062")</f>
        <v>https://www.catalog.slsa.sa.gov.au/xrecord=b3027062</v>
      </c>
      <c r="D12346" t="s">
        <v>31636</v>
      </c>
      <c r="E12346" t="s">
        <v>37667</v>
      </c>
      <c r="F12346" t="s">
        <v>37668</v>
      </c>
      <c r="G12346" t="s">
        <v>36370</v>
      </c>
      <c r="H12346" t="s">
        <v>37711</v>
      </c>
      <c r="I12346" t="s">
        <v>36863</v>
      </c>
      <c r="J12346" t="s">
        <v>37661</v>
      </c>
      <c r="K12346" s="2" t="str">
        <f>HYPERLINK("http://collections.slsa.sa.gov.au/resource/B+74459")</f>
        <v>http://collections.slsa.sa.gov.au/resource/B+74459</v>
      </c>
    </row>
    <row r="12347" spans="1:11" x14ac:dyDescent="0.25">
      <c r="A12347" t="s">
        <v>37712</v>
      </c>
      <c r="B12347" s="1" t="str">
        <f>HYPERLINK("https://www.catalog.slsa.sa.gov.au/record=b3027063")</f>
        <v>https://www.catalog.slsa.sa.gov.au/record=b3027063</v>
      </c>
      <c r="C12347" s="1" t="str">
        <f>HYPERLINK("https://www.catalog.slsa.sa.gov.au/xrecord=b3027063")</f>
        <v>https://www.catalog.slsa.sa.gov.au/xrecord=b3027063</v>
      </c>
      <c r="D12347" t="s">
        <v>31636</v>
      </c>
      <c r="E12347" t="s">
        <v>37667</v>
      </c>
      <c r="F12347" t="s">
        <v>37668</v>
      </c>
      <c r="G12347" t="s">
        <v>36370</v>
      </c>
      <c r="H12347" t="s">
        <v>37711</v>
      </c>
      <c r="I12347" t="s">
        <v>36863</v>
      </c>
      <c r="J12347" t="s">
        <v>37661</v>
      </c>
      <c r="K12347" s="2" t="str">
        <f>HYPERLINK("http://collections.slsa.sa.gov.au/resource/B+74460")</f>
        <v>http://collections.slsa.sa.gov.au/resource/B+74460</v>
      </c>
    </row>
    <row r="12348" spans="1:11" x14ac:dyDescent="0.25">
      <c r="A12348" t="s">
        <v>37713</v>
      </c>
      <c r="B12348" s="1" t="str">
        <f>HYPERLINK("https://www.catalog.slsa.sa.gov.au/record=b3130336")</f>
        <v>https://www.catalog.slsa.sa.gov.au/record=b3130336</v>
      </c>
      <c r="C12348" s="1" t="str">
        <f>HYPERLINK("https://www.catalog.slsa.sa.gov.au/xrecord=b3130336")</f>
        <v>https://www.catalog.slsa.sa.gov.au/xrecord=b3130336</v>
      </c>
      <c r="D12348" t="s">
        <v>31636</v>
      </c>
      <c r="E12348" t="s">
        <v>37714</v>
      </c>
      <c r="F12348" t="s">
        <v>37715</v>
      </c>
      <c r="G12348" t="s">
        <v>37716</v>
      </c>
      <c r="H12348" t="s">
        <v>37717</v>
      </c>
      <c r="I12348" t="s">
        <v>37718</v>
      </c>
      <c r="J12348" t="s">
        <v>2510</v>
      </c>
      <c r="K12348" s="2" t="str">
        <f>HYPERLINK("http://collections.slsa.sa.gov.au/resource/B+75427")</f>
        <v>http://collections.slsa.sa.gov.au/resource/B+75427</v>
      </c>
    </row>
    <row r="12349" spans="1:11" x14ac:dyDescent="0.25">
      <c r="A12349" t="s">
        <v>37719</v>
      </c>
      <c r="B12349" s="1" t="str">
        <f>HYPERLINK("https://www.catalog.slsa.sa.gov.au/record=b3130338")</f>
        <v>https://www.catalog.slsa.sa.gov.au/record=b3130338</v>
      </c>
      <c r="C12349" s="1" t="str">
        <f>HYPERLINK("https://www.catalog.slsa.sa.gov.au/xrecord=b3130338")</f>
        <v>https://www.catalog.slsa.sa.gov.au/xrecord=b3130338</v>
      </c>
      <c r="D12349" t="s">
        <v>31636</v>
      </c>
      <c r="E12349" t="s">
        <v>37714</v>
      </c>
      <c r="F12349" t="s">
        <v>37715</v>
      </c>
      <c r="G12349" t="s">
        <v>37716</v>
      </c>
      <c r="H12349" t="s">
        <v>37720</v>
      </c>
      <c r="I12349" t="s">
        <v>37721</v>
      </c>
      <c r="J12349" t="s">
        <v>2510</v>
      </c>
      <c r="K12349" s="2" t="str">
        <f>HYPERLINK("http://collections.slsa.sa.gov.au/resource/B+75428")</f>
        <v>http://collections.slsa.sa.gov.au/resource/B+75428</v>
      </c>
    </row>
    <row r="12350" spans="1:11" x14ac:dyDescent="0.25">
      <c r="A12350" t="s">
        <v>37722</v>
      </c>
      <c r="B12350" s="1" t="str">
        <f>HYPERLINK("https://www.catalog.slsa.sa.gov.au/record=b3130347")</f>
        <v>https://www.catalog.slsa.sa.gov.au/record=b3130347</v>
      </c>
      <c r="C12350" s="1" t="str">
        <f>HYPERLINK("https://www.catalog.slsa.sa.gov.au/xrecord=b3130347")</f>
        <v>https://www.catalog.slsa.sa.gov.au/xrecord=b3130347</v>
      </c>
      <c r="D12350" t="s">
        <v>31636</v>
      </c>
      <c r="E12350" t="s">
        <v>37714</v>
      </c>
      <c r="F12350" t="s">
        <v>37715</v>
      </c>
      <c r="G12350" t="s">
        <v>37716</v>
      </c>
      <c r="H12350" t="s">
        <v>37723</v>
      </c>
      <c r="I12350" t="s">
        <v>37724</v>
      </c>
      <c r="J12350" t="s">
        <v>2510</v>
      </c>
      <c r="K12350" s="2" t="str">
        <f>HYPERLINK("http://collections.slsa.sa.gov.au/resource/B+75429")</f>
        <v>http://collections.slsa.sa.gov.au/resource/B+75429</v>
      </c>
    </row>
    <row r="12351" spans="1:11" x14ac:dyDescent="0.25">
      <c r="A12351" t="s">
        <v>37725</v>
      </c>
      <c r="B12351" s="1" t="str">
        <f>HYPERLINK("https://www.catalog.slsa.sa.gov.au/record=b3130348")</f>
        <v>https://www.catalog.slsa.sa.gov.au/record=b3130348</v>
      </c>
      <c r="C12351" s="1" t="str">
        <f>HYPERLINK("https://www.catalog.slsa.sa.gov.au/xrecord=b3130348")</f>
        <v>https://www.catalog.slsa.sa.gov.au/xrecord=b3130348</v>
      </c>
      <c r="D12351" t="s">
        <v>31636</v>
      </c>
      <c r="E12351" t="s">
        <v>37714</v>
      </c>
      <c r="F12351" t="s">
        <v>37715</v>
      </c>
      <c r="G12351" t="s">
        <v>37716</v>
      </c>
      <c r="H12351" t="s">
        <v>37726</v>
      </c>
      <c r="I12351" t="s">
        <v>37727</v>
      </c>
      <c r="J12351" t="s">
        <v>2510</v>
      </c>
      <c r="K12351" s="2" t="str">
        <f>HYPERLINK("http://collections.slsa.sa.gov.au/resource/B+75430")</f>
        <v>http://collections.slsa.sa.gov.au/resource/B+75430</v>
      </c>
    </row>
    <row r="12352" spans="1:11" x14ac:dyDescent="0.25">
      <c r="A12352" t="s">
        <v>37728</v>
      </c>
      <c r="B12352" s="1" t="str">
        <f>HYPERLINK("https://www.catalog.slsa.sa.gov.au/record=b3130349")</f>
        <v>https://www.catalog.slsa.sa.gov.au/record=b3130349</v>
      </c>
      <c r="C12352" s="1" t="str">
        <f>HYPERLINK("https://www.catalog.slsa.sa.gov.au/xrecord=b3130349")</f>
        <v>https://www.catalog.slsa.sa.gov.au/xrecord=b3130349</v>
      </c>
      <c r="D12352" t="s">
        <v>31636</v>
      </c>
      <c r="E12352" t="s">
        <v>37714</v>
      </c>
      <c r="F12352" t="s">
        <v>37715</v>
      </c>
      <c r="G12352" t="s">
        <v>37716</v>
      </c>
      <c r="H12352" t="s">
        <v>37729</v>
      </c>
      <c r="I12352" t="s">
        <v>37730</v>
      </c>
      <c r="J12352" t="s">
        <v>2510</v>
      </c>
      <c r="K12352" s="2" t="str">
        <f>HYPERLINK("http://collections.slsa.sa.gov.au/resource/B+75431")</f>
        <v>http://collections.slsa.sa.gov.au/resource/B+75431</v>
      </c>
    </row>
    <row r="12353" spans="1:11" x14ac:dyDescent="0.25">
      <c r="A12353" t="s">
        <v>37731</v>
      </c>
      <c r="B12353" s="1" t="str">
        <f>HYPERLINK("https://www.catalog.slsa.sa.gov.au/record=b3130350")</f>
        <v>https://www.catalog.slsa.sa.gov.au/record=b3130350</v>
      </c>
      <c r="C12353" s="1" t="str">
        <f>HYPERLINK("https://www.catalog.slsa.sa.gov.au/xrecord=b3130350")</f>
        <v>https://www.catalog.slsa.sa.gov.au/xrecord=b3130350</v>
      </c>
      <c r="D12353" t="s">
        <v>31636</v>
      </c>
      <c r="E12353" t="s">
        <v>37714</v>
      </c>
      <c r="F12353" t="s">
        <v>37715</v>
      </c>
      <c r="G12353" t="s">
        <v>37732</v>
      </c>
      <c r="H12353" t="s">
        <v>37733</v>
      </c>
      <c r="I12353" t="s">
        <v>37734</v>
      </c>
      <c r="J12353" t="s">
        <v>2510</v>
      </c>
      <c r="K12353" s="2" t="str">
        <f>HYPERLINK("http://collections.slsa.sa.gov.au/resource/B+75432")</f>
        <v>http://collections.slsa.sa.gov.au/resource/B+75432</v>
      </c>
    </row>
    <row r="12354" spans="1:11" x14ac:dyDescent="0.25">
      <c r="A12354" t="s">
        <v>37735</v>
      </c>
      <c r="B12354" s="1" t="str">
        <f>HYPERLINK("https://www.catalog.slsa.sa.gov.au/record=b3130352")</f>
        <v>https://www.catalog.slsa.sa.gov.au/record=b3130352</v>
      </c>
      <c r="C12354" s="1" t="str">
        <f>HYPERLINK("https://www.catalog.slsa.sa.gov.au/xrecord=b3130352")</f>
        <v>https://www.catalog.slsa.sa.gov.au/xrecord=b3130352</v>
      </c>
      <c r="D12354" t="s">
        <v>31636</v>
      </c>
      <c r="E12354" t="s">
        <v>37714</v>
      </c>
      <c r="F12354" t="s">
        <v>37715</v>
      </c>
      <c r="G12354" t="s">
        <v>37716</v>
      </c>
      <c r="H12354" t="s">
        <v>37736</v>
      </c>
      <c r="I12354" t="s">
        <v>37737</v>
      </c>
      <c r="J12354" t="s">
        <v>2510</v>
      </c>
      <c r="K12354" s="2" t="str">
        <f>HYPERLINK("http://collections.slsa.sa.gov.au/resource/B+75433")</f>
        <v>http://collections.slsa.sa.gov.au/resource/B+75433</v>
      </c>
    </row>
    <row r="12355" spans="1:11" x14ac:dyDescent="0.25">
      <c r="A12355" t="s">
        <v>37738</v>
      </c>
      <c r="B12355" s="1" t="str">
        <f>HYPERLINK("https://www.catalog.slsa.sa.gov.au/record=b3130353")</f>
        <v>https://www.catalog.slsa.sa.gov.au/record=b3130353</v>
      </c>
      <c r="C12355" s="1" t="str">
        <f>HYPERLINK("https://www.catalog.slsa.sa.gov.au/xrecord=b3130353")</f>
        <v>https://www.catalog.slsa.sa.gov.au/xrecord=b3130353</v>
      </c>
      <c r="D12355" t="s">
        <v>31636</v>
      </c>
      <c r="E12355" t="s">
        <v>37714</v>
      </c>
      <c r="F12355" t="s">
        <v>37715</v>
      </c>
      <c r="G12355" t="s">
        <v>37716</v>
      </c>
      <c r="H12355" t="s">
        <v>37739</v>
      </c>
      <c r="I12355" t="s">
        <v>37740</v>
      </c>
      <c r="J12355" t="s">
        <v>2510</v>
      </c>
      <c r="K12355" s="2" t="str">
        <f>HYPERLINK("http://collections.slsa.sa.gov.au/resource/B+75434")</f>
        <v>http://collections.slsa.sa.gov.au/resource/B+75434</v>
      </c>
    </row>
    <row r="12356" spans="1:11" x14ac:dyDescent="0.25">
      <c r="A12356" t="s">
        <v>37741</v>
      </c>
      <c r="B12356" s="1" t="str">
        <f>HYPERLINK("https://www.catalog.slsa.sa.gov.au/record=b3130354")</f>
        <v>https://www.catalog.slsa.sa.gov.au/record=b3130354</v>
      </c>
      <c r="C12356" s="1" t="str">
        <f>HYPERLINK("https://www.catalog.slsa.sa.gov.au/xrecord=b3130354")</f>
        <v>https://www.catalog.slsa.sa.gov.au/xrecord=b3130354</v>
      </c>
      <c r="D12356" t="s">
        <v>31636</v>
      </c>
      <c r="E12356" t="s">
        <v>37714</v>
      </c>
      <c r="F12356" t="s">
        <v>37715</v>
      </c>
      <c r="G12356" t="s">
        <v>37716</v>
      </c>
      <c r="H12356" t="s">
        <v>37742</v>
      </c>
      <c r="I12356" t="s">
        <v>37743</v>
      </c>
      <c r="J12356" t="s">
        <v>2510</v>
      </c>
      <c r="K12356" s="2" t="str">
        <f>HYPERLINK("http://collections.slsa.sa.gov.au/resource/B+75435")</f>
        <v>http://collections.slsa.sa.gov.au/resource/B+75435</v>
      </c>
    </row>
    <row r="12357" spans="1:11" x14ac:dyDescent="0.25">
      <c r="A12357" t="s">
        <v>37744</v>
      </c>
      <c r="B12357" s="1" t="str">
        <f>HYPERLINK("https://www.catalog.slsa.sa.gov.au/record=b3130355")</f>
        <v>https://www.catalog.slsa.sa.gov.au/record=b3130355</v>
      </c>
      <c r="C12357" s="1" t="str">
        <f>HYPERLINK("https://www.catalog.slsa.sa.gov.au/xrecord=b3130355")</f>
        <v>https://www.catalog.slsa.sa.gov.au/xrecord=b3130355</v>
      </c>
      <c r="D12357" t="s">
        <v>31636</v>
      </c>
      <c r="E12357" t="s">
        <v>37714</v>
      </c>
      <c r="F12357" t="s">
        <v>37715</v>
      </c>
      <c r="G12357" t="s">
        <v>37716</v>
      </c>
      <c r="H12357" t="s">
        <v>37745</v>
      </c>
      <c r="I12357" t="s">
        <v>37746</v>
      </c>
      <c r="J12357" t="s">
        <v>2510</v>
      </c>
      <c r="K12357" s="2" t="str">
        <f>HYPERLINK("http://collections.slsa.sa.gov.au/resource/B+75436")</f>
        <v>http://collections.slsa.sa.gov.au/resource/B+75436</v>
      </c>
    </row>
    <row r="12358" spans="1:11" x14ac:dyDescent="0.25">
      <c r="A12358" t="s">
        <v>37747</v>
      </c>
      <c r="B12358" s="1" t="str">
        <f>HYPERLINK("https://www.catalog.slsa.sa.gov.au/record=b3130357")</f>
        <v>https://www.catalog.slsa.sa.gov.au/record=b3130357</v>
      </c>
      <c r="C12358" s="1" t="str">
        <f>HYPERLINK("https://www.catalog.slsa.sa.gov.au/xrecord=b3130357")</f>
        <v>https://www.catalog.slsa.sa.gov.au/xrecord=b3130357</v>
      </c>
      <c r="D12358" t="s">
        <v>31636</v>
      </c>
      <c r="E12358" t="s">
        <v>37714</v>
      </c>
      <c r="F12358" t="s">
        <v>37715</v>
      </c>
      <c r="G12358" t="s">
        <v>37716</v>
      </c>
      <c r="H12358" t="s">
        <v>37748</v>
      </c>
      <c r="I12358" t="s">
        <v>37749</v>
      </c>
      <c r="J12358" t="s">
        <v>2510</v>
      </c>
      <c r="K12358" s="2" t="str">
        <f>HYPERLINK("http://collections.slsa.sa.gov.au/resource/B+75437")</f>
        <v>http://collections.slsa.sa.gov.au/resource/B+75437</v>
      </c>
    </row>
    <row r="12359" spans="1:11" x14ac:dyDescent="0.25">
      <c r="A12359" t="s">
        <v>37750</v>
      </c>
      <c r="B12359" s="1" t="str">
        <f>HYPERLINK("https://www.catalog.slsa.sa.gov.au/record=b3130358")</f>
        <v>https://www.catalog.slsa.sa.gov.au/record=b3130358</v>
      </c>
      <c r="C12359" s="1" t="str">
        <f>HYPERLINK("https://www.catalog.slsa.sa.gov.au/xrecord=b3130358")</f>
        <v>https://www.catalog.slsa.sa.gov.au/xrecord=b3130358</v>
      </c>
      <c r="D12359" t="s">
        <v>31636</v>
      </c>
      <c r="E12359" t="s">
        <v>37714</v>
      </c>
      <c r="F12359" t="s">
        <v>37715</v>
      </c>
      <c r="G12359" t="s">
        <v>37751</v>
      </c>
      <c r="H12359" t="s">
        <v>37752</v>
      </c>
      <c r="I12359" t="s">
        <v>37753</v>
      </c>
      <c r="J12359" t="s">
        <v>2510</v>
      </c>
      <c r="K12359" s="2" t="str">
        <f>HYPERLINK("http://collections.slsa.sa.gov.au/resource/B+75438")</f>
        <v>http://collections.slsa.sa.gov.au/resource/B+75438</v>
      </c>
    </row>
    <row r="12360" spans="1:11" x14ac:dyDescent="0.25">
      <c r="A12360" t="s">
        <v>37754</v>
      </c>
      <c r="B12360" s="1" t="str">
        <f>HYPERLINK("https://www.catalog.slsa.sa.gov.au/record=b3130359")</f>
        <v>https://www.catalog.slsa.sa.gov.au/record=b3130359</v>
      </c>
      <c r="C12360" s="1" t="str">
        <f>HYPERLINK("https://www.catalog.slsa.sa.gov.au/xrecord=b3130359")</f>
        <v>https://www.catalog.slsa.sa.gov.au/xrecord=b3130359</v>
      </c>
      <c r="D12360" t="s">
        <v>31636</v>
      </c>
      <c r="E12360" t="s">
        <v>37714</v>
      </c>
      <c r="F12360" t="s">
        <v>37715</v>
      </c>
      <c r="G12360" t="s">
        <v>37751</v>
      </c>
      <c r="H12360" t="s">
        <v>37755</v>
      </c>
      <c r="I12360" t="s">
        <v>37756</v>
      </c>
      <c r="J12360" t="s">
        <v>2510</v>
      </c>
      <c r="K12360" s="2" t="str">
        <f>HYPERLINK("http://collections.slsa.sa.gov.au/resource/B+75439")</f>
        <v>http://collections.slsa.sa.gov.au/resource/B+75439</v>
      </c>
    </row>
    <row r="12361" spans="1:11" x14ac:dyDescent="0.25">
      <c r="A12361" t="s">
        <v>37757</v>
      </c>
      <c r="B12361" s="1" t="str">
        <f>HYPERLINK("https://www.catalog.slsa.sa.gov.au/record=b3130360")</f>
        <v>https://www.catalog.slsa.sa.gov.au/record=b3130360</v>
      </c>
      <c r="C12361" s="1" t="str">
        <f>HYPERLINK("https://www.catalog.slsa.sa.gov.au/xrecord=b3130360")</f>
        <v>https://www.catalog.slsa.sa.gov.au/xrecord=b3130360</v>
      </c>
      <c r="D12361" t="s">
        <v>31636</v>
      </c>
      <c r="E12361" t="s">
        <v>37714</v>
      </c>
      <c r="F12361" t="s">
        <v>37715</v>
      </c>
      <c r="G12361" t="s">
        <v>37758</v>
      </c>
      <c r="H12361" t="s">
        <v>37759</v>
      </c>
      <c r="I12361" t="s">
        <v>37760</v>
      </c>
      <c r="J12361" t="s">
        <v>2510</v>
      </c>
      <c r="K12361" s="2" t="str">
        <f>HYPERLINK("http://collections.slsa.sa.gov.au/resource/B+75440")</f>
        <v>http://collections.slsa.sa.gov.au/resource/B+75440</v>
      </c>
    </row>
    <row r="12362" spans="1:11" x14ac:dyDescent="0.25">
      <c r="A12362" t="s">
        <v>37761</v>
      </c>
      <c r="B12362" s="1" t="str">
        <f>HYPERLINK("https://www.catalog.slsa.sa.gov.au/record=b3130362")</f>
        <v>https://www.catalog.slsa.sa.gov.au/record=b3130362</v>
      </c>
      <c r="C12362" s="1" t="str">
        <f>HYPERLINK("https://www.catalog.slsa.sa.gov.au/xrecord=b3130362")</f>
        <v>https://www.catalog.slsa.sa.gov.au/xrecord=b3130362</v>
      </c>
      <c r="D12362" t="s">
        <v>31636</v>
      </c>
      <c r="E12362" t="s">
        <v>37714</v>
      </c>
      <c r="F12362" t="s">
        <v>37715</v>
      </c>
      <c r="G12362" t="s">
        <v>37758</v>
      </c>
      <c r="H12362" t="s">
        <v>37762</v>
      </c>
      <c r="I12362" t="s">
        <v>37763</v>
      </c>
      <c r="J12362" t="s">
        <v>2510</v>
      </c>
      <c r="K12362" s="2" t="str">
        <f>HYPERLINK("http://collections.slsa.sa.gov.au/resource/B+75441")</f>
        <v>http://collections.slsa.sa.gov.au/resource/B+75441</v>
      </c>
    </row>
    <row r="12363" spans="1:11" x14ac:dyDescent="0.25">
      <c r="A12363" t="s">
        <v>37764</v>
      </c>
      <c r="B12363" s="1" t="str">
        <f>HYPERLINK("https://www.catalog.slsa.sa.gov.au/record=b3130363")</f>
        <v>https://www.catalog.slsa.sa.gov.au/record=b3130363</v>
      </c>
      <c r="C12363" s="1" t="str">
        <f>HYPERLINK("https://www.catalog.slsa.sa.gov.au/xrecord=b3130363")</f>
        <v>https://www.catalog.slsa.sa.gov.au/xrecord=b3130363</v>
      </c>
      <c r="D12363" t="s">
        <v>31636</v>
      </c>
      <c r="E12363" t="s">
        <v>37714</v>
      </c>
      <c r="F12363" t="s">
        <v>37715</v>
      </c>
      <c r="G12363" t="s">
        <v>37758</v>
      </c>
      <c r="H12363" t="s">
        <v>37765</v>
      </c>
      <c r="I12363" t="s">
        <v>37766</v>
      </c>
      <c r="J12363" t="s">
        <v>2510</v>
      </c>
      <c r="K12363" s="2" t="str">
        <f>HYPERLINK("http://collections.slsa.sa.gov.au/resource/B+75442")</f>
        <v>http://collections.slsa.sa.gov.au/resource/B+75442</v>
      </c>
    </row>
    <row r="12364" spans="1:11" x14ac:dyDescent="0.25">
      <c r="A12364" t="s">
        <v>37767</v>
      </c>
      <c r="B12364" s="1" t="str">
        <f>HYPERLINK("https://www.catalog.slsa.sa.gov.au/record=b3130364")</f>
        <v>https://www.catalog.slsa.sa.gov.au/record=b3130364</v>
      </c>
      <c r="C12364" s="1" t="str">
        <f>HYPERLINK("https://www.catalog.slsa.sa.gov.au/xrecord=b3130364")</f>
        <v>https://www.catalog.slsa.sa.gov.au/xrecord=b3130364</v>
      </c>
      <c r="D12364" t="s">
        <v>31636</v>
      </c>
      <c r="E12364" t="s">
        <v>37714</v>
      </c>
      <c r="F12364" t="s">
        <v>37715</v>
      </c>
      <c r="G12364" t="s">
        <v>37758</v>
      </c>
      <c r="H12364" t="s">
        <v>37768</v>
      </c>
      <c r="I12364" t="s">
        <v>37769</v>
      </c>
      <c r="J12364" t="s">
        <v>2510</v>
      </c>
      <c r="K12364" s="2" t="str">
        <f>HYPERLINK("http://collections.slsa.sa.gov.au/resource/B+75443")</f>
        <v>http://collections.slsa.sa.gov.au/resource/B+75443</v>
      </c>
    </row>
    <row r="12365" spans="1:11" x14ac:dyDescent="0.25">
      <c r="A12365" t="s">
        <v>37770</v>
      </c>
      <c r="B12365" s="1" t="str">
        <f>HYPERLINK("https://www.catalog.slsa.sa.gov.au/record=b3130365")</f>
        <v>https://www.catalog.slsa.sa.gov.au/record=b3130365</v>
      </c>
      <c r="C12365" s="1" t="str">
        <f>HYPERLINK("https://www.catalog.slsa.sa.gov.au/xrecord=b3130365")</f>
        <v>https://www.catalog.slsa.sa.gov.au/xrecord=b3130365</v>
      </c>
      <c r="D12365" t="s">
        <v>31636</v>
      </c>
      <c r="E12365" t="s">
        <v>37714</v>
      </c>
      <c r="F12365" t="s">
        <v>37715</v>
      </c>
      <c r="G12365" t="s">
        <v>37758</v>
      </c>
      <c r="H12365" t="s">
        <v>37771</v>
      </c>
      <c r="I12365" t="s">
        <v>37727</v>
      </c>
      <c r="J12365" t="s">
        <v>2510</v>
      </c>
      <c r="K12365" s="2" t="str">
        <f>HYPERLINK("http://collections.slsa.sa.gov.au/resource/B+75444")</f>
        <v>http://collections.slsa.sa.gov.au/resource/B+75444</v>
      </c>
    </row>
    <row r="12366" spans="1:11" x14ac:dyDescent="0.25">
      <c r="A12366" t="s">
        <v>37772</v>
      </c>
      <c r="B12366" s="1" t="str">
        <f>HYPERLINK("https://www.catalog.slsa.sa.gov.au/record=b3130367")</f>
        <v>https://www.catalog.slsa.sa.gov.au/record=b3130367</v>
      </c>
      <c r="C12366" s="1" t="str">
        <f>HYPERLINK("https://www.catalog.slsa.sa.gov.au/xrecord=b3130367")</f>
        <v>https://www.catalog.slsa.sa.gov.au/xrecord=b3130367</v>
      </c>
      <c r="D12366" t="s">
        <v>31636</v>
      </c>
      <c r="E12366" t="s">
        <v>37714</v>
      </c>
      <c r="F12366" t="s">
        <v>37715</v>
      </c>
      <c r="G12366" t="s">
        <v>37758</v>
      </c>
      <c r="H12366" t="s">
        <v>37773</v>
      </c>
      <c r="I12366" t="s">
        <v>37774</v>
      </c>
      <c r="J12366" t="s">
        <v>2510</v>
      </c>
      <c r="K12366" s="2" t="str">
        <f>HYPERLINK("http://collections.slsa.sa.gov.au/resource/B+75445")</f>
        <v>http://collections.slsa.sa.gov.au/resource/B+75445</v>
      </c>
    </row>
    <row r="12367" spans="1:11" x14ac:dyDescent="0.25">
      <c r="A12367" t="s">
        <v>37775</v>
      </c>
      <c r="B12367" s="1" t="str">
        <f>HYPERLINK("https://www.catalog.slsa.sa.gov.au/record=b3130369")</f>
        <v>https://www.catalog.slsa.sa.gov.au/record=b3130369</v>
      </c>
      <c r="C12367" s="1" t="str">
        <f>HYPERLINK("https://www.catalog.slsa.sa.gov.au/xrecord=b3130369")</f>
        <v>https://www.catalog.slsa.sa.gov.au/xrecord=b3130369</v>
      </c>
      <c r="D12367" t="s">
        <v>31636</v>
      </c>
      <c r="E12367" t="s">
        <v>37714</v>
      </c>
      <c r="F12367" t="s">
        <v>37715</v>
      </c>
      <c r="G12367" t="s">
        <v>37758</v>
      </c>
      <c r="H12367" t="s">
        <v>37776</v>
      </c>
      <c r="I12367" t="s">
        <v>37777</v>
      </c>
      <c r="J12367" t="s">
        <v>2510</v>
      </c>
      <c r="K12367" s="2" t="str">
        <f>HYPERLINK("http://collections.slsa.sa.gov.au/resource/B+75446")</f>
        <v>http://collections.slsa.sa.gov.au/resource/B+75446</v>
      </c>
    </row>
    <row r="12368" spans="1:11" x14ac:dyDescent="0.25">
      <c r="A12368" t="s">
        <v>37778</v>
      </c>
      <c r="B12368" s="1" t="str">
        <f>HYPERLINK("https://www.catalog.slsa.sa.gov.au/record=b3130371")</f>
        <v>https://www.catalog.slsa.sa.gov.au/record=b3130371</v>
      </c>
      <c r="C12368" s="1" t="str">
        <f>HYPERLINK("https://www.catalog.slsa.sa.gov.au/xrecord=b3130371")</f>
        <v>https://www.catalog.slsa.sa.gov.au/xrecord=b3130371</v>
      </c>
      <c r="D12368" t="s">
        <v>31636</v>
      </c>
      <c r="E12368" t="s">
        <v>37714</v>
      </c>
      <c r="F12368" t="s">
        <v>37715</v>
      </c>
      <c r="G12368" t="s">
        <v>37758</v>
      </c>
      <c r="H12368" t="s">
        <v>37779</v>
      </c>
      <c r="I12368" t="s">
        <v>37780</v>
      </c>
      <c r="J12368" t="s">
        <v>2510</v>
      </c>
      <c r="K12368" s="2" t="str">
        <f>HYPERLINK("http://collections.slsa.sa.gov.au/resource/B+75447")</f>
        <v>http://collections.slsa.sa.gov.au/resource/B+75447</v>
      </c>
    </row>
    <row r="12369" spans="1:11" x14ac:dyDescent="0.25">
      <c r="A12369" t="s">
        <v>37781</v>
      </c>
      <c r="B12369" s="1" t="str">
        <f>HYPERLINK("https://www.catalog.slsa.sa.gov.au/record=b3130373")</f>
        <v>https://www.catalog.slsa.sa.gov.au/record=b3130373</v>
      </c>
      <c r="C12369" s="1" t="str">
        <f>HYPERLINK("https://www.catalog.slsa.sa.gov.au/xrecord=b3130373")</f>
        <v>https://www.catalog.slsa.sa.gov.au/xrecord=b3130373</v>
      </c>
      <c r="D12369" t="s">
        <v>31636</v>
      </c>
      <c r="E12369" t="s">
        <v>37714</v>
      </c>
      <c r="F12369" t="s">
        <v>37715</v>
      </c>
      <c r="G12369" t="s">
        <v>37758</v>
      </c>
      <c r="H12369" t="s">
        <v>37782</v>
      </c>
      <c r="I12369" t="s">
        <v>37783</v>
      </c>
      <c r="J12369" t="s">
        <v>2510</v>
      </c>
      <c r="K12369" s="2" t="str">
        <f>HYPERLINK("http://collections.slsa.sa.gov.au/resource/B+75448")</f>
        <v>http://collections.slsa.sa.gov.au/resource/B+75448</v>
      </c>
    </row>
    <row r="12370" spans="1:11" x14ac:dyDescent="0.25">
      <c r="A12370" t="s">
        <v>37784</v>
      </c>
      <c r="B12370" s="1" t="str">
        <f>HYPERLINK("https://www.catalog.slsa.sa.gov.au/record=b3130374")</f>
        <v>https://www.catalog.slsa.sa.gov.au/record=b3130374</v>
      </c>
      <c r="C12370" s="1" t="str">
        <f>HYPERLINK("https://www.catalog.slsa.sa.gov.au/xrecord=b3130374")</f>
        <v>https://www.catalog.slsa.sa.gov.au/xrecord=b3130374</v>
      </c>
      <c r="D12370" t="s">
        <v>31636</v>
      </c>
      <c r="E12370" t="s">
        <v>37714</v>
      </c>
      <c r="F12370" t="s">
        <v>37715</v>
      </c>
      <c r="G12370" t="s">
        <v>37758</v>
      </c>
      <c r="H12370" t="s">
        <v>37782</v>
      </c>
      <c r="I12370" t="s">
        <v>37785</v>
      </c>
      <c r="J12370" t="s">
        <v>2510</v>
      </c>
      <c r="K12370" s="2" t="str">
        <f>HYPERLINK("http://collections.slsa.sa.gov.au/resource/B+75449")</f>
        <v>http://collections.slsa.sa.gov.au/resource/B+75449</v>
      </c>
    </row>
    <row r="12371" spans="1:11" x14ac:dyDescent="0.25">
      <c r="A12371" t="s">
        <v>37786</v>
      </c>
      <c r="B12371" s="1" t="str">
        <f>HYPERLINK("https://www.catalog.slsa.sa.gov.au/record=b3130375")</f>
        <v>https://www.catalog.slsa.sa.gov.au/record=b3130375</v>
      </c>
      <c r="C12371" s="1" t="str">
        <f>HYPERLINK("https://www.catalog.slsa.sa.gov.au/xrecord=b3130375")</f>
        <v>https://www.catalog.slsa.sa.gov.au/xrecord=b3130375</v>
      </c>
      <c r="D12371" t="s">
        <v>31636</v>
      </c>
      <c r="E12371" t="s">
        <v>37714</v>
      </c>
      <c r="F12371" t="s">
        <v>37715</v>
      </c>
      <c r="G12371" t="s">
        <v>37758</v>
      </c>
      <c r="H12371" t="s">
        <v>37782</v>
      </c>
      <c r="I12371" t="s">
        <v>37780</v>
      </c>
      <c r="J12371" t="s">
        <v>2510</v>
      </c>
      <c r="K12371" s="2" t="str">
        <f>HYPERLINK("http://collections.slsa.sa.gov.au/resource/B+75450")</f>
        <v>http://collections.slsa.sa.gov.au/resource/B+75450</v>
      </c>
    </row>
    <row r="12372" spans="1:11" x14ac:dyDescent="0.25">
      <c r="A12372" t="s">
        <v>37787</v>
      </c>
      <c r="B12372" s="1" t="str">
        <f>HYPERLINK("https://www.catalog.slsa.sa.gov.au/record=b3130376")</f>
        <v>https://www.catalog.slsa.sa.gov.au/record=b3130376</v>
      </c>
      <c r="C12372" s="1" t="str">
        <f>HYPERLINK("https://www.catalog.slsa.sa.gov.au/xrecord=b3130376")</f>
        <v>https://www.catalog.slsa.sa.gov.au/xrecord=b3130376</v>
      </c>
      <c r="D12372" t="s">
        <v>31636</v>
      </c>
      <c r="E12372" t="s">
        <v>37714</v>
      </c>
      <c r="F12372" t="s">
        <v>37715</v>
      </c>
      <c r="G12372" t="s">
        <v>37758</v>
      </c>
      <c r="H12372" t="s">
        <v>37782</v>
      </c>
      <c r="I12372" t="s">
        <v>37788</v>
      </c>
      <c r="J12372" t="s">
        <v>2510</v>
      </c>
      <c r="K12372" s="2" t="str">
        <f>HYPERLINK("http://collections.slsa.sa.gov.au/resource/B+75451")</f>
        <v>http://collections.slsa.sa.gov.au/resource/B+75451</v>
      </c>
    </row>
    <row r="12373" spans="1:11" x14ac:dyDescent="0.25">
      <c r="A12373" t="s">
        <v>37789</v>
      </c>
      <c r="B12373" s="1" t="str">
        <f>HYPERLINK("https://www.catalog.slsa.sa.gov.au/record=b3130377")</f>
        <v>https://www.catalog.slsa.sa.gov.au/record=b3130377</v>
      </c>
      <c r="C12373" s="1" t="str">
        <f>HYPERLINK("https://www.catalog.slsa.sa.gov.au/xrecord=b3130377")</f>
        <v>https://www.catalog.slsa.sa.gov.au/xrecord=b3130377</v>
      </c>
      <c r="D12373" t="s">
        <v>31636</v>
      </c>
      <c r="E12373" t="s">
        <v>37714</v>
      </c>
      <c r="F12373" t="s">
        <v>37715</v>
      </c>
      <c r="G12373" t="s">
        <v>37758</v>
      </c>
      <c r="H12373" t="s">
        <v>37790</v>
      </c>
      <c r="I12373" t="s">
        <v>37791</v>
      </c>
      <c r="J12373" t="s">
        <v>2510</v>
      </c>
      <c r="K12373" s="2" t="str">
        <f>HYPERLINK("http://collections.slsa.sa.gov.au/resource/B+75452")</f>
        <v>http://collections.slsa.sa.gov.au/resource/B+75452</v>
      </c>
    </row>
    <row r="12374" spans="1:11" x14ac:dyDescent="0.25">
      <c r="A12374" t="s">
        <v>37792</v>
      </c>
      <c r="B12374" s="1" t="str">
        <f>HYPERLINK("https://www.catalog.slsa.sa.gov.au/record=b3130378")</f>
        <v>https://www.catalog.slsa.sa.gov.au/record=b3130378</v>
      </c>
      <c r="C12374" s="1" t="str">
        <f>HYPERLINK("https://www.catalog.slsa.sa.gov.au/xrecord=b3130378")</f>
        <v>https://www.catalog.slsa.sa.gov.au/xrecord=b3130378</v>
      </c>
      <c r="D12374" t="s">
        <v>31636</v>
      </c>
      <c r="E12374" t="s">
        <v>37714</v>
      </c>
      <c r="F12374" t="s">
        <v>37715</v>
      </c>
      <c r="G12374" t="s">
        <v>37758</v>
      </c>
      <c r="H12374" t="s">
        <v>37793</v>
      </c>
      <c r="I12374" t="s">
        <v>37794</v>
      </c>
      <c r="J12374" t="s">
        <v>2510</v>
      </c>
      <c r="K12374" s="2" t="str">
        <f>HYPERLINK("http://collections.slsa.sa.gov.au/resource/B+75453")</f>
        <v>http://collections.slsa.sa.gov.au/resource/B+75453</v>
      </c>
    </row>
    <row r="12375" spans="1:11" x14ac:dyDescent="0.25">
      <c r="A12375" t="s">
        <v>37795</v>
      </c>
      <c r="B12375" s="1" t="str">
        <f>HYPERLINK("https://www.catalog.slsa.sa.gov.au/record=b3130381")</f>
        <v>https://www.catalog.slsa.sa.gov.au/record=b3130381</v>
      </c>
      <c r="C12375" s="1" t="str">
        <f>HYPERLINK("https://www.catalog.slsa.sa.gov.au/xrecord=b3130381")</f>
        <v>https://www.catalog.slsa.sa.gov.au/xrecord=b3130381</v>
      </c>
      <c r="D12375" t="s">
        <v>31636</v>
      </c>
      <c r="E12375" t="s">
        <v>37714</v>
      </c>
      <c r="F12375" t="s">
        <v>37715</v>
      </c>
      <c r="G12375" t="s">
        <v>37758</v>
      </c>
      <c r="H12375" t="s">
        <v>37796</v>
      </c>
      <c r="I12375" t="s">
        <v>37797</v>
      </c>
      <c r="J12375" t="s">
        <v>2510</v>
      </c>
      <c r="K12375" s="2" t="str">
        <f>HYPERLINK("http://collections.slsa.sa.gov.au/resource/B+75454")</f>
        <v>http://collections.slsa.sa.gov.au/resource/B+75454</v>
      </c>
    </row>
    <row r="12376" spans="1:11" x14ac:dyDescent="0.25">
      <c r="A12376" t="s">
        <v>37798</v>
      </c>
      <c r="B12376" s="1" t="str">
        <f>HYPERLINK("https://www.catalog.slsa.sa.gov.au/record=b3130382")</f>
        <v>https://www.catalog.slsa.sa.gov.au/record=b3130382</v>
      </c>
      <c r="C12376" s="1" t="str">
        <f>HYPERLINK("https://www.catalog.slsa.sa.gov.au/xrecord=b3130382")</f>
        <v>https://www.catalog.slsa.sa.gov.au/xrecord=b3130382</v>
      </c>
      <c r="D12376" t="s">
        <v>31636</v>
      </c>
      <c r="E12376" t="s">
        <v>37714</v>
      </c>
      <c r="F12376" t="s">
        <v>37715</v>
      </c>
      <c r="G12376" t="s">
        <v>37758</v>
      </c>
      <c r="H12376" t="s">
        <v>37799</v>
      </c>
      <c r="I12376" t="s">
        <v>37800</v>
      </c>
      <c r="J12376" t="s">
        <v>2510</v>
      </c>
      <c r="K12376" s="2" t="str">
        <f>HYPERLINK("http://collections.slsa.sa.gov.au/resource/B+75455")</f>
        <v>http://collections.slsa.sa.gov.au/resource/B+75455</v>
      </c>
    </row>
    <row r="12377" spans="1:11" x14ac:dyDescent="0.25">
      <c r="A12377" t="s">
        <v>37801</v>
      </c>
      <c r="B12377" s="1" t="str">
        <f>HYPERLINK("https://www.catalog.slsa.sa.gov.au/record=b3130383")</f>
        <v>https://www.catalog.slsa.sa.gov.au/record=b3130383</v>
      </c>
      <c r="C12377" s="1" t="str">
        <f>HYPERLINK("https://www.catalog.slsa.sa.gov.au/xrecord=b3130383")</f>
        <v>https://www.catalog.slsa.sa.gov.au/xrecord=b3130383</v>
      </c>
      <c r="D12377" t="s">
        <v>31636</v>
      </c>
      <c r="E12377" t="s">
        <v>37714</v>
      </c>
      <c r="F12377" t="s">
        <v>37715</v>
      </c>
      <c r="G12377" t="s">
        <v>37758</v>
      </c>
      <c r="H12377" t="s">
        <v>37802</v>
      </c>
      <c r="I12377" t="s">
        <v>37803</v>
      </c>
      <c r="J12377" t="s">
        <v>2510</v>
      </c>
      <c r="K12377" s="2" t="str">
        <f>HYPERLINK("http://collections.slsa.sa.gov.au/resource/B+75456")</f>
        <v>http://collections.slsa.sa.gov.au/resource/B+75456</v>
      </c>
    </row>
    <row r="12378" spans="1:11" x14ac:dyDescent="0.25">
      <c r="A12378" t="s">
        <v>37804</v>
      </c>
      <c r="B12378" s="1" t="str">
        <f>HYPERLINK("https://www.catalog.slsa.sa.gov.au/record=b3130385")</f>
        <v>https://www.catalog.slsa.sa.gov.au/record=b3130385</v>
      </c>
      <c r="C12378" s="1" t="str">
        <f>HYPERLINK("https://www.catalog.slsa.sa.gov.au/xrecord=b3130385")</f>
        <v>https://www.catalog.slsa.sa.gov.au/xrecord=b3130385</v>
      </c>
      <c r="D12378" t="s">
        <v>31636</v>
      </c>
      <c r="E12378" t="s">
        <v>37805</v>
      </c>
      <c r="F12378" t="s">
        <v>37715</v>
      </c>
      <c r="G12378" t="s">
        <v>37716</v>
      </c>
      <c r="H12378" t="s">
        <v>37806</v>
      </c>
      <c r="I12378" t="s">
        <v>37807</v>
      </c>
      <c r="J12378" t="s">
        <v>2510</v>
      </c>
      <c r="K12378" s="2" t="str">
        <f>HYPERLINK("http://collections.slsa.sa.gov.au/resource/B+75426")</f>
        <v>http://collections.slsa.sa.gov.au/resource/B+75426</v>
      </c>
    </row>
    <row r="12379" spans="1:11" x14ac:dyDescent="0.25">
      <c r="A12379" t="s">
        <v>37808</v>
      </c>
      <c r="B12379" s="1" t="str">
        <f>HYPERLINK("https://www.catalog.slsa.sa.gov.au/record=b3114443")</f>
        <v>https://www.catalog.slsa.sa.gov.au/record=b3114443</v>
      </c>
      <c r="C12379" s="1" t="str">
        <f>HYPERLINK("https://www.catalog.slsa.sa.gov.au/xrecord=b3114443")</f>
        <v>https://www.catalog.slsa.sa.gov.au/xrecord=b3114443</v>
      </c>
      <c r="D12379" t="s">
        <v>37809</v>
      </c>
      <c r="E12379" t="s">
        <v>37810</v>
      </c>
      <c r="F12379" t="s">
        <v>37811</v>
      </c>
      <c r="G12379" t="s">
        <v>37812</v>
      </c>
      <c r="H12379" t="s">
        <v>37813</v>
      </c>
      <c r="I12379" t="s">
        <v>37814</v>
      </c>
      <c r="J12379" t="s">
        <v>16617</v>
      </c>
      <c r="K12379" s="2" t="str">
        <f>HYPERLINK("http://collections.slsa.sa.gov.au/resource/B+74757")</f>
        <v>http://collections.slsa.sa.gov.au/resource/B+74757</v>
      </c>
    </row>
    <row r="12380" spans="1:11" x14ac:dyDescent="0.25">
      <c r="A12380" t="s">
        <v>37815</v>
      </c>
      <c r="B12380" s="1" t="str">
        <f>HYPERLINK("https://www.catalog.slsa.sa.gov.au/record=b3114447")</f>
        <v>https://www.catalog.slsa.sa.gov.au/record=b3114447</v>
      </c>
      <c r="C12380" s="1" t="str">
        <f>HYPERLINK("https://www.catalog.slsa.sa.gov.au/xrecord=b3114447")</f>
        <v>https://www.catalog.slsa.sa.gov.au/xrecord=b3114447</v>
      </c>
      <c r="D12380" t="s">
        <v>37809</v>
      </c>
      <c r="E12380" t="s">
        <v>37816</v>
      </c>
      <c r="F12380" t="s">
        <v>37811</v>
      </c>
      <c r="G12380" t="s">
        <v>37812</v>
      </c>
      <c r="H12380" t="s">
        <v>37817</v>
      </c>
      <c r="I12380" t="s">
        <v>37818</v>
      </c>
      <c r="J12380" t="s">
        <v>16617</v>
      </c>
      <c r="K12380" s="2" t="str">
        <f>HYPERLINK("http://collections.slsa.sa.gov.au/resource/B+74758")</f>
        <v>http://collections.slsa.sa.gov.au/resource/B+74758</v>
      </c>
    </row>
    <row r="12381" spans="1:11" x14ac:dyDescent="0.25">
      <c r="A12381" t="s">
        <v>37819</v>
      </c>
      <c r="B12381" s="1" t="str">
        <f>HYPERLINK("https://www.catalog.slsa.sa.gov.au/record=b3114449")</f>
        <v>https://www.catalog.slsa.sa.gov.au/record=b3114449</v>
      </c>
      <c r="C12381" s="1" t="str">
        <f>HYPERLINK("https://www.catalog.slsa.sa.gov.au/xrecord=b3114449")</f>
        <v>https://www.catalog.slsa.sa.gov.au/xrecord=b3114449</v>
      </c>
      <c r="D12381" t="s">
        <v>37809</v>
      </c>
      <c r="E12381" t="s">
        <v>37820</v>
      </c>
      <c r="F12381" t="s">
        <v>37811</v>
      </c>
      <c r="G12381" t="s">
        <v>37812</v>
      </c>
      <c r="H12381" t="s">
        <v>37821</v>
      </c>
      <c r="I12381" t="s">
        <v>37822</v>
      </c>
      <c r="J12381" t="s">
        <v>16617</v>
      </c>
      <c r="K12381" s="2" t="str">
        <f>HYPERLINK("http://collections.slsa.sa.gov.au/resource/B+74759")</f>
        <v>http://collections.slsa.sa.gov.au/resource/B+74759</v>
      </c>
    </row>
    <row r="12382" spans="1:11" x14ac:dyDescent="0.25">
      <c r="A12382" t="s">
        <v>37823</v>
      </c>
      <c r="B12382" s="1" t="str">
        <f>HYPERLINK("https://www.catalog.slsa.sa.gov.au/record=b3114452")</f>
        <v>https://www.catalog.slsa.sa.gov.au/record=b3114452</v>
      </c>
      <c r="C12382" s="1" t="str">
        <f>HYPERLINK("https://www.catalog.slsa.sa.gov.au/xrecord=b3114452")</f>
        <v>https://www.catalog.slsa.sa.gov.au/xrecord=b3114452</v>
      </c>
      <c r="D12382" t="s">
        <v>37809</v>
      </c>
      <c r="E12382" t="s">
        <v>37824</v>
      </c>
      <c r="F12382" t="s">
        <v>37811</v>
      </c>
      <c r="G12382" t="s">
        <v>37812</v>
      </c>
      <c r="H12382" t="s">
        <v>37825</v>
      </c>
      <c r="I12382" t="s">
        <v>37826</v>
      </c>
      <c r="J12382" t="s">
        <v>16617</v>
      </c>
      <c r="K12382" s="2" t="str">
        <f>HYPERLINK("http://collections.slsa.sa.gov.au/resource/B+74760")</f>
        <v>http://collections.slsa.sa.gov.au/resource/B+74760</v>
      </c>
    </row>
    <row r="12383" spans="1:11" x14ac:dyDescent="0.25">
      <c r="A12383" t="s">
        <v>37827</v>
      </c>
      <c r="B12383" s="1" t="str">
        <f>HYPERLINK("https://www.catalog.slsa.sa.gov.au/record=b3114455")</f>
        <v>https://www.catalog.slsa.sa.gov.au/record=b3114455</v>
      </c>
      <c r="C12383" s="1" t="str">
        <f>HYPERLINK("https://www.catalog.slsa.sa.gov.au/xrecord=b3114455")</f>
        <v>https://www.catalog.slsa.sa.gov.au/xrecord=b3114455</v>
      </c>
      <c r="D12383" t="s">
        <v>37809</v>
      </c>
      <c r="E12383" t="s">
        <v>37824</v>
      </c>
      <c r="F12383" t="s">
        <v>37811</v>
      </c>
      <c r="G12383" t="s">
        <v>37812</v>
      </c>
      <c r="H12383" t="s">
        <v>37828</v>
      </c>
      <c r="I12383" t="s">
        <v>37826</v>
      </c>
      <c r="J12383" t="s">
        <v>16617</v>
      </c>
      <c r="K12383" s="2" t="str">
        <f>HYPERLINK("http://collections.slsa.sa.gov.au/resource/B+74761")</f>
        <v>http://collections.slsa.sa.gov.au/resource/B+74761</v>
      </c>
    </row>
    <row r="12384" spans="1:11" x14ac:dyDescent="0.25">
      <c r="A12384" t="s">
        <v>37829</v>
      </c>
      <c r="B12384" s="1" t="str">
        <f>HYPERLINK("https://www.catalog.slsa.sa.gov.au/record=b3113876")</f>
        <v>https://www.catalog.slsa.sa.gov.au/record=b3113876</v>
      </c>
      <c r="C12384" s="1" t="str">
        <f>HYPERLINK("https://www.catalog.slsa.sa.gov.au/xrecord=b3113876")</f>
        <v>https://www.catalog.slsa.sa.gov.au/xrecord=b3113876</v>
      </c>
      <c r="D12384" t="s">
        <v>31636</v>
      </c>
      <c r="E12384" t="s">
        <v>37830</v>
      </c>
      <c r="F12384" t="s">
        <v>37831</v>
      </c>
      <c r="G12384" t="s">
        <v>36370</v>
      </c>
      <c r="H12384" t="s">
        <v>37832</v>
      </c>
      <c r="I12384" t="s">
        <v>37833</v>
      </c>
      <c r="J12384" t="s">
        <v>23768</v>
      </c>
      <c r="K12384" s="2" t="str">
        <f>HYPERLINK("http://collections.slsa.sa.gov.au/resource/B+74751")</f>
        <v>http://collections.slsa.sa.gov.au/resource/B+74751</v>
      </c>
    </row>
    <row r="12385" spans="1:11" x14ac:dyDescent="0.25">
      <c r="A12385" t="s">
        <v>37834</v>
      </c>
      <c r="B12385" s="1" t="str">
        <f>HYPERLINK("https://www.catalog.slsa.sa.gov.au/record=b3113878")</f>
        <v>https://www.catalog.slsa.sa.gov.au/record=b3113878</v>
      </c>
      <c r="C12385" s="1" t="str">
        <f>HYPERLINK("https://www.catalog.slsa.sa.gov.au/xrecord=b3113878")</f>
        <v>https://www.catalog.slsa.sa.gov.au/xrecord=b3113878</v>
      </c>
      <c r="D12385" t="s">
        <v>31636</v>
      </c>
      <c r="E12385" t="s">
        <v>37830</v>
      </c>
      <c r="F12385" t="s">
        <v>37831</v>
      </c>
      <c r="G12385" t="s">
        <v>36370</v>
      </c>
      <c r="H12385" t="s">
        <v>37832</v>
      </c>
      <c r="I12385" t="s">
        <v>37833</v>
      </c>
      <c r="J12385" t="s">
        <v>23768</v>
      </c>
      <c r="K12385" s="2" t="str">
        <f>HYPERLINK("http://collections.slsa.sa.gov.au/resource/B+74752")</f>
        <v>http://collections.slsa.sa.gov.au/resource/B+74752</v>
      </c>
    </row>
    <row r="12386" spans="1:11" x14ac:dyDescent="0.25">
      <c r="A12386" t="s">
        <v>37835</v>
      </c>
      <c r="B12386" s="1" t="str">
        <f>HYPERLINK("https://www.catalog.slsa.sa.gov.au/record=b3114910")</f>
        <v>https://www.catalog.slsa.sa.gov.au/record=b3114910</v>
      </c>
      <c r="C12386" s="1" t="str">
        <f>HYPERLINK("https://www.catalog.slsa.sa.gov.au/xrecord=b3114910")</f>
        <v>https://www.catalog.slsa.sa.gov.au/xrecord=b3114910</v>
      </c>
      <c r="D12386" t="s">
        <v>31636</v>
      </c>
      <c r="E12386" t="s">
        <v>16873</v>
      </c>
      <c r="F12386" t="s">
        <v>37836</v>
      </c>
      <c r="G12386" t="s">
        <v>37837</v>
      </c>
      <c r="H12386" t="s">
        <v>37838</v>
      </c>
      <c r="I12386" t="s">
        <v>37148</v>
      </c>
      <c r="J12386" t="s">
        <v>25133</v>
      </c>
      <c r="K12386" s="2" t="str">
        <f>HYPERLINK("http://collections.slsa.sa.gov.au/resource/B+74888")</f>
        <v>http://collections.slsa.sa.gov.au/resource/B+74888</v>
      </c>
    </row>
    <row r="12387" spans="1:11" x14ac:dyDescent="0.25">
      <c r="A12387" t="s">
        <v>37839</v>
      </c>
      <c r="B12387" s="1" t="str">
        <f>HYPERLINK("https://www.catalog.slsa.sa.gov.au/record=b3114529")</f>
        <v>https://www.catalog.slsa.sa.gov.au/record=b3114529</v>
      </c>
      <c r="C12387" s="1" t="str">
        <f>HYPERLINK("https://www.catalog.slsa.sa.gov.au/xrecord=b3114529")</f>
        <v>https://www.catalog.slsa.sa.gov.au/xrecord=b3114529</v>
      </c>
      <c r="D12387" t="s">
        <v>31636</v>
      </c>
      <c r="E12387" t="s">
        <v>37840</v>
      </c>
      <c r="F12387" t="s">
        <v>37841</v>
      </c>
      <c r="G12387" t="s">
        <v>37842</v>
      </c>
      <c r="H12387" t="s">
        <v>37843</v>
      </c>
      <c r="I12387" t="s">
        <v>37844</v>
      </c>
      <c r="J12387" t="s">
        <v>36129</v>
      </c>
      <c r="K12387" s="2" t="str">
        <f>HYPERLINK("http://collections.slsa.sa.gov.au/resource/B+74877")</f>
        <v>http://collections.slsa.sa.gov.au/resource/B+74877</v>
      </c>
    </row>
    <row r="12388" spans="1:11" x14ac:dyDescent="0.25">
      <c r="A12388" t="s">
        <v>37845</v>
      </c>
      <c r="B12388" s="1" t="str">
        <f>HYPERLINK("https://www.catalog.slsa.sa.gov.au/record=b3114530")</f>
        <v>https://www.catalog.slsa.sa.gov.au/record=b3114530</v>
      </c>
      <c r="C12388" s="1" t="str">
        <f>HYPERLINK("https://www.catalog.slsa.sa.gov.au/xrecord=b3114530")</f>
        <v>https://www.catalog.slsa.sa.gov.au/xrecord=b3114530</v>
      </c>
      <c r="D12388" t="s">
        <v>31636</v>
      </c>
      <c r="E12388" t="s">
        <v>37840</v>
      </c>
      <c r="F12388" t="s">
        <v>37841</v>
      </c>
      <c r="G12388" t="s">
        <v>37846</v>
      </c>
      <c r="H12388" t="s">
        <v>37847</v>
      </c>
      <c r="I12388" t="s">
        <v>37848</v>
      </c>
      <c r="J12388" t="s">
        <v>36129</v>
      </c>
      <c r="K12388" s="2" t="str">
        <f>HYPERLINK("http://collections.slsa.sa.gov.au/resource/B+74878")</f>
        <v>http://collections.slsa.sa.gov.au/resource/B+74878</v>
      </c>
    </row>
    <row r="12389" spans="1:11" x14ac:dyDescent="0.25">
      <c r="A12389" t="s">
        <v>37849</v>
      </c>
      <c r="B12389" s="1" t="str">
        <f>HYPERLINK("https://www.catalog.slsa.sa.gov.au/record=b3114531")</f>
        <v>https://www.catalog.slsa.sa.gov.au/record=b3114531</v>
      </c>
      <c r="C12389" s="1" t="str">
        <f>HYPERLINK("https://www.catalog.slsa.sa.gov.au/xrecord=b3114531")</f>
        <v>https://www.catalog.slsa.sa.gov.au/xrecord=b3114531</v>
      </c>
      <c r="D12389" t="s">
        <v>31636</v>
      </c>
      <c r="E12389" t="s">
        <v>37840</v>
      </c>
      <c r="F12389" t="s">
        <v>37841</v>
      </c>
      <c r="G12389" t="s">
        <v>37850</v>
      </c>
      <c r="H12389" t="s">
        <v>37851</v>
      </c>
      <c r="I12389" t="s">
        <v>37844</v>
      </c>
      <c r="J12389" t="s">
        <v>36129</v>
      </c>
      <c r="K12389" s="2" t="str">
        <f>HYPERLINK("http://collections.slsa.sa.gov.au/resource/B+74879")</f>
        <v>http://collections.slsa.sa.gov.au/resource/B+74879</v>
      </c>
    </row>
    <row r="12390" spans="1:11" x14ac:dyDescent="0.25">
      <c r="A12390" t="s">
        <v>37852</v>
      </c>
      <c r="B12390" s="1" t="str">
        <f>HYPERLINK("https://www.catalog.slsa.sa.gov.au/record=b3114532")</f>
        <v>https://www.catalog.slsa.sa.gov.au/record=b3114532</v>
      </c>
      <c r="C12390" s="1" t="str">
        <f>HYPERLINK("https://www.catalog.slsa.sa.gov.au/xrecord=b3114532")</f>
        <v>https://www.catalog.slsa.sa.gov.au/xrecord=b3114532</v>
      </c>
      <c r="D12390" t="s">
        <v>31636</v>
      </c>
      <c r="E12390" t="s">
        <v>37840</v>
      </c>
      <c r="F12390" t="s">
        <v>37841</v>
      </c>
      <c r="G12390" t="s">
        <v>37758</v>
      </c>
      <c r="H12390" t="s">
        <v>37853</v>
      </c>
      <c r="I12390" t="s">
        <v>37854</v>
      </c>
      <c r="J12390" t="s">
        <v>36129</v>
      </c>
      <c r="K12390" s="2" t="str">
        <f>HYPERLINK("http://collections.slsa.sa.gov.au/resource/B+74880")</f>
        <v>http://collections.slsa.sa.gov.au/resource/B+74880</v>
      </c>
    </row>
    <row r="12391" spans="1:11" x14ac:dyDescent="0.25">
      <c r="A12391" t="s">
        <v>37855</v>
      </c>
      <c r="B12391" s="1" t="str">
        <f>HYPERLINK("https://www.catalog.slsa.sa.gov.au/record=b3114533")</f>
        <v>https://www.catalog.slsa.sa.gov.au/record=b3114533</v>
      </c>
      <c r="C12391" s="1" t="str">
        <f>HYPERLINK("https://www.catalog.slsa.sa.gov.au/xrecord=b3114533")</f>
        <v>https://www.catalog.slsa.sa.gov.au/xrecord=b3114533</v>
      </c>
      <c r="D12391" t="s">
        <v>31636</v>
      </c>
      <c r="E12391" t="s">
        <v>37840</v>
      </c>
      <c r="F12391" t="s">
        <v>37841</v>
      </c>
      <c r="G12391" t="s">
        <v>37856</v>
      </c>
      <c r="H12391" t="s">
        <v>37857</v>
      </c>
      <c r="I12391" t="s">
        <v>37854</v>
      </c>
      <c r="J12391" t="s">
        <v>36129</v>
      </c>
      <c r="K12391" s="2" t="str">
        <f>HYPERLINK("http://collections.slsa.sa.gov.au/resource/B+74881")</f>
        <v>http://collections.slsa.sa.gov.au/resource/B+74881</v>
      </c>
    </row>
    <row r="12392" spans="1:11" x14ac:dyDescent="0.25">
      <c r="A12392" t="s">
        <v>37858</v>
      </c>
      <c r="B12392" s="1" t="str">
        <f>HYPERLINK("https://www.catalog.slsa.sa.gov.au/record=b3114534")</f>
        <v>https://www.catalog.slsa.sa.gov.au/record=b3114534</v>
      </c>
      <c r="C12392" s="1" t="str">
        <f>HYPERLINK("https://www.catalog.slsa.sa.gov.au/xrecord=b3114534")</f>
        <v>https://www.catalog.slsa.sa.gov.au/xrecord=b3114534</v>
      </c>
      <c r="D12392" t="s">
        <v>31636</v>
      </c>
      <c r="E12392" t="s">
        <v>37840</v>
      </c>
      <c r="F12392" t="s">
        <v>37841</v>
      </c>
      <c r="G12392" t="s">
        <v>37850</v>
      </c>
      <c r="H12392" t="s">
        <v>37859</v>
      </c>
      <c r="I12392" t="s">
        <v>37854</v>
      </c>
      <c r="J12392" t="s">
        <v>36129</v>
      </c>
      <c r="K12392" s="2" t="str">
        <f>HYPERLINK("http://collections.slsa.sa.gov.au/resource/B+74882")</f>
        <v>http://collections.slsa.sa.gov.au/resource/B+74882</v>
      </c>
    </row>
    <row r="12393" spans="1:11" x14ac:dyDescent="0.25">
      <c r="A12393" t="s">
        <v>37860</v>
      </c>
      <c r="B12393" s="1" t="str">
        <f>HYPERLINK("https://www.catalog.slsa.sa.gov.au/record=b3114535")</f>
        <v>https://www.catalog.slsa.sa.gov.au/record=b3114535</v>
      </c>
      <c r="C12393" s="1" t="str">
        <f>HYPERLINK("https://www.catalog.slsa.sa.gov.au/xrecord=b3114535")</f>
        <v>https://www.catalog.slsa.sa.gov.au/xrecord=b3114535</v>
      </c>
      <c r="D12393" t="s">
        <v>31636</v>
      </c>
      <c r="E12393" t="s">
        <v>37840</v>
      </c>
      <c r="F12393" t="s">
        <v>37841</v>
      </c>
      <c r="G12393" t="s">
        <v>37850</v>
      </c>
      <c r="H12393" t="s">
        <v>37861</v>
      </c>
      <c r="I12393" t="s">
        <v>37862</v>
      </c>
      <c r="J12393" t="s">
        <v>36129</v>
      </c>
      <c r="K12393" s="2" t="str">
        <f>HYPERLINK("http://collections.slsa.sa.gov.au/resource/B+74883")</f>
        <v>http://collections.slsa.sa.gov.au/resource/B+74883</v>
      </c>
    </row>
    <row r="12394" spans="1:11" x14ac:dyDescent="0.25">
      <c r="A12394" t="s">
        <v>37863</v>
      </c>
      <c r="B12394" s="1" t="str">
        <f>HYPERLINK("https://www.catalog.slsa.sa.gov.au/record=b3114536")</f>
        <v>https://www.catalog.slsa.sa.gov.au/record=b3114536</v>
      </c>
      <c r="C12394" s="1" t="str">
        <f>HYPERLINK("https://www.catalog.slsa.sa.gov.au/xrecord=b3114536")</f>
        <v>https://www.catalog.slsa.sa.gov.au/xrecord=b3114536</v>
      </c>
      <c r="D12394" t="s">
        <v>31636</v>
      </c>
      <c r="E12394" t="s">
        <v>37840</v>
      </c>
      <c r="F12394" t="s">
        <v>37841</v>
      </c>
      <c r="G12394" t="s">
        <v>37716</v>
      </c>
      <c r="H12394" t="s">
        <v>37864</v>
      </c>
      <c r="I12394" t="s">
        <v>37865</v>
      </c>
      <c r="J12394" t="s">
        <v>36129</v>
      </c>
      <c r="K12394" s="2" t="str">
        <f>HYPERLINK("http://collections.slsa.sa.gov.au/resource/B+74884")</f>
        <v>http://collections.slsa.sa.gov.au/resource/B+74884</v>
      </c>
    </row>
    <row r="12395" spans="1:11" x14ac:dyDescent="0.25">
      <c r="A12395" t="s">
        <v>37866</v>
      </c>
      <c r="B12395" s="1" t="str">
        <f>HYPERLINK("https://www.catalog.slsa.sa.gov.au/record=b3114537")</f>
        <v>https://www.catalog.slsa.sa.gov.au/record=b3114537</v>
      </c>
      <c r="C12395" s="1" t="str">
        <f>HYPERLINK("https://www.catalog.slsa.sa.gov.au/xrecord=b3114537")</f>
        <v>https://www.catalog.slsa.sa.gov.au/xrecord=b3114537</v>
      </c>
      <c r="D12395" t="s">
        <v>31636</v>
      </c>
      <c r="E12395" t="s">
        <v>37840</v>
      </c>
      <c r="F12395" t="s">
        <v>37841</v>
      </c>
      <c r="G12395" t="s">
        <v>37867</v>
      </c>
      <c r="H12395" t="s">
        <v>37868</v>
      </c>
      <c r="I12395" t="s">
        <v>37869</v>
      </c>
      <c r="J12395" t="s">
        <v>36129</v>
      </c>
      <c r="K12395" s="2" t="str">
        <f>HYPERLINK("http://collections.slsa.sa.gov.au/resource/B+74886")</f>
        <v>http://collections.slsa.sa.gov.au/resource/B+74886</v>
      </c>
    </row>
    <row r="12396" spans="1:11" x14ac:dyDescent="0.25">
      <c r="A12396" t="s">
        <v>37870</v>
      </c>
      <c r="B12396" s="1" t="str">
        <f>HYPERLINK("https://www.catalog.slsa.sa.gov.au/record=b3114538")</f>
        <v>https://www.catalog.slsa.sa.gov.au/record=b3114538</v>
      </c>
      <c r="C12396" s="1" t="str">
        <f>HYPERLINK("https://www.catalog.slsa.sa.gov.au/xrecord=b3114538")</f>
        <v>https://www.catalog.slsa.sa.gov.au/xrecord=b3114538</v>
      </c>
      <c r="D12396" t="s">
        <v>31636</v>
      </c>
      <c r="E12396" t="s">
        <v>37840</v>
      </c>
      <c r="F12396" t="s">
        <v>37841</v>
      </c>
      <c r="G12396" t="s">
        <v>37758</v>
      </c>
      <c r="H12396" t="s">
        <v>37871</v>
      </c>
      <c r="I12396" t="s">
        <v>37872</v>
      </c>
      <c r="J12396" t="s">
        <v>36129</v>
      </c>
      <c r="K12396" s="2" t="str">
        <f>HYPERLINK("http://collections.slsa.sa.gov.au/resource/B+74885")</f>
        <v>http://collections.slsa.sa.gov.au/resource/B+74885</v>
      </c>
    </row>
    <row r="12397" spans="1:11" x14ac:dyDescent="0.25">
      <c r="A12397" t="s">
        <v>37873</v>
      </c>
      <c r="B12397" s="1" t="str">
        <f>HYPERLINK("https://www.catalog.slsa.sa.gov.au/record=b3114570")</f>
        <v>https://www.catalog.slsa.sa.gov.au/record=b3114570</v>
      </c>
      <c r="C12397" s="1" t="str">
        <f>HYPERLINK("https://www.catalog.slsa.sa.gov.au/xrecord=b3114570")</f>
        <v>https://www.catalog.slsa.sa.gov.au/xrecord=b3114570</v>
      </c>
      <c r="D12397" t="s">
        <v>31636</v>
      </c>
      <c r="E12397" t="s">
        <v>37840</v>
      </c>
      <c r="F12397" t="s">
        <v>37841</v>
      </c>
      <c r="G12397" t="s">
        <v>37874</v>
      </c>
      <c r="H12397" t="s">
        <v>37875</v>
      </c>
      <c r="I12397" t="s">
        <v>37876</v>
      </c>
      <c r="J12397" t="s">
        <v>36129</v>
      </c>
      <c r="K12397" s="2" t="str">
        <f>HYPERLINK("http://collections.slsa.sa.gov.au/resource/B+74887")</f>
        <v>http://collections.slsa.sa.gov.au/resource/B+74887</v>
      </c>
    </row>
    <row r="12398" spans="1:11" x14ac:dyDescent="0.25">
      <c r="A12398" t="s">
        <v>37877</v>
      </c>
      <c r="B12398" s="1" t="str">
        <f>HYPERLINK("https://www.catalog.slsa.sa.gov.au/record=b3134228")</f>
        <v>https://www.catalog.slsa.sa.gov.au/record=b3134228</v>
      </c>
      <c r="C12398" s="1" t="str">
        <f>HYPERLINK("https://www.catalog.slsa.sa.gov.au/xrecord=b3134228")</f>
        <v>https://www.catalog.slsa.sa.gov.au/xrecord=b3134228</v>
      </c>
      <c r="D12398" t="s">
        <v>37027</v>
      </c>
      <c r="E12398" t="s">
        <v>37878</v>
      </c>
      <c r="F12398" t="s">
        <v>37879</v>
      </c>
      <c r="G12398" t="s">
        <v>37880</v>
      </c>
      <c r="H12398" t="s">
        <v>37881</v>
      </c>
      <c r="I12398" t="s">
        <v>37882</v>
      </c>
      <c r="J12398" t="s">
        <v>37883</v>
      </c>
      <c r="K12398" s="2" t="str">
        <f>HYPERLINK("http://collections.slsa.sa.gov.au/resource/B+75537")</f>
        <v>http://collections.slsa.sa.gov.au/resource/B+75537</v>
      </c>
    </row>
    <row r="12399" spans="1:11" x14ac:dyDescent="0.25">
      <c r="A12399" t="s">
        <v>37884</v>
      </c>
      <c r="B12399" s="1" t="str">
        <f>HYPERLINK("https://www.catalog.slsa.sa.gov.au/record=b3134231")</f>
        <v>https://www.catalog.slsa.sa.gov.au/record=b3134231</v>
      </c>
      <c r="C12399" s="1" t="str">
        <f>HYPERLINK("https://www.catalog.slsa.sa.gov.au/xrecord=b3134231")</f>
        <v>https://www.catalog.slsa.sa.gov.au/xrecord=b3134231</v>
      </c>
      <c r="D12399" t="s">
        <v>37027</v>
      </c>
      <c r="E12399" t="s">
        <v>37885</v>
      </c>
      <c r="F12399" t="s">
        <v>37879</v>
      </c>
      <c r="G12399" t="s">
        <v>37880</v>
      </c>
      <c r="H12399" t="s">
        <v>37886</v>
      </c>
      <c r="I12399" t="s">
        <v>37887</v>
      </c>
      <c r="J12399" t="s">
        <v>37883</v>
      </c>
      <c r="K12399" s="2" t="str">
        <f>HYPERLINK("http://collections.slsa.sa.gov.au/resource/B+75538")</f>
        <v>http://collections.slsa.sa.gov.au/resource/B+75538</v>
      </c>
    </row>
    <row r="12400" spans="1:11" x14ac:dyDescent="0.25">
      <c r="A12400" t="s">
        <v>37888</v>
      </c>
      <c r="B12400" s="1" t="str">
        <f>HYPERLINK("https://www.catalog.slsa.sa.gov.au/record=b3135603")</f>
        <v>https://www.catalog.slsa.sa.gov.au/record=b3135603</v>
      </c>
      <c r="C12400" s="1" t="str">
        <f>HYPERLINK("https://www.catalog.slsa.sa.gov.au/xrecord=b3135603")</f>
        <v>https://www.catalog.slsa.sa.gov.au/xrecord=b3135603</v>
      </c>
      <c r="D12400" t="s">
        <v>37027</v>
      </c>
      <c r="E12400" t="s">
        <v>37889</v>
      </c>
      <c r="F12400" t="s">
        <v>37879</v>
      </c>
      <c r="G12400" t="s">
        <v>37890</v>
      </c>
      <c r="H12400" t="s">
        <v>37891</v>
      </c>
      <c r="I12400" t="s">
        <v>37892</v>
      </c>
      <c r="J12400" t="s">
        <v>37883</v>
      </c>
      <c r="K12400" s="2" t="str">
        <f>HYPERLINK("http://collections.slsa.sa.gov.au/resource/B+75539")</f>
        <v>http://collections.slsa.sa.gov.au/resource/B+75539</v>
      </c>
    </row>
    <row r="12401" spans="1:11" x14ac:dyDescent="0.25">
      <c r="A12401" t="s">
        <v>37893</v>
      </c>
      <c r="B12401" s="1" t="str">
        <f>HYPERLINK("https://www.catalog.slsa.sa.gov.au/record=b3127270")</f>
        <v>https://www.catalog.slsa.sa.gov.au/record=b3127270</v>
      </c>
      <c r="C12401" s="1" t="str">
        <f>HYPERLINK("https://www.catalog.slsa.sa.gov.au/xrecord=b3127270")</f>
        <v>https://www.catalog.slsa.sa.gov.au/xrecord=b3127270</v>
      </c>
      <c r="D12401" t="s">
        <v>31636</v>
      </c>
      <c r="E12401" t="s">
        <v>37894</v>
      </c>
      <c r="F12401" t="s">
        <v>37895</v>
      </c>
      <c r="G12401" t="s">
        <v>36370</v>
      </c>
      <c r="H12401" t="s">
        <v>37896</v>
      </c>
      <c r="I12401" t="s">
        <v>37897</v>
      </c>
      <c r="J12401" t="s">
        <v>2510</v>
      </c>
      <c r="K12401" s="2" t="str">
        <f>HYPERLINK("http://collections.slsa.sa.gov.au/resource/B+75247")</f>
        <v>http://collections.slsa.sa.gov.au/resource/B+75247</v>
      </c>
    </row>
    <row r="12402" spans="1:11" x14ac:dyDescent="0.25">
      <c r="A12402" t="s">
        <v>37898</v>
      </c>
      <c r="B12402" s="1" t="str">
        <f>HYPERLINK("https://www.catalog.slsa.sa.gov.au/record=b3127271")</f>
        <v>https://www.catalog.slsa.sa.gov.au/record=b3127271</v>
      </c>
      <c r="C12402" s="1" t="str">
        <f>HYPERLINK("https://www.catalog.slsa.sa.gov.au/xrecord=b3127271")</f>
        <v>https://www.catalog.slsa.sa.gov.au/xrecord=b3127271</v>
      </c>
      <c r="D12402" t="s">
        <v>31636</v>
      </c>
      <c r="E12402" t="s">
        <v>37899</v>
      </c>
      <c r="F12402" t="s">
        <v>37895</v>
      </c>
      <c r="G12402" t="s">
        <v>36370</v>
      </c>
      <c r="H12402" t="s">
        <v>37900</v>
      </c>
      <c r="I12402" t="s">
        <v>37901</v>
      </c>
      <c r="J12402" t="s">
        <v>2510</v>
      </c>
      <c r="K12402" s="2" t="str">
        <f>HYPERLINK("http://collections.slsa.sa.gov.au/resource/B+75249")</f>
        <v>http://collections.slsa.sa.gov.au/resource/B+75249</v>
      </c>
    </row>
    <row r="12403" spans="1:11" x14ac:dyDescent="0.25">
      <c r="A12403" t="s">
        <v>37902</v>
      </c>
      <c r="B12403" s="1" t="str">
        <f>HYPERLINK("https://www.catalog.slsa.sa.gov.au/record=b3127274")</f>
        <v>https://www.catalog.slsa.sa.gov.au/record=b3127274</v>
      </c>
      <c r="C12403" s="1" t="str">
        <f>HYPERLINK("https://www.catalog.slsa.sa.gov.au/xrecord=b3127274")</f>
        <v>https://www.catalog.slsa.sa.gov.au/xrecord=b3127274</v>
      </c>
      <c r="D12403" t="s">
        <v>31636</v>
      </c>
      <c r="E12403" t="s">
        <v>37903</v>
      </c>
      <c r="F12403" t="s">
        <v>37895</v>
      </c>
      <c r="G12403" t="s">
        <v>36396</v>
      </c>
      <c r="H12403" t="s">
        <v>37904</v>
      </c>
      <c r="I12403" t="s">
        <v>37905</v>
      </c>
      <c r="J12403" t="s">
        <v>2510</v>
      </c>
      <c r="K12403" s="2" t="str">
        <f>HYPERLINK("http://collections.slsa.sa.gov.au/resource/B+75250")</f>
        <v>http://collections.slsa.sa.gov.au/resource/B+75250</v>
      </c>
    </row>
    <row r="12404" spans="1:11" x14ac:dyDescent="0.25">
      <c r="A12404" t="s">
        <v>37906</v>
      </c>
      <c r="B12404" s="1" t="str">
        <f>HYPERLINK("https://www.catalog.slsa.sa.gov.au/record=b3127276")</f>
        <v>https://www.catalog.slsa.sa.gov.au/record=b3127276</v>
      </c>
      <c r="C12404" s="1" t="str">
        <f>HYPERLINK("https://www.catalog.slsa.sa.gov.au/xrecord=b3127276")</f>
        <v>https://www.catalog.slsa.sa.gov.au/xrecord=b3127276</v>
      </c>
      <c r="D12404" t="s">
        <v>31636</v>
      </c>
      <c r="E12404" t="s">
        <v>37899</v>
      </c>
      <c r="F12404" t="s">
        <v>37895</v>
      </c>
      <c r="G12404" t="s">
        <v>36370</v>
      </c>
      <c r="H12404" t="s">
        <v>37907</v>
      </c>
      <c r="I12404" t="s">
        <v>37908</v>
      </c>
      <c r="J12404" t="s">
        <v>2510</v>
      </c>
      <c r="K12404" s="2" t="str">
        <f>HYPERLINK("http://collections.slsa.sa.gov.au/resource/B+75248")</f>
        <v>http://collections.slsa.sa.gov.au/resource/B+75248</v>
      </c>
    </row>
    <row r="12405" spans="1:11" x14ac:dyDescent="0.25">
      <c r="A12405" t="s">
        <v>37909</v>
      </c>
      <c r="B12405" s="1" t="str">
        <f>HYPERLINK("https://www.catalog.slsa.sa.gov.au/record=b3127288")</f>
        <v>https://www.catalog.slsa.sa.gov.au/record=b3127288</v>
      </c>
      <c r="C12405" s="1" t="str">
        <f>HYPERLINK("https://www.catalog.slsa.sa.gov.au/xrecord=b3127288")</f>
        <v>https://www.catalog.slsa.sa.gov.au/xrecord=b3127288</v>
      </c>
      <c r="D12405" t="s">
        <v>31636</v>
      </c>
      <c r="E12405" t="s">
        <v>37899</v>
      </c>
      <c r="F12405" t="s">
        <v>37895</v>
      </c>
      <c r="G12405" t="s">
        <v>36370</v>
      </c>
      <c r="H12405" t="s">
        <v>37910</v>
      </c>
      <c r="I12405" t="s">
        <v>37911</v>
      </c>
      <c r="J12405" t="s">
        <v>2510</v>
      </c>
      <c r="K12405" s="2" t="str">
        <f>HYPERLINK("http://collections.slsa.sa.gov.au/resource/B+75251")</f>
        <v>http://collections.slsa.sa.gov.au/resource/B+75251</v>
      </c>
    </row>
    <row r="12406" spans="1:11" x14ac:dyDescent="0.25">
      <c r="A12406" t="s">
        <v>37912</v>
      </c>
      <c r="B12406" s="1" t="str">
        <f>HYPERLINK("https://www.catalog.slsa.sa.gov.au/record=b3127290")</f>
        <v>https://www.catalog.slsa.sa.gov.au/record=b3127290</v>
      </c>
      <c r="C12406" s="1" t="str">
        <f>HYPERLINK("https://www.catalog.slsa.sa.gov.au/xrecord=b3127290")</f>
        <v>https://www.catalog.slsa.sa.gov.au/xrecord=b3127290</v>
      </c>
      <c r="D12406" t="s">
        <v>31636</v>
      </c>
      <c r="E12406" t="s">
        <v>37899</v>
      </c>
      <c r="F12406" t="s">
        <v>37895</v>
      </c>
      <c r="G12406" t="s">
        <v>36370</v>
      </c>
      <c r="H12406" t="s">
        <v>37913</v>
      </c>
      <c r="I12406" t="s">
        <v>37914</v>
      </c>
      <c r="J12406" t="s">
        <v>2510</v>
      </c>
      <c r="K12406" s="2" t="str">
        <f>HYPERLINK("http://collections.slsa.sa.gov.au/resource/B+75252")</f>
        <v>http://collections.slsa.sa.gov.au/resource/B+75252</v>
      </c>
    </row>
    <row r="12407" spans="1:11" x14ac:dyDescent="0.25">
      <c r="A12407" t="s">
        <v>37915</v>
      </c>
      <c r="B12407" s="1" t="str">
        <f>HYPERLINK("https://www.catalog.slsa.sa.gov.au/record=b3127294")</f>
        <v>https://www.catalog.slsa.sa.gov.au/record=b3127294</v>
      </c>
      <c r="C12407" s="1" t="str">
        <f>HYPERLINK("https://www.catalog.slsa.sa.gov.au/xrecord=b3127294")</f>
        <v>https://www.catalog.slsa.sa.gov.au/xrecord=b3127294</v>
      </c>
      <c r="D12407" t="s">
        <v>31636</v>
      </c>
      <c r="E12407" t="s">
        <v>37899</v>
      </c>
      <c r="F12407" t="s">
        <v>37895</v>
      </c>
      <c r="G12407" t="s">
        <v>36370</v>
      </c>
      <c r="H12407" t="s">
        <v>37916</v>
      </c>
      <c r="I12407" t="s">
        <v>37905</v>
      </c>
      <c r="J12407" t="s">
        <v>2510</v>
      </c>
      <c r="K12407" s="2" t="str">
        <f>HYPERLINK("http://collections.slsa.sa.gov.au/resource/B+75253")</f>
        <v>http://collections.slsa.sa.gov.au/resource/B+75253</v>
      </c>
    </row>
    <row r="12408" spans="1:11" x14ac:dyDescent="0.25">
      <c r="A12408" t="s">
        <v>37917</v>
      </c>
      <c r="B12408" s="1" t="str">
        <f>HYPERLINK("https://www.catalog.slsa.sa.gov.au/record=b3127295")</f>
        <v>https://www.catalog.slsa.sa.gov.au/record=b3127295</v>
      </c>
      <c r="C12408" s="1" t="str">
        <f>HYPERLINK("https://www.catalog.slsa.sa.gov.au/xrecord=b3127295")</f>
        <v>https://www.catalog.slsa.sa.gov.au/xrecord=b3127295</v>
      </c>
      <c r="D12408" t="s">
        <v>31636</v>
      </c>
      <c r="E12408" t="s">
        <v>37899</v>
      </c>
      <c r="F12408" t="s">
        <v>37895</v>
      </c>
      <c r="G12408" t="s">
        <v>36396</v>
      </c>
      <c r="H12408" t="s">
        <v>37918</v>
      </c>
      <c r="I12408" t="s">
        <v>37919</v>
      </c>
      <c r="J12408" t="s">
        <v>2510</v>
      </c>
      <c r="K12408" s="2" t="str">
        <f>HYPERLINK("http://collections.slsa.sa.gov.au/resource/B+75254")</f>
        <v>http://collections.slsa.sa.gov.au/resource/B+75254</v>
      </c>
    </row>
    <row r="12409" spans="1:11" x14ac:dyDescent="0.25">
      <c r="A12409" t="s">
        <v>37920</v>
      </c>
      <c r="B12409" s="1" t="str">
        <f>HYPERLINK("https://www.catalog.slsa.sa.gov.au/record=b3127296")</f>
        <v>https://www.catalog.slsa.sa.gov.au/record=b3127296</v>
      </c>
      <c r="C12409" s="1" t="str">
        <f>HYPERLINK("https://www.catalog.slsa.sa.gov.au/xrecord=b3127296")</f>
        <v>https://www.catalog.slsa.sa.gov.au/xrecord=b3127296</v>
      </c>
      <c r="D12409" t="s">
        <v>31636</v>
      </c>
      <c r="E12409" t="s">
        <v>37899</v>
      </c>
      <c r="F12409" t="s">
        <v>37895</v>
      </c>
      <c r="G12409" t="s">
        <v>36370</v>
      </c>
      <c r="H12409" t="s">
        <v>37921</v>
      </c>
      <c r="I12409" t="s">
        <v>37922</v>
      </c>
      <c r="J12409" t="s">
        <v>2510</v>
      </c>
      <c r="K12409" s="2" t="str">
        <f>HYPERLINK("http://collections.slsa.sa.gov.au/resource/B+75255")</f>
        <v>http://collections.slsa.sa.gov.au/resource/B+75255</v>
      </c>
    </row>
    <row r="12410" spans="1:11" x14ac:dyDescent="0.25">
      <c r="A12410" t="s">
        <v>37923</v>
      </c>
      <c r="B12410" s="1" t="str">
        <f>HYPERLINK("https://www.catalog.slsa.sa.gov.au/record=b3127297")</f>
        <v>https://www.catalog.slsa.sa.gov.au/record=b3127297</v>
      </c>
      <c r="C12410" s="1" t="str">
        <f>HYPERLINK("https://www.catalog.slsa.sa.gov.au/xrecord=b3127297")</f>
        <v>https://www.catalog.slsa.sa.gov.au/xrecord=b3127297</v>
      </c>
      <c r="D12410" t="s">
        <v>31636</v>
      </c>
      <c r="E12410" t="s">
        <v>37924</v>
      </c>
      <c r="F12410" t="s">
        <v>37895</v>
      </c>
      <c r="G12410" t="s">
        <v>37925</v>
      </c>
      <c r="H12410" t="s">
        <v>37926</v>
      </c>
      <c r="I12410" t="s">
        <v>37922</v>
      </c>
      <c r="J12410" t="s">
        <v>2510</v>
      </c>
      <c r="K12410" s="2" t="str">
        <f>HYPERLINK("http://collections.slsa.sa.gov.au/resource/B+75256")</f>
        <v>http://collections.slsa.sa.gov.au/resource/B+75256</v>
      </c>
    </row>
    <row r="12411" spans="1:11" x14ac:dyDescent="0.25">
      <c r="A12411" t="s">
        <v>37927</v>
      </c>
      <c r="B12411" s="1" t="str">
        <f>HYPERLINK("https://www.catalog.slsa.sa.gov.au/record=b3127298")</f>
        <v>https://www.catalog.slsa.sa.gov.au/record=b3127298</v>
      </c>
      <c r="C12411" s="1" t="str">
        <f>HYPERLINK("https://www.catalog.slsa.sa.gov.au/xrecord=b3127298")</f>
        <v>https://www.catalog.slsa.sa.gov.au/xrecord=b3127298</v>
      </c>
      <c r="D12411" t="s">
        <v>31636</v>
      </c>
      <c r="E12411" t="s">
        <v>37928</v>
      </c>
      <c r="F12411" t="s">
        <v>37895</v>
      </c>
      <c r="G12411" t="s">
        <v>36370</v>
      </c>
      <c r="H12411" t="s">
        <v>37929</v>
      </c>
      <c r="I12411" t="s">
        <v>37930</v>
      </c>
      <c r="J12411" t="s">
        <v>2510</v>
      </c>
      <c r="K12411" s="2" t="str">
        <f>HYPERLINK("http://collections.slsa.sa.gov.au/resource/B+75257")</f>
        <v>http://collections.slsa.sa.gov.au/resource/B+75257</v>
      </c>
    </row>
    <row r="12412" spans="1:11" x14ac:dyDescent="0.25">
      <c r="A12412" t="s">
        <v>37931</v>
      </c>
      <c r="B12412" s="1" t="str">
        <f>HYPERLINK("https://www.catalog.slsa.sa.gov.au/record=b3127299")</f>
        <v>https://www.catalog.slsa.sa.gov.au/record=b3127299</v>
      </c>
      <c r="C12412" s="1" t="str">
        <f>HYPERLINK("https://www.catalog.slsa.sa.gov.au/xrecord=b3127299")</f>
        <v>https://www.catalog.slsa.sa.gov.au/xrecord=b3127299</v>
      </c>
      <c r="D12412" t="s">
        <v>31636</v>
      </c>
      <c r="E12412" t="s">
        <v>37932</v>
      </c>
      <c r="F12412" t="s">
        <v>37895</v>
      </c>
      <c r="G12412" t="s">
        <v>36370</v>
      </c>
      <c r="H12412" t="s">
        <v>37933</v>
      </c>
      <c r="I12412" t="s">
        <v>37934</v>
      </c>
      <c r="J12412" t="s">
        <v>2510</v>
      </c>
      <c r="K12412" s="2" t="str">
        <f>HYPERLINK("http://collections.slsa.sa.gov.au/resource/B+75258")</f>
        <v>http://collections.slsa.sa.gov.au/resource/B+75258</v>
      </c>
    </row>
    <row r="12413" spans="1:11" x14ac:dyDescent="0.25">
      <c r="A12413" t="s">
        <v>37935</v>
      </c>
      <c r="B12413" s="1" t="str">
        <f>HYPERLINK("https://www.catalog.slsa.sa.gov.au/record=b3127301")</f>
        <v>https://www.catalog.slsa.sa.gov.au/record=b3127301</v>
      </c>
      <c r="C12413" s="1" t="str">
        <f>HYPERLINK("https://www.catalog.slsa.sa.gov.au/xrecord=b3127301")</f>
        <v>https://www.catalog.slsa.sa.gov.au/xrecord=b3127301</v>
      </c>
      <c r="D12413" t="s">
        <v>31636</v>
      </c>
      <c r="E12413" t="s">
        <v>37936</v>
      </c>
      <c r="F12413" t="s">
        <v>37895</v>
      </c>
      <c r="G12413" t="s">
        <v>36370</v>
      </c>
      <c r="H12413" t="s">
        <v>37937</v>
      </c>
      <c r="I12413" t="s">
        <v>37938</v>
      </c>
      <c r="J12413" t="s">
        <v>2510</v>
      </c>
      <c r="K12413" s="2" t="str">
        <f>HYPERLINK("http://collections.slsa.sa.gov.au/resource/B+75259")</f>
        <v>http://collections.slsa.sa.gov.au/resource/B+75259</v>
      </c>
    </row>
    <row r="12414" spans="1:11" x14ac:dyDescent="0.25">
      <c r="A12414" t="s">
        <v>37939</v>
      </c>
      <c r="B12414" s="1" t="str">
        <f>HYPERLINK("https://www.catalog.slsa.sa.gov.au/record=b3127302")</f>
        <v>https://www.catalog.slsa.sa.gov.au/record=b3127302</v>
      </c>
      <c r="C12414" s="1" t="str">
        <f>HYPERLINK("https://www.catalog.slsa.sa.gov.au/xrecord=b3127302")</f>
        <v>https://www.catalog.slsa.sa.gov.au/xrecord=b3127302</v>
      </c>
      <c r="D12414" t="s">
        <v>31636</v>
      </c>
      <c r="E12414" t="s">
        <v>37940</v>
      </c>
      <c r="F12414" t="s">
        <v>37895</v>
      </c>
      <c r="G12414" t="s">
        <v>36370</v>
      </c>
      <c r="H12414" t="s">
        <v>37941</v>
      </c>
      <c r="I12414" t="s">
        <v>37942</v>
      </c>
      <c r="J12414" t="s">
        <v>2510</v>
      </c>
      <c r="K12414" s="2" t="str">
        <f>HYPERLINK("http://collections.slsa.sa.gov.au/resource/B+75260")</f>
        <v>http://collections.slsa.sa.gov.au/resource/B+75260</v>
      </c>
    </row>
    <row r="12415" spans="1:11" x14ac:dyDescent="0.25">
      <c r="A12415" t="s">
        <v>37943</v>
      </c>
      <c r="B12415" s="1" t="str">
        <f>HYPERLINK("https://www.catalog.slsa.sa.gov.au/record=b3127303")</f>
        <v>https://www.catalog.slsa.sa.gov.au/record=b3127303</v>
      </c>
      <c r="C12415" s="1" t="str">
        <f>HYPERLINK("https://www.catalog.slsa.sa.gov.au/xrecord=b3127303")</f>
        <v>https://www.catalog.slsa.sa.gov.au/xrecord=b3127303</v>
      </c>
      <c r="D12415" t="s">
        <v>31636</v>
      </c>
      <c r="E12415" t="s">
        <v>37944</v>
      </c>
      <c r="F12415" t="s">
        <v>37895</v>
      </c>
      <c r="G12415" t="s">
        <v>36370</v>
      </c>
      <c r="H12415" t="s">
        <v>37945</v>
      </c>
      <c r="I12415" t="s">
        <v>37946</v>
      </c>
      <c r="J12415" t="s">
        <v>2510</v>
      </c>
      <c r="K12415" s="2" t="str">
        <f>HYPERLINK("http://collections.slsa.sa.gov.au/resource/B+75261")</f>
        <v>http://collections.slsa.sa.gov.au/resource/B+75261</v>
      </c>
    </row>
    <row r="12416" spans="1:11" x14ac:dyDescent="0.25">
      <c r="A12416" t="s">
        <v>37947</v>
      </c>
      <c r="B12416" s="1" t="str">
        <f>HYPERLINK("https://www.catalog.slsa.sa.gov.au/record=b3127306")</f>
        <v>https://www.catalog.slsa.sa.gov.au/record=b3127306</v>
      </c>
      <c r="C12416" s="1" t="str">
        <f>HYPERLINK("https://www.catalog.slsa.sa.gov.au/xrecord=b3127306")</f>
        <v>https://www.catalog.slsa.sa.gov.au/xrecord=b3127306</v>
      </c>
      <c r="D12416" t="s">
        <v>31636</v>
      </c>
      <c r="E12416" t="s">
        <v>37948</v>
      </c>
      <c r="F12416" t="s">
        <v>37895</v>
      </c>
      <c r="G12416" t="s">
        <v>36370</v>
      </c>
      <c r="H12416" t="s">
        <v>37949</v>
      </c>
      <c r="I12416" t="s">
        <v>37950</v>
      </c>
      <c r="J12416" t="s">
        <v>2510</v>
      </c>
      <c r="K12416" s="2" t="str">
        <f>HYPERLINK("http://collections.slsa.sa.gov.au/resource/B+75262")</f>
        <v>http://collections.slsa.sa.gov.au/resource/B+75262</v>
      </c>
    </row>
    <row r="12417" spans="1:11" x14ac:dyDescent="0.25">
      <c r="A12417" t="s">
        <v>37951</v>
      </c>
      <c r="B12417" s="1" t="str">
        <f>HYPERLINK("https://www.catalog.slsa.sa.gov.au/record=b3127307")</f>
        <v>https://www.catalog.slsa.sa.gov.au/record=b3127307</v>
      </c>
      <c r="C12417" s="1" t="str">
        <f>HYPERLINK("https://www.catalog.slsa.sa.gov.au/xrecord=b3127307")</f>
        <v>https://www.catalog.slsa.sa.gov.au/xrecord=b3127307</v>
      </c>
      <c r="D12417" t="s">
        <v>31636</v>
      </c>
      <c r="E12417" t="s">
        <v>37952</v>
      </c>
      <c r="F12417" t="s">
        <v>37895</v>
      </c>
      <c r="G12417" t="s">
        <v>36370</v>
      </c>
      <c r="H12417" t="s">
        <v>37953</v>
      </c>
      <c r="I12417" t="s">
        <v>37954</v>
      </c>
      <c r="J12417" t="s">
        <v>2510</v>
      </c>
      <c r="K12417" s="2" t="str">
        <f>HYPERLINK("http://collections.slsa.sa.gov.au/resource/B+75263")</f>
        <v>http://collections.slsa.sa.gov.au/resource/B+75263</v>
      </c>
    </row>
    <row r="12418" spans="1:11" x14ac:dyDescent="0.25">
      <c r="A12418" t="s">
        <v>37955</v>
      </c>
      <c r="B12418" s="1" t="str">
        <f>HYPERLINK("https://www.catalog.slsa.sa.gov.au/record=b3127308")</f>
        <v>https://www.catalog.slsa.sa.gov.au/record=b3127308</v>
      </c>
      <c r="C12418" s="1" t="str">
        <f>HYPERLINK("https://www.catalog.slsa.sa.gov.au/xrecord=b3127308")</f>
        <v>https://www.catalog.slsa.sa.gov.au/xrecord=b3127308</v>
      </c>
      <c r="D12418" t="s">
        <v>31636</v>
      </c>
      <c r="E12418" t="s">
        <v>37956</v>
      </c>
      <c r="F12418" t="s">
        <v>37895</v>
      </c>
      <c r="G12418" t="s">
        <v>36370</v>
      </c>
      <c r="H12418" t="s">
        <v>37957</v>
      </c>
      <c r="I12418" t="s">
        <v>37958</v>
      </c>
      <c r="J12418" t="s">
        <v>2510</v>
      </c>
      <c r="K12418" s="2" t="str">
        <f>HYPERLINK("http://collections.slsa.sa.gov.au/resource/B+75264")</f>
        <v>http://collections.slsa.sa.gov.au/resource/B+75264</v>
      </c>
    </row>
    <row r="12419" spans="1:11" x14ac:dyDescent="0.25">
      <c r="A12419" t="s">
        <v>37959</v>
      </c>
      <c r="B12419" s="1" t="str">
        <f>HYPERLINK("https://www.catalog.slsa.sa.gov.au/record=b3127309")</f>
        <v>https://www.catalog.slsa.sa.gov.au/record=b3127309</v>
      </c>
      <c r="C12419" s="1" t="str">
        <f>HYPERLINK("https://www.catalog.slsa.sa.gov.au/xrecord=b3127309")</f>
        <v>https://www.catalog.slsa.sa.gov.au/xrecord=b3127309</v>
      </c>
      <c r="D12419" t="s">
        <v>31636</v>
      </c>
      <c r="E12419" t="s">
        <v>37960</v>
      </c>
      <c r="F12419" t="s">
        <v>37895</v>
      </c>
      <c r="G12419" t="s">
        <v>36370</v>
      </c>
      <c r="H12419" t="s">
        <v>37961</v>
      </c>
      <c r="I12419" t="s">
        <v>37962</v>
      </c>
      <c r="J12419" t="s">
        <v>2510</v>
      </c>
      <c r="K12419" s="2" t="str">
        <f>HYPERLINK("http://collections.slsa.sa.gov.au/resource/B+75265")</f>
        <v>http://collections.slsa.sa.gov.au/resource/B+75265</v>
      </c>
    </row>
    <row r="12420" spans="1:11" x14ac:dyDescent="0.25">
      <c r="A12420" t="s">
        <v>37963</v>
      </c>
      <c r="B12420" s="1" t="str">
        <f>HYPERLINK("https://www.catalog.slsa.sa.gov.au/record=b3127230")</f>
        <v>https://www.catalog.slsa.sa.gov.au/record=b3127230</v>
      </c>
      <c r="C12420" s="1" t="str">
        <f>HYPERLINK("https://www.catalog.slsa.sa.gov.au/xrecord=b3127230")</f>
        <v>https://www.catalog.slsa.sa.gov.au/xrecord=b3127230</v>
      </c>
      <c r="D12420" t="s">
        <v>31636</v>
      </c>
      <c r="E12420" t="s">
        <v>37964</v>
      </c>
      <c r="F12420" t="s">
        <v>37965</v>
      </c>
      <c r="G12420" t="s">
        <v>37758</v>
      </c>
      <c r="H12420" t="s">
        <v>37966</v>
      </c>
      <c r="I12420" t="s">
        <v>37967</v>
      </c>
      <c r="J12420" t="s">
        <v>27982</v>
      </c>
      <c r="K12420" s="2" t="str">
        <f>HYPERLINK("http://collections.slsa.sa.gov.au/resource/B+75234")</f>
        <v>http://collections.slsa.sa.gov.au/resource/B+75234</v>
      </c>
    </row>
    <row r="12421" spans="1:11" x14ac:dyDescent="0.25">
      <c r="A12421" t="s">
        <v>37968</v>
      </c>
      <c r="B12421" s="1" t="str">
        <f>HYPERLINK("https://www.catalog.slsa.sa.gov.au/record=b3127233")</f>
        <v>https://www.catalog.slsa.sa.gov.au/record=b3127233</v>
      </c>
      <c r="C12421" s="1" t="str">
        <f>HYPERLINK("https://www.catalog.slsa.sa.gov.au/xrecord=b3127233")</f>
        <v>https://www.catalog.slsa.sa.gov.au/xrecord=b3127233</v>
      </c>
      <c r="D12421" t="s">
        <v>31636</v>
      </c>
      <c r="E12421" t="s">
        <v>37964</v>
      </c>
      <c r="F12421" t="s">
        <v>37965</v>
      </c>
      <c r="G12421" t="s">
        <v>37758</v>
      </c>
      <c r="H12421" t="s">
        <v>37969</v>
      </c>
      <c r="I12421" t="s">
        <v>37970</v>
      </c>
      <c r="J12421" t="s">
        <v>27982</v>
      </c>
      <c r="K12421" s="2" t="str">
        <f>HYPERLINK("http://collections.slsa.sa.gov.au/resource/B+75235")</f>
        <v>http://collections.slsa.sa.gov.au/resource/B+75235</v>
      </c>
    </row>
    <row r="12422" spans="1:11" x14ac:dyDescent="0.25">
      <c r="A12422" t="s">
        <v>37971</v>
      </c>
      <c r="B12422" s="1" t="str">
        <f>HYPERLINK("https://www.catalog.slsa.sa.gov.au/record=b3127235")</f>
        <v>https://www.catalog.slsa.sa.gov.au/record=b3127235</v>
      </c>
      <c r="C12422" s="1" t="str">
        <f>HYPERLINK("https://www.catalog.slsa.sa.gov.au/xrecord=b3127235")</f>
        <v>https://www.catalog.slsa.sa.gov.au/xrecord=b3127235</v>
      </c>
      <c r="D12422" t="s">
        <v>31636</v>
      </c>
      <c r="E12422" t="s">
        <v>37964</v>
      </c>
      <c r="F12422" t="s">
        <v>37965</v>
      </c>
      <c r="G12422" t="s">
        <v>37758</v>
      </c>
      <c r="H12422" t="s">
        <v>37972</v>
      </c>
      <c r="I12422" t="s">
        <v>37973</v>
      </c>
      <c r="J12422" t="s">
        <v>27982</v>
      </c>
      <c r="K12422" s="2" t="str">
        <f>HYPERLINK("http://collections.slsa.sa.gov.au/resource/B+75236")</f>
        <v>http://collections.slsa.sa.gov.au/resource/B+75236</v>
      </c>
    </row>
    <row r="12423" spans="1:11" x14ac:dyDescent="0.25">
      <c r="A12423" t="s">
        <v>37974</v>
      </c>
      <c r="B12423" s="1" t="str">
        <f>HYPERLINK("https://www.catalog.slsa.sa.gov.au/record=b3127237")</f>
        <v>https://www.catalog.slsa.sa.gov.au/record=b3127237</v>
      </c>
      <c r="C12423" s="1" t="str">
        <f>HYPERLINK("https://www.catalog.slsa.sa.gov.au/xrecord=b3127237")</f>
        <v>https://www.catalog.slsa.sa.gov.au/xrecord=b3127237</v>
      </c>
      <c r="D12423" t="s">
        <v>31636</v>
      </c>
      <c r="E12423" t="s">
        <v>37964</v>
      </c>
      <c r="F12423" t="s">
        <v>37965</v>
      </c>
      <c r="G12423" t="s">
        <v>37758</v>
      </c>
      <c r="H12423" t="s">
        <v>37975</v>
      </c>
      <c r="I12423" t="s">
        <v>37976</v>
      </c>
      <c r="J12423" t="s">
        <v>27982</v>
      </c>
      <c r="K12423" s="2" t="str">
        <f>HYPERLINK("http://collections.slsa.sa.gov.au/resource/B+75237")</f>
        <v>http://collections.slsa.sa.gov.au/resource/B+75237</v>
      </c>
    </row>
    <row r="12424" spans="1:11" x14ac:dyDescent="0.25">
      <c r="A12424" t="s">
        <v>37977</v>
      </c>
      <c r="B12424" s="1" t="str">
        <f>HYPERLINK("https://www.catalog.slsa.sa.gov.au/record=b3127238")</f>
        <v>https://www.catalog.slsa.sa.gov.au/record=b3127238</v>
      </c>
      <c r="C12424" s="1" t="str">
        <f>HYPERLINK("https://www.catalog.slsa.sa.gov.au/xrecord=b3127238")</f>
        <v>https://www.catalog.slsa.sa.gov.au/xrecord=b3127238</v>
      </c>
      <c r="D12424" t="s">
        <v>31636</v>
      </c>
      <c r="E12424" t="s">
        <v>37964</v>
      </c>
      <c r="F12424" t="s">
        <v>37965</v>
      </c>
      <c r="G12424" t="s">
        <v>37978</v>
      </c>
      <c r="H12424" t="s">
        <v>37979</v>
      </c>
      <c r="I12424" t="s">
        <v>37980</v>
      </c>
      <c r="J12424" t="s">
        <v>27982</v>
      </c>
      <c r="K12424" s="2" t="str">
        <f>HYPERLINK("http://collections.slsa.sa.gov.au/resource/B+75238")</f>
        <v>http://collections.slsa.sa.gov.au/resource/B+75238</v>
      </c>
    </row>
    <row r="12425" spans="1:11" x14ac:dyDescent="0.25">
      <c r="A12425" t="s">
        <v>37981</v>
      </c>
      <c r="B12425" s="1" t="str">
        <f>HYPERLINK("https://www.catalog.slsa.sa.gov.au/record=b3127240")</f>
        <v>https://www.catalog.slsa.sa.gov.au/record=b3127240</v>
      </c>
      <c r="C12425" s="1" t="str">
        <f>HYPERLINK("https://www.catalog.slsa.sa.gov.au/xrecord=b3127240")</f>
        <v>https://www.catalog.slsa.sa.gov.au/xrecord=b3127240</v>
      </c>
      <c r="D12425" t="s">
        <v>31636</v>
      </c>
      <c r="E12425" t="s">
        <v>37964</v>
      </c>
      <c r="F12425" t="s">
        <v>37965</v>
      </c>
      <c r="G12425" t="s">
        <v>37982</v>
      </c>
      <c r="H12425" t="s">
        <v>37983</v>
      </c>
      <c r="I12425" t="s">
        <v>37984</v>
      </c>
      <c r="J12425" t="s">
        <v>27982</v>
      </c>
      <c r="K12425" s="2" t="str">
        <f>HYPERLINK("http://collections.slsa.sa.gov.au/resource/B+75239")</f>
        <v>http://collections.slsa.sa.gov.au/resource/B+75239</v>
      </c>
    </row>
    <row r="12426" spans="1:11" x14ac:dyDescent="0.25">
      <c r="A12426" t="s">
        <v>37985</v>
      </c>
      <c r="B12426" s="1" t="str">
        <f>HYPERLINK("https://www.catalog.slsa.sa.gov.au/record=b3127242")</f>
        <v>https://www.catalog.slsa.sa.gov.au/record=b3127242</v>
      </c>
      <c r="C12426" s="1" t="str">
        <f>HYPERLINK("https://www.catalog.slsa.sa.gov.au/xrecord=b3127242")</f>
        <v>https://www.catalog.slsa.sa.gov.au/xrecord=b3127242</v>
      </c>
      <c r="D12426" t="s">
        <v>31636</v>
      </c>
      <c r="E12426" t="s">
        <v>37964</v>
      </c>
      <c r="F12426" t="s">
        <v>37965</v>
      </c>
      <c r="G12426" t="s">
        <v>37986</v>
      </c>
      <c r="H12426" t="s">
        <v>37987</v>
      </c>
      <c r="I12426" t="s">
        <v>37984</v>
      </c>
      <c r="J12426" t="s">
        <v>27982</v>
      </c>
      <c r="K12426" s="2" t="str">
        <f>HYPERLINK("http://collections.slsa.sa.gov.au/resource/B+75240")</f>
        <v>http://collections.slsa.sa.gov.au/resource/B+75240</v>
      </c>
    </row>
    <row r="12427" spans="1:11" x14ac:dyDescent="0.25">
      <c r="A12427" t="s">
        <v>37988</v>
      </c>
      <c r="B12427" s="1" t="str">
        <f>HYPERLINK("https://www.catalog.slsa.sa.gov.au/record=b3127243")</f>
        <v>https://www.catalog.slsa.sa.gov.au/record=b3127243</v>
      </c>
      <c r="C12427" s="1" t="str">
        <f>HYPERLINK("https://www.catalog.slsa.sa.gov.au/xrecord=b3127243")</f>
        <v>https://www.catalog.slsa.sa.gov.au/xrecord=b3127243</v>
      </c>
      <c r="D12427" t="s">
        <v>31636</v>
      </c>
      <c r="E12427" t="s">
        <v>37964</v>
      </c>
      <c r="F12427" t="s">
        <v>37965</v>
      </c>
      <c r="G12427" t="s">
        <v>37989</v>
      </c>
      <c r="H12427" t="s">
        <v>37990</v>
      </c>
      <c r="I12427" t="s">
        <v>37991</v>
      </c>
      <c r="J12427" t="s">
        <v>27982</v>
      </c>
      <c r="K12427" s="2" t="str">
        <f>HYPERLINK("http://collections.slsa.sa.gov.au/resource/B+75241")</f>
        <v>http://collections.slsa.sa.gov.au/resource/B+75241</v>
      </c>
    </row>
    <row r="12428" spans="1:11" x14ac:dyDescent="0.25">
      <c r="A12428" t="s">
        <v>37992</v>
      </c>
      <c r="B12428" s="1" t="str">
        <f>HYPERLINK("https://www.catalog.slsa.sa.gov.au/record=b3127245")</f>
        <v>https://www.catalog.slsa.sa.gov.au/record=b3127245</v>
      </c>
      <c r="C12428" s="1" t="str">
        <f>HYPERLINK("https://www.catalog.slsa.sa.gov.au/xrecord=b3127245")</f>
        <v>https://www.catalog.slsa.sa.gov.au/xrecord=b3127245</v>
      </c>
      <c r="D12428" t="s">
        <v>31636</v>
      </c>
      <c r="E12428" t="s">
        <v>37964</v>
      </c>
      <c r="F12428" t="s">
        <v>37965</v>
      </c>
      <c r="G12428" t="s">
        <v>37993</v>
      </c>
      <c r="H12428" t="s">
        <v>37994</v>
      </c>
      <c r="I12428" t="s">
        <v>37995</v>
      </c>
      <c r="J12428" t="s">
        <v>27982</v>
      </c>
      <c r="K12428" s="2" t="str">
        <f>HYPERLINK("http://collections.slsa.sa.gov.au/resource/B+75242")</f>
        <v>http://collections.slsa.sa.gov.au/resource/B+75242</v>
      </c>
    </row>
    <row r="12429" spans="1:11" x14ac:dyDescent="0.25">
      <c r="A12429" t="s">
        <v>37996</v>
      </c>
      <c r="B12429" s="1" t="str">
        <f>HYPERLINK("https://www.catalog.slsa.sa.gov.au/record=b3127246")</f>
        <v>https://www.catalog.slsa.sa.gov.au/record=b3127246</v>
      </c>
      <c r="C12429" s="1" t="str">
        <f>HYPERLINK("https://www.catalog.slsa.sa.gov.au/xrecord=b3127246")</f>
        <v>https://www.catalog.slsa.sa.gov.au/xrecord=b3127246</v>
      </c>
      <c r="D12429" t="s">
        <v>31636</v>
      </c>
      <c r="E12429" t="s">
        <v>37964</v>
      </c>
      <c r="F12429" t="s">
        <v>37965</v>
      </c>
      <c r="G12429" t="s">
        <v>37997</v>
      </c>
      <c r="H12429" t="s">
        <v>37998</v>
      </c>
      <c r="I12429" t="s">
        <v>37999</v>
      </c>
      <c r="J12429" t="s">
        <v>27982</v>
      </c>
      <c r="K12429" s="2" t="str">
        <f>HYPERLINK("http://collections.slsa.sa.gov.au/resource/B+75243")</f>
        <v>http://collections.slsa.sa.gov.au/resource/B+75243</v>
      </c>
    </row>
    <row r="12430" spans="1:11" x14ac:dyDescent="0.25">
      <c r="A12430" t="s">
        <v>38000</v>
      </c>
      <c r="B12430" s="1" t="str">
        <f>HYPERLINK("https://www.catalog.slsa.sa.gov.au/record=b3127248")</f>
        <v>https://www.catalog.slsa.sa.gov.au/record=b3127248</v>
      </c>
      <c r="C12430" s="1" t="str">
        <f>HYPERLINK("https://www.catalog.slsa.sa.gov.au/xrecord=b3127248")</f>
        <v>https://www.catalog.slsa.sa.gov.au/xrecord=b3127248</v>
      </c>
      <c r="D12430" t="s">
        <v>31636</v>
      </c>
      <c r="E12430" t="s">
        <v>37964</v>
      </c>
      <c r="F12430" t="s">
        <v>37965</v>
      </c>
      <c r="G12430" t="s">
        <v>38001</v>
      </c>
      <c r="H12430" t="s">
        <v>38002</v>
      </c>
      <c r="I12430" t="s">
        <v>38003</v>
      </c>
      <c r="J12430" t="s">
        <v>27982</v>
      </c>
      <c r="K12430" s="2" t="str">
        <f>HYPERLINK("http://collections.slsa.sa.gov.au/resource/B+75244")</f>
        <v>http://collections.slsa.sa.gov.au/resource/B+75244</v>
      </c>
    </row>
    <row r="12431" spans="1:11" x14ac:dyDescent="0.25">
      <c r="A12431" t="s">
        <v>38004</v>
      </c>
      <c r="B12431" s="1" t="str">
        <f>HYPERLINK("https://www.catalog.slsa.sa.gov.au/record=b3127249")</f>
        <v>https://www.catalog.slsa.sa.gov.au/record=b3127249</v>
      </c>
      <c r="C12431" s="1" t="str">
        <f>HYPERLINK("https://www.catalog.slsa.sa.gov.au/xrecord=b3127249")</f>
        <v>https://www.catalog.slsa.sa.gov.au/xrecord=b3127249</v>
      </c>
      <c r="D12431" t="s">
        <v>31636</v>
      </c>
      <c r="E12431" t="s">
        <v>37964</v>
      </c>
      <c r="F12431" t="s">
        <v>37965</v>
      </c>
      <c r="G12431" t="s">
        <v>37850</v>
      </c>
      <c r="H12431" t="s">
        <v>38005</v>
      </c>
      <c r="I12431" t="s">
        <v>37999</v>
      </c>
      <c r="J12431" t="s">
        <v>27982</v>
      </c>
      <c r="K12431" s="2" t="str">
        <f>HYPERLINK("http://collections.slsa.sa.gov.au/resource/B+75245")</f>
        <v>http://collections.slsa.sa.gov.au/resource/B+75245</v>
      </c>
    </row>
    <row r="12432" spans="1:11" x14ac:dyDescent="0.25">
      <c r="A12432" t="s">
        <v>38006</v>
      </c>
      <c r="B12432" s="1" t="str">
        <f>HYPERLINK("https://www.catalog.slsa.sa.gov.au/record=b3127251")</f>
        <v>https://www.catalog.slsa.sa.gov.au/record=b3127251</v>
      </c>
      <c r="C12432" s="1" t="str">
        <f>HYPERLINK("https://www.catalog.slsa.sa.gov.au/xrecord=b3127251")</f>
        <v>https://www.catalog.slsa.sa.gov.au/xrecord=b3127251</v>
      </c>
      <c r="D12432" t="s">
        <v>31636</v>
      </c>
      <c r="E12432" t="s">
        <v>37964</v>
      </c>
      <c r="F12432" t="s">
        <v>37965</v>
      </c>
      <c r="G12432" t="s">
        <v>38007</v>
      </c>
      <c r="H12432" t="s">
        <v>38008</v>
      </c>
      <c r="I12432" t="s">
        <v>37970</v>
      </c>
      <c r="J12432" t="s">
        <v>27982</v>
      </c>
      <c r="K12432" s="2" t="str">
        <f>HYPERLINK("http://collections.slsa.sa.gov.au/resource/B+75246")</f>
        <v>http://collections.slsa.sa.gov.au/resource/B+75246</v>
      </c>
    </row>
    <row r="12433" spans="1:11" x14ac:dyDescent="0.25">
      <c r="A12433" t="s">
        <v>38009</v>
      </c>
      <c r="B12433" s="1" t="str">
        <f>HYPERLINK("https://www.catalog.slsa.sa.gov.au/record=b3126015")</f>
        <v>https://www.catalog.slsa.sa.gov.au/record=b3126015</v>
      </c>
      <c r="C12433" s="1" t="str">
        <f>HYPERLINK("https://www.catalog.slsa.sa.gov.au/xrecord=b3126015")</f>
        <v>https://www.catalog.slsa.sa.gov.au/xrecord=b3126015</v>
      </c>
      <c r="D12433" t="s">
        <v>31636</v>
      </c>
      <c r="E12433" t="s">
        <v>38010</v>
      </c>
      <c r="F12433" t="s">
        <v>38011</v>
      </c>
      <c r="G12433" t="s">
        <v>38012</v>
      </c>
      <c r="H12433" t="s">
        <v>38013</v>
      </c>
      <c r="I12433" t="s">
        <v>38014</v>
      </c>
      <c r="J12433" t="s">
        <v>22724</v>
      </c>
      <c r="K12433" s="2" t="str">
        <f>HYPERLINK("http://collections.slsa.sa.gov.au/resource/B+75182")</f>
        <v>http://collections.slsa.sa.gov.au/resource/B+75182</v>
      </c>
    </row>
    <row r="12434" spans="1:11" x14ac:dyDescent="0.25">
      <c r="A12434" t="s">
        <v>38015</v>
      </c>
      <c r="B12434" s="1" t="str">
        <f>HYPERLINK("https://www.catalog.slsa.sa.gov.au/record=b3126019")</f>
        <v>https://www.catalog.slsa.sa.gov.au/record=b3126019</v>
      </c>
      <c r="C12434" s="1" t="str">
        <f>HYPERLINK("https://www.catalog.slsa.sa.gov.au/xrecord=b3126019")</f>
        <v>https://www.catalog.slsa.sa.gov.au/xrecord=b3126019</v>
      </c>
      <c r="D12434" t="s">
        <v>31636</v>
      </c>
      <c r="E12434" t="s">
        <v>38016</v>
      </c>
      <c r="F12434" t="s">
        <v>38011</v>
      </c>
      <c r="G12434" t="s">
        <v>38017</v>
      </c>
      <c r="H12434" t="s">
        <v>38018</v>
      </c>
      <c r="I12434" t="s">
        <v>38014</v>
      </c>
      <c r="J12434" t="s">
        <v>22724</v>
      </c>
      <c r="K12434" s="2" t="str">
        <f>HYPERLINK("http://collections.slsa.sa.gov.au/resource/B+75183")</f>
        <v>http://collections.slsa.sa.gov.au/resource/B+75183</v>
      </c>
    </row>
    <row r="12435" spans="1:11" x14ac:dyDescent="0.25">
      <c r="A12435" t="s">
        <v>38019</v>
      </c>
      <c r="B12435" s="1" t="str">
        <f>HYPERLINK("https://www.catalog.slsa.sa.gov.au/record=b3126020")</f>
        <v>https://www.catalog.slsa.sa.gov.au/record=b3126020</v>
      </c>
      <c r="C12435" s="1" t="str">
        <f>HYPERLINK("https://www.catalog.slsa.sa.gov.au/xrecord=b3126020")</f>
        <v>https://www.catalog.slsa.sa.gov.au/xrecord=b3126020</v>
      </c>
      <c r="D12435" t="s">
        <v>31636</v>
      </c>
      <c r="E12435" t="s">
        <v>38016</v>
      </c>
      <c r="F12435" t="s">
        <v>38011</v>
      </c>
      <c r="G12435" t="s">
        <v>38020</v>
      </c>
      <c r="H12435" t="s">
        <v>38018</v>
      </c>
      <c r="I12435" t="s">
        <v>38014</v>
      </c>
      <c r="J12435" t="s">
        <v>22724</v>
      </c>
      <c r="K12435" s="2" t="str">
        <f>HYPERLINK("http://collections.slsa.sa.gov.au/resource/B+75184")</f>
        <v>http://collections.slsa.sa.gov.au/resource/B+75184</v>
      </c>
    </row>
    <row r="12436" spans="1:11" x14ac:dyDescent="0.25">
      <c r="A12436" t="s">
        <v>38021</v>
      </c>
      <c r="B12436" s="1" t="str">
        <f>HYPERLINK("https://www.catalog.slsa.sa.gov.au/record=b3126021")</f>
        <v>https://www.catalog.slsa.sa.gov.au/record=b3126021</v>
      </c>
      <c r="C12436" s="1" t="str">
        <f>HYPERLINK("https://www.catalog.slsa.sa.gov.au/xrecord=b3126021")</f>
        <v>https://www.catalog.slsa.sa.gov.au/xrecord=b3126021</v>
      </c>
      <c r="D12436" t="s">
        <v>31636</v>
      </c>
      <c r="E12436" t="s">
        <v>38016</v>
      </c>
      <c r="F12436" t="s">
        <v>38011</v>
      </c>
      <c r="G12436" t="s">
        <v>38022</v>
      </c>
      <c r="H12436" t="s">
        <v>38018</v>
      </c>
      <c r="I12436" t="s">
        <v>38014</v>
      </c>
      <c r="J12436" t="s">
        <v>22724</v>
      </c>
      <c r="K12436" s="2" t="str">
        <f>HYPERLINK("http://collections.slsa.sa.gov.au/resource/B+75185")</f>
        <v>http://collections.slsa.sa.gov.au/resource/B+75185</v>
      </c>
    </row>
    <row r="12437" spans="1:11" x14ac:dyDescent="0.25">
      <c r="A12437" t="s">
        <v>38023</v>
      </c>
      <c r="B12437" s="1" t="str">
        <f>HYPERLINK("https://www.catalog.slsa.sa.gov.au/record=b3126022")</f>
        <v>https://www.catalog.slsa.sa.gov.au/record=b3126022</v>
      </c>
      <c r="C12437" s="1" t="str">
        <f>HYPERLINK("https://www.catalog.slsa.sa.gov.au/xrecord=b3126022")</f>
        <v>https://www.catalog.slsa.sa.gov.au/xrecord=b3126022</v>
      </c>
      <c r="D12437" t="s">
        <v>31636</v>
      </c>
      <c r="E12437" t="s">
        <v>38016</v>
      </c>
      <c r="F12437" t="s">
        <v>38011</v>
      </c>
      <c r="G12437" t="s">
        <v>38024</v>
      </c>
      <c r="H12437" t="s">
        <v>38025</v>
      </c>
      <c r="I12437" t="s">
        <v>38026</v>
      </c>
      <c r="J12437" t="s">
        <v>22724</v>
      </c>
      <c r="K12437" s="2" t="str">
        <f>HYPERLINK("http://collections.slsa.sa.gov.au/resource/B+75186")</f>
        <v>http://collections.slsa.sa.gov.au/resource/B+75186</v>
      </c>
    </row>
    <row r="12438" spans="1:11" x14ac:dyDescent="0.25">
      <c r="A12438" t="s">
        <v>38027</v>
      </c>
      <c r="B12438" s="1" t="str">
        <f>HYPERLINK("https://www.catalog.slsa.sa.gov.au/record=b3126023")</f>
        <v>https://www.catalog.slsa.sa.gov.au/record=b3126023</v>
      </c>
      <c r="C12438" s="1" t="str">
        <f>HYPERLINK("https://www.catalog.slsa.sa.gov.au/xrecord=b3126023")</f>
        <v>https://www.catalog.slsa.sa.gov.au/xrecord=b3126023</v>
      </c>
      <c r="D12438" t="s">
        <v>31636</v>
      </c>
      <c r="E12438" t="s">
        <v>38016</v>
      </c>
      <c r="F12438" t="s">
        <v>38011</v>
      </c>
      <c r="G12438" t="s">
        <v>38028</v>
      </c>
      <c r="H12438" t="s">
        <v>38029</v>
      </c>
      <c r="I12438" t="s">
        <v>38030</v>
      </c>
      <c r="J12438" t="s">
        <v>22724</v>
      </c>
      <c r="K12438" s="2" t="str">
        <f>HYPERLINK("http://collections.slsa.sa.gov.au/resource/B+75187")</f>
        <v>http://collections.slsa.sa.gov.au/resource/B+75187</v>
      </c>
    </row>
    <row r="12439" spans="1:11" x14ac:dyDescent="0.25">
      <c r="A12439" t="s">
        <v>38031</v>
      </c>
      <c r="B12439" s="1" t="str">
        <f>HYPERLINK("https://www.catalog.slsa.sa.gov.au/record=b3126026")</f>
        <v>https://www.catalog.slsa.sa.gov.au/record=b3126026</v>
      </c>
      <c r="C12439" s="1" t="str">
        <f>HYPERLINK("https://www.catalog.slsa.sa.gov.au/xrecord=b3126026")</f>
        <v>https://www.catalog.slsa.sa.gov.au/xrecord=b3126026</v>
      </c>
      <c r="D12439" t="s">
        <v>31636</v>
      </c>
      <c r="E12439" t="s">
        <v>38016</v>
      </c>
      <c r="F12439" t="s">
        <v>38011</v>
      </c>
      <c r="G12439" t="s">
        <v>37758</v>
      </c>
      <c r="H12439" t="s">
        <v>38032</v>
      </c>
      <c r="I12439" t="s">
        <v>38033</v>
      </c>
      <c r="J12439" t="s">
        <v>22724</v>
      </c>
      <c r="K12439" s="2" t="str">
        <f>HYPERLINK("http://collections.slsa.sa.gov.au/resource/B+75188")</f>
        <v>http://collections.slsa.sa.gov.au/resource/B+75188</v>
      </c>
    </row>
    <row r="12440" spans="1:11" x14ac:dyDescent="0.25">
      <c r="A12440" t="s">
        <v>38034</v>
      </c>
      <c r="B12440" s="1" t="str">
        <f>HYPERLINK("https://www.catalog.slsa.sa.gov.au/record=b3126027")</f>
        <v>https://www.catalog.slsa.sa.gov.au/record=b3126027</v>
      </c>
      <c r="C12440" s="1" t="str">
        <f>HYPERLINK("https://www.catalog.slsa.sa.gov.au/xrecord=b3126027")</f>
        <v>https://www.catalog.slsa.sa.gov.au/xrecord=b3126027</v>
      </c>
      <c r="D12440" t="s">
        <v>31636</v>
      </c>
      <c r="E12440" t="s">
        <v>38016</v>
      </c>
      <c r="F12440" t="s">
        <v>38011</v>
      </c>
      <c r="G12440" t="s">
        <v>38035</v>
      </c>
      <c r="H12440" t="s">
        <v>38036</v>
      </c>
      <c r="I12440" t="s">
        <v>38033</v>
      </c>
      <c r="J12440" t="s">
        <v>22724</v>
      </c>
      <c r="K12440" s="2" t="str">
        <f>HYPERLINK("http://collections.slsa.sa.gov.au/resource/B+75189")</f>
        <v>http://collections.slsa.sa.gov.au/resource/B+75189</v>
      </c>
    </row>
    <row r="12441" spans="1:11" x14ac:dyDescent="0.25">
      <c r="A12441" t="s">
        <v>38037</v>
      </c>
      <c r="B12441" s="1" t="str">
        <f>HYPERLINK("https://www.catalog.slsa.sa.gov.au/record=b3126028")</f>
        <v>https://www.catalog.slsa.sa.gov.au/record=b3126028</v>
      </c>
      <c r="C12441" s="1" t="str">
        <f>HYPERLINK("https://www.catalog.slsa.sa.gov.au/xrecord=b3126028")</f>
        <v>https://www.catalog.slsa.sa.gov.au/xrecord=b3126028</v>
      </c>
      <c r="D12441" t="s">
        <v>31636</v>
      </c>
      <c r="E12441" t="s">
        <v>38016</v>
      </c>
      <c r="F12441" t="s">
        <v>38011</v>
      </c>
      <c r="G12441" t="s">
        <v>38038</v>
      </c>
      <c r="H12441" t="s">
        <v>38036</v>
      </c>
      <c r="I12441" t="s">
        <v>38033</v>
      </c>
      <c r="J12441" t="s">
        <v>22724</v>
      </c>
      <c r="K12441" s="2" t="str">
        <f>HYPERLINK("http://collections.slsa.sa.gov.au/resource/B+75190")</f>
        <v>http://collections.slsa.sa.gov.au/resource/B+75190</v>
      </c>
    </row>
    <row r="12442" spans="1:11" x14ac:dyDescent="0.25">
      <c r="A12442" t="s">
        <v>38039</v>
      </c>
      <c r="B12442" s="1" t="str">
        <f>HYPERLINK("https://www.catalog.slsa.sa.gov.au/record=b3126029")</f>
        <v>https://www.catalog.slsa.sa.gov.au/record=b3126029</v>
      </c>
      <c r="C12442" s="1" t="str">
        <f>HYPERLINK("https://www.catalog.slsa.sa.gov.au/xrecord=b3126029")</f>
        <v>https://www.catalog.slsa.sa.gov.au/xrecord=b3126029</v>
      </c>
      <c r="D12442" t="s">
        <v>31636</v>
      </c>
      <c r="E12442" t="s">
        <v>38016</v>
      </c>
      <c r="F12442" t="s">
        <v>38011</v>
      </c>
      <c r="G12442" t="s">
        <v>38040</v>
      </c>
      <c r="H12442" t="s">
        <v>38036</v>
      </c>
      <c r="I12442" t="s">
        <v>38033</v>
      </c>
      <c r="J12442" t="s">
        <v>22724</v>
      </c>
      <c r="K12442" s="2" t="str">
        <f>HYPERLINK("http://collections.slsa.sa.gov.au/resource/B+75191")</f>
        <v>http://collections.slsa.sa.gov.au/resource/B+75191</v>
      </c>
    </row>
    <row r="12443" spans="1:11" x14ac:dyDescent="0.25">
      <c r="A12443" t="s">
        <v>38041</v>
      </c>
      <c r="B12443" s="1" t="str">
        <f>HYPERLINK("https://www.catalog.slsa.sa.gov.au/record=b3126054")</f>
        <v>https://www.catalog.slsa.sa.gov.au/record=b3126054</v>
      </c>
      <c r="C12443" s="1" t="str">
        <f>HYPERLINK("https://www.catalog.slsa.sa.gov.au/xrecord=b3126054")</f>
        <v>https://www.catalog.slsa.sa.gov.au/xrecord=b3126054</v>
      </c>
      <c r="D12443" t="s">
        <v>31636</v>
      </c>
      <c r="E12443" t="s">
        <v>38016</v>
      </c>
      <c r="F12443" t="s">
        <v>38011</v>
      </c>
      <c r="G12443" t="s">
        <v>37758</v>
      </c>
      <c r="H12443" t="s">
        <v>38036</v>
      </c>
      <c r="I12443" t="s">
        <v>38033</v>
      </c>
      <c r="J12443" t="s">
        <v>22724</v>
      </c>
      <c r="K12443" s="2" t="str">
        <f>HYPERLINK("http://collections.slsa.sa.gov.au/resource/B+75192")</f>
        <v>http://collections.slsa.sa.gov.au/resource/B+75192</v>
      </c>
    </row>
    <row r="12444" spans="1:11" x14ac:dyDescent="0.25">
      <c r="A12444" t="s">
        <v>38042</v>
      </c>
      <c r="B12444" s="1" t="str">
        <f>HYPERLINK("https://www.catalog.slsa.sa.gov.au/record=b3126055")</f>
        <v>https://www.catalog.slsa.sa.gov.au/record=b3126055</v>
      </c>
      <c r="C12444" s="1" t="str">
        <f>HYPERLINK("https://www.catalog.slsa.sa.gov.au/xrecord=b3126055")</f>
        <v>https://www.catalog.slsa.sa.gov.au/xrecord=b3126055</v>
      </c>
      <c r="D12444" t="s">
        <v>31636</v>
      </c>
      <c r="E12444" t="s">
        <v>38016</v>
      </c>
      <c r="F12444" t="s">
        <v>38011</v>
      </c>
      <c r="G12444" t="s">
        <v>37758</v>
      </c>
      <c r="H12444" t="s">
        <v>38036</v>
      </c>
      <c r="I12444" t="s">
        <v>38033</v>
      </c>
      <c r="J12444" t="s">
        <v>22724</v>
      </c>
      <c r="K12444" s="2" t="str">
        <f>HYPERLINK("http://collections.slsa.sa.gov.au/resource/B+75193")</f>
        <v>http://collections.slsa.sa.gov.au/resource/B+75193</v>
      </c>
    </row>
    <row r="12445" spans="1:11" x14ac:dyDescent="0.25">
      <c r="A12445" t="s">
        <v>38043</v>
      </c>
      <c r="B12445" s="1" t="str">
        <f>HYPERLINK("https://www.catalog.slsa.sa.gov.au/record=b3126056")</f>
        <v>https://www.catalog.slsa.sa.gov.au/record=b3126056</v>
      </c>
      <c r="C12445" s="1" t="str">
        <f>HYPERLINK("https://www.catalog.slsa.sa.gov.au/xrecord=b3126056")</f>
        <v>https://www.catalog.slsa.sa.gov.au/xrecord=b3126056</v>
      </c>
      <c r="D12445" t="s">
        <v>31636</v>
      </c>
      <c r="E12445" t="s">
        <v>24001</v>
      </c>
      <c r="F12445" t="s">
        <v>38011</v>
      </c>
      <c r="G12445" t="s">
        <v>38044</v>
      </c>
      <c r="H12445" t="s">
        <v>38045</v>
      </c>
      <c r="I12445" t="s">
        <v>38046</v>
      </c>
      <c r="J12445" t="s">
        <v>25772</v>
      </c>
      <c r="K12445" s="2" t="str">
        <f>HYPERLINK("http://collections.slsa.sa.gov.au/resource/B+75194")</f>
        <v>http://collections.slsa.sa.gov.au/resource/B+75194</v>
      </c>
    </row>
    <row r="12446" spans="1:11" x14ac:dyDescent="0.25">
      <c r="A12446" t="s">
        <v>38047</v>
      </c>
      <c r="B12446" s="1" t="str">
        <f>HYPERLINK("https://www.catalog.slsa.sa.gov.au/record=b3126057")</f>
        <v>https://www.catalog.slsa.sa.gov.au/record=b3126057</v>
      </c>
      <c r="C12446" s="1" t="str">
        <f>HYPERLINK("https://www.catalog.slsa.sa.gov.au/xrecord=b3126057")</f>
        <v>https://www.catalog.slsa.sa.gov.au/xrecord=b3126057</v>
      </c>
      <c r="D12446" t="s">
        <v>31636</v>
      </c>
      <c r="E12446" t="s">
        <v>38048</v>
      </c>
      <c r="F12446" t="s">
        <v>38011</v>
      </c>
      <c r="G12446" t="s">
        <v>38049</v>
      </c>
      <c r="H12446" t="s">
        <v>38050</v>
      </c>
      <c r="I12446" t="s">
        <v>38051</v>
      </c>
      <c r="J12446" t="s">
        <v>20906</v>
      </c>
      <c r="K12446" s="2" t="str">
        <f>HYPERLINK("http://collections.slsa.sa.gov.au/resource/B+75195")</f>
        <v>http://collections.slsa.sa.gov.au/resource/B+75195</v>
      </c>
    </row>
    <row r="12447" spans="1:11" x14ac:dyDescent="0.25">
      <c r="A12447" t="s">
        <v>38052</v>
      </c>
      <c r="B12447" s="1" t="str">
        <f>HYPERLINK("https://www.catalog.slsa.sa.gov.au/record=b3126059")</f>
        <v>https://www.catalog.slsa.sa.gov.au/record=b3126059</v>
      </c>
      <c r="C12447" s="1" t="str">
        <f>HYPERLINK("https://www.catalog.slsa.sa.gov.au/xrecord=b3126059")</f>
        <v>https://www.catalog.slsa.sa.gov.au/xrecord=b3126059</v>
      </c>
      <c r="D12447" t="s">
        <v>31636</v>
      </c>
      <c r="E12447" t="s">
        <v>38053</v>
      </c>
      <c r="F12447" t="s">
        <v>38011</v>
      </c>
      <c r="G12447" t="s">
        <v>38054</v>
      </c>
      <c r="H12447" t="s">
        <v>38055</v>
      </c>
      <c r="I12447" t="s">
        <v>38056</v>
      </c>
      <c r="J12447" t="s">
        <v>27079</v>
      </c>
      <c r="K12447" s="2" t="str">
        <f>HYPERLINK("http://collections.slsa.sa.gov.au/resource/B+75196")</f>
        <v>http://collections.slsa.sa.gov.au/resource/B+75196</v>
      </c>
    </row>
    <row r="12448" spans="1:11" x14ac:dyDescent="0.25">
      <c r="A12448" t="s">
        <v>38057</v>
      </c>
      <c r="B12448" s="1" t="str">
        <f>HYPERLINK("https://www.catalog.slsa.sa.gov.au/record=b3126062")</f>
        <v>https://www.catalog.slsa.sa.gov.au/record=b3126062</v>
      </c>
      <c r="C12448" s="1" t="str">
        <f>HYPERLINK("https://www.catalog.slsa.sa.gov.au/xrecord=b3126062")</f>
        <v>https://www.catalog.slsa.sa.gov.au/xrecord=b3126062</v>
      </c>
      <c r="D12448" t="s">
        <v>31636</v>
      </c>
      <c r="E12448" t="s">
        <v>24001</v>
      </c>
      <c r="F12448" t="s">
        <v>38011</v>
      </c>
      <c r="G12448" t="s">
        <v>38058</v>
      </c>
      <c r="H12448" t="s">
        <v>38059</v>
      </c>
      <c r="I12448" t="s">
        <v>38060</v>
      </c>
      <c r="J12448" t="s">
        <v>20910</v>
      </c>
      <c r="K12448" s="2" t="str">
        <f>HYPERLINK("http://collections.slsa.sa.gov.au/resource/B+75197")</f>
        <v>http://collections.slsa.sa.gov.au/resource/B+75197</v>
      </c>
    </row>
    <row r="12449" spans="1:11" x14ac:dyDescent="0.25">
      <c r="A12449" t="s">
        <v>38061</v>
      </c>
      <c r="B12449" s="1" t="str">
        <f>HYPERLINK("https://www.catalog.slsa.sa.gov.au/record=b3126063")</f>
        <v>https://www.catalog.slsa.sa.gov.au/record=b3126063</v>
      </c>
      <c r="C12449" s="1" t="str">
        <f>HYPERLINK("https://www.catalog.slsa.sa.gov.au/xrecord=b3126063")</f>
        <v>https://www.catalog.slsa.sa.gov.au/xrecord=b3126063</v>
      </c>
      <c r="D12449" t="s">
        <v>31636</v>
      </c>
      <c r="E12449" t="s">
        <v>24001</v>
      </c>
      <c r="F12449" t="s">
        <v>38011</v>
      </c>
      <c r="G12449" t="s">
        <v>38062</v>
      </c>
      <c r="H12449" t="s">
        <v>38063</v>
      </c>
      <c r="I12449" t="s">
        <v>36740</v>
      </c>
      <c r="J12449" t="s">
        <v>22766</v>
      </c>
      <c r="K12449" s="2" t="str">
        <f>HYPERLINK("http://collections.slsa.sa.gov.au/resource/B+75198")</f>
        <v>http://collections.slsa.sa.gov.au/resource/B+75198</v>
      </c>
    </row>
    <row r="12450" spans="1:11" x14ac:dyDescent="0.25">
      <c r="A12450" t="s">
        <v>38064</v>
      </c>
      <c r="B12450" s="1" t="str">
        <f>HYPERLINK("https://www.catalog.slsa.sa.gov.au/record=b3126065")</f>
        <v>https://www.catalog.slsa.sa.gov.au/record=b3126065</v>
      </c>
      <c r="C12450" s="1" t="str">
        <f>HYPERLINK("https://www.catalog.slsa.sa.gov.au/xrecord=b3126065")</f>
        <v>https://www.catalog.slsa.sa.gov.au/xrecord=b3126065</v>
      </c>
      <c r="D12450" t="s">
        <v>31636</v>
      </c>
      <c r="E12450" t="s">
        <v>24001</v>
      </c>
      <c r="F12450" t="s">
        <v>38011</v>
      </c>
      <c r="G12450" t="s">
        <v>38062</v>
      </c>
      <c r="H12450" t="s">
        <v>38065</v>
      </c>
      <c r="I12450" t="s">
        <v>36740</v>
      </c>
      <c r="J12450" t="s">
        <v>22766</v>
      </c>
      <c r="K12450" s="2" t="str">
        <f>HYPERLINK("http://collections.slsa.sa.gov.au/resource/B+75199")</f>
        <v>http://collections.slsa.sa.gov.au/resource/B+75199</v>
      </c>
    </row>
    <row r="12451" spans="1:11" x14ac:dyDescent="0.25">
      <c r="A12451" t="s">
        <v>38066</v>
      </c>
      <c r="B12451" s="1" t="str">
        <f>HYPERLINK("https://www.catalog.slsa.sa.gov.au/record=b3126066")</f>
        <v>https://www.catalog.slsa.sa.gov.au/record=b3126066</v>
      </c>
      <c r="C12451" s="1" t="str">
        <f>HYPERLINK("https://www.catalog.slsa.sa.gov.au/xrecord=b3126066")</f>
        <v>https://www.catalog.slsa.sa.gov.au/xrecord=b3126066</v>
      </c>
      <c r="D12451" t="s">
        <v>31636</v>
      </c>
      <c r="E12451" t="s">
        <v>38067</v>
      </c>
      <c r="F12451" t="s">
        <v>38011</v>
      </c>
      <c r="G12451" t="s">
        <v>38062</v>
      </c>
      <c r="H12451" t="s">
        <v>38068</v>
      </c>
      <c r="I12451" t="s">
        <v>38069</v>
      </c>
      <c r="J12451" t="s">
        <v>22766</v>
      </c>
      <c r="K12451" s="2" t="str">
        <f>HYPERLINK("http://collections.slsa.sa.gov.au/resource/B+75200")</f>
        <v>http://collections.slsa.sa.gov.au/resource/B+75200</v>
      </c>
    </row>
    <row r="12452" spans="1:11" x14ac:dyDescent="0.25">
      <c r="A12452" t="s">
        <v>38070</v>
      </c>
      <c r="B12452" s="1" t="str">
        <f>HYPERLINK("https://www.catalog.slsa.sa.gov.au/record=b3126067")</f>
        <v>https://www.catalog.slsa.sa.gov.au/record=b3126067</v>
      </c>
      <c r="C12452" s="1" t="str">
        <f>HYPERLINK("https://www.catalog.slsa.sa.gov.au/xrecord=b3126067")</f>
        <v>https://www.catalog.slsa.sa.gov.au/xrecord=b3126067</v>
      </c>
      <c r="D12452" t="s">
        <v>31636</v>
      </c>
      <c r="E12452" t="s">
        <v>38071</v>
      </c>
      <c r="F12452" t="s">
        <v>38011</v>
      </c>
      <c r="G12452" t="s">
        <v>38072</v>
      </c>
      <c r="H12452" t="s">
        <v>38073</v>
      </c>
      <c r="J12452" t="s">
        <v>27079</v>
      </c>
      <c r="K12452" s="2" t="str">
        <f>HYPERLINK("http://collections.slsa.sa.gov.au/resource/B+75201")</f>
        <v>http://collections.slsa.sa.gov.au/resource/B+75201</v>
      </c>
    </row>
    <row r="12453" spans="1:11" x14ac:dyDescent="0.25">
      <c r="A12453" t="s">
        <v>38074</v>
      </c>
      <c r="B12453" s="1" t="str">
        <f>HYPERLINK("https://www.catalog.slsa.sa.gov.au/record=b3126068")</f>
        <v>https://www.catalog.slsa.sa.gov.au/record=b3126068</v>
      </c>
      <c r="C12453" s="1" t="str">
        <f>HYPERLINK("https://www.catalog.slsa.sa.gov.au/xrecord=b3126068")</f>
        <v>https://www.catalog.slsa.sa.gov.au/xrecord=b3126068</v>
      </c>
      <c r="D12453" t="s">
        <v>31636</v>
      </c>
      <c r="E12453" t="s">
        <v>38071</v>
      </c>
      <c r="F12453" t="s">
        <v>38011</v>
      </c>
      <c r="G12453" t="s">
        <v>38075</v>
      </c>
      <c r="H12453" t="s">
        <v>38076</v>
      </c>
      <c r="I12453" t="s">
        <v>38077</v>
      </c>
      <c r="J12453" t="s">
        <v>27079</v>
      </c>
      <c r="K12453" s="2" t="str">
        <f>HYPERLINK("http://collections.slsa.sa.gov.au/resource/B+75202")</f>
        <v>http://collections.slsa.sa.gov.au/resource/B+75202</v>
      </c>
    </row>
    <row r="12454" spans="1:11" x14ac:dyDescent="0.25">
      <c r="A12454" t="s">
        <v>38078</v>
      </c>
      <c r="B12454" s="1" t="str">
        <f>HYPERLINK("https://www.catalog.slsa.sa.gov.au/record=b3126071")</f>
        <v>https://www.catalog.slsa.sa.gov.au/record=b3126071</v>
      </c>
      <c r="C12454" s="1" t="str">
        <f>HYPERLINK("https://www.catalog.slsa.sa.gov.au/xrecord=b3126071")</f>
        <v>https://www.catalog.slsa.sa.gov.au/xrecord=b3126071</v>
      </c>
      <c r="D12454" t="s">
        <v>31636</v>
      </c>
      <c r="E12454" t="s">
        <v>38079</v>
      </c>
      <c r="F12454" t="s">
        <v>38011</v>
      </c>
      <c r="G12454" t="s">
        <v>38080</v>
      </c>
      <c r="H12454" t="s">
        <v>38081</v>
      </c>
      <c r="I12454" t="s">
        <v>38082</v>
      </c>
      <c r="J12454" t="s">
        <v>24017</v>
      </c>
      <c r="K12454" s="2" t="str">
        <f>HYPERLINK("http://collections.slsa.sa.gov.au/resource/B+75203")</f>
        <v>http://collections.slsa.sa.gov.au/resource/B+75203</v>
      </c>
    </row>
    <row r="12455" spans="1:11" x14ac:dyDescent="0.25">
      <c r="A12455" t="s">
        <v>38083</v>
      </c>
      <c r="B12455" s="1" t="str">
        <f>HYPERLINK("https://www.catalog.slsa.sa.gov.au/record=b3126073")</f>
        <v>https://www.catalog.slsa.sa.gov.au/record=b3126073</v>
      </c>
      <c r="C12455" s="1" t="str">
        <f>HYPERLINK("https://www.catalog.slsa.sa.gov.au/xrecord=b3126073")</f>
        <v>https://www.catalog.slsa.sa.gov.au/xrecord=b3126073</v>
      </c>
      <c r="D12455" t="s">
        <v>31636</v>
      </c>
      <c r="E12455" t="s">
        <v>38084</v>
      </c>
      <c r="F12455" t="s">
        <v>38011</v>
      </c>
      <c r="G12455" t="s">
        <v>38085</v>
      </c>
      <c r="H12455" t="s">
        <v>38086</v>
      </c>
      <c r="I12455" t="s">
        <v>38087</v>
      </c>
      <c r="J12455" t="s">
        <v>24017</v>
      </c>
      <c r="K12455" s="2" t="str">
        <f>HYPERLINK("http://collections.slsa.sa.gov.au/resource/B+75204")</f>
        <v>http://collections.slsa.sa.gov.au/resource/B+75204</v>
      </c>
    </row>
    <row r="12456" spans="1:11" x14ac:dyDescent="0.25">
      <c r="A12456" t="s">
        <v>38088</v>
      </c>
      <c r="B12456" s="1" t="str">
        <f>HYPERLINK("https://www.catalog.slsa.sa.gov.au/record=b3136707")</f>
        <v>https://www.catalog.slsa.sa.gov.au/record=b3136707</v>
      </c>
      <c r="C12456" s="1" t="str">
        <f>HYPERLINK("https://www.catalog.slsa.sa.gov.au/xrecord=b3136707")</f>
        <v>https://www.catalog.slsa.sa.gov.au/xrecord=b3136707</v>
      </c>
      <c r="D12456" t="s">
        <v>38089</v>
      </c>
      <c r="E12456" t="s">
        <v>38090</v>
      </c>
      <c r="F12456" t="s">
        <v>38091</v>
      </c>
      <c r="G12456" t="s">
        <v>38092</v>
      </c>
      <c r="H12456" t="s">
        <v>38093</v>
      </c>
      <c r="I12456" t="s">
        <v>38094</v>
      </c>
      <c r="J12456" t="s">
        <v>17181</v>
      </c>
      <c r="K12456" s="2" t="str">
        <f>HYPERLINK("http://collections.slsa.sa.gov.au/resource/B+76267/2")</f>
        <v>http://collections.slsa.sa.gov.au/resource/B+76267/2</v>
      </c>
    </row>
    <row r="12457" spans="1:11" x14ac:dyDescent="0.25">
      <c r="A12457" t="s">
        <v>38095</v>
      </c>
      <c r="B12457" s="1" t="str">
        <f>HYPERLINK("https://www.catalog.slsa.sa.gov.au/record=b3191304")</f>
        <v>https://www.catalog.slsa.sa.gov.au/record=b3191304</v>
      </c>
      <c r="C12457" s="1" t="str">
        <f>HYPERLINK("https://www.catalog.slsa.sa.gov.au/xrecord=b3191304")</f>
        <v>https://www.catalog.slsa.sa.gov.au/xrecord=b3191304</v>
      </c>
      <c r="D12457" t="s">
        <v>31636</v>
      </c>
      <c r="E12457" t="s">
        <v>38096</v>
      </c>
      <c r="F12457" t="s">
        <v>38097</v>
      </c>
      <c r="G12457" t="s">
        <v>38098</v>
      </c>
      <c r="H12457" t="s">
        <v>38099</v>
      </c>
      <c r="I12457" t="s">
        <v>38100</v>
      </c>
      <c r="J12457" t="s">
        <v>1809</v>
      </c>
      <c r="K12457" s="2" t="str">
        <f>HYPERLINK("http://collections.slsa.sa.gov.au/resource/B+76806")</f>
        <v>http://collections.slsa.sa.gov.au/resource/B+76806</v>
      </c>
    </row>
    <row r="12458" spans="1:11" x14ac:dyDescent="0.25">
      <c r="A12458" t="s">
        <v>38101</v>
      </c>
      <c r="B12458" s="1" t="str">
        <f>HYPERLINK("https://www.catalog.slsa.sa.gov.au/record=b3191305")</f>
        <v>https://www.catalog.slsa.sa.gov.au/record=b3191305</v>
      </c>
      <c r="C12458" s="1" t="str">
        <f>HYPERLINK("https://www.catalog.slsa.sa.gov.au/xrecord=b3191305")</f>
        <v>https://www.catalog.slsa.sa.gov.au/xrecord=b3191305</v>
      </c>
      <c r="D12458" t="s">
        <v>31636</v>
      </c>
      <c r="E12458" t="s">
        <v>38096</v>
      </c>
      <c r="F12458" t="s">
        <v>38097</v>
      </c>
      <c r="G12458" t="s">
        <v>38102</v>
      </c>
      <c r="H12458" t="s">
        <v>38103</v>
      </c>
      <c r="I12458" t="s">
        <v>38100</v>
      </c>
      <c r="J12458" t="s">
        <v>1809</v>
      </c>
      <c r="K12458" s="2" t="str">
        <f>HYPERLINK("http://collections.slsa.sa.gov.au/resource/B+76807")</f>
        <v>http://collections.slsa.sa.gov.au/resource/B+76807</v>
      </c>
    </row>
    <row r="12459" spans="1:11" x14ac:dyDescent="0.25">
      <c r="A12459" t="s">
        <v>38104</v>
      </c>
      <c r="B12459" s="1" t="str">
        <f>HYPERLINK("https://www.catalog.slsa.sa.gov.au/record=b3191977")</f>
        <v>https://www.catalog.slsa.sa.gov.au/record=b3191977</v>
      </c>
      <c r="C12459" s="1" t="str">
        <f>HYPERLINK("https://www.catalog.slsa.sa.gov.au/xrecord=b3191977")</f>
        <v>https://www.catalog.slsa.sa.gov.au/xrecord=b3191977</v>
      </c>
      <c r="D12459" t="s">
        <v>31636</v>
      </c>
      <c r="E12459" t="s">
        <v>38105</v>
      </c>
      <c r="F12459" t="s">
        <v>38106</v>
      </c>
      <c r="G12459" t="s">
        <v>37758</v>
      </c>
      <c r="H12459" t="s">
        <v>38107</v>
      </c>
      <c r="I12459" t="s">
        <v>38108</v>
      </c>
      <c r="J12459" t="s">
        <v>2510</v>
      </c>
      <c r="K12459" s="2" t="str">
        <f>HYPERLINK("http://collections.slsa.sa.gov.au/resource/B+76872")</f>
        <v>http://collections.slsa.sa.gov.au/resource/B+76872</v>
      </c>
    </row>
    <row r="12460" spans="1:11" x14ac:dyDescent="0.25">
      <c r="A12460" t="s">
        <v>38109</v>
      </c>
      <c r="B12460" s="1" t="str">
        <f>HYPERLINK("https://www.catalog.slsa.sa.gov.au/record=b3191978")</f>
        <v>https://www.catalog.slsa.sa.gov.au/record=b3191978</v>
      </c>
      <c r="C12460" s="1" t="str">
        <f>HYPERLINK("https://www.catalog.slsa.sa.gov.au/xrecord=b3191978")</f>
        <v>https://www.catalog.slsa.sa.gov.au/xrecord=b3191978</v>
      </c>
      <c r="D12460" t="s">
        <v>31636</v>
      </c>
      <c r="E12460" t="s">
        <v>38105</v>
      </c>
      <c r="F12460" t="s">
        <v>38106</v>
      </c>
      <c r="G12460" t="s">
        <v>37758</v>
      </c>
      <c r="H12460" t="s">
        <v>38107</v>
      </c>
      <c r="I12460" t="s">
        <v>38108</v>
      </c>
      <c r="J12460" t="s">
        <v>2510</v>
      </c>
      <c r="K12460" s="2" t="str">
        <f>HYPERLINK("http://collections.slsa.sa.gov.au/resource/B+76873")</f>
        <v>http://collections.slsa.sa.gov.au/resource/B+76873</v>
      </c>
    </row>
    <row r="12461" spans="1:11" x14ac:dyDescent="0.25">
      <c r="A12461" t="s">
        <v>38110</v>
      </c>
      <c r="B12461" s="1" t="str">
        <f>HYPERLINK("https://www.catalog.slsa.sa.gov.au/record=b3191979")</f>
        <v>https://www.catalog.slsa.sa.gov.au/record=b3191979</v>
      </c>
      <c r="C12461" s="1" t="str">
        <f>HYPERLINK("https://www.catalog.slsa.sa.gov.au/xrecord=b3191979")</f>
        <v>https://www.catalog.slsa.sa.gov.au/xrecord=b3191979</v>
      </c>
      <c r="D12461" t="s">
        <v>31636</v>
      </c>
      <c r="E12461" t="s">
        <v>38105</v>
      </c>
      <c r="F12461" t="s">
        <v>38106</v>
      </c>
      <c r="G12461" t="s">
        <v>37758</v>
      </c>
      <c r="H12461" t="s">
        <v>38107</v>
      </c>
      <c r="I12461" t="s">
        <v>38108</v>
      </c>
      <c r="J12461" t="s">
        <v>2510</v>
      </c>
      <c r="K12461" s="2" t="str">
        <f>HYPERLINK("http://collections.slsa.sa.gov.au/resource/B+76874")</f>
        <v>http://collections.slsa.sa.gov.au/resource/B+76874</v>
      </c>
    </row>
    <row r="12462" spans="1:11" x14ac:dyDescent="0.25">
      <c r="A12462" t="s">
        <v>38111</v>
      </c>
      <c r="B12462" s="1" t="str">
        <f>HYPERLINK("https://www.catalog.slsa.sa.gov.au/record=b3191980")</f>
        <v>https://www.catalog.slsa.sa.gov.au/record=b3191980</v>
      </c>
      <c r="C12462" s="1" t="str">
        <f>HYPERLINK("https://www.catalog.slsa.sa.gov.au/xrecord=b3191980")</f>
        <v>https://www.catalog.slsa.sa.gov.au/xrecord=b3191980</v>
      </c>
      <c r="D12462" t="s">
        <v>31636</v>
      </c>
      <c r="E12462" t="s">
        <v>38105</v>
      </c>
      <c r="F12462" t="s">
        <v>38106</v>
      </c>
      <c r="G12462" t="s">
        <v>37758</v>
      </c>
      <c r="H12462" t="s">
        <v>38112</v>
      </c>
      <c r="I12462" t="s">
        <v>38113</v>
      </c>
      <c r="J12462" t="s">
        <v>2510</v>
      </c>
      <c r="K12462" s="2" t="str">
        <f>HYPERLINK("http://collections.slsa.sa.gov.au/resource/B+76875")</f>
        <v>http://collections.slsa.sa.gov.au/resource/B+76875</v>
      </c>
    </row>
    <row r="12463" spans="1:11" x14ac:dyDescent="0.25">
      <c r="A12463" t="s">
        <v>38114</v>
      </c>
      <c r="B12463" s="1" t="str">
        <f>HYPERLINK("https://www.catalog.slsa.sa.gov.au/record=b3191981")</f>
        <v>https://www.catalog.slsa.sa.gov.au/record=b3191981</v>
      </c>
      <c r="C12463" s="1" t="str">
        <f>HYPERLINK("https://www.catalog.slsa.sa.gov.au/xrecord=b3191981")</f>
        <v>https://www.catalog.slsa.sa.gov.au/xrecord=b3191981</v>
      </c>
      <c r="D12463" t="s">
        <v>31636</v>
      </c>
      <c r="E12463" t="s">
        <v>38105</v>
      </c>
      <c r="F12463" t="s">
        <v>38106</v>
      </c>
      <c r="G12463" t="s">
        <v>37758</v>
      </c>
      <c r="H12463" t="s">
        <v>38112</v>
      </c>
      <c r="I12463" t="s">
        <v>38113</v>
      </c>
      <c r="J12463" t="s">
        <v>2510</v>
      </c>
      <c r="K12463" s="2" t="str">
        <f>HYPERLINK("http://collections.slsa.sa.gov.au/resource/B+76876")</f>
        <v>http://collections.slsa.sa.gov.au/resource/B+76876</v>
      </c>
    </row>
    <row r="12464" spans="1:11" x14ac:dyDescent="0.25">
      <c r="A12464" t="s">
        <v>38115</v>
      </c>
      <c r="B12464" s="1" t="str">
        <f>HYPERLINK("https://www.catalog.slsa.sa.gov.au/record=b3191982")</f>
        <v>https://www.catalog.slsa.sa.gov.au/record=b3191982</v>
      </c>
      <c r="C12464" s="1" t="str">
        <f>HYPERLINK("https://www.catalog.slsa.sa.gov.au/xrecord=b3191982")</f>
        <v>https://www.catalog.slsa.sa.gov.au/xrecord=b3191982</v>
      </c>
      <c r="D12464" t="s">
        <v>31636</v>
      </c>
      <c r="E12464" t="s">
        <v>38105</v>
      </c>
      <c r="F12464" t="s">
        <v>38106</v>
      </c>
      <c r="G12464" t="s">
        <v>37758</v>
      </c>
      <c r="H12464" t="s">
        <v>38112</v>
      </c>
      <c r="I12464" t="s">
        <v>38113</v>
      </c>
      <c r="J12464" t="s">
        <v>2510</v>
      </c>
      <c r="K12464" s="2" t="str">
        <f>HYPERLINK("http://collections.slsa.sa.gov.au/resource/B+76877")</f>
        <v>http://collections.slsa.sa.gov.au/resource/B+76877</v>
      </c>
    </row>
    <row r="12465" spans="1:11" x14ac:dyDescent="0.25">
      <c r="A12465" t="s">
        <v>38116</v>
      </c>
      <c r="B12465" s="1" t="str">
        <f>HYPERLINK("https://www.catalog.slsa.sa.gov.au/record=b3191983")</f>
        <v>https://www.catalog.slsa.sa.gov.au/record=b3191983</v>
      </c>
      <c r="C12465" s="1" t="str">
        <f>HYPERLINK("https://www.catalog.slsa.sa.gov.au/xrecord=b3191983")</f>
        <v>https://www.catalog.slsa.sa.gov.au/xrecord=b3191983</v>
      </c>
      <c r="D12465" t="s">
        <v>31636</v>
      </c>
      <c r="E12465" t="s">
        <v>38105</v>
      </c>
      <c r="F12465" t="s">
        <v>38106</v>
      </c>
      <c r="G12465" t="s">
        <v>37758</v>
      </c>
      <c r="H12465" t="s">
        <v>38117</v>
      </c>
      <c r="I12465" t="s">
        <v>38118</v>
      </c>
      <c r="J12465" t="s">
        <v>2510</v>
      </c>
      <c r="K12465" s="2" t="str">
        <f>HYPERLINK("http://collections.slsa.sa.gov.au/resource/B+76878")</f>
        <v>http://collections.slsa.sa.gov.au/resource/B+76878</v>
      </c>
    </row>
    <row r="12466" spans="1:11" x14ac:dyDescent="0.25">
      <c r="A12466" t="s">
        <v>38119</v>
      </c>
      <c r="B12466" s="1" t="str">
        <f>HYPERLINK("https://www.catalog.slsa.sa.gov.au/record=b3191984")</f>
        <v>https://www.catalog.slsa.sa.gov.au/record=b3191984</v>
      </c>
      <c r="C12466" s="1" t="str">
        <f>HYPERLINK("https://www.catalog.slsa.sa.gov.au/xrecord=b3191984")</f>
        <v>https://www.catalog.slsa.sa.gov.au/xrecord=b3191984</v>
      </c>
      <c r="D12466" t="s">
        <v>31636</v>
      </c>
      <c r="E12466" t="s">
        <v>38105</v>
      </c>
      <c r="F12466" t="s">
        <v>38106</v>
      </c>
      <c r="G12466" t="s">
        <v>37758</v>
      </c>
      <c r="H12466" t="s">
        <v>38117</v>
      </c>
      <c r="I12466" t="s">
        <v>38118</v>
      </c>
      <c r="J12466" t="s">
        <v>2510</v>
      </c>
      <c r="K12466" s="2" t="str">
        <f>HYPERLINK("http://collections.slsa.sa.gov.au/resource/B+76879")</f>
        <v>http://collections.slsa.sa.gov.au/resource/B+76879</v>
      </c>
    </row>
    <row r="12467" spans="1:11" x14ac:dyDescent="0.25">
      <c r="A12467" t="s">
        <v>38120</v>
      </c>
      <c r="B12467" s="1" t="str">
        <f>HYPERLINK("https://www.catalog.slsa.sa.gov.au/record=b3133736")</f>
        <v>https://www.catalog.slsa.sa.gov.au/record=b3133736</v>
      </c>
      <c r="C12467" s="1" t="str">
        <f>HYPERLINK("https://www.catalog.slsa.sa.gov.au/xrecord=b3133736")</f>
        <v>https://www.catalog.slsa.sa.gov.au/xrecord=b3133736</v>
      </c>
      <c r="D12467" t="s">
        <v>31636</v>
      </c>
      <c r="E12467" t="s">
        <v>38121</v>
      </c>
      <c r="F12467" t="s">
        <v>38122</v>
      </c>
      <c r="G12467" t="s">
        <v>38123</v>
      </c>
      <c r="H12467" t="s">
        <v>38124</v>
      </c>
      <c r="I12467" t="s">
        <v>38125</v>
      </c>
      <c r="J12467" t="s">
        <v>1809</v>
      </c>
      <c r="K12467" s="2" t="str">
        <f>HYPERLINK("http://collections.slsa.sa.gov.au/resource/B+75524")</f>
        <v>http://collections.slsa.sa.gov.au/resource/B+75524</v>
      </c>
    </row>
    <row r="12468" spans="1:11" x14ac:dyDescent="0.25">
      <c r="A12468" t="s">
        <v>38126</v>
      </c>
      <c r="B12468" s="1" t="str">
        <f>HYPERLINK("https://www.catalog.slsa.sa.gov.au/record=b3191308")</f>
        <v>https://www.catalog.slsa.sa.gov.au/record=b3191308</v>
      </c>
      <c r="C12468" s="1" t="str">
        <f>HYPERLINK("https://www.catalog.slsa.sa.gov.au/xrecord=b3191308")</f>
        <v>https://www.catalog.slsa.sa.gov.au/xrecord=b3191308</v>
      </c>
      <c r="D12468" t="s">
        <v>31636</v>
      </c>
      <c r="E12468" t="s">
        <v>38127</v>
      </c>
      <c r="F12468" t="s">
        <v>38128</v>
      </c>
      <c r="G12468" t="s">
        <v>38129</v>
      </c>
      <c r="H12468" t="s">
        <v>38130</v>
      </c>
      <c r="I12468" t="s">
        <v>38131</v>
      </c>
      <c r="J12468" t="s">
        <v>1809</v>
      </c>
      <c r="K12468" s="2" t="str">
        <f>HYPERLINK("http://collections.slsa.sa.gov.au/resource/B+76809")</f>
        <v>http://collections.slsa.sa.gov.au/resource/B+76809</v>
      </c>
    </row>
    <row r="12469" spans="1:11" x14ac:dyDescent="0.25">
      <c r="A12469" t="s">
        <v>38132</v>
      </c>
      <c r="B12469" s="1" t="str">
        <f>HYPERLINK("https://www.catalog.slsa.sa.gov.au/record=b3191935")</f>
        <v>https://www.catalog.slsa.sa.gov.au/record=b3191935</v>
      </c>
      <c r="C12469" s="1" t="str">
        <f>HYPERLINK("https://www.catalog.slsa.sa.gov.au/xrecord=b3191935")</f>
        <v>https://www.catalog.slsa.sa.gov.au/xrecord=b3191935</v>
      </c>
      <c r="D12469" t="s">
        <v>31636</v>
      </c>
      <c r="E12469" t="s">
        <v>38133</v>
      </c>
      <c r="F12469" t="s">
        <v>38134</v>
      </c>
      <c r="G12469" t="s">
        <v>36396</v>
      </c>
      <c r="H12469" t="s">
        <v>38135</v>
      </c>
      <c r="I12469" t="s">
        <v>38136</v>
      </c>
      <c r="J12469" t="s">
        <v>38137</v>
      </c>
      <c r="K12469" s="2" t="str">
        <f>HYPERLINK("http://collections.slsa.sa.gov.au/resource/B+76845")</f>
        <v>http://collections.slsa.sa.gov.au/resource/B+76845</v>
      </c>
    </row>
    <row r="12470" spans="1:11" x14ac:dyDescent="0.25">
      <c r="A12470" t="s">
        <v>38138</v>
      </c>
      <c r="B12470" s="1" t="str">
        <f>HYPERLINK("https://www.catalog.slsa.sa.gov.au/record=b3191936")</f>
        <v>https://www.catalog.slsa.sa.gov.au/record=b3191936</v>
      </c>
      <c r="C12470" s="1" t="str">
        <f>HYPERLINK("https://www.catalog.slsa.sa.gov.au/xrecord=b3191936")</f>
        <v>https://www.catalog.slsa.sa.gov.au/xrecord=b3191936</v>
      </c>
      <c r="D12470" t="s">
        <v>31636</v>
      </c>
      <c r="E12470" t="s">
        <v>38133</v>
      </c>
      <c r="F12470" t="s">
        <v>38134</v>
      </c>
      <c r="G12470" t="s">
        <v>38139</v>
      </c>
      <c r="H12470" t="s">
        <v>38140</v>
      </c>
      <c r="I12470" t="s">
        <v>38136</v>
      </c>
      <c r="J12470" t="s">
        <v>38137</v>
      </c>
      <c r="K12470" s="2" t="str">
        <f>HYPERLINK("http://collections.slsa.sa.gov.au/resource/B+76846")</f>
        <v>http://collections.slsa.sa.gov.au/resource/B+76846</v>
      </c>
    </row>
    <row r="12471" spans="1:11" x14ac:dyDescent="0.25">
      <c r="A12471" t="s">
        <v>38141</v>
      </c>
      <c r="B12471" s="1" t="str">
        <f>HYPERLINK("https://www.catalog.slsa.sa.gov.au/record=b3191937")</f>
        <v>https://www.catalog.slsa.sa.gov.au/record=b3191937</v>
      </c>
      <c r="C12471" s="1" t="str">
        <f>HYPERLINK("https://www.catalog.slsa.sa.gov.au/xrecord=b3191937")</f>
        <v>https://www.catalog.slsa.sa.gov.au/xrecord=b3191937</v>
      </c>
      <c r="D12471" t="s">
        <v>31636</v>
      </c>
      <c r="E12471" t="s">
        <v>38133</v>
      </c>
      <c r="F12471" t="s">
        <v>38134</v>
      </c>
      <c r="G12471" t="s">
        <v>38139</v>
      </c>
      <c r="H12471" t="s">
        <v>38142</v>
      </c>
      <c r="I12471" t="s">
        <v>38143</v>
      </c>
      <c r="J12471" t="s">
        <v>38137</v>
      </c>
      <c r="K12471" s="2" t="str">
        <f>HYPERLINK("http://collections.slsa.sa.gov.au/resource/B+76847")</f>
        <v>http://collections.slsa.sa.gov.au/resource/B+76847</v>
      </c>
    </row>
    <row r="12472" spans="1:11" x14ac:dyDescent="0.25">
      <c r="A12472" t="s">
        <v>38144</v>
      </c>
      <c r="B12472" s="1" t="str">
        <f>HYPERLINK("https://www.catalog.slsa.sa.gov.au/record=b3191938")</f>
        <v>https://www.catalog.slsa.sa.gov.au/record=b3191938</v>
      </c>
      <c r="C12472" s="1" t="str">
        <f>HYPERLINK("https://www.catalog.slsa.sa.gov.au/xrecord=b3191938")</f>
        <v>https://www.catalog.slsa.sa.gov.au/xrecord=b3191938</v>
      </c>
      <c r="D12472" t="s">
        <v>31636</v>
      </c>
      <c r="E12472" t="s">
        <v>38133</v>
      </c>
      <c r="F12472" t="s">
        <v>38134</v>
      </c>
      <c r="G12472" t="s">
        <v>36370</v>
      </c>
      <c r="H12472" t="s">
        <v>38145</v>
      </c>
      <c r="I12472" t="s">
        <v>38136</v>
      </c>
      <c r="J12472" t="s">
        <v>2510</v>
      </c>
      <c r="K12472" s="2" t="str">
        <f>HYPERLINK("http://collections.slsa.sa.gov.au/resource/B+76848")</f>
        <v>http://collections.slsa.sa.gov.au/resource/B+76848</v>
      </c>
    </row>
    <row r="12473" spans="1:11" x14ac:dyDescent="0.25">
      <c r="A12473" t="s">
        <v>38146</v>
      </c>
      <c r="B12473" s="1" t="str">
        <f>HYPERLINK("https://www.catalog.slsa.sa.gov.au/record=b3191939")</f>
        <v>https://www.catalog.slsa.sa.gov.au/record=b3191939</v>
      </c>
      <c r="C12473" s="1" t="str">
        <f>HYPERLINK("https://www.catalog.slsa.sa.gov.au/xrecord=b3191939")</f>
        <v>https://www.catalog.slsa.sa.gov.au/xrecord=b3191939</v>
      </c>
      <c r="D12473" t="s">
        <v>31636</v>
      </c>
      <c r="E12473" t="s">
        <v>38133</v>
      </c>
      <c r="F12473" t="s">
        <v>38134</v>
      </c>
      <c r="G12473" t="s">
        <v>36370</v>
      </c>
      <c r="H12473" t="s">
        <v>38145</v>
      </c>
      <c r="I12473" t="s">
        <v>38136</v>
      </c>
      <c r="J12473" t="s">
        <v>2510</v>
      </c>
      <c r="K12473" s="2" t="str">
        <f>HYPERLINK("http://collections.slsa.sa.gov.au/resource/B+76849")</f>
        <v>http://collections.slsa.sa.gov.au/resource/B+76849</v>
      </c>
    </row>
    <row r="12474" spans="1:11" x14ac:dyDescent="0.25">
      <c r="A12474" t="s">
        <v>38147</v>
      </c>
      <c r="B12474" s="1" t="str">
        <f>HYPERLINK("https://www.catalog.slsa.sa.gov.au/record=b3191940")</f>
        <v>https://www.catalog.slsa.sa.gov.au/record=b3191940</v>
      </c>
      <c r="C12474" s="1" t="str">
        <f>HYPERLINK("https://www.catalog.slsa.sa.gov.au/xrecord=b3191940")</f>
        <v>https://www.catalog.slsa.sa.gov.au/xrecord=b3191940</v>
      </c>
      <c r="D12474" t="s">
        <v>31636</v>
      </c>
      <c r="E12474" t="s">
        <v>38133</v>
      </c>
      <c r="F12474" t="s">
        <v>38134</v>
      </c>
      <c r="G12474" t="s">
        <v>36370</v>
      </c>
      <c r="H12474" t="s">
        <v>38145</v>
      </c>
      <c r="I12474" t="s">
        <v>38136</v>
      </c>
      <c r="J12474" t="s">
        <v>2510</v>
      </c>
      <c r="K12474" s="2" t="str">
        <f>HYPERLINK("http://collections.slsa.sa.gov.au/resource/B+76850")</f>
        <v>http://collections.slsa.sa.gov.au/resource/B+76850</v>
      </c>
    </row>
    <row r="12475" spans="1:11" x14ac:dyDescent="0.25">
      <c r="A12475" t="s">
        <v>38148</v>
      </c>
      <c r="B12475" s="1" t="str">
        <f>HYPERLINK("https://www.catalog.slsa.sa.gov.au/record=b3191941")</f>
        <v>https://www.catalog.slsa.sa.gov.au/record=b3191941</v>
      </c>
      <c r="C12475" s="1" t="str">
        <f>HYPERLINK("https://www.catalog.slsa.sa.gov.au/xrecord=b3191941")</f>
        <v>https://www.catalog.slsa.sa.gov.au/xrecord=b3191941</v>
      </c>
      <c r="D12475" t="s">
        <v>31636</v>
      </c>
      <c r="E12475" t="s">
        <v>38133</v>
      </c>
      <c r="F12475" t="s">
        <v>38134</v>
      </c>
      <c r="G12475" t="s">
        <v>36370</v>
      </c>
      <c r="H12475" t="s">
        <v>38145</v>
      </c>
      <c r="I12475" t="s">
        <v>38136</v>
      </c>
      <c r="J12475" t="s">
        <v>2510</v>
      </c>
      <c r="K12475" s="2" t="str">
        <f>HYPERLINK("http://collections.slsa.sa.gov.au/resource/B+76851")</f>
        <v>http://collections.slsa.sa.gov.au/resource/B+76851</v>
      </c>
    </row>
    <row r="12476" spans="1:11" x14ac:dyDescent="0.25">
      <c r="A12476" t="s">
        <v>38149</v>
      </c>
      <c r="B12476" s="1" t="str">
        <f>HYPERLINK("https://www.catalog.slsa.sa.gov.au/record=b3191942")</f>
        <v>https://www.catalog.slsa.sa.gov.au/record=b3191942</v>
      </c>
      <c r="C12476" s="1" t="str">
        <f>HYPERLINK("https://www.catalog.slsa.sa.gov.au/xrecord=b3191942")</f>
        <v>https://www.catalog.slsa.sa.gov.au/xrecord=b3191942</v>
      </c>
      <c r="D12476" t="s">
        <v>31636</v>
      </c>
      <c r="E12476" t="s">
        <v>38133</v>
      </c>
      <c r="F12476" t="s">
        <v>38134</v>
      </c>
      <c r="G12476" t="s">
        <v>36370</v>
      </c>
      <c r="H12476" t="s">
        <v>38150</v>
      </c>
      <c r="I12476" t="s">
        <v>38136</v>
      </c>
      <c r="J12476" t="s">
        <v>2510</v>
      </c>
      <c r="K12476" s="2" t="str">
        <f>HYPERLINK("http://collections.slsa.sa.gov.au/resource/B+76852")</f>
        <v>http://collections.slsa.sa.gov.au/resource/B+76852</v>
      </c>
    </row>
    <row r="12477" spans="1:11" x14ac:dyDescent="0.25">
      <c r="A12477" t="s">
        <v>38151</v>
      </c>
      <c r="B12477" s="1" t="str">
        <f>HYPERLINK("https://www.catalog.slsa.sa.gov.au/record=b3191943")</f>
        <v>https://www.catalog.slsa.sa.gov.au/record=b3191943</v>
      </c>
      <c r="C12477" s="1" t="str">
        <f>HYPERLINK("https://www.catalog.slsa.sa.gov.au/xrecord=b3191943")</f>
        <v>https://www.catalog.slsa.sa.gov.au/xrecord=b3191943</v>
      </c>
      <c r="D12477" t="s">
        <v>31636</v>
      </c>
      <c r="E12477" t="s">
        <v>38133</v>
      </c>
      <c r="F12477" t="s">
        <v>38134</v>
      </c>
      <c r="G12477" t="s">
        <v>36370</v>
      </c>
      <c r="H12477" t="s">
        <v>38150</v>
      </c>
      <c r="I12477" t="s">
        <v>38136</v>
      </c>
      <c r="J12477" t="s">
        <v>2510</v>
      </c>
      <c r="K12477" s="2" t="str">
        <f>HYPERLINK("http://collections.slsa.sa.gov.au/resource/B+76853")</f>
        <v>http://collections.slsa.sa.gov.au/resource/B+76853</v>
      </c>
    </row>
    <row r="12478" spans="1:11" x14ac:dyDescent="0.25">
      <c r="A12478" t="s">
        <v>38152</v>
      </c>
      <c r="B12478" s="1" t="str">
        <f>HYPERLINK("https://www.catalog.slsa.sa.gov.au/record=b3191944")</f>
        <v>https://www.catalog.slsa.sa.gov.au/record=b3191944</v>
      </c>
      <c r="C12478" s="1" t="str">
        <f>HYPERLINK("https://www.catalog.slsa.sa.gov.au/xrecord=b3191944")</f>
        <v>https://www.catalog.slsa.sa.gov.au/xrecord=b3191944</v>
      </c>
      <c r="D12478" t="s">
        <v>31636</v>
      </c>
      <c r="E12478" t="s">
        <v>38133</v>
      </c>
      <c r="F12478" t="s">
        <v>38134</v>
      </c>
      <c r="G12478" t="s">
        <v>36396</v>
      </c>
      <c r="H12478" t="s">
        <v>38153</v>
      </c>
      <c r="I12478" t="s">
        <v>38136</v>
      </c>
      <c r="J12478" t="s">
        <v>2510</v>
      </c>
      <c r="K12478" s="2" t="str">
        <f>HYPERLINK("http://collections.slsa.sa.gov.au/resource/B+76854")</f>
        <v>http://collections.slsa.sa.gov.au/resource/B+76854</v>
      </c>
    </row>
    <row r="12479" spans="1:11" x14ac:dyDescent="0.25">
      <c r="A12479" t="s">
        <v>38154</v>
      </c>
      <c r="B12479" s="1" t="str">
        <f>HYPERLINK("https://www.catalog.slsa.sa.gov.au/record=b3191945")</f>
        <v>https://www.catalog.slsa.sa.gov.au/record=b3191945</v>
      </c>
      <c r="C12479" s="1" t="str">
        <f>HYPERLINK("https://www.catalog.slsa.sa.gov.au/xrecord=b3191945")</f>
        <v>https://www.catalog.slsa.sa.gov.au/xrecord=b3191945</v>
      </c>
      <c r="D12479" t="s">
        <v>31636</v>
      </c>
      <c r="E12479" t="s">
        <v>38133</v>
      </c>
      <c r="F12479" t="s">
        <v>38134</v>
      </c>
      <c r="G12479" t="s">
        <v>36370</v>
      </c>
      <c r="H12479" t="s">
        <v>38150</v>
      </c>
      <c r="I12479" t="s">
        <v>38136</v>
      </c>
      <c r="J12479" t="s">
        <v>2510</v>
      </c>
      <c r="K12479" s="2" t="str">
        <f>HYPERLINK("http://collections.slsa.sa.gov.au/resource/B+76855")</f>
        <v>http://collections.slsa.sa.gov.au/resource/B+76855</v>
      </c>
    </row>
    <row r="12480" spans="1:11" x14ac:dyDescent="0.25">
      <c r="A12480" t="s">
        <v>38155</v>
      </c>
      <c r="B12480" s="1" t="str">
        <f>HYPERLINK("https://www.catalog.slsa.sa.gov.au/record=b3191952")</f>
        <v>https://www.catalog.slsa.sa.gov.au/record=b3191952</v>
      </c>
      <c r="C12480" s="1" t="str">
        <f>HYPERLINK("https://www.catalog.slsa.sa.gov.au/xrecord=b3191952")</f>
        <v>https://www.catalog.slsa.sa.gov.au/xrecord=b3191952</v>
      </c>
      <c r="D12480" t="s">
        <v>31636</v>
      </c>
      <c r="E12480" t="s">
        <v>38133</v>
      </c>
      <c r="F12480" t="s">
        <v>38134</v>
      </c>
      <c r="G12480" t="s">
        <v>36396</v>
      </c>
      <c r="H12480" t="s">
        <v>38156</v>
      </c>
      <c r="I12480" t="s">
        <v>38136</v>
      </c>
      <c r="J12480" t="s">
        <v>36129</v>
      </c>
      <c r="K12480" s="2" t="str">
        <f>HYPERLINK("http://collections.slsa.sa.gov.au/resource/B+76856")</f>
        <v>http://collections.slsa.sa.gov.au/resource/B+76856</v>
      </c>
    </row>
    <row r="12481" spans="1:11" x14ac:dyDescent="0.25">
      <c r="A12481" t="s">
        <v>38157</v>
      </c>
      <c r="B12481" s="1" t="str">
        <f>HYPERLINK("https://www.catalog.slsa.sa.gov.au/record=b3191953")</f>
        <v>https://www.catalog.slsa.sa.gov.au/record=b3191953</v>
      </c>
      <c r="C12481" s="1" t="str">
        <f>HYPERLINK("https://www.catalog.slsa.sa.gov.au/xrecord=b3191953")</f>
        <v>https://www.catalog.slsa.sa.gov.au/xrecord=b3191953</v>
      </c>
      <c r="D12481" t="s">
        <v>31636</v>
      </c>
      <c r="E12481" t="s">
        <v>38158</v>
      </c>
      <c r="F12481" t="s">
        <v>38134</v>
      </c>
      <c r="G12481" t="s">
        <v>36396</v>
      </c>
      <c r="H12481" t="s">
        <v>38159</v>
      </c>
      <c r="I12481" t="s">
        <v>38160</v>
      </c>
      <c r="J12481" t="s">
        <v>36129</v>
      </c>
      <c r="K12481" s="2" t="str">
        <f>HYPERLINK("http://collections.slsa.sa.gov.au/resource/B+76857")</f>
        <v>http://collections.slsa.sa.gov.au/resource/B+76857</v>
      </c>
    </row>
    <row r="12482" spans="1:11" x14ac:dyDescent="0.25">
      <c r="A12482" t="s">
        <v>38161</v>
      </c>
      <c r="B12482" s="1" t="str">
        <f>HYPERLINK("https://www.catalog.slsa.sa.gov.au/record=b3191954")</f>
        <v>https://www.catalog.slsa.sa.gov.au/record=b3191954</v>
      </c>
      <c r="C12482" s="1" t="str">
        <f>HYPERLINK("https://www.catalog.slsa.sa.gov.au/xrecord=b3191954")</f>
        <v>https://www.catalog.slsa.sa.gov.au/xrecord=b3191954</v>
      </c>
      <c r="D12482" t="s">
        <v>31636</v>
      </c>
      <c r="E12482" t="s">
        <v>38133</v>
      </c>
      <c r="F12482" t="s">
        <v>38134</v>
      </c>
      <c r="G12482" t="s">
        <v>36396</v>
      </c>
      <c r="H12482" t="s">
        <v>38162</v>
      </c>
      <c r="I12482" t="s">
        <v>38136</v>
      </c>
      <c r="J12482" t="s">
        <v>36129</v>
      </c>
      <c r="K12482" s="2" t="str">
        <f>HYPERLINK("http://collections.slsa.sa.gov.au/resource/B+76858")</f>
        <v>http://collections.slsa.sa.gov.au/resource/B+76858</v>
      </c>
    </row>
    <row r="12483" spans="1:11" x14ac:dyDescent="0.25">
      <c r="A12483" t="s">
        <v>38163</v>
      </c>
      <c r="B12483" s="1" t="str">
        <f>HYPERLINK("https://www.catalog.slsa.sa.gov.au/record=b3191955")</f>
        <v>https://www.catalog.slsa.sa.gov.au/record=b3191955</v>
      </c>
      <c r="C12483" s="1" t="str">
        <f>HYPERLINK("https://www.catalog.slsa.sa.gov.au/xrecord=b3191955")</f>
        <v>https://www.catalog.slsa.sa.gov.au/xrecord=b3191955</v>
      </c>
      <c r="D12483" t="s">
        <v>31636</v>
      </c>
      <c r="E12483" t="s">
        <v>38164</v>
      </c>
      <c r="F12483" t="s">
        <v>38134</v>
      </c>
      <c r="G12483" t="s">
        <v>36396</v>
      </c>
      <c r="H12483" t="s">
        <v>38165</v>
      </c>
      <c r="I12483" t="s">
        <v>38143</v>
      </c>
      <c r="J12483" t="s">
        <v>36129</v>
      </c>
      <c r="K12483" s="2" t="str">
        <f>HYPERLINK("http://collections.slsa.sa.gov.au/resource/B+76859")</f>
        <v>http://collections.slsa.sa.gov.au/resource/B+76859</v>
      </c>
    </row>
    <row r="12484" spans="1:11" x14ac:dyDescent="0.25">
      <c r="A12484" t="s">
        <v>38166</v>
      </c>
      <c r="B12484" s="1" t="str">
        <f>HYPERLINK("https://www.catalog.slsa.sa.gov.au/record=b3191956")</f>
        <v>https://www.catalog.slsa.sa.gov.au/record=b3191956</v>
      </c>
      <c r="C12484" s="1" t="str">
        <f>HYPERLINK("https://www.catalog.slsa.sa.gov.au/xrecord=b3191956")</f>
        <v>https://www.catalog.slsa.sa.gov.au/xrecord=b3191956</v>
      </c>
      <c r="D12484" t="s">
        <v>31636</v>
      </c>
      <c r="E12484" t="s">
        <v>38164</v>
      </c>
      <c r="F12484" t="s">
        <v>38134</v>
      </c>
      <c r="G12484" t="s">
        <v>36396</v>
      </c>
      <c r="H12484" t="s">
        <v>38167</v>
      </c>
      <c r="I12484" t="s">
        <v>38143</v>
      </c>
      <c r="J12484" t="s">
        <v>36129</v>
      </c>
      <c r="K12484" s="2" t="str">
        <f>HYPERLINK("http://collections.slsa.sa.gov.au/resource/B+76860")</f>
        <v>http://collections.slsa.sa.gov.au/resource/B+76860</v>
      </c>
    </row>
    <row r="12485" spans="1:11" x14ac:dyDescent="0.25">
      <c r="A12485" t="s">
        <v>38168</v>
      </c>
      <c r="B12485" s="1" t="str">
        <f>HYPERLINK("https://www.catalog.slsa.sa.gov.au/record=b3191957")</f>
        <v>https://www.catalog.slsa.sa.gov.au/record=b3191957</v>
      </c>
      <c r="C12485" s="1" t="str">
        <f>HYPERLINK("https://www.catalog.slsa.sa.gov.au/xrecord=b3191957")</f>
        <v>https://www.catalog.slsa.sa.gov.au/xrecord=b3191957</v>
      </c>
      <c r="D12485" t="s">
        <v>31636</v>
      </c>
      <c r="E12485" t="s">
        <v>38133</v>
      </c>
      <c r="F12485" t="s">
        <v>38134</v>
      </c>
      <c r="G12485" t="s">
        <v>36370</v>
      </c>
      <c r="H12485" t="s">
        <v>38169</v>
      </c>
      <c r="I12485" t="s">
        <v>38160</v>
      </c>
      <c r="J12485" t="s">
        <v>36129</v>
      </c>
      <c r="K12485" s="2" t="str">
        <f>HYPERLINK("http://collections.slsa.sa.gov.au/resource/B+76861")</f>
        <v>http://collections.slsa.sa.gov.au/resource/B+76861</v>
      </c>
    </row>
    <row r="12486" spans="1:11" x14ac:dyDescent="0.25">
      <c r="A12486" t="s">
        <v>38170</v>
      </c>
      <c r="B12486" s="1" t="str">
        <f>HYPERLINK("https://www.catalog.slsa.sa.gov.au/record=b3191959")</f>
        <v>https://www.catalog.slsa.sa.gov.au/record=b3191959</v>
      </c>
      <c r="C12486" s="1" t="str">
        <f>HYPERLINK("https://www.catalog.slsa.sa.gov.au/xrecord=b3191959")</f>
        <v>https://www.catalog.slsa.sa.gov.au/xrecord=b3191959</v>
      </c>
      <c r="D12486" t="s">
        <v>31636</v>
      </c>
      <c r="E12486" t="s">
        <v>38171</v>
      </c>
      <c r="F12486" t="s">
        <v>38134</v>
      </c>
      <c r="G12486" t="s">
        <v>36396</v>
      </c>
      <c r="H12486" t="s">
        <v>38172</v>
      </c>
      <c r="I12486" t="s">
        <v>38173</v>
      </c>
      <c r="J12486" t="s">
        <v>36129</v>
      </c>
      <c r="K12486" s="2" t="str">
        <f>HYPERLINK("http://collections.slsa.sa.gov.au/resource/B+76862")</f>
        <v>http://collections.slsa.sa.gov.au/resource/B+76862</v>
      </c>
    </row>
    <row r="12487" spans="1:11" x14ac:dyDescent="0.25">
      <c r="A12487" t="s">
        <v>38174</v>
      </c>
      <c r="B12487" s="1" t="str">
        <f>HYPERLINK("https://www.catalog.slsa.sa.gov.au/record=b3191960")</f>
        <v>https://www.catalog.slsa.sa.gov.au/record=b3191960</v>
      </c>
      <c r="C12487" s="1" t="str">
        <f>HYPERLINK("https://www.catalog.slsa.sa.gov.au/xrecord=b3191960")</f>
        <v>https://www.catalog.slsa.sa.gov.au/xrecord=b3191960</v>
      </c>
      <c r="D12487" t="s">
        <v>31636</v>
      </c>
      <c r="E12487" t="s">
        <v>38171</v>
      </c>
      <c r="F12487" t="s">
        <v>38134</v>
      </c>
      <c r="G12487" t="s">
        <v>36370</v>
      </c>
      <c r="H12487" t="s">
        <v>38172</v>
      </c>
      <c r="I12487" t="s">
        <v>38173</v>
      </c>
      <c r="J12487" t="s">
        <v>36129</v>
      </c>
      <c r="K12487" s="2" t="str">
        <f>HYPERLINK("http://collections.slsa.sa.gov.au/resource/B+76864")</f>
        <v>http://collections.slsa.sa.gov.au/resource/B+76864</v>
      </c>
    </row>
    <row r="12488" spans="1:11" x14ac:dyDescent="0.25">
      <c r="A12488" t="s">
        <v>38175</v>
      </c>
      <c r="B12488" s="1" t="str">
        <f>HYPERLINK("https://www.catalog.slsa.sa.gov.au/record=b3191961")</f>
        <v>https://www.catalog.slsa.sa.gov.au/record=b3191961</v>
      </c>
      <c r="C12488" s="1" t="str">
        <f>HYPERLINK("https://www.catalog.slsa.sa.gov.au/xrecord=b3191961")</f>
        <v>https://www.catalog.slsa.sa.gov.au/xrecord=b3191961</v>
      </c>
      <c r="D12488" t="s">
        <v>31636</v>
      </c>
      <c r="E12488" t="s">
        <v>38133</v>
      </c>
      <c r="F12488" t="s">
        <v>38134</v>
      </c>
      <c r="G12488" t="s">
        <v>36370</v>
      </c>
      <c r="H12488" t="s">
        <v>38176</v>
      </c>
      <c r="I12488" t="s">
        <v>38143</v>
      </c>
      <c r="J12488" t="s">
        <v>36129</v>
      </c>
      <c r="K12488" s="2" t="str">
        <f>HYPERLINK("http://collections.slsa.sa.gov.au/resource/B+76863")</f>
        <v>http://collections.slsa.sa.gov.au/resource/B+76863</v>
      </c>
    </row>
    <row r="12489" spans="1:11" x14ac:dyDescent="0.25">
      <c r="A12489" t="s">
        <v>38177</v>
      </c>
      <c r="B12489" s="1" t="str">
        <f>HYPERLINK("https://www.catalog.slsa.sa.gov.au/record=b3191962")</f>
        <v>https://www.catalog.slsa.sa.gov.au/record=b3191962</v>
      </c>
      <c r="C12489" s="1" t="str">
        <f>HYPERLINK("https://www.catalog.slsa.sa.gov.au/xrecord=b3191962")</f>
        <v>https://www.catalog.slsa.sa.gov.au/xrecord=b3191962</v>
      </c>
      <c r="D12489" t="s">
        <v>31636</v>
      </c>
      <c r="E12489" t="s">
        <v>38178</v>
      </c>
      <c r="F12489" t="s">
        <v>38134</v>
      </c>
      <c r="G12489" t="s">
        <v>36396</v>
      </c>
      <c r="H12489" t="s">
        <v>38179</v>
      </c>
      <c r="I12489" t="s">
        <v>38180</v>
      </c>
      <c r="J12489" t="s">
        <v>36129</v>
      </c>
      <c r="K12489" s="2" t="str">
        <f>HYPERLINK("http://collections.slsa.sa.gov.au/resource/B+76865")</f>
        <v>http://collections.slsa.sa.gov.au/resource/B+76865</v>
      </c>
    </row>
    <row r="12490" spans="1:11" x14ac:dyDescent="0.25">
      <c r="A12490" t="s">
        <v>38181</v>
      </c>
      <c r="B12490" s="1" t="str">
        <f>HYPERLINK("https://www.catalog.slsa.sa.gov.au/record=b3191971")</f>
        <v>https://www.catalog.slsa.sa.gov.au/record=b3191971</v>
      </c>
      <c r="C12490" s="1" t="str">
        <f>HYPERLINK("https://www.catalog.slsa.sa.gov.au/xrecord=b3191971")</f>
        <v>https://www.catalog.slsa.sa.gov.au/xrecord=b3191971</v>
      </c>
      <c r="D12490" t="s">
        <v>31636</v>
      </c>
      <c r="E12490" t="s">
        <v>38133</v>
      </c>
      <c r="F12490" t="s">
        <v>38134</v>
      </c>
      <c r="G12490" t="s">
        <v>36396</v>
      </c>
      <c r="H12490" t="s">
        <v>38182</v>
      </c>
      <c r="I12490" t="s">
        <v>38136</v>
      </c>
      <c r="J12490" t="s">
        <v>36129</v>
      </c>
      <c r="K12490" s="2" t="str">
        <f>HYPERLINK("http://collections.slsa.sa.gov.au/resource/B+76866")</f>
        <v>http://collections.slsa.sa.gov.au/resource/B+76866</v>
      </c>
    </row>
    <row r="12491" spans="1:11" x14ac:dyDescent="0.25">
      <c r="A12491" t="s">
        <v>38183</v>
      </c>
      <c r="B12491" s="1" t="str">
        <f>HYPERLINK("https://www.catalog.slsa.sa.gov.au/record=b3191972")</f>
        <v>https://www.catalog.slsa.sa.gov.au/record=b3191972</v>
      </c>
      <c r="C12491" s="1" t="str">
        <f>HYPERLINK("https://www.catalog.slsa.sa.gov.au/xrecord=b3191972")</f>
        <v>https://www.catalog.slsa.sa.gov.au/xrecord=b3191972</v>
      </c>
      <c r="D12491" t="s">
        <v>31636</v>
      </c>
      <c r="E12491" t="s">
        <v>38133</v>
      </c>
      <c r="F12491" t="s">
        <v>38134</v>
      </c>
      <c r="G12491" t="s">
        <v>36396</v>
      </c>
      <c r="H12491" t="s">
        <v>38184</v>
      </c>
      <c r="I12491" t="s">
        <v>38136</v>
      </c>
      <c r="J12491" t="s">
        <v>36129</v>
      </c>
      <c r="K12491" s="2" t="str">
        <f>HYPERLINK("http://collections.slsa.sa.gov.au/resource/B+76867")</f>
        <v>http://collections.slsa.sa.gov.au/resource/B+76867</v>
      </c>
    </row>
    <row r="12492" spans="1:11" x14ac:dyDescent="0.25">
      <c r="A12492" t="s">
        <v>38185</v>
      </c>
      <c r="B12492" s="1" t="str">
        <f>HYPERLINK("https://www.catalog.slsa.sa.gov.au/record=b3191973")</f>
        <v>https://www.catalog.slsa.sa.gov.au/record=b3191973</v>
      </c>
      <c r="C12492" s="1" t="str">
        <f>HYPERLINK("https://www.catalog.slsa.sa.gov.au/xrecord=b3191973")</f>
        <v>https://www.catalog.slsa.sa.gov.au/xrecord=b3191973</v>
      </c>
      <c r="D12492" t="s">
        <v>31636</v>
      </c>
      <c r="E12492" t="s">
        <v>38133</v>
      </c>
      <c r="F12492" t="s">
        <v>38134</v>
      </c>
      <c r="G12492" t="s">
        <v>36396</v>
      </c>
      <c r="H12492" t="s">
        <v>38186</v>
      </c>
      <c r="I12492" t="s">
        <v>38136</v>
      </c>
      <c r="J12492" t="s">
        <v>36129</v>
      </c>
      <c r="K12492" s="2" t="str">
        <f>HYPERLINK("http://collections.slsa.sa.gov.au/resource/B+76868")</f>
        <v>http://collections.slsa.sa.gov.au/resource/B+76868</v>
      </c>
    </row>
    <row r="12493" spans="1:11" x14ac:dyDescent="0.25">
      <c r="A12493" t="s">
        <v>38187</v>
      </c>
      <c r="B12493" s="1" t="str">
        <f>HYPERLINK("https://www.catalog.slsa.sa.gov.au/record=b3191974")</f>
        <v>https://www.catalog.slsa.sa.gov.au/record=b3191974</v>
      </c>
      <c r="C12493" s="1" t="str">
        <f>HYPERLINK("https://www.catalog.slsa.sa.gov.au/xrecord=b3191974")</f>
        <v>https://www.catalog.slsa.sa.gov.au/xrecord=b3191974</v>
      </c>
      <c r="D12493" t="s">
        <v>31636</v>
      </c>
      <c r="E12493" t="s">
        <v>38133</v>
      </c>
      <c r="F12493" t="s">
        <v>38134</v>
      </c>
      <c r="G12493" t="s">
        <v>36396</v>
      </c>
      <c r="H12493" t="s">
        <v>38188</v>
      </c>
      <c r="I12493" t="s">
        <v>38136</v>
      </c>
      <c r="J12493" t="s">
        <v>36129</v>
      </c>
      <c r="K12493" s="2" t="str">
        <f>HYPERLINK("http://collections.slsa.sa.gov.au/resource/B+76869")</f>
        <v>http://collections.slsa.sa.gov.au/resource/B+76869</v>
      </c>
    </row>
    <row r="12494" spans="1:11" x14ac:dyDescent="0.25">
      <c r="A12494" t="s">
        <v>38189</v>
      </c>
      <c r="B12494" s="1" t="str">
        <f>HYPERLINK("https://www.catalog.slsa.sa.gov.au/record=b3191975")</f>
        <v>https://www.catalog.slsa.sa.gov.au/record=b3191975</v>
      </c>
      <c r="C12494" s="1" t="str">
        <f>HYPERLINK("https://www.catalog.slsa.sa.gov.au/xrecord=b3191975")</f>
        <v>https://www.catalog.slsa.sa.gov.au/xrecord=b3191975</v>
      </c>
      <c r="D12494" t="s">
        <v>31636</v>
      </c>
      <c r="E12494" t="s">
        <v>38133</v>
      </c>
      <c r="F12494" t="s">
        <v>38134</v>
      </c>
      <c r="G12494" t="s">
        <v>36396</v>
      </c>
      <c r="H12494" t="s">
        <v>38190</v>
      </c>
      <c r="I12494" t="s">
        <v>38136</v>
      </c>
      <c r="J12494" t="s">
        <v>36129</v>
      </c>
      <c r="K12494" s="2" t="str">
        <f>HYPERLINK("http://collections.slsa.sa.gov.au/resource/B+76870")</f>
        <v>http://collections.slsa.sa.gov.au/resource/B+76870</v>
      </c>
    </row>
    <row r="12495" spans="1:11" x14ac:dyDescent="0.25">
      <c r="A12495" t="s">
        <v>38191</v>
      </c>
      <c r="B12495" s="1" t="str">
        <f>HYPERLINK("https://www.catalog.slsa.sa.gov.au/record=b3191976")</f>
        <v>https://www.catalog.slsa.sa.gov.au/record=b3191976</v>
      </c>
      <c r="C12495" s="1" t="str">
        <f>HYPERLINK("https://www.catalog.slsa.sa.gov.au/xrecord=b3191976")</f>
        <v>https://www.catalog.slsa.sa.gov.au/xrecord=b3191976</v>
      </c>
      <c r="D12495" t="s">
        <v>31636</v>
      </c>
      <c r="E12495" t="s">
        <v>38192</v>
      </c>
      <c r="F12495" t="s">
        <v>38134</v>
      </c>
      <c r="G12495" t="s">
        <v>36396</v>
      </c>
      <c r="H12495" t="s">
        <v>38193</v>
      </c>
      <c r="I12495" t="s">
        <v>38194</v>
      </c>
      <c r="J12495" t="s">
        <v>36129</v>
      </c>
      <c r="K12495" s="2" t="str">
        <f>HYPERLINK("http://collections.slsa.sa.gov.au/resource/B+76871")</f>
        <v>http://collections.slsa.sa.gov.au/resource/B+76871</v>
      </c>
    </row>
    <row r="12496" spans="1:11" x14ac:dyDescent="0.25">
      <c r="A12496" t="s">
        <v>38195</v>
      </c>
      <c r="B12496" s="1" t="str">
        <f>HYPERLINK("https://www.catalog.slsa.sa.gov.au/record=b3135608")</f>
        <v>https://www.catalog.slsa.sa.gov.au/record=b3135608</v>
      </c>
      <c r="C12496" s="1" t="str">
        <f>HYPERLINK("https://www.catalog.slsa.sa.gov.au/xrecord=b3135608")</f>
        <v>https://www.catalog.slsa.sa.gov.au/xrecord=b3135608</v>
      </c>
      <c r="D12496" t="s">
        <v>37027</v>
      </c>
      <c r="E12496" t="s">
        <v>38196</v>
      </c>
      <c r="F12496" t="s">
        <v>38197</v>
      </c>
      <c r="G12496" t="s">
        <v>38198</v>
      </c>
      <c r="H12496" t="s">
        <v>38199</v>
      </c>
      <c r="I12496" t="s">
        <v>38200</v>
      </c>
      <c r="J12496" t="s">
        <v>38201</v>
      </c>
      <c r="K12496" s="2" t="str">
        <f>HYPERLINK("http://collections.slsa.sa.gov.au/resource/B+75540")</f>
        <v>http://collections.slsa.sa.gov.au/resource/B+75540</v>
      </c>
    </row>
    <row r="12497" spans="1:11" x14ac:dyDescent="0.25">
      <c r="A12497" t="s">
        <v>38202</v>
      </c>
      <c r="B12497" s="1" t="str">
        <f>HYPERLINK("https://www.catalog.slsa.sa.gov.au/record=b3135614")</f>
        <v>https://www.catalog.slsa.sa.gov.au/record=b3135614</v>
      </c>
      <c r="C12497" s="1" t="str">
        <f>HYPERLINK("https://www.catalog.slsa.sa.gov.au/xrecord=b3135614")</f>
        <v>https://www.catalog.slsa.sa.gov.au/xrecord=b3135614</v>
      </c>
      <c r="D12497" t="s">
        <v>37027</v>
      </c>
      <c r="E12497" t="s">
        <v>38203</v>
      </c>
      <c r="F12497" t="s">
        <v>38197</v>
      </c>
      <c r="G12497" t="s">
        <v>38198</v>
      </c>
      <c r="H12497" t="s">
        <v>38204</v>
      </c>
      <c r="I12497" t="s">
        <v>38200</v>
      </c>
      <c r="J12497" t="s">
        <v>38201</v>
      </c>
      <c r="K12497" s="2" t="str">
        <f>HYPERLINK("http://collections.slsa.sa.gov.au/resource/B+75541")</f>
        <v>http://collections.slsa.sa.gov.au/resource/B+75541</v>
      </c>
    </row>
    <row r="12498" spans="1:11" x14ac:dyDescent="0.25">
      <c r="A12498" t="s">
        <v>38205</v>
      </c>
      <c r="B12498" s="1" t="str">
        <f>HYPERLINK("https://www.catalog.slsa.sa.gov.au/record=b3191306")</f>
        <v>https://www.catalog.slsa.sa.gov.au/record=b3191306</v>
      </c>
      <c r="C12498" s="1" t="str">
        <f>HYPERLINK("https://www.catalog.slsa.sa.gov.au/xrecord=b3191306")</f>
        <v>https://www.catalog.slsa.sa.gov.au/xrecord=b3191306</v>
      </c>
      <c r="D12498" t="s">
        <v>31636</v>
      </c>
      <c r="E12498" t="s">
        <v>38206</v>
      </c>
      <c r="F12498" t="s">
        <v>38207</v>
      </c>
      <c r="G12498" t="s">
        <v>38208</v>
      </c>
      <c r="H12498" t="s">
        <v>38209</v>
      </c>
      <c r="I12498" t="s">
        <v>38210</v>
      </c>
      <c r="J12498" t="s">
        <v>1809</v>
      </c>
      <c r="K12498" s="2" t="str">
        <f>HYPERLINK("http://collections.slsa.sa.gov.au/resource/B+76808")</f>
        <v>http://collections.slsa.sa.gov.au/resource/B+76808</v>
      </c>
    </row>
    <row r="12499" spans="1:11" x14ac:dyDescent="0.25">
      <c r="A12499" t="s">
        <v>38211</v>
      </c>
      <c r="B12499" s="1" t="str">
        <f>HYPERLINK("https://www.catalog.slsa.sa.gov.au/record=b3136026")</f>
        <v>https://www.catalog.slsa.sa.gov.au/record=b3136026</v>
      </c>
      <c r="C12499" s="1" t="str">
        <f>HYPERLINK("https://www.catalog.slsa.sa.gov.au/xrecord=b3136026")</f>
        <v>https://www.catalog.slsa.sa.gov.au/xrecord=b3136026</v>
      </c>
      <c r="D12499" t="s">
        <v>31636</v>
      </c>
      <c r="E12499" t="s">
        <v>34869</v>
      </c>
      <c r="F12499" t="s">
        <v>38212</v>
      </c>
      <c r="G12499" t="s">
        <v>37758</v>
      </c>
      <c r="H12499" t="s">
        <v>38213</v>
      </c>
      <c r="I12499" t="s">
        <v>34867</v>
      </c>
      <c r="J12499" t="s">
        <v>24353</v>
      </c>
      <c r="K12499" s="2" t="str">
        <f>HYPERLINK("http://collections.slsa.sa.gov.au/resource/B+76208")</f>
        <v>http://collections.slsa.sa.gov.au/resource/B+76208</v>
      </c>
    </row>
    <row r="12500" spans="1:11" x14ac:dyDescent="0.25">
      <c r="A12500" t="s">
        <v>38214</v>
      </c>
      <c r="B12500" s="1" t="str">
        <f>HYPERLINK("https://www.catalog.slsa.sa.gov.au/record=b3136032")</f>
        <v>https://www.catalog.slsa.sa.gov.au/record=b3136032</v>
      </c>
      <c r="C12500" s="1" t="str">
        <f>HYPERLINK("https://www.catalog.slsa.sa.gov.au/xrecord=b3136032")</f>
        <v>https://www.catalog.slsa.sa.gov.au/xrecord=b3136032</v>
      </c>
      <c r="D12500" t="s">
        <v>31636</v>
      </c>
      <c r="E12500" t="s">
        <v>34869</v>
      </c>
      <c r="F12500" t="s">
        <v>38212</v>
      </c>
      <c r="G12500" t="s">
        <v>37758</v>
      </c>
      <c r="H12500" t="s">
        <v>38215</v>
      </c>
      <c r="I12500" t="s">
        <v>34867</v>
      </c>
      <c r="J12500" t="s">
        <v>24353</v>
      </c>
      <c r="K12500" s="2" t="str">
        <f>HYPERLINK("http://collections.slsa.sa.gov.au/resource/B+76209")</f>
        <v>http://collections.slsa.sa.gov.au/resource/B+76209</v>
      </c>
    </row>
    <row r="12501" spans="1:11" x14ac:dyDescent="0.25">
      <c r="A12501" t="s">
        <v>38216</v>
      </c>
      <c r="B12501" s="1" t="str">
        <f>HYPERLINK("https://www.catalog.slsa.sa.gov.au/record=b3136033")</f>
        <v>https://www.catalog.slsa.sa.gov.au/record=b3136033</v>
      </c>
      <c r="C12501" s="1" t="str">
        <f>HYPERLINK("https://www.catalog.slsa.sa.gov.au/xrecord=b3136033")</f>
        <v>https://www.catalog.slsa.sa.gov.au/xrecord=b3136033</v>
      </c>
      <c r="D12501" t="s">
        <v>31636</v>
      </c>
      <c r="E12501" t="s">
        <v>34869</v>
      </c>
      <c r="F12501" t="s">
        <v>38212</v>
      </c>
      <c r="G12501" t="s">
        <v>38217</v>
      </c>
      <c r="H12501" t="s">
        <v>38218</v>
      </c>
      <c r="I12501" t="s">
        <v>34867</v>
      </c>
      <c r="J12501" t="s">
        <v>24353</v>
      </c>
      <c r="K12501" s="2" t="str">
        <f>HYPERLINK("http://collections.slsa.sa.gov.au/resource/B+76210")</f>
        <v>http://collections.slsa.sa.gov.au/resource/B+76210</v>
      </c>
    </row>
    <row r="12502" spans="1:11" x14ac:dyDescent="0.25">
      <c r="A12502" t="s">
        <v>38219</v>
      </c>
      <c r="B12502" s="1" t="str">
        <f>HYPERLINK("https://www.catalog.slsa.sa.gov.au/record=b3136034")</f>
        <v>https://www.catalog.slsa.sa.gov.au/record=b3136034</v>
      </c>
      <c r="C12502" s="1" t="str">
        <f>HYPERLINK("https://www.catalog.slsa.sa.gov.au/xrecord=b3136034")</f>
        <v>https://www.catalog.slsa.sa.gov.au/xrecord=b3136034</v>
      </c>
      <c r="D12502" t="s">
        <v>31636</v>
      </c>
      <c r="E12502" t="s">
        <v>34869</v>
      </c>
      <c r="F12502" t="s">
        <v>38212</v>
      </c>
      <c r="G12502" t="s">
        <v>38220</v>
      </c>
      <c r="H12502" t="s">
        <v>38221</v>
      </c>
      <c r="I12502" t="s">
        <v>34867</v>
      </c>
      <c r="J12502" t="s">
        <v>24353</v>
      </c>
      <c r="K12502" s="2" t="str">
        <f>HYPERLINK("http://collections.slsa.sa.gov.au/resource/B+76211")</f>
        <v>http://collections.slsa.sa.gov.au/resource/B+76211</v>
      </c>
    </row>
    <row r="12503" spans="1:11" x14ac:dyDescent="0.25">
      <c r="A12503" t="s">
        <v>38222</v>
      </c>
      <c r="B12503" s="1" t="str">
        <f>HYPERLINK("https://www.catalog.slsa.sa.gov.au/record=b3136035")</f>
        <v>https://www.catalog.slsa.sa.gov.au/record=b3136035</v>
      </c>
      <c r="C12503" s="1" t="str">
        <f>HYPERLINK("https://www.catalog.slsa.sa.gov.au/xrecord=b3136035")</f>
        <v>https://www.catalog.slsa.sa.gov.au/xrecord=b3136035</v>
      </c>
      <c r="D12503" t="s">
        <v>31636</v>
      </c>
      <c r="E12503" t="s">
        <v>34869</v>
      </c>
      <c r="F12503" t="s">
        <v>38212</v>
      </c>
      <c r="G12503" t="s">
        <v>38223</v>
      </c>
      <c r="H12503" t="s">
        <v>38224</v>
      </c>
      <c r="I12503" t="s">
        <v>34867</v>
      </c>
      <c r="J12503" t="s">
        <v>24353</v>
      </c>
      <c r="K12503" s="2" t="str">
        <f>HYPERLINK("http://collections.slsa.sa.gov.au/resource/B+76212")</f>
        <v>http://collections.slsa.sa.gov.au/resource/B+76212</v>
      </c>
    </row>
    <row r="12504" spans="1:11" x14ac:dyDescent="0.25">
      <c r="A12504" t="s">
        <v>38225</v>
      </c>
      <c r="B12504" s="1" t="str">
        <f>HYPERLINK("https://www.catalog.slsa.sa.gov.au/record=b3136036")</f>
        <v>https://www.catalog.slsa.sa.gov.au/record=b3136036</v>
      </c>
      <c r="C12504" s="1" t="str">
        <f>HYPERLINK("https://www.catalog.slsa.sa.gov.au/xrecord=b3136036")</f>
        <v>https://www.catalog.slsa.sa.gov.au/xrecord=b3136036</v>
      </c>
      <c r="D12504" t="s">
        <v>31636</v>
      </c>
      <c r="E12504" t="s">
        <v>34869</v>
      </c>
      <c r="F12504" t="s">
        <v>38212</v>
      </c>
      <c r="G12504" t="s">
        <v>37758</v>
      </c>
      <c r="H12504" t="s">
        <v>38224</v>
      </c>
      <c r="I12504" t="s">
        <v>34867</v>
      </c>
      <c r="J12504" t="s">
        <v>24353</v>
      </c>
      <c r="K12504" s="2" t="str">
        <f>HYPERLINK("http://collections.slsa.sa.gov.au/resource/B+76213")</f>
        <v>http://collections.slsa.sa.gov.au/resource/B+76213</v>
      </c>
    </row>
    <row r="12505" spans="1:11" x14ac:dyDescent="0.25">
      <c r="A12505" t="s">
        <v>38226</v>
      </c>
      <c r="B12505" s="1" t="str">
        <f>HYPERLINK("https://www.catalog.slsa.sa.gov.au/record=b3136037")</f>
        <v>https://www.catalog.slsa.sa.gov.au/record=b3136037</v>
      </c>
      <c r="C12505" s="1" t="str">
        <f>HYPERLINK("https://www.catalog.slsa.sa.gov.au/xrecord=b3136037")</f>
        <v>https://www.catalog.slsa.sa.gov.au/xrecord=b3136037</v>
      </c>
      <c r="D12505" t="s">
        <v>31636</v>
      </c>
      <c r="E12505" t="s">
        <v>34869</v>
      </c>
      <c r="F12505" t="s">
        <v>38212</v>
      </c>
      <c r="G12505" t="s">
        <v>37758</v>
      </c>
      <c r="H12505" t="s">
        <v>38224</v>
      </c>
      <c r="I12505" t="s">
        <v>34867</v>
      </c>
      <c r="J12505" t="s">
        <v>24353</v>
      </c>
      <c r="K12505" s="2" t="str">
        <f>HYPERLINK("http://collections.slsa.sa.gov.au/resource/B+76214")</f>
        <v>http://collections.slsa.sa.gov.au/resource/B+76214</v>
      </c>
    </row>
    <row r="12506" spans="1:11" x14ac:dyDescent="0.25">
      <c r="A12506" t="s">
        <v>38227</v>
      </c>
      <c r="B12506" s="1" t="str">
        <f>HYPERLINK("https://www.catalog.slsa.sa.gov.au/record=b3136038")</f>
        <v>https://www.catalog.slsa.sa.gov.au/record=b3136038</v>
      </c>
      <c r="C12506" s="1" t="str">
        <f>HYPERLINK("https://www.catalog.slsa.sa.gov.au/xrecord=b3136038")</f>
        <v>https://www.catalog.slsa.sa.gov.au/xrecord=b3136038</v>
      </c>
      <c r="D12506" t="s">
        <v>31636</v>
      </c>
      <c r="E12506" t="s">
        <v>34869</v>
      </c>
      <c r="F12506" t="s">
        <v>38212</v>
      </c>
      <c r="G12506" t="s">
        <v>37758</v>
      </c>
      <c r="H12506" t="s">
        <v>38224</v>
      </c>
      <c r="I12506" t="s">
        <v>34867</v>
      </c>
      <c r="J12506" t="s">
        <v>24353</v>
      </c>
      <c r="K12506" s="2" t="str">
        <f>HYPERLINK("http://collections.slsa.sa.gov.au/resource/B+76215")</f>
        <v>http://collections.slsa.sa.gov.au/resource/B+76215</v>
      </c>
    </row>
    <row r="12507" spans="1:11" x14ac:dyDescent="0.25">
      <c r="A12507" t="s">
        <v>38228</v>
      </c>
      <c r="B12507" s="1" t="str">
        <f>HYPERLINK("https://www.catalog.slsa.sa.gov.au/record=b3136039")</f>
        <v>https://www.catalog.slsa.sa.gov.au/record=b3136039</v>
      </c>
      <c r="C12507" s="1" t="str">
        <f>HYPERLINK("https://www.catalog.slsa.sa.gov.au/xrecord=b3136039")</f>
        <v>https://www.catalog.slsa.sa.gov.au/xrecord=b3136039</v>
      </c>
      <c r="D12507" t="s">
        <v>31636</v>
      </c>
      <c r="E12507" t="s">
        <v>34869</v>
      </c>
      <c r="F12507" t="s">
        <v>38212</v>
      </c>
      <c r="G12507" t="s">
        <v>37758</v>
      </c>
      <c r="H12507" t="s">
        <v>38224</v>
      </c>
      <c r="I12507" t="s">
        <v>34867</v>
      </c>
      <c r="J12507" t="s">
        <v>24353</v>
      </c>
      <c r="K12507" s="2" t="str">
        <f>HYPERLINK("http://collections.slsa.sa.gov.au/resource/B+76216")</f>
        <v>http://collections.slsa.sa.gov.au/resource/B+76216</v>
      </c>
    </row>
    <row r="12508" spans="1:11" x14ac:dyDescent="0.25">
      <c r="A12508" t="s">
        <v>38229</v>
      </c>
      <c r="B12508" s="1" t="str">
        <f>HYPERLINK("https://www.catalog.slsa.sa.gov.au/record=b3136040")</f>
        <v>https://www.catalog.slsa.sa.gov.au/record=b3136040</v>
      </c>
      <c r="C12508" s="1" t="str">
        <f>HYPERLINK("https://www.catalog.slsa.sa.gov.au/xrecord=b3136040")</f>
        <v>https://www.catalog.slsa.sa.gov.au/xrecord=b3136040</v>
      </c>
      <c r="D12508" t="s">
        <v>31636</v>
      </c>
      <c r="E12508" t="s">
        <v>34869</v>
      </c>
      <c r="F12508" t="s">
        <v>38212</v>
      </c>
      <c r="G12508" t="s">
        <v>37758</v>
      </c>
      <c r="H12508" t="s">
        <v>38224</v>
      </c>
      <c r="I12508" t="s">
        <v>34867</v>
      </c>
      <c r="J12508" t="s">
        <v>24353</v>
      </c>
      <c r="K12508" s="2" t="str">
        <f>HYPERLINK("http://collections.slsa.sa.gov.au/resource/B+76217")</f>
        <v>http://collections.slsa.sa.gov.au/resource/B+76217</v>
      </c>
    </row>
    <row r="12509" spans="1:11" x14ac:dyDescent="0.25">
      <c r="A12509" t="s">
        <v>38230</v>
      </c>
      <c r="B12509" s="1" t="str">
        <f>HYPERLINK("https://www.catalog.slsa.sa.gov.au/record=b3136041")</f>
        <v>https://www.catalog.slsa.sa.gov.au/record=b3136041</v>
      </c>
      <c r="C12509" s="1" t="str">
        <f>HYPERLINK("https://www.catalog.slsa.sa.gov.au/xrecord=b3136041")</f>
        <v>https://www.catalog.slsa.sa.gov.au/xrecord=b3136041</v>
      </c>
      <c r="D12509" t="s">
        <v>31636</v>
      </c>
      <c r="E12509" t="s">
        <v>34869</v>
      </c>
      <c r="F12509" t="s">
        <v>38212</v>
      </c>
      <c r="G12509" t="s">
        <v>38231</v>
      </c>
      <c r="H12509" t="s">
        <v>38232</v>
      </c>
      <c r="I12509" t="s">
        <v>34867</v>
      </c>
      <c r="J12509" t="s">
        <v>24353</v>
      </c>
      <c r="K12509" s="2" t="str">
        <f>HYPERLINK("http://collections.slsa.sa.gov.au/resource/B+76218")</f>
        <v>http://collections.slsa.sa.gov.au/resource/B+76218</v>
      </c>
    </row>
    <row r="12510" spans="1:11" x14ac:dyDescent="0.25">
      <c r="A12510" t="s">
        <v>38233</v>
      </c>
      <c r="B12510" s="1" t="str">
        <f>HYPERLINK("https://www.catalog.slsa.sa.gov.au/record=b3136042")</f>
        <v>https://www.catalog.slsa.sa.gov.au/record=b3136042</v>
      </c>
      <c r="C12510" s="1" t="str">
        <f>HYPERLINK("https://www.catalog.slsa.sa.gov.au/xrecord=b3136042")</f>
        <v>https://www.catalog.slsa.sa.gov.au/xrecord=b3136042</v>
      </c>
      <c r="D12510" t="s">
        <v>31636</v>
      </c>
      <c r="E12510" t="s">
        <v>34869</v>
      </c>
      <c r="F12510" t="s">
        <v>38212</v>
      </c>
      <c r="G12510" t="s">
        <v>38234</v>
      </c>
      <c r="H12510" t="s">
        <v>38235</v>
      </c>
      <c r="I12510" t="s">
        <v>34867</v>
      </c>
      <c r="J12510" t="s">
        <v>24353</v>
      </c>
      <c r="K12510" s="2" t="str">
        <f>HYPERLINK("http://collections.slsa.sa.gov.au/resource/B+76219")</f>
        <v>http://collections.slsa.sa.gov.au/resource/B+76219</v>
      </c>
    </row>
    <row r="12511" spans="1:11" x14ac:dyDescent="0.25">
      <c r="A12511" t="s">
        <v>38236</v>
      </c>
      <c r="B12511" s="1" t="str">
        <f>HYPERLINK("https://www.catalog.slsa.sa.gov.au/record=b3136043")</f>
        <v>https://www.catalog.slsa.sa.gov.au/record=b3136043</v>
      </c>
      <c r="C12511" s="1" t="str">
        <f>HYPERLINK("https://www.catalog.slsa.sa.gov.au/xrecord=b3136043")</f>
        <v>https://www.catalog.slsa.sa.gov.au/xrecord=b3136043</v>
      </c>
      <c r="D12511" t="s">
        <v>31636</v>
      </c>
      <c r="E12511" t="s">
        <v>34869</v>
      </c>
      <c r="F12511" t="s">
        <v>38212</v>
      </c>
      <c r="G12511" t="s">
        <v>38237</v>
      </c>
      <c r="H12511" t="s">
        <v>38238</v>
      </c>
      <c r="I12511" t="s">
        <v>34867</v>
      </c>
      <c r="J12511" t="s">
        <v>24353</v>
      </c>
      <c r="K12511" s="2" t="str">
        <f>HYPERLINK("http://collections.slsa.sa.gov.au/resource/B+76220")</f>
        <v>http://collections.slsa.sa.gov.au/resource/B+76220</v>
      </c>
    </row>
    <row r="12512" spans="1:11" x14ac:dyDescent="0.25">
      <c r="A12512" t="s">
        <v>38239</v>
      </c>
      <c r="B12512" s="1" t="str">
        <f>HYPERLINK("https://www.catalog.slsa.sa.gov.au/record=b3136044")</f>
        <v>https://www.catalog.slsa.sa.gov.au/record=b3136044</v>
      </c>
      <c r="C12512" s="1" t="str">
        <f>HYPERLINK("https://www.catalog.slsa.sa.gov.au/xrecord=b3136044")</f>
        <v>https://www.catalog.slsa.sa.gov.au/xrecord=b3136044</v>
      </c>
      <c r="D12512" t="s">
        <v>31636</v>
      </c>
      <c r="E12512" t="s">
        <v>34869</v>
      </c>
      <c r="F12512" t="s">
        <v>38212</v>
      </c>
      <c r="G12512" t="s">
        <v>38240</v>
      </c>
      <c r="H12512" t="s">
        <v>38241</v>
      </c>
      <c r="I12512" t="s">
        <v>34867</v>
      </c>
      <c r="J12512" t="s">
        <v>24353</v>
      </c>
      <c r="K12512" s="2" t="str">
        <f>HYPERLINK("http://collections.slsa.sa.gov.au/resource/B+76221")</f>
        <v>http://collections.slsa.sa.gov.au/resource/B+76221</v>
      </c>
    </row>
    <row r="12513" spans="1:11" x14ac:dyDescent="0.25">
      <c r="A12513" t="s">
        <v>38242</v>
      </c>
      <c r="B12513" s="1" t="str">
        <f>HYPERLINK("https://www.catalog.slsa.sa.gov.au/record=b3136045")</f>
        <v>https://www.catalog.slsa.sa.gov.au/record=b3136045</v>
      </c>
      <c r="C12513" s="1" t="str">
        <f>HYPERLINK("https://www.catalog.slsa.sa.gov.au/xrecord=b3136045")</f>
        <v>https://www.catalog.slsa.sa.gov.au/xrecord=b3136045</v>
      </c>
      <c r="D12513" t="s">
        <v>31636</v>
      </c>
      <c r="E12513" t="s">
        <v>34869</v>
      </c>
      <c r="F12513" t="s">
        <v>38212</v>
      </c>
      <c r="G12513" t="s">
        <v>37758</v>
      </c>
      <c r="H12513" t="s">
        <v>38243</v>
      </c>
      <c r="I12513" t="s">
        <v>34867</v>
      </c>
      <c r="J12513" t="s">
        <v>24353</v>
      </c>
      <c r="K12513" s="2" t="str">
        <f>HYPERLINK("http://collections.slsa.sa.gov.au/resource/B+76222")</f>
        <v>http://collections.slsa.sa.gov.au/resource/B+76222</v>
      </c>
    </row>
    <row r="12514" spans="1:11" x14ac:dyDescent="0.25">
      <c r="A12514" t="s">
        <v>38244</v>
      </c>
      <c r="B12514" s="1" t="str">
        <f>HYPERLINK("https://www.catalog.slsa.sa.gov.au/record=b3136046")</f>
        <v>https://www.catalog.slsa.sa.gov.au/record=b3136046</v>
      </c>
      <c r="C12514" s="1" t="str">
        <f>HYPERLINK("https://www.catalog.slsa.sa.gov.au/xrecord=b3136046")</f>
        <v>https://www.catalog.slsa.sa.gov.au/xrecord=b3136046</v>
      </c>
      <c r="D12514" t="s">
        <v>31636</v>
      </c>
      <c r="E12514" t="s">
        <v>34869</v>
      </c>
      <c r="F12514" t="s">
        <v>38212</v>
      </c>
      <c r="G12514" t="s">
        <v>38245</v>
      </c>
      <c r="H12514" t="s">
        <v>38246</v>
      </c>
      <c r="I12514" t="s">
        <v>34867</v>
      </c>
      <c r="J12514" t="s">
        <v>24353</v>
      </c>
      <c r="K12514" s="2" t="str">
        <f>HYPERLINK("http://collections.slsa.sa.gov.au/resource/B+76223")</f>
        <v>http://collections.slsa.sa.gov.au/resource/B+76223</v>
      </c>
    </row>
    <row r="12515" spans="1:11" x14ac:dyDescent="0.25">
      <c r="A12515" t="s">
        <v>38247</v>
      </c>
      <c r="B12515" s="1" t="str">
        <f>HYPERLINK("https://www.catalog.slsa.sa.gov.au/record=b3136047")</f>
        <v>https://www.catalog.slsa.sa.gov.au/record=b3136047</v>
      </c>
      <c r="C12515" s="1" t="str">
        <f>HYPERLINK("https://www.catalog.slsa.sa.gov.au/xrecord=b3136047")</f>
        <v>https://www.catalog.slsa.sa.gov.au/xrecord=b3136047</v>
      </c>
      <c r="D12515" t="s">
        <v>31636</v>
      </c>
      <c r="E12515" t="s">
        <v>34869</v>
      </c>
      <c r="F12515" t="s">
        <v>38212</v>
      </c>
      <c r="G12515" t="s">
        <v>38248</v>
      </c>
      <c r="H12515" t="s">
        <v>38241</v>
      </c>
      <c r="I12515" t="s">
        <v>34867</v>
      </c>
      <c r="J12515" t="s">
        <v>24353</v>
      </c>
      <c r="K12515" s="2" t="str">
        <f>HYPERLINK("http://collections.slsa.sa.gov.au/resource/B+76224")</f>
        <v>http://collections.slsa.sa.gov.au/resource/B+76224</v>
      </c>
    </row>
    <row r="12516" spans="1:11" x14ac:dyDescent="0.25">
      <c r="A12516" t="s">
        <v>38249</v>
      </c>
      <c r="B12516" s="1" t="str">
        <f>HYPERLINK("https://www.catalog.slsa.sa.gov.au/record=b3136048")</f>
        <v>https://www.catalog.slsa.sa.gov.au/record=b3136048</v>
      </c>
      <c r="C12516" s="1" t="str">
        <f>HYPERLINK("https://www.catalog.slsa.sa.gov.au/xrecord=b3136048")</f>
        <v>https://www.catalog.slsa.sa.gov.au/xrecord=b3136048</v>
      </c>
      <c r="D12516" t="s">
        <v>31636</v>
      </c>
      <c r="E12516" t="s">
        <v>34869</v>
      </c>
      <c r="F12516" t="s">
        <v>38212</v>
      </c>
      <c r="G12516" t="s">
        <v>38250</v>
      </c>
      <c r="H12516" t="s">
        <v>38251</v>
      </c>
      <c r="I12516" t="s">
        <v>34867</v>
      </c>
      <c r="J12516" t="s">
        <v>24353</v>
      </c>
      <c r="K12516" s="2" t="str">
        <f>HYPERLINK("http://collections.slsa.sa.gov.au/resource/B+76225")</f>
        <v>http://collections.slsa.sa.gov.au/resource/B+76225</v>
      </c>
    </row>
    <row r="12517" spans="1:11" x14ac:dyDescent="0.25">
      <c r="A12517" t="s">
        <v>38252</v>
      </c>
      <c r="B12517" s="1" t="str">
        <f>HYPERLINK("https://www.catalog.slsa.sa.gov.au/record=b3136049")</f>
        <v>https://www.catalog.slsa.sa.gov.au/record=b3136049</v>
      </c>
      <c r="C12517" s="1" t="str">
        <f>HYPERLINK("https://www.catalog.slsa.sa.gov.au/xrecord=b3136049")</f>
        <v>https://www.catalog.slsa.sa.gov.au/xrecord=b3136049</v>
      </c>
      <c r="D12517" t="s">
        <v>31636</v>
      </c>
      <c r="E12517" t="s">
        <v>34869</v>
      </c>
      <c r="F12517" t="s">
        <v>38212</v>
      </c>
      <c r="G12517" t="s">
        <v>38253</v>
      </c>
      <c r="H12517" t="s">
        <v>38254</v>
      </c>
      <c r="I12517" t="s">
        <v>34867</v>
      </c>
      <c r="J12517" t="s">
        <v>24353</v>
      </c>
      <c r="K12517" s="2" t="str">
        <f>HYPERLINK("http://collections.slsa.sa.gov.au/resource/B+76226")</f>
        <v>http://collections.slsa.sa.gov.au/resource/B+76226</v>
      </c>
    </row>
    <row r="12518" spans="1:11" x14ac:dyDescent="0.25">
      <c r="A12518" t="s">
        <v>38255</v>
      </c>
      <c r="B12518" s="1" t="str">
        <f>HYPERLINK("https://www.catalog.slsa.sa.gov.au/record=b3136050")</f>
        <v>https://www.catalog.slsa.sa.gov.au/record=b3136050</v>
      </c>
      <c r="C12518" s="1" t="str">
        <f>HYPERLINK("https://www.catalog.slsa.sa.gov.au/xrecord=b3136050")</f>
        <v>https://www.catalog.slsa.sa.gov.au/xrecord=b3136050</v>
      </c>
      <c r="D12518" t="s">
        <v>31636</v>
      </c>
      <c r="E12518" t="s">
        <v>34869</v>
      </c>
      <c r="F12518" t="s">
        <v>38212</v>
      </c>
      <c r="G12518" t="s">
        <v>38256</v>
      </c>
      <c r="H12518" t="s">
        <v>38257</v>
      </c>
      <c r="I12518" t="s">
        <v>34867</v>
      </c>
      <c r="J12518" t="s">
        <v>24353</v>
      </c>
      <c r="K12518" s="2" t="str">
        <f>HYPERLINK("http://collections.slsa.sa.gov.au/resource/B+76227")</f>
        <v>http://collections.slsa.sa.gov.au/resource/B+76227</v>
      </c>
    </row>
    <row r="12519" spans="1:11" x14ac:dyDescent="0.25">
      <c r="A12519" t="s">
        <v>38258</v>
      </c>
      <c r="B12519" s="1" t="str">
        <f>HYPERLINK("https://www.catalog.slsa.sa.gov.au/record=b3136051")</f>
        <v>https://www.catalog.slsa.sa.gov.au/record=b3136051</v>
      </c>
      <c r="C12519" s="1" t="str">
        <f>HYPERLINK("https://www.catalog.slsa.sa.gov.au/xrecord=b3136051")</f>
        <v>https://www.catalog.slsa.sa.gov.au/xrecord=b3136051</v>
      </c>
      <c r="D12519" t="s">
        <v>31636</v>
      </c>
      <c r="E12519" t="s">
        <v>34869</v>
      </c>
      <c r="F12519" t="s">
        <v>38212</v>
      </c>
      <c r="G12519" t="s">
        <v>38259</v>
      </c>
      <c r="H12519" t="s">
        <v>38260</v>
      </c>
      <c r="I12519" t="s">
        <v>34867</v>
      </c>
      <c r="J12519" t="s">
        <v>24353</v>
      </c>
      <c r="K12519" s="2" t="str">
        <f>HYPERLINK("http://collections.slsa.sa.gov.au/resource/B+76228")</f>
        <v>http://collections.slsa.sa.gov.au/resource/B+76228</v>
      </c>
    </row>
    <row r="12520" spans="1:11" x14ac:dyDescent="0.25">
      <c r="A12520" t="s">
        <v>38261</v>
      </c>
      <c r="B12520" s="1" t="str">
        <f>HYPERLINK("https://www.catalog.slsa.sa.gov.au/record=b3136052")</f>
        <v>https://www.catalog.slsa.sa.gov.au/record=b3136052</v>
      </c>
      <c r="C12520" s="1" t="str">
        <f>HYPERLINK("https://www.catalog.slsa.sa.gov.au/xrecord=b3136052")</f>
        <v>https://www.catalog.slsa.sa.gov.au/xrecord=b3136052</v>
      </c>
      <c r="D12520" t="s">
        <v>31636</v>
      </c>
      <c r="E12520" t="s">
        <v>34869</v>
      </c>
      <c r="F12520" t="s">
        <v>38212</v>
      </c>
      <c r="G12520" t="s">
        <v>37758</v>
      </c>
      <c r="H12520" t="s">
        <v>38262</v>
      </c>
      <c r="I12520" t="s">
        <v>34867</v>
      </c>
      <c r="J12520" t="s">
        <v>24353</v>
      </c>
      <c r="K12520" s="2" t="str">
        <f>HYPERLINK("http://collections.slsa.sa.gov.au/resource/B+76229")</f>
        <v>http://collections.slsa.sa.gov.au/resource/B+76229</v>
      </c>
    </row>
    <row r="12521" spans="1:11" x14ac:dyDescent="0.25">
      <c r="A12521" t="s">
        <v>38263</v>
      </c>
      <c r="B12521" s="1" t="str">
        <f>HYPERLINK("https://www.catalog.slsa.sa.gov.au/record=b3136053")</f>
        <v>https://www.catalog.slsa.sa.gov.au/record=b3136053</v>
      </c>
      <c r="C12521" s="1" t="str">
        <f>HYPERLINK("https://www.catalog.slsa.sa.gov.au/xrecord=b3136053")</f>
        <v>https://www.catalog.slsa.sa.gov.au/xrecord=b3136053</v>
      </c>
      <c r="D12521" t="s">
        <v>31636</v>
      </c>
      <c r="E12521" t="s">
        <v>34869</v>
      </c>
      <c r="F12521" t="s">
        <v>38212</v>
      </c>
      <c r="G12521" t="s">
        <v>37758</v>
      </c>
      <c r="H12521" t="s">
        <v>38264</v>
      </c>
      <c r="I12521" t="s">
        <v>34867</v>
      </c>
      <c r="J12521" t="s">
        <v>24353</v>
      </c>
      <c r="K12521" s="2" t="str">
        <f>HYPERLINK("http://collections.slsa.sa.gov.au/resource/B+76230")</f>
        <v>http://collections.slsa.sa.gov.au/resource/B+76230</v>
      </c>
    </row>
    <row r="12522" spans="1:11" x14ac:dyDescent="0.25">
      <c r="A12522" t="s">
        <v>38265</v>
      </c>
      <c r="B12522" s="1" t="str">
        <f>HYPERLINK("https://www.catalog.slsa.sa.gov.au/record=b3136054")</f>
        <v>https://www.catalog.slsa.sa.gov.au/record=b3136054</v>
      </c>
      <c r="C12522" s="1" t="str">
        <f>HYPERLINK("https://www.catalog.slsa.sa.gov.au/xrecord=b3136054")</f>
        <v>https://www.catalog.slsa.sa.gov.au/xrecord=b3136054</v>
      </c>
      <c r="D12522" t="s">
        <v>31636</v>
      </c>
      <c r="E12522" t="s">
        <v>34869</v>
      </c>
      <c r="F12522" t="s">
        <v>38212</v>
      </c>
      <c r="G12522" t="s">
        <v>37758</v>
      </c>
      <c r="H12522" t="s">
        <v>38266</v>
      </c>
      <c r="I12522" t="s">
        <v>34867</v>
      </c>
      <c r="J12522" t="s">
        <v>24353</v>
      </c>
      <c r="K12522" s="2" t="str">
        <f>HYPERLINK("http://collections.slsa.sa.gov.au/resource/B+76231")</f>
        <v>http://collections.slsa.sa.gov.au/resource/B+76231</v>
      </c>
    </row>
    <row r="12523" spans="1:11" x14ac:dyDescent="0.25">
      <c r="A12523" t="s">
        <v>38267</v>
      </c>
      <c r="B12523" s="1" t="str">
        <f>HYPERLINK("https://www.catalog.slsa.sa.gov.au/record=b3136055")</f>
        <v>https://www.catalog.slsa.sa.gov.au/record=b3136055</v>
      </c>
      <c r="C12523" s="1" t="str">
        <f>HYPERLINK("https://www.catalog.slsa.sa.gov.au/xrecord=b3136055")</f>
        <v>https://www.catalog.slsa.sa.gov.au/xrecord=b3136055</v>
      </c>
      <c r="D12523" t="s">
        <v>31636</v>
      </c>
      <c r="E12523" t="s">
        <v>34869</v>
      </c>
      <c r="F12523" t="s">
        <v>38212</v>
      </c>
      <c r="G12523" t="s">
        <v>38268</v>
      </c>
      <c r="H12523" t="s">
        <v>38264</v>
      </c>
      <c r="I12523" t="s">
        <v>34867</v>
      </c>
      <c r="J12523" t="s">
        <v>24353</v>
      </c>
      <c r="K12523" s="2" t="str">
        <f>HYPERLINK("http://collections.slsa.sa.gov.au/resource/B+76232")</f>
        <v>http://collections.slsa.sa.gov.au/resource/B+76232</v>
      </c>
    </row>
    <row r="12524" spans="1:11" x14ac:dyDescent="0.25">
      <c r="A12524" t="s">
        <v>38269</v>
      </c>
      <c r="B12524" s="1" t="str">
        <f>HYPERLINK("https://www.catalog.slsa.sa.gov.au/record=b3136056")</f>
        <v>https://www.catalog.slsa.sa.gov.au/record=b3136056</v>
      </c>
      <c r="C12524" s="1" t="str">
        <f>HYPERLINK("https://www.catalog.slsa.sa.gov.au/xrecord=b3136056")</f>
        <v>https://www.catalog.slsa.sa.gov.au/xrecord=b3136056</v>
      </c>
      <c r="D12524" t="s">
        <v>31636</v>
      </c>
      <c r="E12524" t="s">
        <v>34869</v>
      </c>
      <c r="F12524" t="s">
        <v>38212</v>
      </c>
      <c r="G12524" t="s">
        <v>37716</v>
      </c>
      <c r="H12524" t="s">
        <v>38270</v>
      </c>
      <c r="I12524" t="s">
        <v>34867</v>
      </c>
      <c r="J12524" t="s">
        <v>24353</v>
      </c>
      <c r="K12524" s="2" t="str">
        <f>HYPERLINK("http://collections.slsa.sa.gov.au/resource/B+76234")</f>
        <v>http://collections.slsa.sa.gov.au/resource/B+76234</v>
      </c>
    </row>
    <row r="12525" spans="1:11" x14ac:dyDescent="0.25">
      <c r="A12525" t="s">
        <v>38271</v>
      </c>
      <c r="B12525" s="1" t="str">
        <f>HYPERLINK("https://www.catalog.slsa.sa.gov.au/record=b3136057")</f>
        <v>https://www.catalog.slsa.sa.gov.au/record=b3136057</v>
      </c>
      <c r="C12525" s="1" t="str">
        <f>HYPERLINK("https://www.catalog.slsa.sa.gov.au/xrecord=b3136057")</f>
        <v>https://www.catalog.slsa.sa.gov.au/xrecord=b3136057</v>
      </c>
      <c r="D12525" t="s">
        <v>31636</v>
      </c>
      <c r="E12525" t="s">
        <v>34869</v>
      </c>
      <c r="F12525" t="s">
        <v>38212</v>
      </c>
      <c r="G12525" t="s">
        <v>37758</v>
      </c>
      <c r="H12525" t="s">
        <v>38272</v>
      </c>
      <c r="I12525" t="s">
        <v>34867</v>
      </c>
      <c r="J12525" t="s">
        <v>24353</v>
      </c>
      <c r="K12525" s="2" t="str">
        <f>HYPERLINK("http://collections.slsa.sa.gov.au/resource/B+76233")</f>
        <v>http://collections.slsa.sa.gov.au/resource/B+76233</v>
      </c>
    </row>
    <row r="12526" spans="1:11" x14ac:dyDescent="0.25">
      <c r="A12526" t="s">
        <v>38273</v>
      </c>
      <c r="B12526" s="1" t="str">
        <f>HYPERLINK("https://www.catalog.slsa.sa.gov.au/record=b3136058")</f>
        <v>https://www.catalog.slsa.sa.gov.au/record=b3136058</v>
      </c>
      <c r="C12526" s="1" t="str">
        <f>HYPERLINK("https://www.catalog.slsa.sa.gov.au/xrecord=b3136058")</f>
        <v>https://www.catalog.slsa.sa.gov.au/xrecord=b3136058</v>
      </c>
      <c r="D12526" t="s">
        <v>31636</v>
      </c>
      <c r="E12526" t="s">
        <v>34869</v>
      </c>
      <c r="F12526" t="s">
        <v>38212</v>
      </c>
      <c r="G12526" t="s">
        <v>37758</v>
      </c>
      <c r="H12526" t="s">
        <v>38274</v>
      </c>
      <c r="I12526" t="s">
        <v>34867</v>
      </c>
      <c r="J12526" t="s">
        <v>24353</v>
      </c>
      <c r="K12526" s="2" t="str">
        <f>HYPERLINK("http://collections.slsa.sa.gov.au/resource/B+76235")</f>
        <v>http://collections.slsa.sa.gov.au/resource/B+76235</v>
      </c>
    </row>
    <row r="12527" spans="1:11" x14ac:dyDescent="0.25">
      <c r="A12527" t="s">
        <v>38275</v>
      </c>
      <c r="B12527" s="1" t="str">
        <f>HYPERLINK("https://www.catalog.slsa.sa.gov.au/record=b3136059")</f>
        <v>https://www.catalog.slsa.sa.gov.au/record=b3136059</v>
      </c>
      <c r="C12527" s="1" t="str">
        <f>HYPERLINK("https://www.catalog.slsa.sa.gov.au/xrecord=b3136059")</f>
        <v>https://www.catalog.slsa.sa.gov.au/xrecord=b3136059</v>
      </c>
      <c r="D12527" t="s">
        <v>31636</v>
      </c>
      <c r="E12527" t="s">
        <v>34869</v>
      </c>
      <c r="F12527" t="s">
        <v>38212</v>
      </c>
      <c r="G12527" t="s">
        <v>38276</v>
      </c>
      <c r="H12527" t="s">
        <v>38277</v>
      </c>
      <c r="I12527" t="s">
        <v>34867</v>
      </c>
      <c r="J12527" t="s">
        <v>24353</v>
      </c>
      <c r="K12527" s="2" t="str">
        <f>HYPERLINK("http://collections.slsa.sa.gov.au/resource/B+76236")</f>
        <v>http://collections.slsa.sa.gov.au/resource/B+76236</v>
      </c>
    </row>
    <row r="12528" spans="1:11" x14ac:dyDescent="0.25">
      <c r="A12528" t="s">
        <v>38278</v>
      </c>
      <c r="B12528" s="1" t="str">
        <f>HYPERLINK("https://www.catalog.slsa.sa.gov.au/record=b3136060")</f>
        <v>https://www.catalog.slsa.sa.gov.au/record=b3136060</v>
      </c>
      <c r="C12528" s="1" t="str">
        <f>HYPERLINK("https://www.catalog.slsa.sa.gov.au/xrecord=b3136060")</f>
        <v>https://www.catalog.slsa.sa.gov.au/xrecord=b3136060</v>
      </c>
      <c r="D12528" t="s">
        <v>31636</v>
      </c>
      <c r="E12528" t="s">
        <v>34869</v>
      </c>
      <c r="F12528" t="s">
        <v>38212</v>
      </c>
      <c r="G12528" t="s">
        <v>37758</v>
      </c>
      <c r="H12528" t="s">
        <v>38279</v>
      </c>
      <c r="I12528" t="s">
        <v>34867</v>
      </c>
      <c r="J12528" t="s">
        <v>24353</v>
      </c>
      <c r="K12528" s="2" t="str">
        <f>HYPERLINK("http://collections.slsa.sa.gov.au/resource/B+76237")</f>
        <v>http://collections.slsa.sa.gov.au/resource/B+76237</v>
      </c>
    </row>
    <row r="12529" spans="1:11" x14ac:dyDescent="0.25">
      <c r="A12529" t="s">
        <v>38280</v>
      </c>
      <c r="B12529" s="1" t="str">
        <f>HYPERLINK("https://www.catalog.slsa.sa.gov.au/record=b3136061")</f>
        <v>https://www.catalog.slsa.sa.gov.au/record=b3136061</v>
      </c>
      <c r="C12529" s="1" t="str">
        <f>HYPERLINK("https://www.catalog.slsa.sa.gov.au/xrecord=b3136061")</f>
        <v>https://www.catalog.slsa.sa.gov.au/xrecord=b3136061</v>
      </c>
      <c r="D12529" t="s">
        <v>31636</v>
      </c>
      <c r="E12529" t="s">
        <v>34869</v>
      </c>
      <c r="F12529" t="s">
        <v>38212</v>
      </c>
      <c r="G12529" t="s">
        <v>37758</v>
      </c>
      <c r="H12529" t="s">
        <v>38279</v>
      </c>
      <c r="I12529" t="s">
        <v>34867</v>
      </c>
      <c r="J12529" t="s">
        <v>24353</v>
      </c>
      <c r="K12529" s="2" t="str">
        <f>HYPERLINK("http://collections.slsa.sa.gov.au/resource/B+76238")</f>
        <v>http://collections.slsa.sa.gov.au/resource/B+76238</v>
      </c>
    </row>
    <row r="12530" spans="1:11" x14ac:dyDescent="0.25">
      <c r="A12530" t="s">
        <v>38281</v>
      </c>
      <c r="B12530" s="1" t="str">
        <f>HYPERLINK("https://www.catalog.slsa.sa.gov.au/record=b3136062")</f>
        <v>https://www.catalog.slsa.sa.gov.au/record=b3136062</v>
      </c>
      <c r="C12530" s="1" t="str">
        <f>HYPERLINK("https://www.catalog.slsa.sa.gov.au/xrecord=b3136062")</f>
        <v>https://www.catalog.slsa.sa.gov.au/xrecord=b3136062</v>
      </c>
      <c r="D12530" t="s">
        <v>31636</v>
      </c>
      <c r="E12530" t="s">
        <v>34869</v>
      </c>
      <c r="F12530" t="s">
        <v>38212</v>
      </c>
      <c r="G12530" t="s">
        <v>38282</v>
      </c>
      <c r="H12530" t="s">
        <v>38283</v>
      </c>
      <c r="I12530" t="s">
        <v>34867</v>
      </c>
      <c r="J12530" t="s">
        <v>24353</v>
      </c>
      <c r="K12530" s="2" t="str">
        <f>HYPERLINK("http://collections.slsa.sa.gov.au/resource/B+76239")</f>
        <v>http://collections.slsa.sa.gov.au/resource/B+76239</v>
      </c>
    </row>
    <row r="12531" spans="1:11" x14ac:dyDescent="0.25">
      <c r="A12531" t="s">
        <v>38284</v>
      </c>
      <c r="B12531" s="1" t="str">
        <f>HYPERLINK("https://www.catalog.slsa.sa.gov.au/record=b3136063")</f>
        <v>https://www.catalog.slsa.sa.gov.au/record=b3136063</v>
      </c>
      <c r="C12531" s="1" t="str">
        <f>HYPERLINK("https://www.catalog.slsa.sa.gov.au/xrecord=b3136063")</f>
        <v>https://www.catalog.slsa.sa.gov.au/xrecord=b3136063</v>
      </c>
      <c r="D12531" t="s">
        <v>31636</v>
      </c>
      <c r="E12531" t="s">
        <v>34869</v>
      </c>
      <c r="F12531" t="s">
        <v>38212</v>
      </c>
      <c r="G12531" t="s">
        <v>38285</v>
      </c>
      <c r="H12531" t="s">
        <v>38286</v>
      </c>
      <c r="I12531" t="s">
        <v>34867</v>
      </c>
      <c r="J12531" t="s">
        <v>24353</v>
      </c>
      <c r="K12531" s="2" t="str">
        <f>HYPERLINK("http://collections.slsa.sa.gov.au/resource/B+76240")</f>
        <v>http://collections.slsa.sa.gov.au/resource/B+76240</v>
      </c>
    </row>
    <row r="12532" spans="1:11" x14ac:dyDescent="0.25">
      <c r="A12532" t="s">
        <v>38287</v>
      </c>
      <c r="B12532" s="1" t="str">
        <f>HYPERLINK("https://www.catalog.slsa.sa.gov.au/record=b3136064")</f>
        <v>https://www.catalog.slsa.sa.gov.au/record=b3136064</v>
      </c>
      <c r="C12532" s="1" t="str">
        <f>HYPERLINK("https://www.catalog.slsa.sa.gov.au/xrecord=b3136064")</f>
        <v>https://www.catalog.slsa.sa.gov.au/xrecord=b3136064</v>
      </c>
      <c r="D12532" t="s">
        <v>31636</v>
      </c>
      <c r="E12532" t="s">
        <v>34869</v>
      </c>
      <c r="F12532" t="s">
        <v>38212</v>
      </c>
      <c r="G12532" t="s">
        <v>38288</v>
      </c>
      <c r="H12532" t="s">
        <v>38289</v>
      </c>
      <c r="I12532" t="s">
        <v>34867</v>
      </c>
      <c r="J12532" t="s">
        <v>24353</v>
      </c>
      <c r="K12532" s="2" t="str">
        <f>HYPERLINK("http://collections.slsa.sa.gov.au/resource/B+76241")</f>
        <v>http://collections.slsa.sa.gov.au/resource/B+76241</v>
      </c>
    </row>
    <row r="12533" spans="1:11" x14ac:dyDescent="0.25">
      <c r="A12533" t="s">
        <v>38290</v>
      </c>
      <c r="B12533" s="1" t="str">
        <f>HYPERLINK("https://www.catalog.slsa.sa.gov.au/record=b3136065")</f>
        <v>https://www.catalog.slsa.sa.gov.au/record=b3136065</v>
      </c>
      <c r="C12533" s="1" t="str">
        <f>HYPERLINK("https://www.catalog.slsa.sa.gov.au/xrecord=b3136065")</f>
        <v>https://www.catalog.slsa.sa.gov.au/xrecord=b3136065</v>
      </c>
      <c r="D12533" t="s">
        <v>31636</v>
      </c>
      <c r="E12533" t="s">
        <v>34869</v>
      </c>
      <c r="F12533" t="s">
        <v>38212</v>
      </c>
      <c r="G12533" t="s">
        <v>37758</v>
      </c>
      <c r="H12533" t="s">
        <v>38291</v>
      </c>
      <c r="I12533" t="s">
        <v>34867</v>
      </c>
      <c r="J12533" t="s">
        <v>24353</v>
      </c>
      <c r="K12533" s="2" t="str">
        <f>HYPERLINK("http://collections.slsa.sa.gov.au/resource/B+76242")</f>
        <v>http://collections.slsa.sa.gov.au/resource/B+76242</v>
      </c>
    </row>
    <row r="12534" spans="1:11" x14ac:dyDescent="0.25">
      <c r="A12534" t="s">
        <v>38292</v>
      </c>
      <c r="B12534" s="1" t="str">
        <f>HYPERLINK("https://www.catalog.slsa.sa.gov.au/record=b3136066")</f>
        <v>https://www.catalog.slsa.sa.gov.au/record=b3136066</v>
      </c>
      <c r="C12534" s="1" t="str">
        <f>HYPERLINK("https://www.catalog.slsa.sa.gov.au/xrecord=b3136066")</f>
        <v>https://www.catalog.slsa.sa.gov.au/xrecord=b3136066</v>
      </c>
      <c r="D12534" t="s">
        <v>31636</v>
      </c>
      <c r="E12534" t="s">
        <v>34869</v>
      </c>
      <c r="F12534" t="s">
        <v>38212</v>
      </c>
      <c r="G12534" t="s">
        <v>37758</v>
      </c>
      <c r="H12534" t="s">
        <v>38291</v>
      </c>
      <c r="I12534" t="s">
        <v>34867</v>
      </c>
      <c r="J12534" t="s">
        <v>24353</v>
      </c>
      <c r="K12534" s="2" t="str">
        <f>HYPERLINK("http://collections.slsa.sa.gov.au/resource/B+76243")</f>
        <v>http://collections.slsa.sa.gov.au/resource/B+76243</v>
      </c>
    </row>
    <row r="12535" spans="1:11" x14ac:dyDescent="0.25">
      <c r="A12535" t="s">
        <v>38293</v>
      </c>
      <c r="B12535" s="1" t="str">
        <f>HYPERLINK("https://www.catalog.slsa.sa.gov.au/record=b3136068")</f>
        <v>https://www.catalog.slsa.sa.gov.au/record=b3136068</v>
      </c>
      <c r="C12535" s="1" t="str">
        <f>HYPERLINK("https://www.catalog.slsa.sa.gov.au/xrecord=b3136068")</f>
        <v>https://www.catalog.slsa.sa.gov.au/xrecord=b3136068</v>
      </c>
      <c r="D12535" t="s">
        <v>31636</v>
      </c>
      <c r="E12535" t="s">
        <v>34869</v>
      </c>
      <c r="F12535" t="s">
        <v>38212</v>
      </c>
      <c r="G12535" t="s">
        <v>37758</v>
      </c>
      <c r="H12535" t="s">
        <v>38291</v>
      </c>
      <c r="I12535" t="s">
        <v>34867</v>
      </c>
      <c r="J12535" t="s">
        <v>24353</v>
      </c>
      <c r="K12535" s="2" t="str">
        <f>HYPERLINK("http://collections.slsa.sa.gov.au/resource/B+76244")</f>
        <v>http://collections.slsa.sa.gov.au/resource/B+76244</v>
      </c>
    </row>
    <row r="12536" spans="1:11" x14ac:dyDescent="0.25">
      <c r="A12536" t="s">
        <v>38294</v>
      </c>
      <c r="B12536" s="1" t="str">
        <f>HYPERLINK("https://www.catalog.slsa.sa.gov.au/record=b3136069")</f>
        <v>https://www.catalog.slsa.sa.gov.au/record=b3136069</v>
      </c>
      <c r="C12536" s="1" t="str">
        <f>HYPERLINK("https://www.catalog.slsa.sa.gov.au/xrecord=b3136069")</f>
        <v>https://www.catalog.slsa.sa.gov.au/xrecord=b3136069</v>
      </c>
      <c r="D12536" t="s">
        <v>31636</v>
      </c>
      <c r="E12536" t="s">
        <v>34869</v>
      </c>
      <c r="F12536" t="s">
        <v>38212</v>
      </c>
      <c r="G12536" t="s">
        <v>38295</v>
      </c>
      <c r="H12536" t="s">
        <v>38296</v>
      </c>
      <c r="I12536" t="s">
        <v>34867</v>
      </c>
      <c r="J12536" t="s">
        <v>24353</v>
      </c>
      <c r="K12536" s="2" t="str">
        <f>HYPERLINK("http://collections.slsa.sa.gov.au/resource/B+76245")</f>
        <v>http://collections.slsa.sa.gov.au/resource/B+76245</v>
      </c>
    </row>
    <row r="12537" spans="1:11" x14ac:dyDescent="0.25">
      <c r="A12537" t="s">
        <v>38297</v>
      </c>
      <c r="B12537" s="1" t="str">
        <f>HYPERLINK("https://www.catalog.slsa.sa.gov.au/record=b3136070")</f>
        <v>https://www.catalog.slsa.sa.gov.au/record=b3136070</v>
      </c>
      <c r="C12537" s="1" t="str">
        <f>HYPERLINK("https://www.catalog.slsa.sa.gov.au/xrecord=b3136070")</f>
        <v>https://www.catalog.slsa.sa.gov.au/xrecord=b3136070</v>
      </c>
      <c r="D12537" t="s">
        <v>31636</v>
      </c>
      <c r="E12537" t="s">
        <v>34869</v>
      </c>
      <c r="F12537" t="s">
        <v>38212</v>
      </c>
      <c r="G12537" t="s">
        <v>37758</v>
      </c>
      <c r="H12537" t="s">
        <v>38298</v>
      </c>
      <c r="I12537" t="s">
        <v>34867</v>
      </c>
      <c r="J12537" t="s">
        <v>24353</v>
      </c>
      <c r="K12537" s="2" t="str">
        <f>HYPERLINK("http://collections.slsa.sa.gov.au/resource/B+76246")</f>
        <v>http://collections.slsa.sa.gov.au/resource/B+76246</v>
      </c>
    </row>
    <row r="12538" spans="1:11" x14ac:dyDescent="0.25">
      <c r="A12538" t="s">
        <v>38299</v>
      </c>
      <c r="B12538" s="1" t="str">
        <f>HYPERLINK("https://www.catalog.slsa.sa.gov.au/record=b3136071")</f>
        <v>https://www.catalog.slsa.sa.gov.au/record=b3136071</v>
      </c>
      <c r="C12538" s="1" t="str">
        <f>HYPERLINK("https://www.catalog.slsa.sa.gov.au/xrecord=b3136071")</f>
        <v>https://www.catalog.slsa.sa.gov.au/xrecord=b3136071</v>
      </c>
      <c r="D12538" t="s">
        <v>31636</v>
      </c>
      <c r="E12538" t="s">
        <v>34869</v>
      </c>
      <c r="F12538" t="s">
        <v>38212</v>
      </c>
      <c r="G12538" t="s">
        <v>37758</v>
      </c>
      <c r="H12538" t="s">
        <v>38300</v>
      </c>
      <c r="I12538" t="s">
        <v>34867</v>
      </c>
      <c r="J12538" t="s">
        <v>24353</v>
      </c>
      <c r="K12538" s="2" t="str">
        <f>HYPERLINK("http://collections.slsa.sa.gov.au/resource/B+76247")</f>
        <v>http://collections.slsa.sa.gov.au/resource/B+76247</v>
      </c>
    </row>
    <row r="12539" spans="1:11" x14ac:dyDescent="0.25">
      <c r="A12539" t="s">
        <v>38301</v>
      </c>
      <c r="B12539" s="1" t="str">
        <f>HYPERLINK("https://www.catalog.slsa.sa.gov.au/record=b3136072")</f>
        <v>https://www.catalog.slsa.sa.gov.au/record=b3136072</v>
      </c>
      <c r="C12539" s="1" t="str">
        <f>HYPERLINK("https://www.catalog.slsa.sa.gov.au/xrecord=b3136072")</f>
        <v>https://www.catalog.slsa.sa.gov.au/xrecord=b3136072</v>
      </c>
      <c r="D12539" t="s">
        <v>31636</v>
      </c>
      <c r="E12539" t="s">
        <v>34869</v>
      </c>
      <c r="F12539" t="s">
        <v>38212</v>
      </c>
      <c r="G12539" t="s">
        <v>38302</v>
      </c>
      <c r="H12539" t="s">
        <v>38303</v>
      </c>
      <c r="I12539" t="s">
        <v>34867</v>
      </c>
      <c r="J12539" t="s">
        <v>24353</v>
      </c>
      <c r="K12539" s="2" t="str">
        <f>HYPERLINK("http://collections.slsa.sa.gov.au/resource/B+76248")</f>
        <v>http://collections.slsa.sa.gov.au/resource/B+76248</v>
      </c>
    </row>
    <row r="12540" spans="1:11" x14ac:dyDescent="0.25">
      <c r="A12540" t="s">
        <v>38304</v>
      </c>
      <c r="B12540" s="1" t="str">
        <f>HYPERLINK("https://www.catalog.slsa.sa.gov.au/record=b3136073")</f>
        <v>https://www.catalog.slsa.sa.gov.au/record=b3136073</v>
      </c>
      <c r="C12540" s="1" t="str">
        <f>HYPERLINK("https://www.catalog.slsa.sa.gov.au/xrecord=b3136073")</f>
        <v>https://www.catalog.slsa.sa.gov.au/xrecord=b3136073</v>
      </c>
      <c r="D12540" t="s">
        <v>31636</v>
      </c>
      <c r="E12540" t="s">
        <v>34869</v>
      </c>
      <c r="F12540" t="s">
        <v>38212</v>
      </c>
      <c r="G12540" t="s">
        <v>38305</v>
      </c>
      <c r="H12540" t="s">
        <v>38306</v>
      </c>
      <c r="I12540" t="s">
        <v>34867</v>
      </c>
      <c r="J12540" t="s">
        <v>24353</v>
      </c>
      <c r="K12540" s="2" t="str">
        <f>HYPERLINK("http://collections.slsa.sa.gov.au/resource/B+76249")</f>
        <v>http://collections.slsa.sa.gov.au/resource/B+76249</v>
      </c>
    </row>
    <row r="12541" spans="1:11" x14ac:dyDescent="0.25">
      <c r="A12541" t="s">
        <v>38307</v>
      </c>
      <c r="B12541" s="1" t="str">
        <f>HYPERLINK("https://www.catalog.slsa.sa.gov.au/record=b3136074")</f>
        <v>https://www.catalog.slsa.sa.gov.au/record=b3136074</v>
      </c>
      <c r="C12541" s="1" t="str">
        <f>HYPERLINK("https://www.catalog.slsa.sa.gov.au/xrecord=b3136074")</f>
        <v>https://www.catalog.slsa.sa.gov.au/xrecord=b3136074</v>
      </c>
      <c r="D12541" t="s">
        <v>31636</v>
      </c>
      <c r="E12541" t="s">
        <v>34869</v>
      </c>
      <c r="F12541" t="s">
        <v>38212</v>
      </c>
      <c r="G12541" t="s">
        <v>38308</v>
      </c>
      <c r="H12541" t="s">
        <v>38306</v>
      </c>
      <c r="I12541" t="s">
        <v>34867</v>
      </c>
      <c r="J12541" t="s">
        <v>24353</v>
      </c>
      <c r="K12541" s="2" t="str">
        <f>HYPERLINK("http://collections.slsa.sa.gov.au/resource/B+76250")</f>
        <v>http://collections.slsa.sa.gov.au/resource/B+76250</v>
      </c>
    </row>
    <row r="12542" spans="1:11" x14ac:dyDescent="0.25">
      <c r="A12542" t="s">
        <v>38309</v>
      </c>
      <c r="B12542" s="1" t="str">
        <f>HYPERLINK("https://www.catalog.slsa.sa.gov.au/record=b3136075")</f>
        <v>https://www.catalog.slsa.sa.gov.au/record=b3136075</v>
      </c>
      <c r="C12542" s="1" t="str">
        <f>HYPERLINK("https://www.catalog.slsa.sa.gov.au/xrecord=b3136075")</f>
        <v>https://www.catalog.slsa.sa.gov.au/xrecord=b3136075</v>
      </c>
      <c r="D12542" t="s">
        <v>31636</v>
      </c>
      <c r="E12542" t="s">
        <v>34869</v>
      </c>
      <c r="F12542" t="s">
        <v>38212</v>
      </c>
      <c r="G12542" t="s">
        <v>38310</v>
      </c>
      <c r="H12542" t="s">
        <v>38311</v>
      </c>
      <c r="I12542" t="s">
        <v>34867</v>
      </c>
      <c r="J12542" t="s">
        <v>24353</v>
      </c>
      <c r="K12542" s="2" t="str">
        <f>HYPERLINK("http://collections.slsa.sa.gov.au/resource/B+76251")</f>
        <v>http://collections.slsa.sa.gov.au/resource/B+76251</v>
      </c>
    </row>
    <row r="12543" spans="1:11" x14ac:dyDescent="0.25">
      <c r="A12543" t="s">
        <v>38312</v>
      </c>
      <c r="B12543" s="1" t="str">
        <f>HYPERLINK("https://www.catalog.slsa.sa.gov.au/record=b3136076")</f>
        <v>https://www.catalog.slsa.sa.gov.au/record=b3136076</v>
      </c>
      <c r="C12543" s="1" t="str">
        <f>HYPERLINK("https://www.catalog.slsa.sa.gov.au/xrecord=b3136076")</f>
        <v>https://www.catalog.slsa.sa.gov.au/xrecord=b3136076</v>
      </c>
      <c r="D12543" t="s">
        <v>31636</v>
      </c>
      <c r="E12543" t="s">
        <v>34869</v>
      </c>
      <c r="F12543" t="s">
        <v>38212</v>
      </c>
      <c r="G12543" t="s">
        <v>38313</v>
      </c>
      <c r="H12543" t="s">
        <v>38314</v>
      </c>
      <c r="I12543" t="s">
        <v>34867</v>
      </c>
      <c r="J12543" t="s">
        <v>24353</v>
      </c>
      <c r="K12543" s="2" t="str">
        <f>HYPERLINK("http://collections.slsa.sa.gov.au/resource/B+76252")</f>
        <v>http://collections.slsa.sa.gov.au/resource/B+76252</v>
      </c>
    </row>
    <row r="12544" spans="1:11" x14ac:dyDescent="0.25">
      <c r="A12544" t="s">
        <v>38315</v>
      </c>
      <c r="B12544" s="1" t="str">
        <f>HYPERLINK("https://www.catalog.slsa.sa.gov.au/record=b3136077")</f>
        <v>https://www.catalog.slsa.sa.gov.au/record=b3136077</v>
      </c>
      <c r="C12544" s="1" t="str">
        <f>HYPERLINK("https://www.catalog.slsa.sa.gov.au/xrecord=b3136077")</f>
        <v>https://www.catalog.slsa.sa.gov.au/xrecord=b3136077</v>
      </c>
      <c r="D12544" t="s">
        <v>31636</v>
      </c>
      <c r="E12544" t="s">
        <v>34869</v>
      </c>
      <c r="F12544" t="s">
        <v>38212</v>
      </c>
      <c r="G12544" t="s">
        <v>38308</v>
      </c>
      <c r="H12544" t="s">
        <v>38316</v>
      </c>
      <c r="I12544" t="s">
        <v>34867</v>
      </c>
      <c r="J12544" t="s">
        <v>24353</v>
      </c>
      <c r="K12544" s="2" t="str">
        <f>HYPERLINK("http://collections.slsa.sa.gov.au/resource/B+76253")</f>
        <v>http://collections.slsa.sa.gov.au/resource/B+76253</v>
      </c>
    </row>
    <row r="12545" spans="1:11" x14ac:dyDescent="0.25">
      <c r="A12545" t="s">
        <v>38317</v>
      </c>
      <c r="B12545" s="1" t="str">
        <f>HYPERLINK("https://www.catalog.slsa.sa.gov.au/record=b3136078")</f>
        <v>https://www.catalog.slsa.sa.gov.au/record=b3136078</v>
      </c>
      <c r="C12545" s="1" t="str">
        <f>HYPERLINK("https://www.catalog.slsa.sa.gov.au/xrecord=b3136078")</f>
        <v>https://www.catalog.slsa.sa.gov.au/xrecord=b3136078</v>
      </c>
      <c r="D12545" t="s">
        <v>31636</v>
      </c>
      <c r="E12545" t="s">
        <v>34869</v>
      </c>
      <c r="F12545" t="s">
        <v>38212</v>
      </c>
      <c r="G12545" t="s">
        <v>38318</v>
      </c>
      <c r="H12545" t="s">
        <v>38319</v>
      </c>
      <c r="I12545" t="s">
        <v>34867</v>
      </c>
      <c r="J12545" t="s">
        <v>24353</v>
      </c>
      <c r="K12545" s="2" t="str">
        <f>HYPERLINK("http://collections.slsa.sa.gov.au/resource/B+76254")</f>
        <v>http://collections.slsa.sa.gov.au/resource/B+76254</v>
      </c>
    </row>
    <row r="12546" spans="1:11" x14ac:dyDescent="0.25">
      <c r="A12546" t="s">
        <v>38320</v>
      </c>
      <c r="B12546" s="1" t="str">
        <f>HYPERLINK("https://www.catalog.slsa.sa.gov.au/record=b3136079")</f>
        <v>https://www.catalog.slsa.sa.gov.au/record=b3136079</v>
      </c>
      <c r="C12546" s="1" t="str">
        <f>HYPERLINK("https://www.catalog.slsa.sa.gov.au/xrecord=b3136079")</f>
        <v>https://www.catalog.slsa.sa.gov.au/xrecord=b3136079</v>
      </c>
      <c r="D12546" t="s">
        <v>31636</v>
      </c>
      <c r="E12546" t="s">
        <v>34869</v>
      </c>
      <c r="F12546" t="s">
        <v>38212</v>
      </c>
      <c r="G12546" t="s">
        <v>37758</v>
      </c>
      <c r="H12546" t="s">
        <v>38321</v>
      </c>
      <c r="I12546" t="s">
        <v>34867</v>
      </c>
      <c r="J12546" t="s">
        <v>24353</v>
      </c>
      <c r="K12546" s="2" t="str">
        <f>HYPERLINK("http://collections.slsa.sa.gov.au/resource/B+76255")</f>
        <v>http://collections.slsa.sa.gov.au/resource/B+76255</v>
      </c>
    </row>
    <row r="12547" spans="1:11" x14ac:dyDescent="0.25">
      <c r="A12547" t="s">
        <v>38322</v>
      </c>
      <c r="B12547" s="1" t="str">
        <f>HYPERLINK("https://www.catalog.slsa.sa.gov.au/record=b3136080")</f>
        <v>https://www.catalog.slsa.sa.gov.au/record=b3136080</v>
      </c>
      <c r="C12547" s="1" t="str">
        <f>HYPERLINK("https://www.catalog.slsa.sa.gov.au/xrecord=b3136080")</f>
        <v>https://www.catalog.slsa.sa.gov.au/xrecord=b3136080</v>
      </c>
      <c r="D12547" t="s">
        <v>31636</v>
      </c>
      <c r="E12547" t="s">
        <v>34869</v>
      </c>
      <c r="F12547" t="s">
        <v>38212</v>
      </c>
      <c r="G12547" t="s">
        <v>37716</v>
      </c>
      <c r="H12547" t="s">
        <v>38323</v>
      </c>
      <c r="I12547" t="s">
        <v>34867</v>
      </c>
      <c r="J12547" t="s">
        <v>24353</v>
      </c>
      <c r="K12547" s="2" t="str">
        <f>HYPERLINK("http://collections.slsa.sa.gov.au/resource/B+76256")</f>
        <v>http://collections.slsa.sa.gov.au/resource/B+76256</v>
      </c>
    </row>
    <row r="12548" spans="1:11" x14ac:dyDescent="0.25">
      <c r="A12548" t="s">
        <v>38324</v>
      </c>
      <c r="B12548" s="1" t="str">
        <f>HYPERLINK("https://www.catalog.slsa.sa.gov.au/record=b3136081")</f>
        <v>https://www.catalog.slsa.sa.gov.au/record=b3136081</v>
      </c>
      <c r="C12548" s="1" t="str">
        <f>HYPERLINK("https://www.catalog.slsa.sa.gov.au/xrecord=b3136081")</f>
        <v>https://www.catalog.slsa.sa.gov.au/xrecord=b3136081</v>
      </c>
      <c r="D12548" t="s">
        <v>31636</v>
      </c>
      <c r="E12548" t="s">
        <v>34869</v>
      </c>
      <c r="F12548" t="s">
        <v>38212</v>
      </c>
      <c r="G12548" t="s">
        <v>37716</v>
      </c>
      <c r="H12548" t="s">
        <v>38325</v>
      </c>
      <c r="I12548" t="s">
        <v>34867</v>
      </c>
      <c r="J12548" t="s">
        <v>24353</v>
      </c>
      <c r="K12548" s="2" t="str">
        <f>HYPERLINK("http://collections.slsa.sa.gov.au/resource/B+76257")</f>
        <v>http://collections.slsa.sa.gov.au/resource/B+76257</v>
      </c>
    </row>
    <row r="12549" spans="1:11" x14ac:dyDescent="0.25">
      <c r="A12549" t="s">
        <v>38326</v>
      </c>
      <c r="B12549" s="1" t="str">
        <f>HYPERLINK("https://www.catalog.slsa.sa.gov.au/record=b3136082")</f>
        <v>https://www.catalog.slsa.sa.gov.au/record=b3136082</v>
      </c>
      <c r="C12549" s="1" t="str">
        <f>HYPERLINK("https://www.catalog.slsa.sa.gov.au/xrecord=b3136082")</f>
        <v>https://www.catalog.slsa.sa.gov.au/xrecord=b3136082</v>
      </c>
      <c r="D12549" t="s">
        <v>31636</v>
      </c>
      <c r="E12549" t="s">
        <v>34869</v>
      </c>
      <c r="F12549" t="s">
        <v>38212</v>
      </c>
      <c r="G12549" t="s">
        <v>37716</v>
      </c>
      <c r="H12549" t="s">
        <v>38327</v>
      </c>
      <c r="I12549" t="s">
        <v>34867</v>
      </c>
      <c r="J12549" t="s">
        <v>24353</v>
      </c>
      <c r="K12549" s="2" t="str">
        <f>HYPERLINK("http://collections.slsa.sa.gov.au/resource/B+76258")</f>
        <v>http://collections.slsa.sa.gov.au/resource/B+76258</v>
      </c>
    </row>
    <row r="12550" spans="1:11" x14ac:dyDescent="0.25">
      <c r="A12550" t="s">
        <v>38328</v>
      </c>
      <c r="B12550" s="1" t="str">
        <f>HYPERLINK("https://www.catalog.slsa.sa.gov.au/record=b3136083")</f>
        <v>https://www.catalog.slsa.sa.gov.au/record=b3136083</v>
      </c>
      <c r="C12550" s="1" t="str">
        <f>HYPERLINK("https://www.catalog.slsa.sa.gov.au/xrecord=b3136083")</f>
        <v>https://www.catalog.slsa.sa.gov.au/xrecord=b3136083</v>
      </c>
      <c r="D12550" t="s">
        <v>31636</v>
      </c>
      <c r="E12550" t="s">
        <v>34869</v>
      </c>
      <c r="F12550" t="s">
        <v>38212</v>
      </c>
      <c r="G12550" t="s">
        <v>37758</v>
      </c>
      <c r="H12550" t="s">
        <v>38329</v>
      </c>
      <c r="I12550" t="s">
        <v>34867</v>
      </c>
      <c r="J12550" t="s">
        <v>24353</v>
      </c>
      <c r="K12550" s="2" t="str">
        <f>HYPERLINK("http://collections.slsa.sa.gov.au/resource/B+76259")</f>
        <v>http://collections.slsa.sa.gov.au/resource/B+76259</v>
      </c>
    </row>
    <row r="12551" spans="1:11" x14ac:dyDescent="0.25">
      <c r="A12551" t="s">
        <v>38330</v>
      </c>
      <c r="B12551" s="1" t="str">
        <f>HYPERLINK("https://www.catalog.slsa.sa.gov.au/record=b3136084")</f>
        <v>https://www.catalog.slsa.sa.gov.au/record=b3136084</v>
      </c>
      <c r="C12551" s="1" t="str">
        <f>HYPERLINK("https://www.catalog.slsa.sa.gov.au/xrecord=b3136084")</f>
        <v>https://www.catalog.slsa.sa.gov.au/xrecord=b3136084</v>
      </c>
      <c r="D12551" t="s">
        <v>31636</v>
      </c>
      <c r="E12551" t="s">
        <v>34869</v>
      </c>
      <c r="F12551" t="s">
        <v>38212</v>
      </c>
      <c r="G12551" t="s">
        <v>38331</v>
      </c>
      <c r="H12551" t="s">
        <v>38332</v>
      </c>
      <c r="I12551" t="s">
        <v>34867</v>
      </c>
      <c r="J12551" t="s">
        <v>24353</v>
      </c>
      <c r="K12551" s="2" t="str">
        <f>HYPERLINK("http://collections.slsa.sa.gov.au/resource/B+76260")</f>
        <v>http://collections.slsa.sa.gov.au/resource/B+76260</v>
      </c>
    </row>
    <row r="12552" spans="1:11" x14ac:dyDescent="0.25">
      <c r="A12552" t="s">
        <v>38333</v>
      </c>
      <c r="B12552" s="1" t="str">
        <f>HYPERLINK("https://www.catalog.slsa.sa.gov.au/record=b3136085")</f>
        <v>https://www.catalog.slsa.sa.gov.au/record=b3136085</v>
      </c>
      <c r="C12552" s="1" t="str">
        <f>HYPERLINK("https://www.catalog.slsa.sa.gov.au/xrecord=b3136085")</f>
        <v>https://www.catalog.slsa.sa.gov.au/xrecord=b3136085</v>
      </c>
      <c r="D12552" t="s">
        <v>31636</v>
      </c>
      <c r="E12552" t="s">
        <v>34869</v>
      </c>
      <c r="F12552" t="s">
        <v>38212</v>
      </c>
      <c r="G12552" t="s">
        <v>38334</v>
      </c>
      <c r="H12552" t="s">
        <v>38335</v>
      </c>
      <c r="I12552" t="s">
        <v>34867</v>
      </c>
      <c r="J12552" t="s">
        <v>24353</v>
      </c>
      <c r="K12552" s="2" t="str">
        <f>HYPERLINK("http://collections.slsa.sa.gov.au/resource/B+76261")</f>
        <v>http://collections.slsa.sa.gov.au/resource/B+76261</v>
      </c>
    </row>
    <row r="12553" spans="1:11" x14ac:dyDescent="0.25">
      <c r="A12553" t="s">
        <v>38336</v>
      </c>
      <c r="B12553" s="1" t="str">
        <f>HYPERLINK("https://www.catalog.slsa.sa.gov.au/record=b3136088")</f>
        <v>https://www.catalog.slsa.sa.gov.au/record=b3136088</v>
      </c>
      <c r="C12553" s="1" t="str">
        <f>HYPERLINK("https://www.catalog.slsa.sa.gov.au/xrecord=b3136088")</f>
        <v>https://www.catalog.slsa.sa.gov.au/xrecord=b3136088</v>
      </c>
      <c r="D12553" t="s">
        <v>31636</v>
      </c>
      <c r="E12553" t="s">
        <v>34869</v>
      </c>
      <c r="F12553" t="s">
        <v>38212</v>
      </c>
      <c r="G12553" t="s">
        <v>38337</v>
      </c>
      <c r="H12553" t="s">
        <v>38335</v>
      </c>
      <c r="I12553" t="s">
        <v>34867</v>
      </c>
      <c r="J12553" t="s">
        <v>24353</v>
      </c>
      <c r="K12553" s="2" t="str">
        <f>HYPERLINK("http://collections.slsa.sa.gov.au/resource/B+76262")</f>
        <v>http://collections.slsa.sa.gov.au/resource/B+76262</v>
      </c>
    </row>
    <row r="12554" spans="1:11" x14ac:dyDescent="0.25">
      <c r="A12554" t="s">
        <v>38338</v>
      </c>
      <c r="B12554" s="1" t="str">
        <f>HYPERLINK("https://www.catalog.slsa.sa.gov.au/record=b3136089")</f>
        <v>https://www.catalog.slsa.sa.gov.au/record=b3136089</v>
      </c>
      <c r="C12554" s="1" t="str">
        <f>HYPERLINK("https://www.catalog.slsa.sa.gov.au/xrecord=b3136089")</f>
        <v>https://www.catalog.slsa.sa.gov.au/xrecord=b3136089</v>
      </c>
      <c r="D12554" t="s">
        <v>31636</v>
      </c>
      <c r="E12554" t="s">
        <v>34869</v>
      </c>
      <c r="F12554" t="s">
        <v>38212</v>
      </c>
      <c r="G12554" t="s">
        <v>38339</v>
      </c>
      <c r="H12554" t="s">
        <v>38340</v>
      </c>
      <c r="I12554" t="s">
        <v>34867</v>
      </c>
      <c r="J12554" t="s">
        <v>24353</v>
      </c>
      <c r="K12554" s="2" t="str">
        <f>HYPERLINK("http://collections.slsa.sa.gov.au/resource/B+76263")</f>
        <v>http://collections.slsa.sa.gov.au/resource/B+76263</v>
      </c>
    </row>
    <row r="12555" spans="1:11" x14ac:dyDescent="0.25">
      <c r="A12555" t="s">
        <v>38341</v>
      </c>
      <c r="B12555" s="1" t="str">
        <f>HYPERLINK("https://www.catalog.slsa.sa.gov.au/record=b3136091")</f>
        <v>https://www.catalog.slsa.sa.gov.au/record=b3136091</v>
      </c>
      <c r="C12555" s="1" t="str">
        <f>HYPERLINK("https://www.catalog.slsa.sa.gov.au/xrecord=b3136091")</f>
        <v>https://www.catalog.slsa.sa.gov.au/xrecord=b3136091</v>
      </c>
      <c r="D12555" t="s">
        <v>31636</v>
      </c>
      <c r="E12555" t="s">
        <v>34869</v>
      </c>
      <c r="F12555" t="s">
        <v>38212</v>
      </c>
      <c r="G12555" t="s">
        <v>38342</v>
      </c>
      <c r="H12555" t="s">
        <v>38343</v>
      </c>
      <c r="I12555" t="s">
        <v>34867</v>
      </c>
      <c r="J12555" t="s">
        <v>24353</v>
      </c>
      <c r="K12555" s="2" t="str">
        <f>HYPERLINK("http://collections.slsa.sa.gov.au/resource/B+76264")</f>
        <v>http://collections.slsa.sa.gov.au/resource/B+76264</v>
      </c>
    </row>
    <row r="12556" spans="1:11" x14ac:dyDescent="0.25">
      <c r="A12556" t="s">
        <v>38344</v>
      </c>
      <c r="B12556" s="1" t="str">
        <f>HYPERLINK("https://www.catalog.slsa.sa.gov.au/record=b3136094")</f>
        <v>https://www.catalog.slsa.sa.gov.au/record=b3136094</v>
      </c>
      <c r="C12556" s="1" t="str">
        <f>HYPERLINK("https://www.catalog.slsa.sa.gov.au/xrecord=b3136094")</f>
        <v>https://www.catalog.slsa.sa.gov.au/xrecord=b3136094</v>
      </c>
      <c r="D12556" t="s">
        <v>31636</v>
      </c>
      <c r="E12556" t="s">
        <v>38345</v>
      </c>
      <c r="F12556" t="s">
        <v>38212</v>
      </c>
      <c r="G12556" t="s">
        <v>38346</v>
      </c>
      <c r="H12556" t="s">
        <v>38347</v>
      </c>
      <c r="I12556" t="s">
        <v>34867</v>
      </c>
      <c r="J12556" t="s">
        <v>24353</v>
      </c>
      <c r="K12556" s="2" t="str">
        <f>HYPERLINK("http://collections.slsa.sa.gov.au/resource/B+76206")</f>
        <v>http://collections.slsa.sa.gov.au/resource/B+76206</v>
      </c>
    </row>
    <row r="12557" spans="1:11" x14ac:dyDescent="0.25">
      <c r="A12557" t="s">
        <v>38348</v>
      </c>
      <c r="B12557" s="1" t="str">
        <f>HYPERLINK("https://www.catalog.slsa.sa.gov.au/record=b3136096")</f>
        <v>https://www.catalog.slsa.sa.gov.au/record=b3136096</v>
      </c>
      <c r="C12557" s="1" t="str">
        <f>HYPERLINK("https://www.catalog.slsa.sa.gov.au/xrecord=b3136096")</f>
        <v>https://www.catalog.slsa.sa.gov.au/xrecord=b3136096</v>
      </c>
      <c r="D12557" t="s">
        <v>31636</v>
      </c>
      <c r="E12557" t="s">
        <v>27334</v>
      </c>
      <c r="F12557" t="s">
        <v>38212</v>
      </c>
      <c r="G12557" t="s">
        <v>37850</v>
      </c>
      <c r="H12557" t="s">
        <v>38349</v>
      </c>
      <c r="J12557" t="s">
        <v>21146</v>
      </c>
      <c r="K12557" s="2" t="str">
        <f>HYPERLINK("http://collections.slsa.sa.gov.au/resource/B+76205")</f>
        <v>http://collections.slsa.sa.gov.au/resource/B+76205</v>
      </c>
    </row>
    <row r="12558" spans="1:11" x14ac:dyDescent="0.25">
      <c r="A12558" t="s">
        <v>38350</v>
      </c>
      <c r="B12558" s="1" t="str">
        <f>HYPERLINK("https://www.catalog.slsa.sa.gov.au/record=b3136113")</f>
        <v>https://www.catalog.slsa.sa.gov.au/record=b3136113</v>
      </c>
      <c r="C12558" s="1" t="str">
        <f>HYPERLINK("https://www.catalog.slsa.sa.gov.au/xrecord=b3136113")</f>
        <v>https://www.catalog.slsa.sa.gov.au/xrecord=b3136113</v>
      </c>
      <c r="D12558" t="s">
        <v>31636</v>
      </c>
      <c r="E12558" t="s">
        <v>34869</v>
      </c>
      <c r="F12558" t="s">
        <v>38212</v>
      </c>
      <c r="G12558" t="s">
        <v>38351</v>
      </c>
      <c r="H12558" t="s">
        <v>38352</v>
      </c>
      <c r="I12558" t="s">
        <v>34867</v>
      </c>
      <c r="J12558" t="s">
        <v>24353</v>
      </c>
      <c r="K12558" s="2" t="str">
        <f>HYPERLINK("http://collections.slsa.sa.gov.au/resource/B+76207")</f>
        <v>http://collections.slsa.sa.gov.au/resource/B+76207</v>
      </c>
    </row>
    <row r="12559" spans="1:11" x14ac:dyDescent="0.25">
      <c r="A12559" t="s">
        <v>38353</v>
      </c>
      <c r="B12559" s="1" t="str">
        <f>HYPERLINK("https://www.catalog.slsa.sa.gov.au/record=b3194587")</f>
        <v>https://www.catalog.slsa.sa.gov.au/record=b3194587</v>
      </c>
      <c r="C12559" s="1" t="str">
        <f>HYPERLINK("https://www.catalog.slsa.sa.gov.au/xrecord=b3194587")</f>
        <v>https://www.catalog.slsa.sa.gov.au/xrecord=b3194587</v>
      </c>
      <c r="D12559" t="s">
        <v>31636</v>
      </c>
      <c r="E12559" t="s">
        <v>37484</v>
      </c>
      <c r="F12559" t="s">
        <v>38354</v>
      </c>
      <c r="G12559" t="s">
        <v>36396</v>
      </c>
      <c r="H12559" t="s">
        <v>38355</v>
      </c>
      <c r="I12559" t="s">
        <v>38356</v>
      </c>
      <c r="J12559" t="s">
        <v>36129</v>
      </c>
      <c r="K12559" s="2" t="str">
        <f>HYPERLINK("http://collections.slsa.sa.gov.au/resource/B+76895")</f>
        <v>http://collections.slsa.sa.gov.au/resource/B+76895</v>
      </c>
    </row>
    <row r="12560" spans="1:11" x14ac:dyDescent="0.25">
      <c r="A12560" t="s">
        <v>38357</v>
      </c>
      <c r="B12560" s="1" t="str">
        <f>HYPERLINK("https://www.catalog.slsa.sa.gov.au/record=b3194601")</f>
        <v>https://www.catalog.slsa.sa.gov.au/record=b3194601</v>
      </c>
      <c r="C12560" s="1" t="str">
        <f>HYPERLINK("https://www.catalog.slsa.sa.gov.au/xrecord=b3194601")</f>
        <v>https://www.catalog.slsa.sa.gov.au/xrecord=b3194601</v>
      </c>
      <c r="D12560" t="s">
        <v>31636</v>
      </c>
      <c r="E12560" t="s">
        <v>37484</v>
      </c>
      <c r="F12560" t="s">
        <v>38354</v>
      </c>
      <c r="G12560" t="s">
        <v>36370</v>
      </c>
      <c r="H12560" t="s">
        <v>38358</v>
      </c>
      <c r="I12560" t="s">
        <v>38359</v>
      </c>
      <c r="J12560" t="s">
        <v>36129</v>
      </c>
      <c r="K12560" s="2" t="str">
        <f>HYPERLINK("http://collections.slsa.sa.gov.au/resource/B+76896")</f>
        <v>http://collections.slsa.sa.gov.au/resource/B+76896</v>
      </c>
    </row>
    <row r="12561" spans="1:11" x14ac:dyDescent="0.25">
      <c r="A12561" t="s">
        <v>38360</v>
      </c>
      <c r="B12561" s="1" t="str">
        <f>HYPERLINK("https://www.catalog.slsa.sa.gov.au/record=b3194621")</f>
        <v>https://www.catalog.slsa.sa.gov.au/record=b3194621</v>
      </c>
      <c r="C12561" s="1" t="str">
        <f>HYPERLINK("https://www.catalog.slsa.sa.gov.au/xrecord=b3194621")</f>
        <v>https://www.catalog.slsa.sa.gov.au/xrecord=b3194621</v>
      </c>
      <c r="D12561" t="s">
        <v>31636</v>
      </c>
      <c r="E12561" t="s">
        <v>37484</v>
      </c>
      <c r="F12561" t="s">
        <v>38354</v>
      </c>
      <c r="G12561" t="s">
        <v>36396</v>
      </c>
      <c r="H12561" t="s">
        <v>38358</v>
      </c>
      <c r="I12561" t="s">
        <v>38359</v>
      </c>
      <c r="J12561" t="s">
        <v>36129</v>
      </c>
      <c r="K12561" s="2" t="str">
        <f>HYPERLINK("http://collections.slsa.sa.gov.au/resource/B+76897")</f>
        <v>http://collections.slsa.sa.gov.au/resource/B+76897</v>
      </c>
    </row>
    <row r="12562" spans="1:11" x14ac:dyDescent="0.25">
      <c r="A12562" t="s">
        <v>38361</v>
      </c>
      <c r="B12562" s="1" t="str">
        <f>HYPERLINK("https://www.catalog.slsa.sa.gov.au/record=b3194622")</f>
        <v>https://www.catalog.slsa.sa.gov.au/record=b3194622</v>
      </c>
      <c r="C12562" s="1" t="str">
        <f>HYPERLINK("https://www.catalog.slsa.sa.gov.au/xrecord=b3194622")</f>
        <v>https://www.catalog.slsa.sa.gov.au/xrecord=b3194622</v>
      </c>
      <c r="D12562" t="s">
        <v>31636</v>
      </c>
      <c r="E12562" t="s">
        <v>37484</v>
      </c>
      <c r="F12562" t="s">
        <v>38354</v>
      </c>
      <c r="G12562" t="s">
        <v>36370</v>
      </c>
      <c r="H12562" t="s">
        <v>38362</v>
      </c>
      <c r="I12562" t="s">
        <v>38359</v>
      </c>
      <c r="J12562" t="s">
        <v>36129</v>
      </c>
      <c r="K12562" s="2" t="str">
        <f>HYPERLINK("http://collections.slsa.sa.gov.au/resource/B+76898")</f>
        <v>http://collections.slsa.sa.gov.au/resource/B+76898</v>
      </c>
    </row>
    <row r="12563" spans="1:11" x14ac:dyDescent="0.25">
      <c r="A12563" t="s">
        <v>38363</v>
      </c>
      <c r="B12563" s="1" t="str">
        <f>HYPERLINK("https://www.catalog.slsa.sa.gov.au/record=b3194624")</f>
        <v>https://www.catalog.slsa.sa.gov.au/record=b3194624</v>
      </c>
      <c r="C12563" s="1" t="str">
        <f>HYPERLINK("https://www.catalog.slsa.sa.gov.au/xrecord=b3194624")</f>
        <v>https://www.catalog.slsa.sa.gov.au/xrecord=b3194624</v>
      </c>
      <c r="D12563" t="s">
        <v>31636</v>
      </c>
      <c r="E12563" t="s">
        <v>37484</v>
      </c>
      <c r="F12563" t="s">
        <v>38354</v>
      </c>
      <c r="G12563" t="s">
        <v>36370</v>
      </c>
      <c r="H12563" t="s">
        <v>38362</v>
      </c>
      <c r="I12563" t="s">
        <v>38359</v>
      </c>
      <c r="J12563" t="s">
        <v>36129</v>
      </c>
      <c r="K12563" s="2" t="str">
        <f>HYPERLINK("http://collections.slsa.sa.gov.au/resource/B+76899")</f>
        <v>http://collections.slsa.sa.gov.au/resource/B+76899</v>
      </c>
    </row>
    <row r="12564" spans="1:11" x14ac:dyDescent="0.25">
      <c r="A12564" t="s">
        <v>38364</v>
      </c>
      <c r="B12564" s="1" t="str">
        <f>HYPERLINK("https://www.catalog.slsa.sa.gov.au/record=b3194626")</f>
        <v>https://www.catalog.slsa.sa.gov.au/record=b3194626</v>
      </c>
      <c r="C12564" s="1" t="str">
        <f>HYPERLINK("https://www.catalog.slsa.sa.gov.au/xrecord=b3194626")</f>
        <v>https://www.catalog.slsa.sa.gov.au/xrecord=b3194626</v>
      </c>
      <c r="D12564" t="s">
        <v>31636</v>
      </c>
      <c r="E12564" t="s">
        <v>37484</v>
      </c>
      <c r="F12564" t="s">
        <v>38354</v>
      </c>
      <c r="G12564" t="s">
        <v>36370</v>
      </c>
      <c r="H12564" t="s">
        <v>38365</v>
      </c>
      <c r="I12564" t="s">
        <v>38366</v>
      </c>
      <c r="J12564" t="s">
        <v>36129</v>
      </c>
      <c r="K12564" s="2" t="str">
        <f>HYPERLINK("http://collections.slsa.sa.gov.au/resource/B+76900")</f>
        <v>http://collections.slsa.sa.gov.au/resource/B+76900</v>
      </c>
    </row>
    <row r="12565" spans="1:11" x14ac:dyDescent="0.25">
      <c r="A12565" t="s">
        <v>38367</v>
      </c>
      <c r="B12565" s="1" t="str">
        <f>HYPERLINK("https://www.catalog.slsa.sa.gov.au/record=b3194627")</f>
        <v>https://www.catalog.slsa.sa.gov.au/record=b3194627</v>
      </c>
      <c r="C12565" s="1" t="str">
        <f>HYPERLINK("https://www.catalog.slsa.sa.gov.au/xrecord=b3194627")</f>
        <v>https://www.catalog.slsa.sa.gov.au/xrecord=b3194627</v>
      </c>
      <c r="D12565" t="s">
        <v>31636</v>
      </c>
      <c r="E12565" t="s">
        <v>37484</v>
      </c>
      <c r="F12565" t="s">
        <v>38354</v>
      </c>
      <c r="G12565" t="s">
        <v>36370</v>
      </c>
      <c r="H12565" t="s">
        <v>38368</v>
      </c>
      <c r="I12565" t="s">
        <v>38369</v>
      </c>
      <c r="J12565" t="s">
        <v>36129</v>
      </c>
      <c r="K12565" s="2" t="str">
        <f>HYPERLINK("http://collections.slsa.sa.gov.au/resource/B+76901")</f>
        <v>http://collections.slsa.sa.gov.au/resource/B+76901</v>
      </c>
    </row>
    <row r="12566" spans="1:11" x14ac:dyDescent="0.25">
      <c r="A12566" t="s">
        <v>38370</v>
      </c>
      <c r="B12566" s="1" t="str">
        <f>HYPERLINK("https://www.catalog.slsa.sa.gov.au/record=b3194628")</f>
        <v>https://www.catalog.slsa.sa.gov.au/record=b3194628</v>
      </c>
      <c r="C12566" s="1" t="str">
        <f>HYPERLINK("https://www.catalog.slsa.sa.gov.au/xrecord=b3194628")</f>
        <v>https://www.catalog.slsa.sa.gov.au/xrecord=b3194628</v>
      </c>
      <c r="D12566" t="s">
        <v>31636</v>
      </c>
      <c r="E12566" t="s">
        <v>37484</v>
      </c>
      <c r="F12566" t="s">
        <v>38354</v>
      </c>
      <c r="G12566" t="s">
        <v>36396</v>
      </c>
      <c r="H12566" t="s">
        <v>38371</v>
      </c>
      <c r="I12566" t="s">
        <v>38372</v>
      </c>
      <c r="J12566" t="s">
        <v>36129</v>
      </c>
      <c r="K12566" s="2" t="str">
        <f>HYPERLINK("http://collections.slsa.sa.gov.au/resource/B+76902")</f>
        <v>http://collections.slsa.sa.gov.au/resource/B+76902</v>
      </c>
    </row>
    <row r="12567" spans="1:11" x14ac:dyDescent="0.25">
      <c r="A12567" t="s">
        <v>38373</v>
      </c>
      <c r="B12567" s="1" t="str">
        <f>HYPERLINK("https://www.catalog.slsa.sa.gov.au/record=b3194630")</f>
        <v>https://www.catalog.slsa.sa.gov.au/record=b3194630</v>
      </c>
      <c r="C12567" s="1" t="str">
        <f>HYPERLINK("https://www.catalog.slsa.sa.gov.au/xrecord=b3194630")</f>
        <v>https://www.catalog.slsa.sa.gov.au/xrecord=b3194630</v>
      </c>
      <c r="D12567" t="s">
        <v>31636</v>
      </c>
      <c r="E12567" t="s">
        <v>37484</v>
      </c>
      <c r="F12567" t="s">
        <v>38354</v>
      </c>
      <c r="G12567" t="s">
        <v>36370</v>
      </c>
      <c r="H12567" t="s">
        <v>38374</v>
      </c>
      <c r="I12567" t="s">
        <v>38375</v>
      </c>
      <c r="J12567" t="s">
        <v>36129</v>
      </c>
      <c r="K12567" s="2" t="str">
        <f>HYPERLINK("http://collections.slsa.sa.gov.au/resource/B+76903")</f>
        <v>http://collections.slsa.sa.gov.au/resource/B+76903</v>
      </c>
    </row>
    <row r="12568" spans="1:11" x14ac:dyDescent="0.25">
      <c r="A12568" t="s">
        <v>38376</v>
      </c>
      <c r="B12568" s="1" t="str">
        <f>HYPERLINK("https://www.catalog.slsa.sa.gov.au/record=b3194631")</f>
        <v>https://www.catalog.slsa.sa.gov.au/record=b3194631</v>
      </c>
      <c r="C12568" s="1" t="str">
        <f>HYPERLINK("https://www.catalog.slsa.sa.gov.au/xrecord=b3194631")</f>
        <v>https://www.catalog.slsa.sa.gov.au/xrecord=b3194631</v>
      </c>
      <c r="D12568" t="s">
        <v>31636</v>
      </c>
      <c r="E12568" t="s">
        <v>37484</v>
      </c>
      <c r="F12568" t="s">
        <v>38354</v>
      </c>
      <c r="G12568" t="s">
        <v>36396</v>
      </c>
      <c r="H12568" t="s">
        <v>38377</v>
      </c>
      <c r="I12568" t="s">
        <v>38378</v>
      </c>
      <c r="J12568" t="s">
        <v>36129</v>
      </c>
      <c r="K12568" s="2" t="str">
        <f>HYPERLINK("http://collections.slsa.sa.gov.au/resource/B+76904")</f>
        <v>http://collections.slsa.sa.gov.au/resource/B+76904</v>
      </c>
    </row>
    <row r="12569" spans="1:11" x14ac:dyDescent="0.25">
      <c r="A12569" t="s">
        <v>38379</v>
      </c>
      <c r="B12569" s="1" t="str">
        <f>HYPERLINK("https://www.catalog.slsa.sa.gov.au/record=b3194632")</f>
        <v>https://www.catalog.slsa.sa.gov.au/record=b3194632</v>
      </c>
      <c r="C12569" s="1" t="str">
        <f>HYPERLINK("https://www.catalog.slsa.sa.gov.au/xrecord=b3194632")</f>
        <v>https://www.catalog.slsa.sa.gov.au/xrecord=b3194632</v>
      </c>
      <c r="D12569" t="s">
        <v>31636</v>
      </c>
      <c r="E12569" t="s">
        <v>37484</v>
      </c>
      <c r="F12569" t="s">
        <v>38354</v>
      </c>
      <c r="G12569" t="s">
        <v>36396</v>
      </c>
      <c r="H12569" t="s">
        <v>38377</v>
      </c>
      <c r="I12569" t="s">
        <v>38378</v>
      </c>
      <c r="J12569" t="s">
        <v>36129</v>
      </c>
      <c r="K12569" s="2" t="str">
        <f>HYPERLINK("http://collections.slsa.sa.gov.au/resource/B+76905")</f>
        <v>http://collections.slsa.sa.gov.au/resource/B+76905</v>
      </c>
    </row>
    <row r="12570" spans="1:11" x14ac:dyDescent="0.25">
      <c r="A12570" t="s">
        <v>38380</v>
      </c>
      <c r="B12570" s="1" t="str">
        <f>HYPERLINK("https://www.catalog.slsa.sa.gov.au/record=b3194633")</f>
        <v>https://www.catalog.slsa.sa.gov.au/record=b3194633</v>
      </c>
      <c r="C12570" s="1" t="str">
        <f>HYPERLINK("https://www.catalog.slsa.sa.gov.au/xrecord=b3194633")</f>
        <v>https://www.catalog.slsa.sa.gov.au/xrecord=b3194633</v>
      </c>
      <c r="D12570" t="s">
        <v>31636</v>
      </c>
      <c r="E12570" t="s">
        <v>37484</v>
      </c>
      <c r="F12570" t="s">
        <v>38354</v>
      </c>
      <c r="G12570" t="s">
        <v>36396</v>
      </c>
      <c r="H12570" t="s">
        <v>38377</v>
      </c>
      <c r="I12570" t="s">
        <v>38378</v>
      </c>
      <c r="J12570" t="s">
        <v>36129</v>
      </c>
      <c r="K12570" s="2" t="str">
        <f>HYPERLINK("http://collections.slsa.sa.gov.au/resource/B+76906")</f>
        <v>http://collections.slsa.sa.gov.au/resource/B+76906</v>
      </c>
    </row>
    <row r="12571" spans="1:11" x14ac:dyDescent="0.25">
      <c r="A12571" t="s">
        <v>38381</v>
      </c>
      <c r="B12571" s="1" t="str">
        <f>HYPERLINK("https://www.catalog.slsa.sa.gov.au/record=b3194634")</f>
        <v>https://www.catalog.slsa.sa.gov.au/record=b3194634</v>
      </c>
      <c r="C12571" s="1" t="str">
        <f>HYPERLINK("https://www.catalog.slsa.sa.gov.au/xrecord=b3194634")</f>
        <v>https://www.catalog.slsa.sa.gov.au/xrecord=b3194634</v>
      </c>
      <c r="D12571" t="s">
        <v>31636</v>
      </c>
      <c r="E12571" t="s">
        <v>37484</v>
      </c>
      <c r="F12571" t="s">
        <v>38354</v>
      </c>
      <c r="G12571" t="s">
        <v>36370</v>
      </c>
      <c r="H12571" t="s">
        <v>38382</v>
      </c>
      <c r="I12571" t="s">
        <v>38359</v>
      </c>
      <c r="J12571" t="s">
        <v>36129</v>
      </c>
      <c r="K12571" s="2" t="str">
        <f>HYPERLINK("http://collections.slsa.sa.gov.au/resource/B+76907")</f>
        <v>http://collections.slsa.sa.gov.au/resource/B+76907</v>
      </c>
    </row>
    <row r="12572" spans="1:11" x14ac:dyDescent="0.25">
      <c r="A12572" t="s">
        <v>38383</v>
      </c>
      <c r="B12572" s="1" t="str">
        <f>HYPERLINK("https://www.catalog.slsa.sa.gov.au/record=b3194712")</f>
        <v>https://www.catalog.slsa.sa.gov.au/record=b3194712</v>
      </c>
      <c r="C12572" s="1" t="str">
        <f>HYPERLINK("https://www.catalog.slsa.sa.gov.au/xrecord=b3194712")</f>
        <v>https://www.catalog.slsa.sa.gov.au/xrecord=b3194712</v>
      </c>
      <c r="D12572" t="s">
        <v>31636</v>
      </c>
      <c r="E12572" t="s">
        <v>37484</v>
      </c>
      <c r="F12572" t="s">
        <v>38354</v>
      </c>
      <c r="G12572" t="s">
        <v>36396</v>
      </c>
      <c r="H12572" t="s">
        <v>38384</v>
      </c>
      <c r="I12572" t="s">
        <v>38385</v>
      </c>
      <c r="J12572" t="s">
        <v>36129</v>
      </c>
      <c r="K12572" s="2" t="str">
        <f>HYPERLINK("http://collections.slsa.sa.gov.au/resource/B+76908")</f>
        <v>http://collections.slsa.sa.gov.au/resource/B+76908</v>
      </c>
    </row>
    <row r="12573" spans="1:11" x14ac:dyDescent="0.25">
      <c r="A12573" t="s">
        <v>38386</v>
      </c>
      <c r="B12573" s="1" t="str">
        <f>HYPERLINK("https://www.catalog.slsa.sa.gov.au/record=b3194713")</f>
        <v>https://www.catalog.slsa.sa.gov.au/record=b3194713</v>
      </c>
      <c r="C12573" s="1" t="str">
        <f>HYPERLINK("https://www.catalog.slsa.sa.gov.au/xrecord=b3194713")</f>
        <v>https://www.catalog.slsa.sa.gov.au/xrecord=b3194713</v>
      </c>
      <c r="D12573" t="s">
        <v>31636</v>
      </c>
      <c r="E12573" t="s">
        <v>37484</v>
      </c>
      <c r="F12573" t="s">
        <v>38354</v>
      </c>
      <c r="G12573" t="s">
        <v>36396</v>
      </c>
      <c r="H12573" t="s">
        <v>38387</v>
      </c>
      <c r="I12573" t="s">
        <v>38359</v>
      </c>
      <c r="J12573" t="s">
        <v>36129</v>
      </c>
      <c r="K12573" s="2" t="str">
        <f>HYPERLINK("http://collections.slsa.sa.gov.au/resource/B+76909")</f>
        <v>http://collections.slsa.sa.gov.au/resource/B+76909</v>
      </c>
    </row>
    <row r="12574" spans="1:11" x14ac:dyDescent="0.25">
      <c r="A12574" t="s">
        <v>38388</v>
      </c>
      <c r="B12574" s="1" t="str">
        <f>HYPERLINK("https://www.catalog.slsa.sa.gov.au/record=b3194714")</f>
        <v>https://www.catalog.slsa.sa.gov.au/record=b3194714</v>
      </c>
      <c r="C12574" s="1" t="str">
        <f>HYPERLINK("https://www.catalog.slsa.sa.gov.au/xrecord=b3194714")</f>
        <v>https://www.catalog.slsa.sa.gov.au/xrecord=b3194714</v>
      </c>
      <c r="D12574" t="s">
        <v>31636</v>
      </c>
      <c r="E12574" t="s">
        <v>37484</v>
      </c>
      <c r="F12574" t="s">
        <v>38354</v>
      </c>
      <c r="G12574" t="s">
        <v>36370</v>
      </c>
      <c r="H12574" t="s">
        <v>38389</v>
      </c>
      <c r="I12574" t="s">
        <v>38390</v>
      </c>
      <c r="J12574" t="s">
        <v>36129</v>
      </c>
      <c r="K12574" s="2" t="str">
        <f>HYPERLINK("http://collections.slsa.sa.gov.au/resource/B+76910")</f>
        <v>http://collections.slsa.sa.gov.au/resource/B+76910</v>
      </c>
    </row>
    <row r="12575" spans="1:11" x14ac:dyDescent="0.25">
      <c r="A12575" t="s">
        <v>38391</v>
      </c>
      <c r="B12575" s="1" t="str">
        <f>HYPERLINK("https://www.catalog.slsa.sa.gov.au/record=b3194717")</f>
        <v>https://www.catalog.slsa.sa.gov.au/record=b3194717</v>
      </c>
      <c r="C12575" s="1" t="str">
        <f>HYPERLINK("https://www.catalog.slsa.sa.gov.au/xrecord=b3194717")</f>
        <v>https://www.catalog.slsa.sa.gov.au/xrecord=b3194717</v>
      </c>
      <c r="D12575" t="s">
        <v>31636</v>
      </c>
      <c r="E12575" t="s">
        <v>37484</v>
      </c>
      <c r="F12575" t="s">
        <v>38354</v>
      </c>
      <c r="G12575" t="s">
        <v>36396</v>
      </c>
      <c r="H12575" t="s">
        <v>38392</v>
      </c>
      <c r="I12575" t="s">
        <v>38393</v>
      </c>
      <c r="J12575" t="s">
        <v>36129</v>
      </c>
      <c r="K12575" s="2" t="str">
        <f>HYPERLINK("http://collections.slsa.sa.gov.au/resource/B+76911")</f>
        <v>http://collections.slsa.sa.gov.au/resource/B+76911</v>
      </c>
    </row>
    <row r="12576" spans="1:11" x14ac:dyDescent="0.25">
      <c r="A12576" t="s">
        <v>38394</v>
      </c>
      <c r="B12576" s="1" t="str">
        <f>HYPERLINK("https://www.catalog.slsa.sa.gov.au/record=b3194718")</f>
        <v>https://www.catalog.slsa.sa.gov.au/record=b3194718</v>
      </c>
      <c r="C12576" s="1" t="str">
        <f>HYPERLINK("https://www.catalog.slsa.sa.gov.au/xrecord=b3194718")</f>
        <v>https://www.catalog.slsa.sa.gov.au/xrecord=b3194718</v>
      </c>
      <c r="D12576" t="s">
        <v>31636</v>
      </c>
      <c r="E12576" t="s">
        <v>37484</v>
      </c>
      <c r="F12576" t="s">
        <v>38354</v>
      </c>
      <c r="G12576" t="s">
        <v>36396</v>
      </c>
      <c r="H12576" t="s">
        <v>38395</v>
      </c>
      <c r="I12576" t="s">
        <v>38359</v>
      </c>
      <c r="J12576" t="s">
        <v>36129</v>
      </c>
      <c r="K12576" s="2" t="str">
        <f>HYPERLINK("http://collections.slsa.sa.gov.au/resource/B+76912")</f>
        <v>http://collections.slsa.sa.gov.au/resource/B+76912</v>
      </c>
    </row>
    <row r="12577" spans="1:11" x14ac:dyDescent="0.25">
      <c r="A12577" t="s">
        <v>38396</v>
      </c>
      <c r="B12577" s="1" t="str">
        <f>HYPERLINK("https://www.catalog.slsa.sa.gov.au/record=b3194719")</f>
        <v>https://www.catalog.slsa.sa.gov.au/record=b3194719</v>
      </c>
      <c r="C12577" s="1" t="str">
        <f>HYPERLINK("https://www.catalog.slsa.sa.gov.au/xrecord=b3194719")</f>
        <v>https://www.catalog.slsa.sa.gov.au/xrecord=b3194719</v>
      </c>
      <c r="D12577" t="s">
        <v>31636</v>
      </c>
      <c r="E12577" t="s">
        <v>37484</v>
      </c>
      <c r="F12577" t="s">
        <v>38354</v>
      </c>
      <c r="G12577" t="s">
        <v>36370</v>
      </c>
      <c r="H12577" t="s">
        <v>38397</v>
      </c>
      <c r="I12577" t="s">
        <v>38359</v>
      </c>
      <c r="J12577" t="s">
        <v>36129</v>
      </c>
      <c r="K12577" s="2" t="str">
        <f>HYPERLINK("http://collections.slsa.sa.gov.au/resource/B+76913")</f>
        <v>http://collections.slsa.sa.gov.au/resource/B+76913</v>
      </c>
    </row>
    <row r="12578" spans="1:11" x14ac:dyDescent="0.25">
      <c r="A12578" t="s">
        <v>38398</v>
      </c>
      <c r="B12578" s="1" t="str">
        <f>HYPERLINK("https://www.catalog.slsa.sa.gov.au/record=b3194720")</f>
        <v>https://www.catalog.slsa.sa.gov.au/record=b3194720</v>
      </c>
      <c r="C12578" s="1" t="str">
        <f>HYPERLINK("https://www.catalog.slsa.sa.gov.au/xrecord=b3194720")</f>
        <v>https://www.catalog.slsa.sa.gov.au/xrecord=b3194720</v>
      </c>
      <c r="D12578" t="s">
        <v>31636</v>
      </c>
      <c r="E12578" t="s">
        <v>37484</v>
      </c>
      <c r="F12578" t="s">
        <v>38354</v>
      </c>
      <c r="G12578" t="s">
        <v>36396</v>
      </c>
      <c r="H12578" t="s">
        <v>38399</v>
      </c>
      <c r="I12578" t="s">
        <v>38359</v>
      </c>
      <c r="J12578" t="s">
        <v>36129</v>
      </c>
      <c r="K12578" s="2" t="str">
        <f>HYPERLINK("http://collections.slsa.sa.gov.au/resource/B+76914")</f>
        <v>http://collections.slsa.sa.gov.au/resource/B+76914</v>
      </c>
    </row>
    <row r="12579" spans="1:11" x14ac:dyDescent="0.25">
      <c r="A12579" t="s">
        <v>38400</v>
      </c>
      <c r="B12579" s="1" t="str">
        <f>HYPERLINK("https://www.catalog.slsa.sa.gov.au/record=b3194721")</f>
        <v>https://www.catalog.slsa.sa.gov.au/record=b3194721</v>
      </c>
      <c r="C12579" s="1" t="str">
        <f>HYPERLINK("https://www.catalog.slsa.sa.gov.au/xrecord=b3194721")</f>
        <v>https://www.catalog.slsa.sa.gov.au/xrecord=b3194721</v>
      </c>
      <c r="D12579" t="s">
        <v>31636</v>
      </c>
      <c r="E12579" t="s">
        <v>37484</v>
      </c>
      <c r="F12579" t="s">
        <v>38354</v>
      </c>
      <c r="G12579" t="s">
        <v>36370</v>
      </c>
      <c r="H12579" t="s">
        <v>38401</v>
      </c>
      <c r="I12579" t="s">
        <v>38359</v>
      </c>
      <c r="J12579" t="s">
        <v>36129</v>
      </c>
      <c r="K12579" s="2" t="str">
        <f>HYPERLINK("http://collections.slsa.sa.gov.au/resource/B+76915")</f>
        <v>http://collections.slsa.sa.gov.au/resource/B+76915</v>
      </c>
    </row>
    <row r="12580" spans="1:11" x14ac:dyDescent="0.25">
      <c r="A12580" t="s">
        <v>38402</v>
      </c>
      <c r="B12580" s="1" t="str">
        <f>HYPERLINK("https://www.catalog.slsa.sa.gov.au/record=b3194722")</f>
        <v>https://www.catalog.slsa.sa.gov.au/record=b3194722</v>
      </c>
      <c r="C12580" s="1" t="str">
        <f>HYPERLINK("https://www.catalog.slsa.sa.gov.au/xrecord=b3194722")</f>
        <v>https://www.catalog.slsa.sa.gov.au/xrecord=b3194722</v>
      </c>
      <c r="D12580" t="s">
        <v>31636</v>
      </c>
      <c r="E12580" t="s">
        <v>37484</v>
      </c>
      <c r="F12580" t="s">
        <v>38354</v>
      </c>
      <c r="G12580" t="s">
        <v>36370</v>
      </c>
      <c r="H12580" t="s">
        <v>38403</v>
      </c>
      <c r="I12580" t="s">
        <v>38359</v>
      </c>
      <c r="J12580" t="s">
        <v>36129</v>
      </c>
      <c r="K12580" s="2" t="str">
        <f>HYPERLINK("http://collections.slsa.sa.gov.au/resource/B+76916")</f>
        <v>http://collections.slsa.sa.gov.au/resource/B+76916</v>
      </c>
    </row>
    <row r="12581" spans="1:11" x14ac:dyDescent="0.25">
      <c r="A12581" t="s">
        <v>38404</v>
      </c>
      <c r="B12581" s="1" t="str">
        <f>HYPERLINK("https://www.catalog.slsa.sa.gov.au/record=b3194723")</f>
        <v>https://www.catalog.slsa.sa.gov.au/record=b3194723</v>
      </c>
      <c r="C12581" s="1" t="str">
        <f>HYPERLINK("https://www.catalog.slsa.sa.gov.au/xrecord=b3194723")</f>
        <v>https://www.catalog.slsa.sa.gov.au/xrecord=b3194723</v>
      </c>
      <c r="D12581" t="s">
        <v>31636</v>
      </c>
      <c r="E12581" t="s">
        <v>37484</v>
      </c>
      <c r="F12581" t="s">
        <v>38354</v>
      </c>
      <c r="G12581" t="s">
        <v>36370</v>
      </c>
      <c r="H12581" t="s">
        <v>38405</v>
      </c>
      <c r="I12581" t="s">
        <v>38406</v>
      </c>
      <c r="J12581" t="s">
        <v>36129</v>
      </c>
      <c r="K12581" s="2" t="str">
        <f>HYPERLINK("http://collections.slsa.sa.gov.au/resource/B+76917")</f>
        <v>http://collections.slsa.sa.gov.au/resource/B+76917</v>
      </c>
    </row>
    <row r="12582" spans="1:11" x14ac:dyDescent="0.25">
      <c r="A12582" t="s">
        <v>38407</v>
      </c>
      <c r="B12582" s="1" t="str">
        <f>HYPERLINK("https://www.catalog.slsa.sa.gov.au/record=b3194724")</f>
        <v>https://www.catalog.slsa.sa.gov.au/record=b3194724</v>
      </c>
      <c r="C12582" s="1" t="str">
        <f>HYPERLINK("https://www.catalog.slsa.sa.gov.au/xrecord=b3194724")</f>
        <v>https://www.catalog.slsa.sa.gov.au/xrecord=b3194724</v>
      </c>
      <c r="D12582" t="s">
        <v>31636</v>
      </c>
      <c r="E12582" t="s">
        <v>37484</v>
      </c>
      <c r="F12582" t="s">
        <v>38354</v>
      </c>
      <c r="G12582" t="s">
        <v>36396</v>
      </c>
      <c r="H12582" t="s">
        <v>38408</v>
      </c>
      <c r="I12582" t="s">
        <v>38409</v>
      </c>
      <c r="J12582" t="s">
        <v>36129</v>
      </c>
      <c r="K12582" s="2" t="str">
        <f>HYPERLINK("http://collections.slsa.sa.gov.au/resource/B+76918")</f>
        <v>http://collections.slsa.sa.gov.au/resource/B+76918</v>
      </c>
    </row>
    <row r="12583" spans="1:11" x14ac:dyDescent="0.25">
      <c r="A12583" t="s">
        <v>38410</v>
      </c>
      <c r="B12583" s="1" t="str">
        <f>HYPERLINK("https://www.catalog.slsa.sa.gov.au/record=b3194725")</f>
        <v>https://www.catalog.slsa.sa.gov.au/record=b3194725</v>
      </c>
      <c r="C12583" s="1" t="str">
        <f>HYPERLINK("https://www.catalog.slsa.sa.gov.au/xrecord=b3194725")</f>
        <v>https://www.catalog.slsa.sa.gov.au/xrecord=b3194725</v>
      </c>
      <c r="D12583" t="s">
        <v>31636</v>
      </c>
      <c r="E12583" t="s">
        <v>37484</v>
      </c>
      <c r="F12583" t="s">
        <v>38354</v>
      </c>
      <c r="G12583" t="s">
        <v>36370</v>
      </c>
      <c r="H12583" t="s">
        <v>38411</v>
      </c>
      <c r="I12583" t="s">
        <v>38359</v>
      </c>
      <c r="J12583" t="s">
        <v>16769</v>
      </c>
      <c r="K12583" s="2" t="str">
        <f>HYPERLINK("http://collections.slsa.sa.gov.au/resource/B+76919")</f>
        <v>http://collections.slsa.sa.gov.au/resource/B+76919</v>
      </c>
    </row>
    <row r="12584" spans="1:11" x14ac:dyDescent="0.25">
      <c r="A12584" t="s">
        <v>38412</v>
      </c>
      <c r="B12584" s="1" t="str">
        <f>HYPERLINK("https://www.catalog.slsa.sa.gov.au/record=b3194727")</f>
        <v>https://www.catalog.slsa.sa.gov.au/record=b3194727</v>
      </c>
      <c r="C12584" s="1" t="str">
        <f>HYPERLINK("https://www.catalog.slsa.sa.gov.au/xrecord=b3194727")</f>
        <v>https://www.catalog.slsa.sa.gov.au/xrecord=b3194727</v>
      </c>
      <c r="D12584" t="s">
        <v>31636</v>
      </c>
      <c r="E12584" t="s">
        <v>37484</v>
      </c>
      <c r="F12584" t="s">
        <v>38354</v>
      </c>
      <c r="G12584" t="s">
        <v>36370</v>
      </c>
      <c r="H12584" t="s">
        <v>38411</v>
      </c>
      <c r="I12584" t="s">
        <v>38359</v>
      </c>
      <c r="J12584" t="s">
        <v>16769</v>
      </c>
      <c r="K12584" s="2" t="str">
        <f>HYPERLINK("http://collections.slsa.sa.gov.au/resource/B+76920")</f>
        <v>http://collections.slsa.sa.gov.au/resource/B+76920</v>
      </c>
    </row>
    <row r="12585" spans="1:11" x14ac:dyDescent="0.25">
      <c r="A12585" t="s">
        <v>38413</v>
      </c>
      <c r="B12585" s="1" t="str">
        <f>HYPERLINK("https://www.catalog.slsa.sa.gov.au/record=b3194728")</f>
        <v>https://www.catalog.slsa.sa.gov.au/record=b3194728</v>
      </c>
      <c r="C12585" s="1" t="str">
        <f>HYPERLINK("https://www.catalog.slsa.sa.gov.au/xrecord=b3194728")</f>
        <v>https://www.catalog.slsa.sa.gov.au/xrecord=b3194728</v>
      </c>
      <c r="D12585" t="s">
        <v>31636</v>
      </c>
      <c r="E12585" t="s">
        <v>37484</v>
      </c>
      <c r="F12585" t="s">
        <v>38354</v>
      </c>
      <c r="G12585" t="s">
        <v>36370</v>
      </c>
      <c r="H12585" t="s">
        <v>38411</v>
      </c>
      <c r="I12585" t="s">
        <v>38359</v>
      </c>
      <c r="J12585" t="s">
        <v>16769</v>
      </c>
      <c r="K12585" s="2" t="str">
        <f>HYPERLINK("http://collections.slsa.sa.gov.au/resource/B+76921")</f>
        <v>http://collections.slsa.sa.gov.au/resource/B+76921</v>
      </c>
    </row>
    <row r="12586" spans="1:11" x14ac:dyDescent="0.25">
      <c r="A12586" t="s">
        <v>38414</v>
      </c>
      <c r="B12586" s="1" t="str">
        <f>HYPERLINK("https://www.catalog.slsa.sa.gov.au/record=b3194730")</f>
        <v>https://www.catalog.slsa.sa.gov.au/record=b3194730</v>
      </c>
      <c r="C12586" s="1" t="str">
        <f>HYPERLINK("https://www.catalog.slsa.sa.gov.au/xrecord=b3194730")</f>
        <v>https://www.catalog.slsa.sa.gov.au/xrecord=b3194730</v>
      </c>
      <c r="D12586" t="s">
        <v>31636</v>
      </c>
      <c r="E12586" t="s">
        <v>37484</v>
      </c>
      <c r="F12586" t="s">
        <v>38354</v>
      </c>
      <c r="G12586" t="s">
        <v>36370</v>
      </c>
      <c r="H12586" t="s">
        <v>38415</v>
      </c>
      <c r="I12586" t="s">
        <v>38378</v>
      </c>
      <c r="J12586" t="s">
        <v>16769</v>
      </c>
      <c r="K12586" s="2" t="str">
        <f>HYPERLINK("http://collections.slsa.sa.gov.au/resource/B+76922")</f>
        <v>http://collections.slsa.sa.gov.au/resource/B+76922</v>
      </c>
    </row>
    <row r="12587" spans="1:11" x14ac:dyDescent="0.25">
      <c r="A12587" t="s">
        <v>38416</v>
      </c>
      <c r="B12587" s="1" t="str">
        <f>HYPERLINK("https://www.catalog.slsa.sa.gov.au/record=b3194731")</f>
        <v>https://www.catalog.slsa.sa.gov.au/record=b3194731</v>
      </c>
      <c r="C12587" s="1" t="str">
        <f>HYPERLINK("https://www.catalog.slsa.sa.gov.au/xrecord=b3194731")</f>
        <v>https://www.catalog.slsa.sa.gov.au/xrecord=b3194731</v>
      </c>
      <c r="D12587" t="s">
        <v>31636</v>
      </c>
      <c r="E12587" t="s">
        <v>37484</v>
      </c>
      <c r="F12587" t="s">
        <v>38354</v>
      </c>
      <c r="G12587" t="s">
        <v>38417</v>
      </c>
      <c r="H12587" t="s">
        <v>38411</v>
      </c>
      <c r="I12587" t="s">
        <v>38359</v>
      </c>
      <c r="J12587" t="s">
        <v>16769</v>
      </c>
      <c r="K12587" s="2" t="str">
        <f>HYPERLINK("http://collections.slsa.sa.gov.au/resource/B+76923")</f>
        <v>http://collections.slsa.sa.gov.au/resource/B+76923</v>
      </c>
    </row>
    <row r="12588" spans="1:11" x14ac:dyDescent="0.25">
      <c r="A12588" t="s">
        <v>38418</v>
      </c>
      <c r="B12588" s="1" t="str">
        <f>HYPERLINK("https://www.catalog.slsa.sa.gov.au/record=b3194732")</f>
        <v>https://www.catalog.slsa.sa.gov.au/record=b3194732</v>
      </c>
      <c r="C12588" s="1" t="str">
        <f>HYPERLINK("https://www.catalog.slsa.sa.gov.au/xrecord=b3194732")</f>
        <v>https://www.catalog.slsa.sa.gov.au/xrecord=b3194732</v>
      </c>
      <c r="D12588" t="s">
        <v>31636</v>
      </c>
      <c r="E12588" t="s">
        <v>37484</v>
      </c>
      <c r="F12588" t="s">
        <v>38354</v>
      </c>
      <c r="G12588" t="s">
        <v>38417</v>
      </c>
      <c r="H12588" t="s">
        <v>38411</v>
      </c>
      <c r="I12588" t="s">
        <v>38359</v>
      </c>
      <c r="J12588" t="s">
        <v>16769</v>
      </c>
      <c r="K12588" s="2" t="str">
        <f>HYPERLINK("http://collections.slsa.sa.gov.au/resource/B+76924")</f>
        <v>http://collections.slsa.sa.gov.au/resource/B+76924</v>
      </c>
    </row>
    <row r="12589" spans="1:11" x14ac:dyDescent="0.25">
      <c r="A12589" t="s">
        <v>38419</v>
      </c>
      <c r="B12589" s="1" t="str">
        <f>HYPERLINK("https://www.catalog.slsa.sa.gov.au/record=b3194581")</f>
        <v>https://www.catalog.slsa.sa.gov.au/record=b3194581</v>
      </c>
      <c r="C12589" s="1" t="str">
        <f>HYPERLINK("https://www.catalog.slsa.sa.gov.au/xrecord=b3194581")</f>
        <v>https://www.catalog.slsa.sa.gov.au/xrecord=b3194581</v>
      </c>
      <c r="D12589" t="s">
        <v>31636</v>
      </c>
      <c r="E12589" t="s">
        <v>38420</v>
      </c>
      <c r="F12589" t="s">
        <v>38421</v>
      </c>
      <c r="G12589" t="s">
        <v>37758</v>
      </c>
      <c r="H12589" t="s">
        <v>38422</v>
      </c>
      <c r="I12589" t="s">
        <v>38359</v>
      </c>
      <c r="J12589" t="s">
        <v>16780</v>
      </c>
      <c r="K12589" s="2" t="str">
        <f>HYPERLINK("http://collections.slsa.sa.gov.au/resource/B+76889")</f>
        <v>http://collections.slsa.sa.gov.au/resource/B+76889</v>
      </c>
    </row>
    <row r="12590" spans="1:11" x14ac:dyDescent="0.25">
      <c r="A12590" t="s">
        <v>38423</v>
      </c>
      <c r="B12590" s="1" t="str">
        <f>HYPERLINK("https://www.catalog.slsa.sa.gov.au/record=b3194582")</f>
        <v>https://www.catalog.slsa.sa.gov.au/record=b3194582</v>
      </c>
      <c r="C12590" s="1" t="str">
        <f>HYPERLINK("https://www.catalog.slsa.sa.gov.au/xrecord=b3194582")</f>
        <v>https://www.catalog.slsa.sa.gov.au/xrecord=b3194582</v>
      </c>
      <c r="D12590" t="s">
        <v>31636</v>
      </c>
      <c r="E12590" t="s">
        <v>38420</v>
      </c>
      <c r="F12590" t="s">
        <v>38421</v>
      </c>
      <c r="G12590" t="s">
        <v>37758</v>
      </c>
      <c r="H12590" t="s">
        <v>38422</v>
      </c>
      <c r="I12590" t="s">
        <v>38359</v>
      </c>
      <c r="J12590" t="s">
        <v>16780</v>
      </c>
      <c r="K12590" s="2" t="str">
        <f>HYPERLINK("http://collections.slsa.sa.gov.au/resource/B+76890")</f>
        <v>http://collections.slsa.sa.gov.au/resource/B+76890</v>
      </c>
    </row>
    <row r="12591" spans="1:11" x14ac:dyDescent="0.25">
      <c r="A12591" t="s">
        <v>38424</v>
      </c>
      <c r="B12591" s="1" t="str">
        <f>HYPERLINK("https://www.catalog.slsa.sa.gov.au/record=b3194583")</f>
        <v>https://www.catalog.slsa.sa.gov.au/record=b3194583</v>
      </c>
      <c r="C12591" s="1" t="str">
        <f>HYPERLINK("https://www.catalog.slsa.sa.gov.au/xrecord=b3194583")</f>
        <v>https://www.catalog.slsa.sa.gov.au/xrecord=b3194583</v>
      </c>
      <c r="D12591" t="s">
        <v>31636</v>
      </c>
      <c r="E12591" t="s">
        <v>38425</v>
      </c>
      <c r="F12591" t="s">
        <v>38421</v>
      </c>
      <c r="G12591" t="s">
        <v>37758</v>
      </c>
      <c r="H12591" t="s">
        <v>38426</v>
      </c>
      <c r="I12591" t="s">
        <v>38359</v>
      </c>
      <c r="J12591" t="s">
        <v>16780</v>
      </c>
      <c r="K12591" s="2" t="str">
        <f>HYPERLINK("http://collections.slsa.sa.gov.au/resource/B+76891")</f>
        <v>http://collections.slsa.sa.gov.au/resource/B+76891</v>
      </c>
    </row>
    <row r="12592" spans="1:11" x14ac:dyDescent="0.25">
      <c r="A12592" t="s">
        <v>38427</v>
      </c>
      <c r="B12592" s="1" t="str">
        <f>HYPERLINK("https://www.catalog.slsa.sa.gov.au/record=b3194584")</f>
        <v>https://www.catalog.slsa.sa.gov.au/record=b3194584</v>
      </c>
      <c r="C12592" s="1" t="str">
        <f>HYPERLINK("https://www.catalog.slsa.sa.gov.au/xrecord=b3194584")</f>
        <v>https://www.catalog.slsa.sa.gov.au/xrecord=b3194584</v>
      </c>
      <c r="D12592" t="s">
        <v>31636</v>
      </c>
      <c r="E12592" t="s">
        <v>38425</v>
      </c>
      <c r="F12592" t="s">
        <v>38421</v>
      </c>
      <c r="G12592" t="s">
        <v>38428</v>
      </c>
      <c r="H12592" t="s">
        <v>38429</v>
      </c>
      <c r="I12592" t="s">
        <v>38359</v>
      </c>
      <c r="J12592" t="s">
        <v>16780</v>
      </c>
      <c r="K12592" s="2" t="str">
        <f>HYPERLINK("http://collections.slsa.sa.gov.au/resource/B+76893")</f>
        <v>http://collections.slsa.sa.gov.au/resource/B+76893</v>
      </c>
    </row>
    <row r="12593" spans="1:11" x14ac:dyDescent="0.25">
      <c r="A12593" t="s">
        <v>38430</v>
      </c>
      <c r="B12593" s="1" t="str">
        <f>HYPERLINK("https://www.catalog.slsa.sa.gov.au/record=b3194585")</f>
        <v>https://www.catalog.slsa.sa.gov.au/record=b3194585</v>
      </c>
      <c r="C12593" s="1" t="str">
        <f>HYPERLINK("https://www.catalog.slsa.sa.gov.au/xrecord=b3194585")</f>
        <v>https://www.catalog.slsa.sa.gov.au/xrecord=b3194585</v>
      </c>
      <c r="D12593" t="s">
        <v>31636</v>
      </c>
      <c r="E12593" t="s">
        <v>38425</v>
      </c>
      <c r="F12593" t="s">
        <v>38421</v>
      </c>
      <c r="G12593" t="s">
        <v>38431</v>
      </c>
      <c r="H12593" t="s">
        <v>38432</v>
      </c>
      <c r="I12593" t="s">
        <v>38359</v>
      </c>
      <c r="J12593" t="s">
        <v>16780</v>
      </c>
      <c r="K12593" s="2" t="str">
        <f>HYPERLINK("http://collections.slsa.sa.gov.au/resource/B+76894")</f>
        <v>http://collections.slsa.sa.gov.au/resource/B+76894</v>
      </c>
    </row>
    <row r="12594" spans="1:11" x14ac:dyDescent="0.25">
      <c r="A12594" t="s">
        <v>38433</v>
      </c>
      <c r="B12594" s="1" t="str">
        <f>HYPERLINK("https://www.catalog.slsa.sa.gov.au/record=b3194635")</f>
        <v>https://www.catalog.slsa.sa.gov.au/record=b3194635</v>
      </c>
      <c r="C12594" s="1" t="str">
        <f>HYPERLINK("https://www.catalog.slsa.sa.gov.au/xrecord=b3194635")</f>
        <v>https://www.catalog.slsa.sa.gov.au/xrecord=b3194635</v>
      </c>
      <c r="D12594" t="s">
        <v>31636</v>
      </c>
      <c r="E12594" t="s">
        <v>38434</v>
      </c>
      <c r="F12594" t="s">
        <v>38421</v>
      </c>
      <c r="G12594" t="s">
        <v>37716</v>
      </c>
      <c r="H12594" t="s">
        <v>38435</v>
      </c>
      <c r="I12594" t="s">
        <v>38359</v>
      </c>
      <c r="J12594" t="s">
        <v>16780</v>
      </c>
      <c r="K12594" s="2" t="str">
        <f>HYPERLINK("http://collections.slsa.sa.gov.au/resource/B+76892")</f>
        <v>http://collections.slsa.sa.gov.au/resource/B+76892</v>
      </c>
    </row>
    <row r="12595" spans="1:11" x14ac:dyDescent="0.25">
      <c r="A12595" t="s">
        <v>38436</v>
      </c>
      <c r="B12595" s="1" t="str">
        <f>HYPERLINK("https://www.catalog.slsa.sa.gov.au/record=b3191170")</f>
        <v>https://www.catalog.slsa.sa.gov.au/record=b3191170</v>
      </c>
      <c r="C12595" s="1" t="str">
        <f>HYPERLINK("https://www.catalog.slsa.sa.gov.au/xrecord=b3191170")</f>
        <v>https://www.catalog.slsa.sa.gov.au/xrecord=b3191170</v>
      </c>
      <c r="D12595" t="s">
        <v>31636</v>
      </c>
      <c r="E12595" t="s">
        <v>38437</v>
      </c>
      <c r="F12595" t="s">
        <v>38438</v>
      </c>
      <c r="G12595" t="s">
        <v>36396</v>
      </c>
      <c r="H12595" t="s">
        <v>38437</v>
      </c>
      <c r="I12595" t="s">
        <v>38439</v>
      </c>
      <c r="J12595" t="s">
        <v>1809</v>
      </c>
      <c r="K12595" s="2" t="str">
        <f>HYPERLINK("http://collections.slsa.sa.gov.au/resource/B+76802")</f>
        <v>http://collections.slsa.sa.gov.au/resource/B+76802</v>
      </c>
    </row>
    <row r="12596" spans="1:11" x14ac:dyDescent="0.25">
      <c r="A12596" t="s">
        <v>38440</v>
      </c>
      <c r="B12596" s="1" t="str">
        <f>HYPERLINK("https://www.catalog.slsa.sa.gov.au/record=b3199775")</f>
        <v>https://www.catalog.slsa.sa.gov.au/record=b3199775</v>
      </c>
      <c r="C12596" s="1" t="str">
        <f>HYPERLINK("https://www.catalog.slsa.sa.gov.au/xrecord=b3199775")</f>
        <v>https://www.catalog.slsa.sa.gov.au/xrecord=b3199775</v>
      </c>
      <c r="D12596" t="s">
        <v>31636</v>
      </c>
      <c r="E12596" t="s">
        <v>38441</v>
      </c>
      <c r="F12596" t="s">
        <v>38442</v>
      </c>
      <c r="G12596" t="s">
        <v>38443</v>
      </c>
      <c r="H12596" t="s">
        <v>38444</v>
      </c>
      <c r="I12596" t="s">
        <v>38445</v>
      </c>
      <c r="J12596" t="s">
        <v>19035</v>
      </c>
      <c r="K12596" s="2" t="str">
        <f>HYPERLINK("http://collections.slsa.sa.gov.au/resource/B+77258")</f>
        <v>http://collections.slsa.sa.gov.au/resource/B+77258</v>
      </c>
    </row>
    <row r="12597" spans="1:11" x14ac:dyDescent="0.25">
      <c r="A12597" t="s">
        <v>38446</v>
      </c>
      <c r="B12597" s="1" t="str">
        <f>HYPERLINK("https://www.catalog.slsa.sa.gov.au/record=b3199776")</f>
        <v>https://www.catalog.slsa.sa.gov.au/record=b3199776</v>
      </c>
      <c r="C12597" s="1" t="str">
        <f>HYPERLINK("https://www.catalog.slsa.sa.gov.au/xrecord=b3199776")</f>
        <v>https://www.catalog.slsa.sa.gov.au/xrecord=b3199776</v>
      </c>
      <c r="D12597" t="s">
        <v>31636</v>
      </c>
      <c r="E12597" t="s">
        <v>38441</v>
      </c>
      <c r="F12597" t="s">
        <v>38442</v>
      </c>
      <c r="G12597" t="s">
        <v>38447</v>
      </c>
      <c r="H12597" t="s">
        <v>38448</v>
      </c>
      <c r="I12597" t="s">
        <v>38445</v>
      </c>
      <c r="J12597" t="s">
        <v>19035</v>
      </c>
      <c r="K12597" s="2" t="str">
        <f>HYPERLINK("http://collections.slsa.sa.gov.au/resource/B+77259")</f>
        <v>http://collections.slsa.sa.gov.au/resource/B+77259</v>
      </c>
    </row>
    <row r="12598" spans="1:11" x14ac:dyDescent="0.25">
      <c r="A12598" t="s">
        <v>38449</v>
      </c>
      <c r="B12598" s="1" t="str">
        <f>HYPERLINK("https://www.catalog.slsa.sa.gov.au/record=b3199778")</f>
        <v>https://www.catalog.slsa.sa.gov.au/record=b3199778</v>
      </c>
      <c r="C12598" s="1" t="str">
        <f>HYPERLINK("https://www.catalog.slsa.sa.gov.au/xrecord=b3199778")</f>
        <v>https://www.catalog.slsa.sa.gov.au/xrecord=b3199778</v>
      </c>
      <c r="D12598" t="s">
        <v>31636</v>
      </c>
      <c r="E12598" t="s">
        <v>38450</v>
      </c>
      <c r="F12598" t="s">
        <v>38442</v>
      </c>
      <c r="G12598" t="s">
        <v>38451</v>
      </c>
      <c r="H12598" t="s">
        <v>38452</v>
      </c>
      <c r="I12598" t="s">
        <v>38453</v>
      </c>
      <c r="J12598" t="s">
        <v>19035</v>
      </c>
      <c r="K12598" s="2" t="str">
        <f>HYPERLINK("http://collections.slsa.sa.gov.au/resource/B+77260")</f>
        <v>http://collections.slsa.sa.gov.au/resource/B+77260</v>
      </c>
    </row>
    <row r="12599" spans="1:11" x14ac:dyDescent="0.25">
      <c r="A12599" t="s">
        <v>38454</v>
      </c>
      <c r="B12599" s="1" t="str">
        <f>HYPERLINK("https://www.catalog.slsa.sa.gov.au/record=b3199780")</f>
        <v>https://www.catalog.slsa.sa.gov.au/record=b3199780</v>
      </c>
      <c r="C12599" s="1" t="str">
        <f>HYPERLINK("https://www.catalog.slsa.sa.gov.au/xrecord=b3199780")</f>
        <v>https://www.catalog.slsa.sa.gov.au/xrecord=b3199780</v>
      </c>
      <c r="D12599" t="s">
        <v>31636</v>
      </c>
      <c r="E12599" t="s">
        <v>38455</v>
      </c>
      <c r="F12599" t="s">
        <v>38442</v>
      </c>
      <c r="G12599" t="s">
        <v>38456</v>
      </c>
      <c r="H12599" t="s">
        <v>38457</v>
      </c>
      <c r="I12599" t="s">
        <v>38458</v>
      </c>
      <c r="J12599" t="s">
        <v>19035</v>
      </c>
      <c r="K12599" s="2" t="str">
        <f>HYPERLINK("http://collections.slsa.sa.gov.au/resource/B+77261")</f>
        <v>http://collections.slsa.sa.gov.au/resource/B+77261</v>
      </c>
    </row>
    <row r="12600" spans="1:11" x14ac:dyDescent="0.25">
      <c r="A12600" t="s">
        <v>38459</v>
      </c>
      <c r="B12600" s="1" t="str">
        <f>HYPERLINK("https://www.catalog.slsa.sa.gov.au/record=b3199781")</f>
        <v>https://www.catalog.slsa.sa.gov.au/record=b3199781</v>
      </c>
      <c r="C12600" s="1" t="str">
        <f>HYPERLINK("https://www.catalog.slsa.sa.gov.au/xrecord=b3199781")</f>
        <v>https://www.catalog.slsa.sa.gov.au/xrecord=b3199781</v>
      </c>
      <c r="D12600" t="s">
        <v>31636</v>
      </c>
      <c r="E12600" t="s">
        <v>38455</v>
      </c>
      <c r="F12600" t="s">
        <v>38442</v>
      </c>
      <c r="G12600" t="s">
        <v>38456</v>
      </c>
      <c r="H12600" t="s">
        <v>38460</v>
      </c>
      <c r="I12600" t="s">
        <v>38461</v>
      </c>
      <c r="J12600" t="s">
        <v>19035</v>
      </c>
      <c r="K12600" s="2" t="str">
        <f>HYPERLINK("http://collections.slsa.sa.gov.au/resource/B+77262")</f>
        <v>http://collections.slsa.sa.gov.au/resource/B+77262</v>
      </c>
    </row>
    <row r="12601" spans="1:11" x14ac:dyDescent="0.25">
      <c r="A12601" t="s">
        <v>38462</v>
      </c>
      <c r="B12601" s="1" t="str">
        <f>HYPERLINK("https://www.catalog.slsa.sa.gov.au/record=b3199782")</f>
        <v>https://www.catalog.slsa.sa.gov.au/record=b3199782</v>
      </c>
      <c r="C12601" s="1" t="str">
        <f>HYPERLINK("https://www.catalog.slsa.sa.gov.au/xrecord=b3199782")</f>
        <v>https://www.catalog.slsa.sa.gov.au/xrecord=b3199782</v>
      </c>
      <c r="D12601" t="s">
        <v>31636</v>
      </c>
      <c r="E12601" t="s">
        <v>38463</v>
      </c>
      <c r="F12601" t="s">
        <v>38442</v>
      </c>
      <c r="G12601" t="s">
        <v>38464</v>
      </c>
      <c r="H12601" t="s">
        <v>38465</v>
      </c>
      <c r="I12601" t="s">
        <v>38466</v>
      </c>
      <c r="J12601" t="s">
        <v>19035</v>
      </c>
      <c r="K12601" s="2" t="str">
        <f>HYPERLINK("http://collections.slsa.sa.gov.au/resource/B+77263")</f>
        <v>http://collections.slsa.sa.gov.au/resource/B+77263</v>
      </c>
    </row>
    <row r="12602" spans="1:11" x14ac:dyDescent="0.25">
      <c r="A12602" t="s">
        <v>38467</v>
      </c>
      <c r="B12602" s="1" t="str">
        <f>HYPERLINK("https://www.catalog.slsa.sa.gov.au/record=b3189558")</f>
        <v>https://www.catalog.slsa.sa.gov.au/record=b3189558</v>
      </c>
      <c r="C12602" s="1" t="str">
        <f>HYPERLINK("https://www.catalog.slsa.sa.gov.au/xrecord=b3189558")</f>
        <v>https://www.catalog.slsa.sa.gov.au/xrecord=b3189558</v>
      </c>
      <c r="D12602" t="s">
        <v>31636</v>
      </c>
      <c r="E12602" t="s">
        <v>38468</v>
      </c>
      <c r="F12602" t="s">
        <v>38469</v>
      </c>
      <c r="G12602" t="s">
        <v>37758</v>
      </c>
      <c r="H12602" t="s">
        <v>38470</v>
      </c>
      <c r="I12602" t="s">
        <v>38471</v>
      </c>
      <c r="J12602" t="s">
        <v>38472</v>
      </c>
      <c r="K12602" s="2" t="str">
        <f>HYPERLINK("http://collections.slsa.sa.gov.au/resource/B+76483")</f>
        <v>http://collections.slsa.sa.gov.au/resource/B+76483</v>
      </c>
    </row>
    <row r="12603" spans="1:11" x14ac:dyDescent="0.25">
      <c r="A12603" t="s">
        <v>38473</v>
      </c>
      <c r="B12603" s="1" t="str">
        <f>HYPERLINK("https://www.catalog.slsa.sa.gov.au/record=b3189564")</f>
        <v>https://www.catalog.slsa.sa.gov.au/record=b3189564</v>
      </c>
      <c r="C12603" s="1" t="str">
        <f>HYPERLINK("https://www.catalog.slsa.sa.gov.au/xrecord=b3189564")</f>
        <v>https://www.catalog.slsa.sa.gov.au/xrecord=b3189564</v>
      </c>
      <c r="D12603" t="s">
        <v>31636</v>
      </c>
      <c r="E12603" t="s">
        <v>17995</v>
      </c>
      <c r="F12603" t="s">
        <v>38469</v>
      </c>
      <c r="G12603" t="s">
        <v>38308</v>
      </c>
      <c r="H12603" t="s">
        <v>38474</v>
      </c>
      <c r="I12603" t="s">
        <v>38475</v>
      </c>
      <c r="J12603" t="s">
        <v>38476</v>
      </c>
      <c r="K12603" s="2" t="str">
        <f>HYPERLINK("http://collections.slsa.sa.gov.au/resource/B+76484")</f>
        <v>http://collections.slsa.sa.gov.au/resource/B+76484</v>
      </c>
    </row>
    <row r="12604" spans="1:11" x14ac:dyDescent="0.25">
      <c r="A12604" t="s">
        <v>38477</v>
      </c>
      <c r="B12604" s="1" t="str">
        <f>HYPERLINK("https://www.catalog.slsa.sa.gov.au/record=b3189566")</f>
        <v>https://www.catalog.slsa.sa.gov.au/record=b3189566</v>
      </c>
      <c r="C12604" s="1" t="str">
        <f>HYPERLINK("https://www.catalog.slsa.sa.gov.au/xrecord=b3189566")</f>
        <v>https://www.catalog.slsa.sa.gov.au/xrecord=b3189566</v>
      </c>
      <c r="D12604" t="s">
        <v>31636</v>
      </c>
      <c r="E12604" t="s">
        <v>17995</v>
      </c>
      <c r="F12604" t="s">
        <v>38469</v>
      </c>
      <c r="G12604" t="s">
        <v>37758</v>
      </c>
      <c r="H12604" t="s">
        <v>38478</v>
      </c>
      <c r="I12604" t="s">
        <v>38475</v>
      </c>
      <c r="J12604" t="s">
        <v>38476</v>
      </c>
      <c r="K12604" s="2" t="str">
        <f>HYPERLINK("http://collections.slsa.sa.gov.au/resource/B+76485")</f>
        <v>http://collections.slsa.sa.gov.au/resource/B+76485</v>
      </c>
    </row>
    <row r="12605" spans="1:11" x14ac:dyDescent="0.25">
      <c r="A12605" t="s">
        <v>38479</v>
      </c>
      <c r="B12605" s="1" t="str">
        <f>HYPERLINK("https://www.catalog.slsa.sa.gov.au/record=b3189567")</f>
        <v>https://www.catalog.slsa.sa.gov.au/record=b3189567</v>
      </c>
      <c r="C12605" s="1" t="str">
        <f>HYPERLINK("https://www.catalog.slsa.sa.gov.au/xrecord=b3189567")</f>
        <v>https://www.catalog.slsa.sa.gov.au/xrecord=b3189567</v>
      </c>
      <c r="D12605" t="s">
        <v>31636</v>
      </c>
      <c r="E12605" t="s">
        <v>38480</v>
      </c>
      <c r="F12605" t="s">
        <v>38469</v>
      </c>
      <c r="G12605" t="s">
        <v>38481</v>
      </c>
      <c r="H12605" t="s">
        <v>38482</v>
      </c>
      <c r="I12605" t="s">
        <v>38483</v>
      </c>
      <c r="J12605" t="s">
        <v>5381</v>
      </c>
      <c r="K12605" s="2" t="str">
        <f>HYPERLINK("http://collections.slsa.sa.gov.au/resource/B+76605")</f>
        <v>http://collections.slsa.sa.gov.au/resource/B+76605</v>
      </c>
    </row>
    <row r="12606" spans="1:11" x14ac:dyDescent="0.25">
      <c r="A12606" t="s">
        <v>38484</v>
      </c>
      <c r="B12606" s="1" t="str">
        <f>HYPERLINK("https://www.catalog.slsa.sa.gov.au/record=b3189569")</f>
        <v>https://www.catalog.slsa.sa.gov.au/record=b3189569</v>
      </c>
      <c r="C12606" s="1" t="str">
        <f>HYPERLINK("https://www.catalog.slsa.sa.gov.au/xrecord=b3189569")</f>
        <v>https://www.catalog.slsa.sa.gov.au/xrecord=b3189569</v>
      </c>
      <c r="D12606" t="s">
        <v>31636</v>
      </c>
      <c r="E12606" t="s">
        <v>38485</v>
      </c>
      <c r="F12606" t="s">
        <v>38469</v>
      </c>
      <c r="G12606" t="s">
        <v>38486</v>
      </c>
      <c r="H12606" t="s">
        <v>38487</v>
      </c>
      <c r="I12606" t="s">
        <v>38488</v>
      </c>
      <c r="J12606" t="s">
        <v>36129</v>
      </c>
      <c r="K12606" s="2" t="str">
        <f>HYPERLINK("http://collections.slsa.sa.gov.au/resource/B+76606")</f>
        <v>http://collections.slsa.sa.gov.au/resource/B+76606</v>
      </c>
    </row>
    <row r="12607" spans="1:11" x14ac:dyDescent="0.25">
      <c r="A12607" t="s">
        <v>38489</v>
      </c>
      <c r="B12607" s="1" t="str">
        <f>HYPERLINK("https://www.catalog.slsa.sa.gov.au/record=b3189572")</f>
        <v>https://www.catalog.slsa.sa.gov.au/record=b3189572</v>
      </c>
      <c r="C12607" s="1" t="str">
        <f>HYPERLINK("https://www.catalog.slsa.sa.gov.au/xrecord=b3189572")</f>
        <v>https://www.catalog.slsa.sa.gov.au/xrecord=b3189572</v>
      </c>
      <c r="D12607" t="s">
        <v>31636</v>
      </c>
      <c r="E12607" t="s">
        <v>38490</v>
      </c>
      <c r="F12607" t="s">
        <v>38469</v>
      </c>
      <c r="G12607" t="s">
        <v>38491</v>
      </c>
      <c r="H12607" t="s">
        <v>38492</v>
      </c>
      <c r="I12607" t="s">
        <v>38488</v>
      </c>
      <c r="J12607" t="s">
        <v>36129</v>
      </c>
      <c r="K12607" s="2" t="str">
        <f>HYPERLINK("http://collections.slsa.sa.gov.au/resource/B+76607")</f>
        <v>http://collections.slsa.sa.gov.au/resource/B+76607</v>
      </c>
    </row>
    <row r="12608" spans="1:11" x14ac:dyDescent="0.25">
      <c r="A12608" t="s">
        <v>38493</v>
      </c>
      <c r="B12608" s="1" t="str">
        <f>HYPERLINK("https://www.catalog.slsa.sa.gov.au/record=b3189573")</f>
        <v>https://www.catalog.slsa.sa.gov.au/record=b3189573</v>
      </c>
      <c r="C12608" s="1" t="str">
        <f>HYPERLINK("https://www.catalog.slsa.sa.gov.au/xrecord=b3189573")</f>
        <v>https://www.catalog.slsa.sa.gov.au/xrecord=b3189573</v>
      </c>
      <c r="D12608" t="s">
        <v>31636</v>
      </c>
      <c r="E12608" t="s">
        <v>38490</v>
      </c>
      <c r="F12608" t="s">
        <v>38469</v>
      </c>
      <c r="G12608" t="s">
        <v>38494</v>
      </c>
      <c r="H12608" t="s">
        <v>38495</v>
      </c>
      <c r="I12608" t="s">
        <v>38488</v>
      </c>
      <c r="J12608" t="s">
        <v>36129</v>
      </c>
      <c r="K12608" s="2" t="str">
        <f>HYPERLINK("http://collections.slsa.sa.gov.au/resource/B+76608")</f>
        <v>http://collections.slsa.sa.gov.au/resource/B+76608</v>
      </c>
    </row>
    <row r="12609" spans="1:11" x14ac:dyDescent="0.25">
      <c r="A12609" t="s">
        <v>38496</v>
      </c>
      <c r="B12609" s="1" t="str">
        <f>HYPERLINK("https://www.catalog.slsa.sa.gov.au/record=b3189574")</f>
        <v>https://www.catalog.slsa.sa.gov.au/record=b3189574</v>
      </c>
      <c r="C12609" s="1" t="str">
        <f>HYPERLINK("https://www.catalog.slsa.sa.gov.au/xrecord=b3189574")</f>
        <v>https://www.catalog.slsa.sa.gov.au/xrecord=b3189574</v>
      </c>
      <c r="D12609" t="s">
        <v>31636</v>
      </c>
      <c r="E12609" t="s">
        <v>38497</v>
      </c>
      <c r="F12609" t="s">
        <v>38469</v>
      </c>
      <c r="G12609" t="s">
        <v>38498</v>
      </c>
      <c r="H12609" t="s">
        <v>38499</v>
      </c>
      <c r="I12609" t="s">
        <v>38488</v>
      </c>
      <c r="J12609" t="s">
        <v>36129</v>
      </c>
      <c r="K12609" s="2" t="str">
        <f>HYPERLINK("http://collections.slsa.sa.gov.au/resource/B+76609")</f>
        <v>http://collections.slsa.sa.gov.au/resource/B+76609</v>
      </c>
    </row>
    <row r="12610" spans="1:11" x14ac:dyDescent="0.25">
      <c r="A12610" t="s">
        <v>38500</v>
      </c>
      <c r="B12610" s="1" t="str">
        <f>HYPERLINK("https://www.catalog.slsa.sa.gov.au/record=b3189577")</f>
        <v>https://www.catalog.slsa.sa.gov.au/record=b3189577</v>
      </c>
      <c r="C12610" s="1" t="str">
        <f>HYPERLINK("https://www.catalog.slsa.sa.gov.au/xrecord=b3189577")</f>
        <v>https://www.catalog.slsa.sa.gov.au/xrecord=b3189577</v>
      </c>
      <c r="D12610" t="s">
        <v>31636</v>
      </c>
      <c r="E12610" t="s">
        <v>38501</v>
      </c>
      <c r="F12610" t="s">
        <v>38469</v>
      </c>
      <c r="G12610" t="s">
        <v>38502</v>
      </c>
      <c r="H12610" t="s">
        <v>38503</v>
      </c>
      <c r="I12610" t="s">
        <v>38488</v>
      </c>
      <c r="J12610" t="s">
        <v>36129</v>
      </c>
      <c r="K12610" s="2" t="str">
        <f>HYPERLINK("http://collections.slsa.sa.gov.au/resource/B+76610")</f>
        <v>http://collections.slsa.sa.gov.au/resource/B+76610</v>
      </c>
    </row>
    <row r="12611" spans="1:11" x14ac:dyDescent="0.25">
      <c r="A12611" t="s">
        <v>38504</v>
      </c>
      <c r="B12611" s="1" t="str">
        <f>HYPERLINK("https://www.catalog.slsa.sa.gov.au/record=b3189578")</f>
        <v>https://www.catalog.slsa.sa.gov.au/record=b3189578</v>
      </c>
      <c r="C12611" s="1" t="str">
        <f>HYPERLINK("https://www.catalog.slsa.sa.gov.au/xrecord=b3189578")</f>
        <v>https://www.catalog.slsa.sa.gov.au/xrecord=b3189578</v>
      </c>
      <c r="D12611" t="s">
        <v>31636</v>
      </c>
      <c r="E12611" t="s">
        <v>38501</v>
      </c>
      <c r="F12611" t="s">
        <v>38469</v>
      </c>
      <c r="G12611" t="s">
        <v>38505</v>
      </c>
      <c r="H12611" t="s">
        <v>38506</v>
      </c>
      <c r="I12611" t="s">
        <v>38507</v>
      </c>
      <c r="J12611" t="s">
        <v>36129</v>
      </c>
      <c r="K12611" s="2" t="str">
        <f>HYPERLINK("http://collections.slsa.sa.gov.au/resource/B+76611")</f>
        <v>http://collections.slsa.sa.gov.au/resource/B+76611</v>
      </c>
    </row>
    <row r="12612" spans="1:11" x14ac:dyDescent="0.25">
      <c r="A12612" t="s">
        <v>38508</v>
      </c>
      <c r="B12612" s="1" t="str">
        <f>HYPERLINK("https://www.catalog.slsa.sa.gov.au/record=b3189579")</f>
        <v>https://www.catalog.slsa.sa.gov.au/record=b3189579</v>
      </c>
      <c r="C12612" s="1" t="str">
        <f>HYPERLINK("https://www.catalog.slsa.sa.gov.au/xrecord=b3189579")</f>
        <v>https://www.catalog.slsa.sa.gov.au/xrecord=b3189579</v>
      </c>
      <c r="D12612" t="s">
        <v>31636</v>
      </c>
      <c r="E12612" t="s">
        <v>38509</v>
      </c>
      <c r="F12612" t="s">
        <v>38469</v>
      </c>
      <c r="G12612" t="s">
        <v>38505</v>
      </c>
      <c r="H12612" t="s">
        <v>38510</v>
      </c>
      <c r="I12612" t="s">
        <v>38511</v>
      </c>
      <c r="J12612" t="s">
        <v>36129</v>
      </c>
      <c r="K12612" s="2" t="str">
        <f>HYPERLINK("http://collections.slsa.sa.gov.au/resource/B+76612")</f>
        <v>http://collections.slsa.sa.gov.au/resource/B+76612</v>
      </c>
    </row>
    <row r="12613" spans="1:11" x14ac:dyDescent="0.25">
      <c r="A12613" t="s">
        <v>38512</v>
      </c>
      <c r="B12613" s="1" t="str">
        <f>HYPERLINK("https://www.catalog.slsa.sa.gov.au/record=b3189580")</f>
        <v>https://www.catalog.slsa.sa.gov.au/record=b3189580</v>
      </c>
      <c r="C12613" s="1" t="str">
        <f>HYPERLINK("https://www.catalog.slsa.sa.gov.au/xrecord=b3189580")</f>
        <v>https://www.catalog.slsa.sa.gov.au/xrecord=b3189580</v>
      </c>
      <c r="D12613" t="s">
        <v>31636</v>
      </c>
      <c r="E12613" t="s">
        <v>38513</v>
      </c>
      <c r="F12613" t="s">
        <v>38469</v>
      </c>
      <c r="G12613" t="s">
        <v>38514</v>
      </c>
      <c r="H12613" t="s">
        <v>38515</v>
      </c>
      <c r="I12613" t="s">
        <v>38516</v>
      </c>
      <c r="J12613" t="s">
        <v>36129</v>
      </c>
      <c r="K12613" s="2" t="str">
        <f>HYPERLINK("http://collections.slsa.sa.gov.au/resource/B+76613")</f>
        <v>http://collections.slsa.sa.gov.au/resource/B+76613</v>
      </c>
    </row>
    <row r="12614" spans="1:11" x14ac:dyDescent="0.25">
      <c r="A12614" t="s">
        <v>38517</v>
      </c>
      <c r="B12614" s="1" t="str">
        <f>HYPERLINK("https://www.catalog.slsa.sa.gov.au/record=b3189583")</f>
        <v>https://www.catalog.slsa.sa.gov.au/record=b3189583</v>
      </c>
      <c r="C12614" s="1" t="str">
        <f>HYPERLINK("https://www.catalog.slsa.sa.gov.au/xrecord=b3189583")</f>
        <v>https://www.catalog.slsa.sa.gov.au/xrecord=b3189583</v>
      </c>
      <c r="D12614" t="s">
        <v>31636</v>
      </c>
      <c r="E12614" t="s">
        <v>38518</v>
      </c>
      <c r="F12614" t="s">
        <v>38469</v>
      </c>
      <c r="G12614" t="s">
        <v>38519</v>
      </c>
      <c r="H12614" t="s">
        <v>38520</v>
      </c>
      <c r="I12614" t="s">
        <v>37807</v>
      </c>
      <c r="J12614" t="s">
        <v>38472</v>
      </c>
      <c r="K12614" s="2" t="str">
        <f>HYPERLINK("http://collections.slsa.sa.gov.au/resource/B+76614")</f>
        <v>http://collections.slsa.sa.gov.au/resource/B+76614</v>
      </c>
    </row>
    <row r="12615" spans="1:11" x14ac:dyDescent="0.25">
      <c r="A12615" t="s">
        <v>38521</v>
      </c>
      <c r="B12615" s="1" t="str">
        <f>HYPERLINK("https://www.catalog.slsa.sa.gov.au/record=b3189590")</f>
        <v>https://www.catalog.slsa.sa.gov.au/record=b3189590</v>
      </c>
      <c r="C12615" s="1" t="str">
        <f>HYPERLINK("https://www.catalog.slsa.sa.gov.au/xrecord=b3189590")</f>
        <v>https://www.catalog.slsa.sa.gov.au/xrecord=b3189590</v>
      </c>
      <c r="D12615" t="s">
        <v>31636</v>
      </c>
      <c r="E12615" t="s">
        <v>38522</v>
      </c>
      <c r="F12615" t="s">
        <v>38469</v>
      </c>
      <c r="G12615" t="s">
        <v>37716</v>
      </c>
      <c r="H12615" t="s">
        <v>38523</v>
      </c>
      <c r="I12615" t="s">
        <v>36513</v>
      </c>
      <c r="J12615" t="s">
        <v>5381</v>
      </c>
      <c r="K12615" s="2" t="str">
        <f>HYPERLINK("http://collections.slsa.sa.gov.au/resource/B+76615")</f>
        <v>http://collections.slsa.sa.gov.au/resource/B+76615</v>
      </c>
    </row>
    <row r="12616" spans="1:11" x14ac:dyDescent="0.25">
      <c r="A12616" t="s">
        <v>38524</v>
      </c>
      <c r="B12616" s="1" t="str">
        <f>HYPERLINK("https://www.catalog.slsa.sa.gov.au/record=b3183958")</f>
        <v>https://www.catalog.slsa.sa.gov.au/record=b3183958</v>
      </c>
      <c r="C12616" s="1" t="str">
        <f>HYPERLINK("https://www.catalog.slsa.sa.gov.au/xrecord=b3183958")</f>
        <v>https://www.catalog.slsa.sa.gov.au/xrecord=b3183958</v>
      </c>
      <c r="D12616" t="s">
        <v>31636</v>
      </c>
      <c r="E12616" t="s">
        <v>38525</v>
      </c>
      <c r="F12616" t="s">
        <v>38526</v>
      </c>
      <c r="G12616" t="s">
        <v>38527</v>
      </c>
      <c r="H12616" t="s">
        <v>38528</v>
      </c>
      <c r="I12616" t="s">
        <v>38529</v>
      </c>
      <c r="J12616" t="s">
        <v>18474</v>
      </c>
      <c r="K12616" s="2" t="str">
        <f>HYPERLINK("http://collections.slsa.sa.gov.au/resource/B+76555")</f>
        <v>http://collections.slsa.sa.gov.au/resource/B+76555</v>
      </c>
    </row>
    <row r="12617" spans="1:11" x14ac:dyDescent="0.25">
      <c r="A12617" t="s">
        <v>38530</v>
      </c>
      <c r="B12617" s="1" t="str">
        <f>HYPERLINK("https://www.catalog.slsa.sa.gov.au/record=b3183959")</f>
        <v>https://www.catalog.slsa.sa.gov.au/record=b3183959</v>
      </c>
      <c r="C12617" s="1" t="str">
        <f>HYPERLINK("https://www.catalog.slsa.sa.gov.au/xrecord=b3183959")</f>
        <v>https://www.catalog.slsa.sa.gov.au/xrecord=b3183959</v>
      </c>
      <c r="D12617" t="s">
        <v>31636</v>
      </c>
      <c r="E12617" t="s">
        <v>38525</v>
      </c>
      <c r="F12617" t="s">
        <v>38526</v>
      </c>
      <c r="G12617" t="s">
        <v>38531</v>
      </c>
      <c r="H12617" t="s">
        <v>38532</v>
      </c>
      <c r="I12617" t="s">
        <v>38529</v>
      </c>
      <c r="J12617" t="s">
        <v>18474</v>
      </c>
      <c r="K12617" s="2" t="str">
        <f>HYPERLINK("http://collections.slsa.sa.gov.au/resource/B+76556")</f>
        <v>http://collections.slsa.sa.gov.au/resource/B+76556</v>
      </c>
    </row>
    <row r="12618" spans="1:11" x14ac:dyDescent="0.25">
      <c r="A12618" t="s">
        <v>38533</v>
      </c>
      <c r="B12618" s="1" t="str">
        <f>HYPERLINK("https://www.catalog.slsa.sa.gov.au/record=b3183965")</f>
        <v>https://www.catalog.slsa.sa.gov.au/record=b3183965</v>
      </c>
      <c r="C12618" s="1" t="str">
        <f>HYPERLINK("https://www.catalog.slsa.sa.gov.au/xrecord=b3183965")</f>
        <v>https://www.catalog.slsa.sa.gov.au/xrecord=b3183965</v>
      </c>
      <c r="D12618" t="s">
        <v>31636</v>
      </c>
      <c r="E12618" t="s">
        <v>38525</v>
      </c>
      <c r="F12618" t="s">
        <v>38526</v>
      </c>
      <c r="G12618" t="s">
        <v>37758</v>
      </c>
      <c r="H12618" t="s">
        <v>38534</v>
      </c>
      <c r="I12618" t="s">
        <v>38529</v>
      </c>
      <c r="J12618" t="s">
        <v>18474</v>
      </c>
      <c r="K12618" s="2" t="str">
        <f>HYPERLINK("http://collections.slsa.sa.gov.au/resource/B+76557")</f>
        <v>http://collections.slsa.sa.gov.au/resource/B+76557</v>
      </c>
    </row>
    <row r="12619" spans="1:11" x14ac:dyDescent="0.25">
      <c r="A12619" t="s">
        <v>38535</v>
      </c>
      <c r="B12619" s="1" t="str">
        <f>HYPERLINK("https://www.catalog.slsa.sa.gov.au/record=b3183966")</f>
        <v>https://www.catalog.slsa.sa.gov.au/record=b3183966</v>
      </c>
      <c r="C12619" s="1" t="str">
        <f>HYPERLINK("https://www.catalog.slsa.sa.gov.au/xrecord=b3183966")</f>
        <v>https://www.catalog.slsa.sa.gov.au/xrecord=b3183966</v>
      </c>
      <c r="D12619" t="s">
        <v>31636</v>
      </c>
      <c r="E12619" t="s">
        <v>38525</v>
      </c>
      <c r="F12619" t="s">
        <v>38526</v>
      </c>
      <c r="G12619" t="s">
        <v>37758</v>
      </c>
      <c r="H12619" t="s">
        <v>38532</v>
      </c>
      <c r="I12619" t="s">
        <v>38529</v>
      </c>
      <c r="J12619" t="s">
        <v>18474</v>
      </c>
      <c r="K12619" s="2" t="str">
        <f>HYPERLINK("http://collections.slsa.sa.gov.au/resource/B+76558")</f>
        <v>http://collections.slsa.sa.gov.au/resource/B+76558</v>
      </c>
    </row>
    <row r="12620" spans="1:11" x14ac:dyDescent="0.25">
      <c r="A12620" t="s">
        <v>38536</v>
      </c>
      <c r="B12620" s="1" t="str">
        <f>HYPERLINK("https://www.catalog.slsa.sa.gov.au/record=b3183967")</f>
        <v>https://www.catalog.slsa.sa.gov.au/record=b3183967</v>
      </c>
      <c r="C12620" s="1" t="str">
        <f>HYPERLINK("https://www.catalog.slsa.sa.gov.au/xrecord=b3183967")</f>
        <v>https://www.catalog.slsa.sa.gov.au/xrecord=b3183967</v>
      </c>
      <c r="D12620" t="s">
        <v>31636</v>
      </c>
      <c r="E12620" t="s">
        <v>38525</v>
      </c>
      <c r="F12620" t="s">
        <v>38526</v>
      </c>
      <c r="G12620" t="s">
        <v>37758</v>
      </c>
      <c r="H12620" t="s">
        <v>38537</v>
      </c>
      <c r="I12620" t="s">
        <v>38538</v>
      </c>
      <c r="J12620" t="s">
        <v>18474</v>
      </c>
      <c r="K12620" s="2" t="str">
        <f>HYPERLINK("http://collections.slsa.sa.gov.au/resource/B+76559")</f>
        <v>http://collections.slsa.sa.gov.au/resource/B+76559</v>
      </c>
    </row>
    <row r="12621" spans="1:11" x14ac:dyDescent="0.25">
      <c r="A12621" t="s">
        <v>38539</v>
      </c>
      <c r="B12621" s="1" t="str">
        <f>HYPERLINK("https://www.catalog.slsa.sa.gov.au/record=b3183968")</f>
        <v>https://www.catalog.slsa.sa.gov.au/record=b3183968</v>
      </c>
      <c r="C12621" s="1" t="str">
        <f>HYPERLINK("https://www.catalog.slsa.sa.gov.au/xrecord=b3183968")</f>
        <v>https://www.catalog.slsa.sa.gov.au/xrecord=b3183968</v>
      </c>
      <c r="D12621" t="s">
        <v>31636</v>
      </c>
      <c r="E12621" t="s">
        <v>38525</v>
      </c>
      <c r="F12621" t="s">
        <v>38526</v>
      </c>
      <c r="G12621" t="s">
        <v>38540</v>
      </c>
      <c r="H12621" t="s">
        <v>38541</v>
      </c>
      <c r="I12621" t="s">
        <v>38529</v>
      </c>
      <c r="J12621" t="s">
        <v>18474</v>
      </c>
      <c r="K12621" s="2" t="str">
        <f>HYPERLINK("http://collections.slsa.sa.gov.au/resource/B+76560")</f>
        <v>http://collections.slsa.sa.gov.au/resource/B+76560</v>
      </c>
    </row>
    <row r="12622" spans="1:11" x14ac:dyDescent="0.25">
      <c r="A12622" t="s">
        <v>38542</v>
      </c>
      <c r="B12622" s="1" t="str">
        <f>HYPERLINK("https://www.catalog.slsa.sa.gov.au/record=b3183969")</f>
        <v>https://www.catalog.slsa.sa.gov.au/record=b3183969</v>
      </c>
      <c r="C12622" s="1" t="str">
        <f>HYPERLINK("https://www.catalog.slsa.sa.gov.au/xrecord=b3183969")</f>
        <v>https://www.catalog.slsa.sa.gov.au/xrecord=b3183969</v>
      </c>
      <c r="D12622" t="s">
        <v>31636</v>
      </c>
      <c r="E12622" t="s">
        <v>38525</v>
      </c>
      <c r="F12622" t="s">
        <v>38526</v>
      </c>
      <c r="G12622" t="s">
        <v>37758</v>
      </c>
      <c r="H12622" t="s">
        <v>38543</v>
      </c>
      <c r="I12622" t="s">
        <v>38529</v>
      </c>
      <c r="J12622" t="s">
        <v>18474</v>
      </c>
      <c r="K12622" s="2" t="str">
        <f>HYPERLINK("http://collections.slsa.sa.gov.au/resource/B+76561")</f>
        <v>http://collections.slsa.sa.gov.au/resource/B+76561</v>
      </c>
    </row>
    <row r="12623" spans="1:11" x14ac:dyDescent="0.25">
      <c r="A12623" t="s">
        <v>38544</v>
      </c>
      <c r="B12623" s="1" t="str">
        <f>HYPERLINK("https://www.catalog.slsa.sa.gov.au/record=b3183972")</f>
        <v>https://www.catalog.slsa.sa.gov.au/record=b3183972</v>
      </c>
      <c r="C12623" s="1" t="str">
        <f>HYPERLINK("https://www.catalog.slsa.sa.gov.au/xrecord=b3183972")</f>
        <v>https://www.catalog.slsa.sa.gov.au/xrecord=b3183972</v>
      </c>
      <c r="D12623" t="s">
        <v>31636</v>
      </c>
      <c r="E12623" t="s">
        <v>38525</v>
      </c>
      <c r="F12623" t="s">
        <v>38526</v>
      </c>
      <c r="G12623" t="s">
        <v>38545</v>
      </c>
      <c r="H12623" t="s">
        <v>38546</v>
      </c>
      <c r="I12623" t="s">
        <v>38529</v>
      </c>
      <c r="J12623" t="s">
        <v>18474</v>
      </c>
      <c r="K12623" s="2" t="str">
        <f>HYPERLINK("http://collections.slsa.sa.gov.au/resource/B+76562")</f>
        <v>http://collections.slsa.sa.gov.au/resource/B+76562</v>
      </c>
    </row>
    <row r="12624" spans="1:11" x14ac:dyDescent="0.25">
      <c r="A12624" t="s">
        <v>38547</v>
      </c>
      <c r="B12624" s="1" t="str">
        <f>HYPERLINK("https://www.catalog.slsa.sa.gov.au/record=b3183977")</f>
        <v>https://www.catalog.slsa.sa.gov.au/record=b3183977</v>
      </c>
      <c r="C12624" s="1" t="str">
        <f>HYPERLINK("https://www.catalog.slsa.sa.gov.au/xrecord=b3183977")</f>
        <v>https://www.catalog.slsa.sa.gov.au/xrecord=b3183977</v>
      </c>
      <c r="D12624" t="s">
        <v>31636</v>
      </c>
      <c r="E12624" t="s">
        <v>38525</v>
      </c>
      <c r="F12624" t="s">
        <v>38526</v>
      </c>
      <c r="G12624" t="s">
        <v>38548</v>
      </c>
      <c r="H12624" t="s">
        <v>38549</v>
      </c>
      <c r="I12624" t="s">
        <v>38529</v>
      </c>
      <c r="J12624" t="s">
        <v>18474</v>
      </c>
      <c r="K12624" s="2" t="str">
        <f>HYPERLINK("http://collections.slsa.sa.gov.au/resource/B+76563")</f>
        <v>http://collections.slsa.sa.gov.au/resource/B+76563</v>
      </c>
    </row>
    <row r="12625" spans="1:11" x14ac:dyDescent="0.25">
      <c r="A12625" t="s">
        <v>38550</v>
      </c>
      <c r="B12625" s="1" t="str">
        <f>HYPERLINK("https://www.catalog.slsa.sa.gov.au/record=b3183980")</f>
        <v>https://www.catalog.slsa.sa.gov.au/record=b3183980</v>
      </c>
      <c r="C12625" s="1" t="str">
        <f>HYPERLINK("https://www.catalog.slsa.sa.gov.au/xrecord=b3183980")</f>
        <v>https://www.catalog.slsa.sa.gov.au/xrecord=b3183980</v>
      </c>
      <c r="D12625" t="s">
        <v>31636</v>
      </c>
      <c r="E12625" t="s">
        <v>38525</v>
      </c>
      <c r="F12625" t="s">
        <v>38526</v>
      </c>
      <c r="G12625" t="s">
        <v>38551</v>
      </c>
      <c r="H12625" t="s">
        <v>38552</v>
      </c>
      <c r="I12625" t="s">
        <v>38529</v>
      </c>
      <c r="J12625" t="s">
        <v>18474</v>
      </c>
      <c r="K12625" s="2" t="str">
        <f>HYPERLINK("http://collections.slsa.sa.gov.au/resource/B+76564")</f>
        <v>http://collections.slsa.sa.gov.au/resource/B+76564</v>
      </c>
    </row>
    <row r="12626" spans="1:11" x14ac:dyDescent="0.25">
      <c r="A12626" t="s">
        <v>38553</v>
      </c>
      <c r="B12626" s="1" t="str">
        <f>HYPERLINK("https://www.catalog.slsa.sa.gov.au/record=b3183981")</f>
        <v>https://www.catalog.slsa.sa.gov.au/record=b3183981</v>
      </c>
      <c r="C12626" s="1" t="str">
        <f>HYPERLINK("https://www.catalog.slsa.sa.gov.au/xrecord=b3183981")</f>
        <v>https://www.catalog.slsa.sa.gov.au/xrecord=b3183981</v>
      </c>
      <c r="D12626" t="s">
        <v>31636</v>
      </c>
      <c r="E12626" t="s">
        <v>38525</v>
      </c>
      <c r="F12626" t="s">
        <v>38526</v>
      </c>
      <c r="G12626" t="s">
        <v>38554</v>
      </c>
      <c r="H12626" t="s">
        <v>38555</v>
      </c>
      <c r="I12626" t="s">
        <v>38556</v>
      </c>
      <c r="J12626" t="s">
        <v>18474</v>
      </c>
      <c r="K12626" s="2" t="str">
        <f>HYPERLINK("http://collections.slsa.sa.gov.au/resource/B+76565")</f>
        <v>http://collections.slsa.sa.gov.au/resource/B+76565</v>
      </c>
    </row>
    <row r="12627" spans="1:11" x14ac:dyDescent="0.25">
      <c r="A12627" t="s">
        <v>38557</v>
      </c>
      <c r="B12627" s="1" t="str">
        <f>HYPERLINK("https://www.catalog.slsa.sa.gov.au/record=b3183988")</f>
        <v>https://www.catalog.slsa.sa.gov.au/record=b3183988</v>
      </c>
      <c r="C12627" s="1" t="str">
        <f>HYPERLINK("https://www.catalog.slsa.sa.gov.au/xrecord=b3183988")</f>
        <v>https://www.catalog.slsa.sa.gov.au/xrecord=b3183988</v>
      </c>
      <c r="D12627" t="s">
        <v>31636</v>
      </c>
      <c r="E12627" t="s">
        <v>38525</v>
      </c>
      <c r="F12627" t="s">
        <v>38526</v>
      </c>
      <c r="G12627" t="s">
        <v>38558</v>
      </c>
      <c r="H12627" t="s">
        <v>38559</v>
      </c>
      <c r="I12627" t="s">
        <v>38556</v>
      </c>
      <c r="J12627" t="s">
        <v>18474</v>
      </c>
      <c r="K12627" s="2" t="str">
        <f>HYPERLINK("http://collections.slsa.sa.gov.au/resource/B+76566")</f>
        <v>http://collections.slsa.sa.gov.au/resource/B+76566</v>
      </c>
    </row>
    <row r="12628" spans="1:11" x14ac:dyDescent="0.25">
      <c r="A12628" t="s">
        <v>38560</v>
      </c>
      <c r="B12628" s="1" t="str">
        <f>HYPERLINK("https://www.catalog.slsa.sa.gov.au/record=b3183990")</f>
        <v>https://www.catalog.slsa.sa.gov.au/record=b3183990</v>
      </c>
      <c r="C12628" s="1" t="str">
        <f>HYPERLINK("https://www.catalog.slsa.sa.gov.au/xrecord=b3183990")</f>
        <v>https://www.catalog.slsa.sa.gov.au/xrecord=b3183990</v>
      </c>
      <c r="D12628" t="s">
        <v>31636</v>
      </c>
      <c r="E12628" t="s">
        <v>38525</v>
      </c>
      <c r="F12628" t="s">
        <v>38526</v>
      </c>
      <c r="G12628" t="s">
        <v>37716</v>
      </c>
      <c r="H12628" t="s">
        <v>38561</v>
      </c>
      <c r="I12628" t="s">
        <v>38529</v>
      </c>
      <c r="J12628" t="s">
        <v>18474</v>
      </c>
      <c r="K12628" s="2" t="str">
        <f>HYPERLINK("http://collections.slsa.sa.gov.au/resource/B+76567")</f>
        <v>http://collections.slsa.sa.gov.au/resource/B+76567</v>
      </c>
    </row>
    <row r="12629" spans="1:11" x14ac:dyDescent="0.25">
      <c r="A12629" t="s">
        <v>38562</v>
      </c>
      <c r="B12629" s="1" t="str">
        <f>HYPERLINK("https://www.catalog.slsa.sa.gov.au/record=b3183991")</f>
        <v>https://www.catalog.slsa.sa.gov.au/record=b3183991</v>
      </c>
      <c r="C12629" s="1" t="str">
        <f>HYPERLINK("https://www.catalog.slsa.sa.gov.au/xrecord=b3183991")</f>
        <v>https://www.catalog.slsa.sa.gov.au/xrecord=b3183991</v>
      </c>
      <c r="D12629" t="s">
        <v>31636</v>
      </c>
      <c r="E12629" t="s">
        <v>38525</v>
      </c>
      <c r="F12629" t="s">
        <v>38526</v>
      </c>
      <c r="G12629" t="s">
        <v>38563</v>
      </c>
      <c r="H12629" t="s">
        <v>38564</v>
      </c>
      <c r="I12629" t="s">
        <v>38529</v>
      </c>
      <c r="J12629" t="s">
        <v>18474</v>
      </c>
      <c r="K12629" s="2" t="str">
        <f>HYPERLINK("http://collections.slsa.sa.gov.au/resource/B+76568")</f>
        <v>http://collections.slsa.sa.gov.au/resource/B+76568</v>
      </c>
    </row>
    <row r="12630" spans="1:11" x14ac:dyDescent="0.25">
      <c r="A12630" t="s">
        <v>38565</v>
      </c>
      <c r="B12630" s="1" t="str">
        <f>HYPERLINK("https://www.catalog.slsa.sa.gov.au/record=b3183992")</f>
        <v>https://www.catalog.slsa.sa.gov.au/record=b3183992</v>
      </c>
      <c r="C12630" s="1" t="str">
        <f>HYPERLINK("https://www.catalog.slsa.sa.gov.au/xrecord=b3183992")</f>
        <v>https://www.catalog.slsa.sa.gov.au/xrecord=b3183992</v>
      </c>
      <c r="D12630" t="s">
        <v>31636</v>
      </c>
      <c r="E12630" t="s">
        <v>38525</v>
      </c>
      <c r="F12630" t="s">
        <v>38526</v>
      </c>
      <c r="G12630" t="s">
        <v>37758</v>
      </c>
      <c r="H12630" t="s">
        <v>38566</v>
      </c>
      <c r="I12630" t="s">
        <v>38529</v>
      </c>
      <c r="J12630" t="s">
        <v>18474</v>
      </c>
      <c r="K12630" s="2" t="str">
        <f>HYPERLINK("http://collections.slsa.sa.gov.au/resource/B+76569")</f>
        <v>http://collections.slsa.sa.gov.au/resource/B+76569</v>
      </c>
    </row>
    <row r="12631" spans="1:11" x14ac:dyDescent="0.25">
      <c r="A12631" t="s">
        <v>38567</v>
      </c>
      <c r="B12631" s="1" t="str">
        <f>HYPERLINK("https://www.catalog.slsa.sa.gov.au/record=b3183993")</f>
        <v>https://www.catalog.slsa.sa.gov.au/record=b3183993</v>
      </c>
      <c r="C12631" s="1" t="str">
        <f>HYPERLINK("https://www.catalog.slsa.sa.gov.au/xrecord=b3183993")</f>
        <v>https://www.catalog.slsa.sa.gov.au/xrecord=b3183993</v>
      </c>
      <c r="D12631" t="s">
        <v>31636</v>
      </c>
      <c r="E12631" t="s">
        <v>38525</v>
      </c>
      <c r="F12631" t="s">
        <v>38526</v>
      </c>
      <c r="G12631" t="s">
        <v>37716</v>
      </c>
      <c r="H12631" t="s">
        <v>38568</v>
      </c>
      <c r="I12631" t="s">
        <v>38529</v>
      </c>
      <c r="J12631" t="s">
        <v>18474</v>
      </c>
      <c r="K12631" s="2" t="str">
        <f>HYPERLINK("http://collections.slsa.sa.gov.au/resource/B+76570")</f>
        <v>http://collections.slsa.sa.gov.au/resource/B+76570</v>
      </c>
    </row>
    <row r="12632" spans="1:11" x14ac:dyDescent="0.25">
      <c r="A12632" t="s">
        <v>38569</v>
      </c>
      <c r="B12632" s="1" t="str">
        <f>HYPERLINK("https://www.catalog.slsa.sa.gov.au/record=b3183994")</f>
        <v>https://www.catalog.slsa.sa.gov.au/record=b3183994</v>
      </c>
      <c r="C12632" s="1" t="str">
        <f>HYPERLINK("https://www.catalog.slsa.sa.gov.au/xrecord=b3183994")</f>
        <v>https://www.catalog.slsa.sa.gov.au/xrecord=b3183994</v>
      </c>
      <c r="D12632" t="s">
        <v>31636</v>
      </c>
      <c r="E12632" t="s">
        <v>38525</v>
      </c>
      <c r="F12632" t="s">
        <v>38526</v>
      </c>
      <c r="G12632" t="s">
        <v>38570</v>
      </c>
      <c r="H12632" t="s">
        <v>38571</v>
      </c>
      <c r="I12632" t="s">
        <v>38572</v>
      </c>
      <c r="J12632" t="s">
        <v>18474</v>
      </c>
      <c r="K12632" s="2" t="str">
        <f>HYPERLINK("http://collections.slsa.sa.gov.au/resource/B+76571")</f>
        <v>http://collections.slsa.sa.gov.au/resource/B+76571</v>
      </c>
    </row>
    <row r="12633" spans="1:11" x14ac:dyDescent="0.25">
      <c r="A12633" t="s">
        <v>38573</v>
      </c>
      <c r="B12633" s="1" t="str">
        <f>HYPERLINK("https://www.catalog.slsa.sa.gov.au/record=b3183996")</f>
        <v>https://www.catalog.slsa.sa.gov.au/record=b3183996</v>
      </c>
      <c r="C12633" s="1" t="str">
        <f>HYPERLINK("https://www.catalog.slsa.sa.gov.au/xrecord=b3183996")</f>
        <v>https://www.catalog.slsa.sa.gov.au/xrecord=b3183996</v>
      </c>
      <c r="D12633" t="s">
        <v>31636</v>
      </c>
      <c r="E12633" t="s">
        <v>38525</v>
      </c>
      <c r="F12633" t="s">
        <v>38526</v>
      </c>
      <c r="G12633" t="s">
        <v>38574</v>
      </c>
      <c r="H12633" t="s">
        <v>38575</v>
      </c>
      <c r="I12633" t="s">
        <v>38529</v>
      </c>
      <c r="J12633" t="s">
        <v>18474</v>
      </c>
      <c r="K12633" s="2" t="str">
        <f>HYPERLINK("http://collections.slsa.sa.gov.au/resource/B+76572")</f>
        <v>http://collections.slsa.sa.gov.au/resource/B+76572</v>
      </c>
    </row>
    <row r="12634" spans="1:11" x14ac:dyDescent="0.25">
      <c r="A12634" t="s">
        <v>38576</v>
      </c>
      <c r="B12634" s="1" t="str">
        <f>HYPERLINK("https://www.catalog.slsa.sa.gov.au/record=b3183998")</f>
        <v>https://www.catalog.slsa.sa.gov.au/record=b3183998</v>
      </c>
      <c r="C12634" s="1" t="str">
        <f>HYPERLINK("https://www.catalog.slsa.sa.gov.au/xrecord=b3183998")</f>
        <v>https://www.catalog.slsa.sa.gov.au/xrecord=b3183998</v>
      </c>
      <c r="D12634" t="s">
        <v>31636</v>
      </c>
      <c r="E12634" t="s">
        <v>38525</v>
      </c>
      <c r="F12634" t="s">
        <v>38526</v>
      </c>
      <c r="G12634" t="s">
        <v>38577</v>
      </c>
      <c r="H12634" t="s">
        <v>38528</v>
      </c>
      <c r="I12634" t="s">
        <v>38529</v>
      </c>
      <c r="J12634" t="s">
        <v>18474</v>
      </c>
      <c r="K12634" s="2" t="str">
        <f>HYPERLINK("http://collections.slsa.sa.gov.au/resource/B+76573")</f>
        <v>http://collections.slsa.sa.gov.au/resource/B+76573</v>
      </c>
    </row>
    <row r="12635" spans="1:11" x14ac:dyDescent="0.25">
      <c r="A12635" t="s">
        <v>38578</v>
      </c>
      <c r="B12635" s="1" t="str">
        <f>HYPERLINK("https://www.catalog.slsa.sa.gov.au/record=b3183999")</f>
        <v>https://www.catalog.slsa.sa.gov.au/record=b3183999</v>
      </c>
      <c r="C12635" s="1" t="str">
        <f>HYPERLINK("https://www.catalog.slsa.sa.gov.au/xrecord=b3183999")</f>
        <v>https://www.catalog.slsa.sa.gov.au/xrecord=b3183999</v>
      </c>
      <c r="D12635" t="s">
        <v>31636</v>
      </c>
      <c r="E12635" t="s">
        <v>38525</v>
      </c>
      <c r="F12635" t="s">
        <v>38526</v>
      </c>
      <c r="G12635" t="s">
        <v>37758</v>
      </c>
      <c r="H12635" t="s">
        <v>38528</v>
      </c>
      <c r="I12635" t="s">
        <v>38529</v>
      </c>
      <c r="J12635" t="s">
        <v>18474</v>
      </c>
      <c r="K12635" s="2" t="str">
        <f>HYPERLINK("http://collections.slsa.sa.gov.au/resource/B+76574")</f>
        <v>http://collections.slsa.sa.gov.au/resource/B+76574</v>
      </c>
    </row>
    <row r="12636" spans="1:11" x14ac:dyDescent="0.25">
      <c r="A12636" t="s">
        <v>38579</v>
      </c>
      <c r="B12636" s="1" t="str">
        <f>HYPERLINK("https://www.catalog.slsa.sa.gov.au/record=b3184001")</f>
        <v>https://www.catalog.slsa.sa.gov.au/record=b3184001</v>
      </c>
      <c r="C12636" s="1" t="str">
        <f>HYPERLINK("https://www.catalog.slsa.sa.gov.au/xrecord=b3184001")</f>
        <v>https://www.catalog.slsa.sa.gov.au/xrecord=b3184001</v>
      </c>
      <c r="D12636" t="s">
        <v>31636</v>
      </c>
      <c r="E12636" t="s">
        <v>38525</v>
      </c>
      <c r="F12636" t="s">
        <v>38526</v>
      </c>
      <c r="G12636" t="s">
        <v>37758</v>
      </c>
      <c r="H12636" t="s">
        <v>38580</v>
      </c>
      <c r="I12636" t="s">
        <v>38581</v>
      </c>
      <c r="J12636" t="s">
        <v>18474</v>
      </c>
      <c r="K12636" s="2" t="str">
        <f>HYPERLINK("http://collections.slsa.sa.gov.au/resource/B+76575")</f>
        <v>http://collections.slsa.sa.gov.au/resource/B+76575</v>
      </c>
    </row>
    <row r="12637" spans="1:11" x14ac:dyDescent="0.25">
      <c r="A12637" t="s">
        <v>38582</v>
      </c>
      <c r="B12637" s="1" t="str">
        <f>HYPERLINK("https://www.catalog.slsa.sa.gov.au/record=b3184002")</f>
        <v>https://www.catalog.slsa.sa.gov.au/record=b3184002</v>
      </c>
      <c r="C12637" s="1" t="str">
        <f>HYPERLINK("https://www.catalog.slsa.sa.gov.au/xrecord=b3184002")</f>
        <v>https://www.catalog.slsa.sa.gov.au/xrecord=b3184002</v>
      </c>
      <c r="D12637" t="s">
        <v>31636</v>
      </c>
      <c r="E12637" t="s">
        <v>38525</v>
      </c>
      <c r="F12637" t="s">
        <v>38526</v>
      </c>
      <c r="G12637" t="s">
        <v>37758</v>
      </c>
      <c r="H12637" t="s">
        <v>38583</v>
      </c>
      <c r="I12637" t="s">
        <v>38584</v>
      </c>
      <c r="J12637" t="s">
        <v>18474</v>
      </c>
      <c r="K12637" s="2" t="str">
        <f>HYPERLINK("http://collections.slsa.sa.gov.au/resource/B+76576")</f>
        <v>http://collections.slsa.sa.gov.au/resource/B+76576</v>
      </c>
    </row>
    <row r="12638" spans="1:11" x14ac:dyDescent="0.25">
      <c r="A12638" t="s">
        <v>38585</v>
      </c>
      <c r="B12638" s="1" t="str">
        <f>HYPERLINK("https://www.catalog.slsa.sa.gov.au/record=b3184008")</f>
        <v>https://www.catalog.slsa.sa.gov.au/record=b3184008</v>
      </c>
      <c r="C12638" s="1" t="str">
        <f>HYPERLINK("https://www.catalog.slsa.sa.gov.au/xrecord=b3184008")</f>
        <v>https://www.catalog.slsa.sa.gov.au/xrecord=b3184008</v>
      </c>
      <c r="D12638" t="s">
        <v>31636</v>
      </c>
      <c r="E12638" t="s">
        <v>38525</v>
      </c>
      <c r="F12638" t="s">
        <v>38526</v>
      </c>
      <c r="G12638" t="s">
        <v>37758</v>
      </c>
      <c r="H12638" t="s">
        <v>38555</v>
      </c>
      <c r="I12638" t="s">
        <v>38556</v>
      </c>
      <c r="J12638" t="s">
        <v>18474</v>
      </c>
      <c r="K12638" s="2" t="str">
        <f>HYPERLINK("http://collections.slsa.sa.gov.au/resource/B+76577")</f>
        <v>http://collections.slsa.sa.gov.au/resource/B+76577</v>
      </c>
    </row>
    <row r="12639" spans="1:11" x14ac:dyDescent="0.25">
      <c r="A12639" t="s">
        <v>38586</v>
      </c>
      <c r="B12639" s="1" t="str">
        <f>HYPERLINK("https://www.catalog.slsa.sa.gov.au/record=b3184009")</f>
        <v>https://www.catalog.slsa.sa.gov.au/record=b3184009</v>
      </c>
      <c r="C12639" s="1" t="str">
        <f>HYPERLINK("https://www.catalog.slsa.sa.gov.au/xrecord=b3184009")</f>
        <v>https://www.catalog.slsa.sa.gov.au/xrecord=b3184009</v>
      </c>
      <c r="D12639" t="s">
        <v>31636</v>
      </c>
      <c r="E12639" t="s">
        <v>38587</v>
      </c>
      <c r="F12639" t="s">
        <v>38526</v>
      </c>
      <c r="G12639" t="s">
        <v>37758</v>
      </c>
      <c r="H12639" t="s">
        <v>38588</v>
      </c>
      <c r="J12639" t="s">
        <v>28388</v>
      </c>
      <c r="K12639" s="2" t="str">
        <f>HYPERLINK("http://collections.slsa.sa.gov.au/resource/B+76578")</f>
        <v>http://collections.slsa.sa.gov.au/resource/B+76578</v>
      </c>
    </row>
    <row r="12640" spans="1:11" x14ac:dyDescent="0.25">
      <c r="A12640" t="s">
        <v>38589</v>
      </c>
      <c r="B12640" s="1" t="str">
        <f>HYPERLINK("https://www.catalog.slsa.sa.gov.au/record=b3184012")</f>
        <v>https://www.catalog.slsa.sa.gov.au/record=b3184012</v>
      </c>
      <c r="C12640" s="1" t="str">
        <f>HYPERLINK("https://www.catalog.slsa.sa.gov.au/xrecord=b3184012")</f>
        <v>https://www.catalog.slsa.sa.gov.au/xrecord=b3184012</v>
      </c>
      <c r="D12640" t="s">
        <v>31636</v>
      </c>
      <c r="E12640" t="s">
        <v>38590</v>
      </c>
      <c r="F12640" t="s">
        <v>38526</v>
      </c>
      <c r="G12640" t="s">
        <v>38591</v>
      </c>
      <c r="H12640" t="s">
        <v>38592</v>
      </c>
      <c r="I12640" t="s">
        <v>38593</v>
      </c>
      <c r="J12640" t="s">
        <v>28388</v>
      </c>
      <c r="K12640" s="2" t="str">
        <f>HYPERLINK("http://collections.slsa.sa.gov.au/resource/B+76579")</f>
        <v>http://collections.slsa.sa.gov.au/resource/B+76579</v>
      </c>
    </row>
    <row r="12641" spans="1:11" x14ac:dyDescent="0.25">
      <c r="A12641" t="s">
        <v>38594</v>
      </c>
      <c r="B12641" s="1" t="str">
        <f>HYPERLINK("https://www.catalog.slsa.sa.gov.au/record=b3184016")</f>
        <v>https://www.catalog.slsa.sa.gov.au/record=b3184016</v>
      </c>
      <c r="C12641" s="1" t="str">
        <f>HYPERLINK("https://www.catalog.slsa.sa.gov.au/xrecord=b3184016")</f>
        <v>https://www.catalog.slsa.sa.gov.au/xrecord=b3184016</v>
      </c>
      <c r="D12641" t="s">
        <v>31636</v>
      </c>
      <c r="E12641" t="s">
        <v>38595</v>
      </c>
      <c r="F12641" t="s">
        <v>38526</v>
      </c>
      <c r="G12641" t="s">
        <v>38596</v>
      </c>
      <c r="H12641" t="s">
        <v>38597</v>
      </c>
      <c r="I12641" t="s">
        <v>38598</v>
      </c>
      <c r="J12641" t="s">
        <v>24035</v>
      </c>
      <c r="K12641" s="2" t="str">
        <f>HYPERLINK("http://collections.slsa.sa.gov.au/resource/B+76580")</f>
        <v>http://collections.slsa.sa.gov.au/resource/B+76580</v>
      </c>
    </row>
    <row r="12642" spans="1:11" x14ac:dyDescent="0.25">
      <c r="A12642" t="s">
        <v>38599</v>
      </c>
      <c r="B12642" s="1" t="str">
        <f>HYPERLINK("https://www.catalog.slsa.sa.gov.au/record=b3184017")</f>
        <v>https://www.catalog.slsa.sa.gov.au/record=b3184017</v>
      </c>
      <c r="C12642" s="1" t="str">
        <f>HYPERLINK("https://www.catalog.slsa.sa.gov.au/xrecord=b3184017")</f>
        <v>https://www.catalog.slsa.sa.gov.au/xrecord=b3184017</v>
      </c>
      <c r="D12642" t="s">
        <v>31636</v>
      </c>
      <c r="E12642" t="s">
        <v>38595</v>
      </c>
      <c r="F12642" t="s">
        <v>38526</v>
      </c>
      <c r="G12642" t="s">
        <v>37758</v>
      </c>
      <c r="H12642" t="s">
        <v>38597</v>
      </c>
      <c r="I12642" t="s">
        <v>38598</v>
      </c>
      <c r="J12642" t="s">
        <v>24035</v>
      </c>
      <c r="K12642" s="2" t="str">
        <f>HYPERLINK("http://collections.slsa.sa.gov.au/resource/B+76581")</f>
        <v>http://collections.slsa.sa.gov.au/resource/B+76581</v>
      </c>
    </row>
    <row r="12643" spans="1:11" x14ac:dyDescent="0.25">
      <c r="A12643" t="s">
        <v>38600</v>
      </c>
      <c r="B12643" s="1" t="str">
        <f>HYPERLINK("https://www.catalog.slsa.sa.gov.au/record=b3183892")</f>
        <v>https://www.catalog.slsa.sa.gov.au/record=b3183892</v>
      </c>
      <c r="C12643" s="1" t="str">
        <f>HYPERLINK("https://www.catalog.slsa.sa.gov.au/xrecord=b3183892")</f>
        <v>https://www.catalog.slsa.sa.gov.au/xrecord=b3183892</v>
      </c>
      <c r="D12643" t="s">
        <v>31636</v>
      </c>
      <c r="E12643" t="s">
        <v>38601</v>
      </c>
      <c r="F12643" t="s">
        <v>38602</v>
      </c>
      <c r="G12643" t="s">
        <v>38603</v>
      </c>
      <c r="H12643" t="s">
        <v>38604</v>
      </c>
      <c r="I12643" t="s">
        <v>38605</v>
      </c>
      <c r="J12643" t="s">
        <v>20883</v>
      </c>
      <c r="K12643" s="2" t="str">
        <f>HYPERLINK("http://collections.slsa.sa.gov.au/resource/B+76529")</f>
        <v>http://collections.slsa.sa.gov.au/resource/B+76529</v>
      </c>
    </row>
    <row r="12644" spans="1:11" x14ac:dyDescent="0.25">
      <c r="A12644" t="s">
        <v>38606</v>
      </c>
      <c r="B12644" s="1" t="str">
        <f>HYPERLINK("https://www.catalog.slsa.sa.gov.au/record=b3183913")</f>
        <v>https://www.catalog.slsa.sa.gov.au/record=b3183913</v>
      </c>
      <c r="C12644" s="1" t="str">
        <f>HYPERLINK("https://www.catalog.slsa.sa.gov.au/xrecord=b3183913")</f>
        <v>https://www.catalog.slsa.sa.gov.au/xrecord=b3183913</v>
      </c>
      <c r="D12644" t="s">
        <v>31636</v>
      </c>
      <c r="E12644" t="s">
        <v>38601</v>
      </c>
      <c r="F12644" t="s">
        <v>38602</v>
      </c>
      <c r="G12644" t="s">
        <v>38607</v>
      </c>
      <c r="H12644" t="s">
        <v>38608</v>
      </c>
      <c r="I12644" t="s">
        <v>38605</v>
      </c>
      <c r="J12644" t="s">
        <v>27990</v>
      </c>
      <c r="K12644" s="2" t="str">
        <f>HYPERLINK("http://collections.slsa.sa.gov.au/resource/B+76530")</f>
        <v>http://collections.slsa.sa.gov.au/resource/B+76530</v>
      </c>
    </row>
    <row r="12645" spans="1:11" x14ac:dyDescent="0.25">
      <c r="A12645" t="s">
        <v>38609</v>
      </c>
      <c r="B12645" s="1" t="str">
        <f>HYPERLINK("https://www.catalog.slsa.sa.gov.au/record=b3183914")</f>
        <v>https://www.catalog.slsa.sa.gov.au/record=b3183914</v>
      </c>
      <c r="C12645" s="1" t="str">
        <f>HYPERLINK("https://www.catalog.slsa.sa.gov.au/xrecord=b3183914")</f>
        <v>https://www.catalog.slsa.sa.gov.au/xrecord=b3183914</v>
      </c>
      <c r="D12645" t="s">
        <v>31636</v>
      </c>
      <c r="E12645" t="s">
        <v>38601</v>
      </c>
      <c r="F12645" t="s">
        <v>38602</v>
      </c>
      <c r="G12645" t="s">
        <v>38610</v>
      </c>
      <c r="H12645" t="s">
        <v>38611</v>
      </c>
      <c r="I12645" t="s">
        <v>38605</v>
      </c>
      <c r="J12645" t="s">
        <v>27990</v>
      </c>
      <c r="K12645" s="2" t="str">
        <f>HYPERLINK("http://collections.slsa.sa.gov.au/resource/B+76531")</f>
        <v>http://collections.slsa.sa.gov.au/resource/B+76531</v>
      </c>
    </row>
    <row r="12646" spans="1:11" x14ac:dyDescent="0.25">
      <c r="A12646" t="s">
        <v>38612</v>
      </c>
      <c r="B12646" s="1" t="str">
        <f>HYPERLINK("https://www.catalog.slsa.sa.gov.au/record=b3183915")</f>
        <v>https://www.catalog.slsa.sa.gov.au/record=b3183915</v>
      </c>
      <c r="C12646" s="1" t="str">
        <f>HYPERLINK("https://www.catalog.slsa.sa.gov.au/xrecord=b3183915")</f>
        <v>https://www.catalog.slsa.sa.gov.au/xrecord=b3183915</v>
      </c>
      <c r="D12646" t="s">
        <v>31636</v>
      </c>
      <c r="E12646" t="s">
        <v>38601</v>
      </c>
      <c r="F12646" t="s">
        <v>38602</v>
      </c>
      <c r="G12646" t="s">
        <v>37758</v>
      </c>
      <c r="H12646" t="s">
        <v>38613</v>
      </c>
      <c r="I12646" t="s">
        <v>38605</v>
      </c>
      <c r="J12646" t="s">
        <v>17650</v>
      </c>
      <c r="K12646" s="2" t="str">
        <f>HYPERLINK("http://collections.slsa.sa.gov.au/resource/B+76532")</f>
        <v>http://collections.slsa.sa.gov.au/resource/B+76532</v>
      </c>
    </row>
    <row r="12647" spans="1:11" x14ac:dyDescent="0.25">
      <c r="A12647" t="s">
        <v>38614</v>
      </c>
      <c r="B12647" s="1" t="str">
        <f>HYPERLINK("https://www.catalog.slsa.sa.gov.au/record=b3183916")</f>
        <v>https://www.catalog.slsa.sa.gov.au/record=b3183916</v>
      </c>
      <c r="C12647" s="1" t="str">
        <f>HYPERLINK("https://www.catalog.slsa.sa.gov.au/xrecord=b3183916")</f>
        <v>https://www.catalog.slsa.sa.gov.au/xrecord=b3183916</v>
      </c>
      <c r="D12647" t="s">
        <v>31636</v>
      </c>
      <c r="E12647" t="s">
        <v>38601</v>
      </c>
      <c r="F12647" t="s">
        <v>38602</v>
      </c>
      <c r="G12647" t="s">
        <v>37758</v>
      </c>
      <c r="H12647" t="s">
        <v>38615</v>
      </c>
      <c r="I12647" t="s">
        <v>38616</v>
      </c>
      <c r="J12647" t="s">
        <v>17113</v>
      </c>
      <c r="K12647" s="2" t="str">
        <f>HYPERLINK("http://collections.slsa.sa.gov.au/resource/B+76533")</f>
        <v>http://collections.slsa.sa.gov.au/resource/B+76533</v>
      </c>
    </row>
    <row r="12648" spans="1:11" x14ac:dyDescent="0.25">
      <c r="A12648" t="s">
        <v>38617</v>
      </c>
      <c r="B12648" s="1" t="str">
        <f>HYPERLINK("https://www.catalog.slsa.sa.gov.au/record=b3183918")</f>
        <v>https://www.catalog.slsa.sa.gov.au/record=b3183918</v>
      </c>
      <c r="C12648" s="1" t="str">
        <f>HYPERLINK("https://www.catalog.slsa.sa.gov.au/xrecord=b3183918")</f>
        <v>https://www.catalog.slsa.sa.gov.au/xrecord=b3183918</v>
      </c>
      <c r="D12648" t="s">
        <v>31636</v>
      </c>
      <c r="E12648" t="s">
        <v>38601</v>
      </c>
      <c r="F12648" t="s">
        <v>38602</v>
      </c>
      <c r="G12648" t="s">
        <v>38618</v>
      </c>
      <c r="H12648" t="s">
        <v>38619</v>
      </c>
      <c r="I12648" t="s">
        <v>38620</v>
      </c>
      <c r="J12648" t="s">
        <v>24858</v>
      </c>
      <c r="K12648" s="2" t="str">
        <f>HYPERLINK("http://collections.slsa.sa.gov.au/resource/B+76534")</f>
        <v>http://collections.slsa.sa.gov.au/resource/B+76534</v>
      </c>
    </row>
    <row r="12649" spans="1:11" x14ac:dyDescent="0.25">
      <c r="A12649" t="s">
        <v>38621</v>
      </c>
      <c r="B12649" s="1" t="str">
        <f>HYPERLINK("https://www.catalog.slsa.sa.gov.au/record=b3183919")</f>
        <v>https://www.catalog.slsa.sa.gov.au/record=b3183919</v>
      </c>
      <c r="C12649" s="1" t="str">
        <f>HYPERLINK("https://www.catalog.slsa.sa.gov.au/xrecord=b3183919")</f>
        <v>https://www.catalog.slsa.sa.gov.au/xrecord=b3183919</v>
      </c>
      <c r="D12649" t="s">
        <v>31636</v>
      </c>
      <c r="E12649" t="s">
        <v>38601</v>
      </c>
      <c r="F12649" t="s">
        <v>38602</v>
      </c>
      <c r="G12649" t="s">
        <v>37758</v>
      </c>
      <c r="H12649" t="s">
        <v>38622</v>
      </c>
      <c r="I12649" t="s">
        <v>38623</v>
      </c>
      <c r="J12649" t="s">
        <v>24862</v>
      </c>
      <c r="K12649" s="2" t="str">
        <f>HYPERLINK("http://collections.slsa.sa.gov.au/resource/B+76535")</f>
        <v>http://collections.slsa.sa.gov.au/resource/B+76535</v>
      </c>
    </row>
    <row r="12650" spans="1:11" x14ac:dyDescent="0.25">
      <c r="A12650" t="s">
        <v>38624</v>
      </c>
      <c r="B12650" s="1" t="str">
        <f>HYPERLINK("https://www.catalog.slsa.sa.gov.au/record=b3183920")</f>
        <v>https://www.catalog.slsa.sa.gov.au/record=b3183920</v>
      </c>
      <c r="C12650" s="1" t="str">
        <f>HYPERLINK("https://www.catalog.slsa.sa.gov.au/xrecord=b3183920")</f>
        <v>https://www.catalog.slsa.sa.gov.au/xrecord=b3183920</v>
      </c>
      <c r="D12650" t="s">
        <v>31636</v>
      </c>
      <c r="E12650" t="s">
        <v>38601</v>
      </c>
      <c r="F12650" t="s">
        <v>38602</v>
      </c>
      <c r="G12650" t="s">
        <v>37758</v>
      </c>
      <c r="H12650" t="s">
        <v>38625</v>
      </c>
      <c r="I12650" t="s">
        <v>38605</v>
      </c>
      <c r="J12650" t="s">
        <v>17113</v>
      </c>
      <c r="K12650" s="2" t="str">
        <f>HYPERLINK("http://collections.slsa.sa.gov.au/resource/B+76536")</f>
        <v>http://collections.slsa.sa.gov.au/resource/B+76536</v>
      </c>
    </row>
    <row r="12651" spans="1:11" x14ac:dyDescent="0.25">
      <c r="A12651" t="s">
        <v>38626</v>
      </c>
      <c r="B12651" s="1" t="str">
        <f>HYPERLINK("https://www.catalog.slsa.sa.gov.au/record=b3183921")</f>
        <v>https://www.catalog.slsa.sa.gov.au/record=b3183921</v>
      </c>
      <c r="C12651" s="1" t="str">
        <f>HYPERLINK("https://www.catalog.slsa.sa.gov.au/xrecord=b3183921")</f>
        <v>https://www.catalog.slsa.sa.gov.au/xrecord=b3183921</v>
      </c>
      <c r="D12651" t="s">
        <v>31636</v>
      </c>
      <c r="E12651" t="s">
        <v>38601</v>
      </c>
      <c r="F12651" t="s">
        <v>38602</v>
      </c>
      <c r="G12651" t="s">
        <v>38627</v>
      </c>
      <c r="H12651" t="s">
        <v>38625</v>
      </c>
      <c r="I12651" t="s">
        <v>38605</v>
      </c>
      <c r="J12651" t="s">
        <v>17113</v>
      </c>
      <c r="K12651" s="2" t="str">
        <f>HYPERLINK("http://collections.slsa.sa.gov.au/resource/B+76537")</f>
        <v>http://collections.slsa.sa.gov.au/resource/B+76537</v>
      </c>
    </row>
    <row r="12652" spans="1:11" x14ac:dyDescent="0.25">
      <c r="A12652" t="s">
        <v>38628</v>
      </c>
      <c r="B12652" s="1" t="str">
        <f>HYPERLINK("https://www.catalog.slsa.sa.gov.au/record=b3183923")</f>
        <v>https://www.catalog.slsa.sa.gov.au/record=b3183923</v>
      </c>
      <c r="C12652" s="1" t="str">
        <f>HYPERLINK("https://www.catalog.slsa.sa.gov.au/xrecord=b3183923")</f>
        <v>https://www.catalog.slsa.sa.gov.au/xrecord=b3183923</v>
      </c>
      <c r="D12652" t="s">
        <v>31636</v>
      </c>
      <c r="E12652" t="s">
        <v>38601</v>
      </c>
      <c r="F12652" t="s">
        <v>38602</v>
      </c>
      <c r="G12652" t="s">
        <v>38629</v>
      </c>
      <c r="H12652" t="s">
        <v>38625</v>
      </c>
      <c r="I12652" t="s">
        <v>38605</v>
      </c>
      <c r="J12652" t="s">
        <v>17113</v>
      </c>
      <c r="K12652" s="2" t="str">
        <f>HYPERLINK("http://collections.slsa.sa.gov.au/resource/B+76538")</f>
        <v>http://collections.slsa.sa.gov.au/resource/B+76538</v>
      </c>
    </row>
    <row r="12653" spans="1:11" x14ac:dyDescent="0.25">
      <c r="A12653" t="s">
        <v>38630</v>
      </c>
      <c r="B12653" s="1" t="str">
        <f>HYPERLINK("https://www.catalog.slsa.sa.gov.au/record=b3183924")</f>
        <v>https://www.catalog.slsa.sa.gov.au/record=b3183924</v>
      </c>
      <c r="C12653" s="1" t="str">
        <f>HYPERLINK("https://www.catalog.slsa.sa.gov.au/xrecord=b3183924")</f>
        <v>https://www.catalog.slsa.sa.gov.au/xrecord=b3183924</v>
      </c>
      <c r="D12653" t="s">
        <v>31636</v>
      </c>
      <c r="E12653" t="s">
        <v>38601</v>
      </c>
      <c r="F12653" t="s">
        <v>38602</v>
      </c>
      <c r="G12653" t="s">
        <v>38310</v>
      </c>
      <c r="H12653" t="s">
        <v>38631</v>
      </c>
      <c r="I12653" t="s">
        <v>38605</v>
      </c>
      <c r="J12653" t="s">
        <v>17113</v>
      </c>
      <c r="K12653" s="2" t="str">
        <f>HYPERLINK("http://collections.slsa.sa.gov.au/resource/B+76539")</f>
        <v>http://collections.slsa.sa.gov.au/resource/B+76539</v>
      </c>
    </row>
    <row r="12654" spans="1:11" x14ac:dyDescent="0.25">
      <c r="A12654" t="s">
        <v>38632</v>
      </c>
      <c r="B12654" s="1" t="str">
        <f>HYPERLINK("https://www.catalog.slsa.sa.gov.au/record=b3183925")</f>
        <v>https://www.catalog.slsa.sa.gov.au/record=b3183925</v>
      </c>
      <c r="C12654" s="1" t="str">
        <f>HYPERLINK("https://www.catalog.slsa.sa.gov.au/xrecord=b3183925")</f>
        <v>https://www.catalog.slsa.sa.gov.au/xrecord=b3183925</v>
      </c>
      <c r="D12654" t="s">
        <v>31636</v>
      </c>
      <c r="E12654" t="s">
        <v>38601</v>
      </c>
      <c r="F12654" t="s">
        <v>38602</v>
      </c>
      <c r="G12654" t="s">
        <v>38633</v>
      </c>
      <c r="H12654" t="s">
        <v>38631</v>
      </c>
      <c r="I12654" t="s">
        <v>38605</v>
      </c>
      <c r="J12654" t="s">
        <v>17113</v>
      </c>
      <c r="K12654" s="2" t="str">
        <f>HYPERLINK("http://collections.slsa.sa.gov.au/resource/B+76540")</f>
        <v>http://collections.slsa.sa.gov.au/resource/B+76540</v>
      </c>
    </row>
    <row r="12655" spans="1:11" x14ac:dyDescent="0.25">
      <c r="A12655" t="s">
        <v>38634</v>
      </c>
      <c r="B12655" s="1" t="str">
        <f>HYPERLINK("https://www.catalog.slsa.sa.gov.au/record=b3183926")</f>
        <v>https://www.catalog.slsa.sa.gov.au/record=b3183926</v>
      </c>
      <c r="C12655" s="1" t="str">
        <f>HYPERLINK("https://www.catalog.slsa.sa.gov.au/xrecord=b3183926")</f>
        <v>https://www.catalog.slsa.sa.gov.au/xrecord=b3183926</v>
      </c>
      <c r="D12655" t="s">
        <v>31636</v>
      </c>
      <c r="E12655" t="s">
        <v>38601</v>
      </c>
      <c r="F12655" t="s">
        <v>38602</v>
      </c>
      <c r="G12655" t="s">
        <v>38635</v>
      </c>
      <c r="H12655" t="s">
        <v>38631</v>
      </c>
      <c r="I12655" t="s">
        <v>38605</v>
      </c>
      <c r="J12655" t="s">
        <v>17113</v>
      </c>
      <c r="K12655" s="2" t="str">
        <f>HYPERLINK("http://collections.slsa.sa.gov.au/resource/B+76541")</f>
        <v>http://collections.slsa.sa.gov.au/resource/B+76541</v>
      </c>
    </row>
    <row r="12656" spans="1:11" x14ac:dyDescent="0.25">
      <c r="A12656" t="s">
        <v>38636</v>
      </c>
      <c r="B12656" s="1" t="str">
        <f>HYPERLINK("https://www.catalog.slsa.sa.gov.au/record=b3183927")</f>
        <v>https://www.catalog.slsa.sa.gov.au/record=b3183927</v>
      </c>
      <c r="C12656" s="1" t="str">
        <f>HYPERLINK("https://www.catalog.slsa.sa.gov.au/xrecord=b3183927")</f>
        <v>https://www.catalog.slsa.sa.gov.au/xrecord=b3183927</v>
      </c>
      <c r="D12656" t="s">
        <v>31636</v>
      </c>
      <c r="E12656" t="s">
        <v>38601</v>
      </c>
      <c r="F12656" t="s">
        <v>38602</v>
      </c>
      <c r="G12656" t="s">
        <v>37758</v>
      </c>
      <c r="H12656" t="s">
        <v>38631</v>
      </c>
      <c r="I12656" t="s">
        <v>38605</v>
      </c>
      <c r="J12656" t="s">
        <v>17113</v>
      </c>
      <c r="K12656" s="2" t="str">
        <f>HYPERLINK("http://collections.slsa.sa.gov.au/resource/B+76542")</f>
        <v>http://collections.slsa.sa.gov.au/resource/B+76542</v>
      </c>
    </row>
    <row r="12657" spans="1:11" x14ac:dyDescent="0.25">
      <c r="A12657" t="s">
        <v>38637</v>
      </c>
      <c r="B12657" s="1" t="str">
        <f>HYPERLINK("https://www.catalog.slsa.sa.gov.au/record=b3183928")</f>
        <v>https://www.catalog.slsa.sa.gov.au/record=b3183928</v>
      </c>
      <c r="C12657" s="1" t="str">
        <f>HYPERLINK("https://www.catalog.slsa.sa.gov.au/xrecord=b3183928")</f>
        <v>https://www.catalog.slsa.sa.gov.au/xrecord=b3183928</v>
      </c>
      <c r="D12657" t="s">
        <v>31636</v>
      </c>
      <c r="E12657" t="s">
        <v>38601</v>
      </c>
      <c r="F12657" t="s">
        <v>38602</v>
      </c>
      <c r="G12657" t="s">
        <v>37758</v>
      </c>
      <c r="H12657" t="s">
        <v>38631</v>
      </c>
      <c r="I12657" t="s">
        <v>38638</v>
      </c>
      <c r="J12657" t="s">
        <v>24858</v>
      </c>
      <c r="K12657" s="2" t="str">
        <f>HYPERLINK("http://collections.slsa.sa.gov.au/resource/B+76543")</f>
        <v>http://collections.slsa.sa.gov.au/resource/B+76543</v>
      </c>
    </row>
    <row r="12658" spans="1:11" x14ac:dyDescent="0.25">
      <c r="A12658" t="s">
        <v>38639</v>
      </c>
      <c r="B12658" s="1" t="str">
        <f>HYPERLINK("https://www.catalog.slsa.sa.gov.au/record=b3183929")</f>
        <v>https://www.catalog.slsa.sa.gov.au/record=b3183929</v>
      </c>
      <c r="C12658" s="1" t="str">
        <f>HYPERLINK("https://www.catalog.slsa.sa.gov.au/xrecord=b3183929")</f>
        <v>https://www.catalog.slsa.sa.gov.au/xrecord=b3183929</v>
      </c>
      <c r="D12658" t="s">
        <v>31636</v>
      </c>
      <c r="E12658" t="s">
        <v>38601</v>
      </c>
      <c r="F12658" t="s">
        <v>38602</v>
      </c>
      <c r="G12658" t="s">
        <v>38640</v>
      </c>
      <c r="H12658" t="s">
        <v>38631</v>
      </c>
      <c r="I12658" t="s">
        <v>38638</v>
      </c>
      <c r="J12658" t="s">
        <v>24858</v>
      </c>
      <c r="K12658" s="2" t="str">
        <f>HYPERLINK("http://collections.slsa.sa.gov.au/resource/B+76544")</f>
        <v>http://collections.slsa.sa.gov.au/resource/B+76544</v>
      </c>
    </row>
    <row r="12659" spans="1:11" x14ac:dyDescent="0.25">
      <c r="A12659" t="s">
        <v>38641</v>
      </c>
      <c r="B12659" s="1" t="str">
        <f>HYPERLINK("https://www.catalog.slsa.sa.gov.au/record=b3183930")</f>
        <v>https://www.catalog.slsa.sa.gov.au/record=b3183930</v>
      </c>
      <c r="C12659" s="1" t="str">
        <f>HYPERLINK("https://www.catalog.slsa.sa.gov.au/xrecord=b3183930")</f>
        <v>https://www.catalog.slsa.sa.gov.au/xrecord=b3183930</v>
      </c>
      <c r="D12659" t="s">
        <v>31636</v>
      </c>
      <c r="E12659" t="s">
        <v>38601</v>
      </c>
      <c r="F12659" t="s">
        <v>38602</v>
      </c>
      <c r="G12659" t="s">
        <v>38642</v>
      </c>
      <c r="H12659" t="s">
        <v>38643</v>
      </c>
      <c r="I12659" t="s">
        <v>38605</v>
      </c>
      <c r="J12659" t="s">
        <v>24858</v>
      </c>
      <c r="K12659" s="2" t="str">
        <f>HYPERLINK("http://collections.slsa.sa.gov.au/resource/B+76545")</f>
        <v>http://collections.slsa.sa.gov.au/resource/B+76545</v>
      </c>
    </row>
    <row r="12660" spans="1:11" x14ac:dyDescent="0.25">
      <c r="A12660" t="s">
        <v>38644</v>
      </c>
      <c r="B12660" s="1" t="str">
        <f>HYPERLINK("https://www.catalog.slsa.sa.gov.au/record=b3183931")</f>
        <v>https://www.catalog.slsa.sa.gov.au/record=b3183931</v>
      </c>
      <c r="C12660" s="1" t="str">
        <f>HYPERLINK("https://www.catalog.slsa.sa.gov.au/xrecord=b3183931")</f>
        <v>https://www.catalog.slsa.sa.gov.au/xrecord=b3183931</v>
      </c>
      <c r="D12660" t="s">
        <v>31636</v>
      </c>
      <c r="E12660" t="s">
        <v>38601</v>
      </c>
      <c r="F12660" t="s">
        <v>38602</v>
      </c>
      <c r="G12660" t="s">
        <v>37758</v>
      </c>
      <c r="H12660" t="s">
        <v>38645</v>
      </c>
      <c r="I12660" t="s">
        <v>38646</v>
      </c>
      <c r="J12660" t="s">
        <v>24858</v>
      </c>
      <c r="K12660" s="2" t="str">
        <f>HYPERLINK("http://collections.slsa.sa.gov.au/resource/B+76546")</f>
        <v>http://collections.slsa.sa.gov.au/resource/B+76546</v>
      </c>
    </row>
    <row r="12661" spans="1:11" x14ac:dyDescent="0.25">
      <c r="A12661" t="s">
        <v>38647</v>
      </c>
      <c r="B12661" s="1" t="str">
        <f>HYPERLINK("https://www.catalog.slsa.sa.gov.au/record=b3183932")</f>
        <v>https://www.catalog.slsa.sa.gov.au/record=b3183932</v>
      </c>
      <c r="C12661" s="1" t="str">
        <f>HYPERLINK("https://www.catalog.slsa.sa.gov.au/xrecord=b3183932")</f>
        <v>https://www.catalog.slsa.sa.gov.au/xrecord=b3183932</v>
      </c>
      <c r="D12661" t="s">
        <v>31636</v>
      </c>
      <c r="E12661" t="s">
        <v>38601</v>
      </c>
      <c r="F12661" t="s">
        <v>38602</v>
      </c>
      <c r="G12661" t="s">
        <v>37758</v>
      </c>
      <c r="H12661" t="s">
        <v>38648</v>
      </c>
      <c r="I12661" t="s">
        <v>38649</v>
      </c>
      <c r="J12661" t="s">
        <v>24858</v>
      </c>
      <c r="K12661" s="2" t="str">
        <f>HYPERLINK("http://collections.slsa.sa.gov.au/resource/B+76547")</f>
        <v>http://collections.slsa.sa.gov.au/resource/B+76547</v>
      </c>
    </row>
    <row r="12662" spans="1:11" x14ac:dyDescent="0.25">
      <c r="A12662" t="s">
        <v>38650</v>
      </c>
      <c r="B12662" s="1" t="str">
        <f>HYPERLINK("https://www.catalog.slsa.sa.gov.au/record=b3183940")</f>
        <v>https://www.catalog.slsa.sa.gov.au/record=b3183940</v>
      </c>
      <c r="C12662" s="1" t="str">
        <f>HYPERLINK("https://www.catalog.slsa.sa.gov.au/xrecord=b3183940")</f>
        <v>https://www.catalog.slsa.sa.gov.au/xrecord=b3183940</v>
      </c>
      <c r="D12662" t="s">
        <v>31636</v>
      </c>
      <c r="E12662" t="s">
        <v>38601</v>
      </c>
      <c r="F12662" t="s">
        <v>38602</v>
      </c>
      <c r="G12662" t="s">
        <v>37758</v>
      </c>
      <c r="H12662" t="s">
        <v>38651</v>
      </c>
      <c r="I12662" t="s">
        <v>38652</v>
      </c>
      <c r="J12662" t="s">
        <v>5381</v>
      </c>
      <c r="K12662" s="2" t="str">
        <f>HYPERLINK("http://collections.slsa.sa.gov.au/resource/B+76548")</f>
        <v>http://collections.slsa.sa.gov.au/resource/B+76548</v>
      </c>
    </row>
    <row r="12663" spans="1:11" x14ac:dyDescent="0.25">
      <c r="A12663" t="s">
        <v>38653</v>
      </c>
      <c r="B12663" s="1" t="str">
        <f>HYPERLINK("https://www.catalog.slsa.sa.gov.au/record=b3183942")</f>
        <v>https://www.catalog.slsa.sa.gov.au/record=b3183942</v>
      </c>
      <c r="C12663" s="1" t="str">
        <f>HYPERLINK("https://www.catalog.slsa.sa.gov.au/xrecord=b3183942")</f>
        <v>https://www.catalog.slsa.sa.gov.au/xrecord=b3183942</v>
      </c>
      <c r="D12663" t="s">
        <v>31636</v>
      </c>
      <c r="E12663" t="s">
        <v>38601</v>
      </c>
      <c r="F12663" t="s">
        <v>38602</v>
      </c>
      <c r="G12663" t="s">
        <v>37758</v>
      </c>
      <c r="H12663" t="s">
        <v>38654</v>
      </c>
      <c r="I12663" t="s">
        <v>38655</v>
      </c>
      <c r="J12663" t="s">
        <v>36129</v>
      </c>
      <c r="K12663" s="2" t="str">
        <f>HYPERLINK("http://collections.slsa.sa.gov.au/resource/B+76549")</f>
        <v>http://collections.slsa.sa.gov.au/resource/B+76549</v>
      </c>
    </row>
    <row r="12664" spans="1:11" x14ac:dyDescent="0.25">
      <c r="A12664" t="s">
        <v>38656</v>
      </c>
      <c r="B12664" s="1" t="str">
        <f>HYPERLINK("https://www.catalog.slsa.sa.gov.au/record=b3183943")</f>
        <v>https://www.catalog.slsa.sa.gov.au/record=b3183943</v>
      </c>
      <c r="C12664" s="1" t="str">
        <f>HYPERLINK("https://www.catalog.slsa.sa.gov.au/xrecord=b3183943")</f>
        <v>https://www.catalog.slsa.sa.gov.au/xrecord=b3183943</v>
      </c>
      <c r="D12664" t="s">
        <v>31636</v>
      </c>
      <c r="E12664" t="s">
        <v>38601</v>
      </c>
      <c r="F12664" t="s">
        <v>38602</v>
      </c>
      <c r="G12664" t="s">
        <v>37758</v>
      </c>
      <c r="H12664" t="s">
        <v>38657</v>
      </c>
      <c r="I12664" t="s">
        <v>38658</v>
      </c>
      <c r="J12664" t="s">
        <v>24858</v>
      </c>
      <c r="K12664" s="2" t="str">
        <f>HYPERLINK("http://collections.slsa.sa.gov.au/resource/B+76550")</f>
        <v>http://collections.slsa.sa.gov.au/resource/B+76550</v>
      </c>
    </row>
    <row r="12665" spans="1:11" x14ac:dyDescent="0.25">
      <c r="A12665" t="s">
        <v>38659</v>
      </c>
      <c r="B12665" s="1" t="str">
        <f>HYPERLINK("https://www.catalog.slsa.sa.gov.au/record=b3183945")</f>
        <v>https://www.catalog.slsa.sa.gov.au/record=b3183945</v>
      </c>
      <c r="C12665" s="1" t="str">
        <f>HYPERLINK("https://www.catalog.slsa.sa.gov.au/xrecord=b3183945")</f>
        <v>https://www.catalog.slsa.sa.gov.au/xrecord=b3183945</v>
      </c>
      <c r="D12665" t="s">
        <v>31636</v>
      </c>
      <c r="E12665" t="s">
        <v>38601</v>
      </c>
      <c r="F12665" t="s">
        <v>38602</v>
      </c>
      <c r="G12665" t="s">
        <v>37758</v>
      </c>
      <c r="H12665" t="s">
        <v>38660</v>
      </c>
      <c r="I12665" t="s">
        <v>38661</v>
      </c>
      <c r="J12665" t="s">
        <v>24858</v>
      </c>
      <c r="K12665" s="2" t="str">
        <f>HYPERLINK("http://collections.slsa.sa.gov.au/resource/B+76551")</f>
        <v>http://collections.slsa.sa.gov.au/resource/B+76551</v>
      </c>
    </row>
    <row r="12666" spans="1:11" x14ac:dyDescent="0.25">
      <c r="A12666" t="s">
        <v>38662</v>
      </c>
      <c r="B12666" s="1" t="str">
        <f>HYPERLINK("https://www.catalog.slsa.sa.gov.au/record=b3183952")</f>
        <v>https://www.catalog.slsa.sa.gov.au/record=b3183952</v>
      </c>
      <c r="C12666" s="1" t="str">
        <f>HYPERLINK("https://www.catalog.slsa.sa.gov.au/xrecord=b3183952")</f>
        <v>https://www.catalog.slsa.sa.gov.au/xrecord=b3183952</v>
      </c>
      <c r="D12666" t="s">
        <v>31636</v>
      </c>
      <c r="E12666" t="s">
        <v>38601</v>
      </c>
      <c r="F12666" t="s">
        <v>38602</v>
      </c>
      <c r="G12666" t="s">
        <v>37758</v>
      </c>
      <c r="H12666" t="s">
        <v>38663</v>
      </c>
      <c r="I12666" t="s">
        <v>38664</v>
      </c>
      <c r="J12666" t="s">
        <v>38665</v>
      </c>
      <c r="K12666" s="2" t="str">
        <f>HYPERLINK("http://collections.slsa.sa.gov.au/resource/B+76552")</f>
        <v>http://collections.slsa.sa.gov.au/resource/B+76552</v>
      </c>
    </row>
    <row r="12667" spans="1:11" x14ac:dyDescent="0.25">
      <c r="A12667" t="s">
        <v>38666</v>
      </c>
      <c r="B12667" s="1" t="str">
        <f>HYPERLINK("https://www.catalog.slsa.sa.gov.au/record=b3183953")</f>
        <v>https://www.catalog.slsa.sa.gov.au/record=b3183953</v>
      </c>
      <c r="C12667" s="1" t="str">
        <f>HYPERLINK("https://www.catalog.slsa.sa.gov.au/xrecord=b3183953")</f>
        <v>https://www.catalog.slsa.sa.gov.au/xrecord=b3183953</v>
      </c>
      <c r="D12667" t="s">
        <v>31636</v>
      </c>
      <c r="E12667" t="s">
        <v>38601</v>
      </c>
      <c r="F12667" t="s">
        <v>38602</v>
      </c>
      <c r="G12667" t="s">
        <v>37758</v>
      </c>
      <c r="H12667" t="s">
        <v>38667</v>
      </c>
      <c r="I12667" t="s">
        <v>38668</v>
      </c>
      <c r="J12667" t="s">
        <v>23768</v>
      </c>
      <c r="K12667" s="2" t="str">
        <f>HYPERLINK("http://collections.slsa.sa.gov.au/resource/B+76553")</f>
        <v>http://collections.slsa.sa.gov.au/resource/B+76553</v>
      </c>
    </row>
    <row r="12668" spans="1:11" x14ac:dyDescent="0.25">
      <c r="A12668" t="s">
        <v>38669</v>
      </c>
      <c r="B12668" s="1" t="str">
        <f>HYPERLINK("https://www.catalog.slsa.sa.gov.au/record=b3183955")</f>
        <v>https://www.catalog.slsa.sa.gov.au/record=b3183955</v>
      </c>
      <c r="C12668" s="1" t="str">
        <f>HYPERLINK("https://www.catalog.slsa.sa.gov.au/xrecord=b3183955")</f>
        <v>https://www.catalog.slsa.sa.gov.au/xrecord=b3183955</v>
      </c>
      <c r="D12668" t="s">
        <v>31636</v>
      </c>
      <c r="E12668" t="s">
        <v>38670</v>
      </c>
      <c r="F12668" t="s">
        <v>38602</v>
      </c>
      <c r="G12668" t="s">
        <v>37758</v>
      </c>
      <c r="H12668" t="s">
        <v>38671</v>
      </c>
      <c r="I12668" t="s">
        <v>38672</v>
      </c>
      <c r="J12668" t="s">
        <v>36450</v>
      </c>
      <c r="K12668" s="2" t="str">
        <f>HYPERLINK("http://collections.slsa.sa.gov.au/resource/B+76554")</f>
        <v>http://collections.slsa.sa.gov.au/resource/B+76554</v>
      </c>
    </row>
    <row r="12669" spans="1:11" x14ac:dyDescent="0.25">
      <c r="A12669" t="s">
        <v>38673</v>
      </c>
      <c r="B12669" s="1" t="str">
        <f>HYPERLINK("https://www.catalog.slsa.sa.gov.au/record=b3195061")</f>
        <v>https://www.catalog.slsa.sa.gov.au/record=b3195061</v>
      </c>
      <c r="C12669" s="1" t="str">
        <f>HYPERLINK("https://www.catalog.slsa.sa.gov.au/xrecord=b3195061")</f>
        <v>https://www.catalog.slsa.sa.gov.au/xrecord=b3195061</v>
      </c>
      <c r="D12669" t="s">
        <v>31636</v>
      </c>
      <c r="E12669" t="s">
        <v>38674</v>
      </c>
      <c r="F12669" t="s">
        <v>38675</v>
      </c>
      <c r="G12669" t="s">
        <v>38676</v>
      </c>
      <c r="H12669" t="s">
        <v>38677</v>
      </c>
      <c r="I12669" t="s">
        <v>38678</v>
      </c>
      <c r="J12669" t="s">
        <v>34126</v>
      </c>
      <c r="K12669" s="2" t="str">
        <f>HYPERLINK("http://collections.slsa.sa.gov.au/resource/B+76980")</f>
        <v>http://collections.slsa.sa.gov.au/resource/B+76980</v>
      </c>
    </row>
    <row r="12670" spans="1:11" x14ac:dyDescent="0.25">
      <c r="A12670" t="s">
        <v>38679</v>
      </c>
      <c r="B12670" s="1" t="str">
        <f>HYPERLINK("https://www.catalog.slsa.sa.gov.au/record=b3195062")</f>
        <v>https://www.catalog.slsa.sa.gov.au/record=b3195062</v>
      </c>
      <c r="C12670" s="1" t="str">
        <f>HYPERLINK("https://www.catalog.slsa.sa.gov.au/xrecord=b3195062")</f>
        <v>https://www.catalog.slsa.sa.gov.au/xrecord=b3195062</v>
      </c>
      <c r="D12670" t="s">
        <v>31636</v>
      </c>
      <c r="E12670" t="s">
        <v>38674</v>
      </c>
      <c r="F12670" t="s">
        <v>38675</v>
      </c>
      <c r="G12670" t="s">
        <v>38680</v>
      </c>
      <c r="H12670" t="s">
        <v>38681</v>
      </c>
      <c r="I12670" t="s">
        <v>38682</v>
      </c>
      <c r="J12670" t="s">
        <v>34126</v>
      </c>
      <c r="K12670" s="2" t="str">
        <f>HYPERLINK("http://collections.slsa.sa.gov.au/resource/B+76981")</f>
        <v>http://collections.slsa.sa.gov.au/resource/B+76981</v>
      </c>
    </row>
    <row r="12671" spans="1:11" x14ac:dyDescent="0.25">
      <c r="A12671" t="s">
        <v>38683</v>
      </c>
      <c r="B12671" s="1" t="str">
        <f>HYPERLINK("https://www.catalog.slsa.sa.gov.au/record=b3195063")</f>
        <v>https://www.catalog.slsa.sa.gov.au/record=b3195063</v>
      </c>
      <c r="C12671" s="1" t="str">
        <f>HYPERLINK("https://www.catalog.slsa.sa.gov.au/xrecord=b3195063")</f>
        <v>https://www.catalog.slsa.sa.gov.au/xrecord=b3195063</v>
      </c>
      <c r="D12671" t="s">
        <v>31636</v>
      </c>
      <c r="E12671" t="s">
        <v>38674</v>
      </c>
      <c r="F12671" t="s">
        <v>38675</v>
      </c>
      <c r="G12671" t="s">
        <v>38684</v>
      </c>
      <c r="H12671" t="s">
        <v>38685</v>
      </c>
      <c r="I12671" t="s">
        <v>38678</v>
      </c>
      <c r="J12671" t="s">
        <v>34126</v>
      </c>
      <c r="K12671" s="2" t="str">
        <f>HYPERLINK("http://collections.slsa.sa.gov.au/resource/B+76982")</f>
        <v>http://collections.slsa.sa.gov.au/resource/B+76982</v>
      </c>
    </row>
    <row r="12672" spans="1:11" x14ac:dyDescent="0.25">
      <c r="A12672" t="s">
        <v>38686</v>
      </c>
      <c r="B12672" s="1" t="str">
        <f>HYPERLINK("https://www.catalog.slsa.sa.gov.au/record=b3195064")</f>
        <v>https://www.catalog.slsa.sa.gov.au/record=b3195064</v>
      </c>
      <c r="C12672" s="1" t="str">
        <f>HYPERLINK("https://www.catalog.slsa.sa.gov.au/xrecord=b3195064")</f>
        <v>https://www.catalog.slsa.sa.gov.au/xrecord=b3195064</v>
      </c>
      <c r="D12672" t="s">
        <v>31636</v>
      </c>
      <c r="E12672" t="s">
        <v>38674</v>
      </c>
      <c r="F12672" t="s">
        <v>38675</v>
      </c>
      <c r="G12672" t="s">
        <v>38687</v>
      </c>
      <c r="H12672" t="s">
        <v>38685</v>
      </c>
      <c r="I12672" t="s">
        <v>38678</v>
      </c>
      <c r="J12672" t="s">
        <v>34126</v>
      </c>
      <c r="K12672" s="2" t="str">
        <f>HYPERLINK("http://collections.slsa.sa.gov.au/resource/B+76983")</f>
        <v>http://collections.slsa.sa.gov.au/resource/B+76983</v>
      </c>
    </row>
    <row r="12673" spans="1:11" x14ac:dyDescent="0.25">
      <c r="A12673" t="s">
        <v>38688</v>
      </c>
      <c r="B12673" s="1" t="str">
        <f>HYPERLINK("https://www.catalog.slsa.sa.gov.au/record=b3195065")</f>
        <v>https://www.catalog.slsa.sa.gov.au/record=b3195065</v>
      </c>
      <c r="C12673" s="1" t="str">
        <f>HYPERLINK("https://www.catalog.slsa.sa.gov.au/xrecord=b3195065")</f>
        <v>https://www.catalog.slsa.sa.gov.au/xrecord=b3195065</v>
      </c>
      <c r="D12673" t="s">
        <v>31636</v>
      </c>
      <c r="E12673" t="s">
        <v>38674</v>
      </c>
      <c r="F12673" t="s">
        <v>38675</v>
      </c>
      <c r="G12673" t="s">
        <v>36370</v>
      </c>
      <c r="H12673" t="s">
        <v>38685</v>
      </c>
      <c r="I12673" t="s">
        <v>38678</v>
      </c>
      <c r="J12673" t="s">
        <v>34126</v>
      </c>
      <c r="K12673" s="2" t="str">
        <f>HYPERLINK("http://collections.slsa.sa.gov.au/resource/B+76984")</f>
        <v>http://collections.slsa.sa.gov.au/resource/B+76984</v>
      </c>
    </row>
    <row r="12674" spans="1:11" x14ac:dyDescent="0.25">
      <c r="A12674" t="s">
        <v>38689</v>
      </c>
      <c r="B12674" s="1" t="str">
        <f>HYPERLINK("https://www.catalog.slsa.sa.gov.au/record=b3195066")</f>
        <v>https://www.catalog.slsa.sa.gov.au/record=b3195066</v>
      </c>
      <c r="C12674" s="1" t="str">
        <f>HYPERLINK("https://www.catalog.slsa.sa.gov.au/xrecord=b3195066")</f>
        <v>https://www.catalog.slsa.sa.gov.au/xrecord=b3195066</v>
      </c>
      <c r="D12674" t="s">
        <v>31636</v>
      </c>
      <c r="E12674" t="s">
        <v>38674</v>
      </c>
      <c r="F12674" t="s">
        <v>38675</v>
      </c>
      <c r="G12674" t="s">
        <v>38690</v>
      </c>
      <c r="H12674" t="s">
        <v>38685</v>
      </c>
      <c r="I12674" t="s">
        <v>38678</v>
      </c>
      <c r="J12674" t="s">
        <v>34126</v>
      </c>
      <c r="K12674" s="2" t="str">
        <f>HYPERLINK("http://collections.slsa.sa.gov.au/resource/B+76985")</f>
        <v>http://collections.slsa.sa.gov.au/resource/B+76985</v>
      </c>
    </row>
    <row r="12675" spans="1:11" x14ac:dyDescent="0.25">
      <c r="A12675" t="s">
        <v>38691</v>
      </c>
      <c r="B12675" s="1" t="str">
        <f>HYPERLINK("https://www.catalog.slsa.sa.gov.au/record=b3195058")</f>
        <v>https://www.catalog.slsa.sa.gov.au/record=b3195058</v>
      </c>
      <c r="C12675" s="1" t="str">
        <f>HYPERLINK("https://www.catalog.slsa.sa.gov.au/xrecord=b3195058")</f>
        <v>https://www.catalog.slsa.sa.gov.au/xrecord=b3195058</v>
      </c>
      <c r="D12675" t="s">
        <v>31636</v>
      </c>
      <c r="E12675" t="s">
        <v>38692</v>
      </c>
      <c r="F12675" t="s">
        <v>38693</v>
      </c>
      <c r="G12675" t="s">
        <v>38694</v>
      </c>
      <c r="H12675" t="s">
        <v>38695</v>
      </c>
      <c r="I12675" t="s">
        <v>38696</v>
      </c>
      <c r="J12675" t="s">
        <v>1809</v>
      </c>
      <c r="K12675" s="2" t="str">
        <f>HYPERLINK("http://collections.slsa.sa.gov.au/resource/B+76978")</f>
        <v>http://collections.slsa.sa.gov.au/resource/B+76978</v>
      </c>
    </row>
    <row r="12676" spans="1:11" x14ac:dyDescent="0.25">
      <c r="A12676" t="s">
        <v>38697</v>
      </c>
      <c r="B12676" s="1" t="str">
        <f>HYPERLINK("https://www.catalog.slsa.sa.gov.au/record=b3195059")</f>
        <v>https://www.catalog.slsa.sa.gov.au/record=b3195059</v>
      </c>
      <c r="C12676" s="1" t="str">
        <f>HYPERLINK("https://www.catalog.slsa.sa.gov.au/xrecord=b3195059")</f>
        <v>https://www.catalog.slsa.sa.gov.au/xrecord=b3195059</v>
      </c>
      <c r="D12676" t="s">
        <v>31636</v>
      </c>
      <c r="E12676" t="s">
        <v>38692</v>
      </c>
      <c r="F12676" t="s">
        <v>38693</v>
      </c>
      <c r="G12676" t="s">
        <v>38698</v>
      </c>
      <c r="H12676" t="s">
        <v>38699</v>
      </c>
      <c r="I12676" t="s">
        <v>38696</v>
      </c>
      <c r="J12676" t="s">
        <v>1809</v>
      </c>
      <c r="K12676" s="2" t="str">
        <f>HYPERLINK("http://collections.slsa.sa.gov.au/resource/B+76979")</f>
        <v>http://collections.slsa.sa.gov.au/resource/B+76979</v>
      </c>
    </row>
    <row r="12677" spans="1:11" x14ac:dyDescent="0.25">
      <c r="A12677" t="s">
        <v>38700</v>
      </c>
      <c r="B12677" s="1" t="str">
        <f>HYPERLINK("https://www.catalog.slsa.sa.gov.au/record=b3189961")</f>
        <v>https://www.catalog.slsa.sa.gov.au/record=b3189961</v>
      </c>
      <c r="C12677" s="1" t="str">
        <f>HYPERLINK("https://www.catalog.slsa.sa.gov.au/xrecord=b3189961")</f>
        <v>https://www.catalog.slsa.sa.gov.au/xrecord=b3189961</v>
      </c>
      <c r="D12677" t="s">
        <v>31636</v>
      </c>
      <c r="E12677" t="s">
        <v>38701</v>
      </c>
      <c r="F12677" t="s">
        <v>38702</v>
      </c>
      <c r="G12677" t="s">
        <v>38703</v>
      </c>
      <c r="H12677" t="s">
        <v>38704</v>
      </c>
      <c r="I12677" t="s">
        <v>38705</v>
      </c>
      <c r="J12677" t="s">
        <v>27982</v>
      </c>
      <c r="K12677" s="2" t="str">
        <f>HYPERLINK("http://collections.slsa.sa.gov.au/resource/B+76765")</f>
        <v>http://collections.slsa.sa.gov.au/resource/B+76765</v>
      </c>
    </row>
    <row r="12678" spans="1:11" x14ac:dyDescent="0.25">
      <c r="A12678" t="s">
        <v>38706</v>
      </c>
      <c r="B12678" s="1" t="str">
        <f>HYPERLINK("https://www.catalog.slsa.sa.gov.au/record=b3191199")</f>
        <v>https://www.catalog.slsa.sa.gov.au/record=b3191199</v>
      </c>
      <c r="C12678" s="1" t="str">
        <f>HYPERLINK("https://www.catalog.slsa.sa.gov.au/xrecord=b3191199")</f>
        <v>https://www.catalog.slsa.sa.gov.au/xrecord=b3191199</v>
      </c>
      <c r="D12678" t="s">
        <v>31636</v>
      </c>
      <c r="E12678" t="s">
        <v>38707</v>
      </c>
      <c r="F12678" t="s">
        <v>38708</v>
      </c>
      <c r="G12678" t="s">
        <v>38709</v>
      </c>
      <c r="H12678" t="s">
        <v>38710</v>
      </c>
      <c r="I12678" t="s">
        <v>38711</v>
      </c>
      <c r="J12678" t="s">
        <v>1809</v>
      </c>
      <c r="K12678" s="2" t="str">
        <f>HYPERLINK("http://collections.slsa.sa.gov.au/resource/B+76803")</f>
        <v>http://collections.slsa.sa.gov.au/resource/B+76803</v>
      </c>
    </row>
    <row r="12679" spans="1:11" x14ac:dyDescent="0.25">
      <c r="A12679" t="s">
        <v>38712</v>
      </c>
      <c r="B12679" s="1" t="str">
        <f>HYPERLINK("https://www.catalog.slsa.sa.gov.au/record=b3191276")</f>
        <v>https://www.catalog.slsa.sa.gov.au/record=b3191276</v>
      </c>
      <c r="C12679" s="1" t="str">
        <f>HYPERLINK("https://www.catalog.slsa.sa.gov.au/xrecord=b3191276")</f>
        <v>https://www.catalog.slsa.sa.gov.au/xrecord=b3191276</v>
      </c>
      <c r="D12679" t="s">
        <v>31636</v>
      </c>
      <c r="E12679" t="s">
        <v>38713</v>
      </c>
      <c r="F12679" t="s">
        <v>38714</v>
      </c>
      <c r="G12679" t="s">
        <v>38715</v>
      </c>
      <c r="H12679" t="s">
        <v>38716</v>
      </c>
      <c r="I12679" t="s">
        <v>38717</v>
      </c>
      <c r="J12679" t="s">
        <v>1809</v>
      </c>
      <c r="K12679" s="2" t="str">
        <f>HYPERLINK("http://collections.slsa.sa.gov.au/resource/B+76805")</f>
        <v>http://collections.slsa.sa.gov.au/resource/B+76805</v>
      </c>
    </row>
    <row r="12680" spans="1:11" x14ac:dyDescent="0.25">
      <c r="A12680" t="s">
        <v>38718</v>
      </c>
      <c r="B12680" s="1" t="str">
        <f>HYPERLINK("https://www.catalog.slsa.sa.gov.au/record=b3191309")</f>
        <v>https://www.catalog.slsa.sa.gov.au/record=b3191309</v>
      </c>
      <c r="C12680" s="1" t="str">
        <f>HYPERLINK("https://www.catalog.slsa.sa.gov.au/xrecord=b3191309")</f>
        <v>https://www.catalog.slsa.sa.gov.au/xrecord=b3191309</v>
      </c>
      <c r="D12680" t="s">
        <v>31636</v>
      </c>
      <c r="E12680" t="s">
        <v>38719</v>
      </c>
      <c r="F12680" t="s">
        <v>38720</v>
      </c>
      <c r="G12680" t="s">
        <v>38456</v>
      </c>
      <c r="H12680" t="s">
        <v>38721</v>
      </c>
      <c r="I12680" t="s">
        <v>38722</v>
      </c>
      <c r="J12680" t="s">
        <v>18474</v>
      </c>
      <c r="K12680" s="2" t="str">
        <f>HYPERLINK("http://collections.slsa.sa.gov.au/resource/B+76810")</f>
        <v>http://collections.slsa.sa.gov.au/resource/B+76810</v>
      </c>
    </row>
    <row r="12681" spans="1:11" x14ac:dyDescent="0.25">
      <c r="A12681" t="s">
        <v>38723</v>
      </c>
      <c r="B12681" s="1" t="str">
        <f>HYPERLINK("https://www.catalog.slsa.sa.gov.au/record=b3191335")</f>
        <v>https://www.catalog.slsa.sa.gov.au/record=b3191335</v>
      </c>
      <c r="C12681" s="1" t="str">
        <f>HYPERLINK("https://www.catalog.slsa.sa.gov.au/xrecord=b3191335")</f>
        <v>https://www.catalog.slsa.sa.gov.au/xrecord=b3191335</v>
      </c>
      <c r="D12681" t="s">
        <v>31636</v>
      </c>
      <c r="E12681" t="s">
        <v>38724</v>
      </c>
      <c r="F12681" t="s">
        <v>38720</v>
      </c>
      <c r="G12681" t="s">
        <v>38725</v>
      </c>
      <c r="H12681" t="s">
        <v>38726</v>
      </c>
      <c r="I12681" t="s">
        <v>38727</v>
      </c>
      <c r="J12681" t="s">
        <v>18474</v>
      </c>
      <c r="K12681" s="2" t="str">
        <f>HYPERLINK("http://collections.slsa.sa.gov.au/resource/B+76811")</f>
        <v>http://collections.slsa.sa.gov.au/resource/B+76811</v>
      </c>
    </row>
    <row r="12682" spans="1:11" x14ac:dyDescent="0.25">
      <c r="A12682" t="s">
        <v>38728</v>
      </c>
      <c r="B12682" s="1" t="str">
        <f>HYPERLINK("https://www.catalog.slsa.sa.gov.au/record=b3191336")</f>
        <v>https://www.catalog.slsa.sa.gov.au/record=b3191336</v>
      </c>
      <c r="C12682" s="1" t="str">
        <f>HYPERLINK("https://www.catalog.slsa.sa.gov.au/xrecord=b3191336")</f>
        <v>https://www.catalog.slsa.sa.gov.au/xrecord=b3191336</v>
      </c>
      <c r="D12682" t="s">
        <v>31636</v>
      </c>
      <c r="E12682" t="s">
        <v>38724</v>
      </c>
      <c r="F12682" t="s">
        <v>38720</v>
      </c>
      <c r="G12682" t="s">
        <v>38709</v>
      </c>
      <c r="H12682" t="s">
        <v>38729</v>
      </c>
      <c r="I12682" t="s">
        <v>38730</v>
      </c>
      <c r="J12682" t="s">
        <v>18474</v>
      </c>
      <c r="K12682" s="2" t="str">
        <f>HYPERLINK("http://collections.slsa.sa.gov.au/resource/B+76812")</f>
        <v>http://collections.slsa.sa.gov.au/resource/B+76812</v>
      </c>
    </row>
    <row r="12683" spans="1:11" x14ac:dyDescent="0.25">
      <c r="A12683" t="s">
        <v>38731</v>
      </c>
      <c r="B12683" s="1" t="str">
        <f>HYPERLINK("https://www.catalog.slsa.sa.gov.au/record=b3191338")</f>
        <v>https://www.catalog.slsa.sa.gov.au/record=b3191338</v>
      </c>
      <c r="C12683" s="1" t="str">
        <f>HYPERLINK("https://www.catalog.slsa.sa.gov.au/xrecord=b3191338")</f>
        <v>https://www.catalog.slsa.sa.gov.au/xrecord=b3191338</v>
      </c>
      <c r="D12683" t="s">
        <v>31636</v>
      </c>
      <c r="E12683" t="s">
        <v>38724</v>
      </c>
      <c r="F12683" t="s">
        <v>38720</v>
      </c>
      <c r="G12683" t="s">
        <v>38456</v>
      </c>
      <c r="H12683" t="s">
        <v>38732</v>
      </c>
      <c r="I12683" t="s">
        <v>38733</v>
      </c>
      <c r="J12683" t="s">
        <v>18474</v>
      </c>
      <c r="K12683" s="2" t="str">
        <f>HYPERLINK("http://collections.slsa.sa.gov.au/resource/B+76813")</f>
        <v>http://collections.slsa.sa.gov.au/resource/B+76813</v>
      </c>
    </row>
    <row r="12684" spans="1:11" x14ac:dyDescent="0.25">
      <c r="A12684" t="s">
        <v>38734</v>
      </c>
      <c r="B12684" s="1" t="str">
        <f>HYPERLINK("https://www.catalog.slsa.sa.gov.au/record=b3191339")</f>
        <v>https://www.catalog.slsa.sa.gov.au/record=b3191339</v>
      </c>
      <c r="C12684" s="1" t="str">
        <f>HYPERLINK("https://www.catalog.slsa.sa.gov.au/xrecord=b3191339")</f>
        <v>https://www.catalog.slsa.sa.gov.au/xrecord=b3191339</v>
      </c>
      <c r="D12684" t="s">
        <v>31636</v>
      </c>
      <c r="E12684" t="s">
        <v>38724</v>
      </c>
      <c r="F12684" t="s">
        <v>38720</v>
      </c>
      <c r="G12684" t="s">
        <v>38709</v>
      </c>
      <c r="H12684" t="s">
        <v>38735</v>
      </c>
      <c r="I12684" t="s">
        <v>38736</v>
      </c>
      <c r="J12684" t="s">
        <v>18474</v>
      </c>
      <c r="K12684" s="2" t="str">
        <f>HYPERLINK("http://collections.slsa.sa.gov.au/resource/B+76814")</f>
        <v>http://collections.slsa.sa.gov.au/resource/B+76814</v>
      </c>
    </row>
    <row r="12685" spans="1:11" x14ac:dyDescent="0.25">
      <c r="A12685" t="s">
        <v>38737</v>
      </c>
      <c r="B12685" s="1" t="str">
        <f>HYPERLINK("https://www.catalog.slsa.sa.gov.au/record=b3191340")</f>
        <v>https://www.catalog.slsa.sa.gov.au/record=b3191340</v>
      </c>
      <c r="C12685" s="1" t="str">
        <f>HYPERLINK("https://www.catalog.slsa.sa.gov.au/xrecord=b3191340")</f>
        <v>https://www.catalog.slsa.sa.gov.au/xrecord=b3191340</v>
      </c>
      <c r="D12685" t="s">
        <v>31636</v>
      </c>
      <c r="E12685" t="s">
        <v>38724</v>
      </c>
      <c r="F12685" t="s">
        <v>38720</v>
      </c>
      <c r="G12685" t="s">
        <v>38456</v>
      </c>
      <c r="H12685" t="s">
        <v>38738</v>
      </c>
      <c r="I12685" t="s">
        <v>38739</v>
      </c>
      <c r="J12685" t="s">
        <v>18474</v>
      </c>
      <c r="K12685" s="2" t="str">
        <f>HYPERLINK("http://collections.slsa.sa.gov.au/resource/B+76815")</f>
        <v>http://collections.slsa.sa.gov.au/resource/B+76815</v>
      </c>
    </row>
    <row r="12686" spans="1:11" x14ac:dyDescent="0.25">
      <c r="A12686" t="s">
        <v>38740</v>
      </c>
      <c r="B12686" s="1" t="str">
        <f>HYPERLINK("https://www.catalog.slsa.sa.gov.au/record=b3191342")</f>
        <v>https://www.catalog.slsa.sa.gov.au/record=b3191342</v>
      </c>
      <c r="C12686" s="1" t="str">
        <f>HYPERLINK("https://www.catalog.slsa.sa.gov.au/xrecord=b3191342")</f>
        <v>https://www.catalog.slsa.sa.gov.au/xrecord=b3191342</v>
      </c>
      <c r="D12686" t="s">
        <v>31636</v>
      </c>
      <c r="E12686" t="s">
        <v>38724</v>
      </c>
      <c r="F12686" t="s">
        <v>38720</v>
      </c>
      <c r="G12686" t="s">
        <v>38456</v>
      </c>
      <c r="H12686" t="s">
        <v>38741</v>
      </c>
      <c r="I12686" t="s">
        <v>38742</v>
      </c>
      <c r="J12686" t="s">
        <v>18474</v>
      </c>
      <c r="K12686" s="2" t="str">
        <f>HYPERLINK("http://collections.slsa.sa.gov.au/resource/B+76816")</f>
        <v>http://collections.slsa.sa.gov.au/resource/B+76816</v>
      </c>
    </row>
    <row r="12687" spans="1:11" x14ac:dyDescent="0.25">
      <c r="A12687" t="s">
        <v>38743</v>
      </c>
      <c r="B12687" s="1" t="str">
        <f>HYPERLINK("https://www.catalog.slsa.sa.gov.au/record=b3191343")</f>
        <v>https://www.catalog.slsa.sa.gov.au/record=b3191343</v>
      </c>
      <c r="C12687" s="1" t="str">
        <f>HYPERLINK("https://www.catalog.slsa.sa.gov.au/xrecord=b3191343")</f>
        <v>https://www.catalog.slsa.sa.gov.au/xrecord=b3191343</v>
      </c>
      <c r="D12687" t="s">
        <v>31636</v>
      </c>
      <c r="E12687" t="s">
        <v>38724</v>
      </c>
      <c r="F12687" t="s">
        <v>38720</v>
      </c>
      <c r="G12687" t="s">
        <v>38456</v>
      </c>
      <c r="H12687" t="s">
        <v>38744</v>
      </c>
      <c r="I12687" t="s">
        <v>38727</v>
      </c>
      <c r="J12687" t="s">
        <v>18474</v>
      </c>
      <c r="K12687" s="2" t="str">
        <f>HYPERLINK("http://collections.slsa.sa.gov.au/resource/B+76817")</f>
        <v>http://collections.slsa.sa.gov.au/resource/B+76817</v>
      </c>
    </row>
    <row r="12688" spans="1:11" x14ac:dyDescent="0.25">
      <c r="A12688" t="s">
        <v>38745</v>
      </c>
      <c r="B12688" s="1" t="str">
        <f>HYPERLINK("https://www.catalog.slsa.sa.gov.au/record=b3191344")</f>
        <v>https://www.catalog.slsa.sa.gov.au/record=b3191344</v>
      </c>
      <c r="C12688" s="1" t="str">
        <f>HYPERLINK("https://www.catalog.slsa.sa.gov.au/xrecord=b3191344")</f>
        <v>https://www.catalog.slsa.sa.gov.au/xrecord=b3191344</v>
      </c>
      <c r="D12688" t="s">
        <v>31636</v>
      </c>
      <c r="E12688" t="s">
        <v>38724</v>
      </c>
      <c r="F12688" t="s">
        <v>38720</v>
      </c>
      <c r="G12688" t="s">
        <v>38456</v>
      </c>
      <c r="H12688" t="s">
        <v>38732</v>
      </c>
      <c r="I12688" t="s">
        <v>38733</v>
      </c>
      <c r="J12688" t="s">
        <v>18474</v>
      </c>
      <c r="K12688" s="2" t="str">
        <f>HYPERLINK("http://collections.slsa.sa.gov.au/resource/B+76818")</f>
        <v>http://collections.slsa.sa.gov.au/resource/B+76818</v>
      </c>
    </row>
    <row r="12689" spans="1:11" x14ac:dyDescent="0.25">
      <c r="A12689" t="s">
        <v>38746</v>
      </c>
      <c r="B12689" s="1" t="str">
        <f>HYPERLINK("https://www.catalog.slsa.sa.gov.au/record=b3191362")</f>
        <v>https://www.catalog.slsa.sa.gov.au/record=b3191362</v>
      </c>
      <c r="C12689" s="1" t="str">
        <f>HYPERLINK("https://www.catalog.slsa.sa.gov.au/xrecord=b3191362")</f>
        <v>https://www.catalog.slsa.sa.gov.au/xrecord=b3191362</v>
      </c>
      <c r="D12689" t="s">
        <v>31636</v>
      </c>
      <c r="E12689" t="s">
        <v>38724</v>
      </c>
      <c r="F12689" t="s">
        <v>38720</v>
      </c>
      <c r="G12689" t="s">
        <v>38709</v>
      </c>
      <c r="H12689" t="s">
        <v>38747</v>
      </c>
      <c r="I12689" t="s">
        <v>38748</v>
      </c>
      <c r="J12689" t="s">
        <v>18474</v>
      </c>
      <c r="K12689" s="2" t="str">
        <f>HYPERLINK("http://collections.slsa.sa.gov.au/resource/B+76819")</f>
        <v>http://collections.slsa.sa.gov.au/resource/B+76819</v>
      </c>
    </row>
    <row r="12690" spans="1:11" x14ac:dyDescent="0.25">
      <c r="A12690" t="s">
        <v>38749</v>
      </c>
      <c r="B12690" s="1" t="str">
        <f>HYPERLINK("https://www.catalog.slsa.sa.gov.au/record=b3191364")</f>
        <v>https://www.catalog.slsa.sa.gov.au/record=b3191364</v>
      </c>
      <c r="C12690" s="1" t="str">
        <f>HYPERLINK("https://www.catalog.slsa.sa.gov.au/xrecord=b3191364")</f>
        <v>https://www.catalog.slsa.sa.gov.au/xrecord=b3191364</v>
      </c>
      <c r="D12690" t="s">
        <v>31636</v>
      </c>
      <c r="E12690" t="s">
        <v>38724</v>
      </c>
      <c r="F12690" t="s">
        <v>38720</v>
      </c>
      <c r="G12690" t="s">
        <v>38456</v>
      </c>
      <c r="H12690" t="s">
        <v>38750</v>
      </c>
      <c r="I12690" t="s">
        <v>38751</v>
      </c>
      <c r="J12690" t="s">
        <v>18474</v>
      </c>
      <c r="K12690" s="2" t="str">
        <f>HYPERLINK("http://collections.slsa.sa.gov.au/resource/B+76820")</f>
        <v>http://collections.slsa.sa.gov.au/resource/B+76820</v>
      </c>
    </row>
    <row r="12691" spans="1:11" x14ac:dyDescent="0.25">
      <c r="A12691" t="s">
        <v>38752</v>
      </c>
      <c r="B12691" s="1" t="str">
        <f>HYPERLINK("https://www.catalog.slsa.sa.gov.au/record=b3191365")</f>
        <v>https://www.catalog.slsa.sa.gov.au/record=b3191365</v>
      </c>
      <c r="C12691" s="1" t="str">
        <f>HYPERLINK("https://www.catalog.slsa.sa.gov.au/xrecord=b3191365")</f>
        <v>https://www.catalog.slsa.sa.gov.au/xrecord=b3191365</v>
      </c>
      <c r="D12691" t="s">
        <v>31636</v>
      </c>
      <c r="E12691" t="s">
        <v>38724</v>
      </c>
      <c r="F12691" t="s">
        <v>38720</v>
      </c>
      <c r="G12691" t="s">
        <v>38456</v>
      </c>
      <c r="H12691" t="s">
        <v>38753</v>
      </c>
      <c r="I12691" t="s">
        <v>38754</v>
      </c>
      <c r="J12691" t="s">
        <v>18474</v>
      </c>
      <c r="K12691" s="2" t="str">
        <f>HYPERLINK("http://collections.slsa.sa.gov.au/resource/B+76821")</f>
        <v>http://collections.slsa.sa.gov.au/resource/B+76821</v>
      </c>
    </row>
    <row r="12692" spans="1:11" x14ac:dyDescent="0.25">
      <c r="A12692" t="s">
        <v>38755</v>
      </c>
      <c r="B12692" s="1" t="str">
        <f>HYPERLINK("https://www.catalog.slsa.sa.gov.au/record=b3191366")</f>
        <v>https://www.catalog.slsa.sa.gov.au/record=b3191366</v>
      </c>
      <c r="C12692" s="1" t="str">
        <f>HYPERLINK("https://www.catalog.slsa.sa.gov.au/xrecord=b3191366")</f>
        <v>https://www.catalog.slsa.sa.gov.au/xrecord=b3191366</v>
      </c>
      <c r="D12692" t="s">
        <v>31636</v>
      </c>
      <c r="E12692" t="s">
        <v>38724</v>
      </c>
      <c r="F12692" t="s">
        <v>38720</v>
      </c>
      <c r="G12692" t="s">
        <v>38456</v>
      </c>
      <c r="H12692" t="s">
        <v>38756</v>
      </c>
      <c r="I12692" t="s">
        <v>38757</v>
      </c>
      <c r="J12692" t="s">
        <v>18474</v>
      </c>
      <c r="K12692" s="2" t="str">
        <f>HYPERLINK("http://collections.slsa.sa.gov.au/resource/B+76822")</f>
        <v>http://collections.slsa.sa.gov.au/resource/B+76822</v>
      </c>
    </row>
    <row r="12693" spans="1:11" x14ac:dyDescent="0.25">
      <c r="A12693" t="s">
        <v>38758</v>
      </c>
      <c r="B12693" s="1" t="str">
        <f>HYPERLINK("https://www.catalog.slsa.sa.gov.au/record=b3191369")</f>
        <v>https://www.catalog.slsa.sa.gov.au/record=b3191369</v>
      </c>
      <c r="C12693" s="1" t="str">
        <f>HYPERLINK("https://www.catalog.slsa.sa.gov.au/xrecord=b3191369")</f>
        <v>https://www.catalog.slsa.sa.gov.au/xrecord=b3191369</v>
      </c>
      <c r="D12693" t="s">
        <v>31636</v>
      </c>
      <c r="E12693" t="s">
        <v>38724</v>
      </c>
      <c r="F12693" t="s">
        <v>38720</v>
      </c>
      <c r="G12693" t="s">
        <v>38456</v>
      </c>
      <c r="H12693" t="s">
        <v>38759</v>
      </c>
      <c r="I12693" t="s">
        <v>38760</v>
      </c>
      <c r="J12693" t="s">
        <v>18474</v>
      </c>
      <c r="K12693" s="2" t="str">
        <f>HYPERLINK("http://collections.slsa.sa.gov.au/resource/B+76823")</f>
        <v>http://collections.slsa.sa.gov.au/resource/B+76823</v>
      </c>
    </row>
    <row r="12694" spans="1:11" x14ac:dyDescent="0.25">
      <c r="A12694" t="s">
        <v>38761</v>
      </c>
      <c r="B12694" s="1" t="str">
        <f>HYPERLINK("https://www.catalog.slsa.sa.gov.au/record=b3191371")</f>
        <v>https://www.catalog.slsa.sa.gov.au/record=b3191371</v>
      </c>
      <c r="C12694" s="1" t="str">
        <f>HYPERLINK("https://www.catalog.slsa.sa.gov.au/xrecord=b3191371")</f>
        <v>https://www.catalog.slsa.sa.gov.au/xrecord=b3191371</v>
      </c>
      <c r="D12694" t="s">
        <v>31636</v>
      </c>
      <c r="E12694" t="s">
        <v>38724</v>
      </c>
      <c r="F12694" t="s">
        <v>38720</v>
      </c>
      <c r="G12694" t="s">
        <v>38456</v>
      </c>
      <c r="H12694" t="s">
        <v>38762</v>
      </c>
      <c r="I12694" t="s">
        <v>38763</v>
      </c>
      <c r="J12694" t="s">
        <v>17190</v>
      </c>
      <c r="K12694" s="2" t="str">
        <f>HYPERLINK("http://collections.slsa.sa.gov.au/resource/B+76824")</f>
        <v>http://collections.slsa.sa.gov.au/resource/B+76824</v>
      </c>
    </row>
    <row r="12695" spans="1:11" x14ac:dyDescent="0.25">
      <c r="A12695" t="s">
        <v>38764</v>
      </c>
      <c r="B12695" s="1" t="str">
        <f>HYPERLINK("https://www.catalog.slsa.sa.gov.au/record=b3191374")</f>
        <v>https://www.catalog.slsa.sa.gov.au/record=b3191374</v>
      </c>
      <c r="C12695" s="1" t="str">
        <f>HYPERLINK("https://www.catalog.slsa.sa.gov.au/xrecord=b3191374")</f>
        <v>https://www.catalog.slsa.sa.gov.au/xrecord=b3191374</v>
      </c>
      <c r="D12695" t="s">
        <v>31636</v>
      </c>
      <c r="E12695" t="s">
        <v>38724</v>
      </c>
      <c r="F12695" t="s">
        <v>38720</v>
      </c>
      <c r="G12695" t="s">
        <v>38456</v>
      </c>
      <c r="H12695" t="s">
        <v>38765</v>
      </c>
      <c r="I12695" t="s">
        <v>38766</v>
      </c>
      <c r="J12695" t="s">
        <v>17190</v>
      </c>
      <c r="K12695" s="2" t="str">
        <f>HYPERLINK("http://collections.slsa.sa.gov.au/resource/B+76825")</f>
        <v>http://collections.slsa.sa.gov.au/resource/B+76825</v>
      </c>
    </row>
    <row r="12696" spans="1:11" x14ac:dyDescent="0.25">
      <c r="A12696" t="s">
        <v>38767</v>
      </c>
      <c r="B12696" s="1" t="str">
        <f>HYPERLINK("https://www.catalog.slsa.sa.gov.au/record=b3191375")</f>
        <v>https://www.catalog.slsa.sa.gov.au/record=b3191375</v>
      </c>
      <c r="C12696" s="1" t="str">
        <f>HYPERLINK("https://www.catalog.slsa.sa.gov.au/xrecord=b3191375")</f>
        <v>https://www.catalog.slsa.sa.gov.au/xrecord=b3191375</v>
      </c>
      <c r="D12696" t="s">
        <v>31636</v>
      </c>
      <c r="E12696" t="s">
        <v>38724</v>
      </c>
      <c r="F12696" t="s">
        <v>38720</v>
      </c>
      <c r="G12696" t="s">
        <v>38456</v>
      </c>
      <c r="H12696" t="s">
        <v>38768</v>
      </c>
      <c r="I12696" t="s">
        <v>38769</v>
      </c>
      <c r="J12696" t="s">
        <v>17190</v>
      </c>
      <c r="K12696" s="2" t="str">
        <f>HYPERLINK("http://collections.slsa.sa.gov.au/resource/B+76826")</f>
        <v>http://collections.slsa.sa.gov.au/resource/B+76826</v>
      </c>
    </row>
    <row r="12697" spans="1:11" x14ac:dyDescent="0.25">
      <c r="A12697" t="s">
        <v>38770</v>
      </c>
      <c r="B12697" s="1" t="str">
        <f>HYPERLINK("https://www.catalog.slsa.sa.gov.au/record=b3191376")</f>
        <v>https://www.catalog.slsa.sa.gov.au/record=b3191376</v>
      </c>
      <c r="C12697" s="1" t="str">
        <f>HYPERLINK("https://www.catalog.slsa.sa.gov.au/xrecord=b3191376")</f>
        <v>https://www.catalog.slsa.sa.gov.au/xrecord=b3191376</v>
      </c>
      <c r="D12697" t="s">
        <v>31636</v>
      </c>
      <c r="E12697" t="s">
        <v>38724</v>
      </c>
      <c r="F12697" t="s">
        <v>38720</v>
      </c>
      <c r="G12697" t="s">
        <v>38456</v>
      </c>
      <c r="H12697" t="s">
        <v>38768</v>
      </c>
      <c r="I12697" t="s">
        <v>38771</v>
      </c>
      <c r="J12697" t="s">
        <v>16808</v>
      </c>
      <c r="K12697" s="2" t="str">
        <f>HYPERLINK("http://collections.slsa.sa.gov.au/resource/B+76827")</f>
        <v>http://collections.slsa.sa.gov.au/resource/B+76827</v>
      </c>
    </row>
    <row r="12698" spans="1:11" x14ac:dyDescent="0.25">
      <c r="A12698" t="s">
        <v>38772</v>
      </c>
      <c r="B12698" s="1" t="str">
        <f>HYPERLINK("https://www.catalog.slsa.sa.gov.au/record=b3191377")</f>
        <v>https://www.catalog.slsa.sa.gov.au/record=b3191377</v>
      </c>
      <c r="C12698" s="1" t="str">
        <f>HYPERLINK("https://www.catalog.slsa.sa.gov.au/xrecord=b3191377")</f>
        <v>https://www.catalog.slsa.sa.gov.au/xrecord=b3191377</v>
      </c>
      <c r="D12698" t="s">
        <v>31636</v>
      </c>
      <c r="E12698" t="s">
        <v>38724</v>
      </c>
      <c r="F12698" t="s">
        <v>38720</v>
      </c>
      <c r="G12698" t="s">
        <v>38456</v>
      </c>
      <c r="H12698" t="s">
        <v>38773</v>
      </c>
      <c r="I12698" t="s">
        <v>38774</v>
      </c>
      <c r="J12698" t="s">
        <v>24160</v>
      </c>
      <c r="K12698" s="2" t="str">
        <f>HYPERLINK("http://collections.slsa.sa.gov.au/resource/B+76828")</f>
        <v>http://collections.slsa.sa.gov.au/resource/B+76828</v>
      </c>
    </row>
    <row r="12699" spans="1:11" x14ac:dyDescent="0.25">
      <c r="A12699" t="s">
        <v>38775</v>
      </c>
      <c r="B12699" s="1" t="str">
        <f>HYPERLINK("https://www.catalog.slsa.sa.gov.au/record=b3191379")</f>
        <v>https://www.catalog.slsa.sa.gov.au/record=b3191379</v>
      </c>
      <c r="C12699" s="1" t="str">
        <f>HYPERLINK("https://www.catalog.slsa.sa.gov.au/xrecord=b3191379")</f>
        <v>https://www.catalog.slsa.sa.gov.au/xrecord=b3191379</v>
      </c>
      <c r="D12699" t="s">
        <v>31636</v>
      </c>
      <c r="E12699" t="s">
        <v>38724</v>
      </c>
      <c r="F12699" t="s">
        <v>38720</v>
      </c>
      <c r="G12699" t="s">
        <v>38456</v>
      </c>
      <c r="H12699" t="s">
        <v>38776</v>
      </c>
      <c r="I12699" t="s">
        <v>38777</v>
      </c>
      <c r="J12699" t="s">
        <v>24160</v>
      </c>
      <c r="K12699" s="2" t="str">
        <f>HYPERLINK("http://collections.slsa.sa.gov.au/resource/B+76829")</f>
        <v>http://collections.slsa.sa.gov.au/resource/B+76829</v>
      </c>
    </row>
    <row r="12700" spans="1:11" x14ac:dyDescent="0.25">
      <c r="A12700" t="s">
        <v>38778</v>
      </c>
      <c r="B12700" s="1" t="str">
        <f>HYPERLINK("https://www.catalog.slsa.sa.gov.au/record=b3191393")</f>
        <v>https://www.catalog.slsa.sa.gov.au/record=b3191393</v>
      </c>
      <c r="C12700" s="1" t="str">
        <f>HYPERLINK("https://www.catalog.slsa.sa.gov.au/xrecord=b3191393")</f>
        <v>https://www.catalog.slsa.sa.gov.au/xrecord=b3191393</v>
      </c>
      <c r="D12700" t="s">
        <v>31636</v>
      </c>
      <c r="E12700" t="s">
        <v>38724</v>
      </c>
      <c r="F12700" t="s">
        <v>38720</v>
      </c>
      <c r="G12700" t="s">
        <v>38456</v>
      </c>
      <c r="H12700" t="s">
        <v>38779</v>
      </c>
      <c r="I12700" t="s">
        <v>38780</v>
      </c>
      <c r="J12700" t="s">
        <v>24160</v>
      </c>
      <c r="K12700" s="2" t="str">
        <f>HYPERLINK("http://collections.slsa.sa.gov.au/resource/B+76830")</f>
        <v>http://collections.slsa.sa.gov.au/resource/B+76830</v>
      </c>
    </row>
    <row r="12701" spans="1:11" x14ac:dyDescent="0.25">
      <c r="A12701" t="s">
        <v>38781</v>
      </c>
      <c r="B12701" s="1" t="str">
        <f>HYPERLINK("https://www.catalog.slsa.sa.gov.au/record=b3191394")</f>
        <v>https://www.catalog.slsa.sa.gov.au/record=b3191394</v>
      </c>
      <c r="C12701" s="1" t="str">
        <f>HYPERLINK("https://www.catalog.slsa.sa.gov.au/xrecord=b3191394")</f>
        <v>https://www.catalog.slsa.sa.gov.au/xrecord=b3191394</v>
      </c>
      <c r="D12701" t="s">
        <v>31636</v>
      </c>
      <c r="E12701" t="s">
        <v>38724</v>
      </c>
      <c r="F12701" t="s">
        <v>38720</v>
      </c>
      <c r="G12701" t="s">
        <v>38456</v>
      </c>
      <c r="H12701" t="s">
        <v>38782</v>
      </c>
      <c r="I12701" t="s">
        <v>38727</v>
      </c>
      <c r="J12701" t="s">
        <v>24160</v>
      </c>
      <c r="K12701" s="2" t="str">
        <f>HYPERLINK("http://collections.slsa.sa.gov.au/resource/B+76831")</f>
        <v>http://collections.slsa.sa.gov.au/resource/B+76831</v>
      </c>
    </row>
    <row r="12702" spans="1:11" x14ac:dyDescent="0.25">
      <c r="A12702" t="s">
        <v>38783</v>
      </c>
      <c r="B12702" s="1" t="str">
        <f>HYPERLINK("https://www.catalog.slsa.sa.gov.au/record=b3191396")</f>
        <v>https://www.catalog.slsa.sa.gov.au/record=b3191396</v>
      </c>
      <c r="C12702" s="1" t="str">
        <f>HYPERLINK("https://www.catalog.slsa.sa.gov.au/xrecord=b3191396")</f>
        <v>https://www.catalog.slsa.sa.gov.au/xrecord=b3191396</v>
      </c>
      <c r="D12702" t="s">
        <v>31636</v>
      </c>
      <c r="E12702" t="s">
        <v>38724</v>
      </c>
      <c r="F12702" t="s">
        <v>38720</v>
      </c>
      <c r="G12702" t="s">
        <v>38456</v>
      </c>
      <c r="H12702" t="s">
        <v>38768</v>
      </c>
      <c r="I12702" t="s">
        <v>38727</v>
      </c>
      <c r="J12702" t="s">
        <v>24160</v>
      </c>
      <c r="K12702" s="2" t="str">
        <f>HYPERLINK("http://collections.slsa.sa.gov.au/resource/B+76832")</f>
        <v>http://collections.slsa.sa.gov.au/resource/B+76832</v>
      </c>
    </row>
    <row r="12703" spans="1:11" x14ac:dyDescent="0.25">
      <c r="A12703" t="s">
        <v>38784</v>
      </c>
      <c r="B12703" s="1" t="str">
        <f>HYPERLINK("https://www.catalog.slsa.sa.gov.au/record=b3191398")</f>
        <v>https://www.catalog.slsa.sa.gov.au/record=b3191398</v>
      </c>
      <c r="C12703" s="1" t="str">
        <f>HYPERLINK("https://www.catalog.slsa.sa.gov.au/xrecord=b3191398")</f>
        <v>https://www.catalog.slsa.sa.gov.au/xrecord=b3191398</v>
      </c>
      <c r="D12703" t="s">
        <v>31636</v>
      </c>
      <c r="E12703" t="s">
        <v>38724</v>
      </c>
      <c r="F12703" t="s">
        <v>38720</v>
      </c>
      <c r="G12703" t="s">
        <v>38456</v>
      </c>
      <c r="H12703" t="s">
        <v>38785</v>
      </c>
      <c r="I12703" t="s">
        <v>38736</v>
      </c>
      <c r="J12703" t="s">
        <v>24160</v>
      </c>
      <c r="K12703" s="2" t="str">
        <f>HYPERLINK("http://collections.slsa.sa.gov.au/resource/B+76833")</f>
        <v>http://collections.slsa.sa.gov.au/resource/B+76833</v>
      </c>
    </row>
    <row r="12704" spans="1:11" x14ac:dyDescent="0.25">
      <c r="A12704" t="s">
        <v>38786</v>
      </c>
      <c r="B12704" s="1" t="str">
        <f>HYPERLINK("https://www.catalog.slsa.sa.gov.au/record=b3191399")</f>
        <v>https://www.catalog.slsa.sa.gov.au/record=b3191399</v>
      </c>
      <c r="C12704" s="1" t="str">
        <f>HYPERLINK("https://www.catalog.slsa.sa.gov.au/xrecord=b3191399")</f>
        <v>https://www.catalog.slsa.sa.gov.au/xrecord=b3191399</v>
      </c>
      <c r="D12704" t="s">
        <v>31636</v>
      </c>
      <c r="E12704" t="s">
        <v>38724</v>
      </c>
      <c r="F12704" t="s">
        <v>38720</v>
      </c>
      <c r="G12704" t="s">
        <v>38456</v>
      </c>
      <c r="H12704" t="s">
        <v>38787</v>
      </c>
      <c r="I12704" t="s">
        <v>38788</v>
      </c>
      <c r="J12704" t="s">
        <v>24160</v>
      </c>
      <c r="K12704" s="2" t="str">
        <f>HYPERLINK("http://collections.slsa.sa.gov.au/resource/B+76834")</f>
        <v>http://collections.slsa.sa.gov.au/resource/B+76834</v>
      </c>
    </row>
    <row r="12705" spans="1:11" x14ac:dyDescent="0.25">
      <c r="A12705" t="s">
        <v>38789</v>
      </c>
      <c r="B12705" s="1" t="str">
        <f>HYPERLINK("https://www.catalog.slsa.sa.gov.au/record=b3191409")</f>
        <v>https://www.catalog.slsa.sa.gov.au/record=b3191409</v>
      </c>
      <c r="C12705" s="1" t="str">
        <f>HYPERLINK("https://www.catalog.slsa.sa.gov.au/xrecord=b3191409")</f>
        <v>https://www.catalog.slsa.sa.gov.au/xrecord=b3191409</v>
      </c>
      <c r="D12705" t="s">
        <v>31636</v>
      </c>
      <c r="E12705" t="s">
        <v>38724</v>
      </c>
      <c r="F12705" t="s">
        <v>38720</v>
      </c>
      <c r="G12705" t="s">
        <v>38456</v>
      </c>
      <c r="H12705" t="s">
        <v>38790</v>
      </c>
      <c r="I12705" t="s">
        <v>38736</v>
      </c>
      <c r="J12705" t="s">
        <v>24160</v>
      </c>
      <c r="K12705" s="2" t="str">
        <f>HYPERLINK("http://collections.slsa.sa.gov.au/resource/B+76835")</f>
        <v>http://collections.slsa.sa.gov.au/resource/B+76835</v>
      </c>
    </row>
    <row r="12706" spans="1:11" x14ac:dyDescent="0.25">
      <c r="A12706" t="s">
        <v>38791</v>
      </c>
      <c r="B12706" s="1" t="str">
        <f>HYPERLINK("https://www.catalog.slsa.sa.gov.au/record=b3191880")</f>
        <v>https://www.catalog.slsa.sa.gov.au/record=b3191880</v>
      </c>
      <c r="C12706" s="1" t="str">
        <f>HYPERLINK("https://www.catalog.slsa.sa.gov.au/xrecord=b3191880")</f>
        <v>https://www.catalog.slsa.sa.gov.au/xrecord=b3191880</v>
      </c>
      <c r="D12706" t="s">
        <v>31636</v>
      </c>
      <c r="E12706" t="s">
        <v>38724</v>
      </c>
      <c r="F12706" t="s">
        <v>38720</v>
      </c>
      <c r="G12706" t="s">
        <v>38456</v>
      </c>
      <c r="H12706" t="s">
        <v>38792</v>
      </c>
      <c r="I12706" t="s">
        <v>38793</v>
      </c>
      <c r="J12706" t="s">
        <v>24160</v>
      </c>
      <c r="K12706" s="2" t="str">
        <f>HYPERLINK("http://collections.slsa.sa.gov.au/resource/B+76836")</f>
        <v>http://collections.slsa.sa.gov.au/resource/B+76836</v>
      </c>
    </row>
    <row r="12707" spans="1:11" x14ac:dyDescent="0.25">
      <c r="A12707" t="s">
        <v>38794</v>
      </c>
      <c r="B12707" s="1" t="str">
        <f>HYPERLINK("https://www.catalog.slsa.sa.gov.au/record=b3191881")</f>
        <v>https://www.catalog.slsa.sa.gov.au/record=b3191881</v>
      </c>
      <c r="C12707" s="1" t="str">
        <f>HYPERLINK("https://www.catalog.slsa.sa.gov.au/xrecord=b3191881")</f>
        <v>https://www.catalog.slsa.sa.gov.au/xrecord=b3191881</v>
      </c>
      <c r="D12707" t="s">
        <v>31636</v>
      </c>
      <c r="E12707" t="s">
        <v>38724</v>
      </c>
      <c r="F12707" t="s">
        <v>38720</v>
      </c>
      <c r="G12707" t="s">
        <v>38456</v>
      </c>
      <c r="H12707" t="s">
        <v>38795</v>
      </c>
      <c r="I12707" t="s">
        <v>38796</v>
      </c>
      <c r="J12707" t="s">
        <v>24160</v>
      </c>
      <c r="K12707" s="2" t="str">
        <f>HYPERLINK("http://collections.slsa.sa.gov.au/resource/B+76837")</f>
        <v>http://collections.slsa.sa.gov.au/resource/B+76837</v>
      </c>
    </row>
    <row r="12708" spans="1:11" x14ac:dyDescent="0.25">
      <c r="A12708" t="s">
        <v>38797</v>
      </c>
      <c r="B12708" s="1" t="str">
        <f>HYPERLINK("https://www.catalog.slsa.sa.gov.au/record=b3191883")</f>
        <v>https://www.catalog.slsa.sa.gov.au/record=b3191883</v>
      </c>
      <c r="C12708" s="1" t="str">
        <f>HYPERLINK("https://www.catalog.slsa.sa.gov.au/xrecord=b3191883")</f>
        <v>https://www.catalog.slsa.sa.gov.au/xrecord=b3191883</v>
      </c>
      <c r="D12708" t="s">
        <v>31636</v>
      </c>
      <c r="E12708" t="s">
        <v>38724</v>
      </c>
      <c r="F12708" t="s">
        <v>38720</v>
      </c>
      <c r="G12708" t="s">
        <v>38456</v>
      </c>
      <c r="H12708" t="s">
        <v>38798</v>
      </c>
      <c r="I12708" t="s">
        <v>38799</v>
      </c>
      <c r="J12708" t="s">
        <v>24160</v>
      </c>
      <c r="K12708" s="2" t="str">
        <f>HYPERLINK("http://collections.slsa.sa.gov.au/resource/B+76838")</f>
        <v>http://collections.slsa.sa.gov.au/resource/B+76838</v>
      </c>
    </row>
    <row r="12709" spans="1:11" x14ac:dyDescent="0.25">
      <c r="A12709" t="s">
        <v>38800</v>
      </c>
      <c r="B12709" s="1" t="str">
        <f>HYPERLINK("https://www.catalog.slsa.sa.gov.au/record=b3191884")</f>
        <v>https://www.catalog.slsa.sa.gov.au/record=b3191884</v>
      </c>
      <c r="C12709" s="1" t="str">
        <f>HYPERLINK("https://www.catalog.slsa.sa.gov.au/xrecord=b3191884")</f>
        <v>https://www.catalog.slsa.sa.gov.au/xrecord=b3191884</v>
      </c>
      <c r="D12709" t="s">
        <v>31636</v>
      </c>
      <c r="E12709" t="s">
        <v>38724</v>
      </c>
      <c r="F12709" t="s">
        <v>38720</v>
      </c>
      <c r="G12709" t="s">
        <v>38456</v>
      </c>
      <c r="H12709" t="s">
        <v>38801</v>
      </c>
      <c r="I12709" t="s">
        <v>38802</v>
      </c>
      <c r="J12709" t="s">
        <v>38137</v>
      </c>
      <c r="K12709" s="2" t="str">
        <f>HYPERLINK("http://collections.slsa.sa.gov.au/resource/B+76839")</f>
        <v>http://collections.slsa.sa.gov.au/resource/B+76839</v>
      </c>
    </row>
    <row r="12710" spans="1:11" x14ac:dyDescent="0.25">
      <c r="A12710" t="s">
        <v>38803</v>
      </c>
      <c r="B12710" s="1" t="str">
        <f>HYPERLINK("https://www.catalog.slsa.sa.gov.au/record=b3191885")</f>
        <v>https://www.catalog.slsa.sa.gov.au/record=b3191885</v>
      </c>
      <c r="C12710" s="1" t="str">
        <f>HYPERLINK("https://www.catalog.slsa.sa.gov.au/xrecord=b3191885")</f>
        <v>https://www.catalog.slsa.sa.gov.au/xrecord=b3191885</v>
      </c>
      <c r="D12710" t="s">
        <v>31636</v>
      </c>
      <c r="E12710" t="s">
        <v>38724</v>
      </c>
      <c r="F12710" t="s">
        <v>38720</v>
      </c>
      <c r="G12710" t="s">
        <v>38456</v>
      </c>
      <c r="H12710" t="s">
        <v>38804</v>
      </c>
      <c r="I12710" t="s">
        <v>38805</v>
      </c>
      <c r="J12710" t="s">
        <v>38137</v>
      </c>
      <c r="K12710" s="2" t="str">
        <f>HYPERLINK("http://collections.slsa.sa.gov.au/resource/B+76840")</f>
        <v>http://collections.slsa.sa.gov.au/resource/B+76840</v>
      </c>
    </row>
    <row r="12711" spans="1:11" x14ac:dyDescent="0.25">
      <c r="A12711" t="s">
        <v>38806</v>
      </c>
      <c r="B12711" s="1" t="str">
        <f>HYPERLINK("https://www.catalog.slsa.sa.gov.au/record=b3191887")</f>
        <v>https://www.catalog.slsa.sa.gov.au/record=b3191887</v>
      </c>
      <c r="C12711" s="1" t="str">
        <f>HYPERLINK("https://www.catalog.slsa.sa.gov.au/xrecord=b3191887")</f>
        <v>https://www.catalog.slsa.sa.gov.au/xrecord=b3191887</v>
      </c>
      <c r="D12711" t="s">
        <v>31636</v>
      </c>
      <c r="E12711" t="s">
        <v>38724</v>
      </c>
      <c r="F12711" t="s">
        <v>38720</v>
      </c>
      <c r="G12711" t="s">
        <v>38709</v>
      </c>
      <c r="H12711" t="s">
        <v>38807</v>
      </c>
      <c r="I12711" t="s">
        <v>38808</v>
      </c>
      <c r="J12711" t="s">
        <v>38137</v>
      </c>
      <c r="K12711" s="2" t="str">
        <f>HYPERLINK("http://collections.slsa.sa.gov.au/resource/B+76841")</f>
        <v>http://collections.slsa.sa.gov.au/resource/B+76841</v>
      </c>
    </row>
    <row r="12712" spans="1:11" x14ac:dyDescent="0.25">
      <c r="A12712" t="s">
        <v>38809</v>
      </c>
      <c r="B12712" s="1" t="str">
        <f>HYPERLINK("https://www.catalog.slsa.sa.gov.au/record=b3191888")</f>
        <v>https://www.catalog.slsa.sa.gov.au/record=b3191888</v>
      </c>
      <c r="C12712" s="1" t="str">
        <f>HYPERLINK("https://www.catalog.slsa.sa.gov.au/xrecord=b3191888")</f>
        <v>https://www.catalog.slsa.sa.gov.au/xrecord=b3191888</v>
      </c>
      <c r="D12712" t="s">
        <v>31636</v>
      </c>
      <c r="E12712" t="s">
        <v>38724</v>
      </c>
      <c r="F12712" t="s">
        <v>38720</v>
      </c>
      <c r="G12712" t="s">
        <v>38709</v>
      </c>
      <c r="H12712" t="s">
        <v>38810</v>
      </c>
      <c r="I12712" t="s">
        <v>38811</v>
      </c>
      <c r="J12712" t="s">
        <v>38137</v>
      </c>
      <c r="K12712" s="2" t="str">
        <f>HYPERLINK("http://collections.slsa.sa.gov.au/resource/B+76842")</f>
        <v>http://collections.slsa.sa.gov.au/resource/B+76842</v>
      </c>
    </row>
    <row r="12713" spans="1:11" x14ac:dyDescent="0.25">
      <c r="A12713" t="s">
        <v>38812</v>
      </c>
      <c r="B12713" s="1" t="str">
        <f>HYPERLINK("https://www.catalog.slsa.sa.gov.au/record=b3191890")</f>
        <v>https://www.catalog.slsa.sa.gov.au/record=b3191890</v>
      </c>
      <c r="C12713" s="1" t="str">
        <f>HYPERLINK("https://www.catalog.slsa.sa.gov.au/xrecord=b3191890")</f>
        <v>https://www.catalog.slsa.sa.gov.au/xrecord=b3191890</v>
      </c>
      <c r="D12713" t="s">
        <v>31636</v>
      </c>
      <c r="E12713" t="s">
        <v>38724</v>
      </c>
      <c r="F12713" t="s">
        <v>38720</v>
      </c>
      <c r="G12713" t="s">
        <v>38709</v>
      </c>
      <c r="H12713" t="s">
        <v>38813</v>
      </c>
      <c r="I12713" t="s">
        <v>38814</v>
      </c>
      <c r="J12713" t="s">
        <v>38137</v>
      </c>
      <c r="K12713" s="2" t="str">
        <f>HYPERLINK("http://collections.slsa.sa.gov.au/resource/B+76843")</f>
        <v>http://collections.slsa.sa.gov.au/resource/B+76843</v>
      </c>
    </row>
    <row r="12714" spans="1:11" x14ac:dyDescent="0.25">
      <c r="A12714" t="s">
        <v>38815</v>
      </c>
      <c r="B12714" s="1" t="str">
        <f>HYPERLINK("https://www.catalog.slsa.sa.gov.au/record=b3191891")</f>
        <v>https://www.catalog.slsa.sa.gov.au/record=b3191891</v>
      </c>
      <c r="C12714" s="1" t="str">
        <f>HYPERLINK("https://www.catalog.slsa.sa.gov.au/xrecord=b3191891")</f>
        <v>https://www.catalog.slsa.sa.gov.au/xrecord=b3191891</v>
      </c>
      <c r="D12714" t="s">
        <v>31636</v>
      </c>
      <c r="E12714" t="s">
        <v>38724</v>
      </c>
      <c r="F12714" t="s">
        <v>38720</v>
      </c>
      <c r="G12714" t="s">
        <v>38456</v>
      </c>
      <c r="H12714" t="s">
        <v>38810</v>
      </c>
      <c r="I12714" t="s">
        <v>38811</v>
      </c>
      <c r="J12714" t="s">
        <v>38137</v>
      </c>
      <c r="K12714" s="2" t="str">
        <f>HYPERLINK("http://collections.slsa.sa.gov.au/resource/B+76844")</f>
        <v>http://collections.slsa.sa.gov.au/resource/B+76844</v>
      </c>
    </row>
    <row r="12715" spans="1:11" x14ac:dyDescent="0.25">
      <c r="A12715" t="s">
        <v>38816</v>
      </c>
      <c r="B12715" s="1" t="str">
        <f>HYPERLINK("https://www.catalog.slsa.sa.gov.au/record=b3199590")</f>
        <v>https://www.catalog.slsa.sa.gov.au/record=b3199590</v>
      </c>
      <c r="C12715" s="1" t="str">
        <f>HYPERLINK("https://www.catalog.slsa.sa.gov.au/xrecord=b3199590")</f>
        <v>https://www.catalog.slsa.sa.gov.au/xrecord=b3199590</v>
      </c>
      <c r="D12715" t="s">
        <v>31636</v>
      </c>
      <c r="E12715" t="s">
        <v>38817</v>
      </c>
      <c r="F12715" t="s">
        <v>38818</v>
      </c>
      <c r="G12715" t="s">
        <v>38709</v>
      </c>
      <c r="H12715" t="s">
        <v>38819</v>
      </c>
      <c r="I12715" t="s">
        <v>38820</v>
      </c>
      <c r="J12715" t="s">
        <v>38821</v>
      </c>
      <c r="K12715" s="2" t="str">
        <f>HYPERLINK("http://collections.slsa.sa.gov.au/resource/B+77210")</f>
        <v>http://collections.slsa.sa.gov.au/resource/B+77210</v>
      </c>
    </row>
    <row r="12716" spans="1:11" x14ac:dyDescent="0.25">
      <c r="A12716" t="s">
        <v>38822</v>
      </c>
      <c r="B12716" s="1" t="str">
        <f>HYPERLINK("https://www.catalog.slsa.sa.gov.au/record=b3199591")</f>
        <v>https://www.catalog.slsa.sa.gov.au/record=b3199591</v>
      </c>
      <c r="C12716" s="1" t="str">
        <f>HYPERLINK("https://www.catalog.slsa.sa.gov.au/xrecord=b3199591")</f>
        <v>https://www.catalog.slsa.sa.gov.au/xrecord=b3199591</v>
      </c>
      <c r="D12716" t="s">
        <v>31636</v>
      </c>
      <c r="E12716" t="s">
        <v>38817</v>
      </c>
      <c r="F12716" t="s">
        <v>38818</v>
      </c>
      <c r="G12716" t="s">
        <v>38456</v>
      </c>
      <c r="H12716" t="s">
        <v>38823</v>
      </c>
      <c r="I12716" t="s">
        <v>38820</v>
      </c>
      <c r="J12716" t="s">
        <v>38821</v>
      </c>
      <c r="K12716" s="2" t="str">
        <f>HYPERLINK("http://collections.slsa.sa.gov.au/resource/B+77211")</f>
        <v>http://collections.slsa.sa.gov.au/resource/B+77211</v>
      </c>
    </row>
    <row r="12717" spans="1:11" x14ac:dyDescent="0.25">
      <c r="A12717" t="s">
        <v>38824</v>
      </c>
      <c r="B12717" s="1" t="str">
        <f>HYPERLINK("https://www.catalog.slsa.sa.gov.au/record=b3199592")</f>
        <v>https://www.catalog.slsa.sa.gov.au/record=b3199592</v>
      </c>
      <c r="C12717" s="1" t="str">
        <f>HYPERLINK("https://www.catalog.slsa.sa.gov.au/xrecord=b3199592")</f>
        <v>https://www.catalog.slsa.sa.gov.au/xrecord=b3199592</v>
      </c>
      <c r="D12717" t="s">
        <v>31636</v>
      </c>
      <c r="E12717" t="s">
        <v>38817</v>
      </c>
      <c r="F12717" t="s">
        <v>38818</v>
      </c>
      <c r="G12717" t="s">
        <v>38709</v>
      </c>
      <c r="H12717" t="s">
        <v>38825</v>
      </c>
      <c r="I12717" t="s">
        <v>38820</v>
      </c>
      <c r="J12717" t="s">
        <v>38821</v>
      </c>
      <c r="K12717" s="2" t="str">
        <f>HYPERLINK("http://collections.slsa.sa.gov.au/resource/B+77212")</f>
        <v>http://collections.slsa.sa.gov.au/resource/B+77212</v>
      </c>
    </row>
    <row r="12718" spans="1:11" x14ac:dyDescent="0.25">
      <c r="A12718" t="s">
        <v>38826</v>
      </c>
      <c r="B12718" s="1" t="str">
        <f>HYPERLINK("https://www.catalog.slsa.sa.gov.au/record=b3199601")</f>
        <v>https://www.catalog.slsa.sa.gov.au/record=b3199601</v>
      </c>
      <c r="C12718" s="1" t="str">
        <f>HYPERLINK("https://www.catalog.slsa.sa.gov.au/xrecord=b3199601")</f>
        <v>https://www.catalog.slsa.sa.gov.au/xrecord=b3199601</v>
      </c>
      <c r="D12718" t="s">
        <v>31636</v>
      </c>
      <c r="E12718" t="s">
        <v>38817</v>
      </c>
      <c r="F12718" t="s">
        <v>38818</v>
      </c>
      <c r="G12718" t="s">
        <v>38456</v>
      </c>
      <c r="H12718" t="s">
        <v>38825</v>
      </c>
      <c r="I12718" t="s">
        <v>38820</v>
      </c>
      <c r="J12718" t="s">
        <v>38821</v>
      </c>
      <c r="K12718" s="2" t="str">
        <f>HYPERLINK("http://collections.slsa.sa.gov.au/resource/B+77213")</f>
        <v>http://collections.slsa.sa.gov.au/resource/B+77213</v>
      </c>
    </row>
    <row r="12719" spans="1:11" x14ac:dyDescent="0.25">
      <c r="A12719" t="s">
        <v>38827</v>
      </c>
      <c r="B12719" s="1" t="str">
        <f>HYPERLINK("https://www.catalog.slsa.sa.gov.au/record=b3199602")</f>
        <v>https://www.catalog.slsa.sa.gov.au/record=b3199602</v>
      </c>
      <c r="C12719" s="1" t="str">
        <f>HYPERLINK("https://www.catalog.slsa.sa.gov.au/xrecord=b3199602")</f>
        <v>https://www.catalog.slsa.sa.gov.au/xrecord=b3199602</v>
      </c>
      <c r="D12719" t="s">
        <v>31636</v>
      </c>
      <c r="E12719" t="s">
        <v>38817</v>
      </c>
      <c r="F12719" t="s">
        <v>38818</v>
      </c>
      <c r="G12719" t="s">
        <v>38709</v>
      </c>
      <c r="H12719" t="s">
        <v>38825</v>
      </c>
      <c r="I12719" t="s">
        <v>38820</v>
      </c>
      <c r="J12719" t="s">
        <v>38821</v>
      </c>
      <c r="K12719" s="2" t="str">
        <f>HYPERLINK("http://collections.slsa.sa.gov.au/resource/B+77214")</f>
        <v>http://collections.slsa.sa.gov.au/resource/B+77214</v>
      </c>
    </row>
    <row r="12720" spans="1:11" x14ac:dyDescent="0.25">
      <c r="A12720" t="s">
        <v>38828</v>
      </c>
      <c r="B12720" s="1" t="str">
        <f>HYPERLINK("https://www.catalog.slsa.sa.gov.au/record=b3199633")</f>
        <v>https://www.catalog.slsa.sa.gov.au/record=b3199633</v>
      </c>
      <c r="C12720" s="1" t="str">
        <f>HYPERLINK("https://www.catalog.slsa.sa.gov.au/xrecord=b3199633")</f>
        <v>https://www.catalog.slsa.sa.gov.au/xrecord=b3199633</v>
      </c>
      <c r="D12720" t="s">
        <v>31636</v>
      </c>
      <c r="E12720" t="s">
        <v>38817</v>
      </c>
      <c r="F12720" t="s">
        <v>38818</v>
      </c>
      <c r="G12720" t="s">
        <v>38456</v>
      </c>
      <c r="H12720" t="s">
        <v>38829</v>
      </c>
      <c r="I12720" t="s">
        <v>38820</v>
      </c>
      <c r="J12720" t="s">
        <v>38821</v>
      </c>
      <c r="K12720" s="2" t="str">
        <f>HYPERLINK("http://collections.slsa.sa.gov.au/resource/B+77215")</f>
        <v>http://collections.slsa.sa.gov.au/resource/B+77215</v>
      </c>
    </row>
    <row r="12721" spans="1:11" x14ac:dyDescent="0.25">
      <c r="A12721" t="s">
        <v>38830</v>
      </c>
      <c r="B12721" s="1" t="str">
        <f>HYPERLINK("https://www.catalog.slsa.sa.gov.au/record=b3199637")</f>
        <v>https://www.catalog.slsa.sa.gov.au/record=b3199637</v>
      </c>
      <c r="C12721" s="1" t="str">
        <f>HYPERLINK("https://www.catalog.slsa.sa.gov.au/xrecord=b3199637")</f>
        <v>https://www.catalog.slsa.sa.gov.au/xrecord=b3199637</v>
      </c>
      <c r="D12721" t="s">
        <v>31636</v>
      </c>
      <c r="E12721" t="s">
        <v>38817</v>
      </c>
      <c r="F12721" t="s">
        <v>38818</v>
      </c>
      <c r="G12721" t="s">
        <v>38456</v>
      </c>
      <c r="H12721" t="s">
        <v>38831</v>
      </c>
      <c r="I12721" t="s">
        <v>38832</v>
      </c>
      <c r="J12721" t="s">
        <v>38821</v>
      </c>
      <c r="K12721" s="2" t="str">
        <f>HYPERLINK("http://collections.slsa.sa.gov.au/resource/B+77216")</f>
        <v>http://collections.slsa.sa.gov.au/resource/B+77216</v>
      </c>
    </row>
    <row r="12722" spans="1:11" x14ac:dyDescent="0.25">
      <c r="A12722" t="s">
        <v>38833</v>
      </c>
      <c r="B12722" s="1" t="str">
        <f>HYPERLINK("https://www.catalog.slsa.sa.gov.au/record=b3199642")</f>
        <v>https://www.catalog.slsa.sa.gov.au/record=b3199642</v>
      </c>
      <c r="C12722" s="1" t="str">
        <f>HYPERLINK("https://www.catalog.slsa.sa.gov.au/xrecord=b3199642")</f>
        <v>https://www.catalog.slsa.sa.gov.au/xrecord=b3199642</v>
      </c>
      <c r="D12722" t="s">
        <v>31636</v>
      </c>
      <c r="E12722" t="s">
        <v>38817</v>
      </c>
      <c r="F12722" t="s">
        <v>38818</v>
      </c>
      <c r="G12722" t="s">
        <v>38709</v>
      </c>
      <c r="H12722" t="s">
        <v>38834</v>
      </c>
      <c r="I12722" t="s">
        <v>38832</v>
      </c>
      <c r="J12722" t="s">
        <v>38821</v>
      </c>
      <c r="K12722" s="2" t="str">
        <f>HYPERLINK("http://collections.slsa.sa.gov.au/resource/B+77217")</f>
        <v>http://collections.slsa.sa.gov.au/resource/B+77217</v>
      </c>
    </row>
    <row r="12723" spans="1:11" x14ac:dyDescent="0.25">
      <c r="A12723" t="s">
        <v>38835</v>
      </c>
      <c r="B12723" s="1" t="str">
        <f>HYPERLINK("https://www.catalog.slsa.sa.gov.au/record=b3199647")</f>
        <v>https://www.catalog.slsa.sa.gov.au/record=b3199647</v>
      </c>
      <c r="C12723" s="1" t="str">
        <f>HYPERLINK("https://www.catalog.slsa.sa.gov.au/xrecord=b3199647")</f>
        <v>https://www.catalog.slsa.sa.gov.au/xrecord=b3199647</v>
      </c>
      <c r="D12723" t="s">
        <v>31636</v>
      </c>
      <c r="E12723" t="s">
        <v>38817</v>
      </c>
      <c r="F12723" t="s">
        <v>38818</v>
      </c>
      <c r="G12723" t="s">
        <v>38456</v>
      </c>
      <c r="H12723" t="s">
        <v>38834</v>
      </c>
      <c r="I12723" t="s">
        <v>38832</v>
      </c>
      <c r="J12723" t="s">
        <v>38821</v>
      </c>
      <c r="K12723" s="2" t="str">
        <f>HYPERLINK("http://collections.slsa.sa.gov.au/resource/B+77218")</f>
        <v>http://collections.slsa.sa.gov.au/resource/B+77218</v>
      </c>
    </row>
    <row r="12724" spans="1:11" x14ac:dyDescent="0.25">
      <c r="A12724" t="s">
        <v>38836</v>
      </c>
      <c r="B12724" s="1" t="str">
        <f>HYPERLINK("https://www.catalog.slsa.sa.gov.au/record=b3199648")</f>
        <v>https://www.catalog.slsa.sa.gov.au/record=b3199648</v>
      </c>
      <c r="C12724" s="1" t="str">
        <f>HYPERLINK("https://www.catalog.slsa.sa.gov.au/xrecord=b3199648")</f>
        <v>https://www.catalog.slsa.sa.gov.au/xrecord=b3199648</v>
      </c>
      <c r="D12724" t="s">
        <v>31636</v>
      </c>
      <c r="E12724" t="s">
        <v>38817</v>
      </c>
      <c r="F12724" t="s">
        <v>38818</v>
      </c>
      <c r="G12724" t="s">
        <v>38456</v>
      </c>
      <c r="H12724" t="s">
        <v>38837</v>
      </c>
      <c r="I12724" t="s">
        <v>38832</v>
      </c>
      <c r="J12724" t="s">
        <v>38821</v>
      </c>
      <c r="K12724" s="2" t="str">
        <f>HYPERLINK("http://collections.slsa.sa.gov.au/resource/B+77219")</f>
        <v>http://collections.slsa.sa.gov.au/resource/B+77219</v>
      </c>
    </row>
    <row r="12725" spans="1:11" x14ac:dyDescent="0.25">
      <c r="A12725" t="s">
        <v>38838</v>
      </c>
      <c r="B12725" s="1" t="str">
        <f>HYPERLINK("https://www.catalog.slsa.sa.gov.au/record=b3199649")</f>
        <v>https://www.catalog.slsa.sa.gov.au/record=b3199649</v>
      </c>
      <c r="C12725" s="1" t="str">
        <f>HYPERLINK("https://www.catalog.slsa.sa.gov.au/xrecord=b3199649")</f>
        <v>https://www.catalog.slsa.sa.gov.au/xrecord=b3199649</v>
      </c>
      <c r="D12725" t="s">
        <v>31636</v>
      </c>
      <c r="E12725" t="s">
        <v>38817</v>
      </c>
      <c r="F12725" t="s">
        <v>38818</v>
      </c>
      <c r="G12725" t="s">
        <v>38456</v>
      </c>
      <c r="H12725" t="s">
        <v>38837</v>
      </c>
      <c r="I12725" t="s">
        <v>38832</v>
      </c>
      <c r="J12725" t="s">
        <v>38821</v>
      </c>
      <c r="K12725" s="2" t="str">
        <f>HYPERLINK("http://collections.slsa.sa.gov.au/resource/B+77220")</f>
        <v>http://collections.slsa.sa.gov.au/resource/B+77220</v>
      </c>
    </row>
    <row r="12726" spans="1:11" x14ac:dyDescent="0.25">
      <c r="A12726" t="s">
        <v>38839</v>
      </c>
      <c r="B12726" s="1" t="str">
        <f>HYPERLINK("https://www.catalog.slsa.sa.gov.au/record=b3199650")</f>
        <v>https://www.catalog.slsa.sa.gov.au/record=b3199650</v>
      </c>
      <c r="C12726" s="1" t="str">
        <f>HYPERLINK("https://www.catalog.slsa.sa.gov.au/xrecord=b3199650")</f>
        <v>https://www.catalog.slsa.sa.gov.au/xrecord=b3199650</v>
      </c>
      <c r="D12726" t="s">
        <v>31636</v>
      </c>
      <c r="E12726" t="s">
        <v>38817</v>
      </c>
      <c r="F12726" t="s">
        <v>38818</v>
      </c>
      <c r="G12726" t="s">
        <v>38456</v>
      </c>
      <c r="H12726" t="s">
        <v>38840</v>
      </c>
      <c r="I12726" t="s">
        <v>38841</v>
      </c>
      <c r="J12726" t="s">
        <v>38821</v>
      </c>
      <c r="K12726" s="2" t="str">
        <f>HYPERLINK("http://collections.slsa.sa.gov.au/resource/B+77221")</f>
        <v>http://collections.slsa.sa.gov.au/resource/B+77221</v>
      </c>
    </row>
    <row r="12727" spans="1:11" x14ac:dyDescent="0.25">
      <c r="A12727" t="s">
        <v>38842</v>
      </c>
      <c r="B12727" s="1" t="str">
        <f>HYPERLINK("https://www.catalog.slsa.sa.gov.au/record=b3199651")</f>
        <v>https://www.catalog.slsa.sa.gov.au/record=b3199651</v>
      </c>
      <c r="C12727" s="1" t="str">
        <f>HYPERLINK("https://www.catalog.slsa.sa.gov.au/xrecord=b3199651")</f>
        <v>https://www.catalog.slsa.sa.gov.au/xrecord=b3199651</v>
      </c>
      <c r="D12727" t="s">
        <v>31636</v>
      </c>
      <c r="E12727" t="s">
        <v>38817</v>
      </c>
      <c r="F12727" t="s">
        <v>38818</v>
      </c>
      <c r="G12727" t="s">
        <v>38709</v>
      </c>
      <c r="H12727" t="s">
        <v>38840</v>
      </c>
      <c r="I12727" t="s">
        <v>38841</v>
      </c>
      <c r="J12727" t="s">
        <v>38821</v>
      </c>
      <c r="K12727" s="2" t="str">
        <f>HYPERLINK("http://collections.slsa.sa.gov.au/resource/B+77222")</f>
        <v>http://collections.slsa.sa.gov.au/resource/B+77222</v>
      </c>
    </row>
    <row r="12728" spans="1:11" x14ac:dyDescent="0.25">
      <c r="A12728" t="s">
        <v>38843</v>
      </c>
      <c r="B12728" s="1" t="str">
        <f>HYPERLINK("https://www.catalog.slsa.sa.gov.au/record=b3199652")</f>
        <v>https://www.catalog.slsa.sa.gov.au/record=b3199652</v>
      </c>
      <c r="C12728" s="1" t="str">
        <f>HYPERLINK("https://www.catalog.slsa.sa.gov.au/xrecord=b3199652")</f>
        <v>https://www.catalog.slsa.sa.gov.au/xrecord=b3199652</v>
      </c>
      <c r="D12728" t="s">
        <v>31636</v>
      </c>
      <c r="E12728" t="s">
        <v>38817</v>
      </c>
      <c r="F12728" t="s">
        <v>38818</v>
      </c>
      <c r="G12728" t="s">
        <v>38456</v>
      </c>
      <c r="H12728" t="s">
        <v>38840</v>
      </c>
      <c r="I12728" t="s">
        <v>38841</v>
      </c>
      <c r="J12728" t="s">
        <v>38821</v>
      </c>
      <c r="K12728" s="2" t="str">
        <f>HYPERLINK("http://collections.slsa.sa.gov.au/resource/B+77223")</f>
        <v>http://collections.slsa.sa.gov.au/resource/B+77223</v>
      </c>
    </row>
    <row r="12729" spans="1:11" x14ac:dyDescent="0.25">
      <c r="A12729" t="s">
        <v>38844</v>
      </c>
      <c r="B12729" s="1" t="str">
        <f>HYPERLINK("https://www.catalog.slsa.sa.gov.au/record=b3199653")</f>
        <v>https://www.catalog.slsa.sa.gov.au/record=b3199653</v>
      </c>
      <c r="C12729" s="1" t="str">
        <f>HYPERLINK("https://www.catalog.slsa.sa.gov.au/xrecord=b3199653")</f>
        <v>https://www.catalog.slsa.sa.gov.au/xrecord=b3199653</v>
      </c>
      <c r="D12729" t="s">
        <v>31636</v>
      </c>
      <c r="E12729" t="s">
        <v>38817</v>
      </c>
      <c r="F12729" t="s">
        <v>38818</v>
      </c>
      <c r="G12729" t="s">
        <v>38456</v>
      </c>
      <c r="H12729" t="s">
        <v>38845</v>
      </c>
      <c r="I12729" t="s">
        <v>38820</v>
      </c>
      <c r="J12729" t="s">
        <v>38821</v>
      </c>
      <c r="K12729" s="2" t="str">
        <f>HYPERLINK("http://collections.slsa.sa.gov.au/resource/B+77224")</f>
        <v>http://collections.slsa.sa.gov.au/resource/B+77224</v>
      </c>
    </row>
    <row r="12730" spans="1:11" x14ac:dyDescent="0.25">
      <c r="A12730" t="s">
        <v>38846</v>
      </c>
      <c r="B12730" s="1" t="str">
        <f>HYPERLINK("https://www.catalog.slsa.sa.gov.au/record=b3199654")</f>
        <v>https://www.catalog.slsa.sa.gov.au/record=b3199654</v>
      </c>
      <c r="C12730" s="1" t="str">
        <f>HYPERLINK("https://www.catalog.slsa.sa.gov.au/xrecord=b3199654")</f>
        <v>https://www.catalog.slsa.sa.gov.au/xrecord=b3199654</v>
      </c>
      <c r="D12730" t="s">
        <v>31636</v>
      </c>
      <c r="E12730" t="s">
        <v>38817</v>
      </c>
      <c r="F12730" t="s">
        <v>38818</v>
      </c>
      <c r="G12730" t="s">
        <v>38709</v>
      </c>
      <c r="H12730" t="s">
        <v>38847</v>
      </c>
      <c r="I12730" t="s">
        <v>38848</v>
      </c>
      <c r="J12730" t="s">
        <v>38821</v>
      </c>
      <c r="K12730" s="2" t="str">
        <f>HYPERLINK("http://collections.slsa.sa.gov.au/resource/B+77225")</f>
        <v>http://collections.slsa.sa.gov.au/resource/B+77225</v>
      </c>
    </row>
    <row r="12731" spans="1:11" x14ac:dyDescent="0.25">
      <c r="A12731" t="s">
        <v>38849</v>
      </c>
      <c r="B12731" s="1" t="str">
        <f>HYPERLINK("https://www.catalog.slsa.sa.gov.au/record=b3199655")</f>
        <v>https://www.catalog.slsa.sa.gov.au/record=b3199655</v>
      </c>
      <c r="C12731" s="1" t="str">
        <f>HYPERLINK("https://www.catalog.slsa.sa.gov.au/xrecord=b3199655")</f>
        <v>https://www.catalog.slsa.sa.gov.au/xrecord=b3199655</v>
      </c>
      <c r="D12731" t="s">
        <v>31636</v>
      </c>
      <c r="E12731" t="s">
        <v>38817</v>
      </c>
      <c r="F12731" t="s">
        <v>38818</v>
      </c>
      <c r="G12731" t="s">
        <v>38709</v>
      </c>
      <c r="H12731" t="s">
        <v>38850</v>
      </c>
      <c r="I12731" t="s">
        <v>38848</v>
      </c>
      <c r="J12731" t="s">
        <v>38821</v>
      </c>
      <c r="K12731" s="2" t="str">
        <f>HYPERLINK("http://collections.slsa.sa.gov.au/resource/B+77226")</f>
        <v>http://collections.slsa.sa.gov.au/resource/B+77226</v>
      </c>
    </row>
    <row r="12732" spans="1:11" x14ac:dyDescent="0.25">
      <c r="A12732" t="s">
        <v>38851</v>
      </c>
      <c r="B12732" s="1" t="str">
        <f>HYPERLINK("https://www.catalog.slsa.sa.gov.au/record=b3199656")</f>
        <v>https://www.catalog.slsa.sa.gov.au/record=b3199656</v>
      </c>
      <c r="C12732" s="1" t="str">
        <f>HYPERLINK("https://www.catalog.slsa.sa.gov.au/xrecord=b3199656")</f>
        <v>https://www.catalog.slsa.sa.gov.au/xrecord=b3199656</v>
      </c>
      <c r="D12732" t="s">
        <v>31636</v>
      </c>
      <c r="E12732" t="s">
        <v>38817</v>
      </c>
      <c r="F12732" t="s">
        <v>38818</v>
      </c>
      <c r="G12732" t="s">
        <v>38709</v>
      </c>
      <c r="H12732" t="s">
        <v>38852</v>
      </c>
      <c r="I12732" t="s">
        <v>38853</v>
      </c>
      <c r="J12732" t="s">
        <v>38821</v>
      </c>
      <c r="K12732" s="2" t="str">
        <f>HYPERLINK("http://collections.slsa.sa.gov.au/resource/B+77227")</f>
        <v>http://collections.slsa.sa.gov.au/resource/B+77227</v>
      </c>
    </row>
    <row r="12733" spans="1:11" x14ac:dyDescent="0.25">
      <c r="A12733" t="s">
        <v>38854</v>
      </c>
      <c r="B12733" s="1" t="str">
        <f>HYPERLINK("https://www.catalog.slsa.sa.gov.au/record=b3199657")</f>
        <v>https://www.catalog.slsa.sa.gov.au/record=b3199657</v>
      </c>
      <c r="C12733" s="1" t="str">
        <f>HYPERLINK("https://www.catalog.slsa.sa.gov.au/xrecord=b3199657")</f>
        <v>https://www.catalog.slsa.sa.gov.au/xrecord=b3199657</v>
      </c>
      <c r="D12733" t="s">
        <v>31636</v>
      </c>
      <c r="E12733" t="s">
        <v>38817</v>
      </c>
      <c r="F12733" t="s">
        <v>38818</v>
      </c>
      <c r="G12733" t="s">
        <v>38709</v>
      </c>
      <c r="H12733" t="s">
        <v>38855</v>
      </c>
      <c r="I12733" t="s">
        <v>38853</v>
      </c>
      <c r="J12733" t="s">
        <v>38821</v>
      </c>
      <c r="K12733" s="2" t="str">
        <f>HYPERLINK("http://collections.slsa.sa.gov.au/resource/B+77228")</f>
        <v>http://collections.slsa.sa.gov.au/resource/B+77228</v>
      </c>
    </row>
    <row r="12734" spans="1:11" x14ac:dyDescent="0.25">
      <c r="A12734" t="s">
        <v>38856</v>
      </c>
      <c r="B12734" s="1" t="str">
        <f>HYPERLINK("https://www.catalog.slsa.sa.gov.au/record=b3199659")</f>
        <v>https://www.catalog.slsa.sa.gov.au/record=b3199659</v>
      </c>
      <c r="C12734" s="1" t="str">
        <f>HYPERLINK("https://www.catalog.slsa.sa.gov.au/xrecord=b3199659")</f>
        <v>https://www.catalog.slsa.sa.gov.au/xrecord=b3199659</v>
      </c>
      <c r="D12734" t="s">
        <v>31636</v>
      </c>
      <c r="E12734" t="s">
        <v>38817</v>
      </c>
      <c r="F12734" t="s">
        <v>38818</v>
      </c>
      <c r="G12734" t="s">
        <v>38709</v>
      </c>
      <c r="H12734" t="s">
        <v>38857</v>
      </c>
      <c r="I12734" t="s">
        <v>38858</v>
      </c>
      <c r="J12734" t="s">
        <v>38821</v>
      </c>
      <c r="K12734" s="2" t="str">
        <f>HYPERLINK("http://collections.slsa.sa.gov.au/resource/B+77229")</f>
        <v>http://collections.slsa.sa.gov.au/resource/B+77229</v>
      </c>
    </row>
    <row r="12735" spans="1:11" x14ac:dyDescent="0.25">
      <c r="A12735" t="s">
        <v>38859</v>
      </c>
      <c r="B12735" s="1" t="str">
        <f>HYPERLINK("https://www.catalog.slsa.sa.gov.au/record=b3199660")</f>
        <v>https://www.catalog.slsa.sa.gov.au/record=b3199660</v>
      </c>
      <c r="C12735" s="1" t="str">
        <f>HYPERLINK("https://www.catalog.slsa.sa.gov.au/xrecord=b3199660")</f>
        <v>https://www.catalog.slsa.sa.gov.au/xrecord=b3199660</v>
      </c>
      <c r="D12735" t="s">
        <v>31636</v>
      </c>
      <c r="E12735" t="s">
        <v>38817</v>
      </c>
      <c r="F12735" t="s">
        <v>38818</v>
      </c>
      <c r="G12735" t="s">
        <v>38709</v>
      </c>
      <c r="H12735" t="s">
        <v>38860</v>
      </c>
      <c r="I12735" t="s">
        <v>38861</v>
      </c>
      <c r="J12735" t="s">
        <v>38821</v>
      </c>
      <c r="K12735" s="2" t="str">
        <f>HYPERLINK("http://collections.slsa.sa.gov.au/resource/B+77230")</f>
        <v>http://collections.slsa.sa.gov.au/resource/B+77230</v>
      </c>
    </row>
    <row r="12736" spans="1:11" x14ac:dyDescent="0.25">
      <c r="A12736" t="s">
        <v>38862</v>
      </c>
      <c r="B12736" s="1" t="str">
        <f>HYPERLINK("https://www.catalog.slsa.sa.gov.au/record=b3199661")</f>
        <v>https://www.catalog.slsa.sa.gov.au/record=b3199661</v>
      </c>
      <c r="C12736" s="1" t="str">
        <f>HYPERLINK("https://www.catalog.slsa.sa.gov.au/xrecord=b3199661")</f>
        <v>https://www.catalog.slsa.sa.gov.au/xrecord=b3199661</v>
      </c>
      <c r="D12736" t="s">
        <v>31636</v>
      </c>
      <c r="E12736" t="s">
        <v>38817</v>
      </c>
      <c r="F12736" t="s">
        <v>38818</v>
      </c>
      <c r="G12736" t="s">
        <v>38709</v>
      </c>
      <c r="H12736" t="s">
        <v>38863</v>
      </c>
      <c r="I12736" t="s">
        <v>38864</v>
      </c>
      <c r="J12736" t="s">
        <v>38821</v>
      </c>
      <c r="K12736" s="2" t="str">
        <f>HYPERLINK("http://collections.slsa.sa.gov.au/resource/B+77231")</f>
        <v>http://collections.slsa.sa.gov.au/resource/B+77231</v>
      </c>
    </row>
    <row r="12737" spans="1:11" x14ac:dyDescent="0.25">
      <c r="A12737" t="s">
        <v>38865</v>
      </c>
      <c r="B12737" s="1" t="str">
        <f>HYPERLINK("https://www.catalog.slsa.sa.gov.au/record=b3199665")</f>
        <v>https://www.catalog.slsa.sa.gov.au/record=b3199665</v>
      </c>
      <c r="C12737" s="1" t="str">
        <f>HYPERLINK("https://www.catalog.slsa.sa.gov.au/xrecord=b3199665")</f>
        <v>https://www.catalog.slsa.sa.gov.au/xrecord=b3199665</v>
      </c>
      <c r="D12737" t="s">
        <v>31636</v>
      </c>
      <c r="E12737" t="s">
        <v>38817</v>
      </c>
      <c r="F12737" t="s">
        <v>38818</v>
      </c>
      <c r="G12737" t="s">
        <v>38709</v>
      </c>
      <c r="H12737" t="s">
        <v>38866</v>
      </c>
      <c r="I12737" t="s">
        <v>38867</v>
      </c>
      <c r="J12737" t="s">
        <v>38821</v>
      </c>
      <c r="K12737" s="2" t="str">
        <f>HYPERLINK("http://collections.slsa.sa.gov.au/resource/B+77232")</f>
        <v>http://collections.slsa.sa.gov.au/resource/B+77232</v>
      </c>
    </row>
    <row r="12738" spans="1:11" x14ac:dyDescent="0.25">
      <c r="A12738" t="s">
        <v>38868</v>
      </c>
      <c r="B12738" s="1" t="str">
        <f>HYPERLINK("https://www.catalog.slsa.sa.gov.au/record=b3199667")</f>
        <v>https://www.catalog.slsa.sa.gov.au/record=b3199667</v>
      </c>
      <c r="C12738" s="1" t="str">
        <f>HYPERLINK("https://www.catalog.slsa.sa.gov.au/xrecord=b3199667")</f>
        <v>https://www.catalog.slsa.sa.gov.au/xrecord=b3199667</v>
      </c>
      <c r="D12738" t="s">
        <v>31636</v>
      </c>
      <c r="E12738" t="s">
        <v>38817</v>
      </c>
      <c r="F12738" t="s">
        <v>38818</v>
      </c>
      <c r="G12738" t="s">
        <v>38709</v>
      </c>
      <c r="H12738" t="s">
        <v>38869</v>
      </c>
      <c r="I12738" t="s">
        <v>38867</v>
      </c>
      <c r="J12738" t="s">
        <v>38821</v>
      </c>
      <c r="K12738" s="2" t="str">
        <f>HYPERLINK("http://collections.slsa.sa.gov.au/resource/B+77233")</f>
        <v>http://collections.slsa.sa.gov.au/resource/B+77233</v>
      </c>
    </row>
    <row r="12739" spans="1:11" x14ac:dyDescent="0.25">
      <c r="A12739" t="s">
        <v>38870</v>
      </c>
      <c r="B12739" s="1" t="str">
        <f>HYPERLINK("https://www.catalog.slsa.sa.gov.au/record=b3199668")</f>
        <v>https://www.catalog.slsa.sa.gov.au/record=b3199668</v>
      </c>
      <c r="C12739" s="1" t="str">
        <f>HYPERLINK("https://www.catalog.slsa.sa.gov.au/xrecord=b3199668")</f>
        <v>https://www.catalog.slsa.sa.gov.au/xrecord=b3199668</v>
      </c>
      <c r="D12739" t="s">
        <v>31636</v>
      </c>
      <c r="E12739" t="s">
        <v>38817</v>
      </c>
      <c r="F12739" t="s">
        <v>38818</v>
      </c>
      <c r="G12739" t="s">
        <v>38456</v>
      </c>
      <c r="H12739" t="s">
        <v>38871</v>
      </c>
      <c r="I12739" t="s">
        <v>38872</v>
      </c>
      <c r="J12739" t="s">
        <v>38821</v>
      </c>
      <c r="K12739" s="2" t="str">
        <f>HYPERLINK("http://collections.slsa.sa.gov.au/resource/B+77234")</f>
        <v>http://collections.slsa.sa.gov.au/resource/B+77234</v>
      </c>
    </row>
    <row r="12740" spans="1:11" x14ac:dyDescent="0.25">
      <c r="A12740" t="s">
        <v>38873</v>
      </c>
      <c r="B12740" s="1" t="str">
        <f>HYPERLINK("https://www.catalog.slsa.sa.gov.au/record=b3199669")</f>
        <v>https://www.catalog.slsa.sa.gov.au/record=b3199669</v>
      </c>
      <c r="C12740" s="1" t="str">
        <f>HYPERLINK("https://www.catalog.slsa.sa.gov.au/xrecord=b3199669")</f>
        <v>https://www.catalog.slsa.sa.gov.au/xrecord=b3199669</v>
      </c>
      <c r="D12740" t="s">
        <v>31636</v>
      </c>
      <c r="E12740" t="s">
        <v>38817</v>
      </c>
      <c r="F12740" t="s">
        <v>38818</v>
      </c>
      <c r="G12740" t="s">
        <v>38456</v>
      </c>
      <c r="H12740" t="s">
        <v>38874</v>
      </c>
      <c r="I12740" t="s">
        <v>38875</v>
      </c>
      <c r="J12740" t="s">
        <v>38821</v>
      </c>
      <c r="K12740" s="2" t="str">
        <f>HYPERLINK("http://collections.slsa.sa.gov.au/resource/B+77235")</f>
        <v>http://collections.slsa.sa.gov.au/resource/B+77235</v>
      </c>
    </row>
    <row r="12741" spans="1:11" x14ac:dyDescent="0.25">
      <c r="A12741" t="s">
        <v>38876</v>
      </c>
      <c r="B12741" s="1" t="str">
        <f>HYPERLINK("https://www.catalog.slsa.sa.gov.au/record=b3199674")</f>
        <v>https://www.catalog.slsa.sa.gov.au/record=b3199674</v>
      </c>
      <c r="C12741" s="1" t="str">
        <f>HYPERLINK("https://www.catalog.slsa.sa.gov.au/xrecord=b3199674")</f>
        <v>https://www.catalog.slsa.sa.gov.au/xrecord=b3199674</v>
      </c>
      <c r="D12741" t="s">
        <v>31636</v>
      </c>
      <c r="E12741" t="s">
        <v>38817</v>
      </c>
      <c r="F12741" t="s">
        <v>38818</v>
      </c>
      <c r="G12741" t="s">
        <v>38456</v>
      </c>
      <c r="H12741" t="s">
        <v>38877</v>
      </c>
      <c r="I12741" t="s">
        <v>38878</v>
      </c>
      <c r="J12741" t="s">
        <v>38821</v>
      </c>
      <c r="K12741" s="2" t="str">
        <f>HYPERLINK("http://collections.slsa.sa.gov.au/resource/B+77236")</f>
        <v>http://collections.slsa.sa.gov.au/resource/B+77236</v>
      </c>
    </row>
    <row r="12742" spans="1:11" x14ac:dyDescent="0.25">
      <c r="A12742" t="s">
        <v>38879</v>
      </c>
      <c r="B12742" s="1" t="str">
        <f>HYPERLINK("https://www.catalog.slsa.sa.gov.au/record=b3199677")</f>
        <v>https://www.catalog.slsa.sa.gov.au/record=b3199677</v>
      </c>
      <c r="C12742" s="1" t="str">
        <f>HYPERLINK("https://www.catalog.slsa.sa.gov.au/xrecord=b3199677")</f>
        <v>https://www.catalog.slsa.sa.gov.au/xrecord=b3199677</v>
      </c>
      <c r="D12742" t="s">
        <v>31636</v>
      </c>
      <c r="E12742" t="s">
        <v>38817</v>
      </c>
      <c r="F12742" t="s">
        <v>38818</v>
      </c>
      <c r="G12742" t="s">
        <v>38709</v>
      </c>
      <c r="H12742" t="s">
        <v>38877</v>
      </c>
      <c r="I12742" t="s">
        <v>38878</v>
      </c>
      <c r="J12742" t="s">
        <v>38821</v>
      </c>
      <c r="K12742" s="2" t="str">
        <f>HYPERLINK("http://collections.slsa.sa.gov.au/resource/B+77237")</f>
        <v>http://collections.slsa.sa.gov.au/resource/B+77237</v>
      </c>
    </row>
    <row r="12743" spans="1:11" x14ac:dyDescent="0.25">
      <c r="A12743" t="s">
        <v>38880</v>
      </c>
      <c r="B12743" s="1" t="str">
        <f>HYPERLINK("https://www.catalog.slsa.sa.gov.au/record=b3199679")</f>
        <v>https://www.catalog.slsa.sa.gov.au/record=b3199679</v>
      </c>
      <c r="C12743" s="1" t="str">
        <f>HYPERLINK("https://www.catalog.slsa.sa.gov.au/xrecord=b3199679")</f>
        <v>https://www.catalog.slsa.sa.gov.au/xrecord=b3199679</v>
      </c>
      <c r="D12743" t="s">
        <v>31636</v>
      </c>
      <c r="E12743" t="s">
        <v>38817</v>
      </c>
      <c r="F12743" t="s">
        <v>38818</v>
      </c>
      <c r="G12743" t="s">
        <v>38456</v>
      </c>
      <c r="H12743" t="s">
        <v>38881</v>
      </c>
      <c r="I12743" t="s">
        <v>38882</v>
      </c>
      <c r="J12743" t="s">
        <v>38821</v>
      </c>
      <c r="K12743" s="2" t="str">
        <f>HYPERLINK("http://collections.slsa.sa.gov.au/resource/B+77238")</f>
        <v>http://collections.slsa.sa.gov.au/resource/B+77238</v>
      </c>
    </row>
    <row r="12744" spans="1:11" x14ac:dyDescent="0.25">
      <c r="A12744" t="s">
        <v>38883</v>
      </c>
      <c r="B12744" s="1" t="str">
        <f>HYPERLINK("https://www.catalog.slsa.sa.gov.au/record=b3199681")</f>
        <v>https://www.catalog.slsa.sa.gov.au/record=b3199681</v>
      </c>
      <c r="C12744" s="1" t="str">
        <f>HYPERLINK("https://www.catalog.slsa.sa.gov.au/xrecord=b3199681")</f>
        <v>https://www.catalog.slsa.sa.gov.au/xrecord=b3199681</v>
      </c>
      <c r="D12744" t="s">
        <v>31636</v>
      </c>
      <c r="E12744" t="s">
        <v>38817</v>
      </c>
      <c r="F12744" t="s">
        <v>38818</v>
      </c>
      <c r="G12744" t="s">
        <v>38456</v>
      </c>
      <c r="H12744" t="s">
        <v>38884</v>
      </c>
      <c r="I12744" t="s">
        <v>38885</v>
      </c>
      <c r="J12744" t="s">
        <v>38821</v>
      </c>
      <c r="K12744" s="2" t="str">
        <f>HYPERLINK("http://collections.slsa.sa.gov.au/resource/B+77239")</f>
        <v>http://collections.slsa.sa.gov.au/resource/B+77239</v>
      </c>
    </row>
    <row r="12745" spans="1:11" x14ac:dyDescent="0.25">
      <c r="A12745" t="s">
        <v>38886</v>
      </c>
      <c r="B12745" s="1" t="str">
        <f>HYPERLINK("https://www.catalog.slsa.sa.gov.au/record=b3199682")</f>
        <v>https://www.catalog.slsa.sa.gov.au/record=b3199682</v>
      </c>
      <c r="C12745" s="1" t="str">
        <f>HYPERLINK("https://www.catalog.slsa.sa.gov.au/xrecord=b3199682")</f>
        <v>https://www.catalog.slsa.sa.gov.au/xrecord=b3199682</v>
      </c>
      <c r="D12745" t="s">
        <v>31636</v>
      </c>
      <c r="E12745" t="s">
        <v>38817</v>
      </c>
      <c r="F12745" t="s">
        <v>38818</v>
      </c>
      <c r="G12745" t="s">
        <v>38887</v>
      </c>
      <c r="H12745" t="s">
        <v>38888</v>
      </c>
      <c r="I12745" t="s">
        <v>38820</v>
      </c>
      <c r="J12745" t="s">
        <v>38889</v>
      </c>
      <c r="K12745" s="2" t="str">
        <f>HYPERLINK("http://collections.slsa.sa.gov.au/resource/B+77240")</f>
        <v>http://collections.slsa.sa.gov.au/resource/B+77240</v>
      </c>
    </row>
    <row r="12746" spans="1:11" x14ac:dyDescent="0.25">
      <c r="A12746" t="s">
        <v>38890</v>
      </c>
      <c r="B12746" s="1" t="str">
        <f>HYPERLINK("https://www.catalog.slsa.sa.gov.au/record=b3199684")</f>
        <v>https://www.catalog.slsa.sa.gov.au/record=b3199684</v>
      </c>
      <c r="C12746" s="1" t="str">
        <f>HYPERLINK("https://www.catalog.slsa.sa.gov.au/xrecord=b3199684")</f>
        <v>https://www.catalog.slsa.sa.gov.au/xrecord=b3199684</v>
      </c>
      <c r="D12746" t="s">
        <v>31636</v>
      </c>
      <c r="E12746" t="s">
        <v>38817</v>
      </c>
      <c r="F12746" t="s">
        <v>38818</v>
      </c>
      <c r="G12746" t="s">
        <v>38456</v>
      </c>
      <c r="H12746" t="s">
        <v>38891</v>
      </c>
      <c r="I12746" t="s">
        <v>38820</v>
      </c>
      <c r="J12746" t="s">
        <v>38821</v>
      </c>
      <c r="K12746" s="2" t="str">
        <f>HYPERLINK("http://collections.slsa.sa.gov.au/resource/B+77241")</f>
        <v>http://collections.slsa.sa.gov.au/resource/B+77241</v>
      </c>
    </row>
    <row r="12747" spans="1:11" x14ac:dyDescent="0.25">
      <c r="A12747" t="s">
        <v>38892</v>
      </c>
      <c r="B12747" s="1" t="str">
        <f>HYPERLINK("https://www.catalog.slsa.sa.gov.au/record=b3199686")</f>
        <v>https://www.catalog.slsa.sa.gov.au/record=b3199686</v>
      </c>
      <c r="C12747" s="1" t="str">
        <f>HYPERLINK("https://www.catalog.slsa.sa.gov.au/xrecord=b3199686")</f>
        <v>https://www.catalog.slsa.sa.gov.au/xrecord=b3199686</v>
      </c>
      <c r="D12747" t="s">
        <v>31636</v>
      </c>
      <c r="E12747" t="s">
        <v>38817</v>
      </c>
      <c r="F12747" t="s">
        <v>38818</v>
      </c>
      <c r="G12747" t="s">
        <v>38709</v>
      </c>
      <c r="H12747" t="s">
        <v>38893</v>
      </c>
      <c r="I12747" t="s">
        <v>38820</v>
      </c>
      <c r="J12747" t="s">
        <v>38821</v>
      </c>
      <c r="K12747" s="2" t="str">
        <f>HYPERLINK("http://collections.slsa.sa.gov.au/resource/B+77242")</f>
        <v>http://collections.slsa.sa.gov.au/resource/B+77242</v>
      </c>
    </row>
    <row r="12748" spans="1:11" x14ac:dyDescent="0.25">
      <c r="A12748" t="s">
        <v>38894</v>
      </c>
      <c r="B12748" s="1" t="str">
        <f>HYPERLINK("https://www.catalog.slsa.sa.gov.au/record=b3199687")</f>
        <v>https://www.catalog.slsa.sa.gov.au/record=b3199687</v>
      </c>
      <c r="C12748" s="1" t="str">
        <f>HYPERLINK("https://www.catalog.slsa.sa.gov.au/xrecord=b3199687")</f>
        <v>https://www.catalog.slsa.sa.gov.au/xrecord=b3199687</v>
      </c>
      <c r="D12748" t="s">
        <v>31636</v>
      </c>
      <c r="E12748" t="s">
        <v>38817</v>
      </c>
      <c r="F12748" t="s">
        <v>38818</v>
      </c>
      <c r="G12748" t="s">
        <v>38456</v>
      </c>
      <c r="H12748" t="s">
        <v>38895</v>
      </c>
      <c r="I12748" t="s">
        <v>38896</v>
      </c>
      <c r="J12748" t="s">
        <v>38821</v>
      </c>
      <c r="K12748" s="2" t="str">
        <f>HYPERLINK("http://collections.slsa.sa.gov.au/resource/B+77243")</f>
        <v>http://collections.slsa.sa.gov.au/resource/B+77243</v>
      </c>
    </row>
    <row r="12749" spans="1:11" x14ac:dyDescent="0.25">
      <c r="A12749" t="s">
        <v>38897</v>
      </c>
      <c r="B12749" s="1" t="str">
        <f>HYPERLINK("https://www.catalog.slsa.sa.gov.au/record=b3199699")</f>
        <v>https://www.catalog.slsa.sa.gov.au/record=b3199699</v>
      </c>
      <c r="C12749" s="1" t="str">
        <f>HYPERLINK("https://www.catalog.slsa.sa.gov.au/xrecord=b3199699")</f>
        <v>https://www.catalog.slsa.sa.gov.au/xrecord=b3199699</v>
      </c>
      <c r="D12749" t="s">
        <v>31636</v>
      </c>
      <c r="E12749" t="s">
        <v>38817</v>
      </c>
      <c r="F12749" t="s">
        <v>38818</v>
      </c>
      <c r="G12749" t="s">
        <v>38456</v>
      </c>
      <c r="H12749" t="s">
        <v>38895</v>
      </c>
      <c r="I12749" t="s">
        <v>38896</v>
      </c>
      <c r="J12749" t="s">
        <v>38821</v>
      </c>
      <c r="K12749" s="2" t="str">
        <f>HYPERLINK("http://collections.slsa.sa.gov.au/resource/B+77244")</f>
        <v>http://collections.slsa.sa.gov.au/resource/B+77244</v>
      </c>
    </row>
    <row r="12750" spans="1:11" x14ac:dyDescent="0.25">
      <c r="A12750" t="s">
        <v>38898</v>
      </c>
      <c r="B12750" s="1" t="str">
        <f>HYPERLINK("https://www.catalog.slsa.sa.gov.au/record=b3199700")</f>
        <v>https://www.catalog.slsa.sa.gov.au/record=b3199700</v>
      </c>
      <c r="C12750" s="1" t="str">
        <f>HYPERLINK("https://www.catalog.slsa.sa.gov.au/xrecord=b3199700")</f>
        <v>https://www.catalog.slsa.sa.gov.au/xrecord=b3199700</v>
      </c>
      <c r="D12750" t="s">
        <v>31636</v>
      </c>
      <c r="E12750" t="s">
        <v>38817</v>
      </c>
      <c r="F12750" t="s">
        <v>38818</v>
      </c>
      <c r="G12750" t="s">
        <v>38709</v>
      </c>
      <c r="H12750" t="s">
        <v>38895</v>
      </c>
      <c r="I12750" t="s">
        <v>38896</v>
      </c>
      <c r="J12750" t="s">
        <v>38821</v>
      </c>
      <c r="K12750" s="2" t="str">
        <f>HYPERLINK("http://collections.slsa.sa.gov.au/resource/B+77245")</f>
        <v>http://collections.slsa.sa.gov.au/resource/B+77245</v>
      </c>
    </row>
    <row r="12751" spans="1:11" x14ac:dyDescent="0.25">
      <c r="A12751" t="s">
        <v>38899</v>
      </c>
      <c r="B12751" s="1" t="str">
        <f>HYPERLINK("https://www.catalog.slsa.sa.gov.au/record=b3199701")</f>
        <v>https://www.catalog.slsa.sa.gov.au/record=b3199701</v>
      </c>
      <c r="C12751" s="1" t="str">
        <f>HYPERLINK("https://www.catalog.slsa.sa.gov.au/xrecord=b3199701")</f>
        <v>https://www.catalog.slsa.sa.gov.au/xrecord=b3199701</v>
      </c>
      <c r="D12751" t="s">
        <v>31636</v>
      </c>
      <c r="E12751" t="s">
        <v>38817</v>
      </c>
      <c r="F12751" t="s">
        <v>38818</v>
      </c>
      <c r="G12751" t="s">
        <v>38456</v>
      </c>
      <c r="H12751" t="s">
        <v>38895</v>
      </c>
      <c r="I12751" t="s">
        <v>38896</v>
      </c>
      <c r="J12751" t="s">
        <v>38821</v>
      </c>
      <c r="K12751" s="2" t="str">
        <f>HYPERLINK("http://collections.slsa.sa.gov.au/resource/B+77246")</f>
        <v>http://collections.slsa.sa.gov.au/resource/B+77246</v>
      </c>
    </row>
    <row r="12752" spans="1:11" x14ac:dyDescent="0.25">
      <c r="A12752" t="s">
        <v>38900</v>
      </c>
      <c r="B12752" s="1" t="str">
        <f>HYPERLINK("https://www.catalog.slsa.sa.gov.au/record=b3199703")</f>
        <v>https://www.catalog.slsa.sa.gov.au/record=b3199703</v>
      </c>
      <c r="C12752" s="1" t="str">
        <f>HYPERLINK("https://www.catalog.slsa.sa.gov.au/xrecord=b3199703")</f>
        <v>https://www.catalog.slsa.sa.gov.au/xrecord=b3199703</v>
      </c>
      <c r="D12752" t="s">
        <v>31636</v>
      </c>
      <c r="E12752" t="s">
        <v>38817</v>
      </c>
      <c r="F12752" t="s">
        <v>38818</v>
      </c>
      <c r="G12752" t="s">
        <v>38456</v>
      </c>
      <c r="H12752" t="s">
        <v>38901</v>
      </c>
      <c r="I12752" t="s">
        <v>38841</v>
      </c>
      <c r="J12752" t="s">
        <v>38821</v>
      </c>
      <c r="K12752" s="2" t="str">
        <f>HYPERLINK("http://collections.slsa.sa.gov.au/resource/B+77247")</f>
        <v>http://collections.slsa.sa.gov.au/resource/B+77247</v>
      </c>
    </row>
    <row r="12753" spans="1:11" x14ac:dyDescent="0.25">
      <c r="A12753" t="s">
        <v>38902</v>
      </c>
      <c r="B12753" s="1" t="str">
        <f>HYPERLINK("https://www.catalog.slsa.sa.gov.au/record=b3199704")</f>
        <v>https://www.catalog.slsa.sa.gov.au/record=b3199704</v>
      </c>
      <c r="C12753" s="1" t="str">
        <f>HYPERLINK("https://www.catalog.slsa.sa.gov.au/xrecord=b3199704")</f>
        <v>https://www.catalog.slsa.sa.gov.au/xrecord=b3199704</v>
      </c>
      <c r="D12753" t="s">
        <v>31636</v>
      </c>
      <c r="E12753" t="s">
        <v>38817</v>
      </c>
      <c r="F12753" t="s">
        <v>38818</v>
      </c>
      <c r="G12753" t="s">
        <v>38456</v>
      </c>
      <c r="H12753" t="s">
        <v>38903</v>
      </c>
      <c r="I12753" t="s">
        <v>38832</v>
      </c>
      <c r="J12753" t="s">
        <v>38821</v>
      </c>
      <c r="K12753" s="2" t="str">
        <f>HYPERLINK("http://collections.slsa.sa.gov.au/resource/B+77248")</f>
        <v>http://collections.slsa.sa.gov.au/resource/B+77248</v>
      </c>
    </row>
    <row r="12754" spans="1:11" x14ac:dyDescent="0.25">
      <c r="A12754" t="s">
        <v>38904</v>
      </c>
      <c r="B12754" s="1" t="str">
        <f>HYPERLINK("https://www.catalog.slsa.sa.gov.au/record=b3199706")</f>
        <v>https://www.catalog.slsa.sa.gov.au/record=b3199706</v>
      </c>
      <c r="C12754" s="1" t="str">
        <f>HYPERLINK("https://www.catalog.slsa.sa.gov.au/xrecord=b3199706")</f>
        <v>https://www.catalog.slsa.sa.gov.au/xrecord=b3199706</v>
      </c>
      <c r="D12754" t="s">
        <v>31636</v>
      </c>
      <c r="E12754" t="s">
        <v>38817</v>
      </c>
      <c r="F12754" t="s">
        <v>38818</v>
      </c>
      <c r="G12754" t="s">
        <v>38456</v>
      </c>
      <c r="H12754" t="s">
        <v>38903</v>
      </c>
      <c r="I12754" t="s">
        <v>38832</v>
      </c>
      <c r="J12754" t="s">
        <v>38821</v>
      </c>
      <c r="K12754" s="2" t="str">
        <f>HYPERLINK("http://collections.slsa.sa.gov.au/resource/B+77249")</f>
        <v>http://collections.slsa.sa.gov.au/resource/B+77249</v>
      </c>
    </row>
    <row r="12755" spans="1:11" x14ac:dyDescent="0.25">
      <c r="A12755" t="s">
        <v>38905</v>
      </c>
      <c r="B12755" s="1" t="str">
        <f>HYPERLINK("https://www.catalog.slsa.sa.gov.au/record=b3199722")</f>
        <v>https://www.catalog.slsa.sa.gov.au/record=b3199722</v>
      </c>
      <c r="C12755" s="1" t="str">
        <f>HYPERLINK("https://www.catalog.slsa.sa.gov.au/xrecord=b3199722")</f>
        <v>https://www.catalog.slsa.sa.gov.au/xrecord=b3199722</v>
      </c>
      <c r="D12755" t="s">
        <v>31636</v>
      </c>
      <c r="E12755" t="s">
        <v>38906</v>
      </c>
      <c r="F12755" t="s">
        <v>38818</v>
      </c>
      <c r="G12755" t="s">
        <v>38456</v>
      </c>
      <c r="H12755" t="s">
        <v>38907</v>
      </c>
      <c r="I12755" t="s">
        <v>38908</v>
      </c>
      <c r="J12755" t="s">
        <v>38821</v>
      </c>
      <c r="K12755" s="2" t="str">
        <f>HYPERLINK("http://collections.slsa.sa.gov.au/resource/B+77250")</f>
        <v>http://collections.slsa.sa.gov.au/resource/B+77250</v>
      </c>
    </row>
    <row r="12756" spans="1:11" x14ac:dyDescent="0.25">
      <c r="A12756" t="s">
        <v>38909</v>
      </c>
      <c r="B12756" s="1" t="str">
        <f>HYPERLINK("https://www.catalog.slsa.sa.gov.au/record=b3199727")</f>
        <v>https://www.catalog.slsa.sa.gov.au/record=b3199727</v>
      </c>
      <c r="C12756" s="1" t="str">
        <f>HYPERLINK("https://www.catalog.slsa.sa.gov.au/xrecord=b3199727")</f>
        <v>https://www.catalog.slsa.sa.gov.au/xrecord=b3199727</v>
      </c>
      <c r="D12756" t="s">
        <v>31636</v>
      </c>
      <c r="E12756" t="s">
        <v>38906</v>
      </c>
      <c r="F12756" t="s">
        <v>38818</v>
      </c>
      <c r="G12756" t="s">
        <v>38456</v>
      </c>
      <c r="H12756" t="s">
        <v>38907</v>
      </c>
      <c r="I12756" t="s">
        <v>38908</v>
      </c>
      <c r="J12756" t="s">
        <v>38821</v>
      </c>
      <c r="K12756" s="2" t="str">
        <f>HYPERLINK("http://collections.slsa.sa.gov.au/resource/B+77251")</f>
        <v>http://collections.slsa.sa.gov.au/resource/B+77251</v>
      </c>
    </row>
    <row r="12757" spans="1:11" x14ac:dyDescent="0.25">
      <c r="A12757" t="s">
        <v>38910</v>
      </c>
      <c r="B12757" s="1" t="str">
        <f>HYPERLINK("https://www.catalog.slsa.sa.gov.au/record=b3199728")</f>
        <v>https://www.catalog.slsa.sa.gov.au/record=b3199728</v>
      </c>
      <c r="C12757" s="1" t="str">
        <f>HYPERLINK("https://www.catalog.slsa.sa.gov.au/xrecord=b3199728")</f>
        <v>https://www.catalog.slsa.sa.gov.au/xrecord=b3199728</v>
      </c>
      <c r="D12757" t="s">
        <v>31636</v>
      </c>
      <c r="E12757" t="s">
        <v>38906</v>
      </c>
      <c r="F12757" t="s">
        <v>38818</v>
      </c>
      <c r="G12757" t="s">
        <v>38456</v>
      </c>
      <c r="H12757" t="s">
        <v>38911</v>
      </c>
      <c r="I12757" t="s">
        <v>38912</v>
      </c>
      <c r="J12757" t="s">
        <v>38821</v>
      </c>
      <c r="K12757" s="2" t="str">
        <f>HYPERLINK("http://collections.slsa.sa.gov.au/resource/B+77252")</f>
        <v>http://collections.slsa.sa.gov.au/resource/B+77252</v>
      </c>
    </row>
    <row r="12758" spans="1:11" x14ac:dyDescent="0.25">
      <c r="A12758" t="s">
        <v>38913</v>
      </c>
      <c r="B12758" s="1" t="str">
        <f>HYPERLINK("https://www.catalog.slsa.sa.gov.au/record=b3199730")</f>
        <v>https://www.catalog.slsa.sa.gov.au/record=b3199730</v>
      </c>
      <c r="C12758" s="1" t="str">
        <f>HYPERLINK("https://www.catalog.slsa.sa.gov.au/xrecord=b3199730")</f>
        <v>https://www.catalog.slsa.sa.gov.au/xrecord=b3199730</v>
      </c>
      <c r="D12758" t="s">
        <v>31636</v>
      </c>
      <c r="E12758" t="s">
        <v>38906</v>
      </c>
      <c r="F12758" t="s">
        <v>38818</v>
      </c>
      <c r="G12758" t="s">
        <v>38709</v>
      </c>
      <c r="H12758" t="s">
        <v>38914</v>
      </c>
      <c r="I12758" t="s">
        <v>38820</v>
      </c>
      <c r="J12758" t="s">
        <v>38821</v>
      </c>
      <c r="K12758" s="2" t="str">
        <f>HYPERLINK("http://collections.slsa.sa.gov.au/resource/B+77253")</f>
        <v>http://collections.slsa.sa.gov.au/resource/B+77253</v>
      </c>
    </row>
    <row r="12759" spans="1:11" x14ac:dyDescent="0.25">
      <c r="A12759" t="s">
        <v>38915</v>
      </c>
      <c r="B12759" s="1" t="str">
        <f>HYPERLINK("https://www.catalog.slsa.sa.gov.au/record=b3199732")</f>
        <v>https://www.catalog.slsa.sa.gov.au/record=b3199732</v>
      </c>
      <c r="C12759" s="1" t="str">
        <f>HYPERLINK("https://www.catalog.slsa.sa.gov.au/xrecord=b3199732")</f>
        <v>https://www.catalog.slsa.sa.gov.au/xrecord=b3199732</v>
      </c>
      <c r="D12759" t="s">
        <v>31636</v>
      </c>
      <c r="E12759" t="s">
        <v>38906</v>
      </c>
      <c r="F12759" t="s">
        <v>38818</v>
      </c>
      <c r="G12759" t="s">
        <v>38709</v>
      </c>
      <c r="H12759" t="s">
        <v>38916</v>
      </c>
      <c r="I12759" t="s">
        <v>38917</v>
      </c>
      <c r="J12759" t="s">
        <v>38821</v>
      </c>
      <c r="K12759" s="2" t="str">
        <f>HYPERLINK("http://collections.slsa.sa.gov.au/resource/B+77254")</f>
        <v>http://collections.slsa.sa.gov.au/resource/B+77254</v>
      </c>
    </row>
    <row r="12760" spans="1:11" x14ac:dyDescent="0.25">
      <c r="A12760" t="s">
        <v>38918</v>
      </c>
      <c r="B12760" s="1" t="str">
        <f>HYPERLINK("https://www.catalog.slsa.sa.gov.au/record=b3199734")</f>
        <v>https://www.catalog.slsa.sa.gov.au/record=b3199734</v>
      </c>
      <c r="C12760" s="1" t="str">
        <f>HYPERLINK("https://www.catalog.slsa.sa.gov.au/xrecord=b3199734")</f>
        <v>https://www.catalog.slsa.sa.gov.au/xrecord=b3199734</v>
      </c>
      <c r="D12760" t="s">
        <v>31636</v>
      </c>
      <c r="E12760" t="s">
        <v>38906</v>
      </c>
      <c r="F12760" t="s">
        <v>38818</v>
      </c>
      <c r="G12760" t="s">
        <v>38709</v>
      </c>
      <c r="H12760" t="s">
        <v>38919</v>
      </c>
      <c r="I12760" t="s">
        <v>38920</v>
      </c>
      <c r="J12760" t="s">
        <v>38821</v>
      </c>
      <c r="K12760" s="2" t="str">
        <f>HYPERLINK("http://collections.slsa.sa.gov.au/resource/B+77256")</f>
        <v>http://collections.slsa.sa.gov.au/resource/B+77256</v>
      </c>
    </row>
    <row r="12761" spans="1:11" x14ac:dyDescent="0.25">
      <c r="A12761" t="s">
        <v>38921</v>
      </c>
      <c r="B12761" s="1" t="str">
        <f>HYPERLINK("https://www.catalog.slsa.sa.gov.au/record=b3199736")</f>
        <v>https://www.catalog.slsa.sa.gov.au/record=b3199736</v>
      </c>
      <c r="C12761" s="1" t="str">
        <f>HYPERLINK("https://www.catalog.slsa.sa.gov.au/xrecord=b3199736")</f>
        <v>https://www.catalog.slsa.sa.gov.au/xrecord=b3199736</v>
      </c>
      <c r="D12761" t="s">
        <v>31636</v>
      </c>
      <c r="E12761" t="s">
        <v>38906</v>
      </c>
      <c r="F12761" t="s">
        <v>38818</v>
      </c>
      <c r="G12761" t="s">
        <v>38709</v>
      </c>
      <c r="H12761" t="s">
        <v>38907</v>
      </c>
      <c r="I12761" t="s">
        <v>38820</v>
      </c>
      <c r="J12761" t="s">
        <v>38821</v>
      </c>
      <c r="K12761" s="2" t="str">
        <f>HYPERLINK("http://collections.slsa.sa.gov.au/resource/B+77255")</f>
        <v>http://collections.slsa.sa.gov.au/resource/B+77255</v>
      </c>
    </row>
    <row r="12762" spans="1:11" x14ac:dyDescent="0.25">
      <c r="A12762" t="s">
        <v>38922</v>
      </c>
      <c r="B12762" s="1" t="str">
        <f>HYPERLINK("https://www.catalog.slsa.sa.gov.au/record=b3199737")</f>
        <v>https://www.catalog.slsa.sa.gov.au/record=b3199737</v>
      </c>
      <c r="C12762" s="1" t="str">
        <f>HYPERLINK("https://www.catalog.slsa.sa.gov.au/xrecord=b3199737")</f>
        <v>https://www.catalog.slsa.sa.gov.au/xrecord=b3199737</v>
      </c>
      <c r="D12762" t="s">
        <v>31636</v>
      </c>
      <c r="E12762" t="s">
        <v>38906</v>
      </c>
      <c r="F12762" t="s">
        <v>38818</v>
      </c>
      <c r="G12762" t="s">
        <v>38709</v>
      </c>
      <c r="H12762" t="s">
        <v>38923</v>
      </c>
      <c r="I12762" t="s">
        <v>38820</v>
      </c>
      <c r="J12762" t="s">
        <v>38821</v>
      </c>
      <c r="K12762" s="2" t="str">
        <f>HYPERLINK("http://collections.slsa.sa.gov.au/resource/B+77257")</f>
        <v>http://collections.slsa.sa.gov.au/resource/B+77257</v>
      </c>
    </row>
    <row r="12763" spans="1:11" x14ac:dyDescent="0.25">
      <c r="A12763" t="s">
        <v>38924</v>
      </c>
      <c r="B12763" s="1" t="str">
        <f>HYPERLINK("https://www.catalog.slsa.sa.gov.au/record=b3203464")</f>
        <v>https://www.catalog.slsa.sa.gov.au/record=b3203464</v>
      </c>
      <c r="C12763" s="1" t="str">
        <f>HYPERLINK("https://www.catalog.slsa.sa.gov.au/xrecord=b3203464")</f>
        <v>https://www.catalog.slsa.sa.gov.au/xrecord=b3203464</v>
      </c>
      <c r="D12763" t="s">
        <v>31636</v>
      </c>
      <c r="E12763" t="s">
        <v>38925</v>
      </c>
      <c r="F12763" t="s">
        <v>38926</v>
      </c>
      <c r="G12763" t="s">
        <v>37758</v>
      </c>
      <c r="H12763" t="s">
        <v>38927</v>
      </c>
      <c r="I12763" t="s">
        <v>38928</v>
      </c>
      <c r="J12763" t="s">
        <v>26445</v>
      </c>
      <c r="K12763" s="2" t="str">
        <f>HYPERLINK("http://collections.slsa.sa.gov.au/resource/B+77308")</f>
        <v>http://collections.slsa.sa.gov.au/resource/B+77308</v>
      </c>
    </row>
    <row r="12764" spans="1:11" x14ac:dyDescent="0.25">
      <c r="A12764" t="s">
        <v>38929</v>
      </c>
      <c r="B12764" s="1" t="str">
        <f>HYPERLINK("https://www.catalog.slsa.sa.gov.au/record=b3203467")</f>
        <v>https://www.catalog.slsa.sa.gov.au/record=b3203467</v>
      </c>
      <c r="C12764" s="1" t="str">
        <f>HYPERLINK("https://www.catalog.slsa.sa.gov.au/xrecord=b3203467")</f>
        <v>https://www.catalog.slsa.sa.gov.au/xrecord=b3203467</v>
      </c>
      <c r="D12764" t="s">
        <v>31636</v>
      </c>
      <c r="E12764" t="s">
        <v>38925</v>
      </c>
      <c r="F12764" t="s">
        <v>38926</v>
      </c>
      <c r="G12764" t="s">
        <v>37758</v>
      </c>
      <c r="H12764" t="s">
        <v>38930</v>
      </c>
      <c r="I12764" t="s">
        <v>38928</v>
      </c>
      <c r="J12764" t="s">
        <v>26445</v>
      </c>
      <c r="K12764" s="2" t="str">
        <f>HYPERLINK("http://collections.slsa.sa.gov.au/resource/B+77309")</f>
        <v>http://collections.slsa.sa.gov.au/resource/B+77309</v>
      </c>
    </row>
    <row r="12765" spans="1:11" x14ac:dyDescent="0.25">
      <c r="A12765" t="s">
        <v>38931</v>
      </c>
      <c r="B12765" s="1" t="str">
        <f>HYPERLINK("https://www.catalog.slsa.sa.gov.au/record=b3203468")</f>
        <v>https://www.catalog.slsa.sa.gov.au/record=b3203468</v>
      </c>
      <c r="C12765" s="1" t="str">
        <f>HYPERLINK("https://www.catalog.slsa.sa.gov.au/xrecord=b3203468")</f>
        <v>https://www.catalog.slsa.sa.gov.au/xrecord=b3203468</v>
      </c>
      <c r="D12765" t="s">
        <v>31636</v>
      </c>
      <c r="E12765" t="s">
        <v>38925</v>
      </c>
      <c r="F12765" t="s">
        <v>38926</v>
      </c>
      <c r="G12765" t="s">
        <v>37758</v>
      </c>
      <c r="H12765" t="s">
        <v>38930</v>
      </c>
      <c r="I12765" t="s">
        <v>38928</v>
      </c>
      <c r="J12765" t="s">
        <v>26445</v>
      </c>
      <c r="K12765" s="2" t="str">
        <f>HYPERLINK("http://collections.slsa.sa.gov.au/resource/B+77310")</f>
        <v>http://collections.slsa.sa.gov.au/resource/B+77310</v>
      </c>
    </row>
    <row r="12766" spans="1:11" x14ac:dyDescent="0.25">
      <c r="A12766" t="s">
        <v>38932</v>
      </c>
      <c r="B12766" s="1" t="str">
        <f>HYPERLINK("https://www.catalog.slsa.sa.gov.au/record=b3203469")</f>
        <v>https://www.catalog.slsa.sa.gov.au/record=b3203469</v>
      </c>
      <c r="C12766" s="1" t="str">
        <f>HYPERLINK("https://www.catalog.slsa.sa.gov.au/xrecord=b3203469")</f>
        <v>https://www.catalog.slsa.sa.gov.au/xrecord=b3203469</v>
      </c>
      <c r="D12766" t="s">
        <v>31636</v>
      </c>
      <c r="E12766" t="s">
        <v>38933</v>
      </c>
      <c r="F12766" t="s">
        <v>38934</v>
      </c>
      <c r="G12766" t="s">
        <v>37758</v>
      </c>
      <c r="H12766" t="s">
        <v>38935</v>
      </c>
      <c r="I12766" t="s">
        <v>38928</v>
      </c>
      <c r="J12766" t="s">
        <v>21241</v>
      </c>
      <c r="K12766" s="2" t="str">
        <f>HYPERLINK("http://collections.slsa.sa.gov.au/resource/B+77311")</f>
        <v>http://collections.slsa.sa.gov.au/resource/B+77311</v>
      </c>
    </row>
    <row r="12767" spans="1:11" x14ac:dyDescent="0.25">
      <c r="A12767" t="s">
        <v>38936</v>
      </c>
      <c r="B12767" s="1" t="str">
        <f>HYPERLINK("https://www.catalog.slsa.sa.gov.au/record=b3203470")</f>
        <v>https://www.catalog.slsa.sa.gov.au/record=b3203470</v>
      </c>
      <c r="C12767" s="1" t="str">
        <f>HYPERLINK("https://www.catalog.slsa.sa.gov.au/xrecord=b3203470")</f>
        <v>https://www.catalog.slsa.sa.gov.au/xrecord=b3203470</v>
      </c>
      <c r="D12767" t="s">
        <v>31636</v>
      </c>
      <c r="E12767" t="s">
        <v>38933</v>
      </c>
      <c r="F12767" t="s">
        <v>38934</v>
      </c>
      <c r="G12767" t="s">
        <v>37758</v>
      </c>
      <c r="H12767" t="s">
        <v>38937</v>
      </c>
      <c r="I12767" t="s">
        <v>38928</v>
      </c>
      <c r="J12767" t="s">
        <v>21230</v>
      </c>
      <c r="K12767" s="2" t="str">
        <f>HYPERLINK("http://collections.slsa.sa.gov.au/resource/B+77312")</f>
        <v>http://collections.slsa.sa.gov.au/resource/B+77312</v>
      </c>
    </row>
    <row r="12768" spans="1:11" x14ac:dyDescent="0.25">
      <c r="A12768" t="s">
        <v>38938</v>
      </c>
      <c r="B12768" s="1" t="str">
        <f>HYPERLINK("https://www.catalog.slsa.sa.gov.au/record=b3203472")</f>
        <v>https://www.catalog.slsa.sa.gov.au/record=b3203472</v>
      </c>
      <c r="C12768" s="1" t="str">
        <f>HYPERLINK("https://www.catalog.slsa.sa.gov.au/xrecord=b3203472")</f>
        <v>https://www.catalog.slsa.sa.gov.au/xrecord=b3203472</v>
      </c>
      <c r="D12768" t="s">
        <v>31636</v>
      </c>
      <c r="E12768" t="s">
        <v>38933</v>
      </c>
      <c r="F12768" t="s">
        <v>38934</v>
      </c>
      <c r="G12768" t="s">
        <v>37850</v>
      </c>
      <c r="H12768" t="s">
        <v>38939</v>
      </c>
      <c r="I12768" t="s">
        <v>38928</v>
      </c>
      <c r="J12768" t="s">
        <v>21230</v>
      </c>
      <c r="K12768" s="2" t="str">
        <f>HYPERLINK("http://collections.slsa.sa.gov.au/resource/B+77313")</f>
        <v>http://collections.slsa.sa.gov.au/resource/B+77313</v>
      </c>
    </row>
    <row r="12769" spans="1:11" x14ac:dyDescent="0.25">
      <c r="A12769" t="s">
        <v>38940</v>
      </c>
      <c r="B12769" s="1" t="str">
        <f>HYPERLINK("https://www.catalog.slsa.sa.gov.au/record=b3203473")</f>
        <v>https://www.catalog.slsa.sa.gov.au/record=b3203473</v>
      </c>
      <c r="C12769" s="1" t="str">
        <f>HYPERLINK("https://www.catalog.slsa.sa.gov.au/xrecord=b3203473")</f>
        <v>https://www.catalog.slsa.sa.gov.au/xrecord=b3203473</v>
      </c>
      <c r="D12769" t="s">
        <v>31636</v>
      </c>
      <c r="E12769" t="s">
        <v>38933</v>
      </c>
      <c r="F12769" t="s">
        <v>38934</v>
      </c>
      <c r="G12769" t="s">
        <v>37758</v>
      </c>
      <c r="H12769" t="s">
        <v>38937</v>
      </c>
      <c r="I12769" t="s">
        <v>38928</v>
      </c>
      <c r="J12769" t="s">
        <v>21230</v>
      </c>
      <c r="K12769" s="2" t="str">
        <f>HYPERLINK("http://collections.slsa.sa.gov.au/resource/B+77314")</f>
        <v>http://collections.slsa.sa.gov.au/resource/B+77314</v>
      </c>
    </row>
    <row r="12770" spans="1:11" x14ac:dyDescent="0.25">
      <c r="A12770" t="s">
        <v>38941</v>
      </c>
      <c r="B12770" s="1" t="str">
        <f>HYPERLINK("https://www.catalog.slsa.sa.gov.au/record=b3203475")</f>
        <v>https://www.catalog.slsa.sa.gov.au/record=b3203475</v>
      </c>
      <c r="C12770" s="1" t="str">
        <f>HYPERLINK("https://www.catalog.slsa.sa.gov.au/xrecord=b3203475")</f>
        <v>https://www.catalog.slsa.sa.gov.au/xrecord=b3203475</v>
      </c>
      <c r="D12770" t="s">
        <v>31636</v>
      </c>
      <c r="E12770" t="s">
        <v>38942</v>
      </c>
      <c r="F12770" t="s">
        <v>38934</v>
      </c>
      <c r="G12770" t="s">
        <v>37850</v>
      </c>
      <c r="H12770" t="s">
        <v>38943</v>
      </c>
      <c r="I12770" t="s">
        <v>38928</v>
      </c>
      <c r="J12770" t="s">
        <v>21230</v>
      </c>
      <c r="K12770" s="2" t="str">
        <f>HYPERLINK("http://collections.slsa.sa.gov.au/resource/B+77315")</f>
        <v>http://collections.slsa.sa.gov.au/resource/B+77315</v>
      </c>
    </row>
    <row r="12771" spans="1:11" x14ac:dyDescent="0.25">
      <c r="A12771" t="s">
        <v>38944</v>
      </c>
      <c r="B12771" s="1" t="str">
        <f>HYPERLINK("https://www.catalog.slsa.sa.gov.au/record=b3203478")</f>
        <v>https://www.catalog.slsa.sa.gov.au/record=b3203478</v>
      </c>
      <c r="C12771" s="1" t="str">
        <f>HYPERLINK("https://www.catalog.slsa.sa.gov.au/xrecord=b3203478")</f>
        <v>https://www.catalog.slsa.sa.gov.au/xrecord=b3203478</v>
      </c>
      <c r="D12771" t="s">
        <v>31636</v>
      </c>
      <c r="E12771" t="s">
        <v>38945</v>
      </c>
      <c r="F12771" t="s">
        <v>38934</v>
      </c>
      <c r="G12771" t="s">
        <v>37758</v>
      </c>
      <c r="H12771" t="s">
        <v>38946</v>
      </c>
      <c r="I12771" t="s">
        <v>38928</v>
      </c>
      <c r="J12771" t="s">
        <v>26404</v>
      </c>
      <c r="K12771" s="2" t="str">
        <f>HYPERLINK("http://collections.slsa.sa.gov.au/resource/B+77316")</f>
        <v>http://collections.slsa.sa.gov.au/resource/B+77316</v>
      </c>
    </row>
    <row r="12772" spans="1:11" x14ac:dyDescent="0.25">
      <c r="A12772" t="s">
        <v>38947</v>
      </c>
      <c r="B12772" s="1" t="str">
        <f>HYPERLINK("https://www.catalog.slsa.sa.gov.au/record=b3203479")</f>
        <v>https://www.catalog.slsa.sa.gov.au/record=b3203479</v>
      </c>
      <c r="C12772" s="1" t="str">
        <f>HYPERLINK("https://www.catalog.slsa.sa.gov.au/xrecord=b3203479")</f>
        <v>https://www.catalog.slsa.sa.gov.au/xrecord=b3203479</v>
      </c>
      <c r="D12772" t="s">
        <v>31636</v>
      </c>
      <c r="E12772" t="s">
        <v>38948</v>
      </c>
      <c r="F12772" t="s">
        <v>38934</v>
      </c>
      <c r="G12772" t="s">
        <v>37758</v>
      </c>
      <c r="H12772" t="s">
        <v>38948</v>
      </c>
      <c r="I12772" t="s">
        <v>38949</v>
      </c>
      <c r="J12772" t="s">
        <v>38950</v>
      </c>
      <c r="K12772" s="2" t="str">
        <f>HYPERLINK("http://collections.slsa.sa.gov.au/resource/B+77317")</f>
        <v>http://collections.slsa.sa.gov.au/resource/B+77317</v>
      </c>
    </row>
    <row r="12773" spans="1:11" x14ac:dyDescent="0.25">
      <c r="A12773" t="s">
        <v>38951</v>
      </c>
      <c r="B12773" s="1" t="str">
        <f>HYPERLINK("https://www.catalog.slsa.sa.gov.au/record=b3203484")</f>
        <v>https://www.catalog.slsa.sa.gov.au/record=b3203484</v>
      </c>
      <c r="C12773" s="1" t="str">
        <f>HYPERLINK("https://www.catalog.slsa.sa.gov.au/xrecord=b3203484")</f>
        <v>https://www.catalog.slsa.sa.gov.au/xrecord=b3203484</v>
      </c>
      <c r="D12773" t="s">
        <v>31636</v>
      </c>
      <c r="E12773" t="s">
        <v>38952</v>
      </c>
      <c r="F12773" t="s">
        <v>38934</v>
      </c>
      <c r="G12773" t="s">
        <v>37850</v>
      </c>
      <c r="H12773" t="s">
        <v>38953</v>
      </c>
      <c r="I12773" t="s">
        <v>17571</v>
      </c>
      <c r="J12773" t="s">
        <v>21241</v>
      </c>
      <c r="K12773" s="2" t="str">
        <f>HYPERLINK("http://collections.slsa.sa.gov.au/resource/B+77318")</f>
        <v>http://collections.slsa.sa.gov.au/resource/B+77318</v>
      </c>
    </row>
    <row r="12774" spans="1:11" x14ac:dyDescent="0.25">
      <c r="A12774" t="s">
        <v>38954</v>
      </c>
      <c r="B12774" s="1" t="str">
        <f>HYPERLINK("https://www.catalog.slsa.sa.gov.au/record=b3203485")</f>
        <v>https://www.catalog.slsa.sa.gov.au/record=b3203485</v>
      </c>
      <c r="C12774" s="1" t="str">
        <f>HYPERLINK("https://www.catalog.slsa.sa.gov.au/xrecord=b3203485")</f>
        <v>https://www.catalog.slsa.sa.gov.au/xrecord=b3203485</v>
      </c>
      <c r="D12774" t="s">
        <v>31636</v>
      </c>
      <c r="E12774" t="s">
        <v>38955</v>
      </c>
      <c r="F12774" t="s">
        <v>38934</v>
      </c>
      <c r="G12774" t="s">
        <v>37758</v>
      </c>
      <c r="H12774" t="s">
        <v>38956</v>
      </c>
      <c r="I12774" t="s">
        <v>38957</v>
      </c>
      <c r="J12774" t="s">
        <v>21241</v>
      </c>
      <c r="K12774" s="2" t="str">
        <f>HYPERLINK("http://collections.slsa.sa.gov.au/resource/B+77319")</f>
        <v>http://collections.slsa.sa.gov.au/resource/B+77319</v>
      </c>
    </row>
    <row r="12775" spans="1:11" x14ac:dyDescent="0.25">
      <c r="A12775" t="s">
        <v>38958</v>
      </c>
      <c r="B12775" s="1" t="str">
        <f>HYPERLINK("https://www.catalog.slsa.sa.gov.au/record=b3203486")</f>
        <v>https://www.catalog.slsa.sa.gov.au/record=b3203486</v>
      </c>
      <c r="C12775" s="1" t="str">
        <f>HYPERLINK("https://www.catalog.slsa.sa.gov.au/xrecord=b3203486")</f>
        <v>https://www.catalog.slsa.sa.gov.au/xrecord=b3203486</v>
      </c>
      <c r="D12775" t="s">
        <v>31636</v>
      </c>
      <c r="E12775" t="s">
        <v>38955</v>
      </c>
      <c r="F12775" t="s">
        <v>38934</v>
      </c>
      <c r="G12775" t="s">
        <v>37716</v>
      </c>
      <c r="H12775" t="s">
        <v>38959</v>
      </c>
      <c r="I12775" t="s">
        <v>38957</v>
      </c>
      <c r="J12775" t="s">
        <v>21241</v>
      </c>
      <c r="K12775" s="2" t="str">
        <f>HYPERLINK("http://collections.slsa.sa.gov.au/resource/B+77320")</f>
        <v>http://collections.slsa.sa.gov.au/resource/B+77320</v>
      </c>
    </row>
    <row r="12776" spans="1:11" x14ac:dyDescent="0.25">
      <c r="A12776" t="s">
        <v>38960</v>
      </c>
      <c r="B12776" s="1" t="str">
        <f>HYPERLINK("https://www.catalog.slsa.sa.gov.au/record=b3203488")</f>
        <v>https://www.catalog.slsa.sa.gov.au/record=b3203488</v>
      </c>
      <c r="C12776" s="1" t="str">
        <f>HYPERLINK("https://www.catalog.slsa.sa.gov.au/xrecord=b3203488")</f>
        <v>https://www.catalog.slsa.sa.gov.au/xrecord=b3203488</v>
      </c>
      <c r="D12776" t="s">
        <v>31636</v>
      </c>
      <c r="E12776" t="s">
        <v>38961</v>
      </c>
      <c r="F12776" t="s">
        <v>38934</v>
      </c>
      <c r="G12776" t="s">
        <v>37758</v>
      </c>
      <c r="H12776" t="s">
        <v>38962</v>
      </c>
      <c r="I12776" t="s">
        <v>38928</v>
      </c>
      <c r="J12776" t="s">
        <v>38963</v>
      </c>
      <c r="K12776" s="2" t="str">
        <f>HYPERLINK("http://collections.slsa.sa.gov.au/resource/B+77321")</f>
        <v>http://collections.slsa.sa.gov.au/resource/B+77321</v>
      </c>
    </row>
    <row r="12777" spans="1:11" x14ac:dyDescent="0.25">
      <c r="A12777" t="s">
        <v>38964</v>
      </c>
      <c r="B12777" s="1" t="str">
        <f>HYPERLINK("https://www.catalog.slsa.sa.gov.au/record=b3203489")</f>
        <v>https://www.catalog.slsa.sa.gov.au/record=b3203489</v>
      </c>
      <c r="C12777" s="1" t="str">
        <f>HYPERLINK("https://www.catalog.slsa.sa.gov.au/xrecord=b3203489")</f>
        <v>https://www.catalog.slsa.sa.gov.au/xrecord=b3203489</v>
      </c>
      <c r="D12777" t="s">
        <v>31636</v>
      </c>
      <c r="E12777" t="s">
        <v>38965</v>
      </c>
      <c r="F12777" t="s">
        <v>38934</v>
      </c>
      <c r="G12777" t="s">
        <v>37758</v>
      </c>
      <c r="H12777" t="s">
        <v>38966</v>
      </c>
      <c r="I12777" t="s">
        <v>38967</v>
      </c>
      <c r="J12777" t="s">
        <v>38968</v>
      </c>
      <c r="K12777" s="2" t="str">
        <f>HYPERLINK("http://collections.slsa.sa.gov.au/resource/B+77322")</f>
        <v>http://collections.slsa.sa.gov.au/resource/B+77322</v>
      </c>
    </row>
    <row r="12778" spans="1:11" x14ac:dyDescent="0.25">
      <c r="A12778" t="s">
        <v>38969</v>
      </c>
      <c r="B12778" s="1" t="str">
        <f>HYPERLINK("https://www.catalog.slsa.sa.gov.au/record=b3203490")</f>
        <v>https://www.catalog.slsa.sa.gov.au/record=b3203490</v>
      </c>
      <c r="C12778" s="1" t="str">
        <f>HYPERLINK("https://www.catalog.slsa.sa.gov.au/xrecord=b3203490")</f>
        <v>https://www.catalog.slsa.sa.gov.au/xrecord=b3203490</v>
      </c>
      <c r="D12778" t="s">
        <v>31636</v>
      </c>
      <c r="E12778" t="s">
        <v>38965</v>
      </c>
      <c r="F12778" t="s">
        <v>38934</v>
      </c>
      <c r="G12778" t="s">
        <v>37758</v>
      </c>
      <c r="H12778" t="s">
        <v>38966</v>
      </c>
      <c r="I12778" t="s">
        <v>38967</v>
      </c>
      <c r="J12778" t="s">
        <v>38968</v>
      </c>
      <c r="K12778" s="2" t="str">
        <f>HYPERLINK("http://collections.slsa.sa.gov.au/resource/B+77323")</f>
        <v>http://collections.slsa.sa.gov.au/resource/B+77323</v>
      </c>
    </row>
    <row r="12779" spans="1:11" x14ac:dyDescent="0.25">
      <c r="A12779" t="s">
        <v>38970</v>
      </c>
      <c r="B12779" s="1" t="str">
        <f>HYPERLINK("https://www.catalog.slsa.sa.gov.au/record=b3203491")</f>
        <v>https://www.catalog.slsa.sa.gov.au/record=b3203491</v>
      </c>
      <c r="C12779" s="1" t="str">
        <f>HYPERLINK("https://www.catalog.slsa.sa.gov.au/xrecord=b3203491")</f>
        <v>https://www.catalog.slsa.sa.gov.au/xrecord=b3203491</v>
      </c>
      <c r="D12779" t="s">
        <v>31636</v>
      </c>
      <c r="E12779" t="s">
        <v>38971</v>
      </c>
      <c r="F12779" t="s">
        <v>38934</v>
      </c>
      <c r="G12779" t="s">
        <v>37758</v>
      </c>
      <c r="H12779" t="s">
        <v>38972</v>
      </c>
      <c r="I12779" t="s">
        <v>17571</v>
      </c>
      <c r="J12779" t="s">
        <v>26889</v>
      </c>
      <c r="K12779" s="2" t="str">
        <f>HYPERLINK("http://collections.slsa.sa.gov.au/resource/B+77324")</f>
        <v>http://collections.slsa.sa.gov.au/resource/B+77324</v>
      </c>
    </row>
    <row r="12780" spans="1:11" x14ac:dyDescent="0.25">
      <c r="A12780" t="s">
        <v>38973</v>
      </c>
      <c r="B12780" s="1" t="str">
        <f>HYPERLINK("https://www.catalog.slsa.sa.gov.au/record=b3203493")</f>
        <v>https://www.catalog.slsa.sa.gov.au/record=b3203493</v>
      </c>
      <c r="C12780" s="1" t="str">
        <f>HYPERLINK("https://www.catalog.slsa.sa.gov.au/xrecord=b3203493")</f>
        <v>https://www.catalog.slsa.sa.gov.au/xrecord=b3203493</v>
      </c>
      <c r="D12780" t="s">
        <v>31636</v>
      </c>
      <c r="E12780" t="s">
        <v>38974</v>
      </c>
      <c r="F12780" t="s">
        <v>38934</v>
      </c>
      <c r="G12780" t="s">
        <v>37758</v>
      </c>
      <c r="H12780" t="s">
        <v>38975</v>
      </c>
      <c r="I12780" t="s">
        <v>17571</v>
      </c>
      <c r="J12780" t="s">
        <v>26889</v>
      </c>
      <c r="K12780" s="2" t="str">
        <f>HYPERLINK("http://collections.slsa.sa.gov.au/resource/B+77325")</f>
        <v>http://collections.slsa.sa.gov.au/resource/B+77325</v>
      </c>
    </row>
    <row r="12781" spans="1:11" x14ac:dyDescent="0.25">
      <c r="A12781" t="s">
        <v>38976</v>
      </c>
      <c r="B12781" s="1" t="str">
        <f>HYPERLINK("https://www.catalog.slsa.sa.gov.au/record=b3203494")</f>
        <v>https://www.catalog.slsa.sa.gov.au/record=b3203494</v>
      </c>
      <c r="C12781" s="1" t="str">
        <f>HYPERLINK("https://www.catalog.slsa.sa.gov.au/xrecord=b3203494")</f>
        <v>https://www.catalog.slsa.sa.gov.au/xrecord=b3203494</v>
      </c>
      <c r="D12781" t="s">
        <v>31636</v>
      </c>
      <c r="E12781" t="s">
        <v>38977</v>
      </c>
      <c r="F12781" t="s">
        <v>38934</v>
      </c>
      <c r="G12781" t="s">
        <v>37850</v>
      </c>
      <c r="H12781" t="s">
        <v>38978</v>
      </c>
      <c r="I12781" t="s">
        <v>17571</v>
      </c>
      <c r="J12781" t="s">
        <v>24591</v>
      </c>
      <c r="K12781" s="2" t="str">
        <f>HYPERLINK("http://collections.slsa.sa.gov.au/resource/B+77326")</f>
        <v>http://collections.slsa.sa.gov.au/resource/B+77326</v>
      </c>
    </row>
    <row r="12782" spans="1:11" x14ac:dyDescent="0.25">
      <c r="A12782" t="s">
        <v>38979</v>
      </c>
      <c r="B12782" s="1" t="str">
        <f>HYPERLINK("https://www.catalog.slsa.sa.gov.au/record=b3203501")</f>
        <v>https://www.catalog.slsa.sa.gov.au/record=b3203501</v>
      </c>
      <c r="C12782" s="1" t="str">
        <f>HYPERLINK("https://www.catalog.slsa.sa.gov.au/xrecord=b3203501")</f>
        <v>https://www.catalog.slsa.sa.gov.au/xrecord=b3203501</v>
      </c>
      <c r="D12782" t="s">
        <v>31636</v>
      </c>
      <c r="E12782" t="s">
        <v>38980</v>
      </c>
      <c r="F12782" t="s">
        <v>38934</v>
      </c>
      <c r="G12782" t="s">
        <v>38981</v>
      </c>
      <c r="H12782" t="s">
        <v>38982</v>
      </c>
      <c r="I12782" t="s">
        <v>38983</v>
      </c>
      <c r="J12782" t="s">
        <v>24591</v>
      </c>
      <c r="K12782" s="2" t="str">
        <f>HYPERLINK("http://collections.slsa.sa.gov.au/resource/B+77327")</f>
        <v>http://collections.slsa.sa.gov.au/resource/B+77327</v>
      </c>
    </row>
    <row r="12783" spans="1:11" x14ac:dyDescent="0.25">
      <c r="A12783" t="s">
        <v>38984</v>
      </c>
      <c r="B12783" s="1" t="str">
        <f>HYPERLINK("https://www.catalog.slsa.sa.gov.au/record=b3203506")</f>
        <v>https://www.catalog.slsa.sa.gov.au/record=b3203506</v>
      </c>
      <c r="C12783" s="1" t="str">
        <f>HYPERLINK("https://www.catalog.slsa.sa.gov.au/xrecord=b3203506")</f>
        <v>https://www.catalog.slsa.sa.gov.au/xrecord=b3203506</v>
      </c>
      <c r="D12783" t="s">
        <v>31636</v>
      </c>
      <c r="E12783" t="s">
        <v>38985</v>
      </c>
      <c r="F12783" t="s">
        <v>38934</v>
      </c>
      <c r="G12783" t="s">
        <v>38986</v>
      </c>
      <c r="H12783" t="s">
        <v>38987</v>
      </c>
      <c r="I12783" t="s">
        <v>38957</v>
      </c>
      <c r="J12783" t="s">
        <v>21246</v>
      </c>
      <c r="K12783" s="2" t="str">
        <f>HYPERLINK("http://collections.slsa.sa.gov.au/resource/B+77328")</f>
        <v>http://collections.slsa.sa.gov.au/resource/B+77328</v>
      </c>
    </row>
    <row r="12784" spans="1:11" x14ac:dyDescent="0.25">
      <c r="A12784" t="s">
        <v>38988</v>
      </c>
      <c r="B12784" s="1" t="str">
        <f>HYPERLINK("https://www.catalog.slsa.sa.gov.au/record=b3203508")</f>
        <v>https://www.catalog.slsa.sa.gov.au/record=b3203508</v>
      </c>
      <c r="C12784" s="1" t="str">
        <f>HYPERLINK("https://www.catalog.slsa.sa.gov.au/xrecord=b3203508")</f>
        <v>https://www.catalog.slsa.sa.gov.au/xrecord=b3203508</v>
      </c>
      <c r="D12784" t="s">
        <v>31636</v>
      </c>
      <c r="E12784" t="s">
        <v>38980</v>
      </c>
      <c r="F12784" t="s">
        <v>38934</v>
      </c>
      <c r="G12784" t="s">
        <v>38989</v>
      </c>
      <c r="H12784" t="s">
        <v>38982</v>
      </c>
      <c r="I12784" t="s">
        <v>38983</v>
      </c>
      <c r="J12784" t="s">
        <v>24591</v>
      </c>
      <c r="K12784" s="2" t="str">
        <f>HYPERLINK("http://collections.slsa.sa.gov.au/resource/B+77329")</f>
        <v>http://collections.slsa.sa.gov.au/resource/B+77329</v>
      </c>
    </row>
    <row r="12785" spans="1:11" x14ac:dyDescent="0.25">
      <c r="A12785" t="s">
        <v>38990</v>
      </c>
      <c r="B12785" s="1" t="str">
        <f>HYPERLINK("https://www.catalog.slsa.sa.gov.au/record=b3203510")</f>
        <v>https://www.catalog.slsa.sa.gov.au/record=b3203510</v>
      </c>
      <c r="C12785" s="1" t="str">
        <f>HYPERLINK("https://www.catalog.slsa.sa.gov.au/xrecord=b3203510")</f>
        <v>https://www.catalog.slsa.sa.gov.au/xrecord=b3203510</v>
      </c>
      <c r="D12785" t="s">
        <v>31636</v>
      </c>
      <c r="E12785" t="s">
        <v>38991</v>
      </c>
      <c r="F12785" t="s">
        <v>38934</v>
      </c>
      <c r="G12785" t="s">
        <v>38989</v>
      </c>
      <c r="H12785" t="s">
        <v>38991</v>
      </c>
      <c r="I12785" t="s">
        <v>17571</v>
      </c>
      <c r="J12785" t="s">
        <v>26889</v>
      </c>
      <c r="K12785" s="2" t="str">
        <f>HYPERLINK("http://collections.slsa.sa.gov.au/resource/B+77330")</f>
        <v>http://collections.slsa.sa.gov.au/resource/B+77330</v>
      </c>
    </row>
    <row r="12786" spans="1:11" x14ac:dyDescent="0.25">
      <c r="A12786" t="s">
        <v>38992</v>
      </c>
      <c r="B12786" s="1" t="str">
        <f>HYPERLINK("https://www.catalog.slsa.sa.gov.au/record=b3203514")</f>
        <v>https://www.catalog.slsa.sa.gov.au/record=b3203514</v>
      </c>
      <c r="C12786" s="1" t="str">
        <f>HYPERLINK("https://www.catalog.slsa.sa.gov.au/xrecord=b3203514")</f>
        <v>https://www.catalog.slsa.sa.gov.au/xrecord=b3203514</v>
      </c>
      <c r="D12786" t="s">
        <v>31636</v>
      </c>
      <c r="E12786" t="s">
        <v>38993</v>
      </c>
      <c r="F12786" t="s">
        <v>38934</v>
      </c>
      <c r="G12786" t="s">
        <v>37758</v>
      </c>
      <c r="H12786" t="s">
        <v>38994</v>
      </c>
      <c r="I12786" t="s">
        <v>38928</v>
      </c>
      <c r="J12786" t="s">
        <v>38968</v>
      </c>
      <c r="K12786" s="2" t="str">
        <f>HYPERLINK("http://collections.slsa.sa.gov.au/resource/B+77331")</f>
        <v>http://collections.slsa.sa.gov.au/resource/B+77331</v>
      </c>
    </row>
    <row r="12787" spans="1:11" x14ac:dyDescent="0.25">
      <c r="A12787" t="s">
        <v>38995</v>
      </c>
      <c r="B12787" s="1" t="str">
        <f>HYPERLINK("https://www.catalog.slsa.sa.gov.au/record=b3203516")</f>
        <v>https://www.catalog.slsa.sa.gov.au/record=b3203516</v>
      </c>
      <c r="C12787" s="1" t="str">
        <f>HYPERLINK("https://www.catalog.slsa.sa.gov.au/xrecord=b3203516")</f>
        <v>https://www.catalog.slsa.sa.gov.au/xrecord=b3203516</v>
      </c>
      <c r="D12787" t="s">
        <v>31636</v>
      </c>
      <c r="E12787" t="s">
        <v>38993</v>
      </c>
      <c r="F12787" t="s">
        <v>38934</v>
      </c>
      <c r="G12787" t="s">
        <v>37758</v>
      </c>
      <c r="H12787" t="s">
        <v>38996</v>
      </c>
      <c r="I12787" t="s">
        <v>38928</v>
      </c>
      <c r="J12787" t="s">
        <v>38968</v>
      </c>
      <c r="K12787" s="2" t="str">
        <f>HYPERLINK("http://collections.slsa.sa.gov.au/resource/B+77332")</f>
        <v>http://collections.slsa.sa.gov.au/resource/B+77332</v>
      </c>
    </row>
    <row r="12788" spans="1:11" x14ac:dyDescent="0.25">
      <c r="A12788" t="s">
        <v>38997</v>
      </c>
      <c r="B12788" s="1" t="str">
        <f>HYPERLINK("https://www.catalog.slsa.sa.gov.au/record=b3203517")</f>
        <v>https://www.catalog.slsa.sa.gov.au/record=b3203517</v>
      </c>
      <c r="C12788" s="1" t="str">
        <f>HYPERLINK("https://www.catalog.slsa.sa.gov.au/xrecord=b3203517")</f>
        <v>https://www.catalog.slsa.sa.gov.au/xrecord=b3203517</v>
      </c>
      <c r="D12788" t="s">
        <v>31636</v>
      </c>
      <c r="E12788" t="s">
        <v>38993</v>
      </c>
      <c r="F12788" t="s">
        <v>38934</v>
      </c>
      <c r="G12788" t="s">
        <v>37758</v>
      </c>
      <c r="H12788" t="s">
        <v>38998</v>
      </c>
      <c r="I12788" t="s">
        <v>38928</v>
      </c>
      <c r="J12788" t="s">
        <v>38968</v>
      </c>
      <c r="K12788" s="2" t="str">
        <f>HYPERLINK("http://collections.slsa.sa.gov.au/resource/B+77333")</f>
        <v>http://collections.slsa.sa.gov.au/resource/B+77333</v>
      </c>
    </row>
    <row r="12789" spans="1:11" x14ac:dyDescent="0.25">
      <c r="A12789" t="s">
        <v>38999</v>
      </c>
      <c r="B12789" s="1" t="str">
        <f>HYPERLINK("https://www.catalog.slsa.sa.gov.au/record=b3203518")</f>
        <v>https://www.catalog.slsa.sa.gov.au/record=b3203518</v>
      </c>
      <c r="C12789" s="1" t="str">
        <f>HYPERLINK("https://www.catalog.slsa.sa.gov.au/xrecord=b3203518")</f>
        <v>https://www.catalog.slsa.sa.gov.au/xrecord=b3203518</v>
      </c>
      <c r="D12789" t="s">
        <v>31636</v>
      </c>
      <c r="E12789" t="s">
        <v>38993</v>
      </c>
      <c r="F12789" t="s">
        <v>38934</v>
      </c>
      <c r="G12789" t="s">
        <v>37758</v>
      </c>
      <c r="H12789" t="s">
        <v>39000</v>
      </c>
      <c r="I12789" t="s">
        <v>38928</v>
      </c>
      <c r="J12789" t="s">
        <v>39001</v>
      </c>
      <c r="K12789" s="2" t="str">
        <f>HYPERLINK("http://collections.slsa.sa.gov.au/resource/B+77334")</f>
        <v>http://collections.slsa.sa.gov.au/resource/B+77334</v>
      </c>
    </row>
    <row r="12790" spans="1:11" x14ac:dyDescent="0.25">
      <c r="A12790" t="s">
        <v>39002</v>
      </c>
      <c r="B12790" s="1" t="str">
        <f>HYPERLINK("https://www.catalog.slsa.sa.gov.au/record=b3203520")</f>
        <v>https://www.catalog.slsa.sa.gov.au/record=b3203520</v>
      </c>
      <c r="C12790" s="1" t="str">
        <f>HYPERLINK("https://www.catalog.slsa.sa.gov.au/xrecord=b3203520")</f>
        <v>https://www.catalog.slsa.sa.gov.au/xrecord=b3203520</v>
      </c>
      <c r="D12790" t="s">
        <v>31636</v>
      </c>
      <c r="E12790" t="s">
        <v>38993</v>
      </c>
      <c r="F12790" t="s">
        <v>38934</v>
      </c>
      <c r="G12790" t="s">
        <v>37758</v>
      </c>
      <c r="H12790" t="s">
        <v>39003</v>
      </c>
      <c r="I12790" t="s">
        <v>38928</v>
      </c>
      <c r="J12790" t="s">
        <v>39001</v>
      </c>
      <c r="K12790" s="2" t="str">
        <f>HYPERLINK("http://collections.slsa.sa.gov.au/resource/B+77335")</f>
        <v>http://collections.slsa.sa.gov.au/resource/B+77335</v>
      </c>
    </row>
    <row r="12791" spans="1:11" x14ac:dyDescent="0.25">
      <c r="A12791" t="s">
        <v>39004</v>
      </c>
      <c r="B12791" s="1" t="str">
        <f>HYPERLINK("https://www.catalog.slsa.sa.gov.au/record=b3203522")</f>
        <v>https://www.catalog.slsa.sa.gov.au/record=b3203522</v>
      </c>
      <c r="C12791" s="1" t="str">
        <f>HYPERLINK("https://www.catalog.slsa.sa.gov.au/xrecord=b3203522")</f>
        <v>https://www.catalog.slsa.sa.gov.au/xrecord=b3203522</v>
      </c>
      <c r="D12791" t="s">
        <v>31636</v>
      </c>
      <c r="E12791" t="s">
        <v>38993</v>
      </c>
      <c r="F12791" t="s">
        <v>38934</v>
      </c>
      <c r="G12791" t="s">
        <v>37758</v>
      </c>
      <c r="H12791" t="s">
        <v>39005</v>
      </c>
      <c r="I12791" t="s">
        <v>38928</v>
      </c>
      <c r="J12791" t="s">
        <v>38968</v>
      </c>
      <c r="K12791" s="2" t="str">
        <f>HYPERLINK("http://collections.slsa.sa.gov.au/resource/B+77336")</f>
        <v>http://collections.slsa.sa.gov.au/resource/B+77336</v>
      </c>
    </row>
    <row r="12792" spans="1:11" x14ac:dyDescent="0.25">
      <c r="A12792" t="s">
        <v>39006</v>
      </c>
      <c r="B12792" s="1" t="str">
        <f>HYPERLINK("https://www.catalog.slsa.sa.gov.au/record=b3203524")</f>
        <v>https://www.catalog.slsa.sa.gov.au/record=b3203524</v>
      </c>
      <c r="C12792" s="1" t="str">
        <f>HYPERLINK("https://www.catalog.slsa.sa.gov.au/xrecord=b3203524")</f>
        <v>https://www.catalog.slsa.sa.gov.au/xrecord=b3203524</v>
      </c>
      <c r="D12792" t="s">
        <v>31636</v>
      </c>
      <c r="E12792" t="s">
        <v>38993</v>
      </c>
      <c r="F12792" t="s">
        <v>38934</v>
      </c>
      <c r="G12792" t="s">
        <v>39007</v>
      </c>
      <c r="H12792" t="s">
        <v>39005</v>
      </c>
      <c r="I12792" t="s">
        <v>38928</v>
      </c>
      <c r="J12792" t="s">
        <v>38968</v>
      </c>
      <c r="K12792" s="2" t="str">
        <f>HYPERLINK("http://collections.slsa.sa.gov.au/resource/B+77337")</f>
        <v>http://collections.slsa.sa.gov.au/resource/B+77337</v>
      </c>
    </row>
    <row r="12793" spans="1:11" x14ac:dyDescent="0.25">
      <c r="A12793" t="s">
        <v>39008</v>
      </c>
      <c r="B12793" s="1" t="str">
        <f>HYPERLINK("https://www.catalog.slsa.sa.gov.au/record=b3203525")</f>
        <v>https://www.catalog.slsa.sa.gov.au/record=b3203525</v>
      </c>
      <c r="C12793" s="1" t="str">
        <f>HYPERLINK("https://www.catalog.slsa.sa.gov.au/xrecord=b3203525")</f>
        <v>https://www.catalog.slsa.sa.gov.au/xrecord=b3203525</v>
      </c>
      <c r="D12793" t="s">
        <v>31636</v>
      </c>
      <c r="E12793" t="s">
        <v>24585</v>
      </c>
      <c r="F12793" t="s">
        <v>38934</v>
      </c>
      <c r="G12793" t="s">
        <v>37758</v>
      </c>
      <c r="H12793" t="s">
        <v>39009</v>
      </c>
      <c r="I12793" t="s">
        <v>38928</v>
      </c>
      <c r="J12793" t="s">
        <v>38963</v>
      </c>
      <c r="K12793" s="2" t="str">
        <f>HYPERLINK("http://collections.slsa.sa.gov.au/resource/B+77338")</f>
        <v>http://collections.slsa.sa.gov.au/resource/B+77338</v>
      </c>
    </row>
    <row r="12794" spans="1:11" x14ac:dyDescent="0.25">
      <c r="A12794" t="s">
        <v>39010</v>
      </c>
      <c r="B12794" s="1" t="str">
        <f>HYPERLINK("https://www.catalog.slsa.sa.gov.au/record=b3203526")</f>
        <v>https://www.catalog.slsa.sa.gov.au/record=b3203526</v>
      </c>
      <c r="C12794" s="1" t="str">
        <f>HYPERLINK("https://www.catalog.slsa.sa.gov.au/xrecord=b3203526")</f>
        <v>https://www.catalog.slsa.sa.gov.au/xrecord=b3203526</v>
      </c>
      <c r="D12794" t="s">
        <v>31636</v>
      </c>
      <c r="E12794" t="s">
        <v>24585</v>
      </c>
      <c r="F12794" t="s">
        <v>38934</v>
      </c>
      <c r="G12794" t="s">
        <v>37758</v>
      </c>
      <c r="H12794" t="s">
        <v>39009</v>
      </c>
      <c r="I12794" t="s">
        <v>38928</v>
      </c>
      <c r="J12794" t="s">
        <v>38963</v>
      </c>
      <c r="K12794" s="2" t="str">
        <f>HYPERLINK("http://collections.slsa.sa.gov.au/resource/B+77339")</f>
        <v>http://collections.slsa.sa.gov.au/resource/B+77339</v>
      </c>
    </row>
    <row r="12795" spans="1:11" x14ac:dyDescent="0.25">
      <c r="A12795" t="s">
        <v>39011</v>
      </c>
      <c r="B12795" s="1" t="str">
        <f>HYPERLINK("https://www.catalog.slsa.sa.gov.au/record=b3203527")</f>
        <v>https://www.catalog.slsa.sa.gov.au/record=b3203527</v>
      </c>
      <c r="C12795" s="1" t="str">
        <f>HYPERLINK("https://www.catalog.slsa.sa.gov.au/xrecord=b3203527")</f>
        <v>https://www.catalog.slsa.sa.gov.au/xrecord=b3203527</v>
      </c>
      <c r="D12795" t="s">
        <v>31636</v>
      </c>
      <c r="E12795" t="s">
        <v>39012</v>
      </c>
      <c r="F12795" t="s">
        <v>38934</v>
      </c>
      <c r="G12795" t="s">
        <v>37758</v>
      </c>
      <c r="H12795" t="s">
        <v>39013</v>
      </c>
      <c r="I12795" t="s">
        <v>38928</v>
      </c>
      <c r="J12795" t="s">
        <v>25591</v>
      </c>
      <c r="K12795" s="2" t="str">
        <f>HYPERLINK("http://collections.slsa.sa.gov.au/resource/B+77340")</f>
        <v>http://collections.slsa.sa.gov.au/resource/B+77340</v>
      </c>
    </row>
    <row r="12796" spans="1:11" x14ac:dyDescent="0.25">
      <c r="A12796" t="s">
        <v>39014</v>
      </c>
      <c r="B12796" s="1" t="str">
        <f>HYPERLINK("https://www.catalog.slsa.sa.gov.au/record=b3203529")</f>
        <v>https://www.catalog.slsa.sa.gov.au/record=b3203529</v>
      </c>
      <c r="C12796" s="1" t="str">
        <f>HYPERLINK("https://www.catalog.slsa.sa.gov.au/xrecord=b3203529")</f>
        <v>https://www.catalog.slsa.sa.gov.au/xrecord=b3203529</v>
      </c>
      <c r="D12796" t="s">
        <v>31636</v>
      </c>
      <c r="E12796" t="s">
        <v>39012</v>
      </c>
      <c r="F12796" t="s">
        <v>38934</v>
      </c>
      <c r="G12796" t="s">
        <v>37758</v>
      </c>
      <c r="H12796" t="s">
        <v>39015</v>
      </c>
      <c r="I12796" t="s">
        <v>38928</v>
      </c>
      <c r="J12796" t="s">
        <v>25591</v>
      </c>
      <c r="K12796" s="2" t="str">
        <f>HYPERLINK("http://collections.slsa.sa.gov.au/resource/B+77341")</f>
        <v>http://collections.slsa.sa.gov.au/resource/B+77341</v>
      </c>
    </row>
    <row r="12797" spans="1:11" x14ac:dyDescent="0.25">
      <c r="A12797" t="s">
        <v>39016</v>
      </c>
      <c r="B12797" s="1" t="str">
        <f>HYPERLINK("https://www.catalog.slsa.sa.gov.au/record=b3203530")</f>
        <v>https://www.catalog.slsa.sa.gov.au/record=b3203530</v>
      </c>
      <c r="C12797" s="1" t="str">
        <f>HYPERLINK("https://www.catalog.slsa.sa.gov.au/xrecord=b3203530")</f>
        <v>https://www.catalog.slsa.sa.gov.au/xrecord=b3203530</v>
      </c>
      <c r="D12797" t="s">
        <v>31636</v>
      </c>
      <c r="E12797" t="s">
        <v>39017</v>
      </c>
      <c r="F12797" t="s">
        <v>38934</v>
      </c>
      <c r="G12797" t="s">
        <v>37758</v>
      </c>
      <c r="H12797" t="s">
        <v>39018</v>
      </c>
      <c r="I12797" t="s">
        <v>38928</v>
      </c>
      <c r="J12797" t="s">
        <v>28489</v>
      </c>
      <c r="K12797" s="2" t="str">
        <f>HYPERLINK("http://collections.slsa.sa.gov.au/resource/B+77342")</f>
        <v>http://collections.slsa.sa.gov.au/resource/B+77342</v>
      </c>
    </row>
    <row r="12798" spans="1:11" x14ac:dyDescent="0.25">
      <c r="A12798" t="s">
        <v>39019</v>
      </c>
      <c r="B12798" s="1" t="str">
        <f>HYPERLINK("https://www.catalog.slsa.sa.gov.au/record=b3203532")</f>
        <v>https://www.catalog.slsa.sa.gov.au/record=b3203532</v>
      </c>
      <c r="C12798" s="1" t="str">
        <f>HYPERLINK("https://www.catalog.slsa.sa.gov.au/xrecord=b3203532")</f>
        <v>https://www.catalog.slsa.sa.gov.au/xrecord=b3203532</v>
      </c>
      <c r="D12798" t="s">
        <v>31636</v>
      </c>
      <c r="E12798" t="s">
        <v>39020</v>
      </c>
      <c r="F12798" t="s">
        <v>38934</v>
      </c>
      <c r="G12798" t="s">
        <v>37850</v>
      </c>
      <c r="H12798" t="s">
        <v>39021</v>
      </c>
      <c r="I12798" t="s">
        <v>38928</v>
      </c>
      <c r="J12798" t="s">
        <v>25591</v>
      </c>
      <c r="K12798" s="2" t="str">
        <f>HYPERLINK("http://collections.slsa.sa.gov.au/resource/B+77343")</f>
        <v>http://collections.slsa.sa.gov.au/resource/B+77343</v>
      </c>
    </row>
    <row r="12799" spans="1:11" x14ac:dyDescent="0.25">
      <c r="A12799" t="s">
        <v>39022</v>
      </c>
      <c r="B12799" s="1" t="str">
        <f>HYPERLINK("https://www.catalog.slsa.sa.gov.au/record=b3203533")</f>
        <v>https://www.catalog.slsa.sa.gov.au/record=b3203533</v>
      </c>
      <c r="C12799" s="1" t="str">
        <f>HYPERLINK("https://www.catalog.slsa.sa.gov.au/xrecord=b3203533")</f>
        <v>https://www.catalog.slsa.sa.gov.au/xrecord=b3203533</v>
      </c>
      <c r="D12799" t="s">
        <v>31636</v>
      </c>
      <c r="E12799" t="s">
        <v>39023</v>
      </c>
      <c r="F12799" t="s">
        <v>38934</v>
      </c>
      <c r="G12799" t="s">
        <v>37758</v>
      </c>
      <c r="H12799" t="s">
        <v>39024</v>
      </c>
      <c r="I12799" t="s">
        <v>38928</v>
      </c>
      <c r="J12799" t="s">
        <v>27183</v>
      </c>
      <c r="K12799" s="2" t="str">
        <f>HYPERLINK("http://collections.slsa.sa.gov.au/resource/B+77344")</f>
        <v>http://collections.slsa.sa.gov.au/resource/B+77344</v>
      </c>
    </row>
    <row r="12800" spans="1:11" x14ac:dyDescent="0.25">
      <c r="A12800" t="s">
        <v>39025</v>
      </c>
      <c r="B12800" s="1" t="str">
        <f>HYPERLINK("https://www.catalog.slsa.sa.gov.au/record=b3203534")</f>
        <v>https://www.catalog.slsa.sa.gov.au/record=b3203534</v>
      </c>
      <c r="C12800" s="1" t="str">
        <f>HYPERLINK("https://www.catalog.slsa.sa.gov.au/xrecord=b3203534")</f>
        <v>https://www.catalog.slsa.sa.gov.au/xrecord=b3203534</v>
      </c>
      <c r="D12800" t="s">
        <v>31636</v>
      </c>
      <c r="E12800" t="s">
        <v>39026</v>
      </c>
      <c r="F12800" t="s">
        <v>38934</v>
      </c>
      <c r="G12800" t="s">
        <v>37758</v>
      </c>
      <c r="H12800" t="s">
        <v>39027</v>
      </c>
      <c r="I12800" t="s">
        <v>38928</v>
      </c>
      <c r="J12800" t="s">
        <v>27183</v>
      </c>
      <c r="K12800" s="2" t="str">
        <f>HYPERLINK("http://collections.slsa.sa.gov.au/resource/B+77345")</f>
        <v>http://collections.slsa.sa.gov.au/resource/B+77345</v>
      </c>
    </row>
    <row r="12801" spans="1:11" x14ac:dyDescent="0.25">
      <c r="A12801" t="s">
        <v>39028</v>
      </c>
      <c r="B12801" s="1" t="str">
        <f>HYPERLINK("https://www.catalog.slsa.sa.gov.au/record=b3203537")</f>
        <v>https://www.catalog.slsa.sa.gov.au/record=b3203537</v>
      </c>
      <c r="C12801" s="1" t="str">
        <f>HYPERLINK("https://www.catalog.slsa.sa.gov.au/xrecord=b3203537")</f>
        <v>https://www.catalog.slsa.sa.gov.au/xrecord=b3203537</v>
      </c>
      <c r="D12801" t="s">
        <v>31636</v>
      </c>
      <c r="E12801" t="s">
        <v>39029</v>
      </c>
      <c r="F12801" t="s">
        <v>38934</v>
      </c>
      <c r="G12801" t="s">
        <v>39030</v>
      </c>
      <c r="H12801" t="s">
        <v>39031</v>
      </c>
      <c r="I12801" t="s">
        <v>38928</v>
      </c>
      <c r="J12801" t="s">
        <v>24583</v>
      </c>
      <c r="K12801" s="2" t="str">
        <f>HYPERLINK("http://collections.slsa.sa.gov.au/resource/B+77346")</f>
        <v>http://collections.slsa.sa.gov.au/resource/B+77346</v>
      </c>
    </row>
    <row r="12802" spans="1:11" x14ac:dyDescent="0.25">
      <c r="A12802" t="s">
        <v>39032</v>
      </c>
      <c r="B12802" s="1" t="str">
        <f>HYPERLINK("https://www.catalog.slsa.sa.gov.au/record=b3203538")</f>
        <v>https://www.catalog.slsa.sa.gov.au/record=b3203538</v>
      </c>
      <c r="C12802" s="1" t="str">
        <f>HYPERLINK("https://www.catalog.slsa.sa.gov.au/xrecord=b3203538")</f>
        <v>https://www.catalog.slsa.sa.gov.au/xrecord=b3203538</v>
      </c>
      <c r="D12802" t="s">
        <v>31636</v>
      </c>
      <c r="E12802" t="s">
        <v>39033</v>
      </c>
      <c r="F12802" t="s">
        <v>38934</v>
      </c>
      <c r="G12802" t="s">
        <v>39034</v>
      </c>
      <c r="H12802" t="s">
        <v>39033</v>
      </c>
      <c r="I12802" t="s">
        <v>38928</v>
      </c>
      <c r="J12802" t="s">
        <v>27183</v>
      </c>
      <c r="K12802" s="2" t="str">
        <f>HYPERLINK("http://collections.slsa.sa.gov.au/resource/B+77347")</f>
        <v>http://collections.slsa.sa.gov.au/resource/B+77347</v>
      </c>
    </row>
    <row r="12803" spans="1:11" x14ac:dyDescent="0.25">
      <c r="A12803" t="s">
        <v>39035</v>
      </c>
      <c r="B12803" s="1" t="str">
        <f>HYPERLINK("https://www.catalog.slsa.sa.gov.au/record=b3203539")</f>
        <v>https://www.catalog.slsa.sa.gov.au/record=b3203539</v>
      </c>
      <c r="C12803" s="1" t="str">
        <f>HYPERLINK("https://www.catalog.slsa.sa.gov.au/xrecord=b3203539")</f>
        <v>https://www.catalog.slsa.sa.gov.au/xrecord=b3203539</v>
      </c>
      <c r="D12803" t="s">
        <v>31636</v>
      </c>
      <c r="E12803" t="s">
        <v>39036</v>
      </c>
      <c r="F12803" t="s">
        <v>38934</v>
      </c>
      <c r="G12803" t="s">
        <v>39037</v>
      </c>
      <c r="H12803" t="s">
        <v>39038</v>
      </c>
      <c r="I12803" t="s">
        <v>38928</v>
      </c>
      <c r="J12803" t="s">
        <v>38963</v>
      </c>
      <c r="K12803" s="2" t="str">
        <f>HYPERLINK("http://collections.slsa.sa.gov.au/resource/B+77348")</f>
        <v>http://collections.slsa.sa.gov.au/resource/B+77348</v>
      </c>
    </row>
    <row r="12804" spans="1:11" x14ac:dyDescent="0.25">
      <c r="A12804" t="s">
        <v>39039</v>
      </c>
      <c r="B12804" s="1" t="str">
        <f>HYPERLINK("https://www.catalog.slsa.sa.gov.au/record=b3203540")</f>
        <v>https://www.catalog.slsa.sa.gov.au/record=b3203540</v>
      </c>
      <c r="C12804" s="1" t="str">
        <f>HYPERLINK("https://www.catalog.slsa.sa.gov.au/xrecord=b3203540")</f>
        <v>https://www.catalog.slsa.sa.gov.au/xrecord=b3203540</v>
      </c>
      <c r="D12804" t="s">
        <v>31636</v>
      </c>
      <c r="E12804" t="s">
        <v>39040</v>
      </c>
      <c r="F12804" t="s">
        <v>38934</v>
      </c>
      <c r="G12804" t="s">
        <v>37758</v>
      </c>
      <c r="H12804" t="s">
        <v>39041</v>
      </c>
      <c r="I12804" t="s">
        <v>38967</v>
      </c>
      <c r="J12804" t="s">
        <v>26440</v>
      </c>
      <c r="K12804" s="2" t="str">
        <f>HYPERLINK("http://collections.slsa.sa.gov.au/resource/B+77349")</f>
        <v>http://collections.slsa.sa.gov.au/resource/B+77349</v>
      </c>
    </row>
    <row r="12805" spans="1:11" x14ac:dyDescent="0.25">
      <c r="A12805" t="s">
        <v>39042</v>
      </c>
      <c r="B12805" s="1" t="str">
        <f>HYPERLINK("https://www.catalog.slsa.sa.gov.au/record=b3203541")</f>
        <v>https://www.catalog.slsa.sa.gov.au/record=b3203541</v>
      </c>
      <c r="C12805" s="1" t="str">
        <f>HYPERLINK("https://www.catalog.slsa.sa.gov.au/xrecord=b3203541")</f>
        <v>https://www.catalog.slsa.sa.gov.au/xrecord=b3203541</v>
      </c>
      <c r="D12805" t="s">
        <v>31636</v>
      </c>
      <c r="E12805" t="s">
        <v>39043</v>
      </c>
      <c r="F12805" t="s">
        <v>38934</v>
      </c>
      <c r="G12805" t="s">
        <v>37758</v>
      </c>
      <c r="H12805" t="s">
        <v>39044</v>
      </c>
      <c r="I12805" t="s">
        <v>38967</v>
      </c>
      <c r="J12805" t="s">
        <v>24453</v>
      </c>
      <c r="K12805" s="2" t="str">
        <f>HYPERLINK("http://collections.slsa.sa.gov.au/resource/B+77350")</f>
        <v>http://collections.slsa.sa.gov.au/resource/B+77350</v>
      </c>
    </row>
    <row r="12806" spans="1:11" x14ac:dyDescent="0.25">
      <c r="A12806" t="s">
        <v>39045</v>
      </c>
      <c r="B12806" s="1" t="str">
        <f>HYPERLINK("https://www.catalog.slsa.sa.gov.au/record=b3203543")</f>
        <v>https://www.catalog.slsa.sa.gov.au/record=b3203543</v>
      </c>
      <c r="C12806" s="1" t="str">
        <f>HYPERLINK("https://www.catalog.slsa.sa.gov.au/xrecord=b3203543")</f>
        <v>https://www.catalog.slsa.sa.gov.au/xrecord=b3203543</v>
      </c>
      <c r="D12806" t="s">
        <v>31636</v>
      </c>
      <c r="E12806" t="s">
        <v>39046</v>
      </c>
      <c r="F12806" t="s">
        <v>38934</v>
      </c>
      <c r="G12806" t="s">
        <v>37758</v>
      </c>
      <c r="H12806" t="s">
        <v>39047</v>
      </c>
      <c r="I12806" t="s">
        <v>39048</v>
      </c>
      <c r="J12806" t="s">
        <v>26776</v>
      </c>
      <c r="K12806" s="2" t="str">
        <f>HYPERLINK("http://collections.slsa.sa.gov.au/resource/B+77351")</f>
        <v>http://collections.slsa.sa.gov.au/resource/B+77351</v>
      </c>
    </row>
    <row r="12807" spans="1:11" x14ac:dyDescent="0.25">
      <c r="A12807" t="s">
        <v>39049</v>
      </c>
      <c r="B12807" s="1" t="str">
        <f>HYPERLINK("https://www.catalog.slsa.sa.gov.au/record=b3203544")</f>
        <v>https://www.catalog.slsa.sa.gov.au/record=b3203544</v>
      </c>
      <c r="C12807" s="1" t="str">
        <f>HYPERLINK("https://www.catalog.slsa.sa.gov.au/xrecord=b3203544")</f>
        <v>https://www.catalog.slsa.sa.gov.au/xrecord=b3203544</v>
      </c>
      <c r="D12807" t="s">
        <v>31636</v>
      </c>
      <c r="E12807" t="s">
        <v>39050</v>
      </c>
      <c r="F12807" t="s">
        <v>38934</v>
      </c>
      <c r="G12807" t="s">
        <v>37758</v>
      </c>
      <c r="H12807" t="s">
        <v>39051</v>
      </c>
      <c r="I12807" t="s">
        <v>39052</v>
      </c>
      <c r="J12807" t="s">
        <v>24453</v>
      </c>
      <c r="K12807" s="2" t="str">
        <f>HYPERLINK("http://collections.slsa.sa.gov.au/resource/B+77352")</f>
        <v>http://collections.slsa.sa.gov.au/resource/B+77352</v>
      </c>
    </row>
    <row r="12808" spans="1:11" x14ac:dyDescent="0.25">
      <c r="A12808" t="s">
        <v>39053</v>
      </c>
      <c r="B12808" s="1" t="str">
        <f>HYPERLINK("https://www.catalog.slsa.sa.gov.au/record=b3203546")</f>
        <v>https://www.catalog.slsa.sa.gov.au/record=b3203546</v>
      </c>
      <c r="C12808" s="1" t="str">
        <f>HYPERLINK("https://www.catalog.slsa.sa.gov.au/xrecord=b3203546")</f>
        <v>https://www.catalog.slsa.sa.gov.au/xrecord=b3203546</v>
      </c>
      <c r="D12808" t="s">
        <v>31636</v>
      </c>
      <c r="E12808" t="s">
        <v>39054</v>
      </c>
      <c r="F12808" t="s">
        <v>38934</v>
      </c>
      <c r="G12808" t="s">
        <v>37758</v>
      </c>
      <c r="H12808" t="s">
        <v>39055</v>
      </c>
      <c r="I12808" t="s">
        <v>39056</v>
      </c>
      <c r="J12808" t="s">
        <v>27400</v>
      </c>
      <c r="K12808" s="2" t="str">
        <f>HYPERLINK("http://collections.slsa.sa.gov.au/resource/B+77353")</f>
        <v>http://collections.slsa.sa.gov.au/resource/B+77353</v>
      </c>
    </row>
    <row r="12809" spans="1:11" x14ac:dyDescent="0.25">
      <c r="A12809" t="s">
        <v>39057</v>
      </c>
      <c r="B12809" s="1" t="str">
        <f>HYPERLINK("https://www.catalog.slsa.sa.gov.au/record=b3203547")</f>
        <v>https://www.catalog.slsa.sa.gov.au/record=b3203547</v>
      </c>
      <c r="C12809" s="1" t="str">
        <f>HYPERLINK("https://www.catalog.slsa.sa.gov.au/xrecord=b3203547")</f>
        <v>https://www.catalog.slsa.sa.gov.au/xrecord=b3203547</v>
      </c>
      <c r="D12809" t="s">
        <v>31636</v>
      </c>
      <c r="E12809" t="s">
        <v>39058</v>
      </c>
      <c r="F12809" t="s">
        <v>38934</v>
      </c>
      <c r="G12809" t="s">
        <v>37758</v>
      </c>
      <c r="H12809" t="s">
        <v>39059</v>
      </c>
      <c r="I12809" t="s">
        <v>17571</v>
      </c>
      <c r="J12809" t="s">
        <v>39060</v>
      </c>
      <c r="K12809" s="2" t="str">
        <f>HYPERLINK("http://collections.slsa.sa.gov.au/resource/B+77354")</f>
        <v>http://collections.slsa.sa.gov.au/resource/B+77354</v>
      </c>
    </row>
    <row r="12810" spans="1:11" x14ac:dyDescent="0.25">
      <c r="A12810" t="s">
        <v>39061</v>
      </c>
      <c r="B12810" s="1" t="str">
        <f>HYPERLINK("https://www.catalog.slsa.sa.gov.au/record=b3203550")</f>
        <v>https://www.catalog.slsa.sa.gov.au/record=b3203550</v>
      </c>
      <c r="C12810" s="1" t="str">
        <f>HYPERLINK("https://www.catalog.slsa.sa.gov.au/xrecord=b3203550")</f>
        <v>https://www.catalog.slsa.sa.gov.au/xrecord=b3203550</v>
      </c>
      <c r="D12810" t="s">
        <v>31636</v>
      </c>
      <c r="E12810" t="s">
        <v>39062</v>
      </c>
      <c r="F12810" t="s">
        <v>38934</v>
      </c>
      <c r="G12810" t="s">
        <v>39063</v>
      </c>
      <c r="H12810" t="s">
        <v>39064</v>
      </c>
      <c r="I12810" t="s">
        <v>17571</v>
      </c>
      <c r="J12810" t="s">
        <v>27400</v>
      </c>
      <c r="K12810" s="2" t="str">
        <f>HYPERLINK("http://collections.slsa.sa.gov.au/resource/B+77355")</f>
        <v>http://collections.slsa.sa.gov.au/resource/B+77355</v>
      </c>
    </row>
    <row r="12811" spans="1:11" x14ac:dyDescent="0.25">
      <c r="A12811" t="s">
        <v>39065</v>
      </c>
      <c r="B12811" s="1" t="str">
        <f>HYPERLINK("https://www.catalog.slsa.sa.gov.au/record=b3203551")</f>
        <v>https://www.catalog.slsa.sa.gov.au/record=b3203551</v>
      </c>
      <c r="C12811" s="1" t="str">
        <f>HYPERLINK("https://www.catalog.slsa.sa.gov.au/xrecord=b3203551")</f>
        <v>https://www.catalog.slsa.sa.gov.au/xrecord=b3203551</v>
      </c>
      <c r="D12811" t="s">
        <v>31636</v>
      </c>
      <c r="E12811" t="s">
        <v>39066</v>
      </c>
      <c r="F12811" t="s">
        <v>38934</v>
      </c>
      <c r="G12811" t="s">
        <v>37758</v>
      </c>
      <c r="H12811" t="s">
        <v>39067</v>
      </c>
      <c r="I12811" t="s">
        <v>39068</v>
      </c>
      <c r="J12811" t="s">
        <v>26872</v>
      </c>
      <c r="K12811" s="2" t="str">
        <f>HYPERLINK("http://collections.slsa.sa.gov.au/resource/B+77356")</f>
        <v>http://collections.slsa.sa.gov.au/resource/B+77356</v>
      </c>
    </row>
    <row r="12812" spans="1:11" x14ac:dyDescent="0.25">
      <c r="A12812" t="s">
        <v>39069</v>
      </c>
      <c r="B12812" s="1" t="str">
        <f>HYPERLINK("https://www.catalog.slsa.sa.gov.au/record=b3203552")</f>
        <v>https://www.catalog.slsa.sa.gov.au/record=b3203552</v>
      </c>
      <c r="C12812" s="1" t="str">
        <f>HYPERLINK("https://www.catalog.slsa.sa.gov.au/xrecord=b3203552")</f>
        <v>https://www.catalog.slsa.sa.gov.au/xrecord=b3203552</v>
      </c>
      <c r="D12812" t="s">
        <v>31636</v>
      </c>
      <c r="E12812" t="s">
        <v>39066</v>
      </c>
      <c r="F12812" t="s">
        <v>38934</v>
      </c>
      <c r="G12812" t="s">
        <v>37758</v>
      </c>
      <c r="H12812" t="s">
        <v>39070</v>
      </c>
      <c r="I12812" t="s">
        <v>39068</v>
      </c>
      <c r="J12812" t="s">
        <v>26872</v>
      </c>
      <c r="K12812" s="2" t="str">
        <f>HYPERLINK("http://collections.slsa.sa.gov.au/resource/B+77357")</f>
        <v>http://collections.slsa.sa.gov.au/resource/B+77357</v>
      </c>
    </row>
    <row r="12813" spans="1:11" x14ac:dyDescent="0.25">
      <c r="A12813" t="s">
        <v>39071</v>
      </c>
      <c r="B12813" s="1" t="str">
        <f>HYPERLINK("https://www.catalog.slsa.sa.gov.au/record=b3203553")</f>
        <v>https://www.catalog.slsa.sa.gov.au/record=b3203553</v>
      </c>
      <c r="C12813" s="1" t="str">
        <f>HYPERLINK("https://www.catalog.slsa.sa.gov.au/xrecord=b3203553")</f>
        <v>https://www.catalog.slsa.sa.gov.au/xrecord=b3203553</v>
      </c>
      <c r="D12813" t="s">
        <v>31636</v>
      </c>
      <c r="E12813" t="s">
        <v>39072</v>
      </c>
      <c r="F12813" t="s">
        <v>38934</v>
      </c>
      <c r="G12813" t="s">
        <v>37758</v>
      </c>
      <c r="H12813" t="s">
        <v>39073</v>
      </c>
      <c r="I12813" t="s">
        <v>39074</v>
      </c>
      <c r="J12813" t="s">
        <v>24467</v>
      </c>
      <c r="K12813" s="2" t="str">
        <f>HYPERLINK("http://collections.slsa.sa.gov.au/resource/B+77358")</f>
        <v>http://collections.slsa.sa.gov.au/resource/B+77358</v>
      </c>
    </row>
    <row r="12814" spans="1:11" x14ac:dyDescent="0.25">
      <c r="A12814" t="s">
        <v>39075</v>
      </c>
      <c r="B12814" s="1" t="str">
        <f>HYPERLINK("https://www.catalog.slsa.sa.gov.au/record=b3203554")</f>
        <v>https://www.catalog.slsa.sa.gov.au/record=b3203554</v>
      </c>
      <c r="C12814" s="1" t="str">
        <f>HYPERLINK("https://www.catalog.slsa.sa.gov.au/xrecord=b3203554")</f>
        <v>https://www.catalog.slsa.sa.gov.au/xrecord=b3203554</v>
      </c>
      <c r="D12814" t="s">
        <v>31636</v>
      </c>
      <c r="E12814" t="s">
        <v>39076</v>
      </c>
      <c r="F12814" t="s">
        <v>38934</v>
      </c>
      <c r="G12814" t="s">
        <v>37758</v>
      </c>
      <c r="H12814" t="s">
        <v>39077</v>
      </c>
      <c r="I12814" t="s">
        <v>39078</v>
      </c>
      <c r="J12814" t="s">
        <v>39079</v>
      </c>
      <c r="K12814" s="2" t="str">
        <f>HYPERLINK("http://collections.slsa.sa.gov.au/resource/B+77359")</f>
        <v>http://collections.slsa.sa.gov.au/resource/B+77359</v>
      </c>
    </row>
    <row r="12815" spans="1:11" x14ac:dyDescent="0.25">
      <c r="A12815" t="s">
        <v>39080</v>
      </c>
      <c r="B12815" s="1" t="str">
        <f>HYPERLINK("https://www.catalog.slsa.sa.gov.au/record=b3203555")</f>
        <v>https://www.catalog.slsa.sa.gov.au/record=b3203555</v>
      </c>
      <c r="C12815" s="1" t="str">
        <f>HYPERLINK("https://www.catalog.slsa.sa.gov.au/xrecord=b3203555")</f>
        <v>https://www.catalog.slsa.sa.gov.au/xrecord=b3203555</v>
      </c>
      <c r="D12815" t="s">
        <v>31636</v>
      </c>
      <c r="E12815" t="s">
        <v>39076</v>
      </c>
      <c r="F12815" t="s">
        <v>38934</v>
      </c>
      <c r="G12815" t="s">
        <v>39081</v>
      </c>
      <c r="H12815" t="s">
        <v>39082</v>
      </c>
      <c r="I12815" t="s">
        <v>39078</v>
      </c>
      <c r="J12815" t="s">
        <v>39079</v>
      </c>
      <c r="K12815" s="2" t="str">
        <f>HYPERLINK("http://collections.slsa.sa.gov.au/resource/B+77360")</f>
        <v>http://collections.slsa.sa.gov.au/resource/B+77360</v>
      </c>
    </row>
    <row r="12816" spans="1:11" x14ac:dyDescent="0.25">
      <c r="A12816" t="s">
        <v>39083</v>
      </c>
      <c r="B12816" s="1" t="str">
        <f>HYPERLINK("https://www.catalog.slsa.sa.gov.au/record=b3203556")</f>
        <v>https://www.catalog.slsa.sa.gov.au/record=b3203556</v>
      </c>
      <c r="C12816" s="1" t="str">
        <f>HYPERLINK("https://www.catalog.slsa.sa.gov.au/xrecord=b3203556")</f>
        <v>https://www.catalog.slsa.sa.gov.au/xrecord=b3203556</v>
      </c>
      <c r="D12816" t="s">
        <v>31636</v>
      </c>
      <c r="E12816" t="s">
        <v>39084</v>
      </c>
      <c r="F12816" t="s">
        <v>38934</v>
      </c>
      <c r="G12816" t="s">
        <v>37758</v>
      </c>
      <c r="H12816" t="s">
        <v>39085</v>
      </c>
      <c r="I12816" t="s">
        <v>17571</v>
      </c>
      <c r="J12816" t="s">
        <v>29142</v>
      </c>
      <c r="K12816" s="2" t="str">
        <f>HYPERLINK("http://collections.slsa.sa.gov.au/resource/B+77361")</f>
        <v>http://collections.slsa.sa.gov.au/resource/B+77361</v>
      </c>
    </row>
    <row r="12817" spans="1:11" x14ac:dyDescent="0.25">
      <c r="A12817" t="s">
        <v>39086</v>
      </c>
      <c r="B12817" s="1" t="str">
        <f>HYPERLINK("https://www.catalog.slsa.sa.gov.au/record=b3203557")</f>
        <v>https://www.catalog.slsa.sa.gov.au/record=b3203557</v>
      </c>
      <c r="C12817" s="1" t="str">
        <f>HYPERLINK("https://www.catalog.slsa.sa.gov.au/xrecord=b3203557")</f>
        <v>https://www.catalog.slsa.sa.gov.au/xrecord=b3203557</v>
      </c>
      <c r="D12817" t="s">
        <v>31636</v>
      </c>
      <c r="E12817" t="s">
        <v>39087</v>
      </c>
      <c r="F12817" t="s">
        <v>39088</v>
      </c>
      <c r="G12817" t="s">
        <v>39089</v>
      </c>
      <c r="H12817" t="s">
        <v>39090</v>
      </c>
      <c r="I12817" t="s">
        <v>39091</v>
      </c>
      <c r="J12817" t="s">
        <v>27360</v>
      </c>
      <c r="K12817" s="2" t="str">
        <f>HYPERLINK("http://collections.slsa.sa.gov.au/resource/B+77362")</f>
        <v>http://collections.slsa.sa.gov.au/resource/B+77362</v>
      </c>
    </row>
    <row r="12818" spans="1:11" x14ac:dyDescent="0.25">
      <c r="A12818" t="s">
        <v>39092</v>
      </c>
      <c r="B12818" s="1" t="str">
        <f>HYPERLINK("https://www.catalog.slsa.sa.gov.au/record=b3203558")</f>
        <v>https://www.catalog.slsa.sa.gov.au/record=b3203558</v>
      </c>
      <c r="C12818" s="1" t="str">
        <f>HYPERLINK("https://www.catalog.slsa.sa.gov.au/xrecord=b3203558")</f>
        <v>https://www.catalog.slsa.sa.gov.au/xrecord=b3203558</v>
      </c>
      <c r="D12818" t="s">
        <v>31636</v>
      </c>
      <c r="E12818" t="s">
        <v>39093</v>
      </c>
      <c r="F12818" t="s">
        <v>39088</v>
      </c>
      <c r="G12818" t="s">
        <v>39094</v>
      </c>
      <c r="H12818" t="s">
        <v>39095</v>
      </c>
      <c r="I12818" t="s">
        <v>17571</v>
      </c>
      <c r="J12818" t="s">
        <v>25954</v>
      </c>
      <c r="K12818" s="2" t="str">
        <f>HYPERLINK("http://collections.slsa.sa.gov.au/resource/B+77363")</f>
        <v>http://collections.slsa.sa.gov.au/resource/B+77363</v>
      </c>
    </row>
    <row r="12819" spans="1:11" x14ac:dyDescent="0.25">
      <c r="A12819" t="s">
        <v>39096</v>
      </c>
      <c r="B12819" s="1" t="str">
        <f>HYPERLINK("https://www.catalog.slsa.sa.gov.au/record=b3203559")</f>
        <v>https://www.catalog.slsa.sa.gov.au/record=b3203559</v>
      </c>
      <c r="C12819" s="1" t="str">
        <f>HYPERLINK("https://www.catalog.slsa.sa.gov.au/xrecord=b3203559")</f>
        <v>https://www.catalog.slsa.sa.gov.au/xrecord=b3203559</v>
      </c>
      <c r="D12819" t="s">
        <v>31636</v>
      </c>
      <c r="E12819" t="s">
        <v>24276</v>
      </c>
      <c r="F12819" t="s">
        <v>39088</v>
      </c>
      <c r="G12819" t="s">
        <v>39097</v>
      </c>
      <c r="H12819" t="s">
        <v>39098</v>
      </c>
      <c r="I12819" t="s">
        <v>39099</v>
      </c>
      <c r="J12819" t="s">
        <v>39100</v>
      </c>
      <c r="K12819" s="2" t="str">
        <f>HYPERLINK("http://collections.slsa.sa.gov.au/resource/B+77364")</f>
        <v>http://collections.slsa.sa.gov.au/resource/B+77364</v>
      </c>
    </row>
    <row r="12820" spans="1:11" x14ac:dyDescent="0.25">
      <c r="A12820" t="s">
        <v>39101</v>
      </c>
      <c r="B12820" s="1" t="str">
        <f>HYPERLINK("https://www.catalog.slsa.sa.gov.au/record=b3203561")</f>
        <v>https://www.catalog.slsa.sa.gov.au/record=b3203561</v>
      </c>
      <c r="C12820" s="1" t="str">
        <f>HYPERLINK("https://www.catalog.slsa.sa.gov.au/xrecord=b3203561")</f>
        <v>https://www.catalog.slsa.sa.gov.au/xrecord=b3203561</v>
      </c>
      <c r="D12820" t="s">
        <v>31636</v>
      </c>
      <c r="E12820" t="s">
        <v>24276</v>
      </c>
      <c r="F12820" t="s">
        <v>39088</v>
      </c>
      <c r="G12820" t="s">
        <v>39102</v>
      </c>
      <c r="H12820" t="s">
        <v>39103</v>
      </c>
      <c r="I12820" t="s">
        <v>39099</v>
      </c>
      <c r="J12820" t="s">
        <v>39104</v>
      </c>
      <c r="K12820" s="2" t="str">
        <f>HYPERLINK("http://collections.slsa.sa.gov.au/resource/B+77365")</f>
        <v>http://collections.slsa.sa.gov.au/resource/B+77365</v>
      </c>
    </row>
    <row r="12821" spans="1:11" x14ac:dyDescent="0.25">
      <c r="A12821" t="s">
        <v>39105</v>
      </c>
      <c r="B12821" s="1" t="str">
        <f>HYPERLINK("https://www.catalog.slsa.sa.gov.au/record=b3203563")</f>
        <v>https://www.catalog.slsa.sa.gov.au/record=b3203563</v>
      </c>
      <c r="C12821" s="1" t="str">
        <f>HYPERLINK("https://www.catalog.slsa.sa.gov.au/xrecord=b3203563")</f>
        <v>https://www.catalog.slsa.sa.gov.au/xrecord=b3203563</v>
      </c>
      <c r="D12821" t="s">
        <v>31636</v>
      </c>
      <c r="E12821" t="s">
        <v>39106</v>
      </c>
      <c r="F12821" t="s">
        <v>39088</v>
      </c>
      <c r="G12821" t="s">
        <v>37758</v>
      </c>
      <c r="H12821" t="s">
        <v>39107</v>
      </c>
      <c r="I12821" t="s">
        <v>39108</v>
      </c>
      <c r="J12821" t="s">
        <v>24279</v>
      </c>
      <c r="K12821" s="2" t="str">
        <f>HYPERLINK("http://collections.slsa.sa.gov.au/resource/B+77366")</f>
        <v>http://collections.slsa.sa.gov.au/resource/B+77366</v>
      </c>
    </row>
    <row r="12822" spans="1:11" x14ac:dyDescent="0.25">
      <c r="A12822" t="s">
        <v>39109</v>
      </c>
      <c r="B12822" s="1" t="str">
        <f>HYPERLINK("https://www.catalog.slsa.sa.gov.au/record=b3203564")</f>
        <v>https://www.catalog.slsa.sa.gov.au/record=b3203564</v>
      </c>
      <c r="C12822" s="1" t="str">
        <f>HYPERLINK("https://www.catalog.slsa.sa.gov.au/xrecord=b3203564")</f>
        <v>https://www.catalog.slsa.sa.gov.au/xrecord=b3203564</v>
      </c>
      <c r="D12822" t="s">
        <v>31636</v>
      </c>
      <c r="E12822" t="s">
        <v>39106</v>
      </c>
      <c r="F12822" t="s">
        <v>39088</v>
      </c>
      <c r="G12822" t="s">
        <v>37758</v>
      </c>
      <c r="H12822" t="s">
        <v>39107</v>
      </c>
      <c r="I12822" t="s">
        <v>39108</v>
      </c>
      <c r="J12822" t="s">
        <v>24279</v>
      </c>
      <c r="K12822" s="2" t="str">
        <f>HYPERLINK("http://collections.slsa.sa.gov.au/resource/B+77367")</f>
        <v>http://collections.slsa.sa.gov.au/resource/B+77367</v>
      </c>
    </row>
    <row r="12823" spans="1:11" x14ac:dyDescent="0.25">
      <c r="A12823" t="s">
        <v>39110</v>
      </c>
      <c r="B12823" s="1" t="str">
        <f>HYPERLINK("https://www.catalog.slsa.sa.gov.au/record=b3203565")</f>
        <v>https://www.catalog.slsa.sa.gov.au/record=b3203565</v>
      </c>
      <c r="C12823" s="1" t="str">
        <f>HYPERLINK("https://www.catalog.slsa.sa.gov.au/xrecord=b3203565")</f>
        <v>https://www.catalog.slsa.sa.gov.au/xrecord=b3203565</v>
      </c>
      <c r="D12823" t="s">
        <v>31636</v>
      </c>
      <c r="E12823" t="s">
        <v>39106</v>
      </c>
      <c r="F12823" t="s">
        <v>39088</v>
      </c>
      <c r="G12823" t="s">
        <v>37758</v>
      </c>
      <c r="H12823" t="s">
        <v>39111</v>
      </c>
      <c r="I12823" t="s">
        <v>39108</v>
      </c>
      <c r="J12823" t="s">
        <v>24279</v>
      </c>
      <c r="K12823" s="2" t="str">
        <f>HYPERLINK("http://collections.slsa.sa.gov.au/resource/B+77368")</f>
        <v>http://collections.slsa.sa.gov.au/resource/B+77368</v>
      </c>
    </row>
    <row r="12824" spans="1:11" x14ac:dyDescent="0.25">
      <c r="A12824" t="s">
        <v>39112</v>
      </c>
      <c r="B12824" s="1" t="str">
        <f>HYPERLINK("https://www.catalog.slsa.sa.gov.au/record=b3203566")</f>
        <v>https://www.catalog.slsa.sa.gov.au/record=b3203566</v>
      </c>
      <c r="C12824" s="1" t="str">
        <f>HYPERLINK("https://www.catalog.slsa.sa.gov.au/xrecord=b3203566")</f>
        <v>https://www.catalog.slsa.sa.gov.au/xrecord=b3203566</v>
      </c>
      <c r="D12824" t="s">
        <v>31636</v>
      </c>
      <c r="E12824" t="s">
        <v>39113</v>
      </c>
      <c r="F12824" t="s">
        <v>39088</v>
      </c>
      <c r="G12824" t="s">
        <v>39114</v>
      </c>
      <c r="H12824" t="s">
        <v>39115</v>
      </c>
      <c r="I12824" t="s">
        <v>17571</v>
      </c>
      <c r="J12824" t="s">
        <v>24309</v>
      </c>
      <c r="K12824" s="2" t="str">
        <f>HYPERLINK("http://collections.slsa.sa.gov.au/resource/B+77369")</f>
        <v>http://collections.slsa.sa.gov.au/resource/B+77369</v>
      </c>
    </row>
    <row r="12825" spans="1:11" x14ac:dyDescent="0.25">
      <c r="A12825" t="s">
        <v>39116</v>
      </c>
      <c r="B12825" s="1" t="str">
        <f>HYPERLINK("https://www.catalog.slsa.sa.gov.au/record=b3203567")</f>
        <v>https://www.catalog.slsa.sa.gov.au/record=b3203567</v>
      </c>
      <c r="C12825" s="1" t="str">
        <f>HYPERLINK("https://www.catalog.slsa.sa.gov.au/xrecord=b3203567")</f>
        <v>https://www.catalog.slsa.sa.gov.au/xrecord=b3203567</v>
      </c>
      <c r="D12825" t="s">
        <v>31636</v>
      </c>
      <c r="E12825" t="s">
        <v>39117</v>
      </c>
      <c r="F12825" t="s">
        <v>39088</v>
      </c>
      <c r="G12825" t="s">
        <v>39118</v>
      </c>
      <c r="H12825" t="s">
        <v>39119</v>
      </c>
      <c r="I12825" t="s">
        <v>39120</v>
      </c>
      <c r="J12825" t="s">
        <v>24060</v>
      </c>
      <c r="K12825" s="2" t="str">
        <f>HYPERLINK("http://collections.slsa.sa.gov.au/resource/B+77370")</f>
        <v>http://collections.slsa.sa.gov.au/resource/B+77370</v>
      </c>
    </row>
    <row r="12826" spans="1:11" x14ac:dyDescent="0.25">
      <c r="A12826" t="s">
        <v>39121</v>
      </c>
      <c r="B12826" s="1" t="str">
        <f>HYPERLINK("https://www.catalog.slsa.sa.gov.au/record=b3203570")</f>
        <v>https://www.catalog.slsa.sa.gov.au/record=b3203570</v>
      </c>
      <c r="C12826" s="1" t="str">
        <f>HYPERLINK("https://www.catalog.slsa.sa.gov.au/xrecord=b3203570")</f>
        <v>https://www.catalog.slsa.sa.gov.au/xrecord=b3203570</v>
      </c>
      <c r="D12826" t="s">
        <v>31636</v>
      </c>
      <c r="E12826" t="s">
        <v>39117</v>
      </c>
      <c r="F12826" t="s">
        <v>39088</v>
      </c>
      <c r="G12826" t="s">
        <v>37758</v>
      </c>
      <c r="H12826" t="s">
        <v>39119</v>
      </c>
      <c r="I12826" t="s">
        <v>39120</v>
      </c>
      <c r="J12826" t="s">
        <v>24060</v>
      </c>
      <c r="K12826" s="2" t="str">
        <f>HYPERLINK("http://collections.slsa.sa.gov.au/resource/B+77371")</f>
        <v>http://collections.slsa.sa.gov.au/resource/B+77371</v>
      </c>
    </row>
    <row r="12827" spans="1:11" x14ac:dyDescent="0.25">
      <c r="A12827" t="s">
        <v>39122</v>
      </c>
      <c r="B12827" s="1" t="str">
        <f>HYPERLINK("https://www.catalog.slsa.sa.gov.au/record=b3203571")</f>
        <v>https://www.catalog.slsa.sa.gov.au/record=b3203571</v>
      </c>
      <c r="C12827" s="1" t="str">
        <f>HYPERLINK("https://www.catalog.slsa.sa.gov.au/xrecord=b3203571")</f>
        <v>https://www.catalog.slsa.sa.gov.au/xrecord=b3203571</v>
      </c>
      <c r="D12827" t="s">
        <v>31636</v>
      </c>
      <c r="E12827" t="s">
        <v>39117</v>
      </c>
      <c r="F12827" t="s">
        <v>39088</v>
      </c>
      <c r="G12827" t="s">
        <v>39123</v>
      </c>
      <c r="H12827" t="s">
        <v>39124</v>
      </c>
      <c r="I12827" t="s">
        <v>39120</v>
      </c>
      <c r="J12827" t="s">
        <v>24060</v>
      </c>
      <c r="K12827" s="2" t="str">
        <f>HYPERLINK("http://collections.slsa.sa.gov.au/resource/B+77372")</f>
        <v>http://collections.slsa.sa.gov.au/resource/B+77372</v>
      </c>
    </row>
    <row r="12828" spans="1:11" x14ac:dyDescent="0.25">
      <c r="A12828" t="s">
        <v>39125</v>
      </c>
      <c r="B12828" s="1" t="str">
        <f>HYPERLINK("https://www.catalog.slsa.sa.gov.au/record=b3203635")</f>
        <v>https://www.catalog.slsa.sa.gov.au/record=b3203635</v>
      </c>
      <c r="C12828" s="1" t="str">
        <f>HYPERLINK("https://www.catalog.slsa.sa.gov.au/xrecord=b3203635")</f>
        <v>https://www.catalog.slsa.sa.gov.au/xrecord=b3203635</v>
      </c>
      <c r="D12828" t="s">
        <v>31636</v>
      </c>
      <c r="E12828" t="s">
        <v>39126</v>
      </c>
      <c r="F12828" t="s">
        <v>39127</v>
      </c>
      <c r="G12828" t="s">
        <v>37758</v>
      </c>
      <c r="H12828" t="s">
        <v>39128</v>
      </c>
      <c r="I12828" t="s">
        <v>39129</v>
      </c>
      <c r="J12828" t="s">
        <v>15919</v>
      </c>
      <c r="K12828" s="2" t="str">
        <f>HYPERLINK("http://collections.slsa.sa.gov.au/resource/B+77373")</f>
        <v>http://collections.slsa.sa.gov.au/resource/B+77373</v>
      </c>
    </row>
    <row r="12829" spans="1:11" x14ac:dyDescent="0.25">
      <c r="A12829" t="s">
        <v>39130</v>
      </c>
      <c r="B12829" s="1" t="str">
        <f>HYPERLINK("https://www.catalog.slsa.sa.gov.au/record=b3203637")</f>
        <v>https://www.catalog.slsa.sa.gov.au/record=b3203637</v>
      </c>
      <c r="C12829" s="1" t="str">
        <f>HYPERLINK("https://www.catalog.slsa.sa.gov.au/xrecord=b3203637")</f>
        <v>https://www.catalog.slsa.sa.gov.au/xrecord=b3203637</v>
      </c>
      <c r="D12829" t="s">
        <v>31636</v>
      </c>
      <c r="E12829" t="s">
        <v>39126</v>
      </c>
      <c r="F12829" t="s">
        <v>39127</v>
      </c>
      <c r="G12829" t="s">
        <v>37716</v>
      </c>
      <c r="H12829" t="s">
        <v>39128</v>
      </c>
      <c r="I12829" t="s">
        <v>39129</v>
      </c>
      <c r="J12829" t="s">
        <v>15919</v>
      </c>
      <c r="K12829" s="2" t="str">
        <f>HYPERLINK("http://collections.slsa.sa.gov.au/resource/B+77374")</f>
        <v>http://collections.slsa.sa.gov.au/resource/B+77374</v>
      </c>
    </row>
    <row r="12830" spans="1:11" x14ac:dyDescent="0.25">
      <c r="A12830" t="s">
        <v>39131</v>
      </c>
      <c r="B12830" s="1" t="str">
        <f>HYPERLINK("https://www.catalog.slsa.sa.gov.au/record=b3203638")</f>
        <v>https://www.catalog.slsa.sa.gov.au/record=b3203638</v>
      </c>
      <c r="C12830" s="1" t="str">
        <f>HYPERLINK("https://www.catalog.slsa.sa.gov.au/xrecord=b3203638")</f>
        <v>https://www.catalog.slsa.sa.gov.au/xrecord=b3203638</v>
      </c>
      <c r="D12830" t="s">
        <v>31636</v>
      </c>
      <c r="E12830" t="s">
        <v>39126</v>
      </c>
      <c r="F12830" t="s">
        <v>39127</v>
      </c>
      <c r="G12830" t="s">
        <v>37758</v>
      </c>
      <c r="H12830" t="s">
        <v>39128</v>
      </c>
      <c r="I12830" t="s">
        <v>39129</v>
      </c>
      <c r="J12830" t="s">
        <v>15919</v>
      </c>
      <c r="K12830" s="2" t="str">
        <f>HYPERLINK("http://collections.slsa.sa.gov.au/resource/B+77375")</f>
        <v>http://collections.slsa.sa.gov.au/resource/B+77375</v>
      </c>
    </row>
    <row r="12831" spans="1:11" x14ac:dyDescent="0.25">
      <c r="A12831" t="s">
        <v>39132</v>
      </c>
      <c r="B12831" s="1" t="str">
        <f>HYPERLINK("https://www.catalog.slsa.sa.gov.au/record=b3203640")</f>
        <v>https://www.catalog.slsa.sa.gov.au/record=b3203640</v>
      </c>
      <c r="C12831" s="1" t="str">
        <f>HYPERLINK("https://www.catalog.slsa.sa.gov.au/xrecord=b3203640")</f>
        <v>https://www.catalog.slsa.sa.gov.au/xrecord=b3203640</v>
      </c>
      <c r="D12831" t="s">
        <v>31636</v>
      </c>
      <c r="E12831" t="s">
        <v>39126</v>
      </c>
      <c r="F12831" t="s">
        <v>39127</v>
      </c>
      <c r="G12831" t="s">
        <v>37758</v>
      </c>
      <c r="H12831" t="s">
        <v>39133</v>
      </c>
      <c r="I12831" t="s">
        <v>39129</v>
      </c>
      <c r="J12831" t="s">
        <v>15919</v>
      </c>
      <c r="K12831" s="2" t="str">
        <f>HYPERLINK("http://collections.slsa.sa.gov.au/resource/B+77376")</f>
        <v>http://collections.slsa.sa.gov.au/resource/B+77376</v>
      </c>
    </row>
    <row r="12832" spans="1:11" x14ac:dyDescent="0.25">
      <c r="A12832" t="s">
        <v>39134</v>
      </c>
      <c r="B12832" s="1" t="str">
        <f>HYPERLINK("https://www.catalog.slsa.sa.gov.au/record=b3203641")</f>
        <v>https://www.catalog.slsa.sa.gov.au/record=b3203641</v>
      </c>
      <c r="C12832" s="1" t="str">
        <f>HYPERLINK("https://www.catalog.slsa.sa.gov.au/xrecord=b3203641")</f>
        <v>https://www.catalog.slsa.sa.gov.au/xrecord=b3203641</v>
      </c>
      <c r="D12832" t="s">
        <v>31636</v>
      </c>
      <c r="E12832" t="s">
        <v>39126</v>
      </c>
      <c r="F12832" t="s">
        <v>39127</v>
      </c>
      <c r="G12832" t="s">
        <v>37758</v>
      </c>
      <c r="H12832" t="s">
        <v>39135</v>
      </c>
      <c r="I12832" t="s">
        <v>39136</v>
      </c>
      <c r="J12832" t="s">
        <v>15919</v>
      </c>
      <c r="K12832" s="2" t="str">
        <f>HYPERLINK("http://collections.slsa.sa.gov.au/resource/B+77377")</f>
        <v>http://collections.slsa.sa.gov.au/resource/B+77377</v>
      </c>
    </row>
    <row r="12833" spans="1:11" x14ac:dyDescent="0.25">
      <c r="A12833" t="s">
        <v>39137</v>
      </c>
      <c r="B12833" s="1" t="str">
        <f>HYPERLINK("https://www.catalog.slsa.sa.gov.au/record=b3203642")</f>
        <v>https://www.catalog.slsa.sa.gov.au/record=b3203642</v>
      </c>
      <c r="C12833" s="1" t="str">
        <f>HYPERLINK("https://www.catalog.slsa.sa.gov.au/xrecord=b3203642")</f>
        <v>https://www.catalog.slsa.sa.gov.au/xrecord=b3203642</v>
      </c>
      <c r="D12833" t="s">
        <v>31636</v>
      </c>
      <c r="E12833" t="s">
        <v>39138</v>
      </c>
      <c r="F12833" t="s">
        <v>39127</v>
      </c>
      <c r="G12833" t="s">
        <v>37758</v>
      </c>
      <c r="H12833" t="s">
        <v>39139</v>
      </c>
      <c r="I12833" t="s">
        <v>39140</v>
      </c>
      <c r="J12833" t="s">
        <v>15919</v>
      </c>
      <c r="K12833" s="2" t="str">
        <f>HYPERLINK("http://collections.slsa.sa.gov.au/resource/B+77378")</f>
        <v>http://collections.slsa.sa.gov.au/resource/B+77378</v>
      </c>
    </row>
    <row r="12834" spans="1:11" x14ac:dyDescent="0.25">
      <c r="A12834" t="s">
        <v>39141</v>
      </c>
      <c r="B12834" s="1" t="str">
        <f>HYPERLINK("https://www.catalog.slsa.sa.gov.au/record=b3203645")</f>
        <v>https://www.catalog.slsa.sa.gov.au/record=b3203645</v>
      </c>
      <c r="C12834" s="1" t="str">
        <f>HYPERLINK("https://www.catalog.slsa.sa.gov.au/xrecord=b3203645")</f>
        <v>https://www.catalog.slsa.sa.gov.au/xrecord=b3203645</v>
      </c>
      <c r="D12834" t="s">
        <v>31636</v>
      </c>
      <c r="E12834" t="s">
        <v>39142</v>
      </c>
      <c r="F12834" t="s">
        <v>39127</v>
      </c>
      <c r="G12834" t="s">
        <v>37758</v>
      </c>
      <c r="H12834" t="s">
        <v>39143</v>
      </c>
      <c r="I12834" t="s">
        <v>39144</v>
      </c>
      <c r="J12834" t="s">
        <v>15919</v>
      </c>
      <c r="K12834" s="2" t="str">
        <f>HYPERLINK("http://collections.slsa.sa.gov.au/resource/B+77379")</f>
        <v>http://collections.slsa.sa.gov.au/resource/B+77379</v>
      </c>
    </row>
    <row r="12835" spans="1:11" x14ac:dyDescent="0.25">
      <c r="A12835" t="s">
        <v>39145</v>
      </c>
      <c r="B12835" s="1" t="str">
        <f>HYPERLINK("https://www.catalog.slsa.sa.gov.au/record=b3203646")</f>
        <v>https://www.catalog.slsa.sa.gov.au/record=b3203646</v>
      </c>
      <c r="C12835" s="1" t="str">
        <f>HYPERLINK("https://www.catalog.slsa.sa.gov.au/xrecord=b3203646")</f>
        <v>https://www.catalog.slsa.sa.gov.au/xrecord=b3203646</v>
      </c>
      <c r="D12835" t="s">
        <v>31636</v>
      </c>
      <c r="E12835" t="s">
        <v>39146</v>
      </c>
      <c r="F12835" t="s">
        <v>39127</v>
      </c>
      <c r="G12835" t="s">
        <v>37758</v>
      </c>
      <c r="H12835" t="s">
        <v>39147</v>
      </c>
      <c r="I12835" t="s">
        <v>39148</v>
      </c>
      <c r="J12835" t="s">
        <v>15919</v>
      </c>
      <c r="K12835" s="2" t="str">
        <f>HYPERLINK("http://collections.slsa.sa.gov.au/resource/B+77380")</f>
        <v>http://collections.slsa.sa.gov.au/resource/B+77380</v>
      </c>
    </row>
    <row r="12836" spans="1:11" x14ac:dyDescent="0.25">
      <c r="A12836" t="s">
        <v>39149</v>
      </c>
      <c r="B12836" s="1" t="str">
        <f>HYPERLINK("https://www.catalog.slsa.sa.gov.au/record=b3203647")</f>
        <v>https://www.catalog.slsa.sa.gov.au/record=b3203647</v>
      </c>
      <c r="C12836" s="1" t="str">
        <f>HYPERLINK("https://www.catalog.slsa.sa.gov.au/xrecord=b3203647")</f>
        <v>https://www.catalog.slsa.sa.gov.au/xrecord=b3203647</v>
      </c>
      <c r="D12836" t="s">
        <v>31636</v>
      </c>
      <c r="E12836" t="s">
        <v>39150</v>
      </c>
      <c r="F12836" t="s">
        <v>39127</v>
      </c>
      <c r="G12836" t="s">
        <v>37758</v>
      </c>
      <c r="H12836" t="s">
        <v>39151</v>
      </c>
      <c r="I12836" t="s">
        <v>39152</v>
      </c>
      <c r="J12836" t="s">
        <v>15919</v>
      </c>
      <c r="K12836" s="2" t="str">
        <f>HYPERLINK("http://collections.slsa.sa.gov.au/resource/B+77381")</f>
        <v>http://collections.slsa.sa.gov.au/resource/B+77381</v>
      </c>
    </row>
    <row r="12837" spans="1:11" x14ac:dyDescent="0.25">
      <c r="A12837" t="s">
        <v>39153</v>
      </c>
      <c r="B12837" s="1" t="str">
        <f>HYPERLINK("https://www.catalog.slsa.sa.gov.au/record=b3203650")</f>
        <v>https://www.catalog.slsa.sa.gov.au/record=b3203650</v>
      </c>
      <c r="C12837" s="1" t="str">
        <f>HYPERLINK("https://www.catalog.slsa.sa.gov.au/xrecord=b3203650")</f>
        <v>https://www.catalog.slsa.sa.gov.au/xrecord=b3203650</v>
      </c>
      <c r="D12837" t="s">
        <v>31636</v>
      </c>
      <c r="E12837" t="s">
        <v>39142</v>
      </c>
      <c r="F12837" t="s">
        <v>39127</v>
      </c>
      <c r="G12837" t="s">
        <v>37758</v>
      </c>
      <c r="H12837" t="s">
        <v>39154</v>
      </c>
      <c r="I12837" t="s">
        <v>39155</v>
      </c>
      <c r="J12837" t="s">
        <v>15919</v>
      </c>
      <c r="K12837" s="2" t="str">
        <f>HYPERLINK("http://collections.slsa.sa.gov.au/resource/B+77382")</f>
        <v>http://collections.slsa.sa.gov.au/resource/B+77382</v>
      </c>
    </row>
    <row r="12838" spans="1:11" x14ac:dyDescent="0.25">
      <c r="A12838" t="s">
        <v>39156</v>
      </c>
      <c r="B12838" s="1" t="str">
        <f>HYPERLINK("https://www.catalog.slsa.sa.gov.au/record=b3203651")</f>
        <v>https://www.catalog.slsa.sa.gov.au/record=b3203651</v>
      </c>
      <c r="C12838" s="1" t="str">
        <f>HYPERLINK("https://www.catalog.slsa.sa.gov.au/xrecord=b3203651")</f>
        <v>https://www.catalog.slsa.sa.gov.au/xrecord=b3203651</v>
      </c>
      <c r="D12838" t="s">
        <v>31636</v>
      </c>
      <c r="E12838" t="s">
        <v>39157</v>
      </c>
      <c r="F12838" t="s">
        <v>39127</v>
      </c>
      <c r="G12838" t="s">
        <v>37758</v>
      </c>
      <c r="H12838" t="s">
        <v>39158</v>
      </c>
      <c r="I12838" t="s">
        <v>39159</v>
      </c>
      <c r="J12838" t="s">
        <v>15919</v>
      </c>
      <c r="K12838" s="2" t="str">
        <f>HYPERLINK("http://collections.slsa.sa.gov.au/resource/B+77383")</f>
        <v>http://collections.slsa.sa.gov.au/resource/B+77383</v>
      </c>
    </row>
    <row r="12839" spans="1:11" x14ac:dyDescent="0.25">
      <c r="A12839" t="s">
        <v>39160</v>
      </c>
      <c r="B12839" s="1" t="str">
        <f>HYPERLINK("https://www.catalog.slsa.sa.gov.au/record=b3203652")</f>
        <v>https://www.catalog.slsa.sa.gov.au/record=b3203652</v>
      </c>
      <c r="C12839" s="1" t="str">
        <f>HYPERLINK("https://www.catalog.slsa.sa.gov.au/xrecord=b3203652")</f>
        <v>https://www.catalog.slsa.sa.gov.au/xrecord=b3203652</v>
      </c>
      <c r="D12839" t="s">
        <v>31636</v>
      </c>
      <c r="E12839" t="s">
        <v>39161</v>
      </c>
      <c r="F12839" t="s">
        <v>39127</v>
      </c>
      <c r="G12839" t="s">
        <v>37758</v>
      </c>
      <c r="H12839" t="s">
        <v>39162</v>
      </c>
      <c r="I12839" t="s">
        <v>39163</v>
      </c>
      <c r="J12839" t="s">
        <v>15919</v>
      </c>
      <c r="K12839" s="2" t="str">
        <f>HYPERLINK("http://collections.slsa.sa.gov.au/resource/B+77384")</f>
        <v>http://collections.slsa.sa.gov.au/resource/B+77384</v>
      </c>
    </row>
    <row r="12840" spans="1:11" x14ac:dyDescent="0.25">
      <c r="A12840" t="s">
        <v>39164</v>
      </c>
      <c r="B12840" s="1" t="str">
        <f>HYPERLINK("https://www.catalog.slsa.sa.gov.au/record=b3219572")</f>
        <v>https://www.catalog.slsa.sa.gov.au/record=b3219572</v>
      </c>
      <c r="C12840" s="1" t="str">
        <f>HYPERLINK("https://www.catalog.slsa.sa.gov.au/xrecord=b3219572")</f>
        <v>https://www.catalog.slsa.sa.gov.au/xrecord=b3219572</v>
      </c>
      <c r="D12840" t="s">
        <v>31636</v>
      </c>
      <c r="E12840" t="s">
        <v>39165</v>
      </c>
      <c r="F12840" t="s">
        <v>39166</v>
      </c>
      <c r="G12840" t="s">
        <v>39167</v>
      </c>
      <c r="H12840" t="s">
        <v>39168</v>
      </c>
      <c r="I12840" t="s">
        <v>36863</v>
      </c>
      <c r="J12840" t="s">
        <v>2510</v>
      </c>
      <c r="K12840" s="2" t="str">
        <f>HYPERLINK("http://collections.slsa.sa.gov.au/resource/B+77448")</f>
        <v>http://collections.slsa.sa.gov.au/resource/B+77448</v>
      </c>
    </row>
    <row r="12841" spans="1:11" x14ac:dyDescent="0.25">
      <c r="A12841" t="s">
        <v>39169</v>
      </c>
      <c r="B12841" s="1" t="str">
        <f>HYPERLINK("https://www.catalog.slsa.sa.gov.au/record=b3219573")</f>
        <v>https://www.catalog.slsa.sa.gov.au/record=b3219573</v>
      </c>
      <c r="C12841" s="1" t="str">
        <f>HYPERLINK("https://www.catalog.slsa.sa.gov.au/xrecord=b3219573")</f>
        <v>https://www.catalog.slsa.sa.gov.au/xrecord=b3219573</v>
      </c>
      <c r="D12841" t="s">
        <v>31636</v>
      </c>
      <c r="E12841" t="s">
        <v>39170</v>
      </c>
      <c r="F12841" t="s">
        <v>39166</v>
      </c>
      <c r="G12841" t="s">
        <v>39171</v>
      </c>
      <c r="H12841" t="s">
        <v>39172</v>
      </c>
      <c r="I12841" t="s">
        <v>36863</v>
      </c>
      <c r="J12841" t="s">
        <v>2510</v>
      </c>
      <c r="K12841" s="2" t="str">
        <f>HYPERLINK("http://collections.slsa.sa.gov.au/resource/B+77449")</f>
        <v>http://collections.slsa.sa.gov.au/resource/B+77449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SLSA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Joanna Day (mail)</dc:creator>
  <cp:lastModifiedBy>Joanna Day (mail)</cp:lastModifiedBy>
  <dcterms:created xsi:type="dcterms:W3CDTF">2019-07-16T06:40:40Z</dcterms:created>
  <dcterms:modified xsi:type="dcterms:W3CDTF">2019-07-16T06:46:50Z</dcterms:modified>
</cp:coreProperties>
</file>